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40" yWindow="45" windowWidth="15150" windowHeight="7410"/>
  </bookViews>
  <sheets>
    <sheet name="TRI  II 2019 Juli " sheetId="1" r:id="rId1"/>
    <sheet name="cari " sheetId="2" r:id="rId2"/>
    <sheet name="Sheet3" sheetId="3" r:id="rId3"/>
    <sheet name="Sheet1"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xlnm.Print_Area" localSheetId="0">'TRI  II 2019 Juli '!$A$1:$AE$2868</definedName>
    <definedName name="_xlnm.Print_Titles" localSheetId="0">'TRI  II 2019 Juli '!$8:$9</definedName>
  </definedNames>
  <calcPr calcId="125725"/>
</workbook>
</file>

<file path=xl/calcChain.xml><?xml version="1.0" encoding="utf-8"?>
<calcChain xmlns="http://schemas.openxmlformats.org/spreadsheetml/2006/main">
  <c r="Z2849" i="1"/>
  <c r="Y2849"/>
  <c r="AA2849" s="1"/>
  <c r="AC2849" s="1"/>
  <c r="N2849"/>
  <c r="AC2848"/>
  <c r="Z2848"/>
  <c r="Y2848"/>
  <c r="AA2848" s="1"/>
  <c r="P2848"/>
  <c r="N2848"/>
  <c r="AB2848" s="1"/>
  <c r="AD2848" s="1"/>
  <c r="L2848"/>
  <c r="Z2847"/>
  <c r="AB2847" s="1"/>
  <c r="AD2847" s="1"/>
  <c r="Y2847"/>
  <c r="AA2847" s="1"/>
  <c r="AC2847" s="1"/>
  <c r="AB2846"/>
  <c r="AD2846" s="1"/>
  <c r="AA2846"/>
  <c r="AC2846" s="1"/>
  <c r="Z2846"/>
  <c r="Y2846"/>
  <c r="Z2845"/>
  <c r="AB2845" s="1"/>
  <c r="AD2845" s="1"/>
  <c r="Y2845"/>
  <c r="AA2845" s="1"/>
  <c r="AC2845" s="1"/>
  <c r="K2845"/>
  <c r="AC2844"/>
  <c r="Z2844"/>
  <c r="AB2844" s="1"/>
  <c r="AD2844" s="1"/>
  <c r="Y2844"/>
  <c r="AA2844" s="1"/>
  <c r="N2844"/>
  <c r="AA2843"/>
  <c r="AC2843" s="1"/>
  <c r="Z2843"/>
  <c r="Y2843"/>
  <c r="N2843"/>
  <c r="N2841" s="1"/>
  <c r="AD2842"/>
  <c r="AA2842"/>
  <c r="AC2842" s="1"/>
  <c r="Z2842"/>
  <c r="AB2842" s="1"/>
  <c r="Y2842"/>
  <c r="Y2841"/>
  <c r="AA2841" s="1"/>
  <c r="AC2841" s="1"/>
  <c r="X2841"/>
  <c r="X2796" s="1"/>
  <c r="V2841"/>
  <c r="T2841"/>
  <c r="R2841"/>
  <c r="P2841"/>
  <c r="L2841"/>
  <c r="Z2840"/>
  <c r="Z2839" s="1"/>
  <c r="Y2840"/>
  <c r="AA2840" s="1"/>
  <c r="AC2840" s="1"/>
  <c r="N2840"/>
  <c r="Y2839"/>
  <c r="AA2839" s="1"/>
  <c r="AC2839" s="1"/>
  <c r="T2839"/>
  <c r="R2839"/>
  <c r="P2839"/>
  <c r="N2839"/>
  <c r="L2839"/>
  <c r="AA2838"/>
  <c r="AC2838" s="1"/>
  <c r="Z2838"/>
  <c r="Y2838"/>
  <c r="N2838"/>
  <c r="N2837" s="1"/>
  <c r="AA2837"/>
  <c r="AC2837" s="1"/>
  <c r="Y2837"/>
  <c r="T2837"/>
  <c r="R2837"/>
  <c r="Z2837" s="1"/>
  <c r="P2837"/>
  <c r="L2837"/>
  <c r="AC2836"/>
  <c r="Z2836"/>
  <c r="AB2836" s="1"/>
  <c r="Y2836"/>
  <c r="AA2836" s="1"/>
  <c r="N2836"/>
  <c r="N2835" s="1"/>
  <c r="Y2835"/>
  <c r="AA2835" s="1"/>
  <c r="AC2835" s="1"/>
  <c r="T2835"/>
  <c r="R2835"/>
  <c r="Z2835" s="1"/>
  <c r="AB2835" s="1"/>
  <c r="P2835"/>
  <c r="L2835"/>
  <c r="Z2834"/>
  <c r="Y2834"/>
  <c r="AA2834" s="1"/>
  <c r="AC2834" s="1"/>
  <c r="N2834"/>
  <c r="AB2834" s="1"/>
  <c r="AD2834" s="1"/>
  <c r="Y2833"/>
  <c r="AA2833" s="1"/>
  <c r="AC2833" s="1"/>
  <c r="T2833"/>
  <c r="Z2833" s="1"/>
  <c r="R2833"/>
  <c r="P2833"/>
  <c r="N2833"/>
  <c r="AB2833" s="1"/>
  <c r="AD2833" s="1"/>
  <c r="L2833"/>
  <c r="Z2832"/>
  <c r="Y2832"/>
  <c r="AA2832" s="1"/>
  <c r="AC2832" s="1"/>
  <c r="N2832"/>
  <c r="AB2832" s="1"/>
  <c r="AD2832" s="1"/>
  <c r="L2832"/>
  <c r="Z2831"/>
  <c r="Y2831"/>
  <c r="AA2831" s="1"/>
  <c r="AC2831" s="1"/>
  <c r="N2831"/>
  <c r="Y2830"/>
  <c r="AA2830" s="1"/>
  <c r="AC2830" s="1"/>
  <c r="T2830"/>
  <c r="R2830"/>
  <c r="P2830"/>
  <c r="L2830"/>
  <c r="AA2829"/>
  <c r="AC2829" s="1"/>
  <c r="Z2829"/>
  <c r="Y2829"/>
  <c r="N2829"/>
  <c r="Y2828"/>
  <c r="AA2828" s="1"/>
  <c r="AC2828" s="1"/>
  <c r="T2828"/>
  <c r="R2828"/>
  <c r="Z2828" s="1"/>
  <c r="P2828"/>
  <c r="L2828"/>
  <c r="AB2827"/>
  <c r="AD2827" s="1"/>
  <c r="Z2827"/>
  <c r="Y2827"/>
  <c r="AA2827" s="1"/>
  <c r="AC2827" s="1"/>
  <c r="N2827"/>
  <c r="N2826" s="1"/>
  <c r="AA2826"/>
  <c r="AC2826" s="1"/>
  <c r="Y2826"/>
  <c r="T2826"/>
  <c r="R2826"/>
  <c r="Z2826" s="1"/>
  <c r="AB2826" s="1"/>
  <c r="P2826"/>
  <c r="L2826"/>
  <c r="Z2825"/>
  <c r="Y2825"/>
  <c r="AA2825" s="1"/>
  <c r="AC2825" s="1"/>
  <c r="N2825"/>
  <c r="Z2824"/>
  <c r="Y2824"/>
  <c r="AA2824" s="1"/>
  <c r="AC2824" s="1"/>
  <c r="N2824"/>
  <c r="Y2823"/>
  <c r="AA2823" s="1"/>
  <c r="AC2823" s="1"/>
  <c r="T2823"/>
  <c r="Z2823" s="1"/>
  <c r="R2823"/>
  <c r="P2823"/>
  <c r="N2823"/>
  <c r="AB2823" s="1"/>
  <c r="AD2823" s="1"/>
  <c r="L2823"/>
  <c r="Z2822"/>
  <c r="Y2822"/>
  <c r="AA2822" s="1"/>
  <c r="AC2822" s="1"/>
  <c r="N2822"/>
  <c r="N2821" s="1"/>
  <c r="AB2821" s="1"/>
  <c r="AD2821" s="1"/>
  <c r="Z2821"/>
  <c r="Y2821"/>
  <c r="AA2821" s="1"/>
  <c r="AC2821" s="1"/>
  <c r="T2821"/>
  <c r="R2821"/>
  <c r="P2821"/>
  <c r="L2821"/>
  <c r="Z2820"/>
  <c r="Y2820"/>
  <c r="AA2820" s="1"/>
  <c r="AC2820" s="1"/>
  <c r="N2820"/>
  <c r="Y2819"/>
  <c r="AA2819" s="1"/>
  <c r="AC2819" s="1"/>
  <c r="T2819"/>
  <c r="R2819"/>
  <c r="P2819"/>
  <c r="L2819"/>
  <c r="AA2818"/>
  <c r="AC2818" s="1"/>
  <c r="Z2818"/>
  <c r="Y2818"/>
  <c r="N2818"/>
  <c r="N2817" s="1"/>
  <c r="AA2817"/>
  <c r="AC2817" s="1"/>
  <c r="Z2817"/>
  <c r="Y2817"/>
  <c r="T2817"/>
  <c r="R2817"/>
  <c r="P2817"/>
  <c r="L2817"/>
  <c r="Z2816"/>
  <c r="Y2816"/>
  <c r="N2816"/>
  <c r="M2816"/>
  <c r="Z2815"/>
  <c r="Y2815"/>
  <c r="AA2815" s="1"/>
  <c r="AC2815" s="1"/>
  <c r="N2815"/>
  <c r="AB2815" s="1"/>
  <c r="AD2815" s="1"/>
  <c r="Z2814"/>
  <c r="Y2814"/>
  <c r="AA2814" s="1"/>
  <c r="AC2814" s="1"/>
  <c r="N2814"/>
  <c r="AB2814" s="1"/>
  <c r="AD2814" s="1"/>
  <c r="Z2813"/>
  <c r="Y2813"/>
  <c r="AA2813" s="1"/>
  <c r="AC2813" s="1"/>
  <c r="N2813"/>
  <c r="AB2813" s="1"/>
  <c r="AD2813" s="1"/>
  <c r="Z2812"/>
  <c r="Y2812"/>
  <c r="AA2812" s="1"/>
  <c r="AC2812" s="1"/>
  <c r="N2812"/>
  <c r="AB2812" s="1"/>
  <c r="AD2812" s="1"/>
  <c r="Y2811"/>
  <c r="AA2811" s="1"/>
  <c r="AC2811" s="1"/>
  <c r="T2811"/>
  <c r="R2811"/>
  <c r="P2811"/>
  <c r="L2811"/>
  <c r="Z2810"/>
  <c r="Y2810"/>
  <c r="AA2810" s="1"/>
  <c r="AC2810" s="1"/>
  <c r="N2810"/>
  <c r="AB2810" s="1"/>
  <c r="AD2810" s="1"/>
  <c r="Z2809"/>
  <c r="Y2809"/>
  <c r="AA2809" s="1"/>
  <c r="AC2809" s="1"/>
  <c r="N2809"/>
  <c r="AB2809" s="1"/>
  <c r="AD2809" s="1"/>
  <c r="Z2808"/>
  <c r="Y2808"/>
  <c r="AA2808" s="1"/>
  <c r="AC2808" s="1"/>
  <c r="N2808"/>
  <c r="AB2808" s="1"/>
  <c r="AD2808" s="1"/>
  <c r="Z2807"/>
  <c r="Y2807"/>
  <c r="AA2807" s="1"/>
  <c r="AC2807" s="1"/>
  <c r="N2807"/>
  <c r="AB2807" s="1"/>
  <c r="AD2807" s="1"/>
  <c r="AB2806"/>
  <c r="AD2806" s="1"/>
  <c r="Z2806"/>
  <c r="Y2806"/>
  <c r="AA2806" s="1"/>
  <c r="AC2806" s="1"/>
  <c r="N2806"/>
  <c r="AA2805"/>
  <c r="AC2805" s="1"/>
  <c r="Z2805"/>
  <c r="Y2805"/>
  <c r="N2805"/>
  <c r="AB2805" s="1"/>
  <c r="AD2805" s="1"/>
  <c r="AA2804"/>
  <c r="AC2804" s="1"/>
  <c r="Z2804"/>
  <c r="Y2804"/>
  <c r="N2804"/>
  <c r="AB2804" s="1"/>
  <c r="AD2804" s="1"/>
  <c r="Z2803"/>
  <c r="Q2803"/>
  <c r="Y2803" s="1"/>
  <c r="AA2803" s="1"/>
  <c r="N2803"/>
  <c r="L2803"/>
  <c r="Z2802"/>
  <c r="Y2802"/>
  <c r="AA2802" s="1"/>
  <c r="AC2802" s="1"/>
  <c r="N2802"/>
  <c r="Z2801"/>
  <c r="Y2801"/>
  <c r="AA2801" s="1"/>
  <c r="AC2801" s="1"/>
  <c r="N2801"/>
  <c r="Z2800"/>
  <c r="Y2800"/>
  <c r="AA2800" s="1"/>
  <c r="AC2800" s="1"/>
  <c r="N2800"/>
  <c r="Z2799"/>
  <c r="Y2799"/>
  <c r="AA2799" s="1"/>
  <c r="AC2799" s="1"/>
  <c r="N2799"/>
  <c r="Z2798"/>
  <c r="Y2798"/>
  <c r="AA2798" s="1"/>
  <c r="AC2798" s="1"/>
  <c r="N2798"/>
  <c r="Z2797"/>
  <c r="Y2797"/>
  <c r="AA2797" s="1"/>
  <c r="AC2797" s="1"/>
  <c r="T2797"/>
  <c r="R2797"/>
  <c r="P2797"/>
  <c r="V2796"/>
  <c r="AD2793"/>
  <c r="AA2793"/>
  <c r="AC2793" s="1"/>
  <c r="Z2793"/>
  <c r="AB2793" s="1"/>
  <c r="Y2793"/>
  <c r="AB2792"/>
  <c r="AD2792" s="1"/>
  <c r="Z2792"/>
  <c r="Y2792"/>
  <c r="AA2792" s="1"/>
  <c r="AC2792" s="1"/>
  <c r="AA2791"/>
  <c r="AC2791" s="1"/>
  <c r="Z2791"/>
  <c r="AB2791" s="1"/>
  <c r="AD2791" s="1"/>
  <c r="Y2791"/>
  <c r="Z2790"/>
  <c r="AB2790" s="1"/>
  <c r="AD2790" s="1"/>
  <c r="Y2790"/>
  <c r="AA2790" s="1"/>
  <c r="AC2790" s="1"/>
  <c r="Z2789"/>
  <c r="AB2789" s="1"/>
  <c r="AD2789" s="1"/>
  <c r="Y2789"/>
  <c r="AA2789" s="1"/>
  <c r="AC2789" s="1"/>
  <c r="Y2788"/>
  <c r="AA2788" s="1"/>
  <c r="AC2788" s="1"/>
  <c r="X2788"/>
  <c r="V2788"/>
  <c r="T2788"/>
  <c r="R2788"/>
  <c r="P2788"/>
  <c r="N2788"/>
  <c r="L2788"/>
  <c r="Z2787"/>
  <c r="AB2787" s="1"/>
  <c r="AD2787" s="1"/>
  <c r="Y2787"/>
  <c r="AA2787" s="1"/>
  <c r="AC2787" s="1"/>
  <c r="Y2786"/>
  <c r="AA2786" s="1"/>
  <c r="AC2786" s="1"/>
  <c r="X2786"/>
  <c r="V2786"/>
  <c r="T2786"/>
  <c r="R2786"/>
  <c r="P2786"/>
  <c r="N2786"/>
  <c r="L2786"/>
  <c r="AC2785"/>
  <c r="Z2785"/>
  <c r="AB2785" s="1"/>
  <c r="AD2785" s="1"/>
  <c r="Y2785"/>
  <c r="AA2785" s="1"/>
  <c r="Y2784"/>
  <c r="AA2784" s="1"/>
  <c r="AC2784" s="1"/>
  <c r="X2784"/>
  <c r="V2784"/>
  <c r="T2784"/>
  <c r="R2784"/>
  <c r="P2784"/>
  <c r="N2784"/>
  <c r="L2784"/>
  <c r="AB2783"/>
  <c r="AD2783" s="1"/>
  <c r="AA2783"/>
  <c r="AC2783" s="1"/>
  <c r="Z2783"/>
  <c r="Y2783"/>
  <c r="AC2782"/>
  <c r="Y2782"/>
  <c r="AA2782" s="1"/>
  <c r="X2782"/>
  <c r="V2782"/>
  <c r="T2782"/>
  <c r="R2782"/>
  <c r="P2782"/>
  <c r="N2782"/>
  <c r="L2782"/>
  <c r="AA2781"/>
  <c r="AC2781" s="1"/>
  <c r="Z2781"/>
  <c r="AB2781" s="1"/>
  <c r="AD2781" s="1"/>
  <c r="Y2781"/>
  <c r="AC2780"/>
  <c r="AB2780"/>
  <c r="AD2780" s="1"/>
  <c r="Z2780"/>
  <c r="Y2780"/>
  <c r="AA2780" s="1"/>
  <c r="AA2779"/>
  <c r="AC2779" s="1"/>
  <c r="Y2779"/>
  <c r="X2779"/>
  <c r="V2779"/>
  <c r="T2779"/>
  <c r="Z2779" s="1"/>
  <c r="R2779"/>
  <c r="P2779"/>
  <c r="N2779"/>
  <c r="L2779"/>
  <c r="AB2778"/>
  <c r="Z2778"/>
  <c r="Y2778"/>
  <c r="AA2778" s="1"/>
  <c r="AC2778" s="1"/>
  <c r="L2778"/>
  <c r="L2777" s="1"/>
  <c r="Y2777"/>
  <c r="AA2777" s="1"/>
  <c r="AC2777" s="1"/>
  <c r="X2777"/>
  <c r="V2777"/>
  <c r="T2777"/>
  <c r="R2777"/>
  <c r="P2777"/>
  <c r="N2777"/>
  <c r="AA2776"/>
  <c r="AC2776" s="1"/>
  <c r="Z2776"/>
  <c r="AB2776" s="1"/>
  <c r="AD2776" s="1"/>
  <c r="Y2776"/>
  <c r="Z2775"/>
  <c r="AB2775" s="1"/>
  <c r="AD2775" s="1"/>
  <c r="Y2775"/>
  <c r="AA2775" s="1"/>
  <c r="AC2775" s="1"/>
  <c r="AA2774"/>
  <c r="AC2774" s="1"/>
  <c r="Y2774"/>
  <c r="X2774"/>
  <c r="V2774"/>
  <c r="T2774"/>
  <c r="R2774"/>
  <c r="P2774"/>
  <c r="N2774"/>
  <c r="L2774"/>
  <c r="Z2773"/>
  <c r="AB2773" s="1"/>
  <c r="AD2773" s="1"/>
  <c r="Y2773"/>
  <c r="AA2773" s="1"/>
  <c r="AC2773" s="1"/>
  <c r="N2773"/>
  <c r="N2772" s="1"/>
  <c r="Y2772"/>
  <c r="AA2772" s="1"/>
  <c r="AC2772" s="1"/>
  <c r="T2772"/>
  <c r="R2772"/>
  <c r="P2772"/>
  <c r="L2772"/>
  <c r="AD2771"/>
  <c r="Z2771"/>
  <c r="AB2771" s="1"/>
  <c r="Y2771"/>
  <c r="AA2771" s="1"/>
  <c r="AC2771" s="1"/>
  <c r="L2771"/>
  <c r="Y2770"/>
  <c r="AA2770" s="1"/>
  <c r="AC2770" s="1"/>
  <c r="X2770"/>
  <c r="V2770"/>
  <c r="T2770"/>
  <c r="R2770"/>
  <c r="P2770"/>
  <c r="N2770"/>
  <c r="L2770"/>
  <c r="Z2769"/>
  <c r="Y2769"/>
  <c r="AA2769" s="1"/>
  <c r="AC2769" s="1"/>
  <c r="N2769"/>
  <c r="Y2768"/>
  <c r="AA2768" s="1"/>
  <c r="AC2768" s="1"/>
  <c r="T2768"/>
  <c r="R2768"/>
  <c r="Z2768" s="1"/>
  <c r="P2768"/>
  <c r="L2768"/>
  <c r="AB2767"/>
  <c r="AD2767" s="1"/>
  <c r="Z2767"/>
  <c r="Y2767"/>
  <c r="AA2767" s="1"/>
  <c r="AC2767" s="1"/>
  <c r="L2767"/>
  <c r="AB2766"/>
  <c r="Z2766"/>
  <c r="Y2766"/>
  <c r="AA2766" s="1"/>
  <c r="AC2766" s="1"/>
  <c r="L2766"/>
  <c r="L2765" s="1"/>
  <c r="Y2765"/>
  <c r="AA2765" s="1"/>
  <c r="AC2765" s="1"/>
  <c r="X2765"/>
  <c r="V2765"/>
  <c r="T2765"/>
  <c r="R2765"/>
  <c r="P2765"/>
  <c r="N2765"/>
  <c r="Z2764"/>
  <c r="AB2764" s="1"/>
  <c r="AD2764" s="1"/>
  <c r="Y2764"/>
  <c r="AA2764" s="1"/>
  <c r="AC2764" s="1"/>
  <c r="Y2763"/>
  <c r="AA2763" s="1"/>
  <c r="AC2763" s="1"/>
  <c r="X2763"/>
  <c r="V2763"/>
  <c r="T2763"/>
  <c r="R2763"/>
  <c r="P2763"/>
  <c r="N2763"/>
  <c r="L2763"/>
  <c r="Z2762"/>
  <c r="AB2762" s="1"/>
  <c r="AD2762" s="1"/>
  <c r="Y2762"/>
  <c r="AA2762" s="1"/>
  <c r="AC2762" s="1"/>
  <c r="Z2761"/>
  <c r="AB2761" s="1"/>
  <c r="AD2761" s="1"/>
  <c r="Y2761"/>
  <c r="AA2761" s="1"/>
  <c r="AC2761" s="1"/>
  <c r="AA2760"/>
  <c r="AC2760" s="1"/>
  <c r="Z2760"/>
  <c r="AB2760" s="1"/>
  <c r="AD2760" s="1"/>
  <c r="Y2760"/>
  <c r="Z2759"/>
  <c r="AB2759" s="1"/>
  <c r="AD2759" s="1"/>
  <c r="Y2759"/>
  <c r="AA2759" s="1"/>
  <c r="AC2759" s="1"/>
  <c r="Z2758"/>
  <c r="AB2758" s="1"/>
  <c r="AD2758" s="1"/>
  <c r="Y2758"/>
  <c r="AA2758" s="1"/>
  <c r="AC2758" s="1"/>
  <c r="Z2757"/>
  <c r="AB2757" s="1"/>
  <c r="AD2757" s="1"/>
  <c r="Y2757"/>
  <c r="AA2757" s="1"/>
  <c r="AC2757" s="1"/>
  <c r="AA2756"/>
  <c r="AC2756" s="1"/>
  <c r="Y2756"/>
  <c r="X2756"/>
  <c r="V2756"/>
  <c r="T2756"/>
  <c r="R2756"/>
  <c r="P2756"/>
  <c r="N2756"/>
  <c r="L2756"/>
  <c r="Z2755"/>
  <c r="Y2755"/>
  <c r="AA2755" s="1"/>
  <c r="AC2755" s="1"/>
  <c r="N2755"/>
  <c r="N2743" s="1"/>
  <c r="Z2754"/>
  <c r="AB2754" s="1"/>
  <c r="AD2754" s="1"/>
  <c r="Y2754"/>
  <c r="AA2754" s="1"/>
  <c r="AC2754" s="1"/>
  <c r="AB2753"/>
  <c r="AD2753" s="1"/>
  <c r="Z2753"/>
  <c r="Y2753"/>
  <c r="AA2753" s="1"/>
  <c r="AC2753" s="1"/>
  <c r="AA2752"/>
  <c r="AC2752" s="1"/>
  <c r="Z2752"/>
  <c r="AB2752" s="1"/>
  <c r="AD2752" s="1"/>
  <c r="Y2752"/>
  <c r="Z2751"/>
  <c r="AB2751" s="1"/>
  <c r="AD2751" s="1"/>
  <c r="Y2751"/>
  <c r="AA2751" s="1"/>
  <c r="AC2751" s="1"/>
  <c r="Z2750"/>
  <c r="AB2750" s="1"/>
  <c r="AD2750" s="1"/>
  <c r="Y2750"/>
  <c r="AA2750" s="1"/>
  <c r="AC2750" s="1"/>
  <c r="AB2749"/>
  <c r="AD2749" s="1"/>
  <c r="Z2749"/>
  <c r="Y2749"/>
  <c r="AA2749" s="1"/>
  <c r="AC2749" s="1"/>
  <c r="AA2748"/>
  <c r="AC2748" s="1"/>
  <c r="Z2748"/>
  <c r="AB2748" s="1"/>
  <c r="AD2748" s="1"/>
  <c r="Y2748"/>
  <c r="Z2747"/>
  <c r="AB2747" s="1"/>
  <c r="AD2747" s="1"/>
  <c r="Y2747"/>
  <c r="AA2747" s="1"/>
  <c r="AC2747" s="1"/>
  <c r="Z2746"/>
  <c r="AB2746" s="1"/>
  <c r="AD2746" s="1"/>
  <c r="Y2746"/>
  <c r="AA2746" s="1"/>
  <c r="AC2746" s="1"/>
  <c r="AB2745"/>
  <c r="AD2745" s="1"/>
  <c r="Z2745"/>
  <c r="Y2745"/>
  <c r="AA2745" s="1"/>
  <c r="AC2745" s="1"/>
  <c r="AA2744"/>
  <c r="AC2744" s="1"/>
  <c r="Z2744"/>
  <c r="AB2744" s="1"/>
  <c r="AD2744" s="1"/>
  <c r="Y2744"/>
  <c r="Y2743"/>
  <c r="AA2743" s="1"/>
  <c r="AC2743" s="1"/>
  <c r="X2743"/>
  <c r="V2743"/>
  <c r="T2743"/>
  <c r="R2743"/>
  <c r="P2743"/>
  <c r="L2743"/>
  <c r="Z2739"/>
  <c r="AB2739" s="1"/>
  <c r="AD2739" s="1"/>
  <c r="Y2739"/>
  <c r="AA2739" s="1"/>
  <c r="AC2739" s="1"/>
  <c r="AB2738"/>
  <c r="AD2738" s="1"/>
  <c r="Z2738"/>
  <c r="Y2738"/>
  <c r="AA2738" s="1"/>
  <c r="AC2738" s="1"/>
  <c r="AA2737"/>
  <c r="AC2737" s="1"/>
  <c r="Z2737"/>
  <c r="AB2737" s="1"/>
  <c r="AD2737" s="1"/>
  <c r="Y2737"/>
  <c r="Z2736"/>
  <c r="AB2736" s="1"/>
  <c r="AD2736" s="1"/>
  <c r="Y2736"/>
  <c r="AA2736" s="1"/>
  <c r="AC2736" s="1"/>
  <c r="Z2735"/>
  <c r="AB2735" s="1"/>
  <c r="AD2735" s="1"/>
  <c r="Y2735"/>
  <c r="AA2735" s="1"/>
  <c r="AC2735" s="1"/>
  <c r="AB2734"/>
  <c r="AD2734" s="1"/>
  <c r="Z2734"/>
  <c r="Y2734"/>
  <c r="AA2734" s="1"/>
  <c r="AC2734" s="1"/>
  <c r="AA2733"/>
  <c r="AC2733" s="1"/>
  <c r="Z2733"/>
  <c r="AB2733" s="1"/>
  <c r="AD2733" s="1"/>
  <c r="Y2733"/>
  <c r="Y2732"/>
  <c r="AA2732" s="1"/>
  <c r="AC2732" s="1"/>
  <c r="X2732"/>
  <c r="V2732"/>
  <c r="T2732"/>
  <c r="R2732"/>
  <c r="P2732"/>
  <c r="N2732"/>
  <c r="L2732"/>
  <c r="AC2731"/>
  <c r="Z2731"/>
  <c r="AB2731" s="1"/>
  <c r="AD2731" s="1"/>
  <c r="Y2731"/>
  <c r="AA2731" s="1"/>
  <c r="AA2730"/>
  <c r="AC2730" s="1"/>
  <c r="Z2730"/>
  <c r="AB2730" s="1"/>
  <c r="Y2730"/>
  <c r="L2730"/>
  <c r="L2729" s="1"/>
  <c r="Y2729"/>
  <c r="AA2729" s="1"/>
  <c r="AC2729" s="1"/>
  <c r="X2729"/>
  <c r="V2729"/>
  <c r="T2729"/>
  <c r="R2729"/>
  <c r="P2729"/>
  <c r="N2729"/>
  <c r="AB2728"/>
  <c r="AD2728" s="1"/>
  <c r="AA2728"/>
  <c r="AC2728" s="1"/>
  <c r="Z2728"/>
  <c r="Y2728"/>
  <c r="Y2727"/>
  <c r="AA2727" s="1"/>
  <c r="AC2727" s="1"/>
  <c r="X2727"/>
  <c r="V2727"/>
  <c r="T2727"/>
  <c r="R2727"/>
  <c r="Z2727" s="1"/>
  <c r="P2727"/>
  <c r="N2727"/>
  <c r="L2727"/>
  <c r="AA2726"/>
  <c r="AC2726" s="1"/>
  <c r="Z2726"/>
  <c r="AB2726" s="1"/>
  <c r="AD2726" s="1"/>
  <c r="Y2726"/>
  <c r="Y2725"/>
  <c r="AA2725" s="1"/>
  <c r="AC2725" s="1"/>
  <c r="X2725"/>
  <c r="V2725"/>
  <c r="T2725"/>
  <c r="R2725"/>
  <c r="P2725"/>
  <c r="N2725"/>
  <c r="L2725"/>
  <c r="Z2724"/>
  <c r="AB2724" s="1"/>
  <c r="AD2724" s="1"/>
  <c r="Y2724"/>
  <c r="AA2724" s="1"/>
  <c r="AC2724" s="1"/>
  <c r="Y2723"/>
  <c r="AA2723" s="1"/>
  <c r="AC2723" s="1"/>
  <c r="X2723"/>
  <c r="V2723"/>
  <c r="T2723"/>
  <c r="R2723"/>
  <c r="P2723"/>
  <c r="N2723"/>
  <c r="L2723"/>
  <c r="AC2722"/>
  <c r="AB2722"/>
  <c r="AD2722" s="1"/>
  <c r="Z2722"/>
  <c r="Y2722"/>
  <c r="AA2722" s="1"/>
  <c r="AA2721"/>
  <c r="AC2721" s="1"/>
  <c r="Y2721"/>
  <c r="X2721"/>
  <c r="V2721"/>
  <c r="T2721"/>
  <c r="Z2721" s="1"/>
  <c r="R2721"/>
  <c r="P2721"/>
  <c r="N2721"/>
  <c r="L2721"/>
  <c r="AB2720"/>
  <c r="AD2720" s="1"/>
  <c r="Z2720"/>
  <c r="Y2720"/>
  <c r="AA2720" s="1"/>
  <c r="AC2720" s="1"/>
  <c r="Y2719"/>
  <c r="AA2719" s="1"/>
  <c r="AC2719" s="1"/>
  <c r="X2719"/>
  <c r="V2719"/>
  <c r="T2719"/>
  <c r="R2719"/>
  <c r="P2719"/>
  <c r="N2719"/>
  <c r="L2719"/>
  <c r="AD2718"/>
  <c r="Z2718"/>
  <c r="AB2718" s="1"/>
  <c r="Y2718"/>
  <c r="AA2718" s="1"/>
  <c r="AC2718" s="1"/>
  <c r="AC2717"/>
  <c r="Y2717"/>
  <c r="AA2717" s="1"/>
  <c r="X2717"/>
  <c r="V2717"/>
  <c r="T2717"/>
  <c r="R2717"/>
  <c r="P2717"/>
  <c r="N2717"/>
  <c r="L2717"/>
  <c r="Z2716"/>
  <c r="AB2716" s="1"/>
  <c r="AD2716" s="1"/>
  <c r="Y2716"/>
  <c r="AA2716" s="1"/>
  <c r="AC2716" s="1"/>
  <c r="AA2715"/>
  <c r="AC2715" s="1"/>
  <c r="Y2715"/>
  <c r="X2715"/>
  <c r="V2715"/>
  <c r="T2715"/>
  <c r="R2715"/>
  <c r="P2715"/>
  <c r="N2715"/>
  <c r="L2715"/>
  <c r="Z2714"/>
  <c r="AB2714" s="1"/>
  <c r="AD2714" s="1"/>
  <c r="Y2714"/>
  <c r="AA2714" s="1"/>
  <c r="AC2714" s="1"/>
  <c r="AA2713"/>
  <c r="AC2713" s="1"/>
  <c r="Y2713"/>
  <c r="X2713"/>
  <c r="V2713"/>
  <c r="T2713"/>
  <c r="R2713"/>
  <c r="P2713"/>
  <c r="N2713"/>
  <c r="L2713"/>
  <c r="Z2712"/>
  <c r="AB2712" s="1"/>
  <c r="AD2712" s="1"/>
  <c r="Y2712"/>
  <c r="AA2712" s="1"/>
  <c r="AC2712" s="1"/>
  <c r="Z2711"/>
  <c r="AB2711" s="1"/>
  <c r="AD2711" s="1"/>
  <c r="Y2711"/>
  <c r="AA2711" s="1"/>
  <c r="AC2711" s="1"/>
  <c r="Z2710"/>
  <c r="AB2710" s="1"/>
  <c r="AD2710" s="1"/>
  <c r="Y2710"/>
  <c r="AA2710" s="1"/>
  <c r="AC2710" s="1"/>
  <c r="Z2709"/>
  <c r="AB2709" s="1"/>
  <c r="AD2709" s="1"/>
  <c r="Y2709"/>
  <c r="AA2709" s="1"/>
  <c r="AC2709" s="1"/>
  <c r="Z2708"/>
  <c r="AB2708" s="1"/>
  <c r="AD2708" s="1"/>
  <c r="Y2708"/>
  <c r="AA2708" s="1"/>
  <c r="AC2708" s="1"/>
  <c r="Z2707"/>
  <c r="AB2707" s="1"/>
  <c r="AD2707" s="1"/>
  <c r="Y2707"/>
  <c r="AA2707" s="1"/>
  <c r="AC2707" s="1"/>
  <c r="Z2706"/>
  <c r="AB2706" s="1"/>
  <c r="AD2706" s="1"/>
  <c r="Y2706"/>
  <c r="AA2706" s="1"/>
  <c r="AC2706" s="1"/>
  <c r="Z2705"/>
  <c r="AB2705" s="1"/>
  <c r="AD2705" s="1"/>
  <c r="Y2705"/>
  <c r="AA2705" s="1"/>
  <c r="AC2705" s="1"/>
  <c r="Y2704"/>
  <c r="AA2704" s="1"/>
  <c r="AC2704" s="1"/>
  <c r="X2704"/>
  <c r="X2691" s="1"/>
  <c r="V2704"/>
  <c r="T2704"/>
  <c r="R2704"/>
  <c r="P2704"/>
  <c r="N2704"/>
  <c r="L2704"/>
  <c r="Z2703"/>
  <c r="AB2703" s="1"/>
  <c r="AD2703" s="1"/>
  <c r="Y2703"/>
  <c r="AA2703" s="1"/>
  <c r="AC2703" s="1"/>
  <c r="Z2702"/>
  <c r="AB2702" s="1"/>
  <c r="AD2702" s="1"/>
  <c r="Y2702"/>
  <c r="AA2702" s="1"/>
  <c r="AC2702" s="1"/>
  <c r="AB2701"/>
  <c r="AD2701" s="1"/>
  <c r="Z2701"/>
  <c r="Y2701"/>
  <c r="AA2701" s="1"/>
  <c r="AC2701" s="1"/>
  <c r="AA2700"/>
  <c r="AC2700" s="1"/>
  <c r="Z2700"/>
  <c r="AB2700" s="1"/>
  <c r="AD2700" s="1"/>
  <c r="Y2700"/>
  <c r="Z2699"/>
  <c r="AB2699" s="1"/>
  <c r="AD2699" s="1"/>
  <c r="Y2699"/>
  <c r="AA2699" s="1"/>
  <c r="AC2699" s="1"/>
  <c r="Z2698"/>
  <c r="AB2698" s="1"/>
  <c r="AD2698" s="1"/>
  <c r="Y2698"/>
  <c r="AA2698" s="1"/>
  <c r="AC2698" s="1"/>
  <c r="AB2697"/>
  <c r="AD2697" s="1"/>
  <c r="Z2697"/>
  <c r="Y2697"/>
  <c r="AA2697" s="1"/>
  <c r="AC2697" s="1"/>
  <c r="AA2696"/>
  <c r="AC2696" s="1"/>
  <c r="Z2696"/>
  <c r="AB2696" s="1"/>
  <c r="AD2696" s="1"/>
  <c r="Y2696"/>
  <c r="Z2695"/>
  <c r="AB2695" s="1"/>
  <c r="AD2695" s="1"/>
  <c r="Y2695"/>
  <c r="AA2695" s="1"/>
  <c r="AC2695" s="1"/>
  <c r="Z2694"/>
  <c r="AB2694" s="1"/>
  <c r="AD2694" s="1"/>
  <c r="Y2694"/>
  <c r="AA2694" s="1"/>
  <c r="AC2694" s="1"/>
  <c r="AB2693"/>
  <c r="AD2693" s="1"/>
  <c r="Z2693"/>
  <c r="Y2693"/>
  <c r="AA2693" s="1"/>
  <c r="AC2693" s="1"/>
  <c r="Y2692"/>
  <c r="AA2692" s="1"/>
  <c r="AC2692" s="1"/>
  <c r="X2692"/>
  <c r="V2692"/>
  <c r="T2692"/>
  <c r="R2692"/>
  <c r="P2692"/>
  <c r="N2692"/>
  <c r="N2691" s="1"/>
  <c r="L2692"/>
  <c r="AC2688"/>
  <c r="AB2688"/>
  <c r="AD2688" s="1"/>
  <c r="Z2688"/>
  <c r="Y2688"/>
  <c r="AA2688" s="1"/>
  <c r="L2688"/>
  <c r="L2687" s="1"/>
  <c r="AA2687"/>
  <c r="AC2687" s="1"/>
  <c r="Y2687"/>
  <c r="X2687"/>
  <c r="V2687"/>
  <c r="T2687"/>
  <c r="R2687"/>
  <c r="P2687"/>
  <c r="N2687"/>
  <c r="AB2686"/>
  <c r="AD2686" s="1"/>
  <c r="Z2686"/>
  <c r="Y2686"/>
  <c r="AA2686" s="1"/>
  <c r="AC2686" s="1"/>
  <c r="Y2685"/>
  <c r="AA2685" s="1"/>
  <c r="AC2685" s="1"/>
  <c r="X2685"/>
  <c r="V2685"/>
  <c r="T2685"/>
  <c r="R2685"/>
  <c r="P2685"/>
  <c r="N2685"/>
  <c r="L2685"/>
  <c r="AB2684"/>
  <c r="AD2684" s="1"/>
  <c r="AA2684"/>
  <c r="AC2684" s="1"/>
  <c r="Z2684"/>
  <c r="Y2684"/>
  <c r="AD2683"/>
  <c r="AC2683"/>
  <c r="Z2683"/>
  <c r="AB2683" s="1"/>
  <c r="Y2683"/>
  <c r="AA2683" s="1"/>
  <c r="AB2682"/>
  <c r="AD2682" s="1"/>
  <c r="AA2682"/>
  <c r="AC2682" s="1"/>
  <c r="Z2682"/>
  <c r="Y2682"/>
  <c r="AD2681"/>
  <c r="AC2681"/>
  <c r="Z2681"/>
  <c r="AB2681" s="1"/>
  <c r="Y2681"/>
  <c r="AA2681" s="1"/>
  <c r="AB2680"/>
  <c r="AD2680" s="1"/>
  <c r="AA2680"/>
  <c r="AC2680" s="1"/>
  <c r="Z2680"/>
  <c r="Y2680"/>
  <c r="AC2679"/>
  <c r="Y2679"/>
  <c r="AA2679" s="1"/>
  <c r="X2679"/>
  <c r="V2679"/>
  <c r="T2679"/>
  <c r="R2679"/>
  <c r="P2679"/>
  <c r="N2679"/>
  <c r="L2679"/>
  <c r="AA2678"/>
  <c r="AC2678" s="1"/>
  <c r="Z2678"/>
  <c r="AB2678" s="1"/>
  <c r="AD2678" s="1"/>
  <c r="Y2678"/>
  <c r="AA2677"/>
  <c r="Y2677"/>
  <c r="X2677"/>
  <c r="V2677"/>
  <c r="T2677"/>
  <c r="R2677"/>
  <c r="P2677"/>
  <c r="N2677"/>
  <c r="L2677"/>
  <c r="AB2676"/>
  <c r="AD2676" s="1"/>
  <c r="Z2676"/>
  <c r="Y2676"/>
  <c r="AA2676" s="1"/>
  <c r="AC2676" s="1"/>
  <c r="AA2675"/>
  <c r="AC2675" s="1"/>
  <c r="Y2675"/>
  <c r="X2675"/>
  <c r="V2675"/>
  <c r="T2675"/>
  <c r="Z2675" s="1"/>
  <c r="R2675"/>
  <c r="P2675"/>
  <c r="N2675"/>
  <c r="L2675"/>
  <c r="AB2674"/>
  <c r="AD2674" s="1"/>
  <c r="Z2674"/>
  <c r="Y2674"/>
  <c r="AA2674" s="1"/>
  <c r="AC2674" s="1"/>
  <c r="AC2673"/>
  <c r="Y2673"/>
  <c r="AA2673" s="1"/>
  <c r="X2673"/>
  <c r="V2673"/>
  <c r="T2673"/>
  <c r="R2673"/>
  <c r="P2673"/>
  <c r="N2673"/>
  <c r="L2673"/>
  <c r="Z2672"/>
  <c r="AB2672" s="1"/>
  <c r="Y2672"/>
  <c r="AA2672" s="1"/>
  <c r="AC2672" s="1"/>
  <c r="L2672"/>
  <c r="L2671" s="1"/>
  <c r="Y2671"/>
  <c r="AA2671" s="1"/>
  <c r="AC2671" s="1"/>
  <c r="X2671"/>
  <c r="V2671"/>
  <c r="T2671"/>
  <c r="R2671"/>
  <c r="P2671"/>
  <c r="N2671"/>
  <c r="Z2670"/>
  <c r="AB2670" s="1"/>
  <c r="AD2670" s="1"/>
  <c r="Y2670"/>
  <c r="AA2670" s="1"/>
  <c r="AC2670" s="1"/>
  <c r="Z2669"/>
  <c r="AB2669" s="1"/>
  <c r="AD2669" s="1"/>
  <c r="Y2669"/>
  <c r="AA2669" s="1"/>
  <c r="AC2669" s="1"/>
  <c r="Y2668"/>
  <c r="AA2668" s="1"/>
  <c r="AC2668" s="1"/>
  <c r="X2668"/>
  <c r="V2668"/>
  <c r="T2668"/>
  <c r="R2668"/>
  <c r="P2668"/>
  <c r="N2668"/>
  <c r="L2668"/>
  <c r="AA2667"/>
  <c r="AC2667" s="1"/>
  <c r="Z2667"/>
  <c r="AB2667" s="1"/>
  <c r="AD2667" s="1"/>
  <c r="Y2667"/>
  <c r="Y2666"/>
  <c r="AA2666" s="1"/>
  <c r="AC2666" s="1"/>
  <c r="T2666"/>
  <c r="R2666"/>
  <c r="Z2666" s="1"/>
  <c r="P2666"/>
  <c r="N2666"/>
  <c r="L2666"/>
  <c r="Z2665"/>
  <c r="AB2665" s="1"/>
  <c r="AD2665" s="1"/>
  <c r="Y2665"/>
  <c r="AA2665" s="1"/>
  <c r="AC2665" s="1"/>
  <c r="Y2664"/>
  <c r="AA2664" s="1"/>
  <c r="AC2664" s="1"/>
  <c r="X2664"/>
  <c r="V2664"/>
  <c r="T2664"/>
  <c r="R2664"/>
  <c r="P2664"/>
  <c r="N2664"/>
  <c r="L2664"/>
  <c r="AA2663"/>
  <c r="AC2663" s="1"/>
  <c r="Z2663"/>
  <c r="AB2663" s="1"/>
  <c r="Y2663"/>
  <c r="L2663"/>
  <c r="Y2662"/>
  <c r="AA2662" s="1"/>
  <c r="AC2662" s="1"/>
  <c r="X2662"/>
  <c r="V2662"/>
  <c r="T2662"/>
  <c r="R2662"/>
  <c r="P2662"/>
  <c r="N2662"/>
  <c r="L2662"/>
  <c r="AB2661"/>
  <c r="Z2661"/>
  <c r="Y2661"/>
  <c r="AA2661" s="1"/>
  <c r="AC2661" s="1"/>
  <c r="L2661"/>
  <c r="Z2660"/>
  <c r="AB2660" s="1"/>
  <c r="Y2660"/>
  <c r="AA2660" s="1"/>
  <c r="AC2660" s="1"/>
  <c r="L2660"/>
  <c r="L2659" s="1"/>
  <c r="Y2659"/>
  <c r="AA2659" s="1"/>
  <c r="AC2659" s="1"/>
  <c r="X2659"/>
  <c r="V2659"/>
  <c r="T2659"/>
  <c r="R2659"/>
  <c r="P2659"/>
  <c r="N2659"/>
  <c r="Z2658"/>
  <c r="AB2658" s="1"/>
  <c r="AD2658" s="1"/>
  <c r="Y2658"/>
  <c r="AA2658" s="1"/>
  <c r="AC2658" s="1"/>
  <c r="Y2657"/>
  <c r="AA2657" s="1"/>
  <c r="AC2657" s="1"/>
  <c r="X2657"/>
  <c r="V2657"/>
  <c r="T2657"/>
  <c r="R2657"/>
  <c r="P2657"/>
  <c r="N2657"/>
  <c r="L2657"/>
  <c r="Z2656"/>
  <c r="Y2656"/>
  <c r="AA2656" s="1"/>
  <c r="AC2656" s="1"/>
  <c r="N2656"/>
  <c r="Y2655"/>
  <c r="AA2655" s="1"/>
  <c r="AC2655" s="1"/>
  <c r="T2655"/>
  <c r="R2655"/>
  <c r="R2647" s="1"/>
  <c r="P2655"/>
  <c r="L2655"/>
  <c r="AB2654"/>
  <c r="AD2654" s="1"/>
  <c r="AA2654"/>
  <c r="AC2654" s="1"/>
  <c r="Z2654"/>
  <c r="Y2654"/>
  <c r="Z2653"/>
  <c r="AB2653" s="1"/>
  <c r="AD2653" s="1"/>
  <c r="Y2653"/>
  <c r="AA2653" s="1"/>
  <c r="AC2653" s="1"/>
  <c r="Z2652"/>
  <c r="AB2652" s="1"/>
  <c r="AD2652" s="1"/>
  <c r="Y2652"/>
  <c r="AA2652" s="1"/>
  <c r="AC2652" s="1"/>
  <c r="Z2651"/>
  <c r="AB2651" s="1"/>
  <c r="AD2651" s="1"/>
  <c r="Y2651"/>
  <c r="AA2651" s="1"/>
  <c r="AC2651" s="1"/>
  <c r="AB2650"/>
  <c r="AD2650" s="1"/>
  <c r="AA2650"/>
  <c r="AC2650" s="1"/>
  <c r="Z2650"/>
  <c r="Y2650"/>
  <c r="Z2649"/>
  <c r="AB2649" s="1"/>
  <c r="AD2649" s="1"/>
  <c r="Y2649"/>
  <c r="AA2649" s="1"/>
  <c r="AC2649" s="1"/>
  <c r="Z2648"/>
  <c r="AB2648" s="1"/>
  <c r="Y2648"/>
  <c r="AA2648" s="1"/>
  <c r="AC2648" s="1"/>
  <c r="L2648"/>
  <c r="Y2647"/>
  <c r="AA2647" s="1"/>
  <c r="AC2647" s="1"/>
  <c r="X2647"/>
  <c r="V2647"/>
  <c r="T2647"/>
  <c r="P2647"/>
  <c r="N2647"/>
  <c r="L2647"/>
  <c r="AB2646"/>
  <c r="AA2646"/>
  <c r="AC2646" s="1"/>
  <c r="Z2646"/>
  <c r="Y2646"/>
  <c r="L2646"/>
  <c r="L2634" s="1"/>
  <c r="AA2645"/>
  <c r="AC2645" s="1"/>
  <c r="Z2645"/>
  <c r="AB2645" s="1"/>
  <c r="AD2645" s="1"/>
  <c r="Y2645"/>
  <c r="AC2644"/>
  <c r="AB2644"/>
  <c r="AD2644" s="1"/>
  <c r="Z2644"/>
  <c r="Y2644"/>
  <c r="AA2644" s="1"/>
  <c r="AA2643"/>
  <c r="AC2643" s="1"/>
  <c r="Z2643"/>
  <c r="AB2643" s="1"/>
  <c r="AD2643" s="1"/>
  <c r="Y2643"/>
  <c r="AB2642"/>
  <c r="AD2642" s="1"/>
  <c r="Z2642"/>
  <c r="Y2642"/>
  <c r="AA2642" s="1"/>
  <c r="AC2642" s="1"/>
  <c r="Z2641"/>
  <c r="AB2641" s="1"/>
  <c r="AD2641" s="1"/>
  <c r="Y2641"/>
  <c r="AA2641" s="1"/>
  <c r="AC2641" s="1"/>
  <c r="Z2640"/>
  <c r="AB2640" s="1"/>
  <c r="AD2640" s="1"/>
  <c r="Y2640"/>
  <c r="AA2640" s="1"/>
  <c r="AC2640" s="1"/>
  <c r="Z2639"/>
  <c r="AB2639" s="1"/>
  <c r="AD2639" s="1"/>
  <c r="Y2639"/>
  <c r="AA2639" s="1"/>
  <c r="AC2639" s="1"/>
  <c r="Z2638"/>
  <c r="AB2638" s="1"/>
  <c r="AD2638" s="1"/>
  <c r="Y2638"/>
  <c r="AA2638" s="1"/>
  <c r="AC2638" s="1"/>
  <c r="AA2637"/>
  <c r="AC2637" s="1"/>
  <c r="Z2637"/>
  <c r="AB2637" s="1"/>
  <c r="AD2637" s="1"/>
  <c r="Y2637"/>
  <c r="AC2636"/>
  <c r="AB2636"/>
  <c r="AD2636" s="1"/>
  <c r="Z2636"/>
  <c r="Y2636"/>
  <c r="AA2636" s="1"/>
  <c r="AA2635"/>
  <c r="AC2635" s="1"/>
  <c r="Z2635"/>
  <c r="AB2635" s="1"/>
  <c r="AD2635" s="1"/>
  <c r="Y2635"/>
  <c r="Y2634"/>
  <c r="AA2634" s="1"/>
  <c r="AC2634" s="1"/>
  <c r="X2634"/>
  <c r="V2634"/>
  <c r="T2634"/>
  <c r="R2634"/>
  <c r="P2634"/>
  <c r="N2634"/>
  <c r="AD2632"/>
  <c r="AC2632"/>
  <c r="AC2630"/>
  <c r="AB2630"/>
  <c r="AD2630" s="1"/>
  <c r="Z2630"/>
  <c r="Y2630"/>
  <c r="AA2630" s="1"/>
  <c r="AA2629"/>
  <c r="AC2629" s="1"/>
  <c r="Z2629"/>
  <c r="AB2629" s="1"/>
  <c r="AD2629" s="1"/>
  <c r="Y2629"/>
  <c r="AC2628"/>
  <c r="AB2628"/>
  <c r="AD2628" s="1"/>
  <c r="Z2628"/>
  <c r="Y2628"/>
  <c r="AA2628" s="1"/>
  <c r="Z2627"/>
  <c r="AB2627" s="1"/>
  <c r="AD2627" s="1"/>
  <c r="Y2627"/>
  <c r="AA2627" s="1"/>
  <c r="AC2627" s="1"/>
  <c r="Z2626"/>
  <c r="AB2626" s="1"/>
  <c r="AD2626" s="1"/>
  <c r="Y2626"/>
  <c r="AA2626" s="1"/>
  <c r="AC2626" s="1"/>
  <c r="Z2625"/>
  <c r="AB2625" s="1"/>
  <c r="AD2625" s="1"/>
  <c r="Y2625"/>
  <c r="AA2625" s="1"/>
  <c r="AC2625" s="1"/>
  <c r="Y2624"/>
  <c r="AA2624" s="1"/>
  <c r="AC2624" s="1"/>
  <c r="X2624"/>
  <c r="V2624"/>
  <c r="T2624"/>
  <c r="R2624"/>
  <c r="P2624"/>
  <c r="N2624"/>
  <c r="L2624"/>
  <c r="AD2623"/>
  <c r="Z2623"/>
  <c r="AB2623" s="1"/>
  <c r="Y2623"/>
  <c r="AA2623" s="1"/>
  <c r="AC2623" s="1"/>
  <c r="AA2622"/>
  <c r="AC2622" s="1"/>
  <c r="Y2622"/>
  <c r="X2622"/>
  <c r="V2622"/>
  <c r="T2622"/>
  <c r="R2622"/>
  <c r="P2622"/>
  <c r="N2622"/>
  <c r="L2622"/>
  <c r="AC2621"/>
  <c r="Z2621"/>
  <c r="AB2621" s="1"/>
  <c r="AD2621" s="1"/>
  <c r="Y2621"/>
  <c r="AA2621" s="1"/>
  <c r="AC2620"/>
  <c r="Y2620"/>
  <c r="AA2620" s="1"/>
  <c r="X2620"/>
  <c r="V2620"/>
  <c r="T2620"/>
  <c r="R2620"/>
  <c r="P2620"/>
  <c r="N2620"/>
  <c r="L2620"/>
  <c r="AA2619"/>
  <c r="AC2619" s="1"/>
  <c r="Z2619"/>
  <c r="AB2619" s="1"/>
  <c r="Y2619"/>
  <c r="L2619"/>
  <c r="Y2618"/>
  <c r="AA2618" s="1"/>
  <c r="AC2618" s="1"/>
  <c r="X2618"/>
  <c r="V2618"/>
  <c r="T2618"/>
  <c r="R2618"/>
  <c r="P2618"/>
  <c r="N2618"/>
  <c r="L2618"/>
  <c r="AA2617"/>
  <c r="AC2617" s="1"/>
  <c r="Z2617"/>
  <c r="AB2617" s="1"/>
  <c r="AD2617" s="1"/>
  <c r="Y2617"/>
  <c r="Y2616"/>
  <c r="AA2616" s="1"/>
  <c r="AC2616" s="1"/>
  <c r="X2616"/>
  <c r="V2616"/>
  <c r="T2616"/>
  <c r="R2616"/>
  <c r="P2616"/>
  <c r="N2616"/>
  <c r="L2616"/>
  <c r="AA2615"/>
  <c r="AC2615" s="1"/>
  <c r="Z2615"/>
  <c r="AB2615" s="1"/>
  <c r="AD2615" s="1"/>
  <c r="Y2615"/>
  <c r="Y2614"/>
  <c r="AA2614" s="1"/>
  <c r="AC2614" s="1"/>
  <c r="X2614"/>
  <c r="V2614"/>
  <c r="T2614"/>
  <c r="R2614"/>
  <c r="P2614"/>
  <c r="N2614"/>
  <c r="L2614"/>
  <c r="AC2613"/>
  <c r="Z2613"/>
  <c r="AB2613" s="1"/>
  <c r="AD2613" s="1"/>
  <c r="Y2613"/>
  <c r="AA2613" s="1"/>
  <c r="Y2612"/>
  <c r="AA2612" s="1"/>
  <c r="AC2612" s="1"/>
  <c r="X2612"/>
  <c r="V2612"/>
  <c r="T2612"/>
  <c r="R2612"/>
  <c r="P2612"/>
  <c r="N2612"/>
  <c r="L2612"/>
  <c r="AC2611"/>
  <c r="AB2611"/>
  <c r="Z2611"/>
  <c r="Y2611"/>
  <c r="AA2611" s="1"/>
  <c r="L2611"/>
  <c r="L2610" s="1"/>
  <c r="AA2610"/>
  <c r="AC2610" s="1"/>
  <c r="Y2610"/>
  <c r="X2610"/>
  <c r="V2610"/>
  <c r="T2610"/>
  <c r="R2610"/>
  <c r="P2610"/>
  <c r="N2610"/>
  <c r="AB2609"/>
  <c r="Z2609"/>
  <c r="Y2609"/>
  <c r="AA2609" s="1"/>
  <c r="AC2609" s="1"/>
  <c r="L2609"/>
  <c r="AB2608"/>
  <c r="Z2608"/>
  <c r="Y2608"/>
  <c r="AA2608" s="1"/>
  <c r="AC2608" s="1"/>
  <c r="L2608"/>
  <c r="Z2607"/>
  <c r="AB2607" s="1"/>
  <c r="AD2607" s="1"/>
  <c r="Y2607"/>
  <c r="AA2607" s="1"/>
  <c r="AC2607" s="1"/>
  <c r="L2607"/>
  <c r="Y2606"/>
  <c r="AA2606" s="1"/>
  <c r="AC2606" s="1"/>
  <c r="X2606"/>
  <c r="V2606"/>
  <c r="T2606"/>
  <c r="R2606"/>
  <c r="P2606"/>
  <c r="N2606"/>
  <c r="Z2605"/>
  <c r="AB2605" s="1"/>
  <c r="AD2605" s="1"/>
  <c r="Y2605"/>
  <c r="AA2605" s="1"/>
  <c r="AC2605" s="1"/>
  <c r="L2605"/>
  <c r="Z2604"/>
  <c r="AB2604" s="1"/>
  <c r="AD2604" s="1"/>
  <c r="Y2604"/>
  <c r="AA2604" s="1"/>
  <c r="AC2604" s="1"/>
  <c r="L2604"/>
  <c r="Z2603"/>
  <c r="AB2603" s="1"/>
  <c r="Y2603"/>
  <c r="AA2603" s="1"/>
  <c r="AC2603" s="1"/>
  <c r="L2603"/>
  <c r="AA2602"/>
  <c r="AC2602" s="1"/>
  <c r="Z2602"/>
  <c r="AB2602" s="1"/>
  <c r="AD2602" s="1"/>
  <c r="Y2602"/>
  <c r="Y2601"/>
  <c r="AA2601" s="1"/>
  <c r="AC2601" s="1"/>
  <c r="X2601"/>
  <c r="V2601"/>
  <c r="T2601"/>
  <c r="R2601"/>
  <c r="P2601"/>
  <c r="N2601"/>
  <c r="L2601"/>
  <c r="AA2600"/>
  <c r="AC2600" s="1"/>
  <c r="Z2600"/>
  <c r="AB2600" s="1"/>
  <c r="AD2600" s="1"/>
  <c r="Y2600"/>
  <c r="Y2599"/>
  <c r="AA2599" s="1"/>
  <c r="AC2599" s="1"/>
  <c r="X2599"/>
  <c r="V2599"/>
  <c r="T2599"/>
  <c r="R2599"/>
  <c r="P2599"/>
  <c r="N2599"/>
  <c r="L2599"/>
  <c r="AC2598"/>
  <c r="Z2598"/>
  <c r="AB2598" s="1"/>
  <c r="AD2598" s="1"/>
  <c r="Y2598"/>
  <c r="AA2598" s="1"/>
  <c r="Y2597"/>
  <c r="AA2597" s="1"/>
  <c r="AC2597" s="1"/>
  <c r="X2597"/>
  <c r="V2597"/>
  <c r="T2597"/>
  <c r="R2597"/>
  <c r="P2597"/>
  <c r="N2597"/>
  <c r="L2597"/>
  <c r="Z2596"/>
  <c r="AB2596" s="1"/>
  <c r="AD2596" s="1"/>
  <c r="Y2596"/>
  <c r="AA2596" s="1"/>
  <c r="AC2596" s="1"/>
  <c r="Z2595"/>
  <c r="AB2595" s="1"/>
  <c r="AD2595" s="1"/>
  <c r="Y2595"/>
  <c r="AA2595" s="1"/>
  <c r="AC2595" s="1"/>
  <c r="Z2594"/>
  <c r="AB2594" s="1"/>
  <c r="AD2594" s="1"/>
  <c r="Y2594"/>
  <c r="AA2594" s="1"/>
  <c r="AC2594" s="1"/>
  <c r="AA2593"/>
  <c r="AC2593" s="1"/>
  <c r="Z2593"/>
  <c r="AB2593" s="1"/>
  <c r="AD2593" s="1"/>
  <c r="Y2593"/>
  <c r="AB2592"/>
  <c r="AD2592" s="1"/>
  <c r="Z2592"/>
  <c r="Y2592"/>
  <c r="AA2592" s="1"/>
  <c r="AC2592" s="1"/>
  <c r="Z2591"/>
  <c r="AB2591" s="1"/>
  <c r="AD2591" s="1"/>
  <c r="Y2591"/>
  <c r="AA2591" s="1"/>
  <c r="AC2591" s="1"/>
  <c r="AB2590"/>
  <c r="AD2590" s="1"/>
  <c r="Z2590"/>
  <c r="Y2590"/>
  <c r="AA2590" s="1"/>
  <c r="AC2590" s="1"/>
  <c r="AA2589"/>
  <c r="AC2589" s="1"/>
  <c r="Z2589"/>
  <c r="AB2589" s="1"/>
  <c r="AD2589" s="1"/>
  <c r="Y2589"/>
  <c r="Y2588"/>
  <c r="AA2588" s="1"/>
  <c r="AC2588" s="1"/>
  <c r="X2588"/>
  <c r="V2588"/>
  <c r="T2588"/>
  <c r="T2576" s="1"/>
  <c r="R2588"/>
  <c r="P2588"/>
  <c r="N2588"/>
  <c r="L2588"/>
  <c r="AD2587"/>
  <c r="AC2587"/>
  <c r="Z2587"/>
  <c r="AB2587" s="1"/>
  <c r="Y2587"/>
  <c r="AA2587" s="1"/>
  <c r="AB2586"/>
  <c r="AD2586" s="1"/>
  <c r="AA2586"/>
  <c r="AC2586" s="1"/>
  <c r="Z2586"/>
  <c r="Y2586"/>
  <c r="AD2585"/>
  <c r="AC2585"/>
  <c r="Z2585"/>
  <c r="AB2585" s="1"/>
  <c r="Y2585"/>
  <c r="AA2585" s="1"/>
  <c r="AB2584"/>
  <c r="AD2584" s="1"/>
  <c r="AA2584"/>
  <c r="AC2584" s="1"/>
  <c r="Z2584"/>
  <c r="Y2584"/>
  <c r="AD2583"/>
  <c r="AC2583"/>
  <c r="Z2583"/>
  <c r="AB2583" s="1"/>
  <c r="Y2583"/>
  <c r="AA2583" s="1"/>
  <c r="AB2582"/>
  <c r="AD2582" s="1"/>
  <c r="AA2582"/>
  <c r="AC2582" s="1"/>
  <c r="Z2582"/>
  <c r="Y2582"/>
  <c r="AD2581"/>
  <c r="AC2581"/>
  <c r="Z2581"/>
  <c r="AB2581" s="1"/>
  <c r="Y2581"/>
  <c r="AA2581" s="1"/>
  <c r="AB2580"/>
  <c r="AD2580" s="1"/>
  <c r="AA2580"/>
  <c r="AC2580" s="1"/>
  <c r="Z2580"/>
  <c r="Y2580"/>
  <c r="AD2579"/>
  <c r="AC2579"/>
  <c r="Z2579"/>
  <c r="AB2579" s="1"/>
  <c r="Y2579"/>
  <c r="AA2579" s="1"/>
  <c r="AB2578"/>
  <c r="AD2578" s="1"/>
  <c r="AA2578"/>
  <c r="AC2578" s="1"/>
  <c r="Z2578"/>
  <c r="Y2578"/>
  <c r="AD2577"/>
  <c r="AC2577"/>
  <c r="Z2577"/>
  <c r="AB2577" s="1"/>
  <c r="Y2577"/>
  <c r="AA2577" s="1"/>
  <c r="AA2576"/>
  <c r="AC2576" s="1"/>
  <c r="Y2576"/>
  <c r="X2576"/>
  <c r="V2576"/>
  <c r="P2576"/>
  <c r="N2576"/>
  <c r="L2576"/>
  <c r="Z2572"/>
  <c r="AB2572" s="1"/>
  <c r="AD2572" s="1"/>
  <c r="Y2572"/>
  <c r="AA2572" s="1"/>
  <c r="AC2572" s="1"/>
  <c r="AA2571"/>
  <c r="AC2571" s="1"/>
  <c r="Y2571"/>
  <c r="X2571"/>
  <c r="V2571"/>
  <c r="T2571"/>
  <c r="R2571"/>
  <c r="P2571"/>
  <c r="N2571"/>
  <c r="L2571"/>
  <c r="Z2570"/>
  <c r="AB2570" s="1"/>
  <c r="AD2570" s="1"/>
  <c r="Y2570"/>
  <c r="AA2570" s="1"/>
  <c r="AC2570" s="1"/>
  <c r="Y2569"/>
  <c r="AA2569" s="1"/>
  <c r="AC2569" s="1"/>
  <c r="X2569"/>
  <c r="V2569"/>
  <c r="T2569"/>
  <c r="R2569"/>
  <c r="P2569"/>
  <c r="N2569"/>
  <c r="L2569"/>
  <c r="AA2568"/>
  <c r="AC2568" s="1"/>
  <c r="Z2568"/>
  <c r="AB2568" s="1"/>
  <c r="AD2568" s="1"/>
  <c r="Y2568"/>
  <c r="AA2567"/>
  <c r="AC2567" s="1"/>
  <c r="Z2567"/>
  <c r="AB2567" s="1"/>
  <c r="AD2567" s="1"/>
  <c r="Y2567"/>
  <c r="Z2566"/>
  <c r="AB2566" s="1"/>
  <c r="AD2566" s="1"/>
  <c r="Y2566"/>
  <c r="AA2566" s="1"/>
  <c r="AC2566" s="1"/>
  <c r="Y2565"/>
  <c r="AA2565" s="1"/>
  <c r="AC2565" s="1"/>
  <c r="X2565"/>
  <c r="V2565"/>
  <c r="T2565"/>
  <c r="R2565"/>
  <c r="P2565"/>
  <c r="N2565"/>
  <c r="L2565"/>
  <c r="Z2564"/>
  <c r="AB2564" s="1"/>
  <c r="AD2564" s="1"/>
  <c r="Y2564"/>
  <c r="AA2564" s="1"/>
  <c r="AC2564" s="1"/>
  <c r="AB2563"/>
  <c r="AD2563" s="1"/>
  <c r="Z2563"/>
  <c r="Y2563"/>
  <c r="AA2563" s="1"/>
  <c r="AC2563" s="1"/>
  <c r="AB2562"/>
  <c r="AD2562" s="1"/>
  <c r="Z2562"/>
  <c r="Y2562"/>
  <c r="AA2562" s="1"/>
  <c r="AC2562" s="1"/>
  <c r="AC2561"/>
  <c r="AB2561"/>
  <c r="Z2561"/>
  <c r="Y2561"/>
  <c r="AA2561" s="1"/>
  <c r="L2561"/>
  <c r="Z2560"/>
  <c r="AB2560" s="1"/>
  <c r="AD2560" s="1"/>
  <c r="Y2560"/>
  <c r="AA2560" s="1"/>
  <c r="AC2560" s="1"/>
  <c r="Z2559"/>
  <c r="AB2559" s="1"/>
  <c r="AD2559" s="1"/>
  <c r="Y2559"/>
  <c r="AA2559" s="1"/>
  <c r="AC2559" s="1"/>
  <c r="Y2558"/>
  <c r="AA2558" s="1"/>
  <c r="AC2558" s="1"/>
  <c r="X2558"/>
  <c r="V2558"/>
  <c r="T2558"/>
  <c r="R2558"/>
  <c r="P2558"/>
  <c r="N2558"/>
  <c r="Z2557"/>
  <c r="AB2557" s="1"/>
  <c r="AD2557" s="1"/>
  <c r="Y2557"/>
  <c r="AA2557" s="1"/>
  <c r="AC2557" s="1"/>
  <c r="AA2556"/>
  <c r="AC2556" s="1"/>
  <c r="Y2556"/>
  <c r="X2556"/>
  <c r="V2556"/>
  <c r="T2556"/>
  <c r="R2556"/>
  <c r="P2556"/>
  <c r="N2556"/>
  <c r="L2556"/>
  <c r="Z2555"/>
  <c r="AB2555" s="1"/>
  <c r="Y2555"/>
  <c r="AA2555" s="1"/>
  <c r="AC2555" s="1"/>
  <c r="L2555"/>
  <c r="L2554" s="1"/>
  <c r="Y2554"/>
  <c r="AA2554" s="1"/>
  <c r="AC2554" s="1"/>
  <c r="X2554"/>
  <c r="V2554"/>
  <c r="T2554"/>
  <c r="R2554"/>
  <c r="P2554"/>
  <c r="N2554"/>
  <c r="AB2553"/>
  <c r="AD2553" s="1"/>
  <c r="Z2553"/>
  <c r="Y2553"/>
  <c r="AA2553" s="1"/>
  <c r="AC2553" s="1"/>
  <c r="Y2552"/>
  <c r="AA2552" s="1"/>
  <c r="AC2552" s="1"/>
  <c r="X2552"/>
  <c r="V2552"/>
  <c r="T2552"/>
  <c r="R2552"/>
  <c r="P2552"/>
  <c r="N2552"/>
  <c r="L2552"/>
  <c r="AA2551"/>
  <c r="AC2551" s="1"/>
  <c r="Z2551"/>
  <c r="AB2551" s="1"/>
  <c r="AD2551" s="1"/>
  <c r="Y2551"/>
  <c r="Y2550"/>
  <c r="AA2550" s="1"/>
  <c r="AC2550" s="1"/>
  <c r="X2550"/>
  <c r="V2550"/>
  <c r="T2550"/>
  <c r="R2550"/>
  <c r="P2550"/>
  <c r="N2550"/>
  <c r="L2550"/>
  <c r="AA2549"/>
  <c r="AC2549" s="1"/>
  <c r="Z2549"/>
  <c r="AB2549" s="1"/>
  <c r="AD2549" s="1"/>
  <c r="Y2549"/>
  <c r="Y2548"/>
  <c r="AA2548" s="1"/>
  <c r="AC2548" s="1"/>
  <c r="X2548"/>
  <c r="V2548"/>
  <c r="T2548"/>
  <c r="R2548"/>
  <c r="P2548"/>
  <c r="N2548"/>
  <c r="L2548"/>
  <c r="Z2547"/>
  <c r="AB2547" s="1"/>
  <c r="Y2547"/>
  <c r="AA2547" s="1"/>
  <c r="AC2547" s="1"/>
  <c r="L2547"/>
  <c r="L2546" s="1"/>
  <c r="Y2546"/>
  <c r="AA2546" s="1"/>
  <c r="AC2546" s="1"/>
  <c r="X2546"/>
  <c r="V2546"/>
  <c r="T2546"/>
  <c r="R2546"/>
  <c r="P2546"/>
  <c r="N2546"/>
  <c r="AB2545"/>
  <c r="Z2545"/>
  <c r="Y2545"/>
  <c r="AA2545" s="1"/>
  <c r="AC2545" s="1"/>
  <c r="L2545"/>
  <c r="L2544" s="1"/>
  <c r="Y2544"/>
  <c r="AA2544" s="1"/>
  <c r="AC2544" s="1"/>
  <c r="X2544"/>
  <c r="V2544"/>
  <c r="T2544"/>
  <c r="R2544"/>
  <c r="P2544"/>
  <c r="N2544"/>
  <c r="Z2543"/>
  <c r="AB2543" s="1"/>
  <c r="Y2543"/>
  <c r="AA2543" s="1"/>
  <c r="AC2543" s="1"/>
  <c r="L2543"/>
  <c r="L2541" s="1"/>
  <c r="Z2542"/>
  <c r="AB2542" s="1"/>
  <c r="AD2542" s="1"/>
  <c r="Y2542"/>
  <c r="AA2542" s="1"/>
  <c r="AC2542" s="1"/>
  <c r="Y2541"/>
  <c r="AA2541" s="1"/>
  <c r="AC2541" s="1"/>
  <c r="X2541"/>
  <c r="V2541"/>
  <c r="T2541"/>
  <c r="R2541"/>
  <c r="P2541"/>
  <c r="N2541"/>
  <c r="Z2540"/>
  <c r="AB2540" s="1"/>
  <c r="AD2540" s="1"/>
  <c r="Y2540"/>
  <c r="AA2540" s="1"/>
  <c r="AC2540" s="1"/>
  <c r="AC2539"/>
  <c r="Z2539"/>
  <c r="AB2539" s="1"/>
  <c r="AD2539" s="1"/>
  <c r="Y2539"/>
  <c r="AA2539" s="1"/>
  <c r="Z2538"/>
  <c r="AB2538" s="1"/>
  <c r="AD2538" s="1"/>
  <c r="Y2538"/>
  <c r="AA2538" s="1"/>
  <c r="AC2538" s="1"/>
  <c r="Z2537"/>
  <c r="AB2537" s="1"/>
  <c r="AD2537" s="1"/>
  <c r="Y2537"/>
  <c r="AA2537" s="1"/>
  <c r="AC2537" s="1"/>
  <c r="AA2536"/>
  <c r="AC2536" s="1"/>
  <c r="Z2536"/>
  <c r="AB2536" s="1"/>
  <c r="AD2536" s="1"/>
  <c r="Y2536"/>
  <c r="Z2535"/>
  <c r="AB2535" s="1"/>
  <c r="AD2535" s="1"/>
  <c r="Y2535"/>
  <c r="AA2535" s="1"/>
  <c r="AC2535" s="1"/>
  <c r="Y2534"/>
  <c r="AA2534" s="1"/>
  <c r="AC2534" s="1"/>
  <c r="X2534"/>
  <c r="V2534"/>
  <c r="T2534"/>
  <c r="R2534"/>
  <c r="P2534"/>
  <c r="N2534"/>
  <c r="L2534"/>
  <c r="AC2533"/>
  <c r="AB2533"/>
  <c r="AD2533" s="1"/>
  <c r="Z2533"/>
  <c r="Y2533"/>
  <c r="AA2533" s="1"/>
  <c r="Z2532"/>
  <c r="AB2532" s="1"/>
  <c r="AD2532" s="1"/>
  <c r="Y2532"/>
  <c r="AA2532" s="1"/>
  <c r="AC2532" s="1"/>
  <c r="AA2531"/>
  <c r="AC2531" s="1"/>
  <c r="Z2531"/>
  <c r="AB2531" s="1"/>
  <c r="AD2531" s="1"/>
  <c r="Y2531"/>
  <c r="Y2530"/>
  <c r="AA2530" s="1"/>
  <c r="AC2530" s="1"/>
  <c r="T2530"/>
  <c r="R2530"/>
  <c r="Z2529"/>
  <c r="AB2529" s="1"/>
  <c r="AD2529" s="1"/>
  <c r="Y2529"/>
  <c r="AA2529" s="1"/>
  <c r="AC2529" s="1"/>
  <c r="Z2528"/>
  <c r="AB2528" s="1"/>
  <c r="AD2528" s="1"/>
  <c r="Y2528"/>
  <c r="AA2528" s="1"/>
  <c r="AC2528" s="1"/>
  <c r="Y2527"/>
  <c r="AA2527" s="1"/>
  <c r="AC2527" s="1"/>
  <c r="T2527"/>
  <c r="T2521" s="1"/>
  <c r="R2527"/>
  <c r="Z2526"/>
  <c r="AB2526" s="1"/>
  <c r="AD2526" s="1"/>
  <c r="Y2526"/>
  <c r="AA2526" s="1"/>
  <c r="AC2526" s="1"/>
  <c r="Z2525"/>
  <c r="AB2525" s="1"/>
  <c r="AD2525" s="1"/>
  <c r="Y2525"/>
  <c r="AA2525" s="1"/>
  <c r="AC2525" s="1"/>
  <c r="Z2524"/>
  <c r="AB2524" s="1"/>
  <c r="AD2524" s="1"/>
  <c r="Y2524"/>
  <c r="AA2524" s="1"/>
  <c r="AC2524" s="1"/>
  <c r="AB2523"/>
  <c r="AD2523" s="1"/>
  <c r="Z2523"/>
  <c r="Y2523"/>
  <c r="AA2523" s="1"/>
  <c r="AC2523" s="1"/>
  <c r="AA2522"/>
  <c r="AC2522" s="1"/>
  <c r="Z2522"/>
  <c r="Y2522"/>
  <c r="X2521"/>
  <c r="V2521"/>
  <c r="P2521"/>
  <c r="N2521"/>
  <c r="L2521"/>
  <c r="Z2517"/>
  <c r="AB2517" s="1"/>
  <c r="AD2517" s="1"/>
  <c r="Y2517"/>
  <c r="AA2517" s="1"/>
  <c r="AC2517" s="1"/>
  <c r="AA2516"/>
  <c r="AC2516" s="1"/>
  <c r="Z2516"/>
  <c r="AB2516" s="1"/>
  <c r="AD2516" s="1"/>
  <c r="Y2516"/>
  <c r="Z2515"/>
  <c r="AB2515" s="1"/>
  <c r="AD2515" s="1"/>
  <c r="Y2515"/>
  <c r="AA2515" s="1"/>
  <c r="AC2515" s="1"/>
  <c r="Z2514"/>
  <c r="AB2514" s="1"/>
  <c r="AD2514" s="1"/>
  <c r="Y2514"/>
  <c r="AA2514" s="1"/>
  <c r="AC2514" s="1"/>
  <c r="AC2513"/>
  <c r="Z2513"/>
  <c r="AB2513" s="1"/>
  <c r="AD2513" s="1"/>
  <c r="Y2513"/>
  <c r="AA2513" s="1"/>
  <c r="Z2512"/>
  <c r="AB2512" s="1"/>
  <c r="AD2512" s="1"/>
  <c r="Y2512"/>
  <c r="AA2512" s="1"/>
  <c r="AC2512" s="1"/>
  <c r="Y2511"/>
  <c r="AA2511" s="1"/>
  <c r="AC2511" s="1"/>
  <c r="X2511"/>
  <c r="V2511"/>
  <c r="T2511"/>
  <c r="R2511"/>
  <c r="P2511"/>
  <c r="N2511"/>
  <c r="L2511"/>
  <c r="Z2510"/>
  <c r="AB2510" s="1"/>
  <c r="AD2510" s="1"/>
  <c r="Y2510"/>
  <c r="AA2510" s="1"/>
  <c r="AC2510" s="1"/>
  <c r="AA2509"/>
  <c r="AC2509" s="1"/>
  <c r="Y2509"/>
  <c r="X2509"/>
  <c r="V2509"/>
  <c r="T2509"/>
  <c r="R2509"/>
  <c r="P2509"/>
  <c r="N2509"/>
  <c r="L2509"/>
  <c r="Z2508"/>
  <c r="AB2508" s="1"/>
  <c r="AD2508" s="1"/>
  <c r="Y2508"/>
  <c r="AA2508" s="1"/>
  <c r="AC2508" s="1"/>
  <c r="Y2507"/>
  <c r="AA2507" s="1"/>
  <c r="AC2507" s="1"/>
  <c r="X2507"/>
  <c r="X2505" s="1"/>
  <c r="V2507"/>
  <c r="V2505" s="1"/>
  <c r="T2507"/>
  <c r="T2505" s="1"/>
  <c r="R2507"/>
  <c r="R2505" s="1"/>
  <c r="P2507"/>
  <c r="P2505" s="1"/>
  <c r="N2507"/>
  <c r="L2507"/>
  <c r="AB2506"/>
  <c r="AA2506"/>
  <c r="AC2506" s="1"/>
  <c r="Z2506"/>
  <c r="Y2506"/>
  <c r="L2506"/>
  <c r="AA2505"/>
  <c r="AC2505" s="1"/>
  <c r="Y2505"/>
  <c r="O2505"/>
  <c r="AB2504"/>
  <c r="AD2504" s="1"/>
  <c r="Z2504"/>
  <c r="Y2504"/>
  <c r="AA2504" s="1"/>
  <c r="AC2504" s="1"/>
  <c r="Y2503"/>
  <c r="AA2503" s="1"/>
  <c r="AC2503" s="1"/>
  <c r="X2503"/>
  <c r="V2503"/>
  <c r="T2503"/>
  <c r="R2503"/>
  <c r="P2503"/>
  <c r="N2503"/>
  <c r="L2503"/>
  <c r="AB2502"/>
  <c r="AD2502" s="1"/>
  <c r="Z2502"/>
  <c r="Y2502"/>
  <c r="AA2502" s="1"/>
  <c r="AC2502" s="1"/>
  <c r="Y2501"/>
  <c r="AA2501" s="1"/>
  <c r="AC2501" s="1"/>
  <c r="X2501"/>
  <c r="V2501"/>
  <c r="T2501"/>
  <c r="R2501"/>
  <c r="P2501"/>
  <c r="N2501"/>
  <c r="L2501"/>
  <c r="AA2500"/>
  <c r="AC2500" s="1"/>
  <c r="Z2500"/>
  <c r="AB2500" s="1"/>
  <c r="AD2500" s="1"/>
  <c r="Y2500"/>
  <c r="Y2499"/>
  <c r="AA2499" s="1"/>
  <c r="AC2499" s="1"/>
  <c r="X2499"/>
  <c r="V2499"/>
  <c r="T2499"/>
  <c r="R2499"/>
  <c r="P2499"/>
  <c r="N2499"/>
  <c r="L2499"/>
  <c r="AA2498"/>
  <c r="AC2498" s="1"/>
  <c r="Z2498"/>
  <c r="AB2498" s="1"/>
  <c r="AD2498" s="1"/>
  <c r="Y2498"/>
  <c r="AA2497"/>
  <c r="AC2497" s="1"/>
  <c r="Y2497"/>
  <c r="X2497"/>
  <c r="V2497"/>
  <c r="T2497"/>
  <c r="R2497"/>
  <c r="P2497"/>
  <c r="N2497"/>
  <c r="L2497"/>
  <c r="AB2496"/>
  <c r="Z2496"/>
  <c r="Y2496"/>
  <c r="AA2496" s="1"/>
  <c r="AC2496" s="1"/>
  <c r="L2496"/>
  <c r="L2495" s="1"/>
  <c r="AA2495"/>
  <c r="AC2495" s="1"/>
  <c r="Y2495"/>
  <c r="X2495"/>
  <c r="V2495"/>
  <c r="T2495"/>
  <c r="R2495"/>
  <c r="P2495"/>
  <c r="N2495"/>
  <c r="AB2494"/>
  <c r="Z2494"/>
  <c r="Y2494"/>
  <c r="AA2494" s="1"/>
  <c r="AC2494" s="1"/>
  <c r="L2494"/>
  <c r="L2491" s="1"/>
  <c r="Z2493"/>
  <c r="AB2493" s="1"/>
  <c r="Y2493"/>
  <c r="AA2493" s="1"/>
  <c r="AC2493" s="1"/>
  <c r="L2493"/>
  <c r="Z2492"/>
  <c r="AB2492" s="1"/>
  <c r="AD2492" s="1"/>
  <c r="Y2492"/>
  <c r="AA2492" s="1"/>
  <c r="AC2492" s="1"/>
  <c r="L2492"/>
  <c r="Y2491"/>
  <c r="AA2491" s="1"/>
  <c r="AC2491" s="1"/>
  <c r="X2491"/>
  <c r="V2491"/>
  <c r="T2491"/>
  <c r="R2491"/>
  <c r="P2491"/>
  <c r="N2491"/>
  <c r="Z2490"/>
  <c r="AB2490" s="1"/>
  <c r="AD2490" s="1"/>
  <c r="Y2490"/>
  <c r="AA2490" s="1"/>
  <c r="AC2490" s="1"/>
  <c r="Y2489"/>
  <c r="AA2489" s="1"/>
  <c r="AC2489" s="1"/>
  <c r="X2489"/>
  <c r="V2489"/>
  <c r="T2489"/>
  <c r="R2489"/>
  <c r="P2489"/>
  <c r="N2489"/>
  <c r="L2489"/>
  <c r="Z2488"/>
  <c r="AB2488" s="1"/>
  <c r="AD2488" s="1"/>
  <c r="Y2488"/>
  <c r="AA2488" s="1"/>
  <c r="AC2488" s="1"/>
  <c r="Y2487"/>
  <c r="AA2487" s="1"/>
  <c r="AC2487" s="1"/>
  <c r="X2487"/>
  <c r="V2487"/>
  <c r="T2487"/>
  <c r="R2487"/>
  <c r="P2487"/>
  <c r="N2487"/>
  <c r="L2487"/>
  <c r="Z2486"/>
  <c r="AB2486" s="1"/>
  <c r="AD2486" s="1"/>
  <c r="Y2486"/>
  <c r="AA2486" s="1"/>
  <c r="AC2486" s="1"/>
  <c r="Y2485"/>
  <c r="AA2485" s="1"/>
  <c r="AC2485" s="1"/>
  <c r="X2485"/>
  <c r="V2485"/>
  <c r="T2485"/>
  <c r="R2485"/>
  <c r="P2485"/>
  <c r="N2485"/>
  <c r="L2485"/>
  <c r="AA2484"/>
  <c r="AC2484" s="1"/>
  <c r="Z2484"/>
  <c r="AB2484" s="1"/>
  <c r="AD2484" s="1"/>
  <c r="Y2484"/>
  <c r="Z2483"/>
  <c r="AB2483" s="1"/>
  <c r="AD2483" s="1"/>
  <c r="Y2483"/>
  <c r="AA2483" s="1"/>
  <c r="AC2483" s="1"/>
  <c r="AB2482"/>
  <c r="AD2482" s="1"/>
  <c r="Z2482"/>
  <c r="Y2482"/>
  <c r="AA2482" s="1"/>
  <c r="AC2482" s="1"/>
  <c r="Z2481"/>
  <c r="AB2481" s="1"/>
  <c r="AD2481" s="1"/>
  <c r="Y2481"/>
  <c r="AA2481" s="1"/>
  <c r="AC2481" s="1"/>
  <c r="AA2480"/>
  <c r="AC2480" s="1"/>
  <c r="Z2480"/>
  <c r="AB2480" s="1"/>
  <c r="AD2480" s="1"/>
  <c r="Y2480"/>
  <c r="Y2479"/>
  <c r="AA2479" s="1"/>
  <c r="AC2479" s="1"/>
  <c r="X2479"/>
  <c r="V2479"/>
  <c r="T2479"/>
  <c r="R2479"/>
  <c r="P2479"/>
  <c r="N2479"/>
  <c r="L2479"/>
  <c r="AA2478"/>
  <c r="AC2478" s="1"/>
  <c r="Z2478"/>
  <c r="AB2478" s="1"/>
  <c r="AD2478" s="1"/>
  <c r="Y2478"/>
  <c r="Z2477"/>
  <c r="AB2477" s="1"/>
  <c r="AD2477" s="1"/>
  <c r="Y2477"/>
  <c r="AA2477" s="1"/>
  <c r="AC2477" s="1"/>
  <c r="Z2476"/>
  <c r="AB2476" s="1"/>
  <c r="AD2476" s="1"/>
  <c r="Y2476"/>
  <c r="AA2476" s="1"/>
  <c r="AC2476" s="1"/>
  <c r="Z2475"/>
  <c r="AB2475" s="1"/>
  <c r="AD2475" s="1"/>
  <c r="Y2475"/>
  <c r="AA2475" s="1"/>
  <c r="AC2475" s="1"/>
  <c r="AD2474"/>
  <c r="Z2474"/>
  <c r="AB2474" s="1"/>
  <c r="Y2474"/>
  <c r="AA2474" s="1"/>
  <c r="AC2474" s="1"/>
  <c r="AB2473"/>
  <c r="AD2473" s="1"/>
  <c r="Z2473"/>
  <c r="Y2473"/>
  <c r="AA2473" s="1"/>
  <c r="AC2473" s="1"/>
  <c r="AD2472"/>
  <c r="AA2472"/>
  <c r="AC2472" s="1"/>
  <c r="Z2472"/>
  <c r="AB2472" s="1"/>
  <c r="Y2472"/>
  <c r="Z2471"/>
  <c r="AB2471" s="1"/>
  <c r="AD2471" s="1"/>
  <c r="Y2471"/>
  <c r="AA2471" s="1"/>
  <c r="AC2471" s="1"/>
  <c r="AA2470"/>
  <c r="AC2470" s="1"/>
  <c r="Z2470"/>
  <c r="AB2470" s="1"/>
  <c r="AD2470" s="1"/>
  <c r="Y2470"/>
  <c r="Z2469"/>
  <c r="AB2469" s="1"/>
  <c r="AD2469" s="1"/>
  <c r="Y2469"/>
  <c r="AA2469" s="1"/>
  <c r="AC2469" s="1"/>
  <c r="Y2468"/>
  <c r="AA2468" s="1"/>
  <c r="AC2468" s="1"/>
  <c r="X2468"/>
  <c r="V2468"/>
  <c r="T2468"/>
  <c r="R2468"/>
  <c r="P2468"/>
  <c r="N2468"/>
  <c r="L2468"/>
  <c r="AB2464"/>
  <c r="AA2464"/>
  <c r="AC2464" s="1"/>
  <c r="Z2464"/>
  <c r="Y2464"/>
  <c r="L2464"/>
  <c r="L2463" s="1"/>
  <c r="AA2463"/>
  <c r="AC2463" s="1"/>
  <c r="Y2463"/>
  <c r="X2463"/>
  <c r="V2463"/>
  <c r="T2463"/>
  <c r="Z2463" s="1"/>
  <c r="R2463"/>
  <c r="P2463"/>
  <c r="O2463"/>
  <c r="N2463"/>
  <c r="AB2462"/>
  <c r="AD2462" s="1"/>
  <c r="Z2462"/>
  <c r="Y2462"/>
  <c r="AA2462" s="1"/>
  <c r="AC2462" s="1"/>
  <c r="AA2461"/>
  <c r="AC2461" s="1"/>
  <c r="Z2461"/>
  <c r="AB2461" s="1"/>
  <c r="Y2461"/>
  <c r="L2461"/>
  <c r="AC2460"/>
  <c r="Z2460"/>
  <c r="AB2460" s="1"/>
  <c r="AD2460" s="1"/>
  <c r="Y2460"/>
  <c r="AA2460" s="1"/>
  <c r="Y2459"/>
  <c r="AA2459" s="1"/>
  <c r="AC2459" s="1"/>
  <c r="X2459"/>
  <c r="V2459"/>
  <c r="T2459"/>
  <c r="R2459"/>
  <c r="P2459"/>
  <c r="N2459"/>
  <c r="L2459"/>
  <c r="AB2458"/>
  <c r="AD2458" s="1"/>
  <c r="Z2458"/>
  <c r="Y2458"/>
  <c r="AA2458" s="1"/>
  <c r="AC2458" s="1"/>
  <c r="Y2457"/>
  <c r="AA2457" s="1"/>
  <c r="AC2457" s="1"/>
  <c r="X2457"/>
  <c r="V2457"/>
  <c r="T2457"/>
  <c r="R2457"/>
  <c r="P2457"/>
  <c r="N2457"/>
  <c r="L2457"/>
  <c r="AB2456"/>
  <c r="AD2456" s="1"/>
  <c r="Z2456"/>
  <c r="Y2456"/>
  <c r="AA2456" s="1"/>
  <c r="AC2456" s="1"/>
  <c r="Y2455"/>
  <c r="AA2455" s="1"/>
  <c r="AC2455" s="1"/>
  <c r="X2455"/>
  <c r="V2455"/>
  <c r="T2455"/>
  <c r="R2455"/>
  <c r="P2455"/>
  <c r="N2455"/>
  <c r="L2455"/>
  <c r="Z2454"/>
  <c r="AB2454" s="1"/>
  <c r="AD2454" s="1"/>
  <c r="Y2454"/>
  <c r="AA2454" s="1"/>
  <c r="AC2454" s="1"/>
  <c r="L2454"/>
  <c r="AC2453"/>
  <c r="Z2453"/>
  <c r="AB2453" s="1"/>
  <c r="AD2453" s="1"/>
  <c r="Y2453"/>
  <c r="AA2453" s="1"/>
  <c r="L2453"/>
  <c r="Z2452"/>
  <c r="AB2452" s="1"/>
  <c r="Y2452"/>
  <c r="AA2452" s="1"/>
  <c r="AC2452" s="1"/>
  <c r="L2452"/>
  <c r="L2451" s="1"/>
  <c r="Y2451"/>
  <c r="AA2451" s="1"/>
  <c r="AC2451" s="1"/>
  <c r="X2451"/>
  <c r="V2451"/>
  <c r="T2451"/>
  <c r="R2451"/>
  <c r="P2451"/>
  <c r="N2451"/>
  <c r="Z2450"/>
  <c r="AB2450" s="1"/>
  <c r="AD2450" s="1"/>
  <c r="Y2450"/>
  <c r="AA2450" s="1"/>
  <c r="AC2450" s="1"/>
  <c r="Y2449"/>
  <c r="AA2449" s="1"/>
  <c r="AC2449" s="1"/>
  <c r="X2449"/>
  <c r="V2449"/>
  <c r="T2449"/>
  <c r="R2449"/>
  <c r="P2449"/>
  <c r="N2449"/>
  <c r="L2449"/>
  <c r="AB2448"/>
  <c r="AA2448"/>
  <c r="AC2448" s="1"/>
  <c r="Z2448"/>
  <c r="Y2448"/>
  <c r="L2448"/>
  <c r="AA2447"/>
  <c r="AC2447" s="1"/>
  <c r="Y2447"/>
  <c r="X2447"/>
  <c r="V2447"/>
  <c r="T2447"/>
  <c r="Z2447" s="1"/>
  <c r="R2447"/>
  <c r="P2447"/>
  <c r="N2447"/>
  <c r="L2447"/>
  <c r="Z2446"/>
  <c r="AB2446" s="1"/>
  <c r="AD2446" s="1"/>
  <c r="Y2446"/>
  <c r="AA2446" s="1"/>
  <c r="AC2446" s="1"/>
  <c r="Y2445"/>
  <c r="AA2445" s="1"/>
  <c r="AC2445" s="1"/>
  <c r="X2445"/>
  <c r="V2445"/>
  <c r="T2445"/>
  <c r="R2445"/>
  <c r="P2445"/>
  <c r="N2445"/>
  <c r="L2445"/>
  <c r="Z2444"/>
  <c r="AB2444" s="1"/>
  <c r="AD2444" s="1"/>
  <c r="Y2444"/>
  <c r="AA2444" s="1"/>
  <c r="AC2444" s="1"/>
  <c r="AB2443"/>
  <c r="AD2443" s="1"/>
  <c r="Z2443"/>
  <c r="Y2443"/>
  <c r="AA2443" s="1"/>
  <c r="AC2443" s="1"/>
  <c r="AD2442"/>
  <c r="Z2442"/>
  <c r="AB2442" s="1"/>
  <c r="Y2442"/>
  <c r="AA2442" s="1"/>
  <c r="AC2442" s="1"/>
  <c r="AC2441"/>
  <c r="Y2441"/>
  <c r="AA2441" s="1"/>
  <c r="X2441"/>
  <c r="V2441"/>
  <c r="T2441"/>
  <c r="R2441"/>
  <c r="P2441"/>
  <c r="N2441"/>
  <c r="L2441"/>
  <c r="Z2440"/>
  <c r="AB2440" s="1"/>
  <c r="AD2440" s="1"/>
  <c r="Y2440"/>
  <c r="AA2440" s="1"/>
  <c r="AC2440" s="1"/>
  <c r="AB2439"/>
  <c r="AD2439" s="1"/>
  <c r="Z2439"/>
  <c r="Y2439"/>
  <c r="AA2439" s="1"/>
  <c r="AC2439" s="1"/>
  <c r="AC2438"/>
  <c r="Z2438"/>
  <c r="AB2438" s="1"/>
  <c r="AD2438" s="1"/>
  <c r="Y2438"/>
  <c r="AA2438" s="1"/>
  <c r="AB2437"/>
  <c r="AD2437" s="1"/>
  <c r="AA2437"/>
  <c r="AC2437" s="1"/>
  <c r="Z2437"/>
  <c r="Y2437"/>
  <c r="AC2436"/>
  <c r="Z2436"/>
  <c r="AB2436" s="1"/>
  <c r="AD2436" s="1"/>
  <c r="Y2436"/>
  <c r="AA2436" s="1"/>
  <c r="AA2435"/>
  <c r="AC2435" s="1"/>
  <c r="Z2435"/>
  <c r="AB2435" s="1"/>
  <c r="AD2435" s="1"/>
  <c r="Y2435"/>
  <c r="Z2434"/>
  <c r="AB2434" s="1"/>
  <c r="AD2434" s="1"/>
  <c r="Y2434"/>
  <c r="AA2434" s="1"/>
  <c r="AC2434" s="1"/>
  <c r="Z2433"/>
  <c r="AB2433" s="1"/>
  <c r="AD2433" s="1"/>
  <c r="Y2433"/>
  <c r="AA2433" s="1"/>
  <c r="AC2433" s="1"/>
  <c r="Z2432"/>
  <c r="AB2432" s="1"/>
  <c r="AD2432" s="1"/>
  <c r="Y2432"/>
  <c r="AA2432" s="1"/>
  <c r="AC2432" s="1"/>
  <c r="AB2431"/>
  <c r="AD2431" s="1"/>
  <c r="Z2431"/>
  <c r="Y2431"/>
  <c r="AA2431" s="1"/>
  <c r="AC2431" s="1"/>
  <c r="AC2430"/>
  <c r="Y2430"/>
  <c r="AA2430" s="1"/>
  <c r="X2430"/>
  <c r="V2430"/>
  <c r="T2430"/>
  <c r="R2430"/>
  <c r="P2430"/>
  <c r="N2430"/>
  <c r="L2430"/>
  <c r="Z2426"/>
  <c r="AB2426" s="1"/>
  <c r="AD2426" s="1"/>
  <c r="Y2426"/>
  <c r="AA2426" s="1"/>
  <c r="AC2426" s="1"/>
  <c r="Y2425"/>
  <c r="AA2425" s="1"/>
  <c r="AC2425" s="1"/>
  <c r="X2425"/>
  <c r="V2425"/>
  <c r="T2425"/>
  <c r="R2425"/>
  <c r="P2425"/>
  <c r="N2425"/>
  <c r="L2425"/>
  <c r="Z2424"/>
  <c r="AB2424" s="1"/>
  <c r="AD2424" s="1"/>
  <c r="Y2424"/>
  <c r="AA2424" s="1"/>
  <c r="AC2424" s="1"/>
  <c r="Z2423"/>
  <c r="AB2423" s="1"/>
  <c r="AD2423" s="1"/>
  <c r="Y2423"/>
  <c r="AA2423" s="1"/>
  <c r="AC2423" s="1"/>
  <c r="Z2422"/>
  <c r="AB2422" s="1"/>
  <c r="AD2422" s="1"/>
  <c r="Y2422"/>
  <c r="AA2422" s="1"/>
  <c r="AC2422" s="1"/>
  <c r="Z2421"/>
  <c r="AB2421" s="1"/>
  <c r="AD2421" s="1"/>
  <c r="Y2421"/>
  <c r="AA2421" s="1"/>
  <c r="AC2421" s="1"/>
  <c r="Z2420"/>
  <c r="AB2420" s="1"/>
  <c r="AD2420" s="1"/>
  <c r="Y2420"/>
  <c r="AA2420" s="1"/>
  <c r="AC2420" s="1"/>
  <c r="Z2419"/>
  <c r="AB2419" s="1"/>
  <c r="AD2419" s="1"/>
  <c r="Y2419"/>
  <c r="AA2419" s="1"/>
  <c r="AC2419" s="1"/>
  <c r="Z2418"/>
  <c r="AB2418" s="1"/>
  <c r="AD2418" s="1"/>
  <c r="Y2418"/>
  <c r="AA2418" s="1"/>
  <c r="AC2418" s="1"/>
  <c r="Z2417"/>
  <c r="AB2417" s="1"/>
  <c r="AD2417" s="1"/>
  <c r="Y2417"/>
  <c r="AA2417" s="1"/>
  <c r="AC2417" s="1"/>
  <c r="Z2416"/>
  <c r="AB2416" s="1"/>
  <c r="AD2416" s="1"/>
  <c r="Y2416"/>
  <c r="AA2416" s="1"/>
  <c r="AC2416" s="1"/>
  <c r="Z2415"/>
  <c r="AB2415" s="1"/>
  <c r="AD2415" s="1"/>
  <c r="Y2415"/>
  <c r="AA2415" s="1"/>
  <c r="AC2415" s="1"/>
  <c r="Y2414"/>
  <c r="AA2414" s="1"/>
  <c r="AC2414" s="1"/>
  <c r="X2414"/>
  <c r="V2414"/>
  <c r="T2414"/>
  <c r="R2414"/>
  <c r="P2414"/>
  <c r="N2414"/>
  <c r="L2414"/>
  <c r="AA2413"/>
  <c r="AC2413" s="1"/>
  <c r="Z2413"/>
  <c r="AB2413" s="1"/>
  <c r="AD2413" s="1"/>
  <c r="Y2413"/>
  <c r="Y2412"/>
  <c r="AA2412" s="1"/>
  <c r="AC2412" s="1"/>
  <c r="X2412"/>
  <c r="V2412"/>
  <c r="T2412"/>
  <c r="R2412"/>
  <c r="P2412"/>
  <c r="N2412"/>
  <c r="L2412"/>
  <c r="AA2411"/>
  <c r="AC2411" s="1"/>
  <c r="Z2411"/>
  <c r="AB2411" s="1"/>
  <c r="AD2411" s="1"/>
  <c r="Y2411"/>
  <c r="Y2410"/>
  <c r="AA2410" s="1"/>
  <c r="AC2410" s="1"/>
  <c r="X2410"/>
  <c r="V2410"/>
  <c r="T2410"/>
  <c r="R2410"/>
  <c r="P2410"/>
  <c r="N2410"/>
  <c r="L2410"/>
  <c r="Z2409"/>
  <c r="AB2409" s="1"/>
  <c r="AD2409" s="1"/>
  <c r="Y2409"/>
  <c r="AA2409" s="1"/>
  <c r="AC2409" s="1"/>
  <c r="Z2408"/>
  <c r="AB2408" s="1"/>
  <c r="AD2408" s="1"/>
  <c r="Y2408"/>
  <c r="AA2408" s="1"/>
  <c r="AC2408" s="1"/>
  <c r="AC2407"/>
  <c r="Y2407"/>
  <c r="AA2407" s="1"/>
  <c r="X2407"/>
  <c r="V2407"/>
  <c r="T2407"/>
  <c r="Z2407" s="1"/>
  <c r="AB2407" s="1"/>
  <c r="R2407"/>
  <c r="P2407"/>
  <c r="N2407"/>
  <c r="L2407"/>
  <c r="Z2406"/>
  <c r="AB2406" s="1"/>
  <c r="AD2406" s="1"/>
  <c r="Y2406"/>
  <c r="AA2406" s="1"/>
  <c r="AC2406" s="1"/>
  <c r="Y2405"/>
  <c r="X2405"/>
  <c r="V2405"/>
  <c r="T2405"/>
  <c r="R2405"/>
  <c r="P2405"/>
  <c r="N2405"/>
  <c r="L2405"/>
  <c r="Z2404"/>
  <c r="AB2404" s="1"/>
  <c r="AD2404" s="1"/>
  <c r="Y2404"/>
  <c r="AA2404" s="1"/>
  <c r="AC2404" s="1"/>
  <c r="AC2403"/>
  <c r="Z2403"/>
  <c r="AB2403" s="1"/>
  <c r="AD2403" s="1"/>
  <c r="Y2403"/>
  <c r="AA2403" s="1"/>
  <c r="Z2402"/>
  <c r="AB2402" s="1"/>
  <c r="AD2402" s="1"/>
  <c r="Y2402"/>
  <c r="AA2402" s="1"/>
  <c r="AC2402" s="1"/>
  <c r="Z2401"/>
  <c r="AB2401" s="1"/>
  <c r="AD2401" s="1"/>
  <c r="Y2401"/>
  <c r="AA2401" s="1"/>
  <c r="AC2401" s="1"/>
  <c r="AA2400"/>
  <c r="AC2400" s="1"/>
  <c r="Z2400"/>
  <c r="AB2400" s="1"/>
  <c r="AD2400" s="1"/>
  <c r="Y2400"/>
  <c r="Y2399"/>
  <c r="AA2399" s="1"/>
  <c r="AC2399" s="1"/>
  <c r="X2399"/>
  <c r="V2399"/>
  <c r="T2399"/>
  <c r="R2399"/>
  <c r="P2399"/>
  <c r="N2399"/>
  <c r="L2399"/>
  <c r="AA2398"/>
  <c r="AC2398" s="1"/>
  <c r="Z2398"/>
  <c r="AB2398" s="1"/>
  <c r="AD2398" s="1"/>
  <c r="Y2398"/>
  <c r="Y2397"/>
  <c r="X2397"/>
  <c r="V2397"/>
  <c r="T2397"/>
  <c r="R2397"/>
  <c r="P2397"/>
  <c r="N2397"/>
  <c r="L2397"/>
  <c r="AA2396"/>
  <c r="AC2396" s="1"/>
  <c r="Z2396"/>
  <c r="AB2396" s="1"/>
  <c r="AD2396" s="1"/>
  <c r="Y2396"/>
  <c r="Z2395"/>
  <c r="AB2395" s="1"/>
  <c r="AD2395" s="1"/>
  <c r="Y2395"/>
  <c r="AA2395" s="1"/>
  <c r="AC2395" s="1"/>
  <c r="AB2394"/>
  <c r="AD2394" s="1"/>
  <c r="AA2394"/>
  <c r="AC2394" s="1"/>
  <c r="Z2394"/>
  <c r="Y2394"/>
  <c r="Z2393"/>
  <c r="AB2393" s="1"/>
  <c r="AD2393" s="1"/>
  <c r="Y2393"/>
  <c r="AA2393" s="1"/>
  <c r="AC2393" s="1"/>
  <c r="Z2392"/>
  <c r="AB2392" s="1"/>
  <c r="AD2392" s="1"/>
  <c r="Y2392"/>
  <c r="AA2392" s="1"/>
  <c r="AC2392" s="1"/>
  <c r="AC2391"/>
  <c r="Z2391"/>
  <c r="AB2391" s="1"/>
  <c r="AD2391" s="1"/>
  <c r="Y2391"/>
  <c r="AA2391" s="1"/>
  <c r="AD2390"/>
  <c r="Z2390"/>
  <c r="AB2390" s="1"/>
  <c r="Y2390"/>
  <c r="AA2390" s="1"/>
  <c r="AC2390" s="1"/>
  <c r="Z2389"/>
  <c r="AB2389" s="1"/>
  <c r="AD2389" s="1"/>
  <c r="Y2389"/>
  <c r="AA2389" s="1"/>
  <c r="AC2389" s="1"/>
  <c r="AA2388"/>
  <c r="AC2388" s="1"/>
  <c r="Z2388"/>
  <c r="AB2388" s="1"/>
  <c r="AD2388" s="1"/>
  <c r="Y2388"/>
  <c r="AB2387"/>
  <c r="AD2387" s="1"/>
  <c r="Z2387"/>
  <c r="Y2387"/>
  <c r="AA2387" s="1"/>
  <c r="AC2387" s="1"/>
  <c r="AB2386"/>
  <c r="AD2386" s="1"/>
  <c r="AA2386"/>
  <c r="AC2386" s="1"/>
  <c r="Z2386"/>
  <c r="Y2386"/>
  <c r="Y2385"/>
  <c r="AA2385" s="1"/>
  <c r="AC2385" s="1"/>
  <c r="X2385"/>
  <c r="V2385"/>
  <c r="T2385"/>
  <c r="R2385"/>
  <c r="P2385"/>
  <c r="N2385"/>
  <c r="L2385"/>
  <c r="AD2383"/>
  <c r="AC2383"/>
  <c r="Z2381"/>
  <c r="AB2381" s="1"/>
  <c r="AD2381" s="1"/>
  <c r="Y2381"/>
  <c r="AA2381" s="1"/>
  <c r="AC2381" s="1"/>
  <c r="AB2380"/>
  <c r="AD2380" s="1"/>
  <c r="Z2380"/>
  <c r="Y2380"/>
  <c r="AA2380" s="1"/>
  <c r="AC2380" s="1"/>
  <c r="Z2379"/>
  <c r="AB2379" s="1"/>
  <c r="AD2379" s="1"/>
  <c r="Y2379"/>
  <c r="AA2379" s="1"/>
  <c r="AC2379" s="1"/>
  <c r="AA2378"/>
  <c r="AC2378" s="1"/>
  <c r="Z2378"/>
  <c r="AB2378" s="1"/>
  <c r="AD2378" s="1"/>
  <c r="Y2378"/>
  <c r="AB2377"/>
  <c r="AD2377" s="1"/>
  <c r="Z2377"/>
  <c r="Y2377"/>
  <c r="AA2377" s="1"/>
  <c r="AC2377" s="1"/>
  <c r="AA2376"/>
  <c r="AC2376" s="1"/>
  <c r="Z2376"/>
  <c r="AB2376" s="1"/>
  <c r="AD2376" s="1"/>
  <c r="Y2376"/>
  <c r="Y2375"/>
  <c r="AA2375" s="1"/>
  <c r="AC2375" s="1"/>
  <c r="X2375"/>
  <c r="V2375"/>
  <c r="T2375"/>
  <c r="R2375"/>
  <c r="P2375"/>
  <c r="N2375"/>
  <c r="L2375"/>
  <c r="Z2374"/>
  <c r="AB2374" s="1"/>
  <c r="AD2374" s="1"/>
  <c r="Y2374"/>
  <c r="AA2374" s="1"/>
  <c r="AC2374" s="1"/>
  <c r="Z2373"/>
  <c r="AB2373" s="1"/>
  <c r="AD2373" s="1"/>
  <c r="Y2373"/>
  <c r="AA2373" s="1"/>
  <c r="AC2373" s="1"/>
  <c r="Z2372"/>
  <c r="AB2372" s="1"/>
  <c r="AD2372" s="1"/>
  <c r="Y2372"/>
  <c r="AA2372" s="1"/>
  <c r="AC2372" s="1"/>
  <c r="AB2371"/>
  <c r="AD2371" s="1"/>
  <c r="Z2371"/>
  <c r="Y2371"/>
  <c r="AA2371" s="1"/>
  <c r="AC2371" s="1"/>
  <c r="AD2370"/>
  <c r="Z2370"/>
  <c r="AB2370" s="1"/>
  <c r="Y2370"/>
  <c r="AA2370" s="1"/>
  <c r="AC2370" s="1"/>
  <c r="Y2369"/>
  <c r="AA2369" s="1"/>
  <c r="AC2369" s="1"/>
  <c r="X2369"/>
  <c r="V2369"/>
  <c r="T2369"/>
  <c r="R2369"/>
  <c r="P2369"/>
  <c r="N2369"/>
  <c r="L2369"/>
  <c r="AB2368"/>
  <c r="AD2368" s="1"/>
  <c r="Z2368"/>
  <c r="Y2368"/>
  <c r="AA2368" s="1"/>
  <c r="AC2368" s="1"/>
  <c r="Y2367"/>
  <c r="AA2367" s="1"/>
  <c r="AC2367" s="1"/>
  <c r="X2367"/>
  <c r="V2367"/>
  <c r="T2367"/>
  <c r="R2367"/>
  <c r="P2367"/>
  <c r="N2367"/>
  <c r="L2367"/>
  <c r="AB2366"/>
  <c r="AD2366" s="1"/>
  <c r="Z2366"/>
  <c r="Y2366"/>
  <c r="AA2366" s="1"/>
  <c r="AC2366" s="1"/>
  <c r="Y2365"/>
  <c r="AA2365" s="1"/>
  <c r="AC2365" s="1"/>
  <c r="X2365"/>
  <c r="V2365"/>
  <c r="T2365"/>
  <c r="R2365"/>
  <c r="P2365"/>
  <c r="N2365"/>
  <c r="L2365"/>
  <c r="AA2364"/>
  <c r="AC2364" s="1"/>
  <c r="Z2364"/>
  <c r="AB2364" s="1"/>
  <c r="AD2364" s="1"/>
  <c r="Y2364"/>
  <c r="Y2363"/>
  <c r="AA2363" s="1"/>
  <c r="AC2363" s="1"/>
  <c r="X2363"/>
  <c r="V2363"/>
  <c r="T2363"/>
  <c r="R2363"/>
  <c r="P2363"/>
  <c r="N2363"/>
  <c r="L2363"/>
  <c r="AC2362"/>
  <c r="Z2362"/>
  <c r="AB2362" s="1"/>
  <c r="AD2362" s="1"/>
  <c r="Y2362"/>
  <c r="AA2362" s="1"/>
  <c r="Y2361"/>
  <c r="AA2361" s="1"/>
  <c r="AC2361" s="1"/>
  <c r="X2361"/>
  <c r="V2361"/>
  <c r="T2361"/>
  <c r="R2361"/>
  <c r="P2361"/>
  <c r="N2361"/>
  <c r="L2361"/>
  <c r="AC2360"/>
  <c r="AB2360"/>
  <c r="AD2360" s="1"/>
  <c r="Z2360"/>
  <c r="Y2360"/>
  <c r="AA2360" s="1"/>
  <c r="AB2359"/>
  <c r="AD2359" s="1"/>
  <c r="AA2359"/>
  <c r="AC2359" s="1"/>
  <c r="Z2359"/>
  <c r="Y2359"/>
  <c r="Z2358"/>
  <c r="AB2358" s="1"/>
  <c r="AD2358" s="1"/>
  <c r="Y2358"/>
  <c r="AA2358" s="1"/>
  <c r="AC2358" s="1"/>
  <c r="Z2357"/>
  <c r="AB2357" s="1"/>
  <c r="AD2357" s="1"/>
  <c r="Y2357"/>
  <c r="AA2357" s="1"/>
  <c r="AC2357" s="1"/>
  <c r="AC2356"/>
  <c r="Y2356"/>
  <c r="AA2356" s="1"/>
  <c r="X2356"/>
  <c r="V2356"/>
  <c r="T2356"/>
  <c r="R2356"/>
  <c r="P2356"/>
  <c r="N2356"/>
  <c r="L2356"/>
  <c r="Z2355"/>
  <c r="Z2354"/>
  <c r="AB2354" s="1"/>
  <c r="AD2354" s="1"/>
  <c r="Y2354"/>
  <c r="AA2354" s="1"/>
  <c r="AC2354" s="1"/>
  <c r="Z2353"/>
  <c r="AB2353" s="1"/>
  <c r="AD2353" s="1"/>
  <c r="Y2353"/>
  <c r="AA2353" s="1"/>
  <c r="AC2353" s="1"/>
  <c r="AA2352"/>
  <c r="AC2352" s="1"/>
  <c r="Z2352"/>
  <c r="AB2352" s="1"/>
  <c r="AD2352" s="1"/>
  <c r="Y2352"/>
  <c r="AB2351"/>
  <c r="AD2351" s="1"/>
  <c r="Z2351"/>
  <c r="Y2351"/>
  <c r="AA2351" s="1"/>
  <c r="AC2351" s="1"/>
  <c r="Z2350"/>
  <c r="AB2350" s="1"/>
  <c r="AD2350" s="1"/>
  <c r="Y2350"/>
  <c r="AA2350" s="1"/>
  <c r="AC2350" s="1"/>
  <c r="Z2349"/>
  <c r="AB2349" s="1"/>
  <c r="AD2349" s="1"/>
  <c r="Y2349"/>
  <c r="AA2349" s="1"/>
  <c r="AC2349" s="1"/>
  <c r="Z2348"/>
  <c r="AB2348" s="1"/>
  <c r="AD2348" s="1"/>
  <c r="Y2348"/>
  <c r="AA2348" s="1"/>
  <c r="AC2348" s="1"/>
  <c r="AB2347"/>
  <c r="AD2347" s="1"/>
  <c r="Z2347"/>
  <c r="Y2347"/>
  <c r="AA2347" s="1"/>
  <c r="AC2347" s="1"/>
  <c r="AA2346"/>
  <c r="AC2346" s="1"/>
  <c r="Z2346"/>
  <c r="AB2346" s="1"/>
  <c r="AD2346" s="1"/>
  <c r="Y2346"/>
  <c r="Z2345"/>
  <c r="AB2345" s="1"/>
  <c r="AD2345" s="1"/>
  <c r="Y2345"/>
  <c r="AA2345" s="1"/>
  <c r="AC2345" s="1"/>
  <c r="Y2344"/>
  <c r="AA2344" s="1"/>
  <c r="AC2344" s="1"/>
  <c r="X2344"/>
  <c r="V2344"/>
  <c r="V2343" s="1"/>
  <c r="T2344"/>
  <c r="R2344"/>
  <c r="P2344"/>
  <c r="N2344"/>
  <c r="L2344"/>
  <c r="Z2340"/>
  <c r="AB2340" s="1"/>
  <c r="AD2340" s="1"/>
  <c r="Y2340"/>
  <c r="AA2340" s="1"/>
  <c r="AC2340" s="1"/>
  <c r="Y2339"/>
  <c r="AA2339" s="1"/>
  <c r="AC2339" s="1"/>
  <c r="X2339"/>
  <c r="V2339"/>
  <c r="T2339"/>
  <c r="R2339"/>
  <c r="P2339"/>
  <c r="N2339"/>
  <c r="L2339"/>
  <c r="AB2338"/>
  <c r="AD2338" s="1"/>
  <c r="AA2338"/>
  <c r="AC2338" s="1"/>
  <c r="Z2338"/>
  <c r="Y2338"/>
  <c r="Y2337"/>
  <c r="X2337"/>
  <c r="V2337"/>
  <c r="T2337"/>
  <c r="R2337"/>
  <c r="P2337"/>
  <c r="N2337"/>
  <c r="L2337"/>
  <c r="AC2336"/>
  <c r="AB2336"/>
  <c r="Z2336"/>
  <c r="Y2336"/>
  <c r="AA2336" s="1"/>
  <c r="L2336"/>
  <c r="AB2335"/>
  <c r="AD2335" s="1"/>
  <c r="Z2335"/>
  <c r="Y2335"/>
  <c r="AA2335" s="1"/>
  <c r="AC2335" s="1"/>
  <c r="Y2334"/>
  <c r="AA2334" s="1"/>
  <c r="AC2334" s="1"/>
  <c r="X2334"/>
  <c r="V2334"/>
  <c r="T2334"/>
  <c r="Z2334" s="1"/>
  <c r="AB2334" s="1"/>
  <c r="R2334"/>
  <c r="P2334"/>
  <c r="N2334"/>
  <c r="L2334"/>
  <c r="AA2333"/>
  <c r="AC2333" s="1"/>
  <c r="Z2333"/>
  <c r="AB2333" s="1"/>
  <c r="AD2333" s="1"/>
  <c r="Y2333"/>
  <c r="AB2332"/>
  <c r="AD2332" s="1"/>
  <c r="Z2332"/>
  <c r="Y2332"/>
  <c r="AA2332" s="1"/>
  <c r="AC2332" s="1"/>
  <c r="Z2331"/>
  <c r="AB2331" s="1"/>
  <c r="AD2331" s="1"/>
  <c r="Y2331"/>
  <c r="AA2331" s="1"/>
  <c r="AC2331" s="1"/>
  <c r="AB2330"/>
  <c r="AD2330" s="1"/>
  <c r="Z2330"/>
  <c r="Y2330"/>
  <c r="AA2330" s="1"/>
  <c r="AC2330" s="1"/>
  <c r="AA2329"/>
  <c r="AC2329" s="1"/>
  <c r="Z2329"/>
  <c r="AB2329" s="1"/>
  <c r="AD2329" s="1"/>
  <c r="Y2329"/>
  <c r="Y2328"/>
  <c r="AA2328" s="1"/>
  <c r="AC2328" s="1"/>
  <c r="X2328"/>
  <c r="V2328"/>
  <c r="T2328"/>
  <c r="R2328"/>
  <c r="Z2328" s="1"/>
  <c r="AB2328" s="1"/>
  <c r="AD2328" s="1"/>
  <c r="P2328"/>
  <c r="N2328"/>
  <c r="L2328"/>
  <c r="AD2327"/>
  <c r="Z2327"/>
  <c r="AB2327" s="1"/>
  <c r="Y2327"/>
  <c r="AA2327" s="1"/>
  <c r="AC2327" s="1"/>
  <c r="L2327"/>
  <c r="L2326" s="1"/>
  <c r="AC2326"/>
  <c r="Y2326"/>
  <c r="AA2326" s="1"/>
  <c r="X2326"/>
  <c r="V2326"/>
  <c r="T2326"/>
  <c r="R2326"/>
  <c r="P2326"/>
  <c r="N2326"/>
  <c r="AD2325"/>
  <c r="Z2325"/>
  <c r="AB2325" s="1"/>
  <c r="Y2325"/>
  <c r="AA2325" s="1"/>
  <c r="AC2325" s="1"/>
  <c r="L2325"/>
  <c r="AB2324"/>
  <c r="AD2324" s="1"/>
  <c r="Z2324"/>
  <c r="Y2324"/>
  <c r="AA2324" s="1"/>
  <c r="AC2324" s="1"/>
  <c r="Y2323"/>
  <c r="AA2323" s="1"/>
  <c r="AC2323" s="1"/>
  <c r="X2323"/>
  <c r="V2323"/>
  <c r="T2323"/>
  <c r="R2323"/>
  <c r="P2323"/>
  <c r="N2323"/>
  <c r="L2323"/>
  <c r="AB2322"/>
  <c r="AD2322" s="1"/>
  <c r="Z2322"/>
  <c r="Y2322"/>
  <c r="AA2322" s="1"/>
  <c r="AC2322" s="1"/>
  <c r="Y2321"/>
  <c r="AA2321" s="1"/>
  <c r="AC2321" s="1"/>
  <c r="X2321"/>
  <c r="V2321"/>
  <c r="T2321"/>
  <c r="R2321"/>
  <c r="P2321"/>
  <c r="N2321"/>
  <c r="L2321"/>
  <c r="AA2320"/>
  <c r="AC2320" s="1"/>
  <c r="Z2320"/>
  <c r="AB2320" s="1"/>
  <c r="AD2320" s="1"/>
  <c r="Y2320"/>
  <c r="Y2319"/>
  <c r="AA2319" s="1"/>
  <c r="AC2319" s="1"/>
  <c r="X2319"/>
  <c r="V2319"/>
  <c r="T2319"/>
  <c r="R2319"/>
  <c r="P2319"/>
  <c r="N2319"/>
  <c r="L2319"/>
  <c r="Z2318"/>
  <c r="AB2318" s="1"/>
  <c r="AD2318" s="1"/>
  <c r="Y2318"/>
  <c r="AA2318" s="1"/>
  <c r="AC2318" s="1"/>
  <c r="Y2317"/>
  <c r="AA2317" s="1"/>
  <c r="AC2317" s="1"/>
  <c r="X2317"/>
  <c r="V2317"/>
  <c r="T2317"/>
  <c r="R2317"/>
  <c r="P2317"/>
  <c r="N2317"/>
  <c r="L2317"/>
  <c r="AB2316"/>
  <c r="AD2316" s="1"/>
  <c r="Z2316"/>
  <c r="Y2316"/>
  <c r="AA2316" s="1"/>
  <c r="AC2316" s="1"/>
  <c r="Z2315"/>
  <c r="AB2315" s="1"/>
  <c r="AD2315" s="1"/>
  <c r="Y2315"/>
  <c r="AA2315" s="1"/>
  <c r="AC2315" s="1"/>
  <c r="Z2314"/>
  <c r="AB2314" s="1"/>
  <c r="AD2314" s="1"/>
  <c r="Y2314"/>
  <c r="AA2314" s="1"/>
  <c r="AC2314" s="1"/>
  <c r="Z2313"/>
  <c r="AB2313" s="1"/>
  <c r="AD2313" s="1"/>
  <c r="Y2313"/>
  <c r="AA2313" s="1"/>
  <c r="AC2313" s="1"/>
  <c r="AB2312"/>
  <c r="AD2312" s="1"/>
  <c r="Z2312"/>
  <c r="Y2312"/>
  <c r="AA2312" s="1"/>
  <c r="AC2312" s="1"/>
  <c r="AA2311"/>
  <c r="AC2311" s="1"/>
  <c r="Y2311"/>
  <c r="X2311"/>
  <c r="V2311"/>
  <c r="T2311"/>
  <c r="R2311"/>
  <c r="P2311"/>
  <c r="N2311"/>
  <c r="L2311"/>
  <c r="AB2310"/>
  <c r="AD2310" s="1"/>
  <c r="Z2310"/>
  <c r="Y2310"/>
  <c r="AA2310" s="1"/>
  <c r="AC2310" s="1"/>
  <c r="AD2309"/>
  <c r="Z2309"/>
  <c r="AB2309" s="1"/>
  <c r="Y2309"/>
  <c r="AA2309" s="1"/>
  <c r="AC2309" s="1"/>
  <c r="AB2308"/>
  <c r="AD2308" s="1"/>
  <c r="AA2308"/>
  <c r="AC2308" s="1"/>
  <c r="Z2308"/>
  <c r="Y2308"/>
  <c r="Z2307"/>
  <c r="AB2307" s="1"/>
  <c r="AD2307" s="1"/>
  <c r="Y2307"/>
  <c r="AA2307" s="1"/>
  <c r="AC2307" s="1"/>
  <c r="Z2306"/>
  <c r="AB2306" s="1"/>
  <c r="AD2306" s="1"/>
  <c r="Y2306"/>
  <c r="AA2306" s="1"/>
  <c r="AC2306" s="1"/>
  <c r="Z2305"/>
  <c r="AB2305" s="1"/>
  <c r="AD2305" s="1"/>
  <c r="Y2305"/>
  <c r="AA2305" s="1"/>
  <c r="AC2305" s="1"/>
  <c r="AB2304"/>
  <c r="AD2304" s="1"/>
  <c r="Z2304"/>
  <c r="Y2304"/>
  <c r="AA2304" s="1"/>
  <c r="AC2304" s="1"/>
  <c r="AD2303"/>
  <c r="Z2303"/>
  <c r="AB2303" s="1"/>
  <c r="Y2303"/>
  <c r="AA2303" s="1"/>
  <c r="AC2303" s="1"/>
  <c r="AB2302"/>
  <c r="AD2302" s="1"/>
  <c r="AA2302"/>
  <c r="AC2302" s="1"/>
  <c r="Z2302"/>
  <c r="Y2302"/>
  <c r="AD2301"/>
  <c r="Z2301"/>
  <c r="AB2301" s="1"/>
  <c r="Y2301"/>
  <c r="AA2301" s="1"/>
  <c r="AC2301" s="1"/>
  <c r="AA2300"/>
  <c r="AC2300" s="1"/>
  <c r="Z2300"/>
  <c r="AB2300" s="1"/>
  <c r="AD2300" s="1"/>
  <c r="Y2300"/>
  <c r="Y2299"/>
  <c r="AA2299" s="1"/>
  <c r="AC2299" s="1"/>
  <c r="X2299"/>
  <c r="V2299"/>
  <c r="T2299"/>
  <c r="R2299"/>
  <c r="P2299"/>
  <c r="N2299"/>
  <c r="L2299"/>
  <c r="Z2295"/>
  <c r="AB2295" s="1"/>
  <c r="AD2295" s="1"/>
  <c r="Y2295"/>
  <c r="AA2295" s="1"/>
  <c r="AC2295" s="1"/>
  <c r="Y2294"/>
  <c r="AA2294" s="1"/>
  <c r="AC2294" s="1"/>
  <c r="X2294"/>
  <c r="V2294"/>
  <c r="T2294"/>
  <c r="R2294"/>
  <c r="P2294"/>
  <c r="N2294"/>
  <c r="L2294"/>
  <c r="AD2293"/>
  <c r="Z2293"/>
  <c r="AB2293" s="1"/>
  <c r="Y2293"/>
  <c r="AA2293" s="1"/>
  <c r="AC2293" s="1"/>
  <c r="AA2292"/>
  <c r="AC2292" s="1"/>
  <c r="Y2292"/>
  <c r="X2292"/>
  <c r="V2292"/>
  <c r="T2292"/>
  <c r="Z2292" s="1"/>
  <c r="AB2292" s="1"/>
  <c r="R2292"/>
  <c r="P2292"/>
  <c r="N2292"/>
  <c r="L2292"/>
  <c r="AB2291"/>
  <c r="AD2291" s="1"/>
  <c r="Z2291"/>
  <c r="Y2291"/>
  <c r="AA2291" s="1"/>
  <c r="AC2291" s="1"/>
  <c r="AA2290"/>
  <c r="AC2290" s="1"/>
  <c r="Y2290"/>
  <c r="X2290"/>
  <c r="V2290"/>
  <c r="T2290"/>
  <c r="R2290"/>
  <c r="P2290"/>
  <c r="N2290"/>
  <c r="L2290"/>
  <c r="Z2289"/>
  <c r="AB2289" s="1"/>
  <c r="AD2289" s="1"/>
  <c r="Y2289"/>
  <c r="AA2289" s="1"/>
  <c r="AC2289" s="1"/>
  <c r="AD2288"/>
  <c r="Z2288"/>
  <c r="AB2288" s="1"/>
  <c r="Y2288"/>
  <c r="AA2288" s="1"/>
  <c r="AC2288" s="1"/>
  <c r="AB2287"/>
  <c r="AD2287" s="1"/>
  <c r="Z2287"/>
  <c r="Y2287"/>
  <c r="AA2287" s="1"/>
  <c r="AC2287" s="1"/>
  <c r="AD2286"/>
  <c r="Z2286"/>
  <c r="AB2286" s="1"/>
  <c r="Y2286"/>
  <c r="AA2286" s="1"/>
  <c r="AC2286" s="1"/>
  <c r="AB2285"/>
  <c r="AD2285" s="1"/>
  <c r="AA2285"/>
  <c r="AC2285" s="1"/>
  <c r="Z2285"/>
  <c r="Y2285"/>
  <c r="Y2284"/>
  <c r="AA2284" s="1"/>
  <c r="AC2284" s="1"/>
  <c r="X2284"/>
  <c r="V2284"/>
  <c r="T2284"/>
  <c r="R2284"/>
  <c r="P2284"/>
  <c r="N2284"/>
  <c r="L2284"/>
  <c r="AA2283"/>
  <c r="AC2283" s="1"/>
  <c r="Z2283"/>
  <c r="AB2283" s="1"/>
  <c r="AD2283" s="1"/>
  <c r="Y2283"/>
  <c r="Z2282"/>
  <c r="AB2282" s="1"/>
  <c r="AD2282" s="1"/>
  <c r="Y2282"/>
  <c r="AA2282" s="1"/>
  <c r="AC2282" s="1"/>
  <c r="Z2281"/>
  <c r="AB2281" s="1"/>
  <c r="AD2281" s="1"/>
  <c r="Y2281"/>
  <c r="AA2281" s="1"/>
  <c r="AC2281" s="1"/>
  <c r="AB2280"/>
  <c r="AD2280" s="1"/>
  <c r="Z2280"/>
  <c r="Y2280"/>
  <c r="AA2280" s="1"/>
  <c r="AC2280" s="1"/>
  <c r="AA2279"/>
  <c r="AC2279" s="1"/>
  <c r="Y2279"/>
  <c r="X2279"/>
  <c r="V2279"/>
  <c r="T2279"/>
  <c r="R2279"/>
  <c r="P2279"/>
  <c r="N2279"/>
  <c r="L2279"/>
  <c r="Z2278"/>
  <c r="AB2278" s="1"/>
  <c r="AD2278" s="1"/>
  <c r="Y2278"/>
  <c r="AA2278" s="1"/>
  <c r="AC2278" s="1"/>
  <c r="AD2277"/>
  <c r="Z2277"/>
  <c r="AB2277" s="1"/>
  <c r="Y2277"/>
  <c r="AA2277" s="1"/>
  <c r="AC2277" s="1"/>
  <c r="AA2276"/>
  <c r="AC2276" s="1"/>
  <c r="Y2276"/>
  <c r="X2276"/>
  <c r="V2276"/>
  <c r="T2276"/>
  <c r="R2276"/>
  <c r="P2276"/>
  <c r="N2276"/>
  <c r="L2276"/>
  <c r="Z2275"/>
  <c r="AB2275" s="1"/>
  <c r="AD2275" s="1"/>
  <c r="Y2275"/>
  <c r="AA2275" s="1"/>
  <c r="AC2275" s="1"/>
  <c r="AA2274"/>
  <c r="AC2274" s="1"/>
  <c r="Y2274"/>
  <c r="X2274"/>
  <c r="V2274"/>
  <c r="T2274"/>
  <c r="R2274"/>
  <c r="P2274"/>
  <c r="N2274"/>
  <c r="L2274"/>
  <c r="AA2273"/>
  <c r="AC2273" s="1"/>
  <c r="Z2273"/>
  <c r="AB2273" s="1"/>
  <c r="Y2273"/>
  <c r="L2273"/>
  <c r="L2272" s="1"/>
  <c r="AA2272"/>
  <c r="AC2272" s="1"/>
  <c r="Y2272"/>
  <c r="X2272"/>
  <c r="V2272"/>
  <c r="T2272"/>
  <c r="Z2272" s="1"/>
  <c r="R2272"/>
  <c r="P2272"/>
  <c r="N2272"/>
  <c r="AB2271"/>
  <c r="AD2271" s="1"/>
  <c r="AA2271"/>
  <c r="AC2271" s="1"/>
  <c r="Z2271"/>
  <c r="Y2271"/>
  <c r="Y2270"/>
  <c r="AA2270" s="1"/>
  <c r="AC2270" s="1"/>
  <c r="X2270"/>
  <c r="V2270"/>
  <c r="T2270"/>
  <c r="R2270"/>
  <c r="P2270"/>
  <c r="N2270"/>
  <c r="L2270"/>
  <c r="AA2269"/>
  <c r="AC2269" s="1"/>
  <c r="Z2269"/>
  <c r="AB2269" s="1"/>
  <c r="AD2269" s="1"/>
  <c r="Y2269"/>
  <c r="Y2268"/>
  <c r="AA2268" s="1"/>
  <c r="AC2268" s="1"/>
  <c r="X2268"/>
  <c r="V2268"/>
  <c r="T2268"/>
  <c r="R2268"/>
  <c r="Z2268" s="1"/>
  <c r="AB2268" s="1"/>
  <c r="AD2268" s="1"/>
  <c r="P2268"/>
  <c r="N2268"/>
  <c r="L2268"/>
  <c r="AD2267"/>
  <c r="Z2267"/>
  <c r="AB2267" s="1"/>
  <c r="Y2267"/>
  <c r="AA2267" s="1"/>
  <c r="AC2267" s="1"/>
  <c r="L2267"/>
  <c r="L2266" s="1"/>
  <c r="AC2266"/>
  <c r="Y2266"/>
  <c r="AA2266" s="1"/>
  <c r="X2266"/>
  <c r="V2266"/>
  <c r="T2266"/>
  <c r="R2266"/>
  <c r="P2266"/>
  <c r="N2266"/>
  <c r="AD2265"/>
  <c r="Z2265"/>
  <c r="AB2265" s="1"/>
  <c r="Y2265"/>
  <c r="AA2265" s="1"/>
  <c r="AC2265" s="1"/>
  <c r="AA2264"/>
  <c r="AC2264" s="1"/>
  <c r="Z2264"/>
  <c r="AB2264" s="1"/>
  <c r="AD2264" s="1"/>
  <c r="Y2264"/>
  <c r="Y2263"/>
  <c r="AA2263" s="1"/>
  <c r="AC2263" s="1"/>
  <c r="X2263"/>
  <c r="V2263"/>
  <c r="T2263"/>
  <c r="R2263"/>
  <c r="P2263"/>
  <c r="N2263"/>
  <c r="L2263"/>
  <c r="Z2262"/>
  <c r="AB2262" s="1"/>
  <c r="AD2262" s="1"/>
  <c r="Y2262"/>
  <c r="AA2262" s="1"/>
  <c r="AC2262" s="1"/>
  <c r="Z2261"/>
  <c r="AB2261" s="1"/>
  <c r="AD2261" s="1"/>
  <c r="Y2261"/>
  <c r="AA2261" s="1"/>
  <c r="AC2261" s="1"/>
  <c r="AA2260"/>
  <c r="AC2260" s="1"/>
  <c r="Z2260"/>
  <c r="AB2260" s="1"/>
  <c r="AD2260" s="1"/>
  <c r="Y2260"/>
  <c r="AB2259"/>
  <c r="AD2259" s="1"/>
  <c r="Z2259"/>
  <c r="Y2259"/>
  <c r="AA2259" s="1"/>
  <c r="AC2259" s="1"/>
  <c r="Y2258"/>
  <c r="AA2258" s="1"/>
  <c r="AC2258" s="1"/>
  <c r="X2258"/>
  <c r="V2258"/>
  <c r="T2258"/>
  <c r="R2258"/>
  <c r="P2258"/>
  <c r="N2258"/>
  <c r="L2258"/>
  <c r="AB2257"/>
  <c r="AD2257" s="1"/>
  <c r="AA2257"/>
  <c r="AC2257" s="1"/>
  <c r="Z2257"/>
  <c r="Y2257"/>
  <c r="AD2256"/>
  <c r="Z2256"/>
  <c r="AB2256" s="1"/>
  <c r="Y2256"/>
  <c r="AA2256" s="1"/>
  <c r="AC2256" s="1"/>
  <c r="AA2255"/>
  <c r="AC2255" s="1"/>
  <c r="Z2255"/>
  <c r="AB2255" s="1"/>
  <c r="AD2255" s="1"/>
  <c r="Y2255"/>
  <c r="Z2254"/>
  <c r="AB2254" s="1"/>
  <c r="AD2254" s="1"/>
  <c r="Y2254"/>
  <c r="AA2254" s="1"/>
  <c r="AC2254" s="1"/>
  <c r="Z2253"/>
  <c r="AB2253" s="1"/>
  <c r="AD2253" s="1"/>
  <c r="Y2253"/>
  <c r="AA2253" s="1"/>
  <c r="AC2253" s="1"/>
  <c r="AD2252"/>
  <c r="Z2252"/>
  <c r="AB2252" s="1"/>
  <c r="Y2252"/>
  <c r="AA2252" s="1"/>
  <c r="AC2252" s="1"/>
  <c r="AB2251"/>
  <c r="AD2251" s="1"/>
  <c r="Z2251"/>
  <c r="Y2251"/>
  <c r="AA2251" s="1"/>
  <c r="AC2251" s="1"/>
  <c r="Z2250"/>
  <c r="AB2250" s="1"/>
  <c r="AD2250" s="1"/>
  <c r="Y2250"/>
  <c r="AA2250" s="1"/>
  <c r="AC2250" s="1"/>
  <c r="AA2249"/>
  <c r="AC2249" s="1"/>
  <c r="Z2249"/>
  <c r="AB2249" s="1"/>
  <c r="AD2249" s="1"/>
  <c r="Y2249"/>
  <c r="Z2248"/>
  <c r="AB2248" s="1"/>
  <c r="AD2248" s="1"/>
  <c r="Y2248"/>
  <c r="AA2248" s="1"/>
  <c r="AC2248" s="1"/>
  <c r="AA2247"/>
  <c r="AC2247" s="1"/>
  <c r="Y2247"/>
  <c r="X2247"/>
  <c r="V2247"/>
  <c r="T2247"/>
  <c r="R2247"/>
  <c r="P2247"/>
  <c r="N2247"/>
  <c r="L2247"/>
  <c r="AB2243"/>
  <c r="AD2243" s="1"/>
  <c r="AA2243"/>
  <c r="AC2243" s="1"/>
  <c r="Z2243"/>
  <c r="Y2243"/>
  <c r="AD2242"/>
  <c r="Z2242"/>
  <c r="AB2242" s="1"/>
  <c r="Y2242"/>
  <c r="AA2242" s="1"/>
  <c r="AC2242" s="1"/>
  <c r="Y2241"/>
  <c r="AA2241" s="1"/>
  <c r="AC2241" s="1"/>
  <c r="X2241"/>
  <c r="V2241"/>
  <c r="T2241"/>
  <c r="R2241"/>
  <c r="P2241"/>
  <c r="N2241"/>
  <c r="L2241"/>
  <c r="Z2240"/>
  <c r="AB2240" s="1"/>
  <c r="AD2240" s="1"/>
  <c r="Y2240"/>
  <c r="AA2240" s="1"/>
  <c r="AC2240" s="1"/>
  <c r="Y2239"/>
  <c r="AA2239" s="1"/>
  <c r="AC2239" s="1"/>
  <c r="X2239"/>
  <c r="V2239"/>
  <c r="T2239"/>
  <c r="R2239"/>
  <c r="P2239"/>
  <c r="N2239"/>
  <c r="L2239"/>
  <c r="AB2238"/>
  <c r="AD2238" s="1"/>
  <c r="AA2238"/>
  <c r="AC2238" s="1"/>
  <c r="Z2238"/>
  <c r="Y2238"/>
  <c r="Z2237"/>
  <c r="AB2237" s="1"/>
  <c r="AD2237" s="1"/>
  <c r="Y2237"/>
  <c r="AA2237" s="1"/>
  <c r="AC2237" s="1"/>
  <c r="AA2236"/>
  <c r="AC2236" s="1"/>
  <c r="Z2236"/>
  <c r="AB2236" s="1"/>
  <c r="AD2236" s="1"/>
  <c r="Y2236"/>
  <c r="Z2235"/>
  <c r="AB2235" s="1"/>
  <c r="AD2235" s="1"/>
  <c r="Y2235"/>
  <c r="AA2235" s="1"/>
  <c r="AC2235" s="1"/>
  <c r="AB2234"/>
  <c r="AD2234" s="1"/>
  <c r="Z2234"/>
  <c r="Y2234"/>
  <c r="AA2234" s="1"/>
  <c r="AC2234" s="1"/>
  <c r="Y2233"/>
  <c r="AA2233" s="1"/>
  <c r="AC2233" s="1"/>
  <c r="X2233"/>
  <c r="V2233"/>
  <c r="T2233"/>
  <c r="Z2233" s="1"/>
  <c r="AB2233" s="1"/>
  <c r="R2233"/>
  <c r="P2233"/>
  <c r="N2233"/>
  <c r="L2233"/>
  <c r="AA2232"/>
  <c r="AC2232" s="1"/>
  <c r="Z2232"/>
  <c r="AB2232" s="1"/>
  <c r="AD2232" s="1"/>
  <c r="Y2232"/>
  <c r="Y2231"/>
  <c r="AA2231" s="1"/>
  <c r="AC2231" s="1"/>
  <c r="X2231"/>
  <c r="V2231"/>
  <c r="T2231"/>
  <c r="R2231"/>
  <c r="Z2231" s="1"/>
  <c r="AB2231" s="1"/>
  <c r="AD2231" s="1"/>
  <c r="P2231"/>
  <c r="N2231"/>
  <c r="L2231"/>
  <c r="AD2230"/>
  <c r="Z2230"/>
  <c r="AB2230" s="1"/>
  <c r="Y2230"/>
  <c r="AA2230" s="1"/>
  <c r="AC2230" s="1"/>
  <c r="Y2229"/>
  <c r="AA2229" s="1"/>
  <c r="AC2229" s="1"/>
  <c r="X2229"/>
  <c r="V2229"/>
  <c r="T2229"/>
  <c r="R2229"/>
  <c r="P2229"/>
  <c r="N2229"/>
  <c r="L2229"/>
  <c r="Z2228"/>
  <c r="AB2228" s="1"/>
  <c r="AD2228" s="1"/>
  <c r="Y2228"/>
  <c r="AA2228" s="1"/>
  <c r="AC2228" s="1"/>
  <c r="Y2227"/>
  <c r="AA2227" s="1"/>
  <c r="AC2227" s="1"/>
  <c r="X2227"/>
  <c r="V2227"/>
  <c r="T2227"/>
  <c r="R2227"/>
  <c r="P2227"/>
  <c r="N2227"/>
  <c r="L2227"/>
  <c r="AB2226"/>
  <c r="AA2226"/>
  <c r="AC2226" s="1"/>
  <c r="Z2226"/>
  <c r="Y2226"/>
  <c r="L2226"/>
  <c r="L2225" s="1"/>
  <c r="AA2225"/>
  <c r="AC2225" s="1"/>
  <c r="Y2225"/>
  <c r="X2225"/>
  <c r="V2225"/>
  <c r="T2225"/>
  <c r="R2225"/>
  <c r="P2225"/>
  <c r="N2225"/>
  <c r="AB2224"/>
  <c r="Z2224"/>
  <c r="Y2224"/>
  <c r="AA2224" s="1"/>
  <c r="AC2224" s="1"/>
  <c r="L2224"/>
  <c r="Z2223"/>
  <c r="AB2223" s="1"/>
  <c r="Y2223"/>
  <c r="AA2223" s="1"/>
  <c r="AC2223" s="1"/>
  <c r="L2223"/>
  <c r="Y2222"/>
  <c r="AA2222" s="1"/>
  <c r="AC2222" s="1"/>
  <c r="X2222"/>
  <c r="V2222"/>
  <c r="T2222"/>
  <c r="R2222"/>
  <c r="P2222"/>
  <c r="N2222"/>
  <c r="L2222"/>
  <c r="Z2221"/>
  <c r="AB2221" s="1"/>
  <c r="AD2221" s="1"/>
  <c r="Y2221"/>
  <c r="AA2221" s="1"/>
  <c r="AC2221" s="1"/>
  <c r="AC2220"/>
  <c r="Y2220"/>
  <c r="AA2220" s="1"/>
  <c r="X2220"/>
  <c r="V2220"/>
  <c r="T2220"/>
  <c r="R2220"/>
  <c r="P2220"/>
  <c r="N2220"/>
  <c r="L2220"/>
  <c r="AD2219"/>
  <c r="Z2219"/>
  <c r="AB2219" s="1"/>
  <c r="Y2219"/>
  <c r="AA2219" s="1"/>
  <c r="AC2219" s="1"/>
  <c r="AA2218"/>
  <c r="AC2218" s="1"/>
  <c r="Y2218"/>
  <c r="X2218"/>
  <c r="V2218"/>
  <c r="T2218"/>
  <c r="R2218"/>
  <c r="P2218"/>
  <c r="N2218"/>
  <c r="L2218"/>
  <c r="AB2217"/>
  <c r="AD2217" s="1"/>
  <c r="Z2217"/>
  <c r="Y2217"/>
  <c r="AA2217" s="1"/>
  <c r="AC2217" s="1"/>
  <c r="AA2216"/>
  <c r="AC2216" s="1"/>
  <c r="Z2216"/>
  <c r="AB2216" s="1"/>
  <c r="AD2216" s="1"/>
  <c r="Y2216"/>
  <c r="Z2215"/>
  <c r="AB2215" s="1"/>
  <c r="AD2215" s="1"/>
  <c r="Y2215"/>
  <c r="AA2215" s="1"/>
  <c r="AC2215" s="1"/>
  <c r="L2215"/>
  <c r="AB2214"/>
  <c r="AA2214"/>
  <c r="AC2214" s="1"/>
  <c r="Z2214"/>
  <c r="Y2214"/>
  <c r="L2214"/>
  <c r="L2213" s="1"/>
  <c r="AA2213"/>
  <c r="AC2213" s="1"/>
  <c r="Y2213"/>
  <c r="X2213"/>
  <c r="V2213"/>
  <c r="T2213"/>
  <c r="Z2213" s="1"/>
  <c r="R2213"/>
  <c r="P2213"/>
  <c r="N2213"/>
  <c r="AB2212"/>
  <c r="AD2212" s="1"/>
  <c r="Z2212"/>
  <c r="Y2212"/>
  <c r="AA2212" s="1"/>
  <c r="AC2212" s="1"/>
  <c r="AD2211"/>
  <c r="Z2211"/>
  <c r="AB2211" s="1"/>
  <c r="Y2211"/>
  <c r="AA2211" s="1"/>
  <c r="AC2211" s="1"/>
  <c r="AB2210"/>
  <c r="AD2210" s="1"/>
  <c r="Z2210"/>
  <c r="Y2210"/>
  <c r="AA2210" s="1"/>
  <c r="AC2210" s="1"/>
  <c r="AD2209"/>
  <c r="Z2209"/>
  <c r="AB2209" s="1"/>
  <c r="Y2209"/>
  <c r="AA2209" s="1"/>
  <c r="AC2209" s="1"/>
  <c r="AB2208"/>
  <c r="AD2208" s="1"/>
  <c r="Z2208"/>
  <c r="Y2208"/>
  <c r="AA2208" s="1"/>
  <c r="AC2208" s="1"/>
  <c r="AD2207"/>
  <c r="Z2207"/>
  <c r="AB2207" s="1"/>
  <c r="Y2207"/>
  <c r="AA2207" s="1"/>
  <c r="AC2207" s="1"/>
  <c r="AB2206"/>
  <c r="AD2206" s="1"/>
  <c r="Z2206"/>
  <c r="Y2206"/>
  <c r="AA2206" s="1"/>
  <c r="AC2206" s="1"/>
  <c r="AD2205"/>
  <c r="Z2205"/>
  <c r="AB2205" s="1"/>
  <c r="Y2205"/>
  <c r="AA2205" s="1"/>
  <c r="AC2205" s="1"/>
  <c r="AB2204"/>
  <c r="AD2204" s="1"/>
  <c r="Z2204"/>
  <c r="Y2204"/>
  <c r="AA2204" s="1"/>
  <c r="AC2204" s="1"/>
  <c r="AD2203"/>
  <c r="Z2203"/>
  <c r="AB2203" s="1"/>
  <c r="Y2203"/>
  <c r="AA2203" s="1"/>
  <c r="AC2203" s="1"/>
  <c r="AB2202"/>
  <c r="AD2202" s="1"/>
  <c r="Z2202"/>
  <c r="Y2202"/>
  <c r="AA2202" s="1"/>
  <c r="AC2202" s="1"/>
  <c r="AD2201"/>
  <c r="Z2201"/>
  <c r="AB2201" s="1"/>
  <c r="Y2201"/>
  <c r="AA2201" s="1"/>
  <c r="AC2201" s="1"/>
  <c r="AA2200"/>
  <c r="AC2200" s="1"/>
  <c r="Y2200"/>
  <c r="X2200"/>
  <c r="V2200"/>
  <c r="T2200"/>
  <c r="R2200"/>
  <c r="P2200"/>
  <c r="N2200"/>
  <c r="L2200"/>
  <c r="AC2196"/>
  <c r="Z2196"/>
  <c r="AB2196" s="1"/>
  <c r="AD2196" s="1"/>
  <c r="Y2196"/>
  <c r="AA2196" s="1"/>
  <c r="T2196"/>
  <c r="AC2195"/>
  <c r="Y2195"/>
  <c r="AA2195" s="1"/>
  <c r="T2195"/>
  <c r="Z2195" s="1"/>
  <c r="AB2195" s="1"/>
  <c r="AD2195" s="1"/>
  <c r="AA2194"/>
  <c r="AC2194" s="1"/>
  <c r="Z2194"/>
  <c r="AB2194" s="1"/>
  <c r="AD2194" s="1"/>
  <c r="Y2194"/>
  <c r="Z2193"/>
  <c r="AB2193" s="1"/>
  <c r="AD2193" s="1"/>
  <c r="Y2193"/>
  <c r="AA2193" s="1"/>
  <c r="AC2193" s="1"/>
  <c r="T2193"/>
  <c r="Y2192"/>
  <c r="AA2192" s="1"/>
  <c r="AC2192" s="1"/>
  <c r="T2192"/>
  <c r="Z2192" s="1"/>
  <c r="AB2192" s="1"/>
  <c r="AD2192" s="1"/>
  <c r="AA2191"/>
  <c r="AC2191" s="1"/>
  <c r="Y2191"/>
  <c r="T2191"/>
  <c r="Z2191" s="1"/>
  <c r="AB2191" s="1"/>
  <c r="AD2191" s="1"/>
  <c r="AA2190"/>
  <c r="AC2190" s="1"/>
  <c r="Z2190"/>
  <c r="AB2190" s="1"/>
  <c r="AD2190" s="1"/>
  <c r="Y2190"/>
  <c r="T2190"/>
  <c r="Y2189"/>
  <c r="AA2189" s="1"/>
  <c r="AC2189" s="1"/>
  <c r="X2189"/>
  <c r="V2189"/>
  <c r="R2189"/>
  <c r="P2189"/>
  <c r="N2189"/>
  <c r="L2189"/>
  <c r="AA2188"/>
  <c r="AC2188" s="1"/>
  <c r="Z2188"/>
  <c r="AB2188" s="1"/>
  <c r="AD2188" s="1"/>
  <c r="Y2188"/>
  <c r="T2188"/>
  <c r="AC2187"/>
  <c r="Z2187"/>
  <c r="AB2187" s="1"/>
  <c r="AD2187" s="1"/>
  <c r="Y2187"/>
  <c r="AA2187" s="1"/>
  <c r="Y2186"/>
  <c r="AA2186" s="1"/>
  <c r="AC2186" s="1"/>
  <c r="X2186"/>
  <c r="V2186"/>
  <c r="T2186"/>
  <c r="R2186"/>
  <c r="P2186"/>
  <c r="N2186"/>
  <c r="L2186"/>
  <c r="Z2185"/>
  <c r="AB2185" s="1"/>
  <c r="AD2185" s="1"/>
  <c r="Y2185"/>
  <c r="AA2185" s="1"/>
  <c r="AC2185" s="1"/>
  <c r="K2185"/>
  <c r="Y2184"/>
  <c r="AA2184" s="1"/>
  <c r="AC2184" s="1"/>
  <c r="X2184"/>
  <c r="V2184"/>
  <c r="T2184"/>
  <c r="R2184"/>
  <c r="P2184"/>
  <c r="N2184"/>
  <c r="L2184"/>
  <c r="AC2183"/>
  <c r="AB2183"/>
  <c r="AD2183" s="1"/>
  <c r="Z2183"/>
  <c r="Y2183"/>
  <c r="AA2183" s="1"/>
  <c r="AD2182"/>
  <c r="Z2182"/>
  <c r="AB2182" s="1"/>
  <c r="Y2182"/>
  <c r="AA2182" s="1"/>
  <c r="AC2182" s="1"/>
  <c r="AC2181"/>
  <c r="Y2181"/>
  <c r="AA2181" s="1"/>
  <c r="X2181"/>
  <c r="V2181"/>
  <c r="T2181"/>
  <c r="R2181"/>
  <c r="P2181"/>
  <c r="N2181"/>
  <c r="L2181"/>
  <c r="Y2180"/>
  <c r="AA2180" s="1"/>
  <c r="AC2180" s="1"/>
  <c r="T2180"/>
  <c r="Z2180" s="1"/>
  <c r="AB2180" s="1"/>
  <c r="AD2180" s="1"/>
  <c r="Z2179"/>
  <c r="AB2179" s="1"/>
  <c r="AD2179" s="1"/>
  <c r="Y2179"/>
  <c r="AA2179" s="1"/>
  <c r="AC2179" s="1"/>
  <c r="Y2178"/>
  <c r="X2178"/>
  <c r="V2178"/>
  <c r="R2178"/>
  <c r="P2178"/>
  <c r="N2178"/>
  <c r="L2178"/>
  <c r="Z2177"/>
  <c r="AB2177" s="1"/>
  <c r="AD2177" s="1"/>
  <c r="Y2177"/>
  <c r="AA2177" s="1"/>
  <c r="AC2177" s="1"/>
  <c r="AA2176"/>
  <c r="AC2176" s="1"/>
  <c r="Y2176"/>
  <c r="X2176"/>
  <c r="V2176"/>
  <c r="V2174" s="1"/>
  <c r="T2176"/>
  <c r="R2176"/>
  <c r="P2176"/>
  <c r="N2176"/>
  <c r="N2174" s="1"/>
  <c r="L2176"/>
  <c r="L2174" s="1"/>
  <c r="Z2175"/>
  <c r="AB2175" s="1"/>
  <c r="Y2175"/>
  <c r="AA2175" s="1"/>
  <c r="AC2175" s="1"/>
  <c r="L2175"/>
  <c r="Y2174"/>
  <c r="AA2174" s="1"/>
  <c r="AC2174" s="1"/>
  <c r="X2174"/>
  <c r="R2174"/>
  <c r="P2174"/>
  <c r="AB2173"/>
  <c r="AD2173" s="1"/>
  <c r="AA2173"/>
  <c r="AC2173" s="1"/>
  <c r="Z2173"/>
  <c r="Y2173"/>
  <c r="AC2172"/>
  <c r="Z2172"/>
  <c r="AB2172" s="1"/>
  <c r="AD2172" s="1"/>
  <c r="Y2172"/>
  <c r="AA2172" s="1"/>
  <c r="Y2171"/>
  <c r="AA2171" s="1"/>
  <c r="AC2171" s="1"/>
  <c r="X2171"/>
  <c r="V2171"/>
  <c r="T2171"/>
  <c r="R2171"/>
  <c r="P2171"/>
  <c r="N2171"/>
  <c r="L2171"/>
  <c r="AC2170"/>
  <c r="Y2170"/>
  <c r="AA2170" s="1"/>
  <c r="T2170"/>
  <c r="Y2169"/>
  <c r="AA2169" s="1"/>
  <c r="AC2169" s="1"/>
  <c r="X2169"/>
  <c r="V2169"/>
  <c r="R2169"/>
  <c r="P2169"/>
  <c r="N2169"/>
  <c r="L2169"/>
  <c r="Y2168"/>
  <c r="AA2168" s="1"/>
  <c r="AC2168" s="1"/>
  <c r="T2168"/>
  <c r="Z2168" s="1"/>
  <c r="AB2168" s="1"/>
  <c r="AD2168" s="1"/>
  <c r="AA2167"/>
  <c r="AC2167" s="1"/>
  <c r="Y2167"/>
  <c r="T2167"/>
  <c r="Z2167" s="1"/>
  <c r="AB2167" s="1"/>
  <c r="AD2167" s="1"/>
  <c r="AA2166"/>
  <c r="AC2166" s="1"/>
  <c r="Z2166"/>
  <c r="AB2166" s="1"/>
  <c r="AD2166" s="1"/>
  <c r="Y2166"/>
  <c r="Y2165"/>
  <c r="AA2165" s="1"/>
  <c r="AC2165" s="1"/>
  <c r="T2165"/>
  <c r="AA2164"/>
  <c r="AC2164" s="1"/>
  <c r="Y2164"/>
  <c r="X2164"/>
  <c r="V2164"/>
  <c r="R2164"/>
  <c r="P2164"/>
  <c r="N2164"/>
  <c r="L2164"/>
  <c r="AB2163"/>
  <c r="AD2163" s="1"/>
  <c r="Y2163"/>
  <c r="AA2163" s="1"/>
  <c r="AC2163" s="1"/>
  <c r="T2163"/>
  <c r="Z2163" s="1"/>
  <c r="AA2162"/>
  <c r="AC2162" s="1"/>
  <c r="Y2162"/>
  <c r="T2162"/>
  <c r="Z2162" s="1"/>
  <c r="AB2162" s="1"/>
  <c r="AD2162" s="1"/>
  <c r="Z2161"/>
  <c r="AB2161" s="1"/>
  <c r="AD2161" s="1"/>
  <c r="Y2161"/>
  <c r="AA2161" s="1"/>
  <c r="AC2161" s="1"/>
  <c r="T2161"/>
  <c r="AC2160"/>
  <c r="Z2160"/>
  <c r="AB2160" s="1"/>
  <c r="AD2160" s="1"/>
  <c r="Y2160"/>
  <c r="AA2160" s="1"/>
  <c r="T2160"/>
  <c r="Y2159"/>
  <c r="AA2159" s="1"/>
  <c r="AC2159" s="1"/>
  <c r="T2159"/>
  <c r="Z2159" s="1"/>
  <c r="AB2159" s="1"/>
  <c r="AD2159" s="1"/>
  <c r="Y2158"/>
  <c r="AA2158" s="1"/>
  <c r="AC2158" s="1"/>
  <c r="T2158"/>
  <c r="Z2158" s="1"/>
  <c r="AB2158" s="1"/>
  <c r="AD2158" s="1"/>
  <c r="Z2157"/>
  <c r="AB2157" s="1"/>
  <c r="AD2157" s="1"/>
  <c r="Y2157"/>
  <c r="AA2157" s="1"/>
  <c r="AC2157" s="1"/>
  <c r="T2157"/>
  <c r="Y2156"/>
  <c r="AA2156" s="1"/>
  <c r="AC2156" s="1"/>
  <c r="T2156"/>
  <c r="Z2156" s="1"/>
  <c r="AB2156" s="1"/>
  <c r="AD2156" s="1"/>
  <c r="Y2155"/>
  <c r="AA2155" s="1"/>
  <c r="AC2155" s="1"/>
  <c r="T2155"/>
  <c r="Z2155" s="1"/>
  <c r="AB2155" s="1"/>
  <c r="AD2155" s="1"/>
  <c r="AA2154"/>
  <c r="AC2154" s="1"/>
  <c r="Y2154"/>
  <c r="T2154"/>
  <c r="Z2154" s="1"/>
  <c r="AB2154" s="1"/>
  <c r="AD2154" s="1"/>
  <c r="AA2153"/>
  <c r="AC2153" s="1"/>
  <c r="Z2153"/>
  <c r="AB2153" s="1"/>
  <c r="AD2153" s="1"/>
  <c r="Y2153"/>
  <c r="T2153"/>
  <c r="AC2152"/>
  <c r="Y2152"/>
  <c r="AA2152" s="1"/>
  <c r="X2152"/>
  <c r="V2152"/>
  <c r="R2152"/>
  <c r="R2151" s="1"/>
  <c r="P2152"/>
  <c r="N2152"/>
  <c r="L2152"/>
  <c r="Z2148"/>
  <c r="AB2148" s="1"/>
  <c r="AD2148" s="1"/>
  <c r="Y2148"/>
  <c r="AA2148" s="1"/>
  <c r="AC2148" s="1"/>
  <c r="AA2147"/>
  <c r="AC2147" s="1"/>
  <c r="Y2147"/>
  <c r="X2147"/>
  <c r="V2147"/>
  <c r="T2147"/>
  <c r="R2147"/>
  <c r="P2147"/>
  <c r="N2147"/>
  <c r="L2147"/>
  <c r="Z2146"/>
  <c r="AB2146" s="1"/>
  <c r="AD2146" s="1"/>
  <c r="Y2146"/>
  <c r="AA2146" s="1"/>
  <c r="AC2146" s="1"/>
  <c r="AA2145"/>
  <c r="AC2145" s="1"/>
  <c r="Y2145"/>
  <c r="X2145"/>
  <c r="V2145"/>
  <c r="T2145"/>
  <c r="R2145"/>
  <c r="P2145"/>
  <c r="N2145"/>
  <c r="L2145"/>
  <c r="Z2144"/>
  <c r="AB2144" s="1"/>
  <c r="AD2144" s="1"/>
  <c r="Y2144"/>
  <c r="AA2144" s="1"/>
  <c r="AC2144" s="1"/>
  <c r="Z2143"/>
  <c r="AB2143" s="1"/>
  <c r="AD2143" s="1"/>
  <c r="Y2143"/>
  <c r="AA2143" s="1"/>
  <c r="AC2143" s="1"/>
  <c r="AB2142"/>
  <c r="AD2142" s="1"/>
  <c r="Z2142"/>
  <c r="Y2142"/>
  <c r="AA2142" s="1"/>
  <c r="AC2142" s="1"/>
  <c r="AC2141"/>
  <c r="Z2141"/>
  <c r="AB2141" s="1"/>
  <c r="AD2141" s="1"/>
  <c r="Y2141"/>
  <c r="AA2141" s="1"/>
  <c r="AB2140"/>
  <c r="AD2140" s="1"/>
  <c r="AA2140"/>
  <c r="AC2140" s="1"/>
  <c r="Z2140"/>
  <c r="Y2140"/>
  <c r="AC2139"/>
  <c r="Y2139"/>
  <c r="AA2139" s="1"/>
  <c r="X2139"/>
  <c r="V2139"/>
  <c r="T2139"/>
  <c r="Z2139" s="1"/>
  <c r="AB2139" s="1"/>
  <c r="AD2139" s="1"/>
  <c r="R2139"/>
  <c r="P2139"/>
  <c r="N2139"/>
  <c r="L2139"/>
  <c r="AA2138"/>
  <c r="AC2138" s="1"/>
  <c r="Z2138"/>
  <c r="AB2138" s="1"/>
  <c r="AD2138" s="1"/>
  <c r="Y2138"/>
  <c r="Y2137"/>
  <c r="AA2137" s="1"/>
  <c r="AC2137" s="1"/>
  <c r="X2137"/>
  <c r="V2137"/>
  <c r="T2137"/>
  <c r="R2137"/>
  <c r="Z2137" s="1"/>
  <c r="AB2137" s="1"/>
  <c r="AD2137" s="1"/>
  <c r="P2137"/>
  <c r="N2137"/>
  <c r="L2137"/>
  <c r="AD2136"/>
  <c r="AC2136"/>
  <c r="Z2136"/>
  <c r="AB2136" s="1"/>
  <c r="Y2136"/>
  <c r="AA2136" s="1"/>
  <c r="Y2135"/>
  <c r="X2135"/>
  <c r="V2135"/>
  <c r="T2135"/>
  <c r="R2135"/>
  <c r="Z2135" s="1"/>
  <c r="P2135"/>
  <c r="N2135"/>
  <c r="L2135"/>
  <c r="AD2134"/>
  <c r="AC2134"/>
  <c r="Z2134"/>
  <c r="AB2134" s="1"/>
  <c r="Y2134"/>
  <c r="AA2134" s="1"/>
  <c r="AB2133"/>
  <c r="AA2133"/>
  <c r="AC2133" s="1"/>
  <c r="Z2133"/>
  <c r="Y2133"/>
  <c r="L2133"/>
  <c r="L2131" s="1"/>
  <c r="AD2132"/>
  <c r="Z2132"/>
  <c r="AB2132" s="1"/>
  <c r="Y2132"/>
  <c r="AA2132" s="1"/>
  <c r="AC2132" s="1"/>
  <c r="AC2131"/>
  <c r="Y2131"/>
  <c r="AA2131" s="1"/>
  <c r="X2131"/>
  <c r="V2131"/>
  <c r="T2131"/>
  <c r="R2131"/>
  <c r="P2131"/>
  <c r="N2131"/>
  <c r="Z2130"/>
  <c r="AB2130" s="1"/>
  <c r="AD2130" s="1"/>
  <c r="Y2130"/>
  <c r="AA2130" s="1"/>
  <c r="AC2130" s="1"/>
  <c r="Y2129"/>
  <c r="AA2129" s="1"/>
  <c r="AC2129" s="1"/>
  <c r="X2129"/>
  <c r="V2129"/>
  <c r="T2129"/>
  <c r="R2129"/>
  <c r="P2129"/>
  <c r="N2129"/>
  <c r="L2129"/>
  <c r="AC2128"/>
  <c r="AB2128"/>
  <c r="AD2128" s="1"/>
  <c r="Z2128"/>
  <c r="Y2128"/>
  <c r="AA2128" s="1"/>
  <c r="AD2127"/>
  <c r="AA2127"/>
  <c r="AC2127" s="1"/>
  <c r="Z2127"/>
  <c r="AB2127" s="1"/>
  <c r="Y2127"/>
  <c r="AC2126"/>
  <c r="Y2126"/>
  <c r="AA2126" s="1"/>
  <c r="X2126"/>
  <c r="V2126"/>
  <c r="T2126"/>
  <c r="R2126"/>
  <c r="P2126"/>
  <c r="N2126"/>
  <c r="L2126"/>
  <c r="Z2125"/>
  <c r="AB2125" s="1"/>
  <c r="AD2125" s="1"/>
  <c r="Y2125"/>
  <c r="AA2125" s="1"/>
  <c r="AC2125" s="1"/>
  <c r="Y2124"/>
  <c r="AA2124" s="1"/>
  <c r="AC2124" s="1"/>
  <c r="X2124"/>
  <c r="V2124"/>
  <c r="T2124"/>
  <c r="R2124"/>
  <c r="P2124"/>
  <c r="N2124"/>
  <c r="L2124"/>
  <c r="AC2123"/>
  <c r="AB2123"/>
  <c r="AD2123" s="1"/>
  <c r="Z2123"/>
  <c r="Y2123"/>
  <c r="AA2123" s="1"/>
  <c r="AD2122"/>
  <c r="Z2122"/>
  <c r="AB2122" s="1"/>
  <c r="Y2122"/>
  <c r="AA2122" s="1"/>
  <c r="AC2122" s="1"/>
  <c r="Y2121"/>
  <c r="X2121"/>
  <c r="V2121"/>
  <c r="T2121"/>
  <c r="Z2121" s="1"/>
  <c r="R2121"/>
  <c r="P2121"/>
  <c r="N2121"/>
  <c r="L2121"/>
  <c r="AA2120"/>
  <c r="AC2120" s="1"/>
  <c r="Y2120"/>
  <c r="T2120"/>
  <c r="L2120"/>
  <c r="L2119" s="1"/>
  <c r="AA2119"/>
  <c r="AC2119" s="1"/>
  <c r="Y2119"/>
  <c r="X2119"/>
  <c r="V2119"/>
  <c r="R2119"/>
  <c r="P2119"/>
  <c r="N2119"/>
  <c r="AB2118"/>
  <c r="AD2118" s="1"/>
  <c r="Z2118"/>
  <c r="Y2118"/>
  <c r="AA2118" s="1"/>
  <c r="AC2118" s="1"/>
  <c r="L2118"/>
  <c r="AB2117"/>
  <c r="AD2117" s="1"/>
  <c r="AA2117"/>
  <c r="AC2117" s="1"/>
  <c r="Z2117"/>
  <c r="Y2117"/>
  <c r="L2117"/>
  <c r="L2116" s="1"/>
  <c r="AA2116"/>
  <c r="AC2116" s="1"/>
  <c r="Y2116"/>
  <c r="X2116"/>
  <c r="V2116"/>
  <c r="T2116"/>
  <c r="R2116"/>
  <c r="P2116"/>
  <c r="N2116"/>
  <c r="AB2115"/>
  <c r="AD2115" s="1"/>
  <c r="Z2115"/>
  <c r="Y2115"/>
  <c r="AA2115" s="1"/>
  <c r="AC2115" s="1"/>
  <c r="AC2114"/>
  <c r="Y2114"/>
  <c r="AA2114" s="1"/>
  <c r="X2114"/>
  <c r="V2114"/>
  <c r="T2114"/>
  <c r="R2114"/>
  <c r="P2114"/>
  <c r="N2114"/>
  <c r="L2114"/>
  <c r="Z2113"/>
  <c r="AB2113" s="1"/>
  <c r="Y2113"/>
  <c r="AA2113" s="1"/>
  <c r="AC2113" s="1"/>
  <c r="L2113"/>
  <c r="Y2112"/>
  <c r="AA2112" s="1"/>
  <c r="AC2112" s="1"/>
  <c r="X2112"/>
  <c r="V2112"/>
  <c r="T2112"/>
  <c r="R2112"/>
  <c r="P2112"/>
  <c r="N2112"/>
  <c r="L2112"/>
  <c r="AA2111"/>
  <c r="AC2111" s="1"/>
  <c r="Z2111"/>
  <c r="AB2111" s="1"/>
  <c r="AD2111" s="1"/>
  <c r="Y2111"/>
  <c r="AB2110"/>
  <c r="AD2110" s="1"/>
  <c r="Z2110"/>
  <c r="Y2110"/>
  <c r="AA2110" s="1"/>
  <c r="AC2110" s="1"/>
  <c r="Z2109"/>
  <c r="AB2109" s="1"/>
  <c r="AD2109" s="1"/>
  <c r="Y2109"/>
  <c r="AA2109" s="1"/>
  <c r="AC2109" s="1"/>
  <c r="Z2108"/>
  <c r="AB2108" s="1"/>
  <c r="AD2108" s="1"/>
  <c r="Y2108"/>
  <c r="AA2108" s="1"/>
  <c r="AC2108" s="1"/>
  <c r="AA2107"/>
  <c r="AC2107" s="1"/>
  <c r="Y2107"/>
  <c r="X2107"/>
  <c r="V2107"/>
  <c r="T2107"/>
  <c r="R2107"/>
  <c r="P2107"/>
  <c r="N2107"/>
  <c r="L2107"/>
  <c r="Z2106"/>
  <c r="AB2106" s="1"/>
  <c r="Y2106"/>
  <c r="AA2106" s="1"/>
  <c r="AC2106" s="1"/>
  <c r="L2106"/>
  <c r="L2094" s="1"/>
  <c r="Z2105"/>
  <c r="AB2105" s="1"/>
  <c r="AD2105" s="1"/>
  <c r="Y2105"/>
  <c r="AA2105" s="1"/>
  <c r="AC2105" s="1"/>
  <c r="Z2104"/>
  <c r="AB2104" s="1"/>
  <c r="AD2104" s="1"/>
  <c r="Y2104"/>
  <c r="AA2104" s="1"/>
  <c r="AC2104" s="1"/>
  <c r="AA2103"/>
  <c r="AC2103" s="1"/>
  <c r="Z2103"/>
  <c r="AB2103" s="1"/>
  <c r="AD2103" s="1"/>
  <c r="Y2103"/>
  <c r="AB2102"/>
  <c r="AD2102" s="1"/>
  <c r="Z2102"/>
  <c r="Y2102"/>
  <c r="AA2102" s="1"/>
  <c r="AC2102" s="1"/>
  <c r="Z2101"/>
  <c r="AB2101" s="1"/>
  <c r="AD2101" s="1"/>
  <c r="Y2101"/>
  <c r="AA2101" s="1"/>
  <c r="AC2101" s="1"/>
  <c r="Z2100"/>
  <c r="AB2100" s="1"/>
  <c r="AD2100" s="1"/>
  <c r="Y2100"/>
  <c r="AA2100" s="1"/>
  <c r="AC2100" s="1"/>
  <c r="AA2099"/>
  <c r="AC2099" s="1"/>
  <c r="Z2099"/>
  <c r="AB2099" s="1"/>
  <c r="AD2099" s="1"/>
  <c r="Y2099"/>
  <c r="AB2098"/>
  <c r="AD2098" s="1"/>
  <c r="Z2098"/>
  <c r="Y2098"/>
  <c r="AA2098" s="1"/>
  <c r="AC2098" s="1"/>
  <c r="Z2097"/>
  <c r="AB2097" s="1"/>
  <c r="AD2097" s="1"/>
  <c r="Y2097"/>
  <c r="AA2097" s="1"/>
  <c r="AC2097" s="1"/>
  <c r="Z2096"/>
  <c r="AB2096" s="1"/>
  <c r="AD2096" s="1"/>
  <c r="Y2096"/>
  <c r="AA2096" s="1"/>
  <c r="AC2096" s="1"/>
  <c r="AA2095"/>
  <c r="AC2095" s="1"/>
  <c r="Z2095"/>
  <c r="AB2095" s="1"/>
  <c r="AD2095" s="1"/>
  <c r="Y2095"/>
  <c r="Y2094"/>
  <c r="AA2094" s="1"/>
  <c r="AC2094" s="1"/>
  <c r="X2094"/>
  <c r="V2094"/>
  <c r="T2094"/>
  <c r="R2094"/>
  <c r="P2094"/>
  <c r="N2094"/>
  <c r="L1228"/>
  <c r="AB1228"/>
  <c r="Z1228"/>
  <c r="Y1228"/>
  <c r="AA1228" s="1"/>
  <c r="AC1228" s="1"/>
  <c r="AA1227"/>
  <c r="AC1227" s="1"/>
  <c r="Z1227"/>
  <c r="AB1227" s="1"/>
  <c r="AD1227" s="1"/>
  <c r="Y1227"/>
  <c r="Z1226"/>
  <c r="AB1226" s="1"/>
  <c r="AD1226" s="1"/>
  <c r="Y1226"/>
  <c r="AA1226" s="1"/>
  <c r="AC1226" s="1"/>
  <c r="K1227"/>
  <c r="AB2820" l="1"/>
  <c r="AD2820" s="1"/>
  <c r="N2819"/>
  <c r="AB2829"/>
  <c r="AD2829" s="1"/>
  <c r="N2828"/>
  <c r="AB2828" s="1"/>
  <c r="AD2828" s="1"/>
  <c r="L2797"/>
  <c r="K2803"/>
  <c r="Z2811"/>
  <c r="T2796"/>
  <c r="Z2796" s="1"/>
  <c r="AD2233"/>
  <c r="AD2334"/>
  <c r="AC2149"/>
  <c r="AC2150" s="1"/>
  <c r="Z2107"/>
  <c r="AB2107" s="1"/>
  <c r="AD2107" s="1"/>
  <c r="Z2145"/>
  <c r="Y2151"/>
  <c r="AA2151" s="1"/>
  <c r="Z2222"/>
  <c r="AB2222" s="1"/>
  <c r="AD2222" s="1"/>
  <c r="P2246"/>
  <c r="X2343"/>
  <c r="Z2511"/>
  <c r="AB2511" s="1"/>
  <c r="AD2511" s="1"/>
  <c r="Z2527"/>
  <c r="AB2527" s="1"/>
  <c r="AD2527" s="1"/>
  <c r="Z2624"/>
  <c r="AB2624" s="1"/>
  <c r="AD2624" s="1"/>
  <c r="Z2679"/>
  <c r="AB2679" s="1"/>
  <c r="AD2679" s="1"/>
  <c r="Z2719"/>
  <c r="N2199"/>
  <c r="V2199"/>
  <c r="AD2292"/>
  <c r="P2343"/>
  <c r="Z2363"/>
  <c r="AB2363" s="1"/>
  <c r="AD2363" s="1"/>
  <c r="Z2365"/>
  <c r="Z2367"/>
  <c r="AB2367" s="1"/>
  <c r="AD2367" s="1"/>
  <c r="Z2369"/>
  <c r="AB2369" s="1"/>
  <c r="AD2369" s="1"/>
  <c r="AC2427"/>
  <c r="AC2428" s="1"/>
  <c r="AD2407"/>
  <c r="Z2410"/>
  <c r="AB2410" s="1"/>
  <c r="AD2410" s="1"/>
  <c r="Z2457"/>
  <c r="AB2457" s="1"/>
  <c r="AD2457" s="1"/>
  <c r="Z2459"/>
  <c r="AC2740"/>
  <c r="AC2741" s="1"/>
  <c r="P2742"/>
  <c r="X2742"/>
  <c r="P2796"/>
  <c r="R2796"/>
  <c r="AB2656"/>
  <c r="AD2656" s="1"/>
  <c r="N2655"/>
  <c r="N2633" s="1"/>
  <c r="AB2769"/>
  <c r="AD2769" s="1"/>
  <c r="N2768"/>
  <c r="AB2768" s="1"/>
  <c r="AD2768" s="1"/>
  <c r="Z2176"/>
  <c r="AB2176" s="1"/>
  <c r="AD2176" s="1"/>
  <c r="T2174"/>
  <c r="Z2174" s="1"/>
  <c r="AB2174" s="1"/>
  <c r="AD2174" s="1"/>
  <c r="Z2094"/>
  <c r="AB2094" s="1"/>
  <c r="AD2094" s="1"/>
  <c r="Z2114"/>
  <c r="AB2114" s="1"/>
  <c r="AD2114" s="1"/>
  <c r="L2093"/>
  <c r="X2151"/>
  <c r="X2246"/>
  <c r="Z2266"/>
  <c r="AB2266" s="1"/>
  <c r="AD2266" s="1"/>
  <c r="T2429"/>
  <c r="V2467"/>
  <c r="Z2509"/>
  <c r="X2575"/>
  <c r="Z2677"/>
  <c r="AB2677" s="1"/>
  <c r="AD2677" s="1"/>
  <c r="Z2116"/>
  <c r="T2178"/>
  <c r="R2199"/>
  <c r="N2246"/>
  <c r="Z2279"/>
  <c r="Z2319"/>
  <c r="AB2319" s="1"/>
  <c r="AD2319" s="1"/>
  <c r="Z2321"/>
  <c r="AB2321" s="1"/>
  <c r="AD2321" s="1"/>
  <c r="AD2336"/>
  <c r="Z2375"/>
  <c r="AB2375" s="1"/>
  <c r="AD2375" s="1"/>
  <c r="L2429"/>
  <c r="Z2430"/>
  <c r="AB2430" s="1"/>
  <c r="L2606"/>
  <c r="Z2612"/>
  <c r="Z2662"/>
  <c r="AB2666"/>
  <c r="AD2666" s="1"/>
  <c r="AB2671"/>
  <c r="AD2671" s="1"/>
  <c r="Z2713"/>
  <c r="Z2725"/>
  <c r="AB2725" s="1"/>
  <c r="AD2725" s="1"/>
  <c r="Z2729"/>
  <c r="AB2729" s="1"/>
  <c r="AD2729" s="1"/>
  <c r="Z2756"/>
  <c r="AB2756" s="1"/>
  <c r="AD2756" s="1"/>
  <c r="Z2782"/>
  <c r="N2811"/>
  <c r="AB2811" s="1"/>
  <c r="AD2811" s="1"/>
  <c r="Z2112"/>
  <c r="AB2112" s="1"/>
  <c r="AD2112" s="1"/>
  <c r="Z2126"/>
  <c r="AB2126" s="1"/>
  <c r="AD2126" s="1"/>
  <c r="P2151"/>
  <c r="AB2186"/>
  <c r="AD2186" s="1"/>
  <c r="Z2220"/>
  <c r="AB2220" s="1"/>
  <c r="AD2220" s="1"/>
  <c r="AC2296"/>
  <c r="AC2297" s="1"/>
  <c r="V2246"/>
  <c r="Z2276"/>
  <c r="AB2276" s="1"/>
  <c r="AD2276" s="1"/>
  <c r="Z2294"/>
  <c r="AB2294" s="1"/>
  <c r="AD2294" s="1"/>
  <c r="L2298"/>
  <c r="T2298"/>
  <c r="Z2326"/>
  <c r="AB2326" s="1"/>
  <c r="Z2356"/>
  <c r="AB2356" s="1"/>
  <c r="AD2356" s="1"/>
  <c r="Z2414"/>
  <c r="Z2455"/>
  <c r="AB2455" s="1"/>
  <c r="AD2455" s="1"/>
  <c r="AD2461"/>
  <c r="Z2468"/>
  <c r="T2467"/>
  <c r="AD2496"/>
  <c r="Z2530"/>
  <c r="AB2530" s="1"/>
  <c r="AD2530" s="1"/>
  <c r="Z2541"/>
  <c r="AD2545"/>
  <c r="Z2546"/>
  <c r="Z2565"/>
  <c r="Z2571"/>
  <c r="V2633"/>
  <c r="Z2664"/>
  <c r="Z2668"/>
  <c r="Z2673"/>
  <c r="Z2715"/>
  <c r="AB2715" s="1"/>
  <c r="AD2715" s="1"/>
  <c r="Z2763"/>
  <c r="Z2765"/>
  <c r="Z2770"/>
  <c r="Z2772"/>
  <c r="AB2772" s="1"/>
  <c r="AD2772" s="1"/>
  <c r="Z2777"/>
  <c r="AB2799"/>
  <c r="AD2799" s="1"/>
  <c r="AB2802"/>
  <c r="AD2802" s="1"/>
  <c r="AA2816"/>
  <c r="AC2816" s="1"/>
  <c r="AD2113"/>
  <c r="AB2121"/>
  <c r="AD2121" s="1"/>
  <c r="Z2171"/>
  <c r="AB2171" s="1"/>
  <c r="AD2171" s="1"/>
  <c r="Z2181"/>
  <c r="AB2181" s="1"/>
  <c r="AD2181" s="1"/>
  <c r="Z2186"/>
  <c r="P2199"/>
  <c r="X2199"/>
  <c r="AD2223"/>
  <c r="Z2229"/>
  <c r="AB2229" s="1"/>
  <c r="AD2229" s="1"/>
  <c r="Z2270"/>
  <c r="AB2270" s="1"/>
  <c r="AD2270" s="1"/>
  <c r="Z2284"/>
  <c r="AB2284" s="1"/>
  <c r="AD2284" s="1"/>
  <c r="Z2317"/>
  <c r="AB2317" s="1"/>
  <c r="AD2317" s="1"/>
  <c r="L2384"/>
  <c r="T2384"/>
  <c r="Z2397"/>
  <c r="AB2397" s="1"/>
  <c r="AD2397" s="1"/>
  <c r="Z2412"/>
  <c r="AB2412" s="1"/>
  <c r="AD2412" s="1"/>
  <c r="AB2459"/>
  <c r="AD2459" s="1"/>
  <c r="R2467"/>
  <c r="Z2489"/>
  <c r="AB2489" s="1"/>
  <c r="AD2489" s="1"/>
  <c r="Z2491"/>
  <c r="AB2491" s="1"/>
  <c r="AD2491" s="1"/>
  <c r="Z2501"/>
  <c r="AB2501" s="1"/>
  <c r="AD2501" s="1"/>
  <c r="Z2503"/>
  <c r="AB2503" s="1"/>
  <c r="AD2503" s="1"/>
  <c r="AB2509"/>
  <c r="AD2509" s="1"/>
  <c r="Z2544"/>
  <c r="Z2554"/>
  <c r="AB2554" s="1"/>
  <c r="AD2554" s="1"/>
  <c r="V2575"/>
  <c r="Z2601"/>
  <c r="Z2606"/>
  <c r="Z2616"/>
  <c r="AB2616" s="1"/>
  <c r="AD2616" s="1"/>
  <c r="Z2618"/>
  <c r="Z2657"/>
  <c r="AB2657" s="1"/>
  <c r="AD2657" s="1"/>
  <c r="Z2659"/>
  <c r="AB2659" s="1"/>
  <c r="AD2659" s="1"/>
  <c r="AD2660"/>
  <c r="Z2671"/>
  <c r="AD2672"/>
  <c r="Z2685"/>
  <c r="AB2685" s="1"/>
  <c r="AD2685" s="1"/>
  <c r="Z2732"/>
  <c r="AB2732" s="1"/>
  <c r="AD2732" s="1"/>
  <c r="AC2794"/>
  <c r="AC2795" s="1"/>
  <c r="Z2784"/>
  <c r="Z2786"/>
  <c r="AB2786" s="1"/>
  <c r="AD2786" s="1"/>
  <c r="Z2819"/>
  <c r="AD2826"/>
  <c r="AD2835"/>
  <c r="AB2147"/>
  <c r="AD2147" s="1"/>
  <c r="AB2405"/>
  <c r="AD2405" s="1"/>
  <c r="T2169"/>
  <c r="Z2169" s="1"/>
  <c r="AB2169" s="1"/>
  <c r="AD2169" s="1"/>
  <c r="Z2170"/>
  <c r="AB2170" s="1"/>
  <c r="AD2170" s="1"/>
  <c r="Z2425"/>
  <c r="AB2425" s="1"/>
  <c r="AD2425" s="1"/>
  <c r="R2384"/>
  <c r="Z2743"/>
  <c r="R2742"/>
  <c r="Z2120"/>
  <c r="AB2120" s="1"/>
  <c r="AD2120" s="1"/>
  <c r="T2119"/>
  <c r="Z2119" s="1"/>
  <c r="AB2119" s="1"/>
  <c r="T2164"/>
  <c r="Z2164" s="1"/>
  <c r="Z2165"/>
  <c r="AB2165" s="1"/>
  <c r="AD2165" s="1"/>
  <c r="L2558"/>
  <c r="L2520" s="1"/>
  <c r="AD2561"/>
  <c r="AB2447"/>
  <c r="AD2447" s="1"/>
  <c r="N2429"/>
  <c r="AD2133"/>
  <c r="AD2214"/>
  <c r="Z2299"/>
  <c r="Z2479"/>
  <c r="AB2479" s="1"/>
  <c r="AD2479" s="1"/>
  <c r="AB2145"/>
  <c r="AD2145" s="1"/>
  <c r="AC2197"/>
  <c r="AC2198" s="1"/>
  <c r="N2151"/>
  <c r="T2189"/>
  <c r="Z2189" s="1"/>
  <c r="AB2189" s="1"/>
  <c r="AD2189" s="1"/>
  <c r="L2199"/>
  <c r="Z2200"/>
  <c r="AB2200" s="1"/>
  <c r="Z2290"/>
  <c r="R2298"/>
  <c r="Z2323"/>
  <c r="Z2385"/>
  <c r="AB2385" s="1"/>
  <c r="AD2385" s="1"/>
  <c r="Z2405"/>
  <c r="AC2465"/>
  <c r="AC2466" s="1"/>
  <c r="Z2445"/>
  <c r="AB2445" s="1"/>
  <c r="AD2445" s="1"/>
  <c r="X2093"/>
  <c r="AD2106"/>
  <c r="AB2116"/>
  <c r="AD2116" s="1"/>
  <c r="L2151"/>
  <c r="V2151"/>
  <c r="AB2213"/>
  <c r="AD2213" s="1"/>
  <c r="R2093"/>
  <c r="N2093"/>
  <c r="V2093"/>
  <c r="Z2124"/>
  <c r="AB2124" s="1"/>
  <c r="AD2124" s="1"/>
  <c r="Z2129"/>
  <c r="AB2129" s="1"/>
  <c r="AD2129" s="1"/>
  <c r="Z2131"/>
  <c r="AB2131" s="1"/>
  <c r="AD2131" s="1"/>
  <c r="Z2147"/>
  <c r="AD2175"/>
  <c r="Z2178"/>
  <c r="AB2178" s="1"/>
  <c r="Z2184"/>
  <c r="AB2184" s="1"/>
  <c r="AD2184" s="1"/>
  <c r="AD2224"/>
  <c r="Z2225"/>
  <c r="AB2225" s="1"/>
  <c r="AD2225" s="1"/>
  <c r="Z2239"/>
  <c r="AB2239" s="1"/>
  <c r="AD2239" s="1"/>
  <c r="R2246"/>
  <c r="AB2272"/>
  <c r="AD2272" s="1"/>
  <c r="AD2273"/>
  <c r="AB2279"/>
  <c r="AD2279" s="1"/>
  <c r="Z2311"/>
  <c r="Z2337"/>
  <c r="AB2337" s="1"/>
  <c r="AD2337" s="1"/>
  <c r="R2343"/>
  <c r="AB2365"/>
  <c r="AD2365" s="1"/>
  <c r="N2384"/>
  <c r="V2384"/>
  <c r="Z2399"/>
  <c r="AB2399" s="1"/>
  <c r="AD2399" s="1"/>
  <c r="V2429"/>
  <c r="Z2485"/>
  <c r="AB2497"/>
  <c r="AD2497" s="1"/>
  <c r="Z2552"/>
  <c r="AB2552" s="1"/>
  <c r="AD2552" s="1"/>
  <c r="AB2843"/>
  <c r="AD2843" s="1"/>
  <c r="AB2344"/>
  <c r="N2343"/>
  <c r="AB2311"/>
  <c r="AD2311" s="1"/>
  <c r="N2298"/>
  <c r="AB2485"/>
  <c r="AD2485" s="1"/>
  <c r="AB2290"/>
  <c r="AD2290" s="1"/>
  <c r="AB2323"/>
  <c r="AD2323" s="1"/>
  <c r="AC2244"/>
  <c r="AC2245" s="1"/>
  <c r="Z2227"/>
  <c r="AB2227" s="1"/>
  <c r="AD2227" s="1"/>
  <c r="Z2258"/>
  <c r="AB2258" s="1"/>
  <c r="AD2258" s="1"/>
  <c r="AC2341"/>
  <c r="AC2342" s="1"/>
  <c r="P2093"/>
  <c r="AB2135"/>
  <c r="T2152"/>
  <c r="AB2164"/>
  <c r="AD2164" s="1"/>
  <c r="Z2218"/>
  <c r="AB2218" s="1"/>
  <c r="AD2218" s="1"/>
  <c r="AD2226"/>
  <c r="Z2241"/>
  <c r="AB2241" s="1"/>
  <c r="AD2241" s="1"/>
  <c r="Z2247"/>
  <c r="AB2247" s="1"/>
  <c r="AD2247" s="1"/>
  <c r="L2246"/>
  <c r="T2246"/>
  <c r="Z2263"/>
  <c r="AB2263" s="1"/>
  <c r="AD2263" s="1"/>
  <c r="Z2274"/>
  <c r="AB2274" s="1"/>
  <c r="AD2274" s="1"/>
  <c r="V2298"/>
  <c r="P2298"/>
  <c r="X2298"/>
  <c r="AD2326"/>
  <c r="Z2339"/>
  <c r="AB2339" s="1"/>
  <c r="AD2339" s="1"/>
  <c r="L2343"/>
  <c r="T2343"/>
  <c r="Z2449"/>
  <c r="AB2449" s="1"/>
  <c r="AD2449" s="1"/>
  <c r="V2520"/>
  <c r="AD2555"/>
  <c r="Z2344"/>
  <c r="AB2414"/>
  <c r="AD2414" s="1"/>
  <c r="P2520"/>
  <c r="AB2541"/>
  <c r="AD2541" s="1"/>
  <c r="AD2543"/>
  <c r="T2199"/>
  <c r="Z2361"/>
  <c r="AB2361" s="1"/>
  <c r="AD2361" s="1"/>
  <c r="P2429"/>
  <c r="X2429"/>
  <c r="Z2441"/>
  <c r="AB2441" s="1"/>
  <c r="AD2441" s="1"/>
  <c r="Z2451"/>
  <c r="Z2499"/>
  <c r="AB2499" s="1"/>
  <c r="AD2499" s="1"/>
  <c r="Z2505"/>
  <c r="Z2507"/>
  <c r="Z2467" s="1"/>
  <c r="N2520"/>
  <c r="X2520"/>
  <c r="Z2534"/>
  <c r="AB2534" s="1"/>
  <c r="AB2544"/>
  <c r="AD2544" s="1"/>
  <c r="AD2547"/>
  <c r="Z2556"/>
  <c r="AB2556" s="1"/>
  <c r="AD2556" s="1"/>
  <c r="Z2599"/>
  <c r="AB2599" s="1"/>
  <c r="AD2599" s="1"/>
  <c r="L2575"/>
  <c r="AB2612"/>
  <c r="AD2612" s="1"/>
  <c r="AB2721"/>
  <c r="AD2721" s="1"/>
  <c r="T2742"/>
  <c r="AC2803"/>
  <c r="AB2822"/>
  <c r="AD2822" s="1"/>
  <c r="Z2588"/>
  <c r="AB2588" s="1"/>
  <c r="AD2588" s="1"/>
  <c r="R2576"/>
  <c r="AB2507"/>
  <c r="AD2507" s="1"/>
  <c r="N2505"/>
  <c r="AB2505" s="1"/>
  <c r="N2830"/>
  <c r="AB2831"/>
  <c r="AD2831" s="1"/>
  <c r="AB2463"/>
  <c r="AD2463" s="1"/>
  <c r="Z2495"/>
  <c r="AB2495" s="1"/>
  <c r="AD2495" s="1"/>
  <c r="Z2569"/>
  <c r="AB2569" s="1"/>
  <c r="AD2569" s="1"/>
  <c r="AB2763"/>
  <c r="AD2763" s="1"/>
  <c r="P2384"/>
  <c r="X2384"/>
  <c r="R2429"/>
  <c r="AD2448"/>
  <c r="AD2452"/>
  <c r="AD2464"/>
  <c r="AB2468"/>
  <c r="AD2468" s="1"/>
  <c r="AC2518"/>
  <c r="AC2519" s="1"/>
  <c r="P2467"/>
  <c r="X2467"/>
  <c r="Z2487"/>
  <c r="AB2487" s="1"/>
  <c r="AD2487" s="1"/>
  <c r="AD2493"/>
  <c r="AD2494"/>
  <c r="AB2546"/>
  <c r="AD2546" s="1"/>
  <c r="Z2550"/>
  <c r="AB2550" s="1"/>
  <c r="AD2550" s="1"/>
  <c r="AB2571"/>
  <c r="AD2571" s="1"/>
  <c r="P2575"/>
  <c r="AB2601"/>
  <c r="AD2601" s="1"/>
  <c r="AD2611"/>
  <c r="L2633"/>
  <c r="T2633"/>
  <c r="Z2647"/>
  <c r="AB2647" s="1"/>
  <c r="AD2647" s="1"/>
  <c r="AD2730"/>
  <c r="L2742"/>
  <c r="Z2497"/>
  <c r="L2505"/>
  <c r="L2467" s="1"/>
  <c r="AD2506"/>
  <c r="Z2548"/>
  <c r="AB2548" s="1"/>
  <c r="AD2548" s="1"/>
  <c r="Z2558"/>
  <c r="AB2558" s="1"/>
  <c r="AB2565"/>
  <c r="AD2565" s="1"/>
  <c r="T2575"/>
  <c r="AD2603"/>
  <c r="AD2608"/>
  <c r="AD2609"/>
  <c r="Z2610"/>
  <c r="AB2610" s="1"/>
  <c r="AD2610" s="1"/>
  <c r="AD2619"/>
  <c r="Z2620"/>
  <c r="AB2620" s="1"/>
  <c r="AD2620" s="1"/>
  <c r="AB2664"/>
  <c r="AD2664" s="1"/>
  <c r="AB2673"/>
  <c r="AD2673" s="1"/>
  <c r="L2691"/>
  <c r="T2691"/>
  <c r="Z2692"/>
  <c r="AB2765"/>
  <c r="AD2765" s="1"/>
  <c r="Z2774"/>
  <c r="AB2774" s="1"/>
  <c r="AD2774" s="1"/>
  <c r="AB2779"/>
  <c r="AD2779" s="1"/>
  <c r="N2797"/>
  <c r="AB2798"/>
  <c r="AD2798" s="1"/>
  <c r="L2796"/>
  <c r="AB2522"/>
  <c r="AD2522" s="1"/>
  <c r="Z2634"/>
  <c r="R2633"/>
  <c r="N2742"/>
  <c r="T2520"/>
  <c r="R2521"/>
  <c r="R2520" s="1"/>
  <c r="AC2573"/>
  <c r="AC2574" s="1"/>
  <c r="N2575"/>
  <c r="Z2597"/>
  <c r="AB2597" s="1"/>
  <c r="AD2597" s="1"/>
  <c r="AB2606"/>
  <c r="AD2606" s="1"/>
  <c r="AC2689"/>
  <c r="AC2690" s="1"/>
  <c r="AB2662"/>
  <c r="AD2662" s="1"/>
  <c r="AB2668"/>
  <c r="AD2668" s="1"/>
  <c r="V2691"/>
  <c r="P2691"/>
  <c r="AB2727"/>
  <c r="AD2727" s="1"/>
  <c r="AB2755"/>
  <c r="AD2755" s="1"/>
  <c r="AB2777"/>
  <c r="AD2777" s="1"/>
  <c r="AB2782"/>
  <c r="AD2782" s="1"/>
  <c r="Z2830"/>
  <c r="Z2614"/>
  <c r="AB2614" s="1"/>
  <c r="AD2614" s="1"/>
  <c r="Z2622"/>
  <c r="AB2622" s="1"/>
  <c r="AD2622" s="1"/>
  <c r="P2633"/>
  <c r="X2633"/>
  <c r="AD2646"/>
  <c r="AD2648"/>
  <c r="Z2655"/>
  <c r="AD2661"/>
  <c r="AD2663"/>
  <c r="AB2675"/>
  <c r="AD2675" s="1"/>
  <c r="Z2687"/>
  <c r="AB2687" s="1"/>
  <c r="AD2687" s="1"/>
  <c r="Z2704"/>
  <c r="AB2704" s="1"/>
  <c r="AD2704" s="1"/>
  <c r="AB2713"/>
  <c r="AD2713" s="1"/>
  <c r="AB2770"/>
  <c r="AD2770" s="1"/>
  <c r="AD2778"/>
  <c r="AB2784"/>
  <c r="AD2784" s="1"/>
  <c r="AB2801"/>
  <c r="AD2801" s="1"/>
  <c r="AB2803"/>
  <c r="AD2803" s="1"/>
  <c r="AB2817"/>
  <c r="AD2817" s="1"/>
  <c r="AB2818"/>
  <c r="AD2818" s="1"/>
  <c r="AB2825"/>
  <c r="AD2825" s="1"/>
  <c r="AB2840"/>
  <c r="AB2849"/>
  <c r="AD2849" s="1"/>
  <c r="Z2717"/>
  <c r="AB2717" s="1"/>
  <c r="AD2717" s="1"/>
  <c r="R2691"/>
  <c r="AB2618"/>
  <c r="AD2618" s="1"/>
  <c r="AB2692"/>
  <c r="AB2719"/>
  <c r="AD2719" s="1"/>
  <c r="Z2723"/>
  <c r="AB2723" s="1"/>
  <c r="AD2723" s="1"/>
  <c r="V2742"/>
  <c r="AD2766"/>
  <c r="Z2788"/>
  <c r="AB2788" s="1"/>
  <c r="AD2788" s="1"/>
  <c r="AC2850"/>
  <c r="AC2851" s="1"/>
  <c r="AB2800"/>
  <c r="AD2800" s="1"/>
  <c r="AB2816"/>
  <c r="AD2816" s="1"/>
  <c r="AB2824"/>
  <c r="AD2824" s="1"/>
  <c r="AB2837"/>
  <c r="AD2837" s="1"/>
  <c r="AB2838"/>
  <c r="AD2838" s="1"/>
  <c r="Z2841"/>
  <c r="AB2841" s="1"/>
  <c r="AD2841" s="1"/>
  <c r="AD1228"/>
  <c r="R972"/>
  <c r="R983"/>
  <c r="T1210"/>
  <c r="T1207"/>
  <c r="T1194"/>
  <c r="T1249"/>
  <c r="T1368"/>
  <c r="T1385"/>
  <c r="T1382"/>
  <c r="T1375"/>
  <c r="AD2505" l="1"/>
  <c r="Z2429"/>
  <c r="AB2655"/>
  <c r="AD2655" s="1"/>
  <c r="N2467"/>
  <c r="AD2427"/>
  <c r="AD2428" s="1"/>
  <c r="AB2819"/>
  <c r="AD2819" s="1"/>
  <c r="T1367"/>
  <c r="Z2521"/>
  <c r="AD2558"/>
  <c r="AD2119"/>
  <c r="AD2149" s="1"/>
  <c r="AD2150" s="1"/>
  <c r="AB2093"/>
  <c r="AB2691"/>
  <c r="AD2692"/>
  <c r="AD2740" s="1"/>
  <c r="AD2741" s="1"/>
  <c r="AD2200"/>
  <c r="AD2244" s="1"/>
  <c r="AD2245" s="1"/>
  <c r="AB2199"/>
  <c r="AB2343"/>
  <c r="AD2344"/>
  <c r="AB2797"/>
  <c r="AD2797" s="1"/>
  <c r="N2796"/>
  <c r="AB2796" s="1"/>
  <c r="AB2520"/>
  <c r="AD2534"/>
  <c r="AD2573" s="1"/>
  <c r="AD2574" s="1"/>
  <c r="AB2451"/>
  <c r="AD2451" s="1"/>
  <c r="Z2742"/>
  <c r="AD2518"/>
  <c r="AD2519" s="1"/>
  <c r="AB2743"/>
  <c r="Z2520"/>
  <c r="AB2830"/>
  <c r="AD2830" s="1"/>
  <c r="Z2343"/>
  <c r="AD2296"/>
  <c r="AD2297" s="1"/>
  <c r="T2093"/>
  <c r="Z2199"/>
  <c r="Z2093"/>
  <c r="AD2840"/>
  <c r="AB2839"/>
  <c r="AD2839" s="1"/>
  <c r="Z2633"/>
  <c r="AB2634"/>
  <c r="Z2576"/>
  <c r="R2575"/>
  <c r="T2151"/>
  <c r="Z2152"/>
  <c r="AD2430"/>
  <c r="AD2465" s="1"/>
  <c r="AD2466" s="1"/>
  <c r="AB2299"/>
  <c r="AD2299" s="1"/>
  <c r="AD2341" s="1"/>
  <c r="AD2342" s="1"/>
  <c r="Z2298"/>
  <c r="Z2691"/>
  <c r="AB2384"/>
  <c r="Z2384"/>
  <c r="T1882"/>
  <c r="T867"/>
  <c r="T848"/>
  <c r="AB2429" l="1"/>
  <c r="AB2152"/>
  <c r="Z2151"/>
  <c r="AD2634"/>
  <c r="AD2689" s="1"/>
  <c r="AD2690" s="1"/>
  <c r="AB2633"/>
  <c r="AB2576"/>
  <c r="Z2575"/>
  <c r="AD2743"/>
  <c r="AD2794" s="1"/>
  <c r="AD2795" s="1"/>
  <c r="AB2742"/>
  <c r="AD2850"/>
  <c r="AD2851" s="1"/>
  <c r="T550"/>
  <c r="T1300"/>
  <c r="T1292"/>
  <c r="T1286"/>
  <c r="T1585"/>
  <c r="T1553"/>
  <c r="T1547"/>
  <c r="T1546" s="1"/>
  <c r="T1122"/>
  <c r="T1000"/>
  <c r="T983"/>
  <c r="T972"/>
  <c r="T945"/>
  <c r="T933"/>
  <c r="T927"/>
  <c r="T897"/>
  <c r="T964"/>
  <c r="T228"/>
  <c r="AB2575" l="1"/>
  <c r="AD2576"/>
  <c r="AD2152"/>
  <c r="AD2197" s="1"/>
  <c r="AD2198" s="1"/>
  <c r="AB2151"/>
  <c r="T1225"/>
  <c r="T1224" s="1"/>
  <c r="T1100"/>
  <c r="T1098"/>
  <c r="T1089"/>
  <c r="T1703" l="1"/>
  <c r="T1698"/>
  <c r="T1684"/>
  <c r="T1680"/>
  <c r="E21" i="2"/>
  <c r="T1676" i="1"/>
  <c r="T1670"/>
  <c r="T1739" l="1"/>
  <c r="T1737"/>
  <c r="T1735"/>
  <c r="T1732"/>
  <c r="T1724"/>
  <c r="T1711"/>
  <c r="T1710" l="1"/>
  <c r="T1604"/>
  <c r="T2023" l="1"/>
  <c r="T2015"/>
  <c r="R2008"/>
  <c r="T2008"/>
  <c r="T2002"/>
  <c r="S1995"/>
  <c r="T1973"/>
  <c r="S1968"/>
  <c r="T1951"/>
  <c r="T1947"/>
  <c r="T1888"/>
  <c r="T2079" l="1"/>
  <c r="T2062"/>
  <c r="T2047"/>
  <c r="T2046" s="1"/>
  <c r="T861" l="1"/>
  <c r="T700" l="1"/>
  <c r="T697"/>
  <c r="T692"/>
  <c r="T683"/>
  <c r="T670"/>
  <c r="T1594"/>
  <c r="T669" l="1"/>
  <c r="T1869"/>
  <c r="T1850"/>
  <c r="T1839"/>
  <c r="T1827"/>
  <c r="T1845"/>
  <c r="T1500" l="1"/>
  <c r="T1540"/>
  <c r="T1538"/>
  <c r="T1536"/>
  <c r="T1508"/>
  <c r="T1502"/>
  <c r="T1495"/>
  <c r="T1482"/>
  <c r="T1481" l="1"/>
  <c r="T620"/>
  <c r="T621"/>
  <c r="T612"/>
  <c r="T611"/>
  <c r="T607"/>
  <c r="T598"/>
  <c r="T583"/>
  <c r="T1809" l="1"/>
  <c r="T1797"/>
  <c r="T1785"/>
  <c r="T1784" s="1"/>
  <c r="T1064" l="1"/>
  <c r="Z1064" s="1"/>
  <c r="T1041"/>
  <c r="T1038"/>
  <c r="T1023"/>
  <c r="T805" l="1"/>
  <c r="T804" s="1"/>
  <c r="T829"/>
  <c r="T818"/>
  <c r="T817"/>
  <c r="T815" s="1"/>
  <c r="T811"/>
  <c r="T810" s="1"/>
  <c r="T790"/>
  <c r="T771" l="1"/>
  <c r="T781"/>
  <c r="T772"/>
  <c r="T538"/>
  <c r="T534"/>
  <c r="T524"/>
  <c r="T519"/>
  <c r="T517"/>
  <c r="T514"/>
  <c r="T511"/>
  <c r="T504"/>
  <c r="T491"/>
  <c r="T490" l="1"/>
  <c r="AB490" s="1"/>
  <c r="T1325"/>
  <c r="T1320"/>
  <c r="T710" l="1"/>
  <c r="Y714"/>
  <c r="AA714" s="1"/>
  <c r="AC714" s="1"/>
  <c r="T716"/>
  <c r="T706"/>
  <c r="T661"/>
  <c r="T659"/>
  <c r="T655"/>
  <c r="T648"/>
  <c r="T644"/>
  <c r="T636"/>
  <c r="T625"/>
  <c r="T757"/>
  <c r="T741"/>
  <c r="T735"/>
  <c r="T723"/>
  <c r="T624" l="1"/>
  <c r="T705"/>
  <c r="T1153"/>
  <c r="T1190"/>
  <c r="T1189" s="1"/>
  <c r="T1182"/>
  <c r="T1175"/>
  <c r="T1172"/>
  <c r="T1167"/>
  <c r="T1152" l="1"/>
  <c r="T1468"/>
  <c r="T1414"/>
  <c r="T1394"/>
  <c r="T239" l="1"/>
  <c r="T1232" l="1"/>
  <c r="T1231" s="1"/>
  <c r="T1243"/>
  <c r="T13"/>
  <c r="T35"/>
  <c r="T73"/>
  <c r="T80"/>
  <c r="T90"/>
  <c r="T108"/>
  <c r="T31"/>
  <c r="A22" i="2"/>
  <c r="T12" i="1" l="1"/>
  <c r="T211"/>
  <c r="S211"/>
  <c r="T173"/>
  <c r="T149"/>
  <c r="P13" l="1"/>
  <c r="Q578" l="1"/>
  <c r="Y578" s="1"/>
  <c r="AA578" s="1"/>
  <c r="AC578" s="1"/>
  <c r="R571"/>
  <c r="Z574"/>
  <c r="Z1363"/>
  <c r="Z1362"/>
  <c r="Z1360"/>
  <c r="Z1359"/>
  <c r="Z1358"/>
  <c r="Z1355"/>
  <c r="Z1354"/>
  <c r="Z1353"/>
  <c r="Z1347"/>
  <c r="Z1345"/>
  <c r="Z1344"/>
  <c r="Z1341"/>
  <c r="Z1339"/>
  <c r="Z1338"/>
  <c r="P571"/>
  <c r="P575"/>
  <c r="P562"/>
  <c r="P550"/>
  <c r="X578"/>
  <c r="V578"/>
  <c r="T578"/>
  <c r="R578"/>
  <c r="P578"/>
  <c r="N578"/>
  <c r="L578"/>
  <c r="X575"/>
  <c r="V575"/>
  <c r="T575"/>
  <c r="R575"/>
  <c r="N575"/>
  <c r="L575"/>
  <c r="X571"/>
  <c r="V571"/>
  <c r="T571"/>
  <c r="N571"/>
  <c r="L571"/>
  <c r="X569"/>
  <c r="V569"/>
  <c r="T569"/>
  <c r="R569"/>
  <c r="P569"/>
  <c r="N569"/>
  <c r="L569"/>
  <c r="X567"/>
  <c r="V567"/>
  <c r="T567"/>
  <c r="R567"/>
  <c r="P567"/>
  <c r="N567"/>
  <c r="L567"/>
  <c r="X565"/>
  <c r="V565"/>
  <c r="T565"/>
  <c r="R565"/>
  <c r="P565"/>
  <c r="N565"/>
  <c r="L565"/>
  <c r="X562"/>
  <c r="V562"/>
  <c r="T562"/>
  <c r="R562"/>
  <c r="N562"/>
  <c r="L562"/>
  <c r="X550"/>
  <c r="V550"/>
  <c r="R550"/>
  <c r="N550"/>
  <c r="Z579"/>
  <c r="AB579" s="1"/>
  <c r="AD579" s="1"/>
  <c r="Y579"/>
  <c r="AA579" s="1"/>
  <c r="AC579" s="1"/>
  <c r="Z577"/>
  <c r="AB577" s="1"/>
  <c r="AD577" s="1"/>
  <c r="Y577"/>
  <c r="AA577" s="1"/>
  <c r="AC577" s="1"/>
  <c r="Z576"/>
  <c r="AB576" s="1"/>
  <c r="AD576" s="1"/>
  <c r="Y576"/>
  <c r="AA576" s="1"/>
  <c r="AC576" s="1"/>
  <c r="Y575"/>
  <c r="AA575" s="1"/>
  <c r="AC575" s="1"/>
  <c r="Z573"/>
  <c r="AB573" s="1"/>
  <c r="AD573" s="1"/>
  <c r="Y573"/>
  <c r="AA573" s="1"/>
  <c r="AC573" s="1"/>
  <c r="Z572"/>
  <c r="AB572" s="1"/>
  <c r="AD572" s="1"/>
  <c r="Y572"/>
  <c r="AA572" s="1"/>
  <c r="AC572" s="1"/>
  <c r="Y571"/>
  <c r="AA571" s="1"/>
  <c r="AC571" s="1"/>
  <c r="Z570"/>
  <c r="AB570" s="1"/>
  <c r="AD570" s="1"/>
  <c r="Y570"/>
  <c r="AA570" s="1"/>
  <c r="AC570" s="1"/>
  <c r="AA569"/>
  <c r="AC569" s="1"/>
  <c r="Y569"/>
  <c r="Z568"/>
  <c r="AB568" s="1"/>
  <c r="AD568" s="1"/>
  <c r="Y568"/>
  <c r="AA568" s="1"/>
  <c r="AC568" s="1"/>
  <c r="Y567"/>
  <c r="AA567" s="1"/>
  <c r="AC567" s="1"/>
  <c r="Z566"/>
  <c r="AB566" s="1"/>
  <c r="AD566" s="1"/>
  <c r="Y566"/>
  <c r="AA566" s="1"/>
  <c r="AC566" s="1"/>
  <c r="Y565"/>
  <c r="AA565" s="1"/>
  <c r="AC565" s="1"/>
  <c r="Z564"/>
  <c r="AB564" s="1"/>
  <c r="AD564" s="1"/>
  <c r="Y564"/>
  <c r="AA564" s="1"/>
  <c r="AC564" s="1"/>
  <c r="Z563"/>
  <c r="AB563" s="1"/>
  <c r="AD563" s="1"/>
  <c r="Y563"/>
  <c r="AA563" s="1"/>
  <c r="AC563" s="1"/>
  <c r="Y562"/>
  <c r="AA562" s="1"/>
  <c r="AC562" s="1"/>
  <c r="Z561"/>
  <c r="AB561" s="1"/>
  <c r="AD561" s="1"/>
  <c r="Y561"/>
  <c r="AA561" s="1"/>
  <c r="AC561" s="1"/>
  <c r="Z560"/>
  <c r="AB560" s="1"/>
  <c r="AD560" s="1"/>
  <c r="Y560"/>
  <c r="AA560" s="1"/>
  <c r="AC560" s="1"/>
  <c r="AB559"/>
  <c r="AD559" s="1"/>
  <c r="Y559"/>
  <c r="AA559" s="1"/>
  <c r="AC559" s="1"/>
  <c r="Z558"/>
  <c r="AB558" s="1"/>
  <c r="AD558" s="1"/>
  <c r="Y558"/>
  <c r="AA558" s="1"/>
  <c r="AC558" s="1"/>
  <c r="Z557"/>
  <c r="AB557" s="1"/>
  <c r="AD557" s="1"/>
  <c r="Y557"/>
  <c r="AA557" s="1"/>
  <c r="AC557" s="1"/>
  <c r="Z556"/>
  <c r="AB556" s="1"/>
  <c r="AD556" s="1"/>
  <c r="Y556"/>
  <c r="AA556" s="1"/>
  <c r="AC556" s="1"/>
  <c r="Z555"/>
  <c r="AB555" s="1"/>
  <c r="AD555" s="1"/>
  <c r="Y555"/>
  <c r="AA555" s="1"/>
  <c r="AC555" s="1"/>
  <c r="AB554"/>
  <c r="AD554" s="1"/>
  <c r="Y554"/>
  <c r="AA554" s="1"/>
  <c r="AC554" s="1"/>
  <c r="AB553"/>
  <c r="AD553" s="1"/>
  <c r="Y553"/>
  <c r="AA553" s="1"/>
  <c r="AC553" s="1"/>
  <c r="Z552"/>
  <c r="AB552" s="1"/>
  <c r="AD552" s="1"/>
  <c r="Y552"/>
  <c r="AA552" s="1"/>
  <c r="AC552" s="1"/>
  <c r="Z551"/>
  <c r="AB551" s="1"/>
  <c r="AD551" s="1"/>
  <c r="Y551"/>
  <c r="AA551" s="1"/>
  <c r="AC551" s="1"/>
  <c r="Y550"/>
  <c r="AA550" s="1"/>
  <c r="AC550" s="1"/>
  <c r="L550"/>
  <c r="T549" l="1"/>
  <c r="AC580"/>
  <c r="AC581" s="1"/>
  <c r="Z550"/>
  <c r="Z567"/>
  <c r="AB567" s="1"/>
  <c r="AD567" s="1"/>
  <c r="P549"/>
  <c r="Z571"/>
  <c r="AB571" s="1"/>
  <c r="AD571" s="1"/>
  <c r="Z565"/>
  <c r="R549"/>
  <c r="Z562"/>
  <c r="AB562" s="1"/>
  <c r="AD562" s="1"/>
  <c r="Z569"/>
  <c r="AB569" s="1"/>
  <c r="AD569" s="1"/>
  <c r="AB565"/>
  <c r="AD565" s="1"/>
  <c r="Z575"/>
  <c r="AB575" s="1"/>
  <c r="AD575" s="1"/>
  <c r="Z578"/>
  <c r="AB578" s="1"/>
  <c r="AD578" s="1"/>
  <c r="AB550" l="1"/>
  <c r="Z549"/>
  <c r="AD550" l="1"/>
  <c r="AD580" s="1"/>
  <c r="AD581" s="1"/>
  <c r="AB549"/>
  <c r="O1300" l="1"/>
  <c r="Y1303"/>
  <c r="AA1303" s="1"/>
  <c r="AC1303" s="1"/>
  <c r="Y1301"/>
  <c r="AA1301" s="1"/>
  <c r="AC1301" s="1"/>
  <c r="Y1299"/>
  <c r="AA1299" s="1"/>
  <c r="AC1299" s="1"/>
  <c r="Y1297"/>
  <c r="AA1297" s="1"/>
  <c r="AC1297" s="1"/>
  <c r="Z1296"/>
  <c r="AB1296" s="1"/>
  <c r="AD1296" s="1"/>
  <c r="Y1296"/>
  <c r="Z1295"/>
  <c r="AB1295" s="1"/>
  <c r="AD1295" s="1"/>
  <c r="Y1295"/>
  <c r="Z1294"/>
  <c r="AB1294" s="1"/>
  <c r="Y1294"/>
  <c r="AA1294" s="1"/>
  <c r="AC1294" s="1"/>
  <c r="Z1293"/>
  <c r="AB1293" s="1"/>
  <c r="Y1293"/>
  <c r="Y1291"/>
  <c r="AA1291" s="1"/>
  <c r="AC1291" s="1"/>
  <c r="Y1290"/>
  <c r="AA1290" s="1"/>
  <c r="AC1290" s="1"/>
  <c r="Y1289"/>
  <c r="AA1289" s="1"/>
  <c r="AC1289" s="1"/>
  <c r="Z1288"/>
  <c r="AB1288" s="1"/>
  <c r="Y1288"/>
  <c r="Z1287"/>
  <c r="AB1287" s="1"/>
  <c r="AD1287" s="1"/>
  <c r="Y1287"/>
  <c r="AA1287" s="1"/>
  <c r="AC1287" s="1"/>
  <c r="Z1285"/>
  <c r="AB1285" s="1"/>
  <c r="Y1285"/>
  <c r="Z1284"/>
  <c r="AB1284" s="1"/>
  <c r="AD1284" s="1"/>
  <c r="Y1284"/>
  <c r="Y1283"/>
  <c r="Z1282"/>
  <c r="AB1282" s="1"/>
  <c r="Y1282"/>
  <c r="AA1282" s="1"/>
  <c r="AC1282" s="1"/>
  <c r="Y1281"/>
  <c r="Y1280"/>
  <c r="AA1280" s="1"/>
  <c r="AC1280" s="1"/>
  <c r="Y1278"/>
  <c r="Y1277"/>
  <c r="Y1276"/>
  <c r="Y1275"/>
  <c r="Y1274"/>
  <c r="Y1273"/>
  <c r="Y1272"/>
  <c r="Y1271"/>
  <c r="Y1270"/>
  <c r="Y1269"/>
  <c r="Y1268"/>
  <c r="Y1267"/>
  <c r="Y1266"/>
  <c r="Y1265"/>
  <c r="AA1265" s="1"/>
  <c r="AC1265" s="1"/>
  <c r="R1303"/>
  <c r="Z1303" s="1"/>
  <c r="AB1303" s="1"/>
  <c r="AD1303" s="1"/>
  <c r="Y1302"/>
  <c r="P1302"/>
  <c r="N1302"/>
  <c r="M1302"/>
  <c r="L1302"/>
  <c r="K1302"/>
  <c r="R1301"/>
  <c r="R1300" s="1"/>
  <c r="Z1300" s="1"/>
  <c r="Y1300"/>
  <c r="AA1300" s="1"/>
  <c r="AC1300" s="1"/>
  <c r="P1300"/>
  <c r="N1300"/>
  <c r="L1300"/>
  <c r="R1299"/>
  <c r="R1298" s="1"/>
  <c r="N1299"/>
  <c r="N1298" s="1"/>
  <c r="X1298"/>
  <c r="W1298"/>
  <c r="V1298"/>
  <c r="U1298"/>
  <c r="T1298"/>
  <c r="S1298"/>
  <c r="Q1298"/>
  <c r="P1298"/>
  <c r="L1298"/>
  <c r="R1297"/>
  <c r="Z1297" s="1"/>
  <c r="AB1297" s="1"/>
  <c r="AD1297" s="1"/>
  <c r="M1296"/>
  <c r="L1294"/>
  <c r="M1293"/>
  <c r="L1293"/>
  <c r="X1292"/>
  <c r="S1292"/>
  <c r="Q1292"/>
  <c r="P1292"/>
  <c r="N1292"/>
  <c r="K1292"/>
  <c r="R1291"/>
  <c r="Z1291" s="1"/>
  <c r="AB1291" s="1"/>
  <c r="AD1291" s="1"/>
  <c r="R1290"/>
  <c r="Z1290" s="1"/>
  <c r="AB1290" s="1"/>
  <c r="AD1290" s="1"/>
  <c r="R1289"/>
  <c r="Z1289" s="1"/>
  <c r="AB1289" s="1"/>
  <c r="AD1289" s="1"/>
  <c r="M1288"/>
  <c r="L1288"/>
  <c r="L1286" s="1"/>
  <c r="X1286"/>
  <c r="W1286"/>
  <c r="V1286"/>
  <c r="U1286"/>
  <c r="S1286"/>
  <c r="P1286"/>
  <c r="N1286"/>
  <c r="Y1261"/>
  <c r="R1261"/>
  <c r="Z1261" s="1"/>
  <c r="AB1261" s="1"/>
  <c r="M1261"/>
  <c r="L1249"/>
  <c r="L1248" s="1"/>
  <c r="Z1260"/>
  <c r="AB1260" s="1"/>
  <c r="AD1260" s="1"/>
  <c r="Y1260"/>
  <c r="Z1259"/>
  <c r="AB1259" s="1"/>
  <c r="AD1259" s="1"/>
  <c r="Y1259"/>
  <c r="AA1259" s="1"/>
  <c r="AC1259" s="1"/>
  <c r="Y1258"/>
  <c r="AA1258" s="1"/>
  <c r="AC1258" s="1"/>
  <c r="R1258"/>
  <c r="Z1258" s="1"/>
  <c r="AB1258" s="1"/>
  <c r="AD1258" s="1"/>
  <c r="R1257"/>
  <c r="Z1257" s="1"/>
  <c r="Y1257"/>
  <c r="N1257"/>
  <c r="R1256"/>
  <c r="Z1256" s="1"/>
  <c r="Y1256"/>
  <c r="N1256"/>
  <c r="R1255"/>
  <c r="Z1255" s="1"/>
  <c r="AB1255" s="1"/>
  <c r="AD1255" s="1"/>
  <c r="Y1255"/>
  <c r="Y1254"/>
  <c r="AA1254" s="1"/>
  <c r="AC1254" s="1"/>
  <c r="R1254"/>
  <c r="Z1254" s="1"/>
  <c r="N1254"/>
  <c r="Y1253"/>
  <c r="AA1253" s="1"/>
  <c r="AC1253" s="1"/>
  <c r="R1253"/>
  <c r="Z1253" s="1"/>
  <c r="AB1253" s="1"/>
  <c r="AD1253" s="1"/>
  <c r="Z1252"/>
  <c r="Y1252"/>
  <c r="N1252"/>
  <c r="Z1251"/>
  <c r="AB1251" s="1"/>
  <c r="AD1251" s="1"/>
  <c r="Y1251"/>
  <c r="M1251"/>
  <c r="Z1250"/>
  <c r="Y1250"/>
  <c r="X1249"/>
  <c r="X1248" s="1"/>
  <c r="W1249"/>
  <c r="Y1249" s="1"/>
  <c r="AA1249" s="1"/>
  <c r="AC1249" s="1"/>
  <c r="AC1262" s="1"/>
  <c r="AC1263" s="1"/>
  <c r="V1249"/>
  <c r="V1248" s="1"/>
  <c r="T1248"/>
  <c r="P1249"/>
  <c r="P1248" s="1"/>
  <c r="M1285"/>
  <c r="L1285"/>
  <c r="L1283" s="1"/>
  <c r="M1284"/>
  <c r="R1283"/>
  <c r="Z1283" s="1"/>
  <c r="N1283"/>
  <c r="L1282"/>
  <c r="L1279" s="1"/>
  <c r="R1281"/>
  <c r="Z1281" s="1"/>
  <c r="AB1281" s="1"/>
  <c r="AD1281" s="1"/>
  <c r="R1280"/>
  <c r="Z1280" s="1"/>
  <c r="N1280"/>
  <c r="X1279"/>
  <c r="W1279"/>
  <c r="V1279"/>
  <c r="U1279"/>
  <c r="T1279"/>
  <c r="S1279"/>
  <c r="P1279"/>
  <c r="R1278"/>
  <c r="Z1278" s="1"/>
  <c r="N1278"/>
  <c r="M1278"/>
  <c r="R1277"/>
  <c r="Z1277" s="1"/>
  <c r="N1277"/>
  <c r="M1277"/>
  <c r="R1276"/>
  <c r="Z1276" s="1"/>
  <c r="N1276"/>
  <c r="M1276"/>
  <c r="R1275"/>
  <c r="Z1275" s="1"/>
  <c r="N1275"/>
  <c r="M1275"/>
  <c r="R1274"/>
  <c r="Z1274" s="1"/>
  <c r="N1274"/>
  <c r="M1274"/>
  <c r="R1273"/>
  <c r="Z1273" s="1"/>
  <c r="N1273"/>
  <c r="M1273"/>
  <c r="R1272"/>
  <c r="Z1272" s="1"/>
  <c r="N1272"/>
  <c r="M1272"/>
  <c r="R1271"/>
  <c r="Z1271" s="1"/>
  <c r="N1271"/>
  <c r="M1271"/>
  <c r="R1270"/>
  <c r="Z1270" s="1"/>
  <c r="N1270"/>
  <c r="M1270"/>
  <c r="R1269"/>
  <c r="Z1269" s="1"/>
  <c r="N1269"/>
  <c r="M1269"/>
  <c r="R1268"/>
  <c r="Z1268" s="1"/>
  <c r="N1268"/>
  <c r="M1268"/>
  <c r="R1267"/>
  <c r="Z1267" s="1"/>
  <c r="N1267"/>
  <c r="M1267"/>
  <c r="R1266"/>
  <c r="Z1266" s="1"/>
  <c r="N1266"/>
  <c r="M1266"/>
  <c r="X1265"/>
  <c r="V1265"/>
  <c r="T1265"/>
  <c r="P1265"/>
  <c r="L1265"/>
  <c r="V1264" l="1"/>
  <c r="Z1265"/>
  <c r="T1264"/>
  <c r="P1264"/>
  <c r="X1264"/>
  <c r="AA1288"/>
  <c r="AC1288" s="1"/>
  <c r="AA1269"/>
  <c r="AC1269" s="1"/>
  <c r="AA1273"/>
  <c r="AC1273" s="1"/>
  <c r="AA1277"/>
  <c r="AC1277" s="1"/>
  <c r="AB1283"/>
  <c r="AD1283" s="1"/>
  <c r="Y1292"/>
  <c r="AB1268"/>
  <c r="AD1268" s="1"/>
  <c r="AB1269"/>
  <c r="AD1269" s="1"/>
  <c r="AB1273"/>
  <c r="AD1273" s="1"/>
  <c r="AB1277"/>
  <c r="AD1277" s="1"/>
  <c r="R1292"/>
  <c r="Z1292" s="1"/>
  <c r="AB1292" s="1"/>
  <c r="AA1296"/>
  <c r="AC1296" s="1"/>
  <c r="AA1267"/>
  <c r="AC1267" s="1"/>
  <c r="AB1272"/>
  <c r="AD1272" s="1"/>
  <c r="AB1276"/>
  <c r="AD1276" s="1"/>
  <c r="AA1284"/>
  <c r="AC1284" s="1"/>
  <c r="AB1300"/>
  <c r="AD1300" s="1"/>
  <c r="AD1294"/>
  <c r="AA1275"/>
  <c r="AC1275" s="1"/>
  <c r="L1292"/>
  <c r="L1264" s="1"/>
  <c r="Y1298"/>
  <c r="AA1298" s="1"/>
  <c r="AC1298" s="1"/>
  <c r="AD1282"/>
  <c r="AB1267"/>
  <c r="AD1267" s="1"/>
  <c r="AB1271"/>
  <c r="AD1271" s="1"/>
  <c r="AB1275"/>
  <c r="AD1275" s="1"/>
  <c r="R1279"/>
  <c r="Z1279" s="1"/>
  <c r="AA1271"/>
  <c r="AC1271" s="1"/>
  <c r="Z1298"/>
  <c r="AB1298" s="1"/>
  <c r="AD1298" s="1"/>
  <c r="AD1288"/>
  <c r="AB1266"/>
  <c r="AD1266" s="1"/>
  <c r="AB1270"/>
  <c r="AD1270" s="1"/>
  <c r="AB1274"/>
  <c r="AD1274" s="1"/>
  <c r="AB1278"/>
  <c r="AD1278" s="1"/>
  <c r="Y1279"/>
  <c r="AA1279" s="1"/>
  <c r="AC1279" s="1"/>
  <c r="AB1280"/>
  <c r="AD1280" s="1"/>
  <c r="AA1302"/>
  <c r="AC1302" s="1"/>
  <c r="Z1301"/>
  <c r="AB1301" s="1"/>
  <c r="AD1301" s="1"/>
  <c r="AA1295"/>
  <c r="AC1295" s="1"/>
  <c r="AA1272"/>
  <c r="AC1272" s="1"/>
  <c r="AA1276"/>
  <c r="AC1276" s="1"/>
  <c r="AD1285"/>
  <c r="AA1266"/>
  <c r="AC1266" s="1"/>
  <c r="AA1270"/>
  <c r="AC1270" s="1"/>
  <c r="AA1274"/>
  <c r="AC1274" s="1"/>
  <c r="AA1278"/>
  <c r="AC1278" s="1"/>
  <c r="Z1299"/>
  <c r="AB1299" s="1"/>
  <c r="AD1299" s="1"/>
  <c r="AA1268"/>
  <c r="AC1268" s="1"/>
  <c r="AD1293"/>
  <c r="AA1281"/>
  <c r="AC1281" s="1"/>
  <c r="AA1285"/>
  <c r="AC1285" s="1"/>
  <c r="AA1293"/>
  <c r="AC1293" s="1"/>
  <c r="AB1257"/>
  <c r="AD1257" s="1"/>
  <c r="AA1251"/>
  <c r="AC1251" s="1"/>
  <c r="AA1260"/>
  <c r="AC1260" s="1"/>
  <c r="R1286"/>
  <c r="Z1286" s="1"/>
  <c r="AB1286" s="1"/>
  <c r="AD1286" s="1"/>
  <c r="M1292"/>
  <c r="AA1252"/>
  <c r="AC1252" s="1"/>
  <c r="AB1254"/>
  <c r="AD1254" s="1"/>
  <c r="R1265"/>
  <c r="AD1261"/>
  <c r="AA1257"/>
  <c r="AC1257" s="1"/>
  <c r="R1302"/>
  <c r="Z1302" s="1"/>
  <c r="AB1302" s="1"/>
  <c r="AD1302" s="1"/>
  <c r="AA1250"/>
  <c r="AC1250" s="1"/>
  <c r="AB1252"/>
  <c r="AD1252" s="1"/>
  <c r="AA1255"/>
  <c r="AC1255" s="1"/>
  <c r="AB1256"/>
  <c r="AD1256" s="1"/>
  <c r="AA1261"/>
  <c r="AC1261" s="1"/>
  <c r="AA1256"/>
  <c r="AC1256" s="1"/>
  <c r="N1265"/>
  <c r="N1249"/>
  <c r="N1248" s="1"/>
  <c r="R1249"/>
  <c r="N1279"/>
  <c r="AB1250"/>
  <c r="M1283"/>
  <c r="AA1283" s="1"/>
  <c r="AC1283" s="1"/>
  <c r="N1264" l="1"/>
  <c r="AA1292"/>
  <c r="AC1292" s="1"/>
  <c r="Z1264"/>
  <c r="R1264"/>
  <c r="Z1249"/>
  <c r="Z1248" s="1"/>
  <c r="R1248"/>
  <c r="AD1292"/>
  <c r="AC1304"/>
  <c r="AC1305" s="1"/>
  <c r="AB1279"/>
  <c r="AD1279" s="1"/>
  <c r="AD1250"/>
  <c r="AB1265" l="1"/>
  <c r="AD1265" s="1"/>
  <c r="AD1304" s="1"/>
  <c r="AD1305" s="1"/>
  <c r="AB1249"/>
  <c r="AB1264" l="1"/>
  <c r="AD1249"/>
  <c r="AD1262" s="1"/>
  <c r="AD1263" s="1"/>
  <c r="AB1248"/>
  <c r="N2076"/>
  <c r="L2055"/>
  <c r="L2039"/>
  <c r="O2015"/>
  <c r="L1972"/>
  <c r="L1965"/>
  <c r="X1956"/>
  <c r="V1956"/>
  <c r="T1956"/>
  <c r="R1956"/>
  <c r="P1956"/>
  <c r="L1956"/>
  <c r="L1936"/>
  <c r="L1937"/>
  <c r="O1927"/>
  <c r="L1918"/>
  <c r="X1882"/>
  <c r="V1882"/>
  <c r="R1882"/>
  <c r="P1882"/>
  <c r="N1882"/>
  <c r="L1883"/>
  <c r="L1882" s="1"/>
  <c r="L1876" s="1"/>
  <c r="L1654"/>
  <c r="Z1883"/>
  <c r="AB1883" s="1"/>
  <c r="Y1883"/>
  <c r="AA1883" s="1"/>
  <c r="AC1883" s="1"/>
  <c r="Z1881"/>
  <c r="AB1881" s="1"/>
  <c r="Y1881"/>
  <c r="AA1881" s="1"/>
  <c r="AC1881" s="1"/>
  <c r="Z1880"/>
  <c r="AB1880" s="1"/>
  <c r="AD1880" s="1"/>
  <c r="Y1880"/>
  <c r="AA1880" s="1"/>
  <c r="AC1880" s="1"/>
  <c r="Z1878"/>
  <c r="AB1878" s="1"/>
  <c r="Y1878"/>
  <c r="AA1878" s="1"/>
  <c r="AC1878" s="1"/>
  <c r="L1881"/>
  <c r="L1878"/>
  <c r="Z1870"/>
  <c r="AB1870" s="1"/>
  <c r="Y1870"/>
  <c r="AA1870" s="1"/>
  <c r="AC1870" s="1"/>
  <c r="K1871"/>
  <c r="L1868"/>
  <c r="AD1878" l="1"/>
  <c r="AD1883"/>
  <c r="AD1881"/>
  <c r="Z1873" l="1"/>
  <c r="AB1873" s="1"/>
  <c r="AD1873" s="1"/>
  <c r="Y1873"/>
  <c r="AA1873" s="1"/>
  <c r="AC1873" s="1"/>
  <c r="Z1872"/>
  <c r="AB1872" s="1"/>
  <c r="AD1872" s="1"/>
  <c r="Y1872"/>
  <c r="AA1872" s="1"/>
  <c r="AC1872" s="1"/>
  <c r="Z1871"/>
  <c r="AB1871" s="1"/>
  <c r="AD1871" s="1"/>
  <c r="Y1871"/>
  <c r="AA1871" s="1"/>
  <c r="AC1871" s="1"/>
  <c r="Z1868"/>
  <c r="AB1868" s="1"/>
  <c r="AD1868" s="1"/>
  <c r="Y1868"/>
  <c r="AA1868" s="1"/>
  <c r="AC1868" s="1"/>
  <c r="Z1867"/>
  <c r="AB1867" s="1"/>
  <c r="AD1867" s="1"/>
  <c r="Y1867"/>
  <c r="AA1867" s="1"/>
  <c r="Z1866"/>
  <c r="AB1866" s="1"/>
  <c r="AD1866" s="1"/>
  <c r="Y1866"/>
  <c r="AA1866" s="1"/>
  <c r="AC1866" s="1"/>
  <c r="Z1865"/>
  <c r="AB1865" s="1"/>
  <c r="AD1865" s="1"/>
  <c r="Y1865"/>
  <c r="AA1865" s="1"/>
  <c r="AC1865" s="1"/>
  <c r="Z1864"/>
  <c r="AB1864" s="1"/>
  <c r="AD1864" s="1"/>
  <c r="Y1864"/>
  <c r="AA1864" s="1"/>
  <c r="AC1864" s="1"/>
  <c r="Z1863"/>
  <c r="AB1863" s="1"/>
  <c r="AD1863" s="1"/>
  <c r="Y1863"/>
  <c r="AA1863" s="1"/>
  <c r="AC1863" s="1"/>
  <c r="Z1862"/>
  <c r="AB1862" s="1"/>
  <c r="AD1862" s="1"/>
  <c r="Y1862"/>
  <c r="AA1862" s="1"/>
  <c r="AC1862" s="1"/>
  <c r="Z1861"/>
  <c r="AB1861" s="1"/>
  <c r="AD1861" s="1"/>
  <c r="Y1861"/>
  <c r="AA1861" s="1"/>
  <c r="AC1861" s="1"/>
  <c r="Z1860"/>
  <c r="AB1860" s="1"/>
  <c r="AD1860" s="1"/>
  <c r="Y1860"/>
  <c r="AA1860" s="1"/>
  <c r="AC1860" s="1"/>
  <c r="Z1859"/>
  <c r="AB1859" s="1"/>
  <c r="AD1859" s="1"/>
  <c r="Y1859"/>
  <c r="AA1859" s="1"/>
  <c r="AC1859" s="1"/>
  <c r="Z1858"/>
  <c r="AB1858" s="1"/>
  <c r="AD1858" s="1"/>
  <c r="Y1858"/>
  <c r="AA1858" s="1"/>
  <c r="AC1858" s="1"/>
  <c r="Z1857"/>
  <c r="AB1857" s="1"/>
  <c r="AD1857" s="1"/>
  <c r="Y1857"/>
  <c r="AA1857" s="1"/>
  <c r="AC1857" s="1"/>
  <c r="Z1856"/>
  <c r="AB1856" s="1"/>
  <c r="AD1856" s="1"/>
  <c r="Y1856"/>
  <c r="AA1856" s="1"/>
  <c r="AC1856" s="1"/>
  <c r="Z1855"/>
  <c r="AB1855" s="1"/>
  <c r="AD1855" s="1"/>
  <c r="Y1855"/>
  <c r="AA1855" s="1"/>
  <c r="AC1855" s="1"/>
  <c r="Z1854"/>
  <c r="AB1854" s="1"/>
  <c r="AD1854" s="1"/>
  <c r="Y1854"/>
  <c r="AA1854" s="1"/>
  <c r="AC1854" s="1"/>
  <c r="Z1853"/>
  <c r="AB1853" s="1"/>
  <c r="AD1853" s="1"/>
  <c r="Y1853"/>
  <c r="AA1853" s="1"/>
  <c r="AC1853" s="1"/>
  <c r="Z1852"/>
  <c r="AB1852" s="1"/>
  <c r="AD1852" s="1"/>
  <c r="Y1852"/>
  <c r="AA1852" s="1"/>
  <c r="AC1852" s="1"/>
  <c r="Z1851"/>
  <c r="AB1851" s="1"/>
  <c r="AD1851" s="1"/>
  <c r="Y1851"/>
  <c r="AA1851" s="1"/>
  <c r="AC1851" s="1"/>
  <c r="Y1850"/>
  <c r="AA1850" s="1"/>
  <c r="AC1850" s="1"/>
  <c r="Z1849"/>
  <c r="AB1849" s="1"/>
  <c r="Y1849"/>
  <c r="AA1849" s="1"/>
  <c r="AC1849" s="1"/>
  <c r="Y1848"/>
  <c r="AA1848" s="1"/>
  <c r="AC1848" s="1"/>
  <c r="Z1847"/>
  <c r="AB1847" s="1"/>
  <c r="AD1847" s="1"/>
  <c r="Y1847"/>
  <c r="AA1847" s="1"/>
  <c r="AC1847" s="1"/>
  <c r="Z1846"/>
  <c r="AB1846" s="1"/>
  <c r="AD1846" s="1"/>
  <c r="Y1846"/>
  <c r="AA1846" s="1"/>
  <c r="AC1846" s="1"/>
  <c r="Y1845"/>
  <c r="AA1845" s="1"/>
  <c r="AC1845" s="1"/>
  <c r="Z1844"/>
  <c r="AB1844" s="1"/>
  <c r="AD1844" s="1"/>
  <c r="Y1844"/>
  <c r="AA1844" s="1"/>
  <c r="AC1844" s="1"/>
  <c r="Z1843"/>
  <c r="AB1843" s="1"/>
  <c r="AD1843" s="1"/>
  <c r="Y1843"/>
  <c r="AA1843" s="1"/>
  <c r="AC1843" s="1"/>
  <c r="Z1842"/>
  <c r="AB1842" s="1"/>
  <c r="AD1842" s="1"/>
  <c r="Y1842"/>
  <c r="AA1842" s="1"/>
  <c r="AC1842" s="1"/>
  <c r="Z1841"/>
  <c r="AB1841" s="1"/>
  <c r="AD1841" s="1"/>
  <c r="Y1841"/>
  <c r="AA1841" s="1"/>
  <c r="AC1841" s="1"/>
  <c r="Z1840"/>
  <c r="AB1840" s="1"/>
  <c r="AD1840" s="1"/>
  <c r="Y1840"/>
  <c r="AA1840" s="1"/>
  <c r="AC1840" s="1"/>
  <c r="Y1839"/>
  <c r="AA1839" s="1"/>
  <c r="AC1839" s="1"/>
  <c r="Z1838"/>
  <c r="AB1838" s="1"/>
  <c r="AD1838" s="1"/>
  <c r="Y1838"/>
  <c r="AA1838" s="1"/>
  <c r="AC1838" s="1"/>
  <c r="Z1837"/>
  <c r="AB1837" s="1"/>
  <c r="AD1837" s="1"/>
  <c r="Y1837"/>
  <c r="AA1837" s="1"/>
  <c r="AC1837" s="1"/>
  <c r="Z1836"/>
  <c r="AB1836" s="1"/>
  <c r="AD1836" s="1"/>
  <c r="Y1836"/>
  <c r="AA1836" s="1"/>
  <c r="AC1836" s="1"/>
  <c r="Z1835"/>
  <c r="AB1835" s="1"/>
  <c r="AD1835" s="1"/>
  <c r="Y1835"/>
  <c r="AA1835" s="1"/>
  <c r="AC1835" s="1"/>
  <c r="Z1834"/>
  <c r="AB1834" s="1"/>
  <c r="AD1834" s="1"/>
  <c r="Y1834"/>
  <c r="AA1834" s="1"/>
  <c r="AC1834" s="1"/>
  <c r="Z1833"/>
  <c r="AB1833" s="1"/>
  <c r="AD1833" s="1"/>
  <c r="Y1833"/>
  <c r="AA1833" s="1"/>
  <c r="AC1833" s="1"/>
  <c r="Z1832"/>
  <c r="AB1832" s="1"/>
  <c r="AD1832" s="1"/>
  <c r="Y1832"/>
  <c r="AA1832" s="1"/>
  <c r="AC1832" s="1"/>
  <c r="Z1831"/>
  <c r="AB1831" s="1"/>
  <c r="AD1831" s="1"/>
  <c r="Y1831"/>
  <c r="AA1831" s="1"/>
  <c r="AC1831" s="1"/>
  <c r="Z1830"/>
  <c r="AB1830" s="1"/>
  <c r="AD1830" s="1"/>
  <c r="Y1830"/>
  <c r="AA1830" s="1"/>
  <c r="AC1830" s="1"/>
  <c r="Z1829"/>
  <c r="AB1829" s="1"/>
  <c r="AD1829" s="1"/>
  <c r="Y1829"/>
  <c r="AA1829" s="1"/>
  <c r="AC1829" s="1"/>
  <c r="Z1828"/>
  <c r="AB1828" s="1"/>
  <c r="AD1828" s="1"/>
  <c r="Y1828"/>
  <c r="AA1828" s="1"/>
  <c r="AC1828" s="1"/>
  <c r="Y1827"/>
  <c r="AA1827" s="1"/>
  <c r="AC1827" s="1"/>
  <c r="X1848"/>
  <c r="V1848"/>
  <c r="T1848"/>
  <c r="R1848"/>
  <c r="P1848"/>
  <c r="N1848"/>
  <c r="L1849"/>
  <c r="L1848" s="1"/>
  <c r="L1823"/>
  <c r="L1822"/>
  <c r="L1811"/>
  <c r="D10" i="4"/>
  <c r="L1806" i="1"/>
  <c r="L1802"/>
  <c r="L1803"/>
  <c r="L1804"/>
  <c r="L1800"/>
  <c r="Z1823"/>
  <c r="AB1823" s="1"/>
  <c r="Y1823"/>
  <c r="AA1823" s="1"/>
  <c r="AC1823" s="1"/>
  <c r="Z1822"/>
  <c r="AB1822" s="1"/>
  <c r="Y1822"/>
  <c r="AA1822" s="1"/>
  <c r="AC1822" s="1"/>
  <c r="Z1821"/>
  <c r="AB1821" s="1"/>
  <c r="AD1821" s="1"/>
  <c r="Y1821"/>
  <c r="AA1821" s="1"/>
  <c r="AC1821" s="1"/>
  <c r="Z1820"/>
  <c r="AB1820" s="1"/>
  <c r="AD1820" s="1"/>
  <c r="Y1820"/>
  <c r="AA1820" s="1"/>
  <c r="AC1820" s="1"/>
  <c r="Z1819"/>
  <c r="AB1819" s="1"/>
  <c r="AD1819" s="1"/>
  <c r="Y1819"/>
  <c r="AA1819" s="1"/>
  <c r="AC1819" s="1"/>
  <c r="Z1818"/>
  <c r="AB1818" s="1"/>
  <c r="AD1818" s="1"/>
  <c r="Y1818"/>
  <c r="AA1818" s="1"/>
  <c r="AC1818" s="1"/>
  <c r="Z1817"/>
  <c r="AB1817" s="1"/>
  <c r="AD1817" s="1"/>
  <c r="Y1817"/>
  <c r="AA1817" s="1"/>
  <c r="AC1817" s="1"/>
  <c r="Z1816"/>
  <c r="AB1816" s="1"/>
  <c r="AD1816" s="1"/>
  <c r="Y1816"/>
  <c r="AA1816" s="1"/>
  <c r="AC1816" s="1"/>
  <c r="Z1815"/>
  <c r="AB1815" s="1"/>
  <c r="AD1815" s="1"/>
  <c r="Y1815"/>
  <c r="AA1815" s="1"/>
  <c r="AC1815" s="1"/>
  <c r="Z1814"/>
  <c r="AB1814" s="1"/>
  <c r="AD1814" s="1"/>
  <c r="Y1814"/>
  <c r="AA1814" s="1"/>
  <c r="AC1814" s="1"/>
  <c r="Z1813"/>
  <c r="AB1813" s="1"/>
  <c r="AD1813" s="1"/>
  <c r="Y1813"/>
  <c r="AA1813" s="1"/>
  <c r="AC1813" s="1"/>
  <c r="Z1812"/>
  <c r="AB1812" s="1"/>
  <c r="AD1812" s="1"/>
  <c r="Y1812"/>
  <c r="AA1812" s="1"/>
  <c r="AC1812" s="1"/>
  <c r="Z1811"/>
  <c r="AB1811" s="1"/>
  <c r="Z1810"/>
  <c r="AB1810" s="1"/>
  <c r="AD1810" s="1"/>
  <c r="Y1810"/>
  <c r="AA1810" s="1"/>
  <c r="AC1810" s="1"/>
  <c r="Y1809"/>
  <c r="AA1809" s="1"/>
  <c r="AC1809" s="1"/>
  <c r="Z1808"/>
  <c r="AB1808" s="1"/>
  <c r="AD1808" s="1"/>
  <c r="Z1806"/>
  <c r="AB1806" s="1"/>
  <c r="Z1804"/>
  <c r="AB1804" s="1"/>
  <c r="AD1804" s="1"/>
  <c r="Y1804"/>
  <c r="AA1804" s="1"/>
  <c r="AC1804" s="1"/>
  <c r="Z1803"/>
  <c r="AB1803" s="1"/>
  <c r="Y1803"/>
  <c r="AA1803" s="1"/>
  <c r="AC1803" s="1"/>
  <c r="Z1802"/>
  <c r="AB1802" s="1"/>
  <c r="Y1802"/>
  <c r="AA1802" s="1"/>
  <c r="AC1802" s="1"/>
  <c r="Z1801"/>
  <c r="AB1801" s="1"/>
  <c r="AD1801" s="1"/>
  <c r="Y1801"/>
  <c r="AA1801" s="1"/>
  <c r="AC1801" s="1"/>
  <c r="Z1800"/>
  <c r="AB1800" s="1"/>
  <c r="Y1800"/>
  <c r="AA1800" s="1"/>
  <c r="AC1800" s="1"/>
  <c r="Z1799"/>
  <c r="AB1799" s="1"/>
  <c r="AD1799" s="1"/>
  <c r="Y1799"/>
  <c r="AA1799" s="1"/>
  <c r="AC1799" s="1"/>
  <c r="Z1798"/>
  <c r="AB1798" s="1"/>
  <c r="AD1798" s="1"/>
  <c r="Y1797"/>
  <c r="AA1797" s="1"/>
  <c r="AC1797" s="1"/>
  <c r="Y1796"/>
  <c r="AA1796" s="1"/>
  <c r="AC1796" s="1"/>
  <c r="Y1795"/>
  <c r="AA1795" s="1"/>
  <c r="AC1795" s="1"/>
  <c r="Y1794"/>
  <c r="AA1794" s="1"/>
  <c r="AC1794" s="1"/>
  <c r="Y1793"/>
  <c r="AA1793" s="1"/>
  <c r="AC1793" s="1"/>
  <c r="Y1792"/>
  <c r="AA1792" s="1"/>
  <c r="AC1792" s="1"/>
  <c r="Y1791"/>
  <c r="AA1791" s="1"/>
  <c r="AC1791" s="1"/>
  <c r="Y1790"/>
  <c r="AA1790" s="1"/>
  <c r="AC1790" s="1"/>
  <c r="Y1789"/>
  <c r="AA1789" s="1"/>
  <c r="AC1789" s="1"/>
  <c r="Y1788"/>
  <c r="AA1788" s="1"/>
  <c r="AC1788" s="1"/>
  <c r="Y1787"/>
  <c r="AA1787" s="1"/>
  <c r="AC1787" s="1"/>
  <c r="Y1786"/>
  <c r="AA1786" s="1"/>
  <c r="AC1786" s="1"/>
  <c r="Y1785"/>
  <c r="AA1785" s="1"/>
  <c r="AC1785" s="1"/>
  <c r="K1778"/>
  <c r="L1775"/>
  <c r="L1769"/>
  <c r="L1768"/>
  <c r="L1767"/>
  <c r="L1766"/>
  <c r="M1752"/>
  <c r="K1752"/>
  <c r="AD1800" l="1"/>
  <c r="AD1802"/>
  <c r="AD1822"/>
  <c r="AD1849"/>
  <c r="AD1806"/>
  <c r="Z1848"/>
  <c r="AB1848" s="1"/>
  <c r="AD1848" s="1"/>
  <c r="AD1823"/>
  <c r="AD1811"/>
  <c r="AD1803"/>
  <c r="L1723"/>
  <c r="Z1781"/>
  <c r="AB1781" s="1"/>
  <c r="AD1781" s="1"/>
  <c r="Y1781"/>
  <c r="AA1781" s="1"/>
  <c r="AC1781" s="1"/>
  <c r="Z1780"/>
  <c r="AB1780" s="1"/>
  <c r="AD1780" s="1"/>
  <c r="Y1780"/>
  <c r="AA1780" s="1"/>
  <c r="AC1780" s="1"/>
  <c r="Z1779"/>
  <c r="AB1779" s="1"/>
  <c r="AD1779" s="1"/>
  <c r="Y1779"/>
  <c r="AA1779" s="1"/>
  <c r="AC1779" s="1"/>
  <c r="Z1778"/>
  <c r="AB1778" s="1"/>
  <c r="AD1778" s="1"/>
  <c r="Y1778"/>
  <c r="AA1778" s="1"/>
  <c r="AC1778" s="1"/>
  <c r="Y1777"/>
  <c r="AA1777" s="1"/>
  <c r="AC1777" s="1"/>
  <c r="Z1776"/>
  <c r="AB1776" s="1"/>
  <c r="AD1776" s="1"/>
  <c r="Y1776"/>
  <c r="AA1776" s="1"/>
  <c r="AC1776" s="1"/>
  <c r="Z1775"/>
  <c r="AB1775" s="1"/>
  <c r="AD1775" s="1"/>
  <c r="Y1775"/>
  <c r="AA1775" s="1"/>
  <c r="AC1775" s="1"/>
  <c r="Z1774"/>
  <c r="AB1774" s="1"/>
  <c r="AD1774" s="1"/>
  <c r="Y1774"/>
  <c r="AA1774" s="1"/>
  <c r="AC1774" s="1"/>
  <c r="Z1773"/>
  <c r="AB1773" s="1"/>
  <c r="AD1773" s="1"/>
  <c r="Y1773"/>
  <c r="AA1773" s="1"/>
  <c r="AC1773" s="1"/>
  <c r="Z1772"/>
  <c r="AB1772" s="1"/>
  <c r="AD1772" s="1"/>
  <c r="Y1772"/>
  <c r="AA1772" s="1"/>
  <c r="AC1772" s="1"/>
  <c r="Z1771"/>
  <c r="AB1771" s="1"/>
  <c r="AD1771" s="1"/>
  <c r="Y1771"/>
  <c r="AA1771" s="1"/>
  <c r="AC1771" s="1"/>
  <c r="Y1770"/>
  <c r="AA1770" s="1"/>
  <c r="AC1770" s="1"/>
  <c r="Z1769"/>
  <c r="AB1769" s="1"/>
  <c r="AD1769" s="1"/>
  <c r="Y1769"/>
  <c r="AA1769" s="1"/>
  <c r="AC1769" s="1"/>
  <c r="Z1768"/>
  <c r="AB1768" s="1"/>
  <c r="AD1768" s="1"/>
  <c r="Y1768"/>
  <c r="AA1768" s="1"/>
  <c r="AC1768" s="1"/>
  <c r="Z1767"/>
  <c r="AB1767" s="1"/>
  <c r="AD1767" s="1"/>
  <c r="Y1767"/>
  <c r="AA1767" s="1"/>
  <c r="AC1767" s="1"/>
  <c r="Z1766"/>
  <c r="AB1766" s="1"/>
  <c r="AD1766" s="1"/>
  <c r="Y1766"/>
  <c r="AA1766" s="1"/>
  <c r="Z1765"/>
  <c r="AB1765" s="1"/>
  <c r="AD1765" s="1"/>
  <c r="Y1765"/>
  <c r="AA1765" s="1"/>
  <c r="AC1765" s="1"/>
  <c r="Z1764"/>
  <c r="AB1764" s="1"/>
  <c r="AD1764" s="1"/>
  <c r="Y1764"/>
  <c r="AA1764" s="1"/>
  <c r="AC1764" s="1"/>
  <c r="Z1763"/>
  <c r="AB1763" s="1"/>
  <c r="AD1763" s="1"/>
  <c r="Y1763"/>
  <c r="AA1763" s="1"/>
  <c r="AC1763" s="1"/>
  <c r="Z1762"/>
  <c r="AB1762" s="1"/>
  <c r="AD1762" s="1"/>
  <c r="Y1762"/>
  <c r="AA1762" s="1"/>
  <c r="AC1762" s="1"/>
  <c r="Z1761"/>
  <c r="AB1761" s="1"/>
  <c r="AD1761" s="1"/>
  <c r="Y1761"/>
  <c r="AA1761" s="1"/>
  <c r="AC1761" s="1"/>
  <c r="Z1760"/>
  <c r="AB1760" s="1"/>
  <c r="AD1760" s="1"/>
  <c r="Y1760"/>
  <c r="AA1760" s="1"/>
  <c r="AC1760" s="1"/>
  <c r="Z1759"/>
  <c r="AB1759" s="1"/>
  <c r="AD1759" s="1"/>
  <c r="Y1759"/>
  <c r="AA1759" s="1"/>
  <c r="AC1759" s="1"/>
  <c r="Z1758"/>
  <c r="AB1758" s="1"/>
  <c r="AD1758" s="1"/>
  <c r="Y1758"/>
  <c r="AA1758" s="1"/>
  <c r="AC1758" s="1"/>
  <c r="Z1757"/>
  <c r="AB1757" s="1"/>
  <c r="AD1757" s="1"/>
  <c r="Y1757"/>
  <c r="AA1757" s="1"/>
  <c r="AC1757" s="1"/>
  <c r="Z1756"/>
  <c r="AB1756" s="1"/>
  <c r="AD1756" s="1"/>
  <c r="Y1756"/>
  <c r="AA1756" s="1"/>
  <c r="AC1756" s="1"/>
  <c r="Z1755"/>
  <c r="AB1755" s="1"/>
  <c r="AD1755" s="1"/>
  <c r="Y1755"/>
  <c r="AA1755" s="1"/>
  <c r="AC1755" s="1"/>
  <c r="Z1754"/>
  <c r="AB1754" s="1"/>
  <c r="AD1754" s="1"/>
  <c r="Y1754"/>
  <c r="AA1754" s="1"/>
  <c r="AC1754" s="1"/>
  <c r="Z1753"/>
  <c r="AB1753" s="1"/>
  <c r="AD1753" s="1"/>
  <c r="Y1753"/>
  <c r="AA1753" s="1"/>
  <c r="AC1753" s="1"/>
  <c r="Z1752"/>
  <c r="AB1752" s="1"/>
  <c r="AD1752" s="1"/>
  <c r="Y1752"/>
  <c r="AA1752" s="1"/>
  <c r="AC1752" s="1"/>
  <c r="Z1751"/>
  <c r="AB1751" s="1"/>
  <c r="AD1751" s="1"/>
  <c r="Y1751"/>
  <c r="AA1751" s="1"/>
  <c r="AC1751" s="1"/>
  <c r="Z1750"/>
  <c r="AB1750" s="1"/>
  <c r="AD1750" s="1"/>
  <c r="Y1750"/>
  <c r="AA1750" s="1"/>
  <c r="AC1750" s="1"/>
  <c r="Z1749"/>
  <c r="AB1749" s="1"/>
  <c r="AD1749" s="1"/>
  <c r="Y1749"/>
  <c r="AA1749" s="1"/>
  <c r="AC1749" s="1"/>
  <c r="Z1748"/>
  <c r="AB1748" s="1"/>
  <c r="AD1748" s="1"/>
  <c r="Y1748"/>
  <c r="AA1748" s="1"/>
  <c r="AC1748" s="1"/>
  <c r="Z1747"/>
  <c r="AB1747" s="1"/>
  <c r="AD1747" s="1"/>
  <c r="Y1747"/>
  <c r="AA1747" s="1"/>
  <c r="AC1747" s="1"/>
  <c r="Z1746"/>
  <c r="AB1746" s="1"/>
  <c r="AD1746" s="1"/>
  <c r="Y1746"/>
  <c r="AA1746" s="1"/>
  <c r="AC1746" s="1"/>
  <c r="Z1745"/>
  <c r="AB1745" s="1"/>
  <c r="AD1745" s="1"/>
  <c r="Y1745"/>
  <c r="AA1745" s="1"/>
  <c r="AC1745" s="1"/>
  <c r="Z1744"/>
  <c r="AB1744" s="1"/>
  <c r="AD1744" s="1"/>
  <c r="Y1744"/>
  <c r="AA1744" s="1"/>
  <c r="AC1744" s="1"/>
  <c r="Z1743"/>
  <c r="AB1743" s="1"/>
  <c r="AD1743" s="1"/>
  <c r="Y1743"/>
  <c r="AA1743" s="1"/>
  <c r="AC1743" s="1"/>
  <c r="Z1742"/>
  <c r="AB1742" s="1"/>
  <c r="AD1742" s="1"/>
  <c r="Y1742"/>
  <c r="AA1742" s="1"/>
  <c r="AC1742" s="1"/>
  <c r="Z1741"/>
  <c r="AB1741" s="1"/>
  <c r="Y1741"/>
  <c r="AA1741" s="1"/>
  <c r="AC1741" s="1"/>
  <c r="Z1740"/>
  <c r="AB1740" s="1"/>
  <c r="Y1740"/>
  <c r="AA1740" s="1"/>
  <c r="AC1740" s="1"/>
  <c r="Y1739"/>
  <c r="AA1739" s="1"/>
  <c r="AC1739" s="1"/>
  <c r="Z1738"/>
  <c r="AB1738" s="1"/>
  <c r="AD1738" s="1"/>
  <c r="Y1738"/>
  <c r="AA1738" s="1"/>
  <c r="AC1738" s="1"/>
  <c r="Y1737"/>
  <c r="AA1737" s="1"/>
  <c r="AC1737" s="1"/>
  <c r="Z1736"/>
  <c r="AB1736" s="1"/>
  <c r="AD1736" s="1"/>
  <c r="Y1736"/>
  <c r="AA1736" s="1"/>
  <c r="AC1736" s="1"/>
  <c r="Y1735"/>
  <c r="AA1735" s="1"/>
  <c r="AC1735" s="1"/>
  <c r="Z1734"/>
  <c r="AB1734" s="1"/>
  <c r="AD1734" s="1"/>
  <c r="Y1734"/>
  <c r="AA1734" s="1"/>
  <c r="AC1734" s="1"/>
  <c r="Z1733"/>
  <c r="AB1733" s="1"/>
  <c r="AD1733" s="1"/>
  <c r="Y1733"/>
  <c r="AA1733" s="1"/>
  <c r="AC1733" s="1"/>
  <c r="Z1732"/>
  <c r="Y1732"/>
  <c r="AA1732" s="1"/>
  <c r="AC1732" s="1"/>
  <c r="Z1731"/>
  <c r="AB1731" s="1"/>
  <c r="AD1731" s="1"/>
  <c r="Y1731"/>
  <c r="AA1731" s="1"/>
  <c r="AC1731" s="1"/>
  <c r="Z1730"/>
  <c r="AB1730" s="1"/>
  <c r="AD1730" s="1"/>
  <c r="Y1730"/>
  <c r="AA1730" s="1"/>
  <c r="AC1730" s="1"/>
  <c r="Z1729"/>
  <c r="AB1729" s="1"/>
  <c r="AD1729" s="1"/>
  <c r="Y1729"/>
  <c r="AA1729" s="1"/>
  <c r="AC1729" s="1"/>
  <c r="Z1728"/>
  <c r="AB1728" s="1"/>
  <c r="AD1728" s="1"/>
  <c r="Y1728"/>
  <c r="AA1728" s="1"/>
  <c r="AC1728" s="1"/>
  <c r="Z1727"/>
  <c r="AB1727" s="1"/>
  <c r="AD1727" s="1"/>
  <c r="Y1727"/>
  <c r="AA1727" s="1"/>
  <c r="AC1727" s="1"/>
  <c r="Z1726"/>
  <c r="AB1726" s="1"/>
  <c r="AD1726" s="1"/>
  <c r="Y1726"/>
  <c r="AA1726" s="1"/>
  <c r="AC1726" s="1"/>
  <c r="Z1725"/>
  <c r="AB1725" s="1"/>
  <c r="AD1725" s="1"/>
  <c r="Y1725"/>
  <c r="AA1725" s="1"/>
  <c r="AC1725" s="1"/>
  <c r="Y1724"/>
  <c r="AA1724" s="1"/>
  <c r="AC1724" s="1"/>
  <c r="Z1723"/>
  <c r="AB1723" s="1"/>
  <c r="Y1723"/>
  <c r="AA1723" s="1"/>
  <c r="AC1723" s="1"/>
  <c r="Z1722"/>
  <c r="AB1722" s="1"/>
  <c r="AD1722" s="1"/>
  <c r="Y1722"/>
  <c r="AA1722" s="1"/>
  <c r="AC1722" s="1"/>
  <c r="Z1721"/>
  <c r="AB1721" s="1"/>
  <c r="AD1721" s="1"/>
  <c r="Y1721"/>
  <c r="AA1721" s="1"/>
  <c r="AC1721" s="1"/>
  <c r="Z1720"/>
  <c r="AB1720" s="1"/>
  <c r="AD1720" s="1"/>
  <c r="Y1720"/>
  <c r="AA1720" s="1"/>
  <c r="AC1720" s="1"/>
  <c r="Z1719"/>
  <c r="AB1719" s="1"/>
  <c r="AD1719" s="1"/>
  <c r="Y1719"/>
  <c r="AA1719" s="1"/>
  <c r="AC1719" s="1"/>
  <c r="Z1718"/>
  <c r="AB1718" s="1"/>
  <c r="AD1718" s="1"/>
  <c r="Y1718"/>
  <c r="AA1718" s="1"/>
  <c r="AC1718" s="1"/>
  <c r="Z1717"/>
  <c r="AB1717" s="1"/>
  <c r="AD1717" s="1"/>
  <c r="Y1717"/>
  <c r="AA1717" s="1"/>
  <c r="AC1717" s="1"/>
  <c r="Z1716"/>
  <c r="AB1716" s="1"/>
  <c r="AD1716" s="1"/>
  <c r="Y1716"/>
  <c r="AA1716" s="1"/>
  <c r="AC1716" s="1"/>
  <c r="Z1715"/>
  <c r="AB1715" s="1"/>
  <c r="AD1715" s="1"/>
  <c r="Y1715"/>
  <c r="AA1715" s="1"/>
  <c r="AC1715" s="1"/>
  <c r="Z1714"/>
  <c r="AB1714" s="1"/>
  <c r="AD1714" s="1"/>
  <c r="Y1714"/>
  <c r="AA1714" s="1"/>
  <c r="AC1714" s="1"/>
  <c r="Z1713"/>
  <c r="AB1713" s="1"/>
  <c r="AD1713" s="1"/>
  <c r="Y1713"/>
  <c r="AA1713" s="1"/>
  <c r="AC1713" s="1"/>
  <c r="Z1712"/>
  <c r="AB1712" s="1"/>
  <c r="AD1712" s="1"/>
  <c r="Y1712"/>
  <c r="AA1712" s="1"/>
  <c r="AC1712" s="1"/>
  <c r="Y1711"/>
  <c r="AA1711" s="1"/>
  <c r="AC1711" s="1"/>
  <c r="L1683"/>
  <c r="Z1706"/>
  <c r="AB1706" s="1"/>
  <c r="AD1706" s="1"/>
  <c r="Y1706"/>
  <c r="AA1706" s="1"/>
  <c r="AC1706" s="1"/>
  <c r="Z1705"/>
  <c r="AB1705" s="1"/>
  <c r="AD1705" s="1"/>
  <c r="Y1705"/>
  <c r="AA1705" s="1"/>
  <c r="AC1705" s="1"/>
  <c r="Z1704"/>
  <c r="AB1704" s="1"/>
  <c r="AD1704" s="1"/>
  <c r="Y1704"/>
  <c r="AA1704" s="1"/>
  <c r="AC1704" s="1"/>
  <c r="Z1702"/>
  <c r="AB1702" s="1"/>
  <c r="AD1702" s="1"/>
  <c r="Y1702"/>
  <c r="AA1702" s="1"/>
  <c r="AC1702" s="1"/>
  <c r="Z1700"/>
  <c r="AB1700" s="1"/>
  <c r="AD1700" s="1"/>
  <c r="Y1700"/>
  <c r="AA1700" s="1"/>
  <c r="AC1700" s="1"/>
  <c r="Z1699"/>
  <c r="AB1699" s="1"/>
  <c r="AD1699" s="1"/>
  <c r="Y1699"/>
  <c r="AA1699" s="1"/>
  <c r="AC1699" s="1"/>
  <c r="Z1697"/>
  <c r="AB1697" s="1"/>
  <c r="AD1697" s="1"/>
  <c r="Y1697"/>
  <c r="AA1697" s="1"/>
  <c r="AC1697" s="1"/>
  <c r="Z1696"/>
  <c r="AB1696" s="1"/>
  <c r="AD1696" s="1"/>
  <c r="Y1696"/>
  <c r="AA1696" s="1"/>
  <c r="AC1696" s="1"/>
  <c r="Z1695"/>
  <c r="AB1695" s="1"/>
  <c r="AD1695" s="1"/>
  <c r="Y1695"/>
  <c r="AA1695" s="1"/>
  <c r="AC1695" s="1"/>
  <c r="Z1694"/>
  <c r="AB1694" s="1"/>
  <c r="AD1694" s="1"/>
  <c r="Y1694"/>
  <c r="AA1694" s="1"/>
  <c r="AC1694" s="1"/>
  <c r="Z1693"/>
  <c r="AB1693" s="1"/>
  <c r="AD1693" s="1"/>
  <c r="Y1693"/>
  <c r="AA1693" s="1"/>
  <c r="AC1693" s="1"/>
  <c r="Z1692"/>
  <c r="AB1692" s="1"/>
  <c r="AD1692" s="1"/>
  <c r="Y1692"/>
  <c r="AA1692" s="1"/>
  <c r="AC1692" s="1"/>
  <c r="Z1691"/>
  <c r="AB1691" s="1"/>
  <c r="AD1691" s="1"/>
  <c r="Y1691"/>
  <c r="AA1691" s="1"/>
  <c r="AC1691" s="1"/>
  <c r="Z1690"/>
  <c r="AB1690" s="1"/>
  <c r="AD1690" s="1"/>
  <c r="Y1690"/>
  <c r="AA1690" s="1"/>
  <c r="AC1690" s="1"/>
  <c r="Z1689"/>
  <c r="AB1689" s="1"/>
  <c r="AD1689" s="1"/>
  <c r="Y1689"/>
  <c r="AA1689" s="1"/>
  <c r="AC1689" s="1"/>
  <c r="Z1688"/>
  <c r="AB1688" s="1"/>
  <c r="AD1688" s="1"/>
  <c r="Y1688"/>
  <c r="AA1688" s="1"/>
  <c r="AC1688" s="1"/>
  <c r="Z1683"/>
  <c r="AB1683" s="1"/>
  <c r="Y1683"/>
  <c r="AA1683" s="1"/>
  <c r="AC1683" s="1"/>
  <c r="Z1682"/>
  <c r="AB1682" s="1"/>
  <c r="AD1682" s="1"/>
  <c r="Y1682"/>
  <c r="AA1682" s="1"/>
  <c r="AC1682" s="1"/>
  <c r="Z1681"/>
  <c r="AB1681" s="1"/>
  <c r="AD1681" s="1"/>
  <c r="Y1681"/>
  <c r="AA1681" s="1"/>
  <c r="AC1681" s="1"/>
  <c r="Z1679"/>
  <c r="AB1679" s="1"/>
  <c r="AD1679" s="1"/>
  <c r="Y1679"/>
  <c r="AA1679" s="1"/>
  <c r="AC1679" s="1"/>
  <c r="Z1678"/>
  <c r="AB1678" s="1"/>
  <c r="Y1678"/>
  <c r="AA1678" s="1"/>
  <c r="AC1678" s="1"/>
  <c r="Z1677"/>
  <c r="AB1677" s="1"/>
  <c r="AD1677" s="1"/>
  <c r="Y1677"/>
  <c r="AA1677" s="1"/>
  <c r="AC1677" s="1"/>
  <c r="Z1675"/>
  <c r="AB1675" s="1"/>
  <c r="AD1675" s="1"/>
  <c r="Y1675"/>
  <c r="AA1675" s="1"/>
  <c r="AC1675" s="1"/>
  <c r="Z1673"/>
  <c r="AB1673" s="1"/>
  <c r="AD1673" s="1"/>
  <c r="Y1673"/>
  <c r="AA1673" s="1"/>
  <c r="AC1673" s="1"/>
  <c r="Z1672"/>
  <c r="AB1672" s="1"/>
  <c r="AD1672" s="1"/>
  <c r="Y1672"/>
  <c r="AA1672" s="1"/>
  <c r="AC1672" s="1"/>
  <c r="Z1671"/>
  <c r="AB1671" s="1"/>
  <c r="AD1671" s="1"/>
  <c r="Y1671"/>
  <c r="AA1671" s="1"/>
  <c r="AC1671" s="1"/>
  <c r="Z1669"/>
  <c r="AB1669" s="1"/>
  <c r="AD1669" s="1"/>
  <c r="Y1669"/>
  <c r="AA1669" s="1"/>
  <c r="AC1669" s="1"/>
  <c r="Z1668"/>
  <c r="AB1668" s="1"/>
  <c r="AD1668" s="1"/>
  <c r="Y1668"/>
  <c r="AA1668" s="1"/>
  <c r="AC1668" s="1"/>
  <c r="Z1667"/>
  <c r="AB1667" s="1"/>
  <c r="AD1667" s="1"/>
  <c r="Y1667"/>
  <c r="AA1667" s="1"/>
  <c r="AC1667" s="1"/>
  <c r="Z1666"/>
  <c r="AB1666" s="1"/>
  <c r="AD1666" s="1"/>
  <c r="Y1666"/>
  <c r="AA1666" s="1"/>
  <c r="AC1666" s="1"/>
  <c r="Z1665"/>
  <c r="AB1665" s="1"/>
  <c r="AD1665" s="1"/>
  <c r="Y1665"/>
  <c r="AA1665" s="1"/>
  <c r="AC1665" s="1"/>
  <c r="Z1664"/>
  <c r="AB1664" s="1"/>
  <c r="AD1664" s="1"/>
  <c r="Y1664"/>
  <c r="AA1664" s="1"/>
  <c r="AC1664" s="1"/>
  <c r="Z1663"/>
  <c r="AB1663" s="1"/>
  <c r="AD1663" s="1"/>
  <c r="Y1663"/>
  <c r="AA1663" s="1"/>
  <c r="AC1663" s="1"/>
  <c r="Z1662"/>
  <c r="AB1662" s="1"/>
  <c r="AD1662" s="1"/>
  <c r="Y1662"/>
  <c r="AA1662" s="1"/>
  <c r="AC1662" s="1"/>
  <c r="Z1661"/>
  <c r="AB1661" s="1"/>
  <c r="AD1661" s="1"/>
  <c r="Y1661"/>
  <c r="AA1661" s="1"/>
  <c r="AC1661" s="1"/>
  <c r="Z1660"/>
  <c r="AB1660" s="1"/>
  <c r="AD1660" s="1"/>
  <c r="Y1660"/>
  <c r="AA1660" s="1"/>
  <c r="AC1660" s="1"/>
  <c r="Z1659"/>
  <c r="AB1659" s="1"/>
  <c r="AD1659" s="1"/>
  <c r="Y1659"/>
  <c r="AA1659" s="1"/>
  <c r="AC1659" s="1"/>
  <c r="Z1658"/>
  <c r="AB1658" s="1"/>
  <c r="AD1658" s="1"/>
  <c r="Y1658"/>
  <c r="AA1658" s="1"/>
  <c r="AC1658" s="1"/>
  <c r="Z1657"/>
  <c r="AB1657" s="1"/>
  <c r="AD1657" s="1"/>
  <c r="Y1657"/>
  <c r="AA1657" s="1"/>
  <c r="AC1657" s="1"/>
  <c r="Z1656"/>
  <c r="AB1656" s="1"/>
  <c r="AD1656" s="1"/>
  <c r="Y1656"/>
  <c r="AA1656" s="1"/>
  <c r="AC1656" s="1"/>
  <c r="L1646"/>
  <c r="L1645"/>
  <c r="K1645"/>
  <c r="L1623"/>
  <c r="L1624"/>
  <c r="Y1624"/>
  <c r="AA1624" s="1"/>
  <c r="AC1624" s="1"/>
  <c r="Z1624"/>
  <c r="AB1624" s="1"/>
  <c r="Z1648"/>
  <c r="Z1646"/>
  <c r="AB1646" s="1"/>
  <c r="Y1646"/>
  <c r="AA1646" s="1"/>
  <c r="AC1646" s="1"/>
  <c r="Z1645"/>
  <c r="AB1645" s="1"/>
  <c r="Y1645"/>
  <c r="AA1645" s="1"/>
  <c r="Z1644"/>
  <c r="AB1644" s="1"/>
  <c r="Y1644"/>
  <c r="AA1644" s="1"/>
  <c r="AC1644" s="1"/>
  <c r="Z1643"/>
  <c r="AB1643" s="1"/>
  <c r="Y1643"/>
  <c r="AA1643" s="1"/>
  <c r="AC1643" s="1"/>
  <c r="Z1642"/>
  <c r="AB1642" s="1"/>
  <c r="Y1642"/>
  <c r="AA1642" s="1"/>
  <c r="AC1642" s="1"/>
  <c r="Z1641"/>
  <c r="AB1641" s="1"/>
  <c r="Y1641"/>
  <c r="AA1641" s="1"/>
  <c r="AC1641" s="1"/>
  <c r="Z1640"/>
  <c r="AB1640" s="1"/>
  <c r="Y1640"/>
  <c r="AA1640" s="1"/>
  <c r="AC1640" s="1"/>
  <c r="Z1639"/>
  <c r="AB1639" s="1"/>
  <c r="Y1639"/>
  <c r="AA1639" s="1"/>
  <c r="AC1639" s="1"/>
  <c r="Y1638"/>
  <c r="AA1638" s="1"/>
  <c r="AC1638" s="1"/>
  <c r="Y1637"/>
  <c r="AA1637" s="1"/>
  <c r="AC1637" s="1"/>
  <c r="Y1636"/>
  <c r="AA1636" s="1"/>
  <c r="AC1636" s="1"/>
  <c r="Z1635"/>
  <c r="AB1635" s="1"/>
  <c r="Y1635"/>
  <c r="AA1635" s="1"/>
  <c r="AC1635" s="1"/>
  <c r="Z1634"/>
  <c r="AB1634" s="1"/>
  <c r="Y1634"/>
  <c r="AA1634" s="1"/>
  <c r="AC1634" s="1"/>
  <c r="Z1633"/>
  <c r="AB1633" s="1"/>
  <c r="Y1633"/>
  <c r="AA1633" s="1"/>
  <c r="AC1633" s="1"/>
  <c r="Z1632"/>
  <c r="AB1632" s="1"/>
  <c r="Y1632"/>
  <c r="AA1632" s="1"/>
  <c r="AC1632" s="1"/>
  <c r="Z1631"/>
  <c r="Z1630"/>
  <c r="Z1629"/>
  <c r="Z1628"/>
  <c r="Y1626"/>
  <c r="AA1626" s="1"/>
  <c r="AC1626" s="1"/>
  <c r="Y1625"/>
  <c r="AA1625" s="1"/>
  <c r="AC1625" s="1"/>
  <c r="Y1623"/>
  <c r="AA1623" s="1"/>
  <c r="AC1623" s="1"/>
  <c r="Y1622"/>
  <c r="AA1622" s="1"/>
  <c r="AC1622" s="1"/>
  <c r="Z1621"/>
  <c r="Z1620"/>
  <c r="Z1619"/>
  <c r="AB1619" s="1"/>
  <c r="Y1619"/>
  <c r="AA1619" s="1"/>
  <c r="AC1619" s="1"/>
  <c r="Z1618"/>
  <c r="Z1617"/>
  <c r="Z1615"/>
  <c r="Z1614"/>
  <c r="Z1613"/>
  <c r="Z1612"/>
  <c r="Z1610"/>
  <c r="Z1609"/>
  <c r="Z1608"/>
  <c r="Z1607"/>
  <c r="Z1606"/>
  <c r="Z1605"/>
  <c r="L1589"/>
  <c r="P1589"/>
  <c r="R1589"/>
  <c r="T1589"/>
  <c r="Y1589"/>
  <c r="AA1589" s="1"/>
  <c r="AC1589" s="1"/>
  <c r="Y1590"/>
  <c r="AA1590" s="1"/>
  <c r="AC1590" s="1"/>
  <c r="Z1590"/>
  <c r="Z1589" s="1"/>
  <c r="AB1589" s="1"/>
  <c r="L1578"/>
  <c r="L1567"/>
  <c r="L1566"/>
  <c r="Y1559"/>
  <c r="AA1559" s="1"/>
  <c r="AC1559" s="1"/>
  <c r="L1559"/>
  <c r="Y1554"/>
  <c r="AA1554" s="1"/>
  <c r="AC1554" s="1"/>
  <c r="O1554"/>
  <c r="L1542"/>
  <c r="L1541"/>
  <c r="L1539"/>
  <c r="Z1504"/>
  <c r="L1503"/>
  <c r="M1503"/>
  <c r="Q1504"/>
  <c r="Y1504" s="1"/>
  <c r="AA1504" s="1"/>
  <c r="AC1504" s="1"/>
  <c r="L1478"/>
  <c r="L1477"/>
  <c r="L1476"/>
  <c r="L1475"/>
  <c r="L1460"/>
  <c r="L1448"/>
  <c r="K1448"/>
  <c r="L1446"/>
  <c r="K1433"/>
  <c r="L1417"/>
  <c r="L1420"/>
  <c r="Z1478"/>
  <c r="AB1478" s="1"/>
  <c r="Y1478"/>
  <c r="AA1478" s="1"/>
  <c r="AC1478" s="1"/>
  <c r="Z1477"/>
  <c r="AB1477" s="1"/>
  <c r="AD1477" s="1"/>
  <c r="Y1477"/>
  <c r="AA1477" s="1"/>
  <c r="AC1477" s="1"/>
  <c r="Z1476"/>
  <c r="AB1476" s="1"/>
  <c r="Y1476"/>
  <c r="AA1476" s="1"/>
  <c r="AC1476" s="1"/>
  <c r="Z1475"/>
  <c r="AB1475" s="1"/>
  <c r="Y1475"/>
  <c r="AA1475" s="1"/>
  <c r="AC1475" s="1"/>
  <c r="Z1474"/>
  <c r="Y1474"/>
  <c r="AA1474" s="1"/>
  <c r="AC1474" s="1"/>
  <c r="Z1473"/>
  <c r="Y1473"/>
  <c r="AA1473" s="1"/>
  <c r="AC1473" s="1"/>
  <c r="Z1472"/>
  <c r="Y1472"/>
  <c r="AA1472" s="1"/>
  <c r="AC1472" s="1"/>
  <c r="Z1471"/>
  <c r="Y1471"/>
  <c r="AA1471" s="1"/>
  <c r="AC1471" s="1"/>
  <c r="Z1470"/>
  <c r="AB1470" s="1"/>
  <c r="Y1470"/>
  <c r="AA1470" s="1"/>
  <c r="AC1470" s="1"/>
  <c r="Z1469"/>
  <c r="AB1469" s="1"/>
  <c r="Y1469"/>
  <c r="AA1469" s="1"/>
  <c r="AC1469" s="1"/>
  <c r="Y1468"/>
  <c r="AA1468" s="1"/>
  <c r="AC1468" s="1"/>
  <c r="Z1467"/>
  <c r="Y1467"/>
  <c r="AA1467" s="1"/>
  <c r="AC1467" s="1"/>
  <c r="Z1466"/>
  <c r="Y1466"/>
  <c r="AA1466" s="1"/>
  <c r="AC1466" s="1"/>
  <c r="Z1465"/>
  <c r="Y1465"/>
  <c r="AA1465" s="1"/>
  <c r="AC1465" s="1"/>
  <c r="Z1464"/>
  <c r="Y1464"/>
  <c r="AA1464" s="1"/>
  <c r="AC1464" s="1"/>
  <c r="Y1463"/>
  <c r="AA1463" s="1"/>
  <c r="AC1463" s="1"/>
  <c r="Z1462"/>
  <c r="AB1462" s="1"/>
  <c r="AD1462" s="1"/>
  <c r="Y1462"/>
  <c r="AA1462" s="1"/>
  <c r="AC1462" s="1"/>
  <c r="Z1461"/>
  <c r="AB1461" s="1"/>
  <c r="AD1461" s="1"/>
  <c r="Y1461"/>
  <c r="AA1461" s="1"/>
  <c r="AC1461" s="1"/>
  <c r="Z1460"/>
  <c r="AB1460" s="1"/>
  <c r="Y1460"/>
  <c r="AA1460" s="1"/>
  <c r="AC1460" s="1"/>
  <c r="Z1459"/>
  <c r="Y1459"/>
  <c r="AA1459" s="1"/>
  <c r="AC1459" s="1"/>
  <c r="Z1458"/>
  <c r="Y1458"/>
  <c r="AA1458" s="1"/>
  <c r="AC1458" s="1"/>
  <c r="Z1457"/>
  <c r="Y1457"/>
  <c r="AA1457" s="1"/>
  <c r="Z1456"/>
  <c r="AB1456" s="1"/>
  <c r="Y1456"/>
  <c r="AA1456" s="1"/>
  <c r="AC1456" s="1"/>
  <c r="Z1455"/>
  <c r="AB1455" s="1"/>
  <c r="Y1455"/>
  <c r="AA1455" s="1"/>
  <c r="AC1455" s="1"/>
  <c r="Y1454"/>
  <c r="AA1454" s="1"/>
  <c r="AC1454" s="1"/>
  <c r="Z1453"/>
  <c r="Y1453"/>
  <c r="AA1453" s="1"/>
  <c r="AC1453" s="1"/>
  <c r="Z1452"/>
  <c r="Y1452"/>
  <c r="AA1452" s="1"/>
  <c r="AC1452" s="1"/>
  <c r="Z1451"/>
  <c r="AB1451" s="1"/>
  <c r="AD1451" s="1"/>
  <c r="Y1451"/>
  <c r="AA1451" s="1"/>
  <c r="AC1451" s="1"/>
  <c r="Y1450"/>
  <c r="AA1450" s="1"/>
  <c r="AC1450" s="1"/>
  <c r="Z1449"/>
  <c r="AB1449" s="1"/>
  <c r="AD1449" s="1"/>
  <c r="Y1449"/>
  <c r="AA1449" s="1"/>
  <c r="AC1449" s="1"/>
  <c r="Z1448"/>
  <c r="AB1448" s="1"/>
  <c r="Y1448"/>
  <c r="AA1448" s="1"/>
  <c r="Z1447"/>
  <c r="AB1447" s="1"/>
  <c r="AD1447" s="1"/>
  <c r="Y1447"/>
  <c r="AA1447" s="1"/>
  <c r="AC1447" s="1"/>
  <c r="Z1446"/>
  <c r="AB1446" s="1"/>
  <c r="Y1446"/>
  <c r="AA1446" s="1"/>
  <c r="AC1446" s="1"/>
  <c r="Z1445"/>
  <c r="Y1445"/>
  <c r="AA1445" s="1"/>
  <c r="AC1445" s="1"/>
  <c r="Z1444"/>
  <c r="AB1444" s="1"/>
  <c r="AD1444" s="1"/>
  <c r="Y1444"/>
  <c r="AA1444" s="1"/>
  <c r="AC1444" s="1"/>
  <c r="Z1443"/>
  <c r="Y1443"/>
  <c r="AA1443" s="1"/>
  <c r="AC1443" s="1"/>
  <c r="Z1442"/>
  <c r="Y1442"/>
  <c r="AA1442" s="1"/>
  <c r="AC1442" s="1"/>
  <c r="Z1441"/>
  <c r="Y1441"/>
  <c r="AA1441" s="1"/>
  <c r="AC1441" s="1"/>
  <c r="Z1440"/>
  <c r="Y1440"/>
  <c r="AA1440" s="1"/>
  <c r="AC1440" s="1"/>
  <c r="Z1439"/>
  <c r="AB1439" s="1"/>
  <c r="AD1439" s="1"/>
  <c r="Y1439"/>
  <c r="AA1439" s="1"/>
  <c r="AC1439" s="1"/>
  <c r="Z1438"/>
  <c r="Y1438"/>
  <c r="AA1438" s="1"/>
  <c r="AC1438" s="1"/>
  <c r="Z1437"/>
  <c r="Y1437"/>
  <c r="AA1437" s="1"/>
  <c r="AC1437" s="1"/>
  <c r="Z1436"/>
  <c r="Y1436"/>
  <c r="AA1436" s="1"/>
  <c r="AC1436" s="1"/>
  <c r="Z1435"/>
  <c r="Y1435"/>
  <c r="AA1435" s="1"/>
  <c r="AC1435" s="1"/>
  <c r="Z1434"/>
  <c r="Y1434"/>
  <c r="AA1434" s="1"/>
  <c r="AC1434" s="1"/>
  <c r="Z1433"/>
  <c r="Y1433"/>
  <c r="AA1433" s="1"/>
  <c r="Z1432"/>
  <c r="AB1432" s="1"/>
  <c r="Y1432"/>
  <c r="Z1431"/>
  <c r="AB1431" s="1"/>
  <c r="Y1431"/>
  <c r="Z1430"/>
  <c r="AB1430" s="1"/>
  <c r="Y1430"/>
  <c r="Z1429"/>
  <c r="AB1429" s="1"/>
  <c r="Y1429"/>
  <c r="Z1428"/>
  <c r="AB1428" s="1"/>
  <c r="Y1428"/>
  <c r="Z1427"/>
  <c r="AB1427" s="1"/>
  <c r="Y1427"/>
  <c r="Z1426"/>
  <c r="AB1426" s="1"/>
  <c r="Y1426"/>
  <c r="Z1425"/>
  <c r="AB1425" s="1"/>
  <c r="Y1425"/>
  <c r="Z1424"/>
  <c r="AB1424" s="1"/>
  <c r="Y1424"/>
  <c r="Z1423"/>
  <c r="AB1423" s="1"/>
  <c r="Y1423"/>
  <c r="Z1422"/>
  <c r="AB1422" s="1"/>
  <c r="Y1422"/>
  <c r="Y1421"/>
  <c r="Z1420"/>
  <c r="AB1420" s="1"/>
  <c r="Y1420"/>
  <c r="AA1420" s="1"/>
  <c r="AC1420" s="1"/>
  <c r="Z1419"/>
  <c r="Y1419"/>
  <c r="AA1419" s="1"/>
  <c r="AC1419" s="1"/>
  <c r="Z1418"/>
  <c r="Y1418"/>
  <c r="AA1418" s="1"/>
  <c r="AC1418" s="1"/>
  <c r="Z1417"/>
  <c r="Y1417"/>
  <c r="AA1417" s="1"/>
  <c r="AC1417" s="1"/>
  <c r="Z1416"/>
  <c r="Y1416"/>
  <c r="AA1416" s="1"/>
  <c r="AC1416" s="1"/>
  <c r="Z1415"/>
  <c r="AB1415" s="1"/>
  <c r="AD1415" s="1"/>
  <c r="Y1415"/>
  <c r="AA1415" s="1"/>
  <c r="AC1415" s="1"/>
  <c r="Y1414"/>
  <c r="AA1414" s="1"/>
  <c r="AC1414" s="1"/>
  <c r="Z1413"/>
  <c r="AB1413" s="1"/>
  <c r="AD1413" s="1"/>
  <c r="Y1413"/>
  <c r="AA1413" s="1"/>
  <c r="AC1413" s="1"/>
  <c r="Y1412"/>
  <c r="Z1411"/>
  <c r="Y1411"/>
  <c r="AA1411" s="1"/>
  <c r="AC1411" s="1"/>
  <c r="Z1410"/>
  <c r="Y1410"/>
  <c r="AA1410" s="1"/>
  <c r="AC1410" s="1"/>
  <c r="Z1409"/>
  <c r="Y1409"/>
  <c r="AA1409" s="1"/>
  <c r="AC1409" s="1"/>
  <c r="Z1408"/>
  <c r="Y1408"/>
  <c r="AA1408" s="1"/>
  <c r="AC1408" s="1"/>
  <c r="Z1407"/>
  <c r="Y1407"/>
  <c r="AA1407" s="1"/>
  <c r="AC1407" s="1"/>
  <c r="Y1406"/>
  <c r="AA1406" s="1"/>
  <c r="AC1406" s="1"/>
  <c r="Z1405"/>
  <c r="Y1405"/>
  <c r="AA1405" s="1"/>
  <c r="AC1405" s="1"/>
  <c r="Z1404"/>
  <c r="Y1404"/>
  <c r="AA1404" s="1"/>
  <c r="AC1404" s="1"/>
  <c r="Z1403"/>
  <c r="Y1403"/>
  <c r="AA1403" s="1"/>
  <c r="AC1403" s="1"/>
  <c r="Z1402"/>
  <c r="Y1402"/>
  <c r="AA1402" s="1"/>
  <c r="AC1402" s="1"/>
  <c r="Z1401"/>
  <c r="Y1401"/>
  <c r="AA1401" s="1"/>
  <c r="AC1401" s="1"/>
  <c r="Z1400"/>
  <c r="Y1400"/>
  <c r="AA1400" s="1"/>
  <c r="AC1400" s="1"/>
  <c r="Z1399"/>
  <c r="Y1399"/>
  <c r="AA1399" s="1"/>
  <c r="AC1399" s="1"/>
  <c r="Z1398"/>
  <c r="Y1398"/>
  <c r="AA1398" s="1"/>
  <c r="AC1398" s="1"/>
  <c r="Z1397"/>
  <c r="Y1397"/>
  <c r="AA1397" s="1"/>
  <c r="AC1397" s="1"/>
  <c r="Z1396"/>
  <c r="Y1396"/>
  <c r="AA1396" s="1"/>
  <c r="AC1396" s="1"/>
  <c r="Z1395"/>
  <c r="Y1395"/>
  <c r="AA1395" s="1"/>
  <c r="AC1395" s="1"/>
  <c r="Y1394"/>
  <c r="AA1394" s="1"/>
  <c r="AC1394" s="1"/>
  <c r="Z1389"/>
  <c r="Z1388"/>
  <c r="Z1387"/>
  <c r="AB1387" s="1"/>
  <c r="AD1387" s="1"/>
  <c r="Z1386"/>
  <c r="Z1384"/>
  <c r="AB1384" s="1"/>
  <c r="Z1383"/>
  <c r="Z1381"/>
  <c r="AB1381" s="1"/>
  <c r="AD1381" s="1"/>
  <c r="Z1380"/>
  <c r="Z1379"/>
  <c r="AB1379" s="1"/>
  <c r="Z1378"/>
  <c r="Z1377"/>
  <c r="Z1376"/>
  <c r="AB1376" s="1"/>
  <c r="Z1374"/>
  <c r="Z1373"/>
  <c r="Z1372"/>
  <c r="Z1371"/>
  <c r="Z1370"/>
  <c r="Z1369"/>
  <c r="X1367"/>
  <c r="V1367"/>
  <c r="L1384"/>
  <c r="R1382"/>
  <c r="Z1382" s="1"/>
  <c r="Y1389"/>
  <c r="AA1389" s="1"/>
  <c r="AC1389" s="1"/>
  <c r="Y1388"/>
  <c r="AA1388" s="1"/>
  <c r="AC1388" s="1"/>
  <c r="Y1387"/>
  <c r="AA1387" s="1"/>
  <c r="AC1387" s="1"/>
  <c r="Y1386"/>
  <c r="AA1386" s="1"/>
  <c r="AC1386" s="1"/>
  <c r="Y1385"/>
  <c r="AA1385" s="1"/>
  <c r="AC1385" s="1"/>
  <c r="Y1384"/>
  <c r="AA1384" s="1"/>
  <c r="AC1384" s="1"/>
  <c r="Y1382"/>
  <c r="AA1382" s="1"/>
  <c r="AC1382" s="1"/>
  <c r="Y1379"/>
  <c r="AA1379" s="1"/>
  <c r="AC1379" s="1"/>
  <c r="Y1378"/>
  <c r="AA1378" s="1"/>
  <c r="AC1378" s="1"/>
  <c r="Y1377"/>
  <c r="AA1377" s="1"/>
  <c r="AC1377" s="1"/>
  <c r="Y1376"/>
  <c r="AA1376" s="1"/>
  <c r="AC1376" s="1"/>
  <c r="Y1375"/>
  <c r="AA1375" s="1"/>
  <c r="AC1375" s="1"/>
  <c r="Y1373"/>
  <c r="AA1373" s="1"/>
  <c r="AC1373" s="1"/>
  <c r="Y1371"/>
  <c r="AA1371" s="1"/>
  <c r="AC1371" s="1"/>
  <c r="Y1370"/>
  <c r="AA1370" s="1"/>
  <c r="AC1370" s="1"/>
  <c r="Y1369"/>
  <c r="AA1369" s="1"/>
  <c r="AC1369" s="1"/>
  <c r="Y1368"/>
  <c r="AA1368" s="1"/>
  <c r="AC1368" s="1"/>
  <c r="N1380"/>
  <c r="L1380"/>
  <c r="L1379"/>
  <c r="L1376"/>
  <c r="L1364"/>
  <c r="L1363"/>
  <c r="L1349"/>
  <c r="L1342"/>
  <c r="L1341"/>
  <c r="L1337"/>
  <c r="L1332"/>
  <c r="L1334"/>
  <c r="L1327"/>
  <c r="L1326"/>
  <c r="L1239"/>
  <c r="X1218"/>
  <c r="V1218"/>
  <c r="T1218"/>
  <c r="T1193" s="1"/>
  <c r="R1218"/>
  <c r="P1218"/>
  <c r="AD1723" l="1"/>
  <c r="AD1624"/>
  <c r="AC1645"/>
  <c r="AD1683"/>
  <c r="AD1646"/>
  <c r="AD1645"/>
  <c r="AC1433"/>
  <c r="AD1589"/>
  <c r="AD1384"/>
  <c r="AB1590"/>
  <c r="AD1590" s="1"/>
  <c r="AD1446"/>
  <c r="AC1390"/>
  <c r="AD1448"/>
  <c r="AD1460"/>
  <c r="AD1478"/>
  <c r="AD1476"/>
  <c r="AD1475"/>
  <c r="AC1457"/>
  <c r="AC1448"/>
  <c r="AD1420"/>
  <c r="AD1376"/>
  <c r="AB1380"/>
  <c r="AD1380" s="1"/>
  <c r="AD1379"/>
  <c r="L1211" l="1"/>
  <c r="L1213"/>
  <c r="Z1221"/>
  <c r="Y1221"/>
  <c r="Z1220"/>
  <c r="Y1220"/>
  <c r="Z1218"/>
  <c r="Y1218"/>
  <c r="AA1218" s="1"/>
  <c r="AC1218" s="1"/>
  <c r="Z1217"/>
  <c r="Z1216"/>
  <c r="Y1216"/>
  <c r="AA1216" s="1"/>
  <c r="AC1216" s="1"/>
  <c r="Y1215"/>
  <c r="AA1215" s="1"/>
  <c r="AC1215" s="1"/>
  <c r="Z1214"/>
  <c r="Z1213"/>
  <c r="Z1212"/>
  <c r="AB1212" s="1"/>
  <c r="AD1212" s="1"/>
  <c r="Y1212"/>
  <c r="AA1212" s="1"/>
  <c r="AC1212" s="1"/>
  <c r="Z1211"/>
  <c r="Y1211"/>
  <c r="AA1211" s="1"/>
  <c r="AC1211" s="1"/>
  <c r="Y1190"/>
  <c r="AA1190" s="1"/>
  <c r="AC1190" s="1"/>
  <c r="Y1186"/>
  <c r="AA1186" s="1"/>
  <c r="AC1186" s="1"/>
  <c r="L1176"/>
  <c r="L1178"/>
  <c r="L1177"/>
  <c r="L1168"/>
  <c r="L1171"/>
  <c r="L1141"/>
  <c r="L1140"/>
  <c r="L1139"/>
  <c r="L1136"/>
  <c r="L1135"/>
  <c r="L1133"/>
  <c r="K1123"/>
  <c r="L1113"/>
  <c r="L1104"/>
  <c r="AC1102"/>
  <c r="AC1101"/>
  <c r="L1099"/>
  <c r="K1099"/>
  <c r="X1098"/>
  <c r="V1098"/>
  <c r="R1098"/>
  <c r="P1098"/>
  <c r="N1098"/>
  <c r="L1096"/>
  <c r="L1087"/>
  <c r="L1088"/>
  <c r="L1084"/>
  <c r="L1060"/>
  <c r="M1059"/>
  <c r="M1058"/>
  <c r="L1057"/>
  <c r="L1042"/>
  <c r="M1038"/>
  <c r="Y1064"/>
  <c r="AA1064" s="1"/>
  <c r="AC1064" s="1"/>
  <c r="Z1062"/>
  <c r="AB1062" s="1"/>
  <c r="AD1062" s="1"/>
  <c r="Y1062"/>
  <c r="AA1062" s="1"/>
  <c r="AC1062" s="1"/>
  <c r="Z1060"/>
  <c r="AB1060" s="1"/>
  <c r="Y1060"/>
  <c r="AA1060" s="1"/>
  <c r="AC1060" s="1"/>
  <c r="Z1059"/>
  <c r="Y1059"/>
  <c r="Y1058"/>
  <c r="Z1057"/>
  <c r="AB1057" s="1"/>
  <c r="Y1057"/>
  <c r="AA1057" s="1"/>
  <c r="AC1057" s="1"/>
  <c r="Z1056"/>
  <c r="AB1056" s="1"/>
  <c r="AD1056" s="1"/>
  <c r="Y1056"/>
  <c r="AA1056" s="1"/>
  <c r="AC1056" s="1"/>
  <c r="Z1055"/>
  <c r="AB1055" s="1"/>
  <c r="AD1055" s="1"/>
  <c r="Y1055"/>
  <c r="AA1055" s="1"/>
  <c r="AC1055" s="1"/>
  <c r="Z1054"/>
  <c r="AB1054" s="1"/>
  <c r="AD1054" s="1"/>
  <c r="Y1054"/>
  <c r="AA1054" s="1"/>
  <c r="AC1054" s="1"/>
  <c r="Y1053"/>
  <c r="AA1053" s="1"/>
  <c r="AC1053" s="1"/>
  <c r="Z1052"/>
  <c r="AB1052" s="1"/>
  <c r="AD1052" s="1"/>
  <c r="Y1052"/>
  <c r="AA1052" s="1"/>
  <c r="AC1052" s="1"/>
  <c r="Z1051"/>
  <c r="AB1051" s="1"/>
  <c r="AD1051" s="1"/>
  <c r="Y1051"/>
  <c r="AA1051" s="1"/>
  <c r="AC1051" s="1"/>
  <c r="Z1049"/>
  <c r="Y1049"/>
  <c r="AA1049" s="1"/>
  <c r="AC1049" s="1"/>
  <c r="Z1048"/>
  <c r="Y1048"/>
  <c r="AA1048" s="1"/>
  <c r="AC1048" s="1"/>
  <c r="Z1047"/>
  <c r="Y1047"/>
  <c r="AA1047" s="1"/>
  <c r="AC1047" s="1"/>
  <c r="Z1046"/>
  <c r="Y1046"/>
  <c r="AA1046" s="1"/>
  <c r="AC1046" s="1"/>
  <c r="Z1045"/>
  <c r="Y1045"/>
  <c r="AA1045" s="1"/>
  <c r="AC1045" s="1"/>
  <c r="Z1044"/>
  <c r="Y1044"/>
  <c r="AA1044" s="1"/>
  <c r="AC1044" s="1"/>
  <c r="Z1043"/>
  <c r="Y1043"/>
  <c r="AA1043" s="1"/>
  <c r="AC1043" s="1"/>
  <c r="Z1042"/>
  <c r="AB1042" s="1"/>
  <c r="Y1042"/>
  <c r="AA1042" s="1"/>
  <c r="AC1042" s="1"/>
  <c r="Y1041"/>
  <c r="AA1041" s="1"/>
  <c r="AC1041" s="1"/>
  <c r="Z1040"/>
  <c r="Y1040"/>
  <c r="AA1040" s="1"/>
  <c r="AC1040" s="1"/>
  <c r="Z1039"/>
  <c r="Y1039"/>
  <c r="AA1039" s="1"/>
  <c r="AC1039" s="1"/>
  <c r="Z1037"/>
  <c r="AB1037" s="1"/>
  <c r="AD1037" s="1"/>
  <c r="Y1037"/>
  <c r="AA1037" s="1"/>
  <c r="AC1037" s="1"/>
  <c r="Z1036"/>
  <c r="Y1036"/>
  <c r="AA1036" s="1"/>
  <c r="AC1036" s="1"/>
  <c r="Z1034"/>
  <c r="Y1034"/>
  <c r="AA1034" s="1"/>
  <c r="AC1034" s="1"/>
  <c r="Z1033"/>
  <c r="Y1033"/>
  <c r="AA1033" s="1"/>
  <c r="AC1033" s="1"/>
  <c r="Z1032"/>
  <c r="Y1032"/>
  <c r="AA1032" s="1"/>
  <c r="AC1032" s="1"/>
  <c r="Y1031"/>
  <c r="AA1031" s="1"/>
  <c r="AC1031" s="1"/>
  <c r="Z1030"/>
  <c r="AB1030" s="1"/>
  <c r="Y1030"/>
  <c r="AA1030" s="1"/>
  <c r="AC1030" s="1"/>
  <c r="Z1028"/>
  <c r="AB1028" s="1"/>
  <c r="Y1028"/>
  <c r="AA1028" s="1"/>
  <c r="AC1028" s="1"/>
  <c r="Z1027"/>
  <c r="AB1027" s="1"/>
  <c r="Y1027"/>
  <c r="AA1027" s="1"/>
  <c r="AC1027" s="1"/>
  <c r="Z1026"/>
  <c r="Y1026"/>
  <c r="AA1026" s="1"/>
  <c r="AC1026" s="1"/>
  <c r="Z1025"/>
  <c r="Y1025"/>
  <c r="AA1025" s="1"/>
  <c r="AC1025" s="1"/>
  <c r="Z1024"/>
  <c r="Y1024"/>
  <c r="AA1024" s="1"/>
  <c r="AC1024" s="1"/>
  <c r="Z1022"/>
  <c r="AB1022" s="1"/>
  <c r="AD1022" s="1"/>
  <c r="Y1022"/>
  <c r="AA1022" s="1"/>
  <c r="AC1022" s="1"/>
  <c r="Z1021"/>
  <c r="Y1021"/>
  <c r="AA1021" s="1"/>
  <c r="AC1021" s="1"/>
  <c r="Z1020"/>
  <c r="Y1020"/>
  <c r="AA1020" s="1"/>
  <c r="AC1020" s="1"/>
  <c r="Z1019"/>
  <c r="Y1019"/>
  <c r="AA1019" s="1"/>
  <c r="AC1019" s="1"/>
  <c r="Z1018"/>
  <c r="Y1018"/>
  <c r="AA1018" s="1"/>
  <c r="AC1018" s="1"/>
  <c r="Z1017"/>
  <c r="Y1017"/>
  <c r="AA1017" s="1"/>
  <c r="AC1017" s="1"/>
  <c r="Z1016"/>
  <c r="Y1016"/>
  <c r="AA1016" s="1"/>
  <c r="AC1016" s="1"/>
  <c r="Z1015"/>
  <c r="Y1015"/>
  <c r="AA1015" s="1"/>
  <c r="AC1015" s="1"/>
  <c r="Z1014"/>
  <c r="Y1014"/>
  <c r="AA1014" s="1"/>
  <c r="AC1014" s="1"/>
  <c r="Z1013"/>
  <c r="Y1013"/>
  <c r="AA1013" s="1"/>
  <c r="AC1013" s="1"/>
  <c r="Z1012"/>
  <c r="Y1012"/>
  <c r="AA1012" s="1"/>
  <c r="AC1012" s="1"/>
  <c r="Z1011"/>
  <c r="Y1011"/>
  <c r="AA1011" s="1"/>
  <c r="AC1011" s="1"/>
  <c r="Z1010"/>
  <c r="Y1010"/>
  <c r="AA1010" s="1"/>
  <c r="AC1010" s="1"/>
  <c r="Z1009"/>
  <c r="Y1009"/>
  <c r="AA1009" s="1"/>
  <c r="AC1009" s="1"/>
  <c r="Z1008"/>
  <c r="Y1008"/>
  <c r="AA1008" s="1"/>
  <c r="AC1008" s="1"/>
  <c r="Y1003"/>
  <c r="AA1003" s="1"/>
  <c r="AC1003" s="1"/>
  <c r="Y1002"/>
  <c r="AA1002" s="1"/>
  <c r="AC1002" s="1"/>
  <c r="X1031"/>
  <c r="V1031"/>
  <c r="T1031"/>
  <c r="R1031"/>
  <c r="P1031"/>
  <c r="L1030"/>
  <c r="X1029"/>
  <c r="V1029"/>
  <c r="T1029"/>
  <c r="R1029"/>
  <c r="P1029"/>
  <c r="N1029"/>
  <c r="L1028"/>
  <c r="L1027"/>
  <c r="Y1001"/>
  <c r="AA1001" s="1"/>
  <c r="AC1001" s="1"/>
  <c r="Y1000"/>
  <c r="AA1000" s="1"/>
  <c r="AC1000" s="1"/>
  <c r="X1002"/>
  <c r="V1002"/>
  <c r="T1002"/>
  <c r="R1002"/>
  <c r="P1002"/>
  <c r="N1002"/>
  <c r="L1002"/>
  <c r="L999"/>
  <c r="L984"/>
  <c r="L973"/>
  <c r="L967"/>
  <c r="L965"/>
  <c r="L962"/>
  <c r="L960"/>
  <c r="L958"/>
  <c r="L956"/>
  <c r="L950"/>
  <c r="L949"/>
  <c r="L947"/>
  <c r="L946"/>
  <c r="L943"/>
  <c r="L941"/>
  <c r="L940"/>
  <c r="L939"/>
  <c r="L937"/>
  <c r="L936"/>
  <c r="L934"/>
  <c r="L932"/>
  <c r="L930"/>
  <c r="L926"/>
  <c r="L924"/>
  <c r="L919"/>
  <c r="L917"/>
  <c r="L915"/>
  <c r="L913"/>
  <c r="L912"/>
  <c r="L910"/>
  <c r="L909"/>
  <c r="L908"/>
  <c r="L904"/>
  <c r="L903"/>
  <c r="L902"/>
  <c r="L899"/>
  <c r="X848"/>
  <c r="V848"/>
  <c r="R848"/>
  <c r="P848"/>
  <c r="N848"/>
  <c r="L848"/>
  <c r="X843"/>
  <c r="V843"/>
  <c r="T843"/>
  <c r="R843"/>
  <c r="P843"/>
  <c r="N843"/>
  <c r="L844"/>
  <c r="L843" s="1"/>
  <c r="Z844"/>
  <c r="AB844" s="1"/>
  <c r="Y844"/>
  <c r="AA844" s="1"/>
  <c r="AC844" s="1"/>
  <c r="Y843"/>
  <c r="AA843" s="1"/>
  <c r="AC843" s="1"/>
  <c r="Z842"/>
  <c r="AB842" s="1"/>
  <c r="AD842" s="1"/>
  <c r="Y842"/>
  <c r="AA842" s="1"/>
  <c r="AC842" s="1"/>
  <c r="Z841"/>
  <c r="AB841" s="1"/>
  <c r="AD841" s="1"/>
  <c r="Z840"/>
  <c r="AB840" s="1"/>
  <c r="Y840"/>
  <c r="AA840" s="1"/>
  <c r="AC840" s="1"/>
  <c r="Z839"/>
  <c r="AB839" s="1"/>
  <c r="AD839" s="1"/>
  <c r="Y839"/>
  <c r="AA839" s="1"/>
  <c r="AC839" s="1"/>
  <c r="Z837"/>
  <c r="AB837" s="1"/>
  <c r="Y837"/>
  <c r="AA837" s="1"/>
  <c r="AC837" s="1"/>
  <c r="Z836"/>
  <c r="AB836" s="1"/>
  <c r="AD836" s="1"/>
  <c r="Y836"/>
  <c r="AA836" s="1"/>
  <c r="AC836" s="1"/>
  <c r="Z835"/>
  <c r="AB835" s="1"/>
  <c r="AD835" s="1"/>
  <c r="Y835"/>
  <c r="AA835" s="1"/>
  <c r="AC835" s="1"/>
  <c r="Z834"/>
  <c r="AB834" s="1"/>
  <c r="AD834" s="1"/>
  <c r="Y834"/>
  <c r="AA834" s="1"/>
  <c r="AC834" s="1"/>
  <c r="Z833"/>
  <c r="AB833" s="1"/>
  <c r="Y833"/>
  <c r="AA833" s="1"/>
  <c r="AC833" s="1"/>
  <c r="Z832"/>
  <c r="AB832" s="1"/>
  <c r="Y832"/>
  <c r="AA832" s="1"/>
  <c r="AC832" s="1"/>
  <c r="Z831"/>
  <c r="AB831" s="1"/>
  <c r="AD831" s="1"/>
  <c r="Y831"/>
  <c r="AA831" s="1"/>
  <c r="AC831" s="1"/>
  <c r="Z828"/>
  <c r="AB828" s="1"/>
  <c r="AD828" s="1"/>
  <c r="Y828"/>
  <c r="AA828" s="1"/>
  <c r="AC828" s="1"/>
  <c r="Z827"/>
  <c r="AB827" s="1"/>
  <c r="AD827" s="1"/>
  <c r="Y827"/>
  <c r="AA827" s="1"/>
  <c r="AC827" s="1"/>
  <c r="Z826"/>
  <c r="AB826" s="1"/>
  <c r="AD826" s="1"/>
  <c r="Y826"/>
  <c r="AA826" s="1"/>
  <c r="AC826" s="1"/>
  <c r="Z825"/>
  <c r="AB825" s="1"/>
  <c r="Y825"/>
  <c r="AA825" s="1"/>
  <c r="AC825" s="1"/>
  <c r="Z824"/>
  <c r="AB824" s="1"/>
  <c r="AD824" s="1"/>
  <c r="Y824"/>
  <c r="AA824" s="1"/>
  <c r="AC824" s="1"/>
  <c r="Z823"/>
  <c r="AB823" s="1"/>
  <c r="Y823"/>
  <c r="AA823" s="1"/>
  <c r="AC823" s="1"/>
  <c r="Z822"/>
  <c r="AB822" s="1"/>
  <c r="AD822" s="1"/>
  <c r="Y822"/>
  <c r="AA822" s="1"/>
  <c r="AC822" s="1"/>
  <c r="Z821"/>
  <c r="AB821" s="1"/>
  <c r="AD821" s="1"/>
  <c r="Y821"/>
  <c r="AA821" s="1"/>
  <c r="AC821" s="1"/>
  <c r="Z820"/>
  <c r="AB820" s="1"/>
  <c r="AD820" s="1"/>
  <c r="Y820"/>
  <c r="AA820" s="1"/>
  <c r="AC820" s="1"/>
  <c r="Z817"/>
  <c r="AB817" s="1"/>
  <c r="Y817"/>
  <c r="AA817" s="1"/>
  <c r="AC817" s="1"/>
  <c r="Z816"/>
  <c r="AB816" s="1"/>
  <c r="AD816" s="1"/>
  <c r="Y816"/>
  <c r="AA816" s="1"/>
  <c r="AC816" s="1"/>
  <c r="Y815"/>
  <c r="AA815" s="1"/>
  <c r="AC815" s="1"/>
  <c r="Z814"/>
  <c r="AB814" s="1"/>
  <c r="Y814"/>
  <c r="AA814" s="1"/>
  <c r="AC814" s="1"/>
  <c r="Z813"/>
  <c r="AB813" s="1"/>
  <c r="Y813"/>
  <c r="AA813" s="1"/>
  <c r="AC813" s="1"/>
  <c r="Y812"/>
  <c r="AA812" s="1"/>
  <c r="AC812" s="1"/>
  <c r="Z811"/>
  <c r="AB811" s="1"/>
  <c r="AD811" s="1"/>
  <c r="Y811"/>
  <c r="AA811" s="1"/>
  <c r="AC811" s="1"/>
  <c r="Y810"/>
  <c r="AA810" s="1"/>
  <c r="AC810" s="1"/>
  <c r="Z809"/>
  <c r="AB809" s="1"/>
  <c r="AD809" s="1"/>
  <c r="Y809"/>
  <c r="AA809" s="1"/>
  <c r="AC809" s="1"/>
  <c r="Z808"/>
  <c r="AB808" s="1"/>
  <c r="Y808"/>
  <c r="AA808" s="1"/>
  <c r="AC808" s="1"/>
  <c r="Z807"/>
  <c r="AB807" s="1"/>
  <c r="AD807" s="1"/>
  <c r="Y807"/>
  <c r="AA807" s="1"/>
  <c r="AC807" s="1"/>
  <c r="Z806"/>
  <c r="AB806" s="1"/>
  <c r="AD806" s="1"/>
  <c r="Y806"/>
  <c r="AA806" s="1"/>
  <c r="AC806" s="1"/>
  <c r="Z805"/>
  <c r="AB805" s="1"/>
  <c r="AD805" s="1"/>
  <c r="Y805"/>
  <c r="AA805" s="1"/>
  <c r="AC805" s="1"/>
  <c r="Y804"/>
  <c r="AA804" s="1"/>
  <c r="AC804" s="1"/>
  <c r="Z803"/>
  <c r="AB803" s="1"/>
  <c r="Y803"/>
  <c r="AA803" s="1"/>
  <c r="AC803" s="1"/>
  <c r="Z802"/>
  <c r="AB802" s="1"/>
  <c r="Y802"/>
  <c r="AA802" s="1"/>
  <c r="AC802" s="1"/>
  <c r="Z801"/>
  <c r="AB801" s="1"/>
  <c r="Y801"/>
  <c r="AA801" s="1"/>
  <c r="AC801" s="1"/>
  <c r="Z800"/>
  <c r="AB800" s="1"/>
  <c r="AD800" s="1"/>
  <c r="Y800"/>
  <c r="AA800" s="1"/>
  <c r="AC800" s="1"/>
  <c r="Z799"/>
  <c r="AB799" s="1"/>
  <c r="AD799" s="1"/>
  <c r="Y799"/>
  <c r="AA799" s="1"/>
  <c r="AC799" s="1"/>
  <c r="Z798"/>
  <c r="AB798" s="1"/>
  <c r="AD798" s="1"/>
  <c r="Y798"/>
  <c r="AA798" s="1"/>
  <c r="AC798" s="1"/>
  <c r="Z797"/>
  <c r="AB797" s="1"/>
  <c r="Y797"/>
  <c r="AA797" s="1"/>
  <c r="AC797" s="1"/>
  <c r="Z796"/>
  <c r="AB796" s="1"/>
  <c r="AD796" s="1"/>
  <c r="Y796"/>
  <c r="AA796" s="1"/>
  <c r="AC796" s="1"/>
  <c r="Z795"/>
  <c r="AB795" s="1"/>
  <c r="AD795" s="1"/>
  <c r="Y795"/>
  <c r="AA795" s="1"/>
  <c r="AC795" s="1"/>
  <c r="Z794"/>
  <c r="AB794" s="1"/>
  <c r="AD794" s="1"/>
  <c r="Y794"/>
  <c r="AA794" s="1"/>
  <c r="AC794" s="1"/>
  <c r="Z793"/>
  <c r="AB793" s="1"/>
  <c r="AD793" s="1"/>
  <c r="Y793"/>
  <c r="AA793" s="1"/>
  <c r="AC793" s="1"/>
  <c r="Z792"/>
  <c r="AB792" s="1"/>
  <c r="AD792" s="1"/>
  <c r="Y792"/>
  <c r="AA792" s="1"/>
  <c r="AC792" s="1"/>
  <c r="Z791"/>
  <c r="AB791" s="1"/>
  <c r="AD791" s="1"/>
  <c r="Y791"/>
  <c r="AA791" s="1"/>
  <c r="AC791" s="1"/>
  <c r="Y790"/>
  <c r="AA790" s="1"/>
  <c r="AC790" s="1"/>
  <c r="L840"/>
  <c r="L838" s="1"/>
  <c r="X838"/>
  <c r="V838"/>
  <c r="T838"/>
  <c r="T789" s="1"/>
  <c r="R838"/>
  <c r="P838"/>
  <c r="N838"/>
  <c r="L837"/>
  <c r="L832"/>
  <c r="L833"/>
  <c r="L825"/>
  <c r="L823"/>
  <c r="L817"/>
  <c r="L814"/>
  <c r="L813"/>
  <c r="L803"/>
  <c r="L802"/>
  <c r="L801"/>
  <c r="L808"/>
  <c r="L797"/>
  <c r="L782"/>
  <c r="L779"/>
  <c r="L776"/>
  <c r="L777"/>
  <c r="L775"/>
  <c r="L774"/>
  <c r="L773"/>
  <c r="L761"/>
  <c r="L759"/>
  <c r="L749"/>
  <c r="K744"/>
  <c r="L737"/>
  <c r="AA716"/>
  <c r="AC716" s="1"/>
  <c r="Z715"/>
  <c r="Z714"/>
  <c r="Z713"/>
  <c r="Y713"/>
  <c r="AA713" s="1"/>
  <c r="AC713" s="1"/>
  <c r="O710"/>
  <c r="Y700"/>
  <c r="O697"/>
  <c r="L694"/>
  <c r="L656"/>
  <c r="AA1058" l="1"/>
  <c r="AC1058" s="1"/>
  <c r="Z1029"/>
  <c r="AB1029" s="1"/>
  <c r="AD1057"/>
  <c r="Z1031"/>
  <c r="AD1027"/>
  <c r="AD1030"/>
  <c r="AD1028"/>
  <c r="AA1059"/>
  <c r="AC1059" s="1"/>
  <c r="AD1060"/>
  <c r="AD1042"/>
  <c r="AD814"/>
  <c r="AD801"/>
  <c r="AD797"/>
  <c r="AD813"/>
  <c r="AD808"/>
  <c r="AD823"/>
  <c r="AD825"/>
  <c r="Z843"/>
  <c r="AB843" s="1"/>
  <c r="AD843" s="1"/>
  <c r="AD817"/>
  <c r="AD832"/>
  <c r="AD802"/>
  <c r="AD840"/>
  <c r="AD803"/>
  <c r="AD833"/>
  <c r="AD837"/>
  <c r="AD844"/>
  <c r="L654" l="1"/>
  <c r="L652"/>
  <c r="L650"/>
  <c r="L649"/>
  <c r="O648"/>
  <c r="L645"/>
  <c r="L646"/>
  <c r="L642"/>
  <c r="L643"/>
  <c r="L641"/>
  <c r="L640"/>
  <c r="L639"/>
  <c r="L638"/>
  <c r="L637"/>
  <c r="L635"/>
  <c r="L634"/>
  <c r="L633"/>
  <c r="L632"/>
  <c r="L631"/>
  <c r="L630"/>
  <c r="L629"/>
  <c r="L628"/>
  <c r="L627"/>
  <c r="Z665"/>
  <c r="AB665" s="1"/>
  <c r="AD665" s="1"/>
  <c r="Y665"/>
  <c r="AA665" s="1"/>
  <c r="AC665" s="1"/>
  <c r="Z664"/>
  <c r="Y664"/>
  <c r="AA664" s="1"/>
  <c r="AC664" s="1"/>
  <c r="Z663"/>
  <c r="AB663" s="1"/>
  <c r="AD663" s="1"/>
  <c r="Y663"/>
  <c r="AA663" s="1"/>
  <c r="AC663" s="1"/>
  <c r="Z662"/>
  <c r="AB662" s="1"/>
  <c r="AD662" s="1"/>
  <c r="Y662"/>
  <c r="AA662" s="1"/>
  <c r="AC662" s="1"/>
  <c r="Y661"/>
  <c r="AA661" s="1"/>
  <c r="AC661" s="1"/>
  <c r="Z660"/>
  <c r="AB660" s="1"/>
  <c r="AD660" s="1"/>
  <c r="Y660"/>
  <c r="AA660" s="1"/>
  <c r="AC660" s="1"/>
  <c r="Y659"/>
  <c r="AA659" s="1"/>
  <c r="AC659" s="1"/>
  <c r="Z658"/>
  <c r="AB658" s="1"/>
  <c r="AD658" s="1"/>
  <c r="Y658"/>
  <c r="AA658" s="1"/>
  <c r="AC658" s="1"/>
  <c r="Z656"/>
  <c r="AB656" s="1"/>
  <c r="AD656" s="1"/>
  <c r="Y656"/>
  <c r="AA656" s="1"/>
  <c r="AC656" s="1"/>
  <c r="Z655"/>
  <c r="AB655" s="1"/>
  <c r="Y655"/>
  <c r="AA655" s="1"/>
  <c r="AC655" s="1"/>
  <c r="Z654"/>
  <c r="AB654" s="1"/>
  <c r="Y654"/>
  <c r="AA654" s="1"/>
  <c r="AC654" s="1"/>
  <c r="Z653"/>
  <c r="AB653" s="1"/>
  <c r="AD653" s="1"/>
  <c r="Y653"/>
  <c r="AA653" s="1"/>
  <c r="AC653" s="1"/>
  <c r="Z652"/>
  <c r="AB652" s="1"/>
  <c r="Y652"/>
  <c r="AA652" s="1"/>
  <c r="AC652" s="1"/>
  <c r="Z651"/>
  <c r="AB651" s="1"/>
  <c r="AD651" s="1"/>
  <c r="Y651"/>
  <c r="AA651" s="1"/>
  <c r="AC651" s="1"/>
  <c r="Z650"/>
  <c r="AB650" s="1"/>
  <c r="Y650"/>
  <c r="AA650" s="1"/>
  <c r="AC650" s="1"/>
  <c r="Z649"/>
  <c r="AB649" s="1"/>
  <c r="Y648"/>
  <c r="Z647"/>
  <c r="AB647" s="1"/>
  <c r="AD647" s="1"/>
  <c r="Y647"/>
  <c r="AA647" s="1"/>
  <c r="AC647" s="1"/>
  <c r="Z646"/>
  <c r="AB646" s="1"/>
  <c r="Y646"/>
  <c r="AA646" s="1"/>
  <c r="AC646" s="1"/>
  <c r="Z645"/>
  <c r="AB645" s="1"/>
  <c r="Y645"/>
  <c r="AA645" s="1"/>
  <c r="AC645" s="1"/>
  <c r="Y644"/>
  <c r="AA644" s="1"/>
  <c r="AC644" s="1"/>
  <c r="Z643"/>
  <c r="AB643" s="1"/>
  <c r="Y643"/>
  <c r="AA643" s="1"/>
  <c r="AC643" s="1"/>
  <c r="Z642"/>
  <c r="AB642" s="1"/>
  <c r="Y642"/>
  <c r="AA642" s="1"/>
  <c r="AC642" s="1"/>
  <c r="Z641"/>
  <c r="AB641" s="1"/>
  <c r="Y641"/>
  <c r="AA641" s="1"/>
  <c r="AC641" s="1"/>
  <c r="Z640"/>
  <c r="AB640" s="1"/>
  <c r="Y640"/>
  <c r="AA640" s="1"/>
  <c r="AC640" s="1"/>
  <c r="Z639"/>
  <c r="AB639" s="1"/>
  <c r="Y639"/>
  <c r="AA639" s="1"/>
  <c r="AC639" s="1"/>
  <c r="Z638"/>
  <c r="AB638" s="1"/>
  <c r="Y638"/>
  <c r="AA638" s="1"/>
  <c r="AC638" s="1"/>
  <c r="Z637"/>
  <c r="AB637" s="1"/>
  <c r="Y637"/>
  <c r="AA637" s="1"/>
  <c r="AC637" s="1"/>
  <c r="Y636"/>
  <c r="AA636" s="1"/>
  <c r="AC636" s="1"/>
  <c r="Z635"/>
  <c r="AB635" s="1"/>
  <c r="Y635"/>
  <c r="AA635" s="1"/>
  <c r="AC635" s="1"/>
  <c r="Z634"/>
  <c r="AB634" s="1"/>
  <c r="Y634"/>
  <c r="AA634" s="1"/>
  <c r="AC634" s="1"/>
  <c r="Z633"/>
  <c r="AB633" s="1"/>
  <c r="Y633"/>
  <c r="AA633" s="1"/>
  <c r="AC633" s="1"/>
  <c r="Z632"/>
  <c r="AB632" s="1"/>
  <c r="Y632"/>
  <c r="AA632" s="1"/>
  <c r="AC632" s="1"/>
  <c r="Z631"/>
  <c r="AB631" s="1"/>
  <c r="Y631"/>
  <c r="AA631" s="1"/>
  <c r="AC631" s="1"/>
  <c r="Z630"/>
  <c r="AB630" s="1"/>
  <c r="Y630"/>
  <c r="AA630" s="1"/>
  <c r="AC630" s="1"/>
  <c r="Z629"/>
  <c r="AB629" s="1"/>
  <c r="Y629"/>
  <c r="AA629" s="1"/>
  <c r="AC629" s="1"/>
  <c r="Z628"/>
  <c r="AB628" s="1"/>
  <c r="Y628"/>
  <c r="AA628" s="1"/>
  <c r="AC628" s="1"/>
  <c r="Z627"/>
  <c r="AB627" s="1"/>
  <c r="Y627"/>
  <c r="AA627" s="1"/>
  <c r="AC627" s="1"/>
  <c r="Z626"/>
  <c r="AB626" s="1"/>
  <c r="AD626" s="1"/>
  <c r="Y626"/>
  <c r="AA626" s="1"/>
  <c r="AC626" s="1"/>
  <c r="Y625"/>
  <c r="AA625" s="1"/>
  <c r="AC625" s="1"/>
  <c r="Z615"/>
  <c r="AB615" s="1"/>
  <c r="Z614"/>
  <c r="AB614" s="1"/>
  <c r="Z609"/>
  <c r="AB609" s="1"/>
  <c r="Y609"/>
  <c r="AA609" s="1"/>
  <c r="L609"/>
  <c r="Z608"/>
  <c r="AB608" s="1"/>
  <c r="Y608"/>
  <c r="AA608" s="1"/>
  <c r="K608"/>
  <c r="L608"/>
  <c r="L605"/>
  <c r="L601"/>
  <c r="Y601"/>
  <c r="AA601" s="1"/>
  <c r="AC601" s="1"/>
  <c r="Y600"/>
  <c r="AA600" s="1"/>
  <c r="AC600" s="1"/>
  <c r="L600"/>
  <c r="Y596"/>
  <c r="AA596" s="1"/>
  <c r="AC596" s="1"/>
  <c r="L596"/>
  <c r="Y591"/>
  <c r="AA591" s="1"/>
  <c r="AC591" s="1"/>
  <c r="L537"/>
  <c r="O534"/>
  <c r="L545"/>
  <c r="L544"/>
  <c r="L543"/>
  <c r="L542"/>
  <c r="L541"/>
  <c r="L540"/>
  <c r="L539"/>
  <c r="N538"/>
  <c r="N534"/>
  <c r="L533"/>
  <c r="AD650" l="1"/>
  <c r="AD640"/>
  <c r="AD638"/>
  <c r="AD633"/>
  <c r="AD629"/>
  <c r="AD637"/>
  <c r="AD628"/>
  <c r="AD641"/>
  <c r="AD632"/>
  <c r="AD654"/>
  <c r="AD652"/>
  <c r="AD649"/>
  <c r="AD627"/>
  <c r="AD631"/>
  <c r="AD635"/>
  <c r="AD646"/>
  <c r="AD645"/>
  <c r="AD639"/>
  <c r="AD643"/>
  <c r="AD642"/>
  <c r="AD630"/>
  <c r="AD634"/>
  <c r="L529" l="1"/>
  <c r="O524"/>
  <c r="L522"/>
  <c r="L521"/>
  <c r="L520"/>
  <c r="O519"/>
  <c r="L513"/>
  <c r="L512"/>
  <c r="Z545"/>
  <c r="AB545" s="1"/>
  <c r="AD545" s="1"/>
  <c r="Y545"/>
  <c r="AA545" s="1"/>
  <c r="AC545" s="1"/>
  <c r="Z544"/>
  <c r="AB544" s="1"/>
  <c r="AD544" s="1"/>
  <c r="Y544"/>
  <c r="AA544" s="1"/>
  <c r="AC544" s="1"/>
  <c r="Z543"/>
  <c r="AB543" s="1"/>
  <c r="AD543" s="1"/>
  <c r="Y543"/>
  <c r="AA543" s="1"/>
  <c r="AC543" s="1"/>
  <c r="Z542"/>
  <c r="AB542" s="1"/>
  <c r="AD542" s="1"/>
  <c r="Y542"/>
  <c r="AA542" s="1"/>
  <c r="AC542" s="1"/>
  <c r="Z541"/>
  <c r="AB541" s="1"/>
  <c r="AD541" s="1"/>
  <c r="Y541"/>
  <c r="AA541" s="1"/>
  <c r="AC541" s="1"/>
  <c r="Z540"/>
  <c r="AB540" s="1"/>
  <c r="AD540" s="1"/>
  <c r="Y540"/>
  <c r="AA540" s="1"/>
  <c r="AC540" s="1"/>
  <c r="Z539"/>
  <c r="AB539" s="1"/>
  <c r="AD539" s="1"/>
  <c r="Y539"/>
  <c r="AA539" s="1"/>
  <c r="AC539" s="1"/>
  <c r="Y538"/>
  <c r="AA538" s="1"/>
  <c r="AC538" s="1"/>
  <c r="Z537"/>
  <c r="AB537" s="1"/>
  <c r="AD537" s="1"/>
  <c r="Y537"/>
  <c r="AA537" s="1"/>
  <c r="AC537" s="1"/>
  <c r="Z536"/>
  <c r="AB536" s="1"/>
  <c r="AD536" s="1"/>
  <c r="Y536"/>
  <c r="AA536" s="1"/>
  <c r="AC536" s="1"/>
  <c r="Z535"/>
  <c r="AB535" s="1"/>
  <c r="AD535" s="1"/>
  <c r="Y535"/>
  <c r="AA535" s="1"/>
  <c r="AC535" s="1"/>
  <c r="Y534"/>
  <c r="AA534" s="1"/>
  <c r="AC534" s="1"/>
  <c r="Z533"/>
  <c r="AB533" s="1"/>
  <c r="AD533" s="1"/>
  <c r="Y533"/>
  <c r="AA533" s="1"/>
  <c r="AC533" s="1"/>
  <c r="Z532"/>
  <c r="AB532" s="1"/>
  <c r="AD532" s="1"/>
  <c r="Y532"/>
  <c r="AA532" s="1"/>
  <c r="AC532" s="1"/>
  <c r="Z531"/>
  <c r="AB531" s="1"/>
  <c r="AD531" s="1"/>
  <c r="Y531"/>
  <c r="AA531" s="1"/>
  <c r="AC531" s="1"/>
  <c r="Z530"/>
  <c r="AB530" s="1"/>
  <c r="AD530" s="1"/>
  <c r="Y530"/>
  <c r="AA530" s="1"/>
  <c r="AC530" s="1"/>
  <c r="Z529"/>
  <c r="AB529" s="1"/>
  <c r="Y529"/>
  <c r="AA529" s="1"/>
  <c r="AC529" s="1"/>
  <c r="Z528"/>
  <c r="AB528" s="1"/>
  <c r="AD528" s="1"/>
  <c r="Y528"/>
  <c r="AA528" s="1"/>
  <c r="AC528" s="1"/>
  <c r="Z527"/>
  <c r="AB527" s="1"/>
  <c r="AD527" s="1"/>
  <c r="Y527"/>
  <c r="AA527" s="1"/>
  <c r="AC527" s="1"/>
  <c r="Z526"/>
  <c r="AB526" s="1"/>
  <c r="AD526" s="1"/>
  <c r="Y526"/>
  <c r="AA526" s="1"/>
  <c r="AC526" s="1"/>
  <c r="Z525"/>
  <c r="AB525" s="1"/>
  <c r="AD525" s="1"/>
  <c r="Y525"/>
  <c r="AA525" s="1"/>
  <c r="AC525" s="1"/>
  <c r="Y524"/>
  <c r="AA524" s="1"/>
  <c r="AC524" s="1"/>
  <c r="Z523"/>
  <c r="AB523" s="1"/>
  <c r="AD523" s="1"/>
  <c r="Y523"/>
  <c r="AA523" s="1"/>
  <c r="AC523" s="1"/>
  <c r="Z522"/>
  <c r="AB522" s="1"/>
  <c r="Y522"/>
  <c r="AA522" s="1"/>
  <c r="AC522" s="1"/>
  <c r="Z521"/>
  <c r="AB521" s="1"/>
  <c r="Y521"/>
  <c r="AA521" s="1"/>
  <c r="AC521" s="1"/>
  <c r="Z520"/>
  <c r="AB520" s="1"/>
  <c r="Y520"/>
  <c r="AA520" s="1"/>
  <c r="AC520" s="1"/>
  <c r="Y519"/>
  <c r="AA519" s="1"/>
  <c r="AC519" s="1"/>
  <c r="Z518"/>
  <c r="AB518" s="1"/>
  <c r="AD518" s="1"/>
  <c r="Y518"/>
  <c r="AA518" s="1"/>
  <c r="AC518" s="1"/>
  <c r="Y517"/>
  <c r="AA517" s="1"/>
  <c r="AC517" s="1"/>
  <c r="Z516"/>
  <c r="AB516" s="1"/>
  <c r="Y516"/>
  <c r="AA516" s="1"/>
  <c r="AC516" s="1"/>
  <c r="Z515"/>
  <c r="AB515" s="1"/>
  <c r="Y515"/>
  <c r="AA515" s="1"/>
  <c r="AC515" s="1"/>
  <c r="Y514"/>
  <c r="AA514" s="1"/>
  <c r="AC514" s="1"/>
  <c r="Z513"/>
  <c r="AB513" s="1"/>
  <c r="Y513"/>
  <c r="AA513" s="1"/>
  <c r="AC513" s="1"/>
  <c r="Z512"/>
  <c r="AB512" s="1"/>
  <c r="Y512"/>
  <c r="AA512" s="1"/>
  <c r="AC512" s="1"/>
  <c r="Y511"/>
  <c r="AA511" s="1"/>
  <c r="AC511" s="1"/>
  <c r="Z510"/>
  <c r="AB510" s="1"/>
  <c r="AD510" s="1"/>
  <c r="Y510"/>
  <c r="AA510" s="1"/>
  <c r="AC510" s="1"/>
  <c r="Z509"/>
  <c r="AB509" s="1"/>
  <c r="AD509" s="1"/>
  <c r="Y509"/>
  <c r="AA509" s="1"/>
  <c r="AC509" s="1"/>
  <c r="Z508"/>
  <c r="AB508" s="1"/>
  <c r="AD508" s="1"/>
  <c r="Y508"/>
  <c r="AA508" s="1"/>
  <c r="AC508" s="1"/>
  <c r="Z507"/>
  <c r="AB507" s="1"/>
  <c r="AD507" s="1"/>
  <c r="Y507"/>
  <c r="AA507" s="1"/>
  <c r="AC507" s="1"/>
  <c r="Z506"/>
  <c r="AB506" s="1"/>
  <c r="AD506" s="1"/>
  <c r="Y506"/>
  <c r="AA506" s="1"/>
  <c r="AC506" s="1"/>
  <c r="Z505"/>
  <c r="AB505" s="1"/>
  <c r="AD505" s="1"/>
  <c r="Y505"/>
  <c r="AA505" s="1"/>
  <c r="AC505" s="1"/>
  <c r="Y504"/>
  <c r="AA504" s="1"/>
  <c r="AC504" s="1"/>
  <c r="Z503"/>
  <c r="AB503" s="1"/>
  <c r="AD503" s="1"/>
  <c r="Y503"/>
  <c r="AA503" s="1"/>
  <c r="AC503" s="1"/>
  <c r="Z502"/>
  <c r="AB502" s="1"/>
  <c r="AD502" s="1"/>
  <c r="Y502"/>
  <c r="AA502" s="1"/>
  <c r="AC502" s="1"/>
  <c r="Z501"/>
  <c r="AB501" s="1"/>
  <c r="AD501" s="1"/>
  <c r="Y501"/>
  <c r="AA501" s="1"/>
  <c r="AC501" s="1"/>
  <c r="Z500"/>
  <c r="AB500" s="1"/>
  <c r="AD500" s="1"/>
  <c r="Y500"/>
  <c r="AA500" s="1"/>
  <c r="AC500" s="1"/>
  <c r="Z499"/>
  <c r="AB499" s="1"/>
  <c r="AD499" s="1"/>
  <c r="Y499"/>
  <c r="AA499" s="1"/>
  <c r="AC499" s="1"/>
  <c r="Z498"/>
  <c r="AB498" s="1"/>
  <c r="Y498"/>
  <c r="AA498" s="1"/>
  <c r="AC498" s="1"/>
  <c r="Z497"/>
  <c r="AB497" s="1"/>
  <c r="AD497" s="1"/>
  <c r="Y497"/>
  <c r="AA497" s="1"/>
  <c r="AC497" s="1"/>
  <c r="Z496"/>
  <c r="AB496" s="1"/>
  <c r="AD496" s="1"/>
  <c r="Y496"/>
  <c r="AA496" s="1"/>
  <c r="AC496" s="1"/>
  <c r="Z495"/>
  <c r="AB495" s="1"/>
  <c r="AD495" s="1"/>
  <c r="Y495"/>
  <c r="AA495" s="1"/>
  <c r="AC495" s="1"/>
  <c r="Z494"/>
  <c r="AB494" s="1"/>
  <c r="AD494" s="1"/>
  <c r="Y494"/>
  <c r="AA494" s="1"/>
  <c r="AC494" s="1"/>
  <c r="Z493"/>
  <c r="AB493" s="1"/>
  <c r="AD493" s="1"/>
  <c r="Y493"/>
  <c r="AA493" s="1"/>
  <c r="AC493" s="1"/>
  <c r="Z492"/>
  <c r="AB492" s="1"/>
  <c r="AD492" s="1"/>
  <c r="Y492"/>
  <c r="AA492" s="1"/>
  <c r="AC492" s="1"/>
  <c r="L498"/>
  <c r="Z487"/>
  <c r="AB487" s="1"/>
  <c r="Y487"/>
  <c r="AA487" s="1"/>
  <c r="AC487" s="1"/>
  <c r="Z482"/>
  <c r="Y482"/>
  <c r="AA482" s="1"/>
  <c r="AC482" s="1"/>
  <c r="Z481"/>
  <c r="Y481"/>
  <c r="AA481" s="1"/>
  <c r="AC481" s="1"/>
  <c r="Z480"/>
  <c r="AB480" s="1"/>
  <c r="Y480"/>
  <c r="AA480" s="1"/>
  <c r="AC480" s="1"/>
  <c r="Z479"/>
  <c r="AB479" s="1"/>
  <c r="AD479" s="1"/>
  <c r="Y479"/>
  <c r="AA479" s="1"/>
  <c r="AC479" s="1"/>
  <c r="Z477"/>
  <c r="AB477" s="1"/>
  <c r="AD477" s="1"/>
  <c r="Y477"/>
  <c r="Z476"/>
  <c r="AB476" s="1"/>
  <c r="Y476"/>
  <c r="AA476" s="1"/>
  <c r="AC476" s="1"/>
  <c r="Z475"/>
  <c r="AB475" s="1"/>
  <c r="Y475"/>
  <c r="Z474"/>
  <c r="AB474" s="1"/>
  <c r="AD474" s="1"/>
  <c r="Y474"/>
  <c r="AA474" s="1"/>
  <c r="AC474" s="1"/>
  <c r="Z473"/>
  <c r="AB473" s="1"/>
  <c r="AD473" s="1"/>
  <c r="Y473"/>
  <c r="AA473" s="1"/>
  <c r="AC473" s="1"/>
  <c r="Z471"/>
  <c r="AB471" s="1"/>
  <c r="AD471" s="1"/>
  <c r="Y471"/>
  <c r="AA471" s="1"/>
  <c r="AC471" s="1"/>
  <c r="Z470"/>
  <c r="AB470" s="1"/>
  <c r="Y470"/>
  <c r="AA470" s="1"/>
  <c r="Z469"/>
  <c r="AB469" s="1"/>
  <c r="AD469" s="1"/>
  <c r="Y469"/>
  <c r="AA469" s="1"/>
  <c r="AC469" s="1"/>
  <c r="Z468"/>
  <c r="AB468" s="1"/>
  <c r="AD468" s="1"/>
  <c r="Y468"/>
  <c r="AA468" s="1"/>
  <c r="AC468" s="1"/>
  <c r="Z467"/>
  <c r="AB467" s="1"/>
  <c r="AD467" s="1"/>
  <c r="Y467"/>
  <c r="AA467" s="1"/>
  <c r="AC467" s="1"/>
  <c r="Z466"/>
  <c r="AB466" s="1"/>
  <c r="Y466"/>
  <c r="Z465"/>
  <c r="AB465" s="1"/>
  <c r="Y465"/>
  <c r="AA465" s="1"/>
  <c r="AC465" s="1"/>
  <c r="Z464"/>
  <c r="AB464" s="1"/>
  <c r="Y464"/>
  <c r="AA464" s="1"/>
  <c r="AC464" s="1"/>
  <c r="Z463"/>
  <c r="AB463" s="1"/>
  <c r="Y463"/>
  <c r="Z462"/>
  <c r="AB462" s="1"/>
  <c r="AD462" s="1"/>
  <c r="Y462"/>
  <c r="Z461"/>
  <c r="AB461" s="1"/>
  <c r="AD461" s="1"/>
  <c r="Y461"/>
  <c r="AA461" s="1"/>
  <c r="AC461" s="1"/>
  <c r="Z460"/>
  <c r="AB460" s="1"/>
  <c r="Y460"/>
  <c r="Z458"/>
  <c r="AB458" s="1"/>
  <c r="Y458"/>
  <c r="AA458" s="1"/>
  <c r="AC458" s="1"/>
  <c r="Z451"/>
  <c r="Y451"/>
  <c r="AA451" s="1"/>
  <c r="AC451" s="1"/>
  <c r="Z450"/>
  <c r="AB450" s="1"/>
  <c r="Y450"/>
  <c r="Z449"/>
  <c r="Y449"/>
  <c r="AA449" s="1"/>
  <c r="AC449" s="1"/>
  <c r="Z448"/>
  <c r="Y448"/>
  <c r="AA448" s="1"/>
  <c r="AC448" s="1"/>
  <c r="Z446"/>
  <c r="Y446"/>
  <c r="Y445"/>
  <c r="AA445" s="1"/>
  <c r="AC445" s="1"/>
  <c r="Z444"/>
  <c r="AB444" s="1"/>
  <c r="Y444"/>
  <c r="AA444" s="1"/>
  <c r="AC444" s="1"/>
  <c r="Z443"/>
  <c r="Y443"/>
  <c r="AA443" s="1"/>
  <c r="AC443" s="1"/>
  <c r="Z442"/>
  <c r="Y442"/>
  <c r="AA442" s="1"/>
  <c r="AC442" s="1"/>
  <c r="Z441"/>
  <c r="Y441"/>
  <c r="AA441" s="1"/>
  <c r="AC441" s="1"/>
  <c r="Z440"/>
  <c r="Y440"/>
  <c r="AA440" s="1"/>
  <c r="AC440" s="1"/>
  <c r="Z439"/>
  <c r="Y439"/>
  <c r="AA439" s="1"/>
  <c r="AC439" s="1"/>
  <c r="Z438"/>
  <c r="AB438" s="1"/>
  <c r="Y438"/>
  <c r="AA438" s="1"/>
  <c r="AC438" s="1"/>
  <c r="Z437"/>
  <c r="AB437" s="1"/>
  <c r="Y437"/>
  <c r="AA437" s="1"/>
  <c r="AC437" s="1"/>
  <c r="Y436"/>
  <c r="AA436" s="1"/>
  <c r="AC436" s="1"/>
  <c r="Z435"/>
  <c r="Y435"/>
  <c r="AA435" s="1"/>
  <c r="AC435" s="1"/>
  <c r="Z434"/>
  <c r="Z433"/>
  <c r="Z432"/>
  <c r="Z431"/>
  <c r="Z430"/>
  <c r="Z429"/>
  <c r="Z428"/>
  <c r="Z427"/>
  <c r="Z426"/>
  <c r="Z425"/>
  <c r="Y425"/>
  <c r="AA425" s="1"/>
  <c r="AC425" s="1"/>
  <c r="Z424"/>
  <c r="Y423"/>
  <c r="AA423" s="1"/>
  <c r="AC423" s="1"/>
  <c r="L487"/>
  <c r="L480"/>
  <c r="L476"/>
  <c r="L475"/>
  <c r="L470"/>
  <c r="K470"/>
  <c r="L466"/>
  <c r="L465"/>
  <c r="L464"/>
  <c r="L463"/>
  <c r="L460"/>
  <c r="O459"/>
  <c r="L458"/>
  <c r="L444"/>
  <c r="L438"/>
  <c r="L437"/>
  <c r="AD529" l="1"/>
  <c r="AD465"/>
  <c r="AD438"/>
  <c r="AD498"/>
  <c r="AD437"/>
  <c r="AD460"/>
  <c r="AD463"/>
  <c r="AD475"/>
  <c r="AD521"/>
  <c r="AD476"/>
  <c r="AD480"/>
  <c r="AD464"/>
  <c r="AD522"/>
  <c r="AC470"/>
  <c r="AD487"/>
  <c r="AD444"/>
  <c r="AD458"/>
  <c r="AD466"/>
  <c r="AD470"/>
  <c r="AD512"/>
  <c r="AD520"/>
  <c r="AD513"/>
  <c r="L415"/>
  <c r="L408"/>
  <c r="L404"/>
  <c r="L402"/>
  <c r="L400"/>
  <c r="L399"/>
  <c r="N393"/>
  <c r="L381"/>
  <c r="L351"/>
  <c r="Z349"/>
  <c r="AB349" s="1"/>
  <c r="AD349" s="1"/>
  <c r="Y349"/>
  <c r="AA349" s="1"/>
  <c r="AC349" s="1"/>
  <c r="O328"/>
  <c r="N323"/>
  <c r="L318"/>
  <c r="L319"/>
  <c r="N321"/>
  <c r="L321" s="1"/>
  <c r="N320"/>
  <c r="L320"/>
  <c r="Z308"/>
  <c r="AB308" s="1"/>
  <c r="Y308"/>
  <c r="AA308" s="1"/>
  <c r="AC308" s="1"/>
  <c r="O308"/>
  <c r="O307"/>
  <c r="L293"/>
  <c r="Z419"/>
  <c r="AB419" s="1"/>
  <c r="AD419" s="1"/>
  <c r="Y419"/>
  <c r="AA419" s="1"/>
  <c r="AC419" s="1"/>
  <c r="Z418"/>
  <c r="AB418" s="1"/>
  <c r="AD418" s="1"/>
  <c r="Y418"/>
  <c r="AA418" s="1"/>
  <c r="AC418" s="1"/>
  <c r="Z417"/>
  <c r="AB417" s="1"/>
  <c r="AD417" s="1"/>
  <c r="Y417"/>
  <c r="AA417" s="1"/>
  <c r="AC417" s="1"/>
  <c r="Y416"/>
  <c r="AA416" s="1"/>
  <c r="AC416" s="1"/>
  <c r="Z415"/>
  <c r="AB415" s="1"/>
  <c r="Y415"/>
  <c r="AA415" s="1"/>
  <c r="AC415" s="1"/>
  <c r="Y414"/>
  <c r="AA414" s="1"/>
  <c r="AC414" s="1"/>
  <c r="Z413"/>
  <c r="AB413" s="1"/>
  <c r="AD413" s="1"/>
  <c r="Y413"/>
  <c r="AA413" s="1"/>
  <c r="AC413" s="1"/>
  <c r="Z412"/>
  <c r="AB412" s="1"/>
  <c r="AD412" s="1"/>
  <c r="Y412"/>
  <c r="AA412" s="1"/>
  <c r="AC412" s="1"/>
  <c r="Y411"/>
  <c r="AA411" s="1"/>
  <c r="AC411" s="1"/>
  <c r="Z410"/>
  <c r="AB410" s="1"/>
  <c r="AD410" s="1"/>
  <c r="Y410"/>
  <c r="AA410" s="1"/>
  <c r="AC410" s="1"/>
  <c r="Y409"/>
  <c r="Z408"/>
  <c r="AB408" s="1"/>
  <c r="Y408"/>
  <c r="AA408" s="1"/>
  <c r="AC408" s="1"/>
  <c r="Z407"/>
  <c r="AB407" s="1"/>
  <c r="AD407" s="1"/>
  <c r="Y407"/>
  <c r="AA407" s="1"/>
  <c r="AC407" s="1"/>
  <c r="Z406"/>
  <c r="AB406" s="1"/>
  <c r="AD406" s="1"/>
  <c r="Y406"/>
  <c r="AA406" s="1"/>
  <c r="AC406" s="1"/>
  <c r="Z405"/>
  <c r="AB405" s="1"/>
  <c r="AD405" s="1"/>
  <c r="Y405"/>
  <c r="AA405" s="1"/>
  <c r="AC405" s="1"/>
  <c r="Z404"/>
  <c r="AB404" s="1"/>
  <c r="Y404"/>
  <c r="AA404" s="1"/>
  <c r="AC404" s="1"/>
  <c r="Z403"/>
  <c r="AB403" s="1"/>
  <c r="AD403" s="1"/>
  <c r="Y403"/>
  <c r="AA403" s="1"/>
  <c r="AC403" s="1"/>
  <c r="Z402"/>
  <c r="AB402" s="1"/>
  <c r="Y402"/>
  <c r="AA402" s="1"/>
  <c r="AC402" s="1"/>
  <c r="Z401"/>
  <c r="AB401" s="1"/>
  <c r="AD401" s="1"/>
  <c r="Y401"/>
  <c r="AA401" s="1"/>
  <c r="AC401" s="1"/>
  <c r="Z400"/>
  <c r="AB400" s="1"/>
  <c r="Y400"/>
  <c r="AA400" s="1"/>
  <c r="AC400" s="1"/>
  <c r="Z399"/>
  <c r="AB399" s="1"/>
  <c r="Y399"/>
  <c r="AA399" s="1"/>
  <c r="AC399" s="1"/>
  <c r="Z398"/>
  <c r="AB398" s="1"/>
  <c r="AD398" s="1"/>
  <c r="Y398"/>
  <c r="AA398" s="1"/>
  <c r="AC398" s="1"/>
  <c r="Z397"/>
  <c r="AB397" s="1"/>
  <c r="AD397" s="1"/>
  <c r="Y397"/>
  <c r="AA397" s="1"/>
  <c r="AC397" s="1"/>
  <c r="Z396"/>
  <c r="AB396" s="1"/>
  <c r="AD396" s="1"/>
  <c r="Y396"/>
  <c r="AA396" s="1"/>
  <c r="AC396" s="1"/>
  <c r="Z395"/>
  <c r="AB395" s="1"/>
  <c r="AD395" s="1"/>
  <c r="Y395"/>
  <c r="AA395" s="1"/>
  <c r="AC395" s="1"/>
  <c r="Y393"/>
  <c r="AA393" s="1"/>
  <c r="AC393" s="1"/>
  <c r="Z392"/>
  <c r="AB392" s="1"/>
  <c r="AD392" s="1"/>
  <c r="Y392"/>
  <c r="AA392" s="1"/>
  <c r="AC392" s="1"/>
  <c r="Z391"/>
  <c r="AB391" s="1"/>
  <c r="AD391" s="1"/>
  <c r="Y391"/>
  <c r="AA391" s="1"/>
  <c r="AC391" s="1"/>
  <c r="Z390"/>
  <c r="AB390" s="1"/>
  <c r="AD390" s="1"/>
  <c r="Y390"/>
  <c r="AA390" s="1"/>
  <c r="AC390" s="1"/>
  <c r="Z389"/>
  <c r="AB389" s="1"/>
  <c r="AD389" s="1"/>
  <c r="Y389"/>
  <c r="AA389" s="1"/>
  <c r="AC389" s="1"/>
  <c r="Y388"/>
  <c r="AA388" s="1"/>
  <c r="AC388" s="1"/>
  <c r="Z387"/>
  <c r="AB387" s="1"/>
  <c r="AD387" s="1"/>
  <c r="Y387"/>
  <c r="AA387" s="1"/>
  <c r="AC387" s="1"/>
  <c r="Z386"/>
  <c r="AB386" s="1"/>
  <c r="AD386" s="1"/>
  <c r="Y386"/>
  <c r="AA386" s="1"/>
  <c r="AC386" s="1"/>
  <c r="Y385"/>
  <c r="AA385" s="1"/>
  <c r="Z384"/>
  <c r="AB384" s="1"/>
  <c r="AD384" s="1"/>
  <c r="Y384"/>
  <c r="AA384" s="1"/>
  <c r="AC384" s="1"/>
  <c r="Y383"/>
  <c r="AA383" s="1"/>
  <c r="AC383" s="1"/>
  <c r="Z382"/>
  <c r="AB382" s="1"/>
  <c r="AD382" s="1"/>
  <c r="Y382"/>
  <c r="AA382" s="1"/>
  <c r="AC382" s="1"/>
  <c r="Z381"/>
  <c r="AB381" s="1"/>
  <c r="Y381"/>
  <c r="AA381" s="1"/>
  <c r="AC381" s="1"/>
  <c r="Z380"/>
  <c r="AB380" s="1"/>
  <c r="AD380" s="1"/>
  <c r="Y380"/>
  <c r="AA380" s="1"/>
  <c r="AC380" s="1"/>
  <c r="Y379"/>
  <c r="AA379" s="1"/>
  <c r="AC379" s="1"/>
  <c r="Z378"/>
  <c r="AB378" s="1"/>
  <c r="AD378" s="1"/>
  <c r="Y378"/>
  <c r="AA378" s="1"/>
  <c r="AC378" s="1"/>
  <c r="Z377"/>
  <c r="AB377" s="1"/>
  <c r="AD377" s="1"/>
  <c r="Y377"/>
  <c r="AA377" s="1"/>
  <c r="AC377" s="1"/>
  <c r="Z376"/>
  <c r="AB376" s="1"/>
  <c r="AD376" s="1"/>
  <c r="Y376"/>
  <c r="AA376" s="1"/>
  <c r="AC376" s="1"/>
  <c r="Z375"/>
  <c r="AB375" s="1"/>
  <c r="AD375" s="1"/>
  <c r="Y375"/>
  <c r="AA375" s="1"/>
  <c r="AC375" s="1"/>
  <c r="Z374"/>
  <c r="AB374" s="1"/>
  <c r="AD374" s="1"/>
  <c r="Y374"/>
  <c r="AA374" s="1"/>
  <c r="AC374" s="1"/>
  <c r="Z373"/>
  <c r="AB373" s="1"/>
  <c r="AD373" s="1"/>
  <c r="Y373"/>
  <c r="AA373" s="1"/>
  <c r="AC373" s="1"/>
  <c r="Z372"/>
  <c r="AB372" s="1"/>
  <c r="AD372" s="1"/>
  <c r="Y372"/>
  <c r="AA372" s="1"/>
  <c r="AC372" s="1"/>
  <c r="Z371"/>
  <c r="AB371" s="1"/>
  <c r="AD371" s="1"/>
  <c r="Y371"/>
  <c r="AA371" s="1"/>
  <c r="AC371" s="1"/>
  <c r="Z370"/>
  <c r="AB370" s="1"/>
  <c r="AD370" s="1"/>
  <c r="Y370"/>
  <c r="AA370" s="1"/>
  <c r="AC370" s="1"/>
  <c r="Z369"/>
  <c r="AB369" s="1"/>
  <c r="AD369" s="1"/>
  <c r="Y369"/>
  <c r="AA369" s="1"/>
  <c r="AC369" s="1"/>
  <c r="Z368"/>
  <c r="AB368" s="1"/>
  <c r="AD368" s="1"/>
  <c r="Y368"/>
  <c r="AA368" s="1"/>
  <c r="AC368" s="1"/>
  <c r="Z367"/>
  <c r="AB367" s="1"/>
  <c r="AD367" s="1"/>
  <c r="Y367"/>
  <c r="AA367" s="1"/>
  <c r="AC367" s="1"/>
  <c r="Z366"/>
  <c r="AB366" s="1"/>
  <c r="AD366" s="1"/>
  <c r="Y366"/>
  <c r="AA366" s="1"/>
  <c r="AC366" s="1"/>
  <c r="Z365"/>
  <c r="AB365" s="1"/>
  <c r="AD365" s="1"/>
  <c r="Y365"/>
  <c r="AA365" s="1"/>
  <c r="AC365" s="1"/>
  <c r="Z364"/>
  <c r="AB364" s="1"/>
  <c r="AD364" s="1"/>
  <c r="Y364"/>
  <c r="AA364" s="1"/>
  <c r="AC364" s="1"/>
  <c r="Z363"/>
  <c r="AB363" s="1"/>
  <c r="AD363" s="1"/>
  <c r="Y363"/>
  <c r="AA363" s="1"/>
  <c r="AC363" s="1"/>
  <c r="Z362"/>
  <c r="AB362" s="1"/>
  <c r="AD362" s="1"/>
  <c r="Y362"/>
  <c r="AA362" s="1"/>
  <c r="AC362" s="1"/>
  <c r="Z361"/>
  <c r="AB361" s="1"/>
  <c r="AD361" s="1"/>
  <c r="Y361"/>
  <c r="AA361" s="1"/>
  <c r="AC361" s="1"/>
  <c r="Z360"/>
  <c r="AB360" s="1"/>
  <c r="AD360" s="1"/>
  <c r="Y360"/>
  <c r="AA360" s="1"/>
  <c r="AC360" s="1"/>
  <c r="Z359"/>
  <c r="AB359" s="1"/>
  <c r="AD359" s="1"/>
  <c r="Y359"/>
  <c r="AA359" s="1"/>
  <c r="AC359" s="1"/>
  <c r="Z358"/>
  <c r="AB358" s="1"/>
  <c r="AD358" s="1"/>
  <c r="Y358"/>
  <c r="AA358" s="1"/>
  <c r="AC358" s="1"/>
  <c r="Z357"/>
  <c r="AB357" s="1"/>
  <c r="AD357" s="1"/>
  <c r="Y357"/>
  <c r="AA357" s="1"/>
  <c r="AC357" s="1"/>
  <c r="Z356"/>
  <c r="AB356" s="1"/>
  <c r="AD356" s="1"/>
  <c r="Y356"/>
  <c r="AA356" s="1"/>
  <c r="AC356" s="1"/>
  <c r="Z355"/>
  <c r="AB355" s="1"/>
  <c r="AD355" s="1"/>
  <c r="Y355"/>
  <c r="AA355" s="1"/>
  <c r="AC355" s="1"/>
  <c r="Z354"/>
  <c r="AB354" s="1"/>
  <c r="AD354" s="1"/>
  <c r="Y354"/>
  <c r="AA354" s="1"/>
  <c r="AC354" s="1"/>
  <c r="Z353"/>
  <c r="AB353" s="1"/>
  <c r="AD353" s="1"/>
  <c r="Y353"/>
  <c r="AA353" s="1"/>
  <c r="AC353" s="1"/>
  <c r="Z352"/>
  <c r="AB352" s="1"/>
  <c r="AD352" s="1"/>
  <c r="Y352"/>
  <c r="AA352" s="1"/>
  <c r="AC352" s="1"/>
  <c r="Z351"/>
  <c r="AB351" s="1"/>
  <c r="Y351"/>
  <c r="AA351" s="1"/>
  <c r="AC351" s="1"/>
  <c r="Z350"/>
  <c r="AB350" s="1"/>
  <c r="AD350" s="1"/>
  <c r="Y350"/>
  <c r="AA350" s="1"/>
  <c r="AC350" s="1"/>
  <c r="Z348"/>
  <c r="AB348" s="1"/>
  <c r="AD348" s="1"/>
  <c r="Y348"/>
  <c r="AA348" s="1"/>
  <c r="AC348" s="1"/>
  <c r="Z347"/>
  <c r="AB347" s="1"/>
  <c r="AD347" s="1"/>
  <c r="Y347"/>
  <c r="AA347" s="1"/>
  <c r="AC347" s="1"/>
  <c r="Z346"/>
  <c r="AB346" s="1"/>
  <c r="AD346" s="1"/>
  <c r="Y346"/>
  <c r="AA346" s="1"/>
  <c r="AC346" s="1"/>
  <c r="Z345"/>
  <c r="AB345" s="1"/>
  <c r="AD345" s="1"/>
  <c r="Y345"/>
  <c r="AA345" s="1"/>
  <c r="AC345" s="1"/>
  <c r="Z344"/>
  <c r="AB344" s="1"/>
  <c r="AD344" s="1"/>
  <c r="Y344"/>
  <c r="AA344" s="1"/>
  <c r="AC344" s="1"/>
  <c r="Z343"/>
  <c r="AB343" s="1"/>
  <c r="AD343" s="1"/>
  <c r="Y343"/>
  <c r="AA343" s="1"/>
  <c r="AC343" s="1"/>
  <c r="Z342"/>
  <c r="AB342" s="1"/>
  <c r="AD342" s="1"/>
  <c r="Y342"/>
  <c r="AA342" s="1"/>
  <c r="AC342" s="1"/>
  <c r="Z341"/>
  <c r="AB341" s="1"/>
  <c r="AD341" s="1"/>
  <c r="Y341"/>
  <c r="AA341" s="1"/>
  <c r="AC341" s="1"/>
  <c r="Z340"/>
  <c r="AB340" s="1"/>
  <c r="AD340" s="1"/>
  <c r="Y340"/>
  <c r="AA340" s="1"/>
  <c r="AC340" s="1"/>
  <c r="Z339"/>
  <c r="AB339" s="1"/>
  <c r="AD339" s="1"/>
  <c r="Y339"/>
  <c r="AA339" s="1"/>
  <c r="AC339" s="1"/>
  <c r="Z338"/>
  <c r="AB338" s="1"/>
  <c r="AD338" s="1"/>
  <c r="Y338"/>
  <c r="AA338" s="1"/>
  <c r="AC338" s="1"/>
  <c r="Z337"/>
  <c r="AB337" s="1"/>
  <c r="AD337" s="1"/>
  <c r="Y337"/>
  <c r="AA337" s="1"/>
  <c r="AC337" s="1"/>
  <c r="Z336"/>
  <c r="AB336" s="1"/>
  <c r="AD336" s="1"/>
  <c r="Y336"/>
  <c r="AA336" s="1"/>
  <c r="AC336" s="1"/>
  <c r="Z335"/>
  <c r="AB335" s="1"/>
  <c r="AD335" s="1"/>
  <c r="Y335"/>
  <c r="AA335" s="1"/>
  <c r="AC335" s="1"/>
  <c r="Z334"/>
  <c r="AB334" s="1"/>
  <c r="AD334" s="1"/>
  <c r="Y334"/>
  <c r="AA334" s="1"/>
  <c r="AC334" s="1"/>
  <c r="Z333"/>
  <c r="AB333" s="1"/>
  <c r="AD333" s="1"/>
  <c r="Y333"/>
  <c r="AA333" s="1"/>
  <c r="AC333" s="1"/>
  <c r="Z332"/>
  <c r="AB332" s="1"/>
  <c r="AD332" s="1"/>
  <c r="Y332"/>
  <c r="AA332" s="1"/>
  <c r="AC332" s="1"/>
  <c r="Z331"/>
  <c r="AB331" s="1"/>
  <c r="AD331" s="1"/>
  <c r="Y331"/>
  <c r="AA331" s="1"/>
  <c r="AC331" s="1"/>
  <c r="Z330"/>
  <c r="AB330" s="1"/>
  <c r="AD330" s="1"/>
  <c r="Y330"/>
  <c r="AA330" s="1"/>
  <c r="AC330" s="1"/>
  <c r="Z329"/>
  <c r="AB329" s="1"/>
  <c r="AD329" s="1"/>
  <c r="Y329"/>
  <c r="AA329" s="1"/>
  <c r="AC329" s="1"/>
  <c r="Y328"/>
  <c r="AA328" s="1"/>
  <c r="AC328" s="1"/>
  <c r="Z327"/>
  <c r="AB327" s="1"/>
  <c r="AD327" s="1"/>
  <c r="Y327"/>
  <c r="AA327" s="1"/>
  <c r="AC327" s="1"/>
  <c r="Z326"/>
  <c r="AB326" s="1"/>
  <c r="AD326" s="1"/>
  <c r="Y326"/>
  <c r="AA326" s="1"/>
  <c r="AC326" s="1"/>
  <c r="Y325"/>
  <c r="AA325" s="1"/>
  <c r="AC325" s="1"/>
  <c r="Z324"/>
  <c r="AB324" s="1"/>
  <c r="AD324" s="1"/>
  <c r="Y324"/>
  <c r="AA324" s="1"/>
  <c r="AC324" s="1"/>
  <c r="Z323"/>
  <c r="Y323"/>
  <c r="AA323" s="1"/>
  <c r="AC323" s="1"/>
  <c r="Y322"/>
  <c r="AA322" s="1"/>
  <c r="AC322" s="1"/>
  <c r="Z321"/>
  <c r="Y321"/>
  <c r="AA321" s="1"/>
  <c r="AC321" s="1"/>
  <c r="Z320"/>
  <c r="Y320"/>
  <c r="AA320" s="1"/>
  <c r="AC320" s="1"/>
  <c r="Z319"/>
  <c r="AB319" s="1"/>
  <c r="Y319"/>
  <c r="AA319" s="1"/>
  <c r="AC319" s="1"/>
  <c r="Z318"/>
  <c r="AB318" s="1"/>
  <c r="Y318"/>
  <c r="AA318" s="1"/>
  <c r="AC318" s="1"/>
  <c r="Y317"/>
  <c r="AA317" s="1"/>
  <c r="AC317" s="1"/>
  <c r="Z316"/>
  <c r="AB316" s="1"/>
  <c r="AD316" s="1"/>
  <c r="Y316"/>
  <c r="AA316" s="1"/>
  <c r="AC316" s="1"/>
  <c r="Z315"/>
  <c r="AB315" s="1"/>
  <c r="AD315" s="1"/>
  <c r="Y315"/>
  <c r="AA315" s="1"/>
  <c r="AC315" s="1"/>
  <c r="Z314"/>
  <c r="AB314" s="1"/>
  <c r="AD314" s="1"/>
  <c r="Y314"/>
  <c r="AA314" s="1"/>
  <c r="AC314" s="1"/>
  <c r="Z313"/>
  <c r="AB313" s="1"/>
  <c r="AD313" s="1"/>
  <c r="Y313"/>
  <c r="AA313" s="1"/>
  <c r="AC313" s="1"/>
  <c r="Z312"/>
  <c r="AB312" s="1"/>
  <c r="AD312" s="1"/>
  <c r="Y312"/>
  <c r="AA312" s="1"/>
  <c r="AC312" s="1"/>
  <c r="Z311"/>
  <c r="AB311" s="1"/>
  <c r="AD311" s="1"/>
  <c r="Y311"/>
  <c r="AA311" s="1"/>
  <c r="AC311" s="1"/>
  <c r="Z310"/>
  <c r="AB310" s="1"/>
  <c r="AD310" s="1"/>
  <c r="Y310"/>
  <c r="AA310" s="1"/>
  <c r="AC310" s="1"/>
  <c r="Z309"/>
  <c r="AB309" s="1"/>
  <c r="AD309" s="1"/>
  <c r="Y309"/>
  <c r="AA309" s="1"/>
  <c r="AC309" s="1"/>
  <c r="Y307"/>
  <c r="AA307" s="1"/>
  <c r="AC307" s="1"/>
  <c r="Z306"/>
  <c r="AB306" s="1"/>
  <c r="AD306" s="1"/>
  <c r="Y306"/>
  <c r="AA306" s="1"/>
  <c r="AC306" s="1"/>
  <c r="Z305"/>
  <c r="AB305" s="1"/>
  <c r="AD305" s="1"/>
  <c r="Y305"/>
  <c r="AA305" s="1"/>
  <c r="AC305" s="1"/>
  <c r="Z304"/>
  <c r="AB304" s="1"/>
  <c r="AD304" s="1"/>
  <c r="Y304"/>
  <c r="AA304" s="1"/>
  <c r="AC304" s="1"/>
  <c r="Z303"/>
  <c r="AB303" s="1"/>
  <c r="AD303" s="1"/>
  <c r="Y303"/>
  <c r="AA303" s="1"/>
  <c r="AC303" s="1"/>
  <c r="Z302"/>
  <c r="AB302" s="1"/>
  <c r="AD302" s="1"/>
  <c r="Y302"/>
  <c r="AA302" s="1"/>
  <c r="AC302" s="1"/>
  <c r="Z301"/>
  <c r="AB301" s="1"/>
  <c r="AD301" s="1"/>
  <c r="Y301"/>
  <c r="AA301" s="1"/>
  <c r="AC301" s="1"/>
  <c r="Z300"/>
  <c r="AB300" s="1"/>
  <c r="AD300" s="1"/>
  <c r="Y300"/>
  <c r="AA300" s="1"/>
  <c r="AC300" s="1"/>
  <c r="Y299"/>
  <c r="AA299" s="1"/>
  <c r="AC299" s="1"/>
  <c r="Z298"/>
  <c r="AB298" s="1"/>
  <c r="AD298" s="1"/>
  <c r="Y298"/>
  <c r="AA298" s="1"/>
  <c r="AC298" s="1"/>
  <c r="Z297"/>
  <c r="AB297" s="1"/>
  <c r="AD297" s="1"/>
  <c r="Y297"/>
  <c r="AA297" s="1"/>
  <c r="AC297" s="1"/>
  <c r="Z296"/>
  <c r="AB296" s="1"/>
  <c r="AD296" s="1"/>
  <c r="Y296"/>
  <c r="AA296" s="1"/>
  <c r="AC296" s="1"/>
  <c r="Z295"/>
  <c r="AB295" s="1"/>
  <c r="AD295" s="1"/>
  <c r="Y295"/>
  <c r="AA295" s="1"/>
  <c r="AC295" s="1"/>
  <c r="Z294"/>
  <c r="AB294" s="1"/>
  <c r="AD294" s="1"/>
  <c r="Y294"/>
  <c r="AA294" s="1"/>
  <c r="AC294" s="1"/>
  <c r="Z293"/>
  <c r="AB293" s="1"/>
  <c r="AD293" s="1"/>
  <c r="Y293"/>
  <c r="AA293" s="1"/>
  <c r="AC293" s="1"/>
  <c r="Z292"/>
  <c r="AB292" s="1"/>
  <c r="AD292" s="1"/>
  <c r="Y292"/>
  <c r="AA292" s="1"/>
  <c r="AC292" s="1"/>
  <c r="Y291"/>
  <c r="AA291" s="1"/>
  <c r="AC291" s="1"/>
  <c r="Z290"/>
  <c r="AB290" s="1"/>
  <c r="AD290" s="1"/>
  <c r="Y290"/>
  <c r="AA290" s="1"/>
  <c r="AC290" s="1"/>
  <c r="Z289"/>
  <c r="AB289" s="1"/>
  <c r="AD289" s="1"/>
  <c r="Y289"/>
  <c r="AA289" s="1"/>
  <c r="AC289" s="1"/>
  <c r="Z288"/>
  <c r="AB288" s="1"/>
  <c r="AD288" s="1"/>
  <c r="Y288"/>
  <c r="AA288" s="1"/>
  <c r="AC288" s="1"/>
  <c r="Z287"/>
  <c r="AB287" s="1"/>
  <c r="AD287" s="1"/>
  <c r="Y287"/>
  <c r="AA287" s="1"/>
  <c r="AC287" s="1"/>
  <c r="Z286"/>
  <c r="AB286" s="1"/>
  <c r="AD286" s="1"/>
  <c r="Y286"/>
  <c r="AA286" s="1"/>
  <c r="AC286" s="1"/>
  <c r="Y285"/>
  <c r="AA285" s="1"/>
  <c r="AC285" s="1"/>
  <c r="Z284"/>
  <c r="AB284" s="1"/>
  <c r="AD284" s="1"/>
  <c r="Y284"/>
  <c r="AA284" s="1"/>
  <c r="AC284" s="1"/>
  <c r="Z283"/>
  <c r="AB283" s="1"/>
  <c r="AD283" s="1"/>
  <c r="Y283"/>
  <c r="AA283" s="1"/>
  <c r="AC283" s="1"/>
  <c r="Z282"/>
  <c r="AB282" s="1"/>
  <c r="AD282" s="1"/>
  <c r="Y282"/>
  <c r="AA282" s="1"/>
  <c r="AC282" s="1"/>
  <c r="Z281"/>
  <c r="AB281" s="1"/>
  <c r="AD281" s="1"/>
  <c r="Y281"/>
  <c r="AA281" s="1"/>
  <c r="AC281" s="1"/>
  <c r="Z280"/>
  <c r="AB280" s="1"/>
  <c r="AD280" s="1"/>
  <c r="Y280"/>
  <c r="AA280" s="1"/>
  <c r="AC280" s="1"/>
  <c r="Z279"/>
  <c r="AB279" s="1"/>
  <c r="AD279" s="1"/>
  <c r="Y279"/>
  <c r="AA279" s="1"/>
  <c r="AC279" s="1"/>
  <c r="Y278"/>
  <c r="AA278" s="1"/>
  <c r="AC278" s="1"/>
  <c r="Z277"/>
  <c r="AB277" s="1"/>
  <c r="AD277" s="1"/>
  <c r="Y277"/>
  <c r="AA277" s="1"/>
  <c r="AC277" s="1"/>
  <c r="Y276"/>
  <c r="AA276" s="1"/>
  <c r="AC276" s="1"/>
  <c r="Z275"/>
  <c r="AB275" s="1"/>
  <c r="AD275" s="1"/>
  <c r="Y275"/>
  <c r="AA275" s="1"/>
  <c r="AC275" s="1"/>
  <c r="Z274"/>
  <c r="AB274" s="1"/>
  <c r="AD274" s="1"/>
  <c r="Y274"/>
  <c r="AA274" s="1"/>
  <c r="AC274" s="1"/>
  <c r="Z273"/>
  <c r="AB273" s="1"/>
  <c r="AD273" s="1"/>
  <c r="Y273"/>
  <c r="AA273" s="1"/>
  <c r="AC273" s="1"/>
  <c r="Z272"/>
  <c r="AB272" s="1"/>
  <c r="AD272" s="1"/>
  <c r="Y272"/>
  <c r="AA272" s="1"/>
  <c r="AC272" s="1"/>
  <c r="Z271"/>
  <c r="AB271" s="1"/>
  <c r="AD271" s="1"/>
  <c r="Y271"/>
  <c r="AA271" s="1"/>
  <c r="AC271" s="1"/>
  <c r="Z270"/>
  <c r="AB270" s="1"/>
  <c r="AD270" s="1"/>
  <c r="Y270"/>
  <c r="AA270" s="1"/>
  <c r="AC270" s="1"/>
  <c r="Z269"/>
  <c r="AB269" s="1"/>
  <c r="AD269" s="1"/>
  <c r="Y269"/>
  <c r="AA269" s="1"/>
  <c r="AC269" s="1"/>
  <c r="Z268"/>
  <c r="AB268" s="1"/>
  <c r="AD268" s="1"/>
  <c r="Y268"/>
  <c r="AA268" s="1"/>
  <c r="AC268" s="1"/>
  <c r="Z267"/>
  <c r="AB267" s="1"/>
  <c r="AD267" s="1"/>
  <c r="Y267"/>
  <c r="AA267" s="1"/>
  <c r="AC267" s="1"/>
  <c r="Z266"/>
  <c r="AB266" s="1"/>
  <c r="AD266" s="1"/>
  <c r="Y266"/>
  <c r="AA266" s="1"/>
  <c r="AC266" s="1"/>
  <c r="Z265"/>
  <c r="AB265" s="1"/>
  <c r="AD265" s="1"/>
  <c r="Y265"/>
  <c r="AA265" s="1"/>
  <c r="AC265" s="1"/>
  <c r="Z264"/>
  <c r="AB264" s="1"/>
  <c r="AD264" s="1"/>
  <c r="Y264"/>
  <c r="AA264" s="1"/>
  <c r="AC264" s="1"/>
  <c r="Z263"/>
  <c r="AB263" s="1"/>
  <c r="AD263" s="1"/>
  <c r="Y263"/>
  <c r="AA263" s="1"/>
  <c r="AC263" s="1"/>
  <c r="Z262"/>
  <c r="AB262" s="1"/>
  <c r="AD262" s="1"/>
  <c r="Y262"/>
  <c r="AA262" s="1"/>
  <c r="AC262" s="1"/>
  <c r="Z261"/>
  <c r="AB261" s="1"/>
  <c r="AD261" s="1"/>
  <c r="Y261"/>
  <c r="AA261" s="1"/>
  <c r="AC261" s="1"/>
  <c r="Z260"/>
  <c r="AB260" s="1"/>
  <c r="AD260" s="1"/>
  <c r="Y260"/>
  <c r="AA260" s="1"/>
  <c r="AC260" s="1"/>
  <c r="Z259"/>
  <c r="AB259" s="1"/>
  <c r="AD259" s="1"/>
  <c r="Y259"/>
  <c r="AA259" s="1"/>
  <c r="AC259" s="1"/>
  <c r="Z258"/>
  <c r="AB258" s="1"/>
  <c r="AD258" s="1"/>
  <c r="Y258"/>
  <c r="AA258" s="1"/>
  <c r="AC258" s="1"/>
  <c r="Z257"/>
  <c r="AB257" s="1"/>
  <c r="AD257" s="1"/>
  <c r="Y257"/>
  <c r="AA257" s="1"/>
  <c r="AC257" s="1"/>
  <c r="Z256"/>
  <c r="AB256" s="1"/>
  <c r="AD256" s="1"/>
  <c r="Y256"/>
  <c r="AA256" s="1"/>
  <c r="AC256" s="1"/>
  <c r="Z255"/>
  <c r="AB255" s="1"/>
  <c r="AD255" s="1"/>
  <c r="Y255"/>
  <c r="AA255" s="1"/>
  <c r="AC255" s="1"/>
  <c r="Z254"/>
  <c r="AB254" s="1"/>
  <c r="AD254" s="1"/>
  <c r="Y254"/>
  <c r="AA254" s="1"/>
  <c r="AC254" s="1"/>
  <c r="Y253"/>
  <c r="AA253" s="1"/>
  <c r="AC253" s="1"/>
  <c r="Z252"/>
  <c r="AB252" s="1"/>
  <c r="AD252" s="1"/>
  <c r="Y252"/>
  <c r="AA252" s="1"/>
  <c r="AC252" s="1"/>
  <c r="Z251"/>
  <c r="AB251" s="1"/>
  <c r="AD251" s="1"/>
  <c r="Y251"/>
  <c r="AA251" s="1"/>
  <c r="AC251" s="1"/>
  <c r="Z250"/>
  <c r="AB250" s="1"/>
  <c r="AD250" s="1"/>
  <c r="Y250"/>
  <c r="AA250" s="1"/>
  <c r="AC250" s="1"/>
  <c r="Z249"/>
  <c r="AB249" s="1"/>
  <c r="AD249" s="1"/>
  <c r="Y249"/>
  <c r="AA249" s="1"/>
  <c r="AC249" s="1"/>
  <c r="Z248"/>
  <c r="AB248" s="1"/>
  <c r="AD248" s="1"/>
  <c r="Y248"/>
  <c r="AA248" s="1"/>
  <c r="AC248" s="1"/>
  <c r="Z247"/>
  <c r="AB247" s="1"/>
  <c r="AD247" s="1"/>
  <c r="Y247"/>
  <c r="AA247" s="1"/>
  <c r="AC247" s="1"/>
  <c r="Z246"/>
  <c r="AB246" s="1"/>
  <c r="AD246" s="1"/>
  <c r="Y246"/>
  <c r="AA246" s="1"/>
  <c r="AC246" s="1"/>
  <c r="Z245"/>
  <c r="AB245" s="1"/>
  <c r="AD245" s="1"/>
  <c r="Y245"/>
  <c r="AA245" s="1"/>
  <c r="AC245" s="1"/>
  <c r="Z244"/>
  <c r="AB244" s="1"/>
  <c r="AD244" s="1"/>
  <c r="Y244"/>
  <c r="AA244" s="1"/>
  <c r="AC244" s="1"/>
  <c r="Z243"/>
  <c r="AB243" s="1"/>
  <c r="AD243" s="1"/>
  <c r="Y243"/>
  <c r="AA243" s="1"/>
  <c r="AC243" s="1"/>
  <c r="Z242"/>
  <c r="AB242" s="1"/>
  <c r="AD242" s="1"/>
  <c r="Y242"/>
  <c r="AA242" s="1"/>
  <c r="AC242" s="1"/>
  <c r="Z241"/>
  <c r="AB241" s="1"/>
  <c r="AD241" s="1"/>
  <c r="Y241"/>
  <c r="AA241" s="1"/>
  <c r="AC241" s="1"/>
  <c r="X230"/>
  <c r="V230"/>
  <c r="T230"/>
  <c r="R230"/>
  <c r="P230"/>
  <c r="N230"/>
  <c r="Z235"/>
  <c r="AB235" s="1"/>
  <c r="Y235"/>
  <c r="AA235" s="1"/>
  <c r="AC235" s="1"/>
  <c r="Z234"/>
  <c r="AB234" s="1"/>
  <c r="AD234" s="1"/>
  <c r="Y234"/>
  <c r="AA234" s="1"/>
  <c r="AC234" s="1"/>
  <c r="Z233"/>
  <c r="AB233" s="1"/>
  <c r="AD233" s="1"/>
  <c r="Y233"/>
  <c r="AA233" s="1"/>
  <c r="AC233" s="1"/>
  <c r="Z232"/>
  <c r="AB232" s="1"/>
  <c r="AD232" s="1"/>
  <c r="Y232"/>
  <c r="AA232" s="1"/>
  <c r="AC232" s="1"/>
  <c r="Z231"/>
  <c r="AB231" s="1"/>
  <c r="Y231"/>
  <c r="AA231" s="1"/>
  <c r="AC231" s="1"/>
  <c r="Z229"/>
  <c r="AB229" s="1"/>
  <c r="AD229" s="1"/>
  <c r="Y229"/>
  <c r="AA229" s="1"/>
  <c r="AC229" s="1"/>
  <c r="Y228"/>
  <c r="AA228" s="1"/>
  <c r="AC228" s="1"/>
  <c r="Z227"/>
  <c r="AB227" s="1"/>
  <c r="AD227" s="1"/>
  <c r="Y227"/>
  <c r="AA227" s="1"/>
  <c r="AC227" s="1"/>
  <c r="L235"/>
  <c r="L231"/>
  <c r="L215"/>
  <c r="X221"/>
  <c r="V221"/>
  <c r="T221"/>
  <c r="R221"/>
  <c r="P221"/>
  <c r="N221"/>
  <c r="L222"/>
  <c r="L221" s="1"/>
  <c r="N219"/>
  <c r="P219"/>
  <c r="R219"/>
  <c r="T219"/>
  <c r="V219"/>
  <c r="X219"/>
  <c r="L220"/>
  <c r="L219" s="1"/>
  <c r="L218"/>
  <c r="L217"/>
  <c r="X216"/>
  <c r="V216"/>
  <c r="T216"/>
  <c r="R216"/>
  <c r="P216"/>
  <c r="N216"/>
  <c r="Z207"/>
  <c r="AB207" s="1"/>
  <c r="Y207"/>
  <c r="Z206"/>
  <c r="AB206" s="1"/>
  <c r="Y206"/>
  <c r="N204"/>
  <c r="L202"/>
  <c r="N202"/>
  <c r="N200"/>
  <c r="N201"/>
  <c r="N199"/>
  <c r="AD381" l="1"/>
  <c r="AD402"/>
  <c r="AD400"/>
  <c r="AD415"/>
  <c r="AB321"/>
  <c r="AD321" s="1"/>
  <c r="AD351"/>
  <c r="AD408"/>
  <c r="AD404"/>
  <c r="L393"/>
  <c r="AD399"/>
  <c r="AD319"/>
  <c r="L230"/>
  <c r="AB320"/>
  <c r="AD320" s="1"/>
  <c r="AB323"/>
  <c r="AD323" s="1"/>
  <c r="AD318"/>
  <c r="L216"/>
  <c r="AD235"/>
  <c r="AD231"/>
  <c r="Z230"/>
  <c r="AB230" s="1"/>
  <c r="L196"/>
  <c r="L194"/>
  <c r="Z175"/>
  <c r="AB175" s="1"/>
  <c r="Y175"/>
  <c r="AA175" s="1"/>
  <c r="AC175" s="1"/>
  <c r="Z174"/>
  <c r="AB174" s="1"/>
  <c r="Y174"/>
  <c r="AA174" s="1"/>
  <c r="AC174" s="1"/>
  <c r="L170"/>
  <c r="M170"/>
  <c r="O162"/>
  <c r="L161"/>
  <c r="K161"/>
  <c r="L155"/>
  <c r="L148"/>
  <c r="L139"/>
  <c r="Z222"/>
  <c r="AB222" s="1"/>
  <c r="AD222" s="1"/>
  <c r="Y222"/>
  <c r="AA222" s="1"/>
  <c r="AC222" s="1"/>
  <c r="Z221"/>
  <c r="AB221" s="1"/>
  <c r="AD221" s="1"/>
  <c r="Y221"/>
  <c r="Z220"/>
  <c r="AB220" s="1"/>
  <c r="Y220"/>
  <c r="Z218"/>
  <c r="AB218" s="1"/>
  <c r="AD218" s="1"/>
  <c r="Y218"/>
  <c r="AA218" s="1"/>
  <c r="AC218" s="1"/>
  <c r="Z217"/>
  <c r="AB217" s="1"/>
  <c r="AD217" s="1"/>
  <c r="Y217"/>
  <c r="AA217" s="1"/>
  <c r="AC217" s="1"/>
  <c r="Z216"/>
  <c r="AB216" s="1"/>
  <c r="AD216" s="1"/>
  <c r="Y216"/>
  <c r="AA216" s="1"/>
  <c r="AC216" s="1"/>
  <c r="Z215"/>
  <c r="AB215" s="1"/>
  <c r="AD215" s="1"/>
  <c r="Y215"/>
  <c r="AA215" s="1"/>
  <c r="AC215" s="1"/>
  <c r="Z214"/>
  <c r="Y214"/>
  <c r="Z213"/>
  <c r="Y213"/>
  <c r="Z212"/>
  <c r="Y212"/>
  <c r="Z210"/>
  <c r="Y210"/>
  <c r="Z209"/>
  <c r="Y209"/>
  <c r="Z208"/>
  <c r="Y208"/>
  <c r="Y205"/>
  <c r="AA205" s="1"/>
  <c r="AC205" s="1"/>
  <c r="Z204"/>
  <c r="Y204"/>
  <c r="Z202"/>
  <c r="Y202"/>
  <c r="Z201"/>
  <c r="Y201"/>
  <c r="Z200"/>
  <c r="Y200"/>
  <c r="Z199"/>
  <c r="Y199"/>
  <c r="Z197"/>
  <c r="AB197" s="1"/>
  <c r="AD197" s="1"/>
  <c r="Y197"/>
  <c r="Z196"/>
  <c r="AB196" s="1"/>
  <c r="Y196"/>
  <c r="AA196" s="1"/>
  <c r="AC196" s="1"/>
  <c r="Z195"/>
  <c r="Y195"/>
  <c r="Z194"/>
  <c r="Y194"/>
  <c r="Z193"/>
  <c r="AB193" s="1"/>
  <c r="AD193" s="1"/>
  <c r="Y193"/>
  <c r="Z192"/>
  <c r="Y192"/>
  <c r="Z191"/>
  <c r="Y191"/>
  <c r="Z190"/>
  <c r="Y190"/>
  <c r="Z188"/>
  <c r="Y188"/>
  <c r="Z187"/>
  <c r="Y187"/>
  <c r="Z186"/>
  <c r="Y186"/>
  <c r="Z185"/>
  <c r="Y185"/>
  <c r="Z184"/>
  <c r="Y184"/>
  <c r="Y183"/>
  <c r="Z182"/>
  <c r="AB182" s="1"/>
  <c r="AD182" s="1"/>
  <c r="Y182"/>
  <c r="Z181"/>
  <c r="Y181"/>
  <c r="Z180"/>
  <c r="Y180"/>
  <c r="Z179"/>
  <c r="Y179"/>
  <c r="Z178"/>
  <c r="Y178"/>
  <c r="Z177"/>
  <c r="Y177"/>
  <c r="Z176"/>
  <c r="Y176"/>
  <c r="Z172"/>
  <c r="AB172" s="1"/>
  <c r="AD172" s="1"/>
  <c r="Y172"/>
  <c r="Z171"/>
  <c r="Y171"/>
  <c r="Z170"/>
  <c r="Y170"/>
  <c r="Z169"/>
  <c r="Y169"/>
  <c r="Z168"/>
  <c r="Y168"/>
  <c r="Z167"/>
  <c r="Y167"/>
  <c r="Y166"/>
  <c r="Z165"/>
  <c r="AB165" s="1"/>
  <c r="AD165" s="1"/>
  <c r="Y165"/>
  <c r="Z164"/>
  <c r="AB164" s="1"/>
  <c r="AD164" s="1"/>
  <c r="Y164"/>
  <c r="Z163"/>
  <c r="AB163" s="1"/>
  <c r="AD163" s="1"/>
  <c r="Y163"/>
  <c r="Y162"/>
  <c r="AA162" s="1"/>
  <c r="AC162" s="1"/>
  <c r="Z161"/>
  <c r="AB161" s="1"/>
  <c r="Y161"/>
  <c r="AA161" s="1"/>
  <c r="Z160"/>
  <c r="Y160"/>
  <c r="Z159"/>
  <c r="AB159" s="1"/>
  <c r="AD159" s="1"/>
  <c r="Y159"/>
  <c r="Z158"/>
  <c r="Y158"/>
  <c r="Z157"/>
  <c r="Y157"/>
  <c r="Y156"/>
  <c r="Z155"/>
  <c r="AB155" s="1"/>
  <c r="Y155"/>
  <c r="AA155" s="1"/>
  <c r="AC155" s="1"/>
  <c r="Z154"/>
  <c r="Y154"/>
  <c r="Z153"/>
  <c r="Y153"/>
  <c r="Z152"/>
  <c r="Y152"/>
  <c r="Z151"/>
  <c r="Y151"/>
  <c r="Z150"/>
  <c r="Y150"/>
  <c r="AA150" s="1"/>
  <c r="AC150" s="1"/>
  <c r="Z148"/>
  <c r="AB148" s="1"/>
  <c r="Y148"/>
  <c r="Z147"/>
  <c r="Y147"/>
  <c r="Z146"/>
  <c r="Y146"/>
  <c r="Z145"/>
  <c r="Y145"/>
  <c r="Z143"/>
  <c r="AB143" s="1"/>
  <c r="AD143" s="1"/>
  <c r="Y143"/>
  <c r="AA143" s="1"/>
  <c r="AC143" s="1"/>
  <c r="Z142"/>
  <c r="Y142"/>
  <c r="AA142" s="1"/>
  <c r="AC142" s="1"/>
  <c r="Z140"/>
  <c r="Y140"/>
  <c r="AA140" s="1"/>
  <c r="AC140" s="1"/>
  <c r="Z139"/>
  <c r="AB139" s="1"/>
  <c r="Y139"/>
  <c r="AA139" s="1"/>
  <c r="AC139" s="1"/>
  <c r="Z137"/>
  <c r="Y137"/>
  <c r="AA137" s="1"/>
  <c r="AC137" s="1"/>
  <c r="Z136"/>
  <c r="Y136"/>
  <c r="AA136" s="1"/>
  <c r="AC136" s="1"/>
  <c r="Z135"/>
  <c r="Y135"/>
  <c r="AA135" s="1"/>
  <c r="AC135" s="1"/>
  <c r="Z134"/>
  <c r="Y134"/>
  <c r="AA134" s="1"/>
  <c r="AC134" s="1"/>
  <c r="Z133"/>
  <c r="Y133"/>
  <c r="AA133" s="1"/>
  <c r="AC133" s="1"/>
  <c r="Z132"/>
  <c r="Y132"/>
  <c r="AA132" s="1"/>
  <c r="AC132" s="1"/>
  <c r="Z131"/>
  <c r="Y131"/>
  <c r="AA131" s="1"/>
  <c r="AC131" s="1"/>
  <c r="Z130"/>
  <c r="Y130"/>
  <c r="AA130" s="1"/>
  <c r="AC130" s="1"/>
  <c r="Z129"/>
  <c r="Y129"/>
  <c r="AA129" s="1"/>
  <c r="AC129" s="1"/>
  <c r="Z128"/>
  <c r="Y128"/>
  <c r="AA128" s="1"/>
  <c r="AC128" s="1"/>
  <c r="Z127"/>
  <c r="Y127"/>
  <c r="AA127" s="1"/>
  <c r="AC127" s="1"/>
  <c r="Z126"/>
  <c r="Y126"/>
  <c r="AA126" s="1"/>
  <c r="AC126" s="1"/>
  <c r="Z125"/>
  <c r="Y125"/>
  <c r="AA125" s="1"/>
  <c r="AC125" s="1"/>
  <c r="Z124"/>
  <c r="Y124"/>
  <c r="AA124" s="1"/>
  <c r="AC124" s="1"/>
  <c r="Z123"/>
  <c r="Y123"/>
  <c r="AA123" s="1"/>
  <c r="AC123" s="1"/>
  <c r="Z122"/>
  <c r="Y122"/>
  <c r="AA122" s="1"/>
  <c r="AC122" s="1"/>
  <c r="Y121"/>
  <c r="AA121" s="1"/>
  <c r="AC121" s="1"/>
  <c r="L106"/>
  <c r="L105"/>
  <c r="L103"/>
  <c r="L87"/>
  <c r="O80"/>
  <c r="K79"/>
  <c r="L78"/>
  <c r="K78"/>
  <c r="L75"/>
  <c r="L72"/>
  <c r="L71"/>
  <c r="N72"/>
  <c r="N71"/>
  <c r="K69"/>
  <c r="L67"/>
  <c r="K66"/>
  <c r="L63"/>
  <c r="L62"/>
  <c r="M62"/>
  <c r="O62"/>
  <c r="L48"/>
  <c r="AA31"/>
  <c r="AC31" s="1"/>
  <c r="K27"/>
  <c r="Z1527"/>
  <c r="AB1527" s="1"/>
  <c r="Y1527"/>
  <c r="AA1527" s="1"/>
  <c r="AC1527" s="1"/>
  <c r="Z1526"/>
  <c r="AB1526" s="1"/>
  <c r="Y1526"/>
  <c r="AA1526" s="1"/>
  <c r="AC1526" s="1"/>
  <c r="Z1525"/>
  <c r="AB1525" s="1"/>
  <c r="Y1525"/>
  <c r="AA1525" s="1"/>
  <c r="AC1525" s="1"/>
  <c r="Z1524"/>
  <c r="AB1524" s="1"/>
  <c r="Y1524"/>
  <c r="AA1524" s="1"/>
  <c r="AC1524" s="1"/>
  <c r="Z1523"/>
  <c r="AB1523" s="1"/>
  <c r="Y1523"/>
  <c r="AA1523" s="1"/>
  <c r="AC1523" s="1"/>
  <c r="Z1522"/>
  <c r="AB1522" s="1"/>
  <c r="Y1522"/>
  <c r="AA1522" s="1"/>
  <c r="AC1522" s="1"/>
  <c r="Z1521"/>
  <c r="AB1521" s="1"/>
  <c r="Y1521"/>
  <c r="AA1521" s="1"/>
  <c r="AC1521" s="1"/>
  <c r="Z1520"/>
  <c r="AB1520" s="1"/>
  <c r="Y1520"/>
  <c r="AA1520" s="1"/>
  <c r="AC1520" s="1"/>
  <c r="Z1519"/>
  <c r="AB1519" s="1"/>
  <c r="Y1519"/>
  <c r="AA1519" s="1"/>
  <c r="AC1519" s="1"/>
  <c r="Z1518"/>
  <c r="AB1518" s="1"/>
  <c r="Y1518"/>
  <c r="AA1518" s="1"/>
  <c r="AC1518" s="1"/>
  <c r="Z1517"/>
  <c r="AB1517" s="1"/>
  <c r="Y1517"/>
  <c r="AA1517" s="1"/>
  <c r="Z1516"/>
  <c r="AB1516" s="1"/>
  <c r="Y1516"/>
  <c r="AA1516" s="1"/>
  <c r="AC1516" s="1"/>
  <c r="Z1515"/>
  <c r="AB1515" s="1"/>
  <c r="Y1515"/>
  <c r="AA1515" s="1"/>
  <c r="AC1515" s="1"/>
  <c r="Z1514"/>
  <c r="AB1514" s="1"/>
  <c r="Y1514"/>
  <c r="AA1514" s="1"/>
  <c r="AC1514" s="1"/>
  <c r="Z1513"/>
  <c r="AB1513" s="1"/>
  <c r="Y1513"/>
  <c r="AA1513" s="1"/>
  <c r="AC1513" s="1"/>
  <c r="Z1512"/>
  <c r="AB1512" s="1"/>
  <c r="Y1512"/>
  <c r="AA1512" s="1"/>
  <c r="AC1512" s="1"/>
  <c r="Z1511"/>
  <c r="AB1511" s="1"/>
  <c r="Y1511"/>
  <c r="AA1511" s="1"/>
  <c r="AC1511" s="1"/>
  <c r="Z1510"/>
  <c r="AB1510" s="1"/>
  <c r="Y1510"/>
  <c r="AA1510" s="1"/>
  <c r="AC1510" s="1"/>
  <c r="AC1508" l="1"/>
  <c r="AD230"/>
  <c r="K62"/>
  <c r="AD148"/>
  <c r="AD155"/>
  <c r="AD196"/>
  <c r="AD161"/>
  <c r="AC161"/>
  <c r="AD139"/>
  <c r="AC845"/>
  <c r="AC846" s="1"/>
  <c r="N1474"/>
  <c r="AB1474" s="1"/>
  <c r="AD1474" s="1"/>
  <c r="N1473"/>
  <c r="AB1473" s="1"/>
  <c r="AD1473" s="1"/>
  <c r="N1472"/>
  <c r="AB1472" s="1"/>
  <c r="AD1472" s="1"/>
  <c r="N1471"/>
  <c r="AB1471" s="1"/>
  <c r="AD1471" s="1"/>
  <c r="R1468"/>
  <c r="Z1468" s="1"/>
  <c r="P1468"/>
  <c r="L1468"/>
  <c r="N1467"/>
  <c r="AB1467" s="1"/>
  <c r="AD1467" s="1"/>
  <c r="N1466"/>
  <c r="AB1466" s="1"/>
  <c r="AD1466" s="1"/>
  <c r="N1465"/>
  <c r="AB1465" s="1"/>
  <c r="AD1465" s="1"/>
  <c r="N1464"/>
  <c r="AB1464" s="1"/>
  <c r="AD1464" s="1"/>
  <c r="X1463"/>
  <c r="V1463"/>
  <c r="T1463"/>
  <c r="R1463"/>
  <c r="P1463"/>
  <c r="L1463"/>
  <c r="N1459"/>
  <c r="AB1459" s="1"/>
  <c r="AD1459" s="1"/>
  <c r="N1458"/>
  <c r="AB1458" s="1"/>
  <c r="AD1458" s="1"/>
  <c r="N1457"/>
  <c r="AB1457" s="1"/>
  <c r="AD1457" s="1"/>
  <c r="X1454"/>
  <c r="V1454"/>
  <c r="T1454"/>
  <c r="R1454"/>
  <c r="P1454"/>
  <c r="L1454"/>
  <c r="N1453"/>
  <c r="AB1453" s="1"/>
  <c r="AD1453" s="1"/>
  <c r="N1452"/>
  <c r="AB1452" s="1"/>
  <c r="AD1452" s="1"/>
  <c r="X1450"/>
  <c r="V1450"/>
  <c r="T1450"/>
  <c r="R1450"/>
  <c r="P1450"/>
  <c r="L1450"/>
  <c r="N1445"/>
  <c r="AB1445" s="1"/>
  <c r="AD1445" s="1"/>
  <c r="N1443"/>
  <c r="AB1443" s="1"/>
  <c r="AD1443" s="1"/>
  <c r="N1442"/>
  <c r="AB1442" s="1"/>
  <c r="AD1442" s="1"/>
  <c r="N1441"/>
  <c r="AB1441" s="1"/>
  <c r="AD1441" s="1"/>
  <c r="N1440"/>
  <c r="AB1440" s="1"/>
  <c r="AD1440" s="1"/>
  <c r="N1438"/>
  <c r="AB1438" s="1"/>
  <c r="AD1438" s="1"/>
  <c r="N1437"/>
  <c r="AB1437" s="1"/>
  <c r="AD1437" s="1"/>
  <c r="N1436"/>
  <c r="AB1436" s="1"/>
  <c r="AD1436" s="1"/>
  <c r="N1435"/>
  <c r="AB1435" s="1"/>
  <c r="AD1435" s="1"/>
  <c r="N1434"/>
  <c r="AB1434" s="1"/>
  <c r="AD1434" s="1"/>
  <c r="N1433"/>
  <c r="M1432"/>
  <c r="AA1432" s="1"/>
  <c r="AC1432" s="1"/>
  <c r="M1431"/>
  <c r="AA1431" s="1"/>
  <c r="AC1431" s="1"/>
  <c r="M1430"/>
  <c r="AA1430" s="1"/>
  <c r="AC1430" s="1"/>
  <c r="M1429"/>
  <c r="AA1429" s="1"/>
  <c r="AC1429" s="1"/>
  <c r="M1428"/>
  <c r="AA1428" s="1"/>
  <c r="AC1428" s="1"/>
  <c r="M1427"/>
  <c r="AA1427" s="1"/>
  <c r="AC1427" s="1"/>
  <c r="M1426"/>
  <c r="AA1426" s="1"/>
  <c r="AC1426" s="1"/>
  <c r="M1425"/>
  <c r="AA1425" s="1"/>
  <c r="AC1425" s="1"/>
  <c r="M1424"/>
  <c r="AA1424" s="1"/>
  <c r="AC1424" s="1"/>
  <c r="M1423"/>
  <c r="AA1423" s="1"/>
  <c r="AC1423" s="1"/>
  <c r="M1422"/>
  <c r="AA1422" s="1"/>
  <c r="AC1422" s="1"/>
  <c r="X1421"/>
  <c r="V1421"/>
  <c r="T1421"/>
  <c r="R1421"/>
  <c r="P1421"/>
  <c r="M1421"/>
  <c r="AA1421" s="1"/>
  <c r="AC1421" s="1"/>
  <c r="N1419"/>
  <c r="N1418"/>
  <c r="N1417"/>
  <c r="AB1417" s="1"/>
  <c r="AD1417" s="1"/>
  <c r="N1416"/>
  <c r="R1414"/>
  <c r="Z1414" s="1"/>
  <c r="P1414"/>
  <c r="R1412"/>
  <c r="Z1412" s="1"/>
  <c r="P1412"/>
  <c r="N1412"/>
  <c r="M1412"/>
  <c r="AA1412" s="1"/>
  <c r="AC1412" s="1"/>
  <c r="L1412"/>
  <c r="N1411"/>
  <c r="AB1411" s="1"/>
  <c r="AD1411" s="1"/>
  <c r="N1410"/>
  <c r="AB1410" s="1"/>
  <c r="AD1410" s="1"/>
  <c r="N1409"/>
  <c r="AB1409" s="1"/>
  <c r="AD1409" s="1"/>
  <c r="N1408"/>
  <c r="N1407"/>
  <c r="R1406"/>
  <c r="Z1406" s="1"/>
  <c r="P1406"/>
  <c r="N1405"/>
  <c r="AB1405" s="1"/>
  <c r="AD1405" s="1"/>
  <c r="N1404"/>
  <c r="AB1404" s="1"/>
  <c r="AD1404" s="1"/>
  <c r="N1403"/>
  <c r="AB1403" s="1"/>
  <c r="AD1403" s="1"/>
  <c r="N1402"/>
  <c r="AB1402" s="1"/>
  <c r="AD1402" s="1"/>
  <c r="N1401"/>
  <c r="AB1401" s="1"/>
  <c r="AD1401" s="1"/>
  <c r="N1400"/>
  <c r="AB1400" s="1"/>
  <c r="AD1400" s="1"/>
  <c r="N1399"/>
  <c r="AB1399" s="1"/>
  <c r="AD1399" s="1"/>
  <c r="N1398"/>
  <c r="AB1398" s="1"/>
  <c r="AD1398" s="1"/>
  <c r="N1397"/>
  <c r="AB1397" s="1"/>
  <c r="AD1397" s="1"/>
  <c r="N1396"/>
  <c r="AB1396" s="1"/>
  <c r="AD1396" s="1"/>
  <c r="N1395"/>
  <c r="AB1395" s="1"/>
  <c r="AD1395" s="1"/>
  <c r="R1394"/>
  <c r="Z1394" s="1"/>
  <c r="P1394"/>
  <c r="L1394"/>
  <c r="AB1412" l="1"/>
  <c r="AD1412" s="1"/>
  <c r="Z1463"/>
  <c r="AB1419"/>
  <c r="L1419"/>
  <c r="L1418"/>
  <c r="AB1418"/>
  <c r="AB1433"/>
  <c r="L1433"/>
  <c r="L1421" s="1"/>
  <c r="Z1450"/>
  <c r="Z1454"/>
  <c r="AB1407"/>
  <c r="L1407"/>
  <c r="L1416"/>
  <c r="AB1416"/>
  <c r="L1408"/>
  <c r="AB1408"/>
  <c r="Z1421"/>
  <c r="N1450"/>
  <c r="V1393"/>
  <c r="V1392" s="1"/>
  <c r="X1393"/>
  <c r="X1392" s="1"/>
  <c r="T1393"/>
  <c r="T1392" s="1"/>
  <c r="N1468"/>
  <c r="AB1468" s="1"/>
  <c r="AD1468" s="1"/>
  <c r="N1394"/>
  <c r="AB1394" s="1"/>
  <c r="AD1394" s="1"/>
  <c r="P1393"/>
  <c r="P1392" s="1"/>
  <c r="N1414"/>
  <c r="L1414" s="1"/>
  <c r="N1454"/>
  <c r="N1463"/>
  <c r="R1393"/>
  <c r="R1392" s="1"/>
  <c r="N1406"/>
  <c r="AB1406" s="1"/>
  <c r="N1421"/>
  <c r="AB1463" l="1"/>
  <c r="AD1463" s="1"/>
  <c r="AD1408"/>
  <c r="L1406"/>
  <c r="L1393" s="1"/>
  <c r="L1392" s="1"/>
  <c r="AB1421"/>
  <c r="AD1421" s="1"/>
  <c r="AB1454"/>
  <c r="AD1454" s="1"/>
  <c r="AD1418"/>
  <c r="AD1433"/>
  <c r="AD1419"/>
  <c r="Z1393"/>
  <c r="Z1392" s="1"/>
  <c r="AD1416"/>
  <c r="AD1407"/>
  <c r="AB1414"/>
  <c r="AD1414" s="1"/>
  <c r="AB1450"/>
  <c r="AD1450" s="1"/>
  <c r="AC1479"/>
  <c r="AC1480" s="1"/>
  <c r="N1393"/>
  <c r="N1392" s="1"/>
  <c r="AD1406" l="1"/>
  <c r="AD1479" s="1"/>
  <c r="AD1480" s="1"/>
  <c r="AB1393"/>
  <c r="AB1392" s="1"/>
  <c r="AD1392" s="1"/>
  <c r="AD1393" l="1"/>
  <c r="L228" l="1"/>
  <c r="L226"/>
  <c r="Q230"/>
  <c r="Y230" s="1"/>
  <c r="AA230" s="1"/>
  <c r="AC230" s="1"/>
  <c r="R228"/>
  <c r="Z228" s="1"/>
  <c r="P228"/>
  <c r="N228"/>
  <c r="X226"/>
  <c r="V226"/>
  <c r="U226"/>
  <c r="T226"/>
  <c r="T225" s="1"/>
  <c r="S226"/>
  <c r="R226"/>
  <c r="P226"/>
  <c r="N226"/>
  <c r="Z226" l="1"/>
  <c r="AB226" s="1"/>
  <c r="AD226" s="1"/>
  <c r="AB228"/>
  <c r="AD228" s="1"/>
  <c r="Y226"/>
  <c r="AA226" s="1"/>
  <c r="AC226" s="1"/>
  <c r="R225"/>
  <c r="P225"/>
  <c r="N225"/>
  <c r="L225"/>
  <c r="AC236" l="1"/>
  <c r="AC237" s="1"/>
  <c r="AD236"/>
  <c r="AD237" s="1"/>
  <c r="Z225"/>
  <c r="AB225"/>
  <c r="P1068" l="1"/>
  <c r="Z1073"/>
  <c r="AB1073" s="1"/>
  <c r="Y1073"/>
  <c r="AA1073" s="1"/>
  <c r="AC1073" s="1"/>
  <c r="L1073"/>
  <c r="Z1072"/>
  <c r="AB1072" s="1"/>
  <c r="Y1072"/>
  <c r="AA1072" s="1"/>
  <c r="AC1072" s="1"/>
  <c r="L1072"/>
  <c r="Z1071"/>
  <c r="AB1071" s="1"/>
  <c r="Y1071"/>
  <c r="AA1071" s="1"/>
  <c r="AC1071" s="1"/>
  <c r="L1071"/>
  <c r="Z1070"/>
  <c r="AB1070" s="1"/>
  <c r="Y1070"/>
  <c r="AA1070" s="1"/>
  <c r="AC1070" s="1"/>
  <c r="L1070"/>
  <c r="Z1069"/>
  <c r="AB1069" s="1"/>
  <c r="Y1069"/>
  <c r="AA1069" s="1"/>
  <c r="L1069"/>
  <c r="K1069"/>
  <c r="Y1068"/>
  <c r="AA1068" s="1"/>
  <c r="AC1068" s="1"/>
  <c r="T1068"/>
  <c r="R1068"/>
  <c r="N1068"/>
  <c r="AC1069" l="1"/>
  <c r="L1068"/>
  <c r="AD1069"/>
  <c r="AD1073"/>
  <c r="AD1071"/>
  <c r="AD1072"/>
  <c r="AD1070"/>
  <c r="Z1068"/>
  <c r="AB1068" l="1"/>
  <c r="AD1068" l="1"/>
  <c r="L1029" l="1"/>
  <c r="AD1029" s="1"/>
  <c r="P1023"/>
  <c r="N1064"/>
  <c r="V1063"/>
  <c r="T1063"/>
  <c r="S1063"/>
  <c r="R1063"/>
  <c r="Q1063"/>
  <c r="P1063"/>
  <c r="O1063"/>
  <c r="M1063"/>
  <c r="L1063"/>
  <c r="K1063"/>
  <c r="X1061"/>
  <c r="W1061"/>
  <c r="V1061"/>
  <c r="U1061"/>
  <c r="T1061"/>
  <c r="S1061"/>
  <c r="R1061"/>
  <c r="Q1061"/>
  <c r="P1061"/>
  <c r="N1061"/>
  <c r="L1061"/>
  <c r="N1059"/>
  <c r="X1058"/>
  <c r="V1058"/>
  <c r="T1058"/>
  <c r="R1058"/>
  <c r="P1058"/>
  <c r="L1058"/>
  <c r="X1053"/>
  <c r="V1053"/>
  <c r="T1053"/>
  <c r="R1053"/>
  <c r="P1053"/>
  <c r="N1053"/>
  <c r="L1053"/>
  <c r="X1050"/>
  <c r="W1050"/>
  <c r="V1050"/>
  <c r="U1050"/>
  <c r="T1050"/>
  <c r="S1050"/>
  <c r="R1050"/>
  <c r="P1050"/>
  <c r="N1050"/>
  <c r="L1050"/>
  <c r="N1049"/>
  <c r="AB1049" s="1"/>
  <c r="AD1049" s="1"/>
  <c r="N1048"/>
  <c r="AB1048" s="1"/>
  <c r="AD1048" s="1"/>
  <c r="N1047"/>
  <c r="AB1047" s="1"/>
  <c r="AD1047" s="1"/>
  <c r="N1046"/>
  <c r="AB1046" s="1"/>
  <c r="AD1046" s="1"/>
  <c r="N1045"/>
  <c r="AB1045" s="1"/>
  <c r="AD1045" s="1"/>
  <c r="N1044"/>
  <c r="AB1044" s="1"/>
  <c r="AD1044" s="1"/>
  <c r="N1043"/>
  <c r="AB1043" s="1"/>
  <c r="AD1043" s="1"/>
  <c r="X1041"/>
  <c r="V1041"/>
  <c r="R1041"/>
  <c r="P1041"/>
  <c r="L1041"/>
  <c r="N1040"/>
  <c r="N1039"/>
  <c r="X1038"/>
  <c r="V1038"/>
  <c r="S1038"/>
  <c r="R1038"/>
  <c r="Q1038"/>
  <c r="P1038"/>
  <c r="N1036"/>
  <c r="X1035"/>
  <c r="W1035"/>
  <c r="V1035"/>
  <c r="U1035"/>
  <c r="T1035"/>
  <c r="S1035"/>
  <c r="R1035"/>
  <c r="Q1035"/>
  <c r="P1035"/>
  <c r="N1034"/>
  <c r="N1032"/>
  <c r="W1029"/>
  <c r="U1029"/>
  <c r="S1029"/>
  <c r="Q1029"/>
  <c r="O1029"/>
  <c r="N1026"/>
  <c r="AB1026" s="1"/>
  <c r="AD1026" s="1"/>
  <c r="N1025"/>
  <c r="AB1025" s="1"/>
  <c r="AD1025" s="1"/>
  <c r="N1024"/>
  <c r="AB1024" s="1"/>
  <c r="AD1024" s="1"/>
  <c r="W1023"/>
  <c r="V1023"/>
  <c r="S1023"/>
  <c r="R1023"/>
  <c r="L1023"/>
  <c r="N1021"/>
  <c r="AB1021" s="1"/>
  <c r="AD1021" s="1"/>
  <c r="N1020"/>
  <c r="AB1020" s="1"/>
  <c r="AD1020" s="1"/>
  <c r="N1019"/>
  <c r="AB1019" s="1"/>
  <c r="AD1019" s="1"/>
  <c r="N1018"/>
  <c r="AB1018" s="1"/>
  <c r="AD1018" s="1"/>
  <c r="N1017"/>
  <c r="AB1017" s="1"/>
  <c r="AD1017" s="1"/>
  <c r="N1016"/>
  <c r="AB1016" s="1"/>
  <c r="AD1016" s="1"/>
  <c r="N1015"/>
  <c r="AB1015" s="1"/>
  <c r="AD1015" s="1"/>
  <c r="N1014"/>
  <c r="AB1014" s="1"/>
  <c r="AD1014" s="1"/>
  <c r="N1013"/>
  <c r="AB1013" s="1"/>
  <c r="AD1013" s="1"/>
  <c r="N1012"/>
  <c r="AB1012" s="1"/>
  <c r="AD1012" s="1"/>
  <c r="N1011"/>
  <c r="AB1011" s="1"/>
  <c r="AD1011" s="1"/>
  <c r="N1010"/>
  <c r="AB1010" s="1"/>
  <c r="AD1010" s="1"/>
  <c r="N1009"/>
  <c r="AB1009" s="1"/>
  <c r="AD1009" s="1"/>
  <c r="N1008"/>
  <c r="AB1008" s="1"/>
  <c r="AD1008" s="1"/>
  <c r="X1007"/>
  <c r="W1007"/>
  <c r="V1007"/>
  <c r="U1007"/>
  <c r="T1007"/>
  <c r="S1007"/>
  <c r="R1007"/>
  <c r="Q1007"/>
  <c r="P1007"/>
  <c r="O1007"/>
  <c r="M1007"/>
  <c r="L1007"/>
  <c r="K1007"/>
  <c r="T1006" l="1"/>
  <c r="R1006"/>
  <c r="Y1007"/>
  <c r="AA1007" s="1"/>
  <c r="AC1007" s="1"/>
  <c r="Y1023"/>
  <c r="AA1023" s="1"/>
  <c r="AC1023" s="1"/>
  <c r="Y1035"/>
  <c r="AA1035" s="1"/>
  <c r="AC1035" s="1"/>
  <c r="Z1007"/>
  <c r="AB1007" s="1"/>
  <c r="AD1007" s="1"/>
  <c r="Y1038"/>
  <c r="AA1038" s="1"/>
  <c r="AC1038" s="1"/>
  <c r="Z1050"/>
  <c r="AB1050" s="1"/>
  <c r="AD1050" s="1"/>
  <c r="Y1061"/>
  <c r="AA1061" s="1"/>
  <c r="AC1061" s="1"/>
  <c r="Z1038"/>
  <c r="Y1050"/>
  <c r="AA1050" s="1"/>
  <c r="AC1050" s="1"/>
  <c r="Z1061"/>
  <c r="AB1061" s="1"/>
  <c r="AD1061" s="1"/>
  <c r="Y1063"/>
  <c r="AA1063" s="1"/>
  <c r="AC1063" s="1"/>
  <c r="L1036"/>
  <c r="L1035" s="1"/>
  <c r="AB1036"/>
  <c r="L1032"/>
  <c r="L1031" s="1"/>
  <c r="N1031"/>
  <c r="AB1031" s="1"/>
  <c r="AB1032"/>
  <c r="N1058"/>
  <c r="AB1059"/>
  <c r="AD1059" s="1"/>
  <c r="L1040"/>
  <c r="AB1040"/>
  <c r="N1033"/>
  <c r="AB1033" s="1"/>
  <c r="L1034"/>
  <c r="L1033" s="1"/>
  <c r="AB1034"/>
  <c r="L1039"/>
  <c r="AB1039"/>
  <c r="N1063"/>
  <c r="AB1064"/>
  <c r="AD1064" s="1"/>
  <c r="Y1029"/>
  <c r="AA1029" s="1"/>
  <c r="AC1029" s="1"/>
  <c r="Z1058"/>
  <c r="Z1023"/>
  <c r="Z1035"/>
  <c r="Z1041"/>
  <c r="Z1053"/>
  <c r="AB1053" s="1"/>
  <c r="AD1053" s="1"/>
  <c r="Z1063"/>
  <c r="N1035"/>
  <c r="P1006"/>
  <c r="N1023"/>
  <c r="N1038"/>
  <c r="N1041"/>
  <c r="AB1041" l="1"/>
  <c r="AD1041" s="1"/>
  <c r="AB1038"/>
  <c r="AD1033"/>
  <c r="AB1023"/>
  <c r="AD1023" s="1"/>
  <c r="AB1058"/>
  <c r="AD1058" s="1"/>
  <c r="AD1032"/>
  <c r="AD1034"/>
  <c r="AD1031"/>
  <c r="AB1035"/>
  <c r="AD1035" s="1"/>
  <c r="L1038"/>
  <c r="AD1040"/>
  <c r="AD1039"/>
  <c r="AD1036"/>
  <c r="AB1063"/>
  <c r="AD1063" s="1"/>
  <c r="AC1065"/>
  <c r="AC1066" s="1"/>
  <c r="Z1006"/>
  <c r="N1006"/>
  <c r="AD1038" l="1"/>
  <c r="AD1065" s="1"/>
  <c r="AD1066" s="1"/>
  <c r="L1006"/>
  <c r="AB1006"/>
  <c r="P670"/>
  <c r="C14" i="2"/>
  <c r="C16" s="1"/>
  <c r="P1594" i="1"/>
  <c r="P1593" s="1"/>
  <c r="Z1599"/>
  <c r="AB1599" s="1"/>
  <c r="AD1599" s="1"/>
  <c r="Y1599"/>
  <c r="AA1599" s="1"/>
  <c r="AC1599" s="1"/>
  <c r="Z1598"/>
  <c r="AB1598" s="1"/>
  <c r="AD1598" s="1"/>
  <c r="Y1598"/>
  <c r="AA1598" s="1"/>
  <c r="AC1598" s="1"/>
  <c r="Z1597"/>
  <c r="AB1597" s="1"/>
  <c r="AD1597" s="1"/>
  <c r="Y1597"/>
  <c r="AA1597" s="1"/>
  <c r="AC1597" s="1"/>
  <c r="Z1596"/>
  <c r="AB1596" s="1"/>
  <c r="AD1596" s="1"/>
  <c r="Y1596"/>
  <c r="AA1596" s="1"/>
  <c r="AC1596" s="1"/>
  <c r="Z1595"/>
  <c r="AB1595" s="1"/>
  <c r="AD1595" s="1"/>
  <c r="Y1595"/>
  <c r="AA1595" s="1"/>
  <c r="AC1595" s="1"/>
  <c r="X1594"/>
  <c r="X1593" s="1"/>
  <c r="V1594"/>
  <c r="V1593" s="1"/>
  <c r="T1593"/>
  <c r="R1594"/>
  <c r="R1593" s="1"/>
  <c r="L1594"/>
  <c r="L1593" s="1"/>
  <c r="N1593"/>
  <c r="Z1593" l="1"/>
  <c r="Y1594"/>
  <c r="AA1594" s="1"/>
  <c r="AC1594" s="1"/>
  <c r="AC1600" s="1"/>
  <c r="AC1601" s="1"/>
  <c r="Z1594"/>
  <c r="AB1594" l="1"/>
  <c r="AB1593" l="1"/>
  <c r="AD1594"/>
  <c r="AD1600" s="1"/>
  <c r="AD1601" s="1"/>
  <c r="Z2089" l="1"/>
  <c r="Y2089"/>
  <c r="AA2089" s="1"/>
  <c r="AC2089" s="1"/>
  <c r="Z2088"/>
  <c r="AB2088" s="1"/>
  <c r="Y2088"/>
  <c r="AA2088" s="1"/>
  <c r="AC2088" s="1"/>
  <c r="Z2087"/>
  <c r="AB2087" s="1"/>
  <c r="Y2087"/>
  <c r="AA2087" s="1"/>
  <c r="AC2087" s="1"/>
  <c r="Z2086"/>
  <c r="Y2086"/>
  <c r="AA2086" s="1"/>
  <c r="AC2086" s="1"/>
  <c r="Z2085"/>
  <c r="Y2085"/>
  <c r="AA2085" s="1"/>
  <c r="AC2085" s="1"/>
  <c r="Z2084"/>
  <c r="Y2084"/>
  <c r="AA2084" s="1"/>
  <c r="AC2084" s="1"/>
  <c r="Z2083"/>
  <c r="Y2083"/>
  <c r="AA2083" s="1"/>
  <c r="AC2083" s="1"/>
  <c r="Z2082"/>
  <c r="Y2082"/>
  <c r="AA2082" s="1"/>
  <c r="AC2082" s="1"/>
  <c r="Z2081"/>
  <c r="Y2081"/>
  <c r="AA2081" s="1"/>
  <c r="AC2081" s="1"/>
  <c r="Z2080"/>
  <c r="Y2080"/>
  <c r="AA2080" s="1"/>
  <c r="AC2080" s="1"/>
  <c r="R2079"/>
  <c r="Y2079"/>
  <c r="P2079"/>
  <c r="AA2079"/>
  <c r="L2079"/>
  <c r="Z2078"/>
  <c r="Y2078"/>
  <c r="AA2078" s="1"/>
  <c r="AC2078" s="1"/>
  <c r="Z2077"/>
  <c r="S2077"/>
  <c r="Q2077"/>
  <c r="P2077"/>
  <c r="M2077"/>
  <c r="AA2077" s="1"/>
  <c r="AC2077" s="1"/>
  <c r="L2077"/>
  <c r="Z2076"/>
  <c r="Y2076"/>
  <c r="AA2076" s="1"/>
  <c r="AC2076" s="1"/>
  <c r="N2075"/>
  <c r="R2075"/>
  <c r="Q2075"/>
  <c r="Y2075" s="1"/>
  <c r="P2075"/>
  <c r="AA2075"/>
  <c r="AC2075" s="1"/>
  <c r="L2075"/>
  <c r="Z2074"/>
  <c r="Y2074"/>
  <c r="AA2074" s="1"/>
  <c r="AC2074" s="1"/>
  <c r="Z2073"/>
  <c r="Y2073"/>
  <c r="AA2073" s="1"/>
  <c r="AC2073" s="1"/>
  <c r="Z2072"/>
  <c r="Y2072"/>
  <c r="AA2072" s="1"/>
  <c r="AC2072" s="1"/>
  <c r="Z2071"/>
  <c r="Y2071"/>
  <c r="AA2071" s="1"/>
  <c r="AC2071" s="1"/>
  <c r="Z2070"/>
  <c r="Y2070"/>
  <c r="AA2070" s="1"/>
  <c r="AC2070" s="1"/>
  <c r="Z2069"/>
  <c r="Y2069"/>
  <c r="AA2069" s="1"/>
  <c r="AC2069" s="1"/>
  <c r="Z2068"/>
  <c r="Y2068"/>
  <c r="AA2068" s="1"/>
  <c r="AC2068" s="1"/>
  <c r="Z2067"/>
  <c r="Y2067"/>
  <c r="AA2067" s="1"/>
  <c r="AC2067" s="1"/>
  <c r="Z2066"/>
  <c r="Y2066"/>
  <c r="AA2066" s="1"/>
  <c r="AC2066" s="1"/>
  <c r="AA2065"/>
  <c r="Z2065"/>
  <c r="Z2064"/>
  <c r="Y2064"/>
  <c r="AA2064" s="1"/>
  <c r="AC2064" s="1"/>
  <c r="Z2063"/>
  <c r="Y2063"/>
  <c r="AA2063" s="1"/>
  <c r="AC2063" s="1"/>
  <c r="S2062"/>
  <c r="R2062"/>
  <c r="P2062"/>
  <c r="AA2062"/>
  <c r="Z2061"/>
  <c r="Y2061"/>
  <c r="AA2061" s="1"/>
  <c r="AC2061" s="1"/>
  <c r="Z2060"/>
  <c r="Y2060"/>
  <c r="AA2060" s="1"/>
  <c r="AC2060" s="1"/>
  <c r="Z2059"/>
  <c r="Y2059"/>
  <c r="AA2059" s="1"/>
  <c r="AC2059" s="1"/>
  <c r="Z2058"/>
  <c r="Y2058"/>
  <c r="AA2058" s="1"/>
  <c r="AC2058" s="1"/>
  <c r="Z2057"/>
  <c r="Y2057"/>
  <c r="AA2057" s="1"/>
  <c r="AC2057" s="1"/>
  <c r="Z2056"/>
  <c r="Y2056"/>
  <c r="AA2056" s="1"/>
  <c r="AC2056" s="1"/>
  <c r="Z2055"/>
  <c r="Y2055"/>
  <c r="AA2055" s="1"/>
  <c r="AC2055" s="1"/>
  <c r="Z2054"/>
  <c r="Y2054"/>
  <c r="AA2054" s="1"/>
  <c r="AC2054" s="1"/>
  <c r="Z2053"/>
  <c r="Y2053"/>
  <c r="AA2053" s="1"/>
  <c r="AC2053" s="1"/>
  <c r="Z2052"/>
  <c r="Y2052"/>
  <c r="AA2052" s="1"/>
  <c r="AC2052" s="1"/>
  <c r="Z2051"/>
  <c r="Y2051"/>
  <c r="AA2051" s="1"/>
  <c r="AC2051" s="1"/>
  <c r="Z2050"/>
  <c r="Y2050"/>
  <c r="AA2050" s="1"/>
  <c r="AC2050" s="1"/>
  <c r="Z2049"/>
  <c r="Y2049"/>
  <c r="AA2049" s="1"/>
  <c r="AC2049" s="1"/>
  <c r="Z2048"/>
  <c r="Y2048"/>
  <c r="AA2048" s="1"/>
  <c r="AC2048" s="1"/>
  <c r="S2047"/>
  <c r="R2047"/>
  <c r="P2047"/>
  <c r="L2047"/>
  <c r="R2046" l="1"/>
  <c r="Z2046" s="1"/>
  <c r="Z2079"/>
  <c r="AB2075"/>
  <c r="AD2075" s="1"/>
  <c r="Z2062"/>
  <c r="AC2062"/>
  <c r="AB2059"/>
  <c r="AD2059" s="1"/>
  <c r="AB2056"/>
  <c r="AD2056" s="1"/>
  <c r="AB2057"/>
  <c r="AD2057" s="1"/>
  <c r="AB2058"/>
  <c r="AD2058" s="1"/>
  <c r="AB2085"/>
  <c r="AD2085" s="1"/>
  <c r="N2047"/>
  <c r="AB2049"/>
  <c r="AD2049" s="1"/>
  <c r="AB2050"/>
  <c r="AD2050" s="1"/>
  <c r="AB2066"/>
  <c r="AD2066" s="1"/>
  <c r="AB2067"/>
  <c r="AD2067" s="1"/>
  <c r="AB2068"/>
  <c r="AD2068" s="1"/>
  <c r="Y2077"/>
  <c r="AC2079"/>
  <c r="AB2051"/>
  <c r="AD2051" s="1"/>
  <c r="AB2069"/>
  <c r="AD2069" s="1"/>
  <c r="AB2078"/>
  <c r="AD2078" s="1"/>
  <c r="AB2082"/>
  <c r="AD2082" s="1"/>
  <c r="AB2083"/>
  <c r="AD2083" s="1"/>
  <c r="AB2084"/>
  <c r="AD2084" s="1"/>
  <c r="P2046"/>
  <c r="Z2047"/>
  <c r="AB2055"/>
  <c r="AD2055" s="1"/>
  <c r="AB2064"/>
  <c r="AD2064" s="1"/>
  <c r="N2062"/>
  <c r="AB2073"/>
  <c r="AD2073" s="1"/>
  <c r="N2077"/>
  <c r="N2079"/>
  <c r="AB2081"/>
  <c r="AD2081" s="1"/>
  <c r="AB2089"/>
  <c r="AD2089" s="1"/>
  <c r="AB2048"/>
  <c r="AD2048" s="1"/>
  <c r="AB2052"/>
  <c r="AD2052" s="1"/>
  <c r="AB2053"/>
  <c r="AD2053" s="1"/>
  <c r="AB2054"/>
  <c r="AD2054" s="1"/>
  <c r="AB2060"/>
  <c r="AB2061"/>
  <c r="AB2063"/>
  <c r="AB2070"/>
  <c r="AD2070" s="1"/>
  <c r="AB2071"/>
  <c r="AD2071" s="1"/>
  <c r="AB2072"/>
  <c r="AD2072" s="1"/>
  <c r="AB2080"/>
  <c r="AD2080" s="1"/>
  <c r="AB2086"/>
  <c r="AD2086" s="1"/>
  <c r="AD2087"/>
  <c r="AD2088"/>
  <c r="Y2047"/>
  <c r="AA2047" s="1"/>
  <c r="AC2047" s="1"/>
  <c r="AB2065"/>
  <c r="AD2065" s="1"/>
  <c r="AB2076"/>
  <c r="AB2079" l="1"/>
  <c r="AD2079" s="1"/>
  <c r="AB2077"/>
  <c r="AD2077" s="1"/>
  <c r="AB2062"/>
  <c r="AD2062" s="1"/>
  <c r="AC2090"/>
  <c r="AC2091" s="1"/>
  <c r="AB2047"/>
  <c r="Z2043"/>
  <c r="AB2043" s="1"/>
  <c r="AD2043" s="1"/>
  <c r="Q2043"/>
  <c r="Y2043" s="1"/>
  <c r="AA2043" s="1"/>
  <c r="AC2043" s="1"/>
  <c r="Z2042"/>
  <c r="Y2042"/>
  <c r="AA2042" s="1"/>
  <c r="AC2042" s="1"/>
  <c r="N2042"/>
  <c r="Z2041"/>
  <c r="AB2041" s="1"/>
  <c r="AD2041" s="1"/>
  <c r="Y2041"/>
  <c r="AA2041" s="1"/>
  <c r="AC2041" s="1"/>
  <c r="X2040"/>
  <c r="W2040"/>
  <c r="V2040"/>
  <c r="U2040"/>
  <c r="T2040"/>
  <c r="S2040"/>
  <c r="R2040"/>
  <c r="P2040"/>
  <c r="L2040"/>
  <c r="Z2039"/>
  <c r="AB2039" s="1"/>
  <c r="AD2039" s="1"/>
  <c r="Y2039"/>
  <c r="AA2039" s="1"/>
  <c r="AC2039" s="1"/>
  <c r="Z2038"/>
  <c r="Y2038"/>
  <c r="AA2038" s="1"/>
  <c r="AC2038" s="1"/>
  <c r="N2038"/>
  <c r="L2038" s="1"/>
  <c r="L2035" s="1"/>
  <c r="Z2037"/>
  <c r="Y2037"/>
  <c r="AA2037" s="1"/>
  <c r="AC2037" s="1"/>
  <c r="N2037"/>
  <c r="Z2036"/>
  <c r="Y2036"/>
  <c r="AA2036" s="1"/>
  <c r="N2036"/>
  <c r="X2035"/>
  <c r="W2035"/>
  <c r="V2035"/>
  <c r="U2035"/>
  <c r="T2035"/>
  <c r="S2035"/>
  <c r="R2035"/>
  <c r="P2035"/>
  <c r="Z2034"/>
  <c r="Y2034"/>
  <c r="N2034"/>
  <c r="Z2033"/>
  <c r="AB2033" s="1"/>
  <c r="AD2033" s="1"/>
  <c r="Y2033"/>
  <c r="AA2033" s="1"/>
  <c r="AC2033" s="1"/>
  <c r="Z2032"/>
  <c r="Q2032"/>
  <c r="Y2032" s="1"/>
  <c r="AA2032" s="1"/>
  <c r="N2032"/>
  <c r="Z2031"/>
  <c r="AB2031" s="1"/>
  <c r="AD2031" s="1"/>
  <c r="Y2031"/>
  <c r="AA2031" s="1"/>
  <c r="AC2031" s="1"/>
  <c r="Z2030"/>
  <c r="Y2030"/>
  <c r="AA2030" s="1"/>
  <c r="AC2030" s="1"/>
  <c r="N2030"/>
  <c r="Z2029"/>
  <c r="Y2029"/>
  <c r="AA2029" s="1"/>
  <c r="AC2029" s="1"/>
  <c r="N2029"/>
  <c r="Z2028"/>
  <c r="Y2028"/>
  <c r="N2028"/>
  <c r="M2028"/>
  <c r="AB2027"/>
  <c r="Y2027"/>
  <c r="AA2027" s="1"/>
  <c r="AC2027" s="1"/>
  <c r="L2027"/>
  <c r="Z2026"/>
  <c r="Y2026"/>
  <c r="N2026"/>
  <c r="M2026"/>
  <c r="Z2025"/>
  <c r="Q2025"/>
  <c r="Y2025" s="1"/>
  <c r="N2025"/>
  <c r="N2023" s="1"/>
  <c r="M2025"/>
  <c r="K2025"/>
  <c r="Z2024"/>
  <c r="AB2024" s="1"/>
  <c r="Y2024"/>
  <c r="AA2024" s="1"/>
  <c r="AC2024" s="1"/>
  <c r="X2023"/>
  <c r="W2023"/>
  <c r="V2023"/>
  <c r="U2023"/>
  <c r="R2023"/>
  <c r="P2023"/>
  <c r="L2023"/>
  <c r="Z2022"/>
  <c r="Y2022"/>
  <c r="AA2022" s="1"/>
  <c r="AC2022" s="1"/>
  <c r="N2022"/>
  <c r="Z2021"/>
  <c r="Y2021"/>
  <c r="N2021"/>
  <c r="AA2020"/>
  <c r="AC2020" s="1"/>
  <c r="Z2020"/>
  <c r="N2020"/>
  <c r="Z2019"/>
  <c r="AB2019" s="1"/>
  <c r="AD2019" s="1"/>
  <c r="Y2019"/>
  <c r="AA2019" s="1"/>
  <c r="AC2019" s="1"/>
  <c r="Z2018"/>
  <c r="AB2018" s="1"/>
  <c r="AD2018" s="1"/>
  <c r="Y2018"/>
  <c r="AA2018" s="1"/>
  <c r="AC2018" s="1"/>
  <c r="Z2017"/>
  <c r="Q2017"/>
  <c r="Y2017" s="1"/>
  <c r="AA2017" s="1"/>
  <c r="N2017"/>
  <c r="L2017" s="1"/>
  <c r="L2015" s="1"/>
  <c r="K2017"/>
  <c r="Z2016"/>
  <c r="Q2016"/>
  <c r="Y2016" s="1"/>
  <c r="N2016"/>
  <c r="M2016"/>
  <c r="K2016"/>
  <c r="X2015"/>
  <c r="W2015"/>
  <c r="V2015"/>
  <c r="U2015"/>
  <c r="S2015"/>
  <c r="R2015"/>
  <c r="P2015"/>
  <c r="Z2014"/>
  <c r="Y2014"/>
  <c r="N2014"/>
  <c r="N2013" s="1"/>
  <c r="M2014"/>
  <c r="X2013"/>
  <c r="W2013"/>
  <c r="V2013"/>
  <c r="U2013"/>
  <c r="T2013"/>
  <c r="S2013"/>
  <c r="R2013"/>
  <c r="Q2013"/>
  <c r="P2013"/>
  <c r="L2013"/>
  <c r="Z2012"/>
  <c r="AB2012" s="1"/>
  <c r="AD2012" s="1"/>
  <c r="Y2012"/>
  <c r="AA2012" s="1"/>
  <c r="AC2012" s="1"/>
  <c r="Z2011"/>
  <c r="Y2011"/>
  <c r="AA2011" s="1"/>
  <c r="AC2011" s="1"/>
  <c r="N2011"/>
  <c r="L2011" s="1"/>
  <c r="L2008" s="1"/>
  <c r="Z2010"/>
  <c r="AB2010" s="1"/>
  <c r="AD2010" s="1"/>
  <c r="Q2010"/>
  <c r="Y2010" s="1"/>
  <c r="AA2010" s="1"/>
  <c r="AC2010" s="1"/>
  <c r="Z2009"/>
  <c r="AB2009" s="1"/>
  <c r="AD2009" s="1"/>
  <c r="Y2009"/>
  <c r="AA2009" s="1"/>
  <c r="AC2009" s="1"/>
  <c r="X2008"/>
  <c r="W2008"/>
  <c r="V2008"/>
  <c r="U2008"/>
  <c r="S2008"/>
  <c r="P2008"/>
  <c r="N2008"/>
  <c r="Z2007"/>
  <c r="Q2007"/>
  <c r="Y2007" s="1"/>
  <c r="N2007"/>
  <c r="M2007"/>
  <c r="Z2006"/>
  <c r="Y2006"/>
  <c r="N2006"/>
  <c r="M2006"/>
  <c r="Z2005"/>
  <c r="Q2005"/>
  <c r="Y2005" s="1"/>
  <c r="N2005"/>
  <c r="M2005"/>
  <c r="Z2004"/>
  <c r="AB2004" s="1"/>
  <c r="Q2004"/>
  <c r="Y2004" s="1"/>
  <c r="AA2004" s="1"/>
  <c r="P2004"/>
  <c r="P2002" s="1"/>
  <c r="L2004"/>
  <c r="L2002" s="1"/>
  <c r="K2004"/>
  <c r="Z2003"/>
  <c r="Y2003"/>
  <c r="N2003"/>
  <c r="M2003"/>
  <c r="X2002"/>
  <c r="W2002"/>
  <c r="V2002"/>
  <c r="U2002"/>
  <c r="S2002"/>
  <c r="R2002"/>
  <c r="Z2001"/>
  <c r="AB2001" s="1"/>
  <c r="AD2001" s="1"/>
  <c r="Y2001"/>
  <c r="AA2001" s="1"/>
  <c r="AC2001" s="1"/>
  <c r="P2001"/>
  <c r="P1998" s="1"/>
  <c r="Z2000"/>
  <c r="Q2000"/>
  <c r="Y2000" s="1"/>
  <c r="AA2000" s="1"/>
  <c r="N2000"/>
  <c r="Z1999"/>
  <c r="Y1999"/>
  <c r="N1999"/>
  <c r="X1998"/>
  <c r="W1998"/>
  <c r="V1998"/>
  <c r="U1998"/>
  <c r="T1998"/>
  <c r="S1998"/>
  <c r="R1998"/>
  <c r="L1998"/>
  <c r="Z1997"/>
  <c r="Y1997"/>
  <c r="AA1997" s="1"/>
  <c r="AC1997" s="1"/>
  <c r="N1997"/>
  <c r="N1996" s="1"/>
  <c r="X1996"/>
  <c r="W1996"/>
  <c r="V1996"/>
  <c r="U1996"/>
  <c r="T1996"/>
  <c r="S1996"/>
  <c r="R1996"/>
  <c r="Q1996"/>
  <c r="P1996"/>
  <c r="L1996"/>
  <c r="Z1995"/>
  <c r="Y1995"/>
  <c r="AA1995" s="1"/>
  <c r="N1995"/>
  <c r="N1994" s="1"/>
  <c r="X1994"/>
  <c r="W1994"/>
  <c r="V1994"/>
  <c r="U1994"/>
  <c r="T1994"/>
  <c r="S1994"/>
  <c r="R1994"/>
  <c r="P1994"/>
  <c r="L1994"/>
  <c r="Z1993"/>
  <c r="AB1993" s="1"/>
  <c r="AD1993" s="1"/>
  <c r="Y1993"/>
  <c r="AA1993" s="1"/>
  <c r="AC1993" s="1"/>
  <c r="X1992"/>
  <c r="W1992"/>
  <c r="V1992"/>
  <c r="U1992"/>
  <c r="T1992"/>
  <c r="S1992"/>
  <c r="R1992"/>
  <c r="Q1992"/>
  <c r="P1992"/>
  <c r="N1992"/>
  <c r="L1992"/>
  <c r="Z1991"/>
  <c r="Y1991"/>
  <c r="N1991"/>
  <c r="Z1990"/>
  <c r="AB1990" s="1"/>
  <c r="AD1990" s="1"/>
  <c r="Y1990"/>
  <c r="AA1990" s="1"/>
  <c r="AC1990" s="1"/>
  <c r="Z1989"/>
  <c r="AB1989" s="1"/>
  <c r="AD1989" s="1"/>
  <c r="Y1989"/>
  <c r="AA1989" s="1"/>
  <c r="AC1989" s="1"/>
  <c r="Z1988"/>
  <c r="AB1988" s="1"/>
  <c r="AD1988" s="1"/>
  <c r="Y1988"/>
  <c r="AA1988" s="1"/>
  <c r="AC1988" s="1"/>
  <c r="Z1987"/>
  <c r="N1987"/>
  <c r="AA1987"/>
  <c r="Z1986"/>
  <c r="Y1986"/>
  <c r="AA1986" s="1"/>
  <c r="AC1986" s="1"/>
  <c r="N1986"/>
  <c r="Z1985"/>
  <c r="Y1985"/>
  <c r="N1985"/>
  <c r="M1985"/>
  <c r="Z1984"/>
  <c r="AB1984" s="1"/>
  <c r="Y1984"/>
  <c r="X1983"/>
  <c r="W1983"/>
  <c r="V1983"/>
  <c r="U1983"/>
  <c r="T1983"/>
  <c r="S1983"/>
  <c r="R1983"/>
  <c r="P1983"/>
  <c r="L1983"/>
  <c r="Z1982"/>
  <c r="Y1982"/>
  <c r="AA1982" s="1"/>
  <c r="AC1982" s="1"/>
  <c r="N1982"/>
  <c r="Z1981"/>
  <c r="Y1981"/>
  <c r="AA1981" s="1"/>
  <c r="N1981"/>
  <c r="Z1980"/>
  <c r="Y1980"/>
  <c r="AA1980" s="1"/>
  <c r="AC1980" s="1"/>
  <c r="N1980"/>
  <c r="L1980" s="1"/>
  <c r="Z1979"/>
  <c r="Y1979"/>
  <c r="N1979"/>
  <c r="M1979"/>
  <c r="Z1978"/>
  <c r="Q1978"/>
  <c r="Y1978" s="1"/>
  <c r="AA1978" s="1"/>
  <c r="AC1978" s="1"/>
  <c r="N1978"/>
  <c r="Z1977"/>
  <c r="Q1977"/>
  <c r="Y1977" s="1"/>
  <c r="AA1977" s="1"/>
  <c r="AC1977" s="1"/>
  <c r="N1977"/>
  <c r="L1977" s="1"/>
  <c r="Z1976"/>
  <c r="Q1976"/>
  <c r="Y1976" s="1"/>
  <c r="AA1976" s="1"/>
  <c r="AC1976" s="1"/>
  <c r="N1976"/>
  <c r="Z1975"/>
  <c r="Q1975"/>
  <c r="Y1975" s="1"/>
  <c r="AA1975" s="1"/>
  <c r="N1975"/>
  <c r="K1975"/>
  <c r="Z1974"/>
  <c r="Q1974"/>
  <c r="N1974"/>
  <c r="X1973"/>
  <c r="W1973"/>
  <c r="V1973"/>
  <c r="U1973"/>
  <c r="S1973"/>
  <c r="R1973"/>
  <c r="P1973"/>
  <c r="Z1972"/>
  <c r="AB1972" s="1"/>
  <c r="AD1972" s="1"/>
  <c r="Y1972"/>
  <c r="AA1972" s="1"/>
  <c r="AC1972" s="1"/>
  <c r="Z1971"/>
  <c r="Y1971"/>
  <c r="AA1971" s="1"/>
  <c r="AC1971" s="1"/>
  <c r="N1971"/>
  <c r="X1970"/>
  <c r="W1970"/>
  <c r="V1970"/>
  <c r="U1970"/>
  <c r="T1970"/>
  <c r="S1970"/>
  <c r="R1970"/>
  <c r="P1970"/>
  <c r="L1970"/>
  <c r="Z1969"/>
  <c r="AB1969" s="1"/>
  <c r="AD1969" s="1"/>
  <c r="Y1969"/>
  <c r="AA1969" s="1"/>
  <c r="AC1969" s="1"/>
  <c r="Z1968"/>
  <c r="Y1968"/>
  <c r="N1968"/>
  <c r="N1966" s="1"/>
  <c r="M1968"/>
  <c r="X1966"/>
  <c r="W1966"/>
  <c r="V1966"/>
  <c r="U1966"/>
  <c r="T1966"/>
  <c r="S1966"/>
  <c r="R1966"/>
  <c r="P1966"/>
  <c r="L1966"/>
  <c r="Z1965"/>
  <c r="AB1965" s="1"/>
  <c r="Q1965"/>
  <c r="Y1965" s="1"/>
  <c r="AA1965" s="1"/>
  <c r="L1964"/>
  <c r="X1964"/>
  <c r="W1964"/>
  <c r="V1964"/>
  <c r="U1964"/>
  <c r="T1964"/>
  <c r="S1964"/>
  <c r="R1964"/>
  <c r="P1964"/>
  <c r="N1964"/>
  <c r="Z1963"/>
  <c r="Y1963"/>
  <c r="N1963"/>
  <c r="N1962" s="1"/>
  <c r="X1962"/>
  <c r="W1962"/>
  <c r="V1962"/>
  <c r="U1962"/>
  <c r="T1962"/>
  <c r="S1962"/>
  <c r="R1962"/>
  <c r="Q1962"/>
  <c r="P1962"/>
  <c r="L1962"/>
  <c r="Z1961"/>
  <c r="Q1961"/>
  <c r="Y1961" s="1"/>
  <c r="N1961"/>
  <c r="M1961"/>
  <c r="K1961"/>
  <c r="X1960"/>
  <c r="W1960"/>
  <c r="V1960"/>
  <c r="U1960"/>
  <c r="T1960"/>
  <c r="S1960"/>
  <c r="R1960"/>
  <c r="P1960"/>
  <c r="L1960"/>
  <c r="Z1959"/>
  <c r="Y1959"/>
  <c r="AA1959" s="1"/>
  <c r="AC1959" s="1"/>
  <c r="N1959"/>
  <c r="X1958"/>
  <c r="W1958"/>
  <c r="V1958"/>
  <c r="U1958"/>
  <c r="T1958"/>
  <c r="S1958"/>
  <c r="R1958"/>
  <c r="P1958"/>
  <c r="Z1957"/>
  <c r="Y1957"/>
  <c r="AA1957" s="1"/>
  <c r="AC1957" s="1"/>
  <c r="N1957"/>
  <c r="N1956" s="1"/>
  <c r="W1956"/>
  <c r="U1956"/>
  <c r="S1956"/>
  <c r="Z1955"/>
  <c r="AB1955" s="1"/>
  <c r="AD1955" s="1"/>
  <c r="Y1955"/>
  <c r="AA1955" s="1"/>
  <c r="AC1955" s="1"/>
  <c r="Z1954"/>
  <c r="Y1954"/>
  <c r="N1954"/>
  <c r="M1954"/>
  <c r="Z1953"/>
  <c r="N1953"/>
  <c r="Z1952"/>
  <c r="Y1952"/>
  <c r="N1952"/>
  <c r="X1951"/>
  <c r="W1951"/>
  <c r="V1951"/>
  <c r="U1951"/>
  <c r="S1951"/>
  <c r="R1951"/>
  <c r="P1951"/>
  <c r="M1951"/>
  <c r="L1951"/>
  <c r="AA1950"/>
  <c r="AC1950" s="1"/>
  <c r="Z1950"/>
  <c r="N1950"/>
  <c r="L1950" s="1"/>
  <c r="Z1949"/>
  <c r="Y1949"/>
  <c r="N1949"/>
  <c r="L1949" s="1"/>
  <c r="Z1948"/>
  <c r="AB1948" s="1"/>
  <c r="AD1948" s="1"/>
  <c r="Q1948"/>
  <c r="X1947"/>
  <c r="W1947"/>
  <c r="V1947"/>
  <c r="U1947"/>
  <c r="S1947"/>
  <c r="R1947"/>
  <c r="P1947"/>
  <c r="Z1946"/>
  <c r="Y1946"/>
  <c r="AA1946" s="1"/>
  <c r="AC1946" s="1"/>
  <c r="N1946"/>
  <c r="N1945" s="1"/>
  <c r="X1945"/>
  <c r="W1945"/>
  <c r="V1945"/>
  <c r="U1945"/>
  <c r="T1945"/>
  <c r="S1945"/>
  <c r="R1945"/>
  <c r="P1945"/>
  <c r="L1945"/>
  <c r="Z1944"/>
  <c r="Y1944"/>
  <c r="AA1944" s="1"/>
  <c r="AC1944" s="1"/>
  <c r="N1944"/>
  <c r="X1943"/>
  <c r="W1943"/>
  <c r="V1943"/>
  <c r="U1943"/>
  <c r="T1943"/>
  <c r="S1943"/>
  <c r="R1943"/>
  <c r="Q1943"/>
  <c r="P1943"/>
  <c r="Z1942"/>
  <c r="Y1942"/>
  <c r="AA1942" s="1"/>
  <c r="N1942"/>
  <c r="Z1941"/>
  <c r="Y1941"/>
  <c r="AA1941" s="1"/>
  <c r="AC1941" s="1"/>
  <c r="N1941"/>
  <c r="Z1940"/>
  <c r="Y1940"/>
  <c r="AA1940" s="1"/>
  <c r="N1940"/>
  <c r="K1940"/>
  <c r="Z1939"/>
  <c r="Y1939"/>
  <c r="AA1939" s="1"/>
  <c r="AC1939" s="1"/>
  <c r="N1939"/>
  <c r="L1939" s="1"/>
  <c r="L1938" s="1"/>
  <c r="X1938"/>
  <c r="W1938"/>
  <c r="V1938"/>
  <c r="U1938"/>
  <c r="R1938"/>
  <c r="P1938"/>
  <c r="Z1937"/>
  <c r="AB1937" s="1"/>
  <c r="Y1937"/>
  <c r="AA1937" s="1"/>
  <c r="Z1936"/>
  <c r="AB1936" s="1"/>
  <c r="AD1936" s="1"/>
  <c r="Y1936"/>
  <c r="AA1936" s="1"/>
  <c r="AC1936" s="1"/>
  <c r="Z1935"/>
  <c r="Y1935"/>
  <c r="N1935"/>
  <c r="M1935"/>
  <c r="Z1934"/>
  <c r="AB1934" s="1"/>
  <c r="X1933"/>
  <c r="W1933"/>
  <c r="V1933"/>
  <c r="U1933"/>
  <c r="T1933"/>
  <c r="S1933"/>
  <c r="R1933"/>
  <c r="P1933"/>
  <c r="Z1932"/>
  <c r="AB1932" s="1"/>
  <c r="Y1932"/>
  <c r="AA1932" s="1"/>
  <c r="AC1932" s="1"/>
  <c r="Z1931"/>
  <c r="Y1931"/>
  <c r="AA1931" s="1"/>
  <c r="AC1931" s="1"/>
  <c r="N1931"/>
  <c r="L1931" s="1"/>
  <c r="AA1930"/>
  <c r="AC1930" s="1"/>
  <c r="Z1930"/>
  <c r="N1930"/>
  <c r="L1930" s="1"/>
  <c r="X1929"/>
  <c r="W1929"/>
  <c r="V1929"/>
  <c r="U1929"/>
  <c r="T1929"/>
  <c r="S1929"/>
  <c r="R1929"/>
  <c r="P1929"/>
  <c r="Z1928"/>
  <c r="Y1928"/>
  <c r="AA1928" s="1"/>
  <c r="AC1928" s="1"/>
  <c r="N1928"/>
  <c r="X1927"/>
  <c r="W1927"/>
  <c r="V1927"/>
  <c r="U1927"/>
  <c r="T1927"/>
  <c r="S1927"/>
  <c r="R1927"/>
  <c r="Q1927"/>
  <c r="P1927"/>
  <c r="Z1926"/>
  <c r="Y1926"/>
  <c r="AA1926" s="1"/>
  <c r="AC1926" s="1"/>
  <c r="N1926"/>
  <c r="N1924" s="1"/>
  <c r="Z1925"/>
  <c r="AB1925" s="1"/>
  <c r="Y1925"/>
  <c r="AA1925" s="1"/>
  <c r="L1925"/>
  <c r="L1924" s="1"/>
  <c r="K1925"/>
  <c r="X1924"/>
  <c r="W1924"/>
  <c r="V1924"/>
  <c r="U1924"/>
  <c r="T1924"/>
  <c r="S1924"/>
  <c r="R1924"/>
  <c r="P1924"/>
  <c r="Z1923"/>
  <c r="Y1923"/>
  <c r="N1923"/>
  <c r="N1922" s="1"/>
  <c r="X1922"/>
  <c r="W1922"/>
  <c r="V1922"/>
  <c r="U1922"/>
  <c r="T1922"/>
  <c r="S1922"/>
  <c r="R1922"/>
  <c r="P1922"/>
  <c r="L1922"/>
  <c r="Z1921"/>
  <c r="Y1921"/>
  <c r="N1921"/>
  <c r="Z1920"/>
  <c r="Y1920"/>
  <c r="AA1920" s="1"/>
  <c r="N1920"/>
  <c r="Z1919"/>
  <c r="Y1919"/>
  <c r="AA1919" s="1"/>
  <c r="AC1919" s="1"/>
  <c r="N1919"/>
  <c r="Z1918"/>
  <c r="AB1918" s="1"/>
  <c r="AD1918" s="1"/>
  <c r="Y1918"/>
  <c r="AA1918" s="1"/>
  <c r="Z1917"/>
  <c r="Y1917"/>
  <c r="AA1917" s="1"/>
  <c r="AC1917" s="1"/>
  <c r="N1917"/>
  <c r="Z1916"/>
  <c r="Y1916"/>
  <c r="AA1916" s="1"/>
  <c r="AC1916" s="1"/>
  <c r="N1916"/>
  <c r="Z1915"/>
  <c r="AB1915" s="1"/>
  <c r="AD1915" s="1"/>
  <c r="Y1915"/>
  <c r="AA1915" s="1"/>
  <c r="AC1915" s="1"/>
  <c r="Z1914"/>
  <c r="Y1914"/>
  <c r="AA1914" s="1"/>
  <c r="AC1914" s="1"/>
  <c r="N1914"/>
  <c r="Z1913"/>
  <c r="Y1913"/>
  <c r="AA1913" s="1"/>
  <c r="AC1913" s="1"/>
  <c r="N1913"/>
  <c r="Z1912"/>
  <c r="Y1912"/>
  <c r="AA1912" s="1"/>
  <c r="AC1912" s="1"/>
  <c r="N1912"/>
  <c r="Z1911"/>
  <c r="Y1911"/>
  <c r="AA1911" s="1"/>
  <c r="AC1911" s="1"/>
  <c r="N1911"/>
  <c r="Z1910"/>
  <c r="AB1910" s="1"/>
  <c r="AD1910" s="1"/>
  <c r="Y1910"/>
  <c r="AA1910" s="1"/>
  <c r="AC1910" s="1"/>
  <c r="Z1909"/>
  <c r="Y1909"/>
  <c r="AA1909" s="1"/>
  <c r="AC1909" s="1"/>
  <c r="N1909"/>
  <c r="X1908"/>
  <c r="W1908"/>
  <c r="V1908"/>
  <c r="U1908"/>
  <c r="T1908"/>
  <c r="S1908"/>
  <c r="R1908"/>
  <c r="P1908"/>
  <c r="L1908"/>
  <c r="Z1907"/>
  <c r="Y1907"/>
  <c r="AA1907" s="1"/>
  <c r="N1907"/>
  <c r="Z1906"/>
  <c r="Y1906"/>
  <c r="AA1906" s="1"/>
  <c r="N1906"/>
  <c r="K1906"/>
  <c r="Z1905"/>
  <c r="Y1905"/>
  <c r="AA1905" s="1"/>
  <c r="N1905"/>
  <c r="K1905"/>
  <c r="Z1904"/>
  <c r="Y1904"/>
  <c r="N1904"/>
  <c r="M1904"/>
  <c r="Z1903"/>
  <c r="Y1903"/>
  <c r="N1903"/>
  <c r="M1903"/>
  <c r="K1903"/>
  <c r="AA1902"/>
  <c r="Z1902"/>
  <c r="N1902"/>
  <c r="Z1901"/>
  <c r="Y1901"/>
  <c r="AA1901" s="1"/>
  <c r="N1901"/>
  <c r="K1901"/>
  <c r="Z1900"/>
  <c r="Y1900"/>
  <c r="AA1900" s="1"/>
  <c r="N1900"/>
  <c r="K1900"/>
  <c r="Z1899"/>
  <c r="Y1899"/>
  <c r="AA1899" s="1"/>
  <c r="N1899"/>
  <c r="K1899"/>
  <c r="Z1898"/>
  <c r="Y1898"/>
  <c r="AA1898" s="1"/>
  <c r="AC1898" s="1"/>
  <c r="N1898"/>
  <c r="Z1897"/>
  <c r="Y1897"/>
  <c r="AA1897" s="1"/>
  <c r="AC1897" s="1"/>
  <c r="N1897"/>
  <c r="Z1896"/>
  <c r="AB1896" s="1"/>
  <c r="Y1896"/>
  <c r="AA1896" s="1"/>
  <c r="AC1896" s="1"/>
  <c r="L1896"/>
  <c r="Z1895"/>
  <c r="AB1895" s="1"/>
  <c r="Y1895"/>
  <c r="AA1895" s="1"/>
  <c r="AC1895" s="1"/>
  <c r="L1895"/>
  <c r="Z1894"/>
  <c r="Y1894"/>
  <c r="AA1894" s="1"/>
  <c r="AC1894" s="1"/>
  <c r="N1894"/>
  <c r="Z1893"/>
  <c r="Y1893"/>
  <c r="AA1893" s="1"/>
  <c r="N1893"/>
  <c r="K1893"/>
  <c r="Z1892"/>
  <c r="Y1892"/>
  <c r="AA1892" s="1"/>
  <c r="N1892"/>
  <c r="K1892"/>
  <c r="Z1891"/>
  <c r="Y1891"/>
  <c r="AA1891" s="1"/>
  <c r="AC1891" s="1"/>
  <c r="N1891"/>
  <c r="Z1890"/>
  <c r="Y1890"/>
  <c r="AA1890" s="1"/>
  <c r="N1890"/>
  <c r="K1890"/>
  <c r="Z1889"/>
  <c r="Y1889"/>
  <c r="AA1889" s="1"/>
  <c r="N1889"/>
  <c r="K1889"/>
  <c r="X1888"/>
  <c r="V1888"/>
  <c r="R1888"/>
  <c r="Y1888"/>
  <c r="P1888"/>
  <c r="Y1887"/>
  <c r="AD2047" l="1"/>
  <c r="AD2090" s="1"/>
  <c r="AD2091" s="1"/>
  <c r="AB2046"/>
  <c r="L1973"/>
  <c r="L1947"/>
  <c r="N1958"/>
  <c r="L1959"/>
  <c r="L1958" s="1"/>
  <c r="L1929"/>
  <c r="N1943"/>
  <c r="L1944"/>
  <c r="L1943" s="1"/>
  <c r="N1933"/>
  <c r="L1935"/>
  <c r="L1933" s="1"/>
  <c r="N1927"/>
  <c r="L1928"/>
  <c r="L1927" s="1"/>
  <c r="N1947"/>
  <c r="AC2032"/>
  <c r="Z1958"/>
  <c r="Y1962"/>
  <c r="AB1982"/>
  <c r="AD1982" s="1"/>
  <c r="Y1951"/>
  <c r="AA1951" s="1"/>
  <c r="AC1951" s="1"/>
  <c r="Z1964"/>
  <c r="AB1964" s="1"/>
  <c r="AD1964" s="1"/>
  <c r="AB1976"/>
  <c r="AD1976" s="1"/>
  <c r="Z1992"/>
  <c r="AB1992" s="1"/>
  <c r="AD1992" s="1"/>
  <c r="Z1996"/>
  <c r="AB1996" s="1"/>
  <c r="AD1996" s="1"/>
  <c r="Z1998"/>
  <c r="AB1999"/>
  <c r="AD1999" s="1"/>
  <c r="AB2000"/>
  <c r="AD2000" s="1"/>
  <c r="Z1933"/>
  <c r="Y1947"/>
  <c r="AA1947" s="1"/>
  <c r="AC1947" s="1"/>
  <c r="Y1953"/>
  <c r="AA1953" s="1"/>
  <c r="AC1953" s="1"/>
  <c r="AC1987"/>
  <c r="AC2004"/>
  <c r="Z2002"/>
  <c r="AB2005"/>
  <c r="AD2005" s="1"/>
  <c r="Y2013"/>
  <c r="AA2013" s="1"/>
  <c r="AC2013" s="1"/>
  <c r="AA2014"/>
  <c r="AC2014" s="1"/>
  <c r="AB2021"/>
  <c r="AD2021" s="1"/>
  <c r="Y1948"/>
  <c r="AA1948" s="1"/>
  <c r="AC1948" s="1"/>
  <c r="AB2017"/>
  <c r="AD2017" s="1"/>
  <c r="AC1902"/>
  <c r="Q1964"/>
  <c r="Y1964" s="1"/>
  <c r="AA1964" s="1"/>
  <c r="AC1964" s="1"/>
  <c r="AB1892"/>
  <c r="AD1892" s="1"/>
  <c r="AC1900"/>
  <c r="AC1901"/>
  <c r="AB1903"/>
  <c r="AD1903" s="1"/>
  <c r="AB1904"/>
  <c r="AD1904" s="1"/>
  <c r="AB1905"/>
  <c r="AD1905" s="1"/>
  <c r="AB1917"/>
  <c r="AD1917" s="1"/>
  <c r="Z1943"/>
  <c r="AB1943" s="1"/>
  <c r="Z1951"/>
  <c r="N1951"/>
  <c r="AA1954"/>
  <c r="AC1954" s="1"/>
  <c r="AA1984"/>
  <c r="AC1984" s="1"/>
  <c r="AB2020"/>
  <c r="AD2020" s="1"/>
  <c r="AA2026"/>
  <c r="AC2026" s="1"/>
  <c r="AA2028"/>
  <c r="AC2028" s="1"/>
  <c r="AB2029"/>
  <c r="AD2029" s="1"/>
  <c r="N1998"/>
  <c r="AC1906"/>
  <c r="AB1911"/>
  <c r="AD1911" s="1"/>
  <c r="AB1921"/>
  <c r="AD1921" s="1"/>
  <c r="Z1924"/>
  <c r="AB1924" s="1"/>
  <c r="AD1924" s="1"/>
  <c r="Z1927"/>
  <c r="AC1934"/>
  <c r="AA1968"/>
  <c r="AC1968" s="1"/>
  <c r="Y1970"/>
  <c r="AA1970" s="1"/>
  <c r="AC1970" s="1"/>
  <c r="AB1971"/>
  <c r="AD1971" s="1"/>
  <c r="Z1973"/>
  <c r="Y1973"/>
  <c r="AA1973" s="1"/>
  <c r="AC1973" s="1"/>
  <c r="N2002"/>
  <c r="Z2008"/>
  <c r="AB2008" s="1"/>
  <c r="AD2008" s="1"/>
  <c r="Z2015"/>
  <c r="L1888"/>
  <c r="AB1912"/>
  <c r="AD1912" s="1"/>
  <c r="AB1916"/>
  <c r="AD1916" s="1"/>
  <c r="AA1921"/>
  <c r="AC1921" s="1"/>
  <c r="Y1929"/>
  <c r="AA1929" s="1"/>
  <c r="AC1929" s="1"/>
  <c r="AB1930"/>
  <c r="AD1930" s="1"/>
  <c r="AB1935"/>
  <c r="Z1947"/>
  <c r="Y1956"/>
  <c r="AA1956" s="1"/>
  <c r="AC1956" s="1"/>
  <c r="AB1975"/>
  <c r="AD1975" s="1"/>
  <c r="Z1983"/>
  <c r="AA2007"/>
  <c r="AC2007" s="1"/>
  <c r="Y2008"/>
  <c r="AA2008" s="1"/>
  <c r="AC2008" s="1"/>
  <c r="Y2015"/>
  <c r="AA2015" s="1"/>
  <c r="AC2015" s="1"/>
  <c r="Z2023"/>
  <c r="AB2023" s="1"/>
  <c r="AD2023" s="1"/>
  <c r="AB2026"/>
  <c r="AD2026" s="1"/>
  <c r="AB2028"/>
  <c r="AD2028" s="1"/>
  <c r="AD2004"/>
  <c r="AB1906"/>
  <c r="AD1906" s="1"/>
  <c r="AC1937"/>
  <c r="AB1950"/>
  <c r="AD1950" s="1"/>
  <c r="AB1957"/>
  <c r="AD1957" s="1"/>
  <c r="Y1960"/>
  <c r="AA1960" s="1"/>
  <c r="AC1960" s="1"/>
  <c r="Y1974"/>
  <c r="AA1974" s="1"/>
  <c r="AC1974" s="1"/>
  <c r="AB1978"/>
  <c r="AD1978" s="1"/>
  <c r="AB1987"/>
  <c r="AD1987" s="1"/>
  <c r="AB2016"/>
  <c r="AD2016" s="1"/>
  <c r="AA2034"/>
  <c r="AC2034" s="1"/>
  <c r="AB1898"/>
  <c r="AD1898" s="1"/>
  <c r="AC1899"/>
  <c r="N1908"/>
  <c r="AC1918"/>
  <c r="Y1924"/>
  <c r="AA1924" s="1"/>
  <c r="AC1924" s="1"/>
  <c r="AA1952"/>
  <c r="AC1952" s="1"/>
  <c r="AB1959"/>
  <c r="AD1959" s="1"/>
  <c r="Y1983"/>
  <c r="AA1991"/>
  <c r="AC1991" s="1"/>
  <c r="Y1992"/>
  <c r="AA1992" s="1"/>
  <c r="AC1992" s="1"/>
  <c r="AC1995"/>
  <c r="AB2042"/>
  <c r="AD2042" s="1"/>
  <c r="AA2016"/>
  <c r="AC2016" s="1"/>
  <c r="AC1893"/>
  <c r="AC1905"/>
  <c r="AB1919"/>
  <c r="AD1919" s="1"/>
  <c r="AD1925"/>
  <c r="AC1933"/>
  <c r="AA1935"/>
  <c r="AC1935" s="1"/>
  <c r="AD1937"/>
  <c r="Z1945"/>
  <c r="AB1945" s="1"/>
  <c r="AD1945" s="1"/>
  <c r="Z1956"/>
  <c r="Z1960"/>
  <c r="AA1961"/>
  <c r="AC1961" s="1"/>
  <c r="Z1962"/>
  <c r="AB1962" s="1"/>
  <c r="AD1962" s="1"/>
  <c r="AB1977"/>
  <c r="AD1977" s="1"/>
  <c r="Z1994"/>
  <c r="AB1994" s="1"/>
  <c r="AD1994" s="1"/>
  <c r="AB1995"/>
  <c r="AD1995" s="1"/>
  <c r="AC2000"/>
  <c r="AD1896"/>
  <c r="AC1925"/>
  <c r="AD1932"/>
  <c r="AC1942"/>
  <c r="AC1981"/>
  <c r="AC2036"/>
  <c r="AB1909"/>
  <c r="AD1909" s="1"/>
  <c r="AB1953"/>
  <c r="AD1953" s="1"/>
  <c r="AD1965"/>
  <c r="N1983"/>
  <c r="AC2017"/>
  <c r="AA1888"/>
  <c r="AC1888" s="1"/>
  <c r="AC1892"/>
  <c r="AB1893"/>
  <c r="AD1893" s="1"/>
  <c r="AD1895"/>
  <c r="AB1900"/>
  <c r="AD1900" s="1"/>
  <c r="AB1901"/>
  <c r="AD1901" s="1"/>
  <c r="AB1902"/>
  <c r="AD1902" s="1"/>
  <c r="AC1907"/>
  <c r="AB1913"/>
  <c r="AD1913" s="1"/>
  <c r="AC1920"/>
  <c r="Z1922"/>
  <c r="AB1922" s="1"/>
  <c r="AD1922" s="1"/>
  <c r="AB1926"/>
  <c r="AD1926" s="1"/>
  <c r="N1929"/>
  <c r="Z1938"/>
  <c r="Y1943"/>
  <c r="AA1943" s="1"/>
  <c r="AC1943" s="1"/>
  <c r="AB1944"/>
  <c r="Y1945"/>
  <c r="AA1945" s="1"/>
  <c r="AC1945" s="1"/>
  <c r="Y1958"/>
  <c r="AC1965"/>
  <c r="Y1966"/>
  <c r="N1970"/>
  <c r="AB1979"/>
  <c r="AD1979" s="1"/>
  <c r="AA1985"/>
  <c r="AC1985" s="1"/>
  <c r="AB1986"/>
  <c r="AD1986" s="1"/>
  <c r="Y1994"/>
  <c r="AA1994" s="1"/>
  <c r="AC1994" s="1"/>
  <c r="AC1998"/>
  <c r="AA1999"/>
  <c r="AC1999" s="1"/>
  <c r="AC2002"/>
  <c r="AA2005"/>
  <c r="AC2005" s="1"/>
  <c r="AB2006"/>
  <c r="AD2006" s="1"/>
  <c r="AB2007"/>
  <c r="AD2007" s="1"/>
  <c r="AA2021"/>
  <c r="AC2021" s="1"/>
  <c r="AB2030"/>
  <c r="AD2030" s="1"/>
  <c r="AB2032"/>
  <c r="AD2032" s="1"/>
  <c r="Z2040"/>
  <c r="V1887"/>
  <c r="AB1890"/>
  <c r="AD1890" s="1"/>
  <c r="AB1891"/>
  <c r="AD1891" s="1"/>
  <c r="AB1894"/>
  <c r="AD1894" s="1"/>
  <c r="AB1897"/>
  <c r="AD1897" s="1"/>
  <c r="AB1899"/>
  <c r="AD1899" s="1"/>
  <c r="AB1907"/>
  <c r="AD1907" s="1"/>
  <c r="AB1914"/>
  <c r="AD1914" s="1"/>
  <c r="AB1920"/>
  <c r="AD1920" s="1"/>
  <c r="Y1922"/>
  <c r="AA1922" s="1"/>
  <c r="AC1922" s="1"/>
  <c r="AA1923"/>
  <c r="AC1923" s="1"/>
  <c r="Z1929"/>
  <c r="Y1938"/>
  <c r="AA1938" s="1"/>
  <c r="AC1938" s="1"/>
  <c r="AB1940"/>
  <c r="AD1940" s="1"/>
  <c r="AB1941"/>
  <c r="AD1941" s="1"/>
  <c r="AB1942"/>
  <c r="AD1942" s="1"/>
  <c r="AB1954"/>
  <c r="AD1954" s="1"/>
  <c r="Z1970"/>
  <c r="AB1974"/>
  <c r="AD1974" s="1"/>
  <c r="AC1975"/>
  <c r="AA1979"/>
  <c r="AC1979" s="1"/>
  <c r="AB1980"/>
  <c r="AD1980" s="1"/>
  <c r="AB1981"/>
  <c r="AD1981" s="1"/>
  <c r="AA2003"/>
  <c r="AC2003" s="1"/>
  <c r="AA2006"/>
  <c r="AC2006" s="1"/>
  <c r="AB2011"/>
  <c r="AD2011" s="1"/>
  <c r="Z2013"/>
  <c r="AB2013" s="1"/>
  <c r="AD2013" s="1"/>
  <c r="AB2014"/>
  <c r="AD2014" s="1"/>
  <c r="AB2022"/>
  <c r="AD2022" s="1"/>
  <c r="AA2025"/>
  <c r="AC2025" s="1"/>
  <c r="AD2027"/>
  <c r="AB2034"/>
  <c r="AD2034" s="1"/>
  <c r="Z2035"/>
  <c r="AB2036"/>
  <c r="AD2036" s="1"/>
  <c r="AB2037"/>
  <c r="AD2037" s="1"/>
  <c r="AB2038"/>
  <c r="AD2038" s="1"/>
  <c r="Z1888"/>
  <c r="AC1889"/>
  <c r="AA1904"/>
  <c r="AC1904" s="1"/>
  <c r="Y1908"/>
  <c r="AA1908" s="1"/>
  <c r="AC1908" s="1"/>
  <c r="AB1923"/>
  <c r="AD1923" s="1"/>
  <c r="AB1946"/>
  <c r="AD1946" s="1"/>
  <c r="AA1963"/>
  <c r="AC1963" s="1"/>
  <c r="Z1966"/>
  <c r="AB1966" s="1"/>
  <c r="AD1966" s="1"/>
  <c r="N1973"/>
  <c r="AB1991"/>
  <c r="AD1991" s="1"/>
  <c r="N1960"/>
  <c r="AB1961"/>
  <c r="AD1961" s="1"/>
  <c r="AA1903"/>
  <c r="AC1903" s="1"/>
  <c r="Y1927"/>
  <c r="AA1927" s="1"/>
  <c r="AC1927" s="1"/>
  <c r="AB1928"/>
  <c r="AB1931"/>
  <c r="AD1931" s="1"/>
  <c r="T1887"/>
  <c r="X1887"/>
  <c r="AB1949"/>
  <c r="AD1949" s="1"/>
  <c r="AB1952"/>
  <c r="AD1952" s="1"/>
  <c r="P1887"/>
  <c r="N1888"/>
  <c r="AC1890"/>
  <c r="R1887"/>
  <c r="N1938"/>
  <c r="AC1940"/>
  <c r="AB1985"/>
  <c r="AD1985" s="1"/>
  <c r="AB1997"/>
  <c r="AD1997" s="1"/>
  <c r="AB1889"/>
  <c r="AD1889" s="1"/>
  <c r="AB1939"/>
  <c r="AD1939" s="1"/>
  <c r="AA1949"/>
  <c r="AC1949" s="1"/>
  <c r="AB1968"/>
  <c r="AD1968" s="1"/>
  <c r="AB2003"/>
  <c r="AD2003" s="1"/>
  <c r="N2015"/>
  <c r="AB2025"/>
  <c r="AD2025" s="1"/>
  <c r="N2040"/>
  <c r="Z1908"/>
  <c r="AB1963"/>
  <c r="AD1963" s="1"/>
  <c r="N2035"/>
  <c r="AB1933" l="1"/>
  <c r="AD1933" s="1"/>
  <c r="AD1935"/>
  <c r="AD1943"/>
  <c r="AB1958"/>
  <c r="AD1958" s="1"/>
  <c r="AD1928"/>
  <c r="AD1944"/>
  <c r="AB1927"/>
  <c r="AD1927" s="1"/>
  <c r="L1887"/>
  <c r="AB1956"/>
  <c r="AD1956" s="1"/>
  <c r="AB1947"/>
  <c r="AD1947" s="1"/>
  <c r="AB1951"/>
  <c r="AD1951" s="1"/>
  <c r="AB1998"/>
  <c r="AD1998" s="1"/>
  <c r="AB1908"/>
  <c r="AD1908" s="1"/>
  <c r="AB2002"/>
  <c r="AD2002" s="1"/>
  <c r="AB2015"/>
  <c r="AD2015" s="1"/>
  <c r="AB1983"/>
  <c r="AD1983" s="1"/>
  <c r="AB2035"/>
  <c r="AD2035" s="1"/>
  <c r="AB1960"/>
  <c r="AD1960" s="1"/>
  <c r="AA1983"/>
  <c r="AC1983" s="1"/>
  <c r="AC2044" s="1"/>
  <c r="AB1938"/>
  <c r="AD1938" s="1"/>
  <c r="AB1973"/>
  <c r="AD1973" s="1"/>
  <c r="AB1970"/>
  <c r="AD1970" s="1"/>
  <c r="AB2040"/>
  <c r="AD2040" s="1"/>
  <c r="Z1887"/>
  <c r="AB1929"/>
  <c r="AD1929" s="1"/>
  <c r="AB1888"/>
  <c r="N1887"/>
  <c r="AC2045" l="1"/>
  <c r="AD1888"/>
  <c r="AD2044" s="1"/>
  <c r="AD2045" s="1"/>
  <c r="AB1887"/>
  <c r="W1882" l="1"/>
  <c r="U1882"/>
  <c r="S1882"/>
  <c r="Z1882"/>
  <c r="X1879"/>
  <c r="W1879"/>
  <c r="V1879"/>
  <c r="U1879"/>
  <c r="T1879"/>
  <c r="S1879"/>
  <c r="R1879"/>
  <c r="P1879"/>
  <c r="N1879"/>
  <c r="X1877"/>
  <c r="W1877"/>
  <c r="V1877"/>
  <c r="U1877"/>
  <c r="T1877"/>
  <c r="S1877"/>
  <c r="R1877"/>
  <c r="P1877"/>
  <c r="N1877"/>
  <c r="T1876" l="1"/>
  <c r="P1876"/>
  <c r="Y1879"/>
  <c r="AA1879" s="1"/>
  <c r="AC1879" s="1"/>
  <c r="Y1882"/>
  <c r="AA1882" s="1"/>
  <c r="AC1882" s="1"/>
  <c r="Z1877"/>
  <c r="R1876"/>
  <c r="N1876"/>
  <c r="AB1882"/>
  <c r="AD1882" s="1"/>
  <c r="Y1877"/>
  <c r="AA1877" s="1"/>
  <c r="AC1877" s="1"/>
  <c r="Z1879"/>
  <c r="AB1879" s="1"/>
  <c r="AD1879" s="1"/>
  <c r="P1850"/>
  <c r="P1845"/>
  <c r="P1839"/>
  <c r="X1869"/>
  <c r="V1869"/>
  <c r="R1869"/>
  <c r="P1869"/>
  <c r="N1869"/>
  <c r="L1869"/>
  <c r="K1867"/>
  <c r="AC1867" s="1"/>
  <c r="X1850"/>
  <c r="V1850"/>
  <c r="R1850"/>
  <c r="N1850"/>
  <c r="L1850"/>
  <c r="X1845"/>
  <c r="V1845"/>
  <c r="R1845"/>
  <c r="N1845"/>
  <c r="L1845"/>
  <c r="X1839"/>
  <c r="V1839"/>
  <c r="R1839"/>
  <c r="N1839"/>
  <c r="L1839"/>
  <c r="X1827"/>
  <c r="V1827"/>
  <c r="R1827"/>
  <c r="P1827"/>
  <c r="N1827"/>
  <c r="L1827"/>
  <c r="T1826" l="1"/>
  <c r="R1826"/>
  <c r="V1826"/>
  <c r="P1826"/>
  <c r="X1826"/>
  <c r="N1826"/>
  <c r="AC1884"/>
  <c r="AC1885" s="1"/>
  <c r="AB1877"/>
  <c r="Z1876"/>
  <c r="Z1839"/>
  <c r="AB1839" s="1"/>
  <c r="AD1839" s="1"/>
  <c r="Z1850"/>
  <c r="AB1850" s="1"/>
  <c r="AD1850" s="1"/>
  <c r="Z1869"/>
  <c r="AB1869" s="1"/>
  <c r="AD1869" s="1"/>
  <c r="Z1827"/>
  <c r="Z1845"/>
  <c r="AB1845" s="1"/>
  <c r="AD1845" s="1"/>
  <c r="L1826"/>
  <c r="S1869"/>
  <c r="Y1869" s="1"/>
  <c r="AA1869" s="1"/>
  <c r="AC1869" s="1"/>
  <c r="AC1874" s="1"/>
  <c r="A14" i="2"/>
  <c r="A16" s="1"/>
  <c r="R1777" i="1"/>
  <c r="Z1777" s="1"/>
  <c r="P1777"/>
  <c r="N1777"/>
  <c r="L1777"/>
  <c r="R1770"/>
  <c r="Z1770" s="1"/>
  <c r="P1770"/>
  <c r="N1770"/>
  <c r="L1770"/>
  <c r="K1766"/>
  <c r="AC1766" s="1"/>
  <c r="R1739"/>
  <c r="Z1739" s="1"/>
  <c r="P1739"/>
  <c r="N1739"/>
  <c r="L1739"/>
  <c r="R1737"/>
  <c r="Z1737" s="1"/>
  <c r="P1737"/>
  <c r="N1737"/>
  <c r="L1737"/>
  <c r="R1735"/>
  <c r="Z1735" s="1"/>
  <c r="P1735"/>
  <c r="N1735"/>
  <c r="L1735"/>
  <c r="P1732"/>
  <c r="N1732"/>
  <c r="AB1732" s="1"/>
  <c r="L1732"/>
  <c r="R1724"/>
  <c r="Z1724" s="1"/>
  <c r="P1724"/>
  <c r="N1724"/>
  <c r="L1724"/>
  <c r="X1711"/>
  <c r="X1710" s="1"/>
  <c r="X1709" s="1"/>
  <c r="V1711"/>
  <c r="V1710" s="1"/>
  <c r="V1709" s="1"/>
  <c r="R1711"/>
  <c r="P1711"/>
  <c r="N1711"/>
  <c r="L1711"/>
  <c r="T1709"/>
  <c r="AB1827" l="1"/>
  <c r="Z1826"/>
  <c r="AD1877"/>
  <c r="AD1884" s="1"/>
  <c r="AD1885" s="1"/>
  <c r="AB1876"/>
  <c r="AB1724"/>
  <c r="AD1724" s="1"/>
  <c r="AB1770"/>
  <c r="AD1770" s="1"/>
  <c r="Z1711"/>
  <c r="AB1711" s="1"/>
  <c r="AD1732"/>
  <c r="AB1777"/>
  <c r="AD1777" s="1"/>
  <c r="AB1735"/>
  <c r="AD1735" s="1"/>
  <c r="AB1737"/>
  <c r="AD1737" s="1"/>
  <c r="AB1739"/>
  <c r="AD1739" s="1"/>
  <c r="AC1875"/>
  <c r="N1710"/>
  <c r="R1710"/>
  <c r="L1710"/>
  <c r="P1710"/>
  <c r="AD1827" l="1"/>
  <c r="AD1874" s="1"/>
  <c r="AD1875" s="1"/>
  <c r="AB1826"/>
  <c r="AD1711"/>
  <c r="AD1782" s="1"/>
  <c r="AD1783" s="1"/>
  <c r="AC1782"/>
  <c r="AC1783" s="1"/>
  <c r="AB1710"/>
  <c r="Z1710"/>
  <c r="X1703" l="1"/>
  <c r="W1703"/>
  <c r="V1703"/>
  <c r="U1703"/>
  <c r="S1703"/>
  <c r="R1703"/>
  <c r="P1703"/>
  <c r="N1703"/>
  <c r="X1701"/>
  <c r="W1701"/>
  <c r="V1701"/>
  <c r="U1701"/>
  <c r="T1701"/>
  <c r="S1701"/>
  <c r="R1701"/>
  <c r="P1701"/>
  <c r="N1701"/>
  <c r="X1698"/>
  <c r="W1698"/>
  <c r="V1698"/>
  <c r="U1698"/>
  <c r="S1698"/>
  <c r="R1698"/>
  <c r="P1698"/>
  <c r="N1698"/>
  <c r="X1684"/>
  <c r="W1684"/>
  <c r="V1684"/>
  <c r="U1684"/>
  <c r="S1684"/>
  <c r="R1684"/>
  <c r="P1684"/>
  <c r="N1684"/>
  <c r="X1680"/>
  <c r="W1680"/>
  <c r="V1680"/>
  <c r="U1680"/>
  <c r="S1680"/>
  <c r="R1680"/>
  <c r="P1680"/>
  <c r="N1680"/>
  <c r="X1676"/>
  <c r="W1676"/>
  <c r="V1676"/>
  <c r="U1676"/>
  <c r="S1676"/>
  <c r="R1676"/>
  <c r="P1676"/>
  <c r="N1676"/>
  <c r="X1674"/>
  <c r="W1674"/>
  <c r="V1674"/>
  <c r="U1674"/>
  <c r="T1674"/>
  <c r="S1674"/>
  <c r="R1674"/>
  <c r="P1674"/>
  <c r="N1674"/>
  <c r="X1670"/>
  <c r="W1670"/>
  <c r="V1670"/>
  <c r="U1670"/>
  <c r="S1670"/>
  <c r="R1670"/>
  <c r="P1670"/>
  <c r="N1670"/>
  <c r="X1655"/>
  <c r="W1655"/>
  <c r="V1655"/>
  <c r="U1655"/>
  <c r="T1655"/>
  <c r="S1655"/>
  <c r="R1655"/>
  <c r="P1655"/>
  <c r="N1655"/>
  <c r="T1654" l="1"/>
  <c r="N1654"/>
  <c r="Y1670"/>
  <c r="AA1670" s="1"/>
  <c r="AC1670" s="1"/>
  <c r="Z1674"/>
  <c r="AB1674" s="1"/>
  <c r="AD1674" s="1"/>
  <c r="Y1684"/>
  <c r="AA1684" s="1"/>
  <c r="AC1684" s="1"/>
  <c r="Z1698"/>
  <c r="AB1698" s="1"/>
  <c r="AD1698" s="1"/>
  <c r="R1654"/>
  <c r="P1654"/>
  <c r="Y1655"/>
  <c r="AA1655" s="1"/>
  <c r="AC1655" s="1"/>
  <c r="Z1670"/>
  <c r="AB1670" s="1"/>
  <c r="AD1670" s="1"/>
  <c r="Y1680"/>
  <c r="AA1680" s="1"/>
  <c r="AC1680" s="1"/>
  <c r="Z1684"/>
  <c r="AB1684" s="1"/>
  <c r="AD1684" s="1"/>
  <c r="Y1703"/>
  <c r="AA1703" s="1"/>
  <c r="AC1703" s="1"/>
  <c r="Z1655"/>
  <c r="Y1676"/>
  <c r="AA1676" s="1"/>
  <c r="AC1676" s="1"/>
  <c r="Z1680"/>
  <c r="AB1680" s="1"/>
  <c r="AD1680" s="1"/>
  <c r="Y1701"/>
  <c r="AA1701" s="1"/>
  <c r="AC1701" s="1"/>
  <c r="Z1703"/>
  <c r="AB1703" s="1"/>
  <c r="AD1703" s="1"/>
  <c r="Y1674"/>
  <c r="AA1674" s="1"/>
  <c r="AC1674" s="1"/>
  <c r="Z1676"/>
  <c r="AB1676" s="1"/>
  <c r="AD1676" s="1"/>
  <c r="Y1698"/>
  <c r="AA1698" s="1"/>
  <c r="AC1698" s="1"/>
  <c r="Z1701"/>
  <c r="AB1701" s="1"/>
  <c r="AD1701" s="1"/>
  <c r="AB1655" l="1"/>
  <c r="Z1654"/>
  <c r="AC1707"/>
  <c r="AC1708" s="1"/>
  <c r="N9" i="2"/>
  <c r="N11" s="1"/>
  <c r="AD1655" i="1" l="1"/>
  <c r="AD1707" s="1"/>
  <c r="AD1708" s="1"/>
  <c r="AB1654"/>
  <c r="R1190"/>
  <c r="Z1190" s="1"/>
  <c r="AB1190" s="1"/>
  <c r="P1190"/>
  <c r="L1190" s="1"/>
  <c r="P1189"/>
  <c r="Q1189" s="1"/>
  <c r="R1188"/>
  <c r="Z1188" s="1"/>
  <c r="P1188"/>
  <c r="L1188" s="1"/>
  <c r="R1187"/>
  <c r="Z1187" s="1"/>
  <c r="N1187"/>
  <c r="L1187" s="1"/>
  <c r="R1185"/>
  <c r="Z1185" s="1"/>
  <c r="AB1185" s="1"/>
  <c r="AD1185" s="1"/>
  <c r="P1185"/>
  <c r="R1184"/>
  <c r="Z1184" s="1"/>
  <c r="AB1184" s="1"/>
  <c r="AD1184" s="1"/>
  <c r="P1184"/>
  <c r="R1183"/>
  <c r="P1183"/>
  <c r="R1181"/>
  <c r="Z1181" s="1"/>
  <c r="AB1181" s="1"/>
  <c r="AD1181" s="1"/>
  <c r="P1181"/>
  <c r="R1180"/>
  <c r="Z1180" s="1"/>
  <c r="AB1180" s="1"/>
  <c r="AD1180" s="1"/>
  <c r="P1180"/>
  <c r="Z1179"/>
  <c r="AB1179" s="1"/>
  <c r="AD1179" s="1"/>
  <c r="Y1179"/>
  <c r="AA1179" s="1"/>
  <c r="R1178"/>
  <c r="Z1178" s="1"/>
  <c r="AB1178" s="1"/>
  <c r="AD1178" s="1"/>
  <c r="P1178"/>
  <c r="R1177"/>
  <c r="Z1177" s="1"/>
  <c r="AB1177" s="1"/>
  <c r="AD1177" s="1"/>
  <c r="P1177"/>
  <c r="R1176"/>
  <c r="Z1176" s="1"/>
  <c r="AB1176" s="1"/>
  <c r="AD1176" s="1"/>
  <c r="P1176"/>
  <c r="L1175"/>
  <c r="R1174"/>
  <c r="Z1174" s="1"/>
  <c r="AB1174" s="1"/>
  <c r="P1174"/>
  <c r="L1174" s="1"/>
  <c r="L1172" s="1"/>
  <c r="R1173"/>
  <c r="P1173"/>
  <c r="Z1171"/>
  <c r="AB1171" s="1"/>
  <c r="AD1171" s="1"/>
  <c r="Z1170"/>
  <c r="AB1170" s="1"/>
  <c r="AD1170" s="1"/>
  <c r="Y1170"/>
  <c r="AA1170" s="1"/>
  <c r="AC1170" s="1"/>
  <c r="Z1169"/>
  <c r="AB1169" s="1"/>
  <c r="AD1169" s="1"/>
  <c r="Q1169"/>
  <c r="Y1169" s="1"/>
  <c r="AA1169" s="1"/>
  <c r="AC1169" s="1"/>
  <c r="Z1168"/>
  <c r="AB1168" s="1"/>
  <c r="AD1168" s="1"/>
  <c r="L1167"/>
  <c r="Z1166"/>
  <c r="AB1166" s="1"/>
  <c r="L1166"/>
  <c r="Z1165"/>
  <c r="AB1165" s="1"/>
  <c r="AD1165" s="1"/>
  <c r="Z1163"/>
  <c r="AB1163" s="1"/>
  <c r="AD1163" s="1"/>
  <c r="Z1162"/>
  <c r="AB1162" s="1"/>
  <c r="L1162"/>
  <c r="L1153" s="1"/>
  <c r="Z1160"/>
  <c r="AB1160" s="1"/>
  <c r="AD1160" s="1"/>
  <c r="Z1159"/>
  <c r="AB1159" s="1"/>
  <c r="AD1159" s="1"/>
  <c r="Z1158"/>
  <c r="AB1158" s="1"/>
  <c r="AD1158" s="1"/>
  <c r="Z1157"/>
  <c r="AB1157" s="1"/>
  <c r="AD1157" s="1"/>
  <c r="Z1155"/>
  <c r="AB1155" s="1"/>
  <c r="AD1155" s="1"/>
  <c r="Z1154"/>
  <c r="AB1154" s="1"/>
  <c r="AD1154" s="1"/>
  <c r="L1182" l="1"/>
  <c r="L1152" s="1"/>
  <c r="AD1190"/>
  <c r="Q1161"/>
  <c r="Y1161" s="1"/>
  <c r="AA1161" s="1"/>
  <c r="AC1161" s="1"/>
  <c r="Y1180"/>
  <c r="AA1180" s="1"/>
  <c r="AC1180" s="1"/>
  <c r="Y1160"/>
  <c r="AA1160" s="1"/>
  <c r="AC1160" s="1"/>
  <c r="AD1162"/>
  <c r="R1182"/>
  <c r="Z1182" s="1"/>
  <c r="AB1182" s="1"/>
  <c r="AB1187"/>
  <c r="AD1187" s="1"/>
  <c r="Y1163"/>
  <c r="AA1163" s="1"/>
  <c r="AC1163" s="1"/>
  <c r="Y1171"/>
  <c r="AA1171" s="1"/>
  <c r="AC1171" s="1"/>
  <c r="Y1173"/>
  <c r="AA1173" s="1"/>
  <c r="AC1173" s="1"/>
  <c r="Z1183"/>
  <c r="AB1183" s="1"/>
  <c r="AD1183" s="1"/>
  <c r="P1153"/>
  <c r="Z1161"/>
  <c r="AB1161" s="1"/>
  <c r="AD1161" s="1"/>
  <c r="Y1164"/>
  <c r="AA1164" s="1"/>
  <c r="AC1164" s="1"/>
  <c r="P1172"/>
  <c r="AD1174"/>
  <c r="Y1156"/>
  <c r="AA1156" s="1"/>
  <c r="AC1156" s="1"/>
  <c r="P1167"/>
  <c r="AC1179"/>
  <c r="Z1156"/>
  <c r="AB1156" s="1"/>
  <c r="AD1156" s="1"/>
  <c r="Z1164"/>
  <c r="AB1164" s="1"/>
  <c r="AD1164" s="1"/>
  <c r="Y1166"/>
  <c r="AA1166" s="1"/>
  <c r="AC1166" s="1"/>
  <c r="Z1173"/>
  <c r="AB1173" s="1"/>
  <c r="AD1173" s="1"/>
  <c r="P1182"/>
  <c r="N1188"/>
  <c r="AB1188" s="1"/>
  <c r="AD1188" s="1"/>
  <c r="R1172"/>
  <c r="Z1172" s="1"/>
  <c r="AB1172" s="1"/>
  <c r="AD1172" s="1"/>
  <c r="Y1157"/>
  <c r="AA1157" s="1"/>
  <c r="AC1157" s="1"/>
  <c r="Y1176"/>
  <c r="AA1176" s="1"/>
  <c r="AC1176" s="1"/>
  <c r="P1175"/>
  <c r="Y1181"/>
  <c r="AA1181" s="1"/>
  <c r="AC1181" s="1"/>
  <c r="Y1183"/>
  <c r="AA1183" s="1"/>
  <c r="AC1183" s="1"/>
  <c r="Y1184"/>
  <c r="AA1184" s="1"/>
  <c r="AC1184" s="1"/>
  <c r="AD1166"/>
  <c r="Y1155"/>
  <c r="AA1155" s="1"/>
  <c r="AC1155" s="1"/>
  <c r="Y1159"/>
  <c r="AA1159" s="1"/>
  <c r="AC1159" s="1"/>
  <c r="Y1162"/>
  <c r="AA1162" s="1"/>
  <c r="AC1162" s="1"/>
  <c r="R1167"/>
  <c r="Y1168"/>
  <c r="AA1168" s="1"/>
  <c r="AC1168" s="1"/>
  <c r="Y1178"/>
  <c r="AA1178" s="1"/>
  <c r="AC1178" s="1"/>
  <c r="Q1187"/>
  <c r="Y1187" s="1"/>
  <c r="AA1187" s="1"/>
  <c r="AC1187" s="1"/>
  <c r="N1189"/>
  <c r="R1153"/>
  <c r="Y1154"/>
  <c r="AA1154" s="1"/>
  <c r="AC1154" s="1"/>
  <c r="Y1158"/>
  <c r="AA1158" s="1"/>
  <c r="AC1158" s="1"/>
  <c r="Y1165"/>
  <c r="AA1165" s="1"/>
  <c r="AC1165" s="1"/>
  <c r="Y1174"/>
  <c r="AA1174" s="1"/>
  <c r="AC1174" s="1"/>
  <c r="Y1177"/>
  <c r="AA1177" s="1"/>
  <c r="AC1177" s="1"/>
  <c r="Y1185"/>
  <c r="AA1185" s="1"/>
  <c r="AC1185" s="1"/>
  <c r="Y1188"/>
  <c r="AA1188" s="1"/>
  <c r="AC1188" s="1"/>
  <c r="L1189"/>
  <c r="R1175"/>
  <c r="AD1182" l="1"/>
  <c r="Y1172"/>
  <c r="AA1172" s="1"/>
  <c r="AC1172" s="1"/>
  <c r="P1152"/>
  <c r="Y1182"/>
  <c r="AA1182" s="1"/>
  <c r="AC1182" s="1"/>
  <c r="Y1153"/>
  <c r="AA1153" s="1"/>
  <c r="AC1153" s="1"/>
  <c r="AB1153"/>
  <c r="R1152"/>
  <c r="Z1153"/>
  <c r="Z1167"/>
  <c r="AB1167" s="1"/>
  <c r="AD1167" s="1"/>
  <c r="Q1167"/>
  <c r="Y1167" s="1"/>
  <c r="AA1167" s="1"/>
  <c r="AC1167" s="1"/>
  <c r="Z1175"/>
  <c r="AB1175" s="1"/>
  <c r="AD1175" s="1"/>
  <c r="Y1175"/>
  <c r="AA1175" s="1"/>
  <c r="AC1175" s="1"/>
  <c r="AC1191" l="1"/>
  <c r="AC1192" s="1"/>
  <c r="AB1152"/>
  <c r="AD1153"/>
  <c r="AD1191" s="1"/>
  <c r="AD1192" s="1"/>
  <c r="Z1152"/>
  <c r="Q1152"/>
  <c r="P1089" l="1"/>
  <c r="P1086"/>
  <c r="P1225"/>
  <c r="K9" i="2"/>
  <c r="K11" s="1"/>
  <c r="P1224" i="1" l="1"/>
  <c r="Y1225"/>
  <c r="AC1229" s="1"/>
  <c r="AC1230" s="1"/>
  <c r="V1225"/>
  <c r="R1225"/>
  <c r="R1224" s="1"/>
  <c r="Z1224" s="1"/>
  <c r="N1225"/>
  <c r="N1224" s="1"/>
  <c r="L1225"/>
  <c r="L1224" s="1"/>
  <c r="Z1225" l="1"/>
  <c r="AB1225" l="1"/>
  <c r="L1218"/>
  <c r="R1215"/>
  <c r="Z1215" s="1"/>
  <c r="N1221"/>
  <c r="AB1221" s="1"/>
  <c r="AD1221" s="1"/>
  <c r="AA1221"/>
  <c r="AC1221" s="1"/>
  <c r="N1220"/>
  <c r="AB1220" s="1"/>
  <c r="AD1220" s="1"/>
  <c r="AA1220"/>
  <c r="AC1220" s="1"/>
  <c r="R1210"/>
  <c r="Z1210" s="1"/>
  <c r="L1210"/>
  <c r="Q1217"/>
  <c r="Y1217" s="1"/>
  <c r="AA1217" s="1"/>
  <c r="AC1217" s="1"/>
  <c r="N1217"/>
  <c r="AB1217" s="1"/>
  <c r="N1216"/>
  <c r="AB1216" s="1"/>
  <c r="AD1216" s="1"/>
  <c r="P1215"/>
  <c r="Q1214"/>
  <c r="Y1214" s="1"/>
  <c r="AA1214" s="1"/>
  <c r="AC1214" s="1"/>
  <c r="N1214"/>
  <c r="AB1214" s="1"/>
  <c r="AD1214" s="1"/>
  <c r="Q1213"/>
  <c r="Y1213" s="1"/>
  <c r="AA1213" s="1"/>
  <c r="AC1213" s="1"/>
  <c r="N1213"/>
  <c r="AB1213" s="1"/>
  <c r="AD1213" s="1"/>
  <c r="N1211"/>
  <c r="AB1211" s="1"/>
  <c r="AD1211" s="1"/>
  <c r="P1210"/>
  <c r="Z1209"/>
  <c r="Y1209"/>
  <c r="N1209"/>
  <c r="Z1208"/>
  <c r="Y1208"/>
  <c r="N1208"/>
  <c r="R1207"/>
  <c r="P1207"/>
  <c r="L1207"/>
  <c r="Z1206"/>
  <c r="Y1206"/>
  <c r="N1206"/>
  <c r="Z1205"/>
  <c r="AB1205" s="1"/>
  <c r="AD1205" s="1"/>
  <c r="Y1205"/>
  <c r="AA1205" s="1"/>
  <c r="AC1205" s="1"/>
  <c r="Z1204"/>
  <c r="Y1204"/>
  <c r="N1204"/>
  <c r="Z1203"/>
  <c r="Y1203"/>
  <c r="N1203"/>
  <c r="Z1202"/>
  <c r="AB1202" s="1"/>
  <c r="AD1202" s="1"/>
  <c r="Y1202"/>
  <c r="AA1202" s="1"/>
  <c r="AC1202" s="1"/>
  <c r="Z1201"/>
  <c r="Y1201"/>
  <c r="N1201"/>
  <c r="Z1200"/>
  <c r="Y1200"/>
  <c r="N1200"/>
  <c r="Z1199"/>
  <c r="Y1199"/>
  <c r="N1199"/>
  <c r="Z1198"/>
  <c r="Y1198"/>
  <c r="N1198"/>
  <c r="I1198"/>
  <c r="Z1197"/>
  <c r="Y1197"/>
  <c r="N1197"/>
  <c r="Z1196"/>
  <c r="Y1196"/>
  <c r="N1196"/>
  <c r="Z1195"/>
  <c r="Y1195"/>
  <c r="N1195"/>
  <c r="R1194"/>
  <c r="P1194"/>
  <c r="L1194"/>
  <c r="AD1225" l="1"/>
  <c r="AD1229" s="1"/>
  <c r="AD1230" s="1"/>
  <c r="AB1224"/>
  <c r="Y1207"/>
  <c r="AA1207" s="1"/>
  <c r="AC1207" s="1"/>
  <c r="Z1207"/>
  <c r="AB1198"/>
  <c r="AD1198" s="1"/>
  <c r="R1193"/>
  <c r="Z1193" s="1"/>
  <c r="P1193"/>
  <c r="AB1195"/>
  <c r="AD1195" s="1"/>
  <c r="AB1197"/>
  <c r="AD1197" s="1"/>
  <c r="AB1203"/>
  <c r="AD1203" s="1"/>
  <c r="AB1204"/>
  <c r="AD1204" s="1"/>
  <c r="AB1206"/>
  <c r="AD1206" s="1"/>
  <c r="AB1199"/>
  <c r="AD1199" s="1"/>
  <c r="AB1208"/>
  <c r="AD1208" s="1"/>
  <c r="AB1209"/>
  <c r="AD1209" s="1"/>
  <c r="L1217"/>
  <c r="L1215" s="1"/>
  <c r="L1193" s="1"/>
  <c r="AA1198"/>
  <c r="AC1198" s="1"/>
  <c r="AA1201"/>
  <c r="AC1201" s="1"/>
  <c r="AA1196"/>
  <c r="AC1196" s="1"/>
  <c r="AA1197"/>
  <c r="AC1197" s="1"/>
  <c r="AA1203"/>
  <c r="AC1203" s="1"/>
  <c r="N1215"/>
  <c r="AB1215" s="1"/>
  <c r="N1207"/>
  <c r="N1210"/>
  <c r="AB1210" s="1"/>
  <c r="AD1210" s="1"/>
  <c r="Z1194"/>
  <c r="AB1200"/>
  <c r="AD1200" s="1"/>
  <c r="AB1201"/>
  <c r="AD1201" s="1"/>
  <c r="AA1208"/>
  <c r="AC1208" s="1"/>
  <c r="N1218"/>
  <c r="AB1218" s="1"/>
  <c r="AD1218" s="1"/>
  <c r="N1194"/>
  <c r="AA1199"/>
  <c r="AC1199" s="1"/>
  <c r="AA1200"/>
  <c r="AC1200" s="1"/>
  <c r="AA1204"/>
  <c r="AC1204" s="1"/>
  <c r="AA1206"/>
  <c r="AC1206" s="1"/>
  <c r="AA1209"/>
  <c r="AC1209" s="1"/>
  <c r="AA1195"/>
  <c r="AC1195" s="1"/>
  <c r="Y1194"/>
  <c r="AB1196"/>
  <c r="AD1196" s="1"/>
  <c r="AB1207" l="1"/>
  <c r="AD1207" s="1"/>
  <c r="AD1217"/>
  <c r="AD1215"/>
  <c r="N1193"/>
  <c r="AB1194"/>
  <c r="AA1194"/>
  <c r="AC1194" s="1"/>
  <c r="AC1222" l="1"/>
  <c r="AC1223" s="1"/>
  <c r="AD1194"/>
  <c r="AD1222" s="1"/>
  <c r="AD1223" s="1"/>
  <c r="AB1193"/>
  <c r="Z1106"/>
  <c r="AB1106" s="1"/>
  <c r="AD1106" s="1"/>
  <c r="Y1106"/>
  <c r="AA1106" s="1"/>
  <c r="AC1106" s="1"/>
  <c r="Z1105"/>
  <c r="AB1105" s="1"/>
  <c r="AD1105" s="1"/>
  <c r="Y1105"/>
  <c r="AA1105" s="1"/>
  <c r="AC1105" s="1"/>
  <c r="Z1104"/>
  <c r="AB1104" s="1"/>
  <c r="AD1104" s="1"/>
  <c r="Y1104"/>
  <c r="AA1104" s="1"/>
  <c r="AC1104" s="1"/>
  <c r="AA1103"/>
  <c r="AC1103" s="1"/>
  <c r="Z1103"/>
  <c r="AB1103" s="1"/>
  <c r="AC1100"/>
  <c r="R1100"/>
  <c r="P1100"/>
  <c r="N1100"/>
  <c r="L1100"/>
  <c r="Z1099"/>
  <c r="AB1099" s="1"/>
  <c r="AD1099" s="1"/>
  <c r="Y1099"/>
  <c r="M1099"/>
  <c r="Y1098"/>
  <c r="AA1098" s="1"/>
  <c r="AC1098" s="1"/>
  <c r="Z1098"/>
  <c r="L1098"/>
  <c r="Z1097"/>
  <c r="AB1097" s="1"/>
  <c r="Y1097"/>
  <c r="L1097"/>
  <c r="Z1096"/>
  <c r="AB1096" s="1"/>
  <c r="AD1096" s="1"/>
  <c r="Y1096"/>
  <c r="AA1096" s="1"/>
  <c r="AC1096" s="1"/>
  <c r="Z1095"/>
  <c r="AB1095" s="1"/>
  <c r="Y1095"/>
  <c r="AA1095" s="1"/>
  <c r="AC1095" s="1"/>
  <c r="L1095"/>
  <c r="Z1094"/>
  <c r="AB1094" s="1"/>
  <c r="AD1094" s="1"/>
  <c r="Y1094"/>
  <c r="AA1094" s="1"/>
  <c r="AC1094" s="1"/>
  <c r="Z1093"/>
  <c r="AB1093" s="1"/>
  <c r="AD1093" s="1"/>
  <c r="Y1093"/>
  <c r="AA1093" s="1"/>
  <c r="AC1093" s="1"/>
  <c r="Z1092"/>
  <c r="AB1092" s="1"/>
  <c r="AD1092" s="1"/>
  <c r="Y1092"/>
  <c r="AA1092" s="1"/>
  <c r="AC1092" s="1"/>
  <c r="Z1091"/>
  <c r="AB1091" s="1"/>
  <c r="AD1091" s="1"/>
  <c r="Y1091"/>
  <c r="AA1091" s="1"/>
  <c r="AC1091" s="1"/>
  <c r="Z1090"/>
  <c r="AB1090" s="1"/>
  <c r="AD1090" s="1"/>
  <c r="Y1090"/>
  <c r="AA1090" s="1"/>
  <c r="Y1089"/>
  <c r="AA1089" s="1"/>
  <c r="AC1089" s="1"/>
  <c r="R1089"/>
  <c r="N1089"/>
  <c r="L1089"/>
  <c r="Z1088"/>
  <c r="AB1088" s="1"/>
  <c r="Y1088"/>
  <c r="AA1088" s="1"/>
  <c r="Z1087"/>
  <c r="AB1087" s="1"/>
  <c r="Y1087"/>
  <c r="M1087"/>
  <c r="K1087"/>
  <c r="Y1086"/>
  <c r="AA1086" s="1"/>
  <c r="AC1086" s="1"/>
  <c r="T1086"/>
  <c r="R1086"/>
  <c r="N1086"/>
  <c r="Z1085"/>
  <c r="AB1085" s="1"/>
  <c r="AD1085" s="1"/>
  <c r="Y1085"/>
  <c r="AA1085" s="1"/>
  <c r="AC1085" s="1"/>
  <c r="Z1084"/>
  <c r="AB1084" s="1"/>
  <c r="AD1084" s="1"/>
  <c r="Y1084"/>
  <c r="AA1084" s="1"/>
  <c r="AC1084" s="1"/>
  <c r="Z1083"/>
  <c r="AB1083" s="1"/>
  <c r="AD1083" s="1"/>
  <c r="Y1083"/>
  <c r="AA1083" s="1"/>
  <c r="AC1083" s="1"/>
  <c r="Z1082"/>
  <c r="AB1082" s="1"/>
  <c r="AD1082" s="1"/>
  <c r="Y1082"/>
  <c r="AA1082" s="1"/>
  <c r="AC1082" s="1"/>
  <c r="Y1081"/>
  <c r="AA1081" s="1"/>
  <c r="AC1081" s="1"/>
  <c r="T1081"/>
  <c r="T1067" s="1"/>
  <c r="R1081"/>
  <c r="P1081"/>
  <c r="N1081"/>
  <c r="L1081"/>
  <c r="Z1080"/>
  <c r="AB1080" s="1"/>
  <c r="Y1080"/>
  <c r="L1080"/>
  <c r="Z1079"/>
  <c r="AB1079" s="1"/>
  <c r="Y1079"/>
  <c r="AA1079" s="1"/>
  <c r="AC1079" s="1"/>
  <c r="L1079"/>
  <c r="Z1078"/>
  <c r="AB1078" s="1"/>
  <c r="Y1078"/>
  <c r="AA1078" s="1"/>
  <c r="AC1078" s="1"/>
  <c r="L1078"/>
  <c r="Z1077"/>
  <c r="AB1077" s="1"/>
  <c r="Y1077"/>
  <c r="AA1077" s="1"/>
  <c r="AC1077" s="1"/>
  <c r="L1077"/>
  <c r="Z1076"/>
  <c r="AB1076" s="1"/>
  <c r="Y1076"/>
  <c r="AA1076" s="1"/>
  <c r="AC1076" s="1"/>
  <c r="L1076"/>
  <c r="Z1075"/>
  <c r="Y1075"/>
  <c r="AA1075" s="1"/>
  <c r="AC1075" s="1"/>
  <c r="L1075"/>
  <c r="Z1074"/>
  <c r="AB1074" s="1"/>
  <c r="Y1074"/>
  <c r="AA1074" s="1"/>
  <c r="AC1074" s="1"/>
  <c r="L1074"/>
  <c r="P1067" l="1"/>
  <c r="AC1107"/>
  <c r="AC1108" s="1"/>
  <c r="N1067"/>
  <c r="R1067"/>
  <c r="AB1075"/>
  <c r="AC1090"/>
  <c r="AD1074"/>
  <c r="Z1089"/>
  <c r="AB1089" s="1"/>
  <c r="AD1089" s="1"/>
  <c r="AB1100"/>
  <c r="AD1100" s="1"/>
  <c r="Z1086"/>
  <c r="AB1086" s="1"/>
  <c r="AD1088"/>
  <c r="Z1100"/>
  <c r="AA1080"/>
  <c r="AC1080" s="1"/>
  <c r="AD1076"/>
  <c r="AD1077"/>
  <c r="AD1078"/>
  <c r="AD1095"/>
  <c r="AD1079"/>
  <c r="AD1080"/>
  <c r="Z1081"/>
  <c r="AA1097"/>
  <c r="AC1097" s="1"/>
  <c r="AD1087"/>
  <c r="AC1088"/>
  <c r="AB1098"/>
  <c r="AD1098" s="1"/>
  <c r="AA1087"/>
  <c r="AC1087" s="1"/>
  <c r="L1086"/>
  <c r="L1067" s="1"/>
  <c r="AD1097"/>
  <c r="AA1099"/>
  <c r="AC1099" s="1"/>
  <c r="AD1103"/>
  <c r="AB1081" l="1"/>
  <c r="Z1067"/>
  <c r="AD1075"/>
  <c r="AD1086"/>
  <c r="AD1081" l="1"/>
  <c r="AD1107" s="1"/>
  <c r="AD1108" s="1"/>
  <c r="AB1067"/>
  <c r="N1001"/>
  <c r="N1000" s="1"/>
  <c r="L1001"/>
  <c r="L1000" s="1"/>
  <c r="P1000"/>
  <c r="P972"/>
  <c r="I9" i="2"/>
  <c r="I11" s="1"/>
  <c r="Z702" i="1" l="1"/>
  <c r="Y702"/>
  <c r="AA702" s="1"/>
  <c r="AC702" s="1"/>
  <c r="Z701"/>
  <c r="AB701" s="1"/>
  <c r="AD701" s="1"/>
  <c r="Y701"/>
  <c r="AA701" s="1"/>
  <c r="AC701" s="1"/>
  <c r="AA700"/>
  <c r="AC700" s="1"/>
  <c r="R700"/>
  <c r="P700"/>
  <c r="L700"/>
  <c r="Z699"/>
  <c r="AB699" s="1"/>
  <c r="AD699" s="1"/>
  <c r="Y699"/>
  <c r="AA699" s="1"/>
  <c r="AC699" s="1"/>
  <c r="Z698"/>
  <c r="AB698" s="1"/>
  <c r="AD698" s="1"/>
  <c r="Y698"/>
  <c r="AA698" s="1"/>
  <c r="AC698" s="1"/>
  <c r="R697"/>
  <c r="Q697"/>
  <c r="P697"/>
  <c r="L697"/>
  <c r="Z696"/>
  <c r="AB696" s="1"/>
  <c r="AD696" s="1"/>
  <c r="Y696"/>
  <c r="AA696" s="1"/>
  <c r="AC696" s="1"/>
  <c r="Z695"/>
  <c r="AB695" s="1"/>
  <c r="AD695" s="1"/>
  <c r="Y695"/>
  <c r="AA695" s="1"/>
  <c r="AC695" s="1"/>
  <c r="Z694"/>
  <c r="AB694" s="1"/>
  <c r="AD694" s="1"/>
  <c r="Y694"/>
  <c r="AA694" s="1"/>
  <c r="AC694" s="1"/>
  <c r="Z693"/>
  <c r="AB693" s="1"/>
  <c r="AD693" s="1"/>
  <c r="Y693"/>
  <c r="AA693" s="1"/>
  <c r="AC693" s="1"/>
  <c r="AA692"/>
  <c r="AC692" s="1"/>
  <c r="Z692"/>
  <c r="AB692" s="1"/>
  <c r="R692"/>
  <c r="P692"/>
  <c r="L692"/>
  <c r="Z691"/>
  <c r="AB691" s="1"/>
  <c r="AD691" s="1"/>
  <c r="Y691"/>
  <c r="AA691" s="1"/>
  <c r="AC691" s="1"/>
  <c r="Z690"/>
  <c r="AB690" s="1"/>
  <c r="R690"/>
  <c r="Q690"/>
  <c r="Y690" s="1"/>
  <c r="P690"/>
  <c r="O690"/>
  <c r="L690"/>
  <c r="Z689"/>
  <c r="AB689" s="1"/>
  <c r="AD689" s="1"/>
  <c r="Y689"/>
  <c r="AA689" s="1"/>
  <c r="AC689" s="1"/>
  <c r="Z688"/>
  <c r="AB688" s="1"/>
  <c r="AD688" s="1"/>
  <c r="Y688"/>
  <c r="AA688" s="1"/>
  <c r="AC688" s="1"/>
  <c r="AC687"/>
  <c r="Z687"/>
  <c r="AB687" s="1"/>
  <c r="AD687" s="1"/>
  <c r="Y687"/>
  <c r="AC686"/>
  <c r="Z686"/>
  <c r="AB686" s="1"/>
  <c r="AD686" s="1"/>
  <c r="Y686"/>
  <c r="Y683" s="1"/>
  <c r="AA683" s="1"/>
  <c r="AC683" s="1"/>
  <c r="Z685"/>
  <c r="AB685" s="1"/>
  <c r="AD685" s="1"/>
  <c r="Y685"/>
  <c r="AA685" s="1"/>
  <c r="AC685" s="1"/>
  <c r="Z684"/>
  <c r="AB684" s="1"/>
  <c r="AD684" s="1"/>
  <c r="Y684"/>
  <c r="AA684" s="1"/>
  <c r="AC684" s="1"/>
  <c r="X683"/>
  <c r="V683"/>
  <c r="R683"/>
  <c r="P683"/>
  <c r="L683"/>
  <c r="Z682"/>
  <c r="Y682"/>
  <c r="Z681"/>
  <c r="AB681" s="1"/>
  <c r="AD681" s="1"/>
  <c r="Y681"/>
  <c r="AA681" s="1"/>
  <c r="AC681" s="1"/>
  <c r="Z680"/>
  <c r="AB680" s="1"/>
  <c r="AD680" s="1"/>
  <c r="Y680"/>
  <c r="AA680" s="1"/>
  <c r="AC680" s="1"/>
  <c r="Z679"/>
  <c r="AB679" s="1"/>
  <c r="AD679" s="1"/>
  <c r="Y679"/>
  <c r="AA679" s="1"/>
  <c r="AC679" s="1"/>
  <c r="Z678"/>
  <c r="AB678" s="1"/>
  <c r="AD678" s="1"/>
  <c r="Y678"/>
  <c r="AA678" s="1"/>
  <c r="AC678" s="1"/>
  <c r="Z677"/>
  <c r="AB677" s="1"/>
  <c r="AD677" s="1"/>
  <c r="Y677"/>
  <c r="AA677" s="1"/>
  <c r="AC677" s="1"/>
  <c r="Z676"/>
  <c r="AB676" s="1"/>
  <c r="AD676" s="1"/>
  <c r="Y676"/>
  <c r="AA676" s="1"/>
  <c r="AC676" s="1"/>
  <c r="Z675"/>
  <c r="AB675" s="1"/>
  <c r="AD675" s="1"/>
  <c r="Y675"/>
  <c r="AA675" s="1"/>
  <c r="AC675" s="1"/>
  <c r="Z674"/>
  <c r="AB674" s="1"/>
  <c r="AD674" s="1"/>
  <c r="Y674"/>
  <c r="AA674" s="1"/>
  <c r="AC674" s="1"/>
  <c r="Z673"/>
  <c r="AB673" s="1"/>
  <c r="AD673" s="1"/>
  <c r="Y673"/>
  <c r="AA673" s="1"/>
  <c r="AC673" s="1"/>
  <c r="Z672"/>
  <c r="AB672" s="1"/>
  <c r="AD672" s="1"/>
  <c r="Y672"/>
  <c r="AA672" s="1"/>
  <c r="AC672" s="1"/>
  <c r="Z671"/>
  <c r="AB671" s="1"/>
  <c r="AD671" s="1"/>
  <c r="Y671"/>
  <c r="AA671" s="1"/>
  <c r="AC671" s="1"/>
  <c r="R670"/>
  <c r="L670"/>
  <c r="Q669"/>
  <c r="Y669" s="1"/>
  <c r="N669"/>
  <c r="P669" l="1"/>
  <c r="Z700"/>
  <c r="AB700" s="1"/>
  <c r="AD700" s="1"/>
  <c r="Y697"/>
  <c r="AA697" s="1"/>
  <c r="AC697" s="1"/>
  <c r="Y670"/>
  <c r="AA670" s="1"/>
  <c r="AC670" s="1"/>
  <c r="L669"/>
  <c r="AA690"/>
  <c r="AC690" s="1"/>
  <c r="AD690"/>
  <c r="AD692"/>
  <c r="R669"/>
  <c r="Z669" s="1"/>
  <c r="AB702"/>
  <c r="AD702" s="1"/>
  <c r="Z670"/>
  <c r="AB670" s="1"/>
  <c r="Z683"/>
  <c r="AB683" s="1"/>
  <c r="AD683" s="1"/>
  <c r="Z697"/>
  <c r="AB697" s="1"/>
  <c r="AD697" s="1"/>
  <c r="AC703" l="1"/>
  <c r="AC704" s="1"/>
  <c r="AD670"/>
  <c r="AB669"/>
  <c r="AD703" l="1"/>
  <c r="AD704" s="1"/>
  <c r="P707"/>
  <c r="P706" s="1"/>
  <c r="F11" i="2"/>
  <c r="F9"/>
  <c r="L516" i="1"/>
  <c r="AD516" s="1"/>
  <c r="L515"/>
  <c r="AD515" s="1"/>
  <c r="P492"/>
  <c r="C9" i="2"/>
  <c r="C11" s="1"/>
  <c r="A9"/>
  <c r="P121" i="1"/>
  <c r="N3" i="2"/>
  <c r="P183" i="1"/>
  <c r="P173"/>
  <c r="P166"/>
  <c r="P149"/>
  <c r="P144"/>
  <c r="P138"/>
  <c r="A5" i="3"/>
  <c r="A3"/>
  <c r="N2046" i="1" l="1"/>
  <c r="L2046"/>
  <c r="R1651" l="1"/>
  <c r="L1651"/>
  <c r="L1650" s="1"/>
  <c r="X1650"/>
  <c r="V1650"/>
  <c r="T1650"/>
  <c r="P1650"/>
  <c r="N1650"/>
  <c r="W1649"/>
  <c r="V1649"/>
  <c r="U1649" s="1"/>
  <c r="T1649"/>
  <c r="S1649" s="1"/>
  <c r="R1649"/>
  <c r="N1649"/>
  <c r="L1649"/>
  <c r="W1648"/>
  <c r="U1648"/>
  <c r="N1648"/>
  <c r="AB1648" s="1"/>
  <c r="L1648"/>
  <c r="X1647"/>
  <c r="P1647"/>
  <c r="L1644"/>
  <c r="AD1644" s="1"/>
  <c r="L1643"/>
  <c r="AD1643" s="1"/>
  <c r="L1642"/>
  <c r="AD1642" s="1"/>
  <c r="L1641"/>
  <c r="AD1641" s="1"/>
  <c r="L1640"/>
  <c r="AD1640" s="1"/>
  <c r="L1639"/>
  <c r="AD1639" s="1"/>
  <c r="T1638"/>
  <c r="T1627" s="1"/>
  <c r="R1638"/>
  <c r="N1638"/>
  <c r="L1638"/>
  <c r="R1637"/>
  <c r="Z1637" s="1"/>
  <c r="N1637"/>
  <c r="L1637"/>
  <c r="R1636"/>
  <c r="Z1636" s="1"/>
  <c r="N1636"/>
  <c r="L1636"/>
  <c r="L1635"/>
  <c r="AD1635" s="1"/>
  <c r="L1634"/>
  <c r="AD1634" s="1"/>
  <c r="L1633"/>
  <c r="AD1633" s="1"/>
  <c r="L1632"/>
  <c r="AD1632" s="1"/>
  <c r="W1631"/>
  <c r="U1631"/>
  <c r="S1631"/>
  <c r="N1631"/>
  <c r="AB1631" s="1"/>
  <c r="L1631"/>
  <c r="W1630"/>
  <c r="U1630"/>
  <c r="S1630"/>
  <c r="N1630"/>
  <c r="AB1630" s="1"/>
  <c r="L1630"/>
  <c r="W1629"/>
  <c r="U1629"/>
  <c r="N1629"/>
  <c r="AB1629" s="1"/>
  <c r="AD1629" s="1"/>
  <c r="W1628"/>
  <c r="U1628"/>
  <c r="N1628"/>
  <c r="AB1628" s="1"/>
  <c r="L1628"/>
  <c r="X1627"/>
  <c r="V1627"/>
  <c r="Q1627"/>
  <c r="P1627"/>
  <c r="O1627"/>
  <c r="M1627"/>
  <c r="K1627"/>
  <c r="R1626"/>
  <c r="Z1626" s="1"/>
  <c r="N1626"/>
  <c r="L1626"/>
  <c r="L1625" s="1"/>
  <c r="X1625"/>
  <c r="V1625"/>
  <c r="T1625"/>
  <c r="P1625"/>
  <c r="R1623"/>
  <c r="Z1623" s="1"/>
  <c r="AB1623" s="1"/>
  <c r="X1622"/>
  <c r="V1622"/>
  <c r="T1622"/>
  <c r="P1622"/>
  <c r="N1622"/>
  <c r="W1621"/>
  <c r="Y1621" s="1"/>
  <c r="AA1621" s="1"/>
  <c r="AC1621" s="1"/>
  <c r="N1621"/>
  <c r="AB1621" s="1"/>
  <c r="L1621"/>
  <c r="W1620"/>
  <c r="U1620"/>
  <c r="N1620"/>
  <c r="AB1620" s="1"/>
  <c r="L1620"/>
  <c r="L1619"/>
  <c r="AD1619" s="1"/>
  <c r="W1618"/>
  <c r="U1618"/>
  <c r="S1618"/>
  <c r="N1618"/>
  <c r="AB1618" s="1"/>
  <c r="L1618"/>
  <c r="W1617"/>
  <c r="U1617"/>
  <c r="S1617"/>
  <c r="N1617"/>
  <c r="AB1617" s="1"/>
  <c r="L1617"/>
  <c r="X1616"/>
  <c r="V1616"/>
  <c r="T1616"/>
  <c r="R1616"/>
  <c r="P1616"/>
  <c r="W1615"/>
  <c r="U1615"/>
  <c r="N1615"/>
  <c r="AB1615" s="1"/>
  <c r="L1615"/>
  <c r="W1614"/>
  <c r="U1614"/>
  <c r="N1614"/>
  <c r="AB1614" s="1"/>
  <c r="L1614"/>
  <c r="W1613"/>
  <c r="U1613"/>
  <c r="N1613"/>
  <c r="AB1613" s="1"/>
  <c r="L1613"/>
  <c r="W1612"/>
  <c r="U1612"/>
  <c r="N1612"/>
  <c r="AB1612" s="1"/>
  <c r="L1612"/>
  <c r="W1611"/>
  <c r="U1611"/>
  <c r="R1611"/>
  <c r="Z1611" s="1"/>
  <c r="N1611"/>
  <c r="L1611"/>
  <c r="W1610"/>
  <c r="U1610"/>
  <c r="N1610"/>
  <c r="AB1610" s="1"/>
  <c r="L1610"/>
  <c r="W1609"/>
  <c r="U1609"/>
  <c r="N1609"/>
  <c r="AB1609" s="1"/>
  <c r="L1609"/>
  <c r="W1608"/>
  <c r="U1608"/>
  <c r="N1608"/>
  <c r="AB1608" s="1"/>
  <c r="L1608"/>
  <c r="W1607"/>
  <c r="U1607"/>
  <c r="N1607"/>
  <c r="AB1607" s="1"/>
  <c r="L1607"/>
  <c r="W1606"/>
  <c r="U1606"/>
  <c r="N1606"/>
  <c r="AB1606" s="1"/>
  <c r="L1606"/>
  <c r="W1605"/>
  <c r="U1605"/>
  <c r="N1605"/>
  <c r="AB1605" s="1"/>
  <c r="L1605"/>
  <c r="X1604"/>
  <c r="V1604"/>
  <c r="P1604"/>
  <c r="O1604"/>
  <c r="K1604"/>
  <c r="AB1637" l="1"/>
  <c r="AD1637" s="1"/>
  <c r="AD1613"/>
  <c r="AD1617"/>
  <c r="AD1606"/>
  <c r="AD1610"/>
  <c r="AD1621"/>
  <c r="AD1631"/>
  <c r="AB1611"/>
  <c r="AD1611" s="1"/>
  <c r="Y1631"/>
  <c r="AA1631" s="1"/>
  <c r="AC1631" s="1"/>
  <c r="AB1636"/>
  <c r="AD1636" s="1"/>
  <c r="Y1606"/>
  <c r="AA1606" s="1"/>
  <c r="AC1606" s="1"/>
  <c r="AD1607"/>
  <c r="Y1610"/>
  <c r="AA1610" s="1"/>
  <c r="AC1610" s="1"/>
  <c r="Y1613"/>
  <c r="AA1613" s="1"/>
  <c r="AC1613" s="1"/>
  <c r="AD1614"/>
  <c r="Y1617"/>
  <c r="AA1617" s="1"/>
  <c r="AC1617" s="1"/>
  <c r="AD1618"/>
  <c r="AD1623"/>
  <c r="N1625"/>
  <c r="AB1626"/>
  <c r="AD1626" s="1"/>
  <c r="Q1651"/>
  <c r="Y1651" s="1"/>
  <c r="AA1651" s="1"/>
  <c r="AC1651" s="1"/>
  <c r="Z1651"/>
  <c r="AB1651" s="1"/>
  <c r="AD1651" s="1"/>
  <c r="Y1605"/>
  <c r="AA1605" s="1"/>
  <c r="AC1605" s="1"/>
  <c r="Y1620"/>
  <c r="AA1620" s="1"/>
  <c r="AC1620" s="1"/>
  <c r="Y1630"/>
  <c r="AA1630" s="1"/>
  <c r="AC1630" s="1"/>
  <c r="Z1638"/>
  <c r="AB1638" s="1"/>
  <c r="AD1638" s="1"/>
  <c r="Z1649"/>
  <c r="AB1649" s="1"/>
  <c r="AD1649" s="1"/>
  <c r="Y1607"/>
  <c r="AA1607" s="1"/>
  <c r="AC1607" s="1"/>
  <c r="AD1608"/>
  <c r="Y1614"/>
  <c r="AA1614" s="1"/>
  <c r="AC1614" s="1"/>
  <c r="AD1615"/>
  <c r="Y1618"/>
  <c r="AA1618" s="1"/>
  <c r="AC1618" s="1"/>
  <c r="AD1628"/>
  <c r="AD1648"/>
  <c r="Y1609"/>
  <c r="AA1609" s="1"/>
  <c r="AC1609" s="1"/>
  <c r="Y1612"/>
  <c r="AA1612" s="1"/>
  <c r="AC1612" s="1"/>
  <c r="AD1605"/>
  <c r="Y1608"/>
  <c r="AA1608" s="1"/>
  <c r="AC1608" s="1"/>
  <c r="AD1609"/>
  <c r="Y1611"/>
  <c r="AA1611" s="1"/>
  <c r="AC1611" s="1"/>
  <c r="AD1612"/>
  <c r="Y1615"/>
  <c r="AA1615" s="1"/>
  <c r="AC1615" s="1"/>
  <c r="Z1616"/>
  <c r="AD1620"/>
  <c r="Y1628"/>
  <c r="AA1628" s="1"/>
  <c r="AC1628" s="1"/>
  <c r="Y1629"/>
  <c r="AA1629" s="1"/>
  <c r="AC1629" s="1"/>
  <c r="AD1630"/>
  <c r="Y1648"/>
  <c r="AA1648" s="1"/>
  <c r="AC1648" s="1"/>
  <c r="L1622"/>
  <c r="L1647"/>
  <c r="U1616"/>
  <c r="W1616"/>
  <c r="S1627"/>
  <c r="N1647"/>
  <c r="U1627"/>
  <c r="W1627"/>
  <c r="P1603"/>
  <c r="N1604"/>
  <c r="W1647"/>
  <c r="L1627"/>
  <c r="R1604"/>
  <c r="Z1604" s="1"/>
  <c r="L1604"/>
  <c r="S1604"/>
  <c r="W1604"/>
  <c r="N1616"/>
  <c r="L1616"/>
  <c r="S1616"/>
  <c r="R1622"/>
  <c r="Z1622" s="1"/>
  <c r="AB1622" s="1"/>
  <c r="R1625"/>
  <c r="Z1625" s="1"/>
  <c r="T1647"/>
  <c r="S1647" s="1"/>
  <c r="R1627"/>
  <c r="Z1627" s="1"/>
  <c r="R1650"/>
  <c r="Z1650" s="1"/>
  <c r="AB1650" s="1"/>
  <c r="AD1650" s="1"/>
  <c r="Q1604"/>
  <c r="N1627"/>
  <c r="V1647"/>
  <c r="U1647" s="1"/>
  <c r="Q1649"/>
  <c r="Y1649" s="1"/>
  <c r="AA1649" s="1"/>
  <c r="AC1649" s="1"/>
  <c r="T1603" l="1"/>
  <c r="AD1622"/>
  <c r="AB1625"/>
  <c r="AD1625" s="1"/>
  <c r="AB1604"/>
  <c r="AD1604" s="1"/>
  <c r="Y1627"/>
  <c r="AA1627" s="1"/>
  <c r="AC1627" s="1"/>
  <c r="AB1616"/>
  <c r="AD1616" s="1"/>
  <c r="Q1650"/>
  <c r="Y1650" s="1"/>
  <c r="AA1650" s="1"/>
  <c r="AC1650" s="1"/>
  <c r="Y1647"/>
  <c r="AB1627"/>
  <c r="AD1627" s="1"/>
  <c r="Y1616"/>
  <c r="AA1616" s="1"/>
  <c r="AC1616" s="1"/>
  <c r="L1603"/>
  <c r="U1604"/>
  <c r="Y1604" s="1"/>
  <c r="AA1604" s="1"/>
  <c r="AC1604" s="1"/>
  <c r="R1647"/>
  <c r="N1603"/>
  <c r="AC1652" l="1"/>
  <c r="AC1653" s="1"/>
  <c r="R1603"/>
  <c r="Z1647"/>
  <c r="AB1647" s="1"/>
  <c r="AD1647" s="1"/>
  <c r="AD1652" s="1"/>
  <c r="AD1653" s="1"/>
  <c r="Z1603" l="1"/>
  <c r="AB1603"/>
  <c r="R1385"/>
  <c r="Z1385" s="1"/>
  <c r="R1375"/>
  <c r="Z1375" s="1"/>
  <c r="R1368"/>
  <c r="L1385"/>
  <c r="L1382"/>
  <c r="L1375"/>
  <c r="N1389"/>
  <c r="AB1389" s="1"/>
  <c r="AD1389" s="1"/>
  <c r="N1388"/>
  <c r="AB1388" s="1"/>
  <c r="AD1388" s="1"/>
  <c r="N1386"/>
  <c r="AB1386" s="1"/>
  <c r="AD1386" s="1"/>
  <c r="P1385"/>
  <c r="Q1383"/>
  <c r="Y1383" s="1"/>
  <c r="AA1383" s="1"/>
  <c r="AC1383" s="1"/>
  <c r="N1383"/>
  <c r="P1382"/>
  <c r="Q1381"/>
  <c r="Y1381" s="1"/>
  <c r="AA1381" s="1"/>
  <c r="AC1381" s="1"/>
  <c r="Q1380"/>
  <c r="Y1380" s="1"/>
  <c r="AA1380" s="1"/>
  <c r="AC1380" s="1"/>
  <c r="N1378"/>
  <c r="AB1378" s="1"/>
  <c r="AD1378" s="1"/>
  <c r="N1377"/>
  <c r="AB1377" s="1"/>
  <c r="AD1377" s="1"/>
  <c r="P1375"/>
  <c r="Q1374"/>
  <c r="Y1374" s="1"/>
  <c r="AA1374" s="1"/>
  <c r="AC1374" s="1"/>
  <c r="N1374"/>
  <c r="AB1374" s="1"/>
  <c r="AD1374" s="1"/>
  <c r="N1373"/>
  <c r="AB1373" s="1"/>
  <c r="AD1373" s="1"/>
  <c r="Q1372"/>
  <c r="Y1372" s="1"/>
  <c r="AA1372" s="1"/>
  <c r="AC1372" s="1"/>
  <c r="N1372"/>
  <c r="N1371"/>
  <c r="AB1371" s="1"/>
  <c r="AD1371" s="1"/>
  <c r="N1370"/>
  <c r="AB1370" s="1"/>
  <c r="AD1370" s="1"/>
  <c r="N1369"/>
  <c r="AB1369" s="1"/>
  <c r="AD1369" s="1"/>
  <c r="P1368"/>
  <c r="P1367" l="1"/>
  <c r="Z1368"/>
  <c r="Z1367" s="1"/>
  <c r="R1367"/>
  <c r="N1382"/>
  <c r="AB1382" s="1"/>
  <c r="AD1382" s="1"/>
  <c r="AB1383"/>
  <c r="AD1383" s="1"/>
  <c r="L1372"/>
  <c r="L1368" s="1"/>
  <c r="L1367" s="1"/>
  <c r="AB1372"/>
  <c r="N1385"/>
  <c r="AB1385" s="1"/>
  <c r="AD1385" s="1"/>
  <c r="N1368"/>
  <c r="N1375"/>
  <c r="AB1375" s="1"/>
  <c r="AD1375" s="1"/>
  <c r="AD1372" l="1"/>
  <c r="AB1368"/>
  <c r="AD1368" s="1"/>
  <c r="N1367"/>
  <c r="AB1367" l="1"/>
  <c r="AD1390"/>
  <c r="AD1391" s="1"/>
  <c r="AC1391"/>
  <c r="AB1364"/>
  <c r="AD1364" s="1"/>
  <c r="Y1364"/>
  <c r="AA1364" s="1"/>
  <c r="AC1364" s="1"/>
  <c r="AB1363"/>
  <c r="AD1363" s="1"/>
  <c r="Y1363"/>
  <c r="AA1363" s="1"/>
  <c r="AC1363" s="1"/>
  <c r="AB1362"/>
  <c r="AD1362" s="1"/>
  <c r="Y1362"/>
  <c r="AA1362" s="1"/>
  <c r="AC1362" s="1"/>
  <c r="Z1361"/>
  <c r="Y1361"/>
  <c r="AA1361" s="1"/>
  <c r="AC1361" s="1"/>
  <c r="X1361"/>
  <c r="V1361"/>
  <c r="T1361"/>
  <c r="R1361"/>
  <c r="P1361"/>
  <c r="N1361"/>
  <c r="L1361"/>
  <c r="AB1360"/>
  <c r="Y1360"/>
  <c r="AA1360" s="1"/>
  <c r="AC1360" s="1"/>
  <c r="L1360"/>
  <c r="L1356" s="1"/>
  <c r="AB1359"/>
  <c r="AD1359" s="1"/>
  <c r="Y1359"/>
  <c r="AA1359" s="1"/>
  <c r="AC1359" s="1"/>
  <c r="AB1358"/>
  <c r="AD1358" s="1"/>
  <c r="Y1358"/>
  <c r="AA1358" s="1"/>
  <c r="AC1358" s="1"/>
  <c r="AB1357"/>
  <c r="AD1357" s="1"/>
  <c r="Y1357"/>
  <c r="AA1357" s="1"/>
  <c r="AC1357" s="1"/>
  <c r="Z1356"/>
  <c r="X1356"/>
  <c r="W1356"/>
  <c r="V1356"/>
  <c r="U1356"/>
  <c r="T1356"/>
  <c r="S1356"/>
  <c r="R1356"/>
  <c r="Q1356"/>
  <c r="P1356"/>
  <c r="N1356"/>
  <c r="AB1355"/>
  <c r="Y1355"/>
  <c r="AA1355" s="1"/>
  <c r="AC1355" s="1"/>
  <c r="L1355"/>
  <c r="AB1354"/>
  <c r="AD1354" s="1"/>
  <c r="Y1354"/>
  <c r="AA1354" s="1"/>
  <c r="AC1354" s="1"/>
  <c r="AB1353"/>
  <c r="AD1353" s="1"/>
  <c r="Y1353"/>
  <c r="AA1353" s="1"/>
  <c r="AC1353" s="1"/>
  <c r="AB1352"/>
  <c r="AD1352" s="1"/>
  <c r="Y1352"/>
  <c r="AA1352" s="1"/>
  <c r="AC1352" s="1"/>
  <c r="AB1351"/>
  <c r="Y1351"/>
  <c r="AA1351" s="1"/>
  <c r="AC1351" s="1"/>
  <c r="L1351"/>
  <c r="Z1350"/>
  <c r="X1350"/>
  <c r="W1350"/>
  <c r="V1350"/>
  <c r="U1350"/>
  <c r="T1350"/>
  <c r="S1350"/>
  <c r="R1350"/>
  <c r="Q1350"/>
  <c r="P1350"/>
  <c r="N1350"/>
  <c r="AB1349"/>
  <c r="Y1349"/>
  <c r="AA1349" s="1"/>
  <c r="AC1349" s="1"/>
  <c r="L1348"/>
  <c r="Z1348"/>
  <c r="X1348"/>
  <c r="W1348"/>
  <c r="V1348"/>
  <c r="U1348"/>
  <c r="T1348"/>
  <c r="S1348"/>
  <c r="R1348"/>
  <c r="Q1348"/>
  <c r="P1348"/>
  <c r="N1348"/>
  <c r="M1348"/>
  <c r="AB1347"/>
  <c r="AD1347" s="1"/>
  <c r="Y1347"/>
  <c r="AA1347" s="1"/>
  <c r="AC1347" s="1"/>
  <c r="Z1346"/>
  <c r="X1346"/>
  <c r="W1346"/>
  <c r="V1346"/>
  <c r="U1346"/>
  <c r="T1346"/>
  <c r="S1346"/>
  <c r="R1346"/>
  <c r="Q1346"/>
  <c r="P1346"/>
  <c r="L1346"/>
  <c r="AB1345"/>
  <c r="AD1345" s="1"/>
  <c r="Y1345"/>
  <c r="AA1345" s="1"/>
  <c r="AC1345" s="1"/>
  <c r="AB1344"/>
  <c r="AD1344" s="1"/>
  <c r="Y1344"/>
  <c r="AA1344" s="1"/>
  <c r="AC1344" s="1"/>
  <c r="Z1343"/>
  <c r="X1343"/>
  <c r="W1343"/>
  <c r="V1343"/>
  <c r="U1343"/>
  <c r="T1343"/>
  <c r="S1343"/>
  <c r="R1343"/>
  <c r="Q1343"/>
  <c r="P1343"/>
  <c r="L1343"/>
  <c r="AB1342"/>
  <c r="AD1342" s="1"/>
  <c r="Y1342"/>
  <c r="AA1342" s="1"/>
  <c r="AC1342" s="1"/>
  <c r="AB1341"/>
  <c r="AD1341" s="1"/>
  <c r="Y1341"/>
  <c r="AA1341" s="1"/>
  <c r="AC1341" s="1"/>
  <c r="Z1340"/>
  <c r="X1340"/>
  <c r="W1340"/>
  <c r="V1340"/>
  <c r="U1340"/>
  <c r="T1340"/>
  <c r="S1340"/>
  <c r="R1340"/>
  <c r="Q1340"/>
  <c r="P1340"/>
  <c r="N1340"/>
  <c r="L1340"/>
  <c r="AB1339"/>
  <c r="AD1339" s="1"/>
  <c r="Y1339"/>
  <c r="AA1339" s="1"/>
  <c r="AC1339" s="1"/>
  <c r="AB1338"/>
  <c r="AD1338" s="1"/>
  <c r="Y1338"/>
  <c r="AA1338" s="1"/>
  <c r="AC1338" s="1"/>
  <c r="Z1337"/>
  <c r="AB1337" s="1"/>
  <c r="AD1337" s="1"/>
  <c r="Y1337"/>
  <c r="AA1337" s="1"/>
  <c r="AC1337" s="1"/>
  <c r="Z1336"/>
  <c r="AB1336" s="1"/>
  <c r="Y1336"/>
  <c r="AA1336" s="1"/>
  <c r="AC1336" s="1"/>
  <c r="Y1335"/>
  <c r="AA1335" s="1"/>
  <c r="AC1335" s="1"/>
  <c r="X1335"/>
  <c r="V1335"/>
  <c r="T1335"/>
  <c r="R1335"/>
  <c r="P1335"/>
  <c r="Z1334"/>
  <c r="AB1334" s="1"/>
  <c r="AD1334" s="1"/>
  <c r="Y1334"/>
  <c r="AA1334" s="1"/>
  <c r="AC1334" s="1"/>
  <c r="Z1333"/>
  <c r="AB1333" s="1"/>
  <c r="AD1333" s="1"/>
  <c r="Y1333"/>
  <c r="AA1333" s="1"/>
  <c r="AC1333" s="1"/>
  <c r="Z1332"/>
  <c r="AB1332" s="1"/>
  <c r="AD1332" s="1"/>
  <c r="Y1332"/>
  <c r="AA1332" s="1"/>
  <c r="AC1332" s="1"/>
  <c r="Z1331"/>
  <c r="AB1331" s="1"/>
  <c r="AD1331" s="1"/>
  <c r="Y1331"/>
  <c r="AA1331" s="1"/>
  <c r="AC1331" s="1"/>
  <c r="Z1330"/>
  <c r="AB1330" s="1"/>
  <c r="AD1330" s="1"/>
  <c r="Y1330"/>
  <c r="AA1330" s="1"/>
  <c r="AC1330" s="1"/>
  <c r="Y1329"/>
  <c r="AA1329" s="1"/>
  <c r="AC1329" s="1"/>
  <c r="X1329"/>
  <c r="V1329"/>
  <c r="T1329"/>
  <c r="R1329"/>
  <c r="P1329"/>
  <c r="N1329"/>
  <c r="L1329"/>
  <c r="Z1328"/>
  <c r="AB1328" s="1"/>
  <c r="Y1328"/>
  <c r="AA1328" s="1"/>
  <c r="AC1328" s="1"/>
  <c r="L1328"/>
  <c r="L1325" s="1"/>
  <c r="Z1327"/>
  <c r="AB1327" s="1"/>
  <c r="AD1327" s="1"/>
  <c r="Y1327"/>
  <c r="AA1327" s="1"/>
  <c r="AC1327" s="1"/>
  <c r="Z1326"/>
  <c r="AB1326" s="1"/>
  <c r="AD1326" s="1"/>
  <c r="Y1326"/>
  <c r="AA1326" s="1"/>
  <c r="AC1326" s="1"/>
  <c r="X1325"/>
  <c r="V1325"/>
  <c r="R1325"/>
  <c r="P1325"/>
  <c r="N1325"/>
  <c r="Z1324"/>
  <c r="AA1324"/>
  <c r="Z1323"/>
  <c r="AB1323" s="1"/>
  <c r="Y1323"/>
  <c r="AA1323" s="1"/>
  <c r="AC1323" s="1"/>
  <c r="Z1322"/>
  <c r="AB1322" s="1"/>
  <c r="AD1322" s="1"/>
  <c r="Y1322"/>
  <c r="AA1322" s="1"/>
  <c r="AC1322" s="1"/>
  <c r="Z1321"/>
  <c r="Y1321"/>
  <c r="AA1321" s="1"/>
  <c r="AC1321" s="1"/>
  <c r="Y1320"/>
  <c r="AA1320" s="1"/>
  <c r="AC1320" s="1"/>
  <c r="X1320"/>
  <c r="V1320"/>
  <c r="R1320"/>
  <c r="P1320"/>
  <c r="L1320"/>
  <c r="Z1319"/>
  <c r="AB1319" s="1"/>
  <c r="AD1319" s="1"/>
  <c r="Y1319"/>
  <c r="AA1319" s="1"/>
  <c r="AC1319" s="1"/>
  <c r="Z1318"/>
  <c r="Y1318"/>
  <c r="AA1318" s="1"/>
  <c r="AC1318" s="1"/>
  <c r="L1318"/>
  <c r="L1308" s="1"/>
  <c r="Z1317"/>
  <c r="AB1317" s="1"/>
  <c r="AD1317" s="1"/>
  <c r="Y1317"/>
  <c r="AA1317" s="1"/>
  <c r="AC1317" s="1"/>
  <c r="Z1316"/>
  <c r="AB1316" s="1"/>
  <c r="AD1316" s="1"/>
  <c r="Y1316"/>
  <c r="AA1316" s="1"/>
  <c r="AC1316" s="1"/>
  <c r="Z1315"/>
  <c r="AB1315" s="1"/>
  <c r="AD1315" s="1"/>
  <c r="Y1315"/>
  <c r="AA1315" s="1"/>
  <c r="AC1315" s="1"/>
  <c r="Z1314"/>
  <c r="AB1314" s="1"/>
  <c r="AD1314" s="1"/>
  <c r="Y1314"/>
  <c r="AA1314" s="1"/>
  <c r="AC1314" s="1"/>
  <c r="Z1313"/>
  <c r="AB1313" s="1"/>
  <c r="AD1313" s="1"/>
  <c r="Y1313"/>
  <c r="AA1313" s="1"/>
  <c r="AC1313" s="1"/>
  <c r="Z1312"/>
  <c r="AB1312" s="1"/>
  <c r="AD1312" s="1"/>
  <c r="Y1312"/>
  <c r="AA1312" s="1"/>
  <c r="AC1312" s="1"/>
  <c r="Z1311"/>
  <c r="AB1311" s="1"/>
  <c r="AD1311" s="1"/>
  <c r="Y1311"/>
  <c r="AA1311" s="1"/>
  <c r="AC1311" s="1"/>
  <c r="Z1310"/>
  <c r="AB1310" s="1"/>
  <c r="AD1310" s="1"/>
  <c r="Y1310"/>
  <c r="AA1310" s="1"/>
  <c r="AC1310" s="1"/>
  <c r="Z1309"/>
  <c r="AB1309" s="1"/>
  <c r="AD1309" s="1"/>
  <c r="Y1309"/>
  <c r="AA1309" s="1"/>
  <c r="AC1309" s="1"/>
  <c r="Y1308"/>
  <c r="AA1308" s="1"/>
  <c r="AC1308" s="1"/>
  <c r="X1308"/>
  <c r="V1308"/>
  <c r="T1308"/>
  <c r="R1308"/>
  <c r="P1308"/>
  <c r="N1308"/>
  <c r="AB1321" l="1"/>
  <c r="AD1321" s="1"/>
  <c r="Z1320"/>
  <c r="Y1356"/>
  <c r="AA1356" s="1"/>
  <c r="AC1356" s="1"/>
  <c r="Y1340"/>
  <c r="AA1340" s="1"/>
  <c r="AC1340" s="1"/>
  <c r="Y1343"/>
  <c r="AA1343" s="1"/>
  <c r="AC1343" s="1"/>
  <c r="AD1349"/>
  <c r="L1350"/>
  <c r="L1307" s="1"/>
  <c r="X1307"/>
  <c r="AD1328"/>
  <c r="Y1346"/>
  <c r="AA1346" s="1"/>
  <c r="AC1346" s="1"/>
  <c r="Y1350"/>
  <c r="AA1350" s="1"/>
  <c r="AC1350" s="1"/>
  <c r="AD1355"/>
  <c r="AD1351"/>
  <c r="P1307"/>
  <c r="AD1360"/>
  <c r="Z1308"/>
  <c r="Z1325"/>
  <c r="N1307"/>
  <c r="R1307"/>
  <c r="Z1329"/>
  <c r="AB1343"/>
  <c r="AD1343" s="1"/>
  <c r="Y1348"/>
  <c r="AA1348" s="1"/>
  <c r="AC1348" s="1"/>
  <c r="AB1356"/>
  <c r="AD1356" s="1"/>
  <c r="V1307"/>
  <c r="T1307"/>
  <c r="AB1350"/>
  <c r="AB1335"/>
  <c r="AD1335" s="1"/>
  <c r="AD1336"/>
  <c r="AD1323"/>
  <c r="AB1320"/>
  <c r="AD1320" s="1"/>
  <c r="AB1318"/>
  <c r="AD1318" s="1"/>
  <c r="AB1325"/>
  <c r="AD1325" s="1"/>
  <c r="AB1329"/>
  <c r="AD1329" s="1"/>
  <c r="AB1340"/>
  <c r="AD1340" s="1"/>
  <c r="AB1346"/>
  <c r="AD1346" s="1"/>
  <c r="AB1361"/>
  <c r="AD1361" s="1"/>
  <c r="Z1335"/>
  <c r="AB1348"/>
  <c r="AD1348" s="1"/>
  <c r="Z1307" l="1"/>
  <c r="AC1365"/>
  <c r="AC1366" s="1"/>
  <c r="AD1350"/>
  <c r="AB1308"/>
  <c r="AB1307" l="1"/>
  <c r="AD1308"/>
  <c r="AD1365" s="1"/>
  <c r="AD1366" s="1"/>
  <c r="P1572" l="1"/>
  <c r="P1553"/>
  <c r="K4" i="2"/>
  <c r="K6" s="1"/>
  <c r="Z1568" i="1"/>
  <c r="AB1568" s="1"/>
  <c r="AD1568" s="1"/>
  <c r="Y1568"/>
  <c r="AA1568" s="1"/>
  <c r="AC1568" s="1"/>
  <c r="Z1566"/>
  <c r="AB1566" s="1"/>
  <c r="AD1566" s="1"/>
  <c r="Y1566"/>
  <c r="AA1566" s="1"/>
  <c r="AC1566" s="1"/>
  <c r="Z1565"/>
  <c r="AB1565" s="1"/>
  <c r="AD1565" s="1"/>
  <c r="Y1565"/>
  <c r="AA1565" s="1"/>
  <c r="AC1565" s="1"/>
  <c r="Z1564"/>
  <c r="AB1564" s="1"/>
  <c r="AD1564" s="1"/>
  <c r="Y1564"/>
  <c r="AA1564" s="1"/>
  <c r="AC1564" s="1"/>
  <c r="Z1563"/>
  <c r="AB1563" s="1"/>
  <c r="AD1563" s="1"/>
  <c r="Y1563"/>
  <c r="AA1563" s="1"/>
  <c r="AC1563" s="1"/>
  <c r="Z1562"/>
  <c r="AB1562" s="1"/>
  <c r="AD1562" s="1"/>
  <c r="Y1562"/>
  <c r="AA1562" s="1"/>
  <c r="AC1562" s="1"/>
  <c r="Z1561"/>
  <c r="AB1561" s="1"/>
  <c r="AD1561" s="1"/>
  <c r="Y1561"/>
  <c r="AA1561" s="1"/>
  <c r="AC1561" s="1"/>
  <c r="Z1560"/>
  <c r="AB1560" s="1"/>
  <c r="AD1560" s="1"/>
  <c r="Y1560"/>
  <c r="AA1560" s="1"/>
  <c r="AC1560" s="1"/>
  <c r="Z1558"/>
  <c r="AB1558" s="1"/>
  <c r="AD1558" s="1"/>
  <c r="Y1558"/>
  <c r="AA1558" s="1"/>
  <c r="AC1558" s="1"/>
  <c r="Z1557"/>
  <c r="AB1557" s="1"/>
  <c r="AD1557" s="1"/>
  <c r="Y1557"/>
  <c r="AA1557" s="1"/>
  <c r="AC1557" s="1"/>
  <c r="Z1556"/>
  <c r="AB1556" s="1"/>
  <c r="AD1556" s="1"/>
  <c r="Y1556"/>
  <c r="AA1556" s="1"/>
  <c r="AC1556" s="1"/>
  <c r="Z1555"/>
  <c r="AB1555" s="1"/>
  <c r="AD1555" s="1"/>
  <c r="Y1555"/>
  <c r="AA1555" s="1"/>
  <c r="AC1555" s="1"/>
  <c r="Y1553"/>
  <c r="AA1553" s="1"/>
  <c r="AC1553" s="1"/>
  <c r="AC1569" s="1"/>
  <c r="X1553"/>
  <c r="V1553"/>
  <c r="R1553"/>
  <c r="L1553"/>
  <c r="Z1552"/>
  <c r="AB1552" s="1"/>
  <c r="AD1552" s="1"/>
  <c r="Y1552"/>
  <c r="AA1552" s="1"/>
  <c r="AC1552" s="1"/>
  <c r="Z1551"/>
  <c r="AB1551" s="1"/>
  <c r="Y1551"/>
  <c r="AA1551" s="1"/>
  <c r="AC1551" s="1"/>
  <c r="Z1550"/>
  <c r="AB1550" s="1"/>
  <c r="AD1550" s="1"/>
  <c r="Y1550"/>
  <c r="AA1550" s="1"/>
  <c r="AC1550" s="1"/>
  <c r="Z1549"/>
  <c r="AB1549" s="1"/>
  <c r="AD1549" s="1"/>
  <c r="Y1549"/>
  <c r="AA1549" s="1"/>
  <c r="AC1549" s="1"/>
  <c r="Z1548"/>
  <c r="AB1548" s="1"/>
  <c r="AD1548" s="1"/>
  <c r="Y1548"/>
  <c r="AA1548" s="1"/>
  <c r="AC1548" s="1"/>
  <c r="X1547"/>
  <c r="R1547"/>
  <c r="P1547"/>
  <c r="L1547"/>
  <c r="Y1546"/>
  <c r="N1546"/>
  <c r="Z1588"/>
  <c r="AB1588" s="1"/>
  <c r="AD1588" s="1"/>
  <c r="Y1588"/>
  <c r="AA1588" s="1"/>
  <c r="AC1588" s="1"/>
  <c r="Z1587"/>
  <c r="AB1587" s="1"/>
  <c r="AD1587" s="1"/>
  <c r="Y1587"/>
  <c r="AA1587" s="1"/>
  <c r="AC1587" s="1"/>
  <c r="Z1586"/>
  <c r="AB1586" s="1"/>
  <c r="AD1586" s="1"/>
  <c r="Y1586"/>
  <c r="AA1586" s="1"/>
  <c r="AC1586" s="1"/>
  <c r="Y1585"/>
  <c r="AA1585" s="1"/>
  <c r="AC1585" s="1"/>
  <c r="X1585"/>
  <c r="R1585"/>
  <c r="P1585"/>
  <c r="L1585"/>
  <c r="Z1584"/>
  <c r="Z1583" s="1"/>
  <c r="Y1584"/>
  <c r="AA1584" s="1"/>
  <c r="AC1584" s="1"/>
  <c r="X1583"/>
  <c r="W1583"/>
  <c r="V1583"/>
  <c r="U1583"/>
  <c r="T1583"/>
  <c r="S1583"/>
  <c r="R1583"/>
  <c r="Q1583"/>
  <c r="P1583"/>
  <c r="N1583"/>
  <c r="L1583"/>
  <c r="Z1582"/>
  <c r="AB1582" s="1"/>
  <c r="Y1582"/>
  <c r="AA1582" s="1"/>
  <c r="AC1582" s="1"/>
  <c r="X1581"/>
  <c r="W1581"/>
  <c r="V1581"/>
  <c r="U1581"/>
  <c r="T1581"/>
  <c r="S1581"/>
  <c r="R1581"/>
  <c r="Q1581"/>
  <c r="P1581"/>
  <c r="O1581"/>
  <c r="N1581"/>
  <c r="M1581"/>
  <c r="L1581"/>
  <c r="Z1580"/>
  <c r="AB1580" s="1"/>
  <c r="AD1580" s="1"/>
  <c r="Y1580"/>
  <c r="AA1580" s="1"/>
  <c r="AC1580" s="1"/>
  <c r="Z1579"/>
  <c r="AB1579" s="1"/>
  <c r="AD1579" s="1"/>
  <c r="Y1579"/>
  <c r="AA1579" s="1"/>
  <c r="AC1579" s="1"/>
  <c r="Z1578"/>
  <c r="AB1578" s="1"/>
  <c r="AD1578" s="1"/>
  <c r="Y1578"/>
  <c r="AA1578" s="1"/>
  <c r="AC1578" s="1"/>
  <c r="AA1577"/>
  <c r="AC1577" s="1"/>
  <c r="Z1577"/>
  <c r="AB1577" s="1"/>
  <c r="AD1577" s="1"/>
  <c r="Z1576"/>
  <c r="AB1576" s="1"/>
  <c r="AD1576" s="1"/>
  <c r="Y1576"/>
  <c r="AA1576" s="1"/>
  <c r="AC1576" s="1"/>
  <c r="Z1575"/>
  <c r="AB1575" s="1"/>
  <c r="AD1575" s="1"/>
  <c r="Y1575"/>
  <c r="AA1575" s="1"/>
  <c r="AC1575" s="1"/>
  <c r="Z1574"/>
  <c r="AB1574" s="1"/>
  <c r="AD1574" s="1"/>
  <c r="Y1574"/>
  <c r="AA1574" s="1"/>
  <c r="AC1574" s="1"/>
  <c r="AA1573"/>
  <c r="AC1573" s="1"/>
  <c r="Z1573"/>
  <c r="AB1573" s="1"/>
  <c r="AD1573" s="1"/>
  <c r="Y1572"/>
  <c r="AA1572" s="1"/>
  <c r="AC1572" s="1"/>
  <c r="X1572"/>
  <c r="T1572"/>
  <c r="T1571" s="1"/>
  <c r="R1572"/>
  <c r="L1572"/>
  <c r="N1571"/>
  <c r="AB1149"/>
  <c r="AD1149" s="1"/>
  <c r="Z1149"/>
  <c r="Y1149"/>
  <c r="AA1149" s="1"/>
  <c r="AC1149" s="1"/>
  <c r="Z1148"/>
  <c r="AB1148" s="1"/>
  <c r="AD1148" s="1"/>
  <c r="Y1148"/>
  <c r="AA1148" s="1"/>
  <c r="AC1148" s="1"/>
  <c r="Z1147"/>
  <c r="AB1147" s="1"/>
  <c r="AD1147" s="1"/>
  <c r="Y1147"/>
  <c r="AA1147" s="1"/>
  <c r="AC1147" s="1"/>
  <c r="Y1146"/>
  <c r="AA1146" s="1"/>
  <c r="AC1146" s="1"/>
  <c r="Z1145"/>
  <c r="AB1145" s="1"/>
  <c r="AD1145" s="1"/>
  <c r="Y1145"/>
  <c r="AA1145" s="1"/>
  <c r="AC1145" s="1"/>
  <c r="Z1144"/>
  <c r="Y1144"/>
  <c r="AA1144" s="1"/>
  <c r="AC1144" s="1"/>
  <c r="Y1143"/>
  <c r="AA1143" s="1"/>
  <c r="AC1143" s="1"/>
  <c r="Y1142"/>
  <c r="AA1142" s="1"/>
  <c r="AC1142" s="1"/>
  <c r="X1142"/>
  <c r="T1142"/>
  <c r="R1142"/>
  <c r="P1142"/>
  <c r="L1142"/>
  <c r="Z1141"/>
  <c r="AB1141" s="1"/>
  <c r="AD1141" s="1"/>
  <c r="Y1141"/>
  <c r="AA1141" s="1"/>
  <c r="AC1141" s="1"/>
  <c r="AB1140"/>
  <c r="AD1140" s="1"/>
  <c r="Z1140"/>
  <c r="Y1140"/>
  <c r="AA1140" s="1"/>
  <c r="AC1140" s="1"/>
  <c r="Z1139"/>
  <c r="AB1139" s="1"/>
  <c r="AD1139" s="1"/>
  <c r="Y1139"/>
  <c r="AA1139" s="1"/>
  <c r="AC1139" s="1"/>
  <c r="Z1138"/>
  <c r="AB1138" s="1"/>
  <c r="Y1138"/>
  <c r="AA1138" s="1"/>
  <c r="AC1138" s="1"/>
  <c r="L1138"/>
  <c r="Z1137"/>
  <c r="AB1137" s="1"/>
  <c r="AD1137" s="1"/>
  <c r="Y1137"/>
  <c r="AA1137" s="1"/>
  <c r="AC1137" s="1"/>
  <c r="Z1136"/>
  <c r="AB1136" s="1"/>
  <c r="AD1136" s="1"/>
  <c r="Y1136"/>
  <c r="AA1136" s="1"/>
  <c r="AC1136" s="1"/>
  <c r="AA1135"/>
  <c r="AC1135" s="1"/>
  <c r="Z1135"/>
  <c r="Y1134"/>
  <c r="AA1134" s="1"/>
  <c r="AC1134" s="1"/>
  <c r="X1134"/>
  <c r="V1134"/>
  <c r="T1134"/>
  <c r="R1134"/>
  <c r="P1134"/>
  <c r="AA1133"/>
  <c r="AC1133" s="1"/>
  <c r="Z1133"/>
  <c r="AB1133" s="1"/>
  <c r="AD1133" s="1"/>
  <c r="Z1132"/>
  <c r="AB1132" s="1"/>
  <c r="Y1132"/>
  <c r="AA1132" s="1"/>
  <c r="X1131"/>
  <c r="W1131"/>
  <c r="V1131"/>
  <c r="U1131"/>
  <c r="T1131"/>
  <c r="S1131"/>
  <c r="R1131"/>
  <c r="Q1131"/>
  <c r="P1131"/>
  <c r="O1131"/>
  <c r="M1131"/>
  <c r="Z1130"/>
  <c r="AB1130" s="1"/>
  <c r="AD1130" s="1"/>
  <c r="Y1130"/>
  <c r="AA1130" s="1"/>
  <c r="AC1130" s="1"/>
  <c r="Y1129"/>
  <c r="AA1129" s="1"/>
  <c r="AC1129" s="1"/>
  <c r="V1129"/>
  <c r="T1129"/>
  <c r="R1129"/>
  <c r="P1129"/>
  <c r="L1129"/>
  <c r="Z1128"/>
  <c r="AB1128" s="1"/>
  <c r="AD1128" s="1"/>
  <c r="Y1128"/>
  <c r="AA1128" s="1"/>
  <c r="AC1128" s="1"/>
  <c r="Z1127"/>
  <c r="AB1127" s="1"/>
  <c r="Y1127"/>
  <c r="AA1127" s="1"/>
  <c r="AC1127" s="1"/>
  <c r="P1127"/>
  <c r="L1127"/>
  <c r="Z1126"/>
  <c r="AB1126" s="1"/>
  <c r="AD1126" s="1"/>
  <c r="Y1126"/>
  <c r="AA1126" s="1"/>
  <c r="AC1126" s="1"/>
  <c r="Z1125"/>
  <c r="AB1125" s="1"/>
  <c r="AD1125" s="1"/>
  <c r="Y1125"/>
  <c r="AA1125" s="1"/>
  <c r="AC1125" s="1"/>
  <c r="Z1124"/>
  <c r="AB1124" s="1"/>
  <c r="AD1124" s="1"/>
  <c r="Y1124"/>
  <c r="AA1124" s="1"/>
  <c r="AC1124" s="1"/>
  <c r="Z1123"/>
  <c r="AB1123" s="1"/>
  <c r="AD1123" s="1"/>
  <c r="Y1123"/>
  <c r="AA1123" s="1"/>
  <c r="AC1123" s="1"/>
  <c r="X1122"/>
  <c r="X1110" s="1"/>
  <c r="V1122"/>
  <c r="S1122"/>
  <c r="Y1122" s="1"/>
  <c r="AA1122" s="1"/>
  <c r="AC1122" s="1"/>
  <c r="R1122"/>
  <c r="P1122"/>
  <c r="L1122"/>
  <c r="Z1121"/>
  <c r="AB1121" s="1"/>
  <c r="AD1121" s="1"/>
  <c r="Y1121"/>
  <c r="AA1121" s="1"/>
  <c r="AC1121" s="1"/>
  <c r="Z1120"/>
  <c r="AB1120" s="1"/>
  <c r="AD1120" s="1"/>
  <c r="Y1120"/>
  <c r="AA1120" s="1"/>
  <c r="K1120"/>
  <c r="Z1119"/>
  <c r="AB1119" s="1"/>
  <c r="AD1119" s="1"/>
  <c r="Y1119"/>
  <c r="AA1119" s="1"/>
  <c r="K1119"/>
  <c r="Z1118"/>
  <c r="AB1118" s="1"/>
  <c r="AD1118" s="1"/>
  <c r="Y1118"/>
  <c r="AA1118" s="1"/>
  <c r="K1118"/>
  <c r="Z1117"/>
  <c r="AB1117" s="1"/>
  <c r="AD1117" s="1"/>
  <c r="Y1117"/>
  <c r="AA1117" s="1"/>
  <c r="K1117"/>
  <c r="Z1116"/>
  <c r="AB1116" s="1"/>
  <c r="AD1116" s="1"/>
  <c r="Y1116"/>
  <c r="AA1116" s="1"/>
  <c r="K1116"/>
  <c r="Z1115"/>
  <c r="AB1115" s="1"/>
  <c r="AD1115" s="1"/>
  <c r="Y1115"/>
  <c r="AA1115" s="1"/>
  <c r="K1115"/>
  <c r="Z1114"/>
  <c r="AB1114" s="1"/>
  <c r="AD1114" s="1"/>
  <c r="Y1114"/>
  <c r="AA1114" s="1"/>
  <c r="K1114"/>
  <c r="Z1113"/>
  <c r="AB1113" s="1"/>
  <c r="AD1113" s="1"/>
  <c r="Y1113"/>
  <c r="AA1113" s="1"/>
  <c r="K1113"/>
  <c r="Z1112"/>
  <c r="AB1112" s="1"/>
  <c r="AD1112" s="1"/>
  <c r="Y1112"/>
  <c r="AA1112" s="1"/>
  <c r="K1112"/>
  <c r="Z1111"/>
  <c r="AB1111" s="1"/>
  <c r="AD1111" s="1"/>
  <c r="Y1111"/>
  <c r="AA1111" s="1"/>
  <c r="K1111"/>
  <c r="Y1110"/>
  <c r="AA1110" s="1"/>
  <c r="AC1110" s="1"/>
  <c r="V1110"/>
  <c r="T1110"/>
  <c r="R1110"/>
  <c r="P1110"/>
  <c r="L1110"/>
  <c r="T1109" l="1"/>
  <c r="R1546"/>
  <c r="P1546"/>
  <c r="P1109"/>
  <c r="AC1115"/>
  <c r="AC1119"/>
  <c r="P1571"/>
  <c r="R1571"/>
  <c r="AB1584"/>
  <c r="AD1584" s="1"/>
  <c r="Z1572"/>
  <c r="AB1572" s="1"/>
  <c r="AD1572" s="1"/>
  <c r="Z1547"/>
  <c r="AB1547" s="1"/>
  <c r="AD1547" s="1"/>
  <c r="Y1581"/>
  <c r="Z1546"/>
  <c r="Z1553"/>
  <c r="AB1553" s="1"/>
  <c r="AD1553" s="1"/>
  <c r="AC1114"/>
  <c r="AC1118"/>
  <c r="L1546"/>
  <c r="L1571"/>
  <c r="AC1570"/>
  <c r="Z1585"/>
  <c r="AB1585" s="1"/>
  <c r="AD1585" s="1"/>
  <c r="AC1113"/>
  <c r="AD1127"/>
  <c r="Z1134"/>
  <c r="AB1134" s="1"/>
  <c r="AD1134" s="1"/>
  <c r="AB1583"/>
  <c r="AD1583" s="1"/>
  <c r="AD1582"/>
  <c r="AB1581"/>
  <c r="AD1581" s="1"/>
  <c r="AA1581"/>
  <c r="AC1581" s="1"/>
  <c r="Y1583"/>
  <c r="AA1583" s="1"/>
  <c r="AC1583" s="1"/>
  <c r="Z1581"/>
  <c r="AB1135"/>
  <c r="AD1135" s="1"/>
  <c r="AC1120"/>
  <c r="V1109"/>
  <c r="AC1111"/>
  <c r="AC1116"/>
  <c r="Z1142"/>
  <c r="AB1142" s="1"/>
  <c r="AD1142" s="1"/>
  <c r="AC1112"/>
  <c r="AC1117"/>
  <c r="L1109"/>
  <c r="Z1110"/>
  <c r="AB1110" s="1"/>
  <c r="AD1110" s="1"/>
  <c r="AD1138"/>
  <c r="AC1132"/>
  <c r="AA1131"/>
  <c r="AC1131" s="1"/>
  <c r="AC1150" s="1"/>
  <c r="AD1132"/>
  <c r="AB1131"/>
  <c r="AD1131" s="1"/>
  <c r="Z1122"/>
  <c r="AB1122" s="1"/>
  <c r="AD1122" s="1"/>
  <c r="Z1131"/>
  <c r="AB1144"/>
  <c r="AD1144" s="1"/>
  <c r="R1109"/>
  <c r="Y1131"/>
  <c r="AC1591" l="1"/>
  <c r="AC1592" s="1"/>
  <c r="AD1591"/>
  <c r="AD1592" s="1"/>
  <c r="AC1151"/>
  <c r="Z1571"/>
  <c r="Z1109"/>
  <c r="AD1569"/>
  <c r="AD1570" s="1"/>
  <c r="Z1129"/>
  <c r="AB1129" s="1"/>
  <c r="AD1129" s="1"/>
  <c r="AD1150" s="1"/>
  <c r="AB1546"/>
  <c r="AB1571"/>
  <c r="AD1151" l="1"/>
  <c r="AB1109"/>
  <c r="Z893"/>
  <c r="Y893"/>
  <c r="AA893" s="1"/>
  <c r="AC893" s="1"/>
  <c r="N893"/>
  <c r="Z892"/>
  <c r="AB892" s="1"/>
  <c r="AD892" s="1"/>
  <c r="Y892"/>
  <c r="AA892" s="1"/>
  <c r="AC892" s="1"/>
  <c r="Z891"/>
  <c r="AB891" s="1"/>
  <c r="Y891"/>
  <c r="AA891" s="1"/>
  <c r="AC891" s="1"/>
  <c r="Z890"/>
  <c r="AB890" s="1"/>
  <c r="Y890"/>
  <c r="AA890" s="1"/>
  <c r="AC890" s="1"/>
  <c r="Z889"/>
  <c r="AB889" s="1"/>
  <c r="AD889" s="1"/>
  <c r="Y889"/>
  <c r="AA889" s="1"/>
  <c r="AC889" s="1"/>
  <c r="Z888"/>
  <c r="AB888" s="1"/>
  <c r="AD888" s="1"/>
  <c r="Y888"/>
  <c r="AA888" s="1"/>
  <c r="AC888" s="1"/>
  <c r="Z887"/>
  <c r="AB887" s="1"/>
  <c r="Y887"/>
  <c r="AA887" s="1"/>
  <c r="AC887" s="1"/>
  <c r="Z886"/>
  <c r="Y886"/>
  <c r="AA886" s="1"/>
  <c r="AC886" s="1"/>
  <c r="Z885"/>
  <c r="AB885" s="1"/>
  <c r="AD885" s="1"/>
  <c r="Y885"/>
  <c r="AA885" s="1"/>
  <c r="AC885" s="1"/>
  <c r="Z884"/>
  <c r="AB884" s="1"/>
  <c r="AD884" s="1"/>
  <c r="Y884"/>
  <c r="AA884" s="1"/>
  <c r="AC884" s="1"/>
  <c r="Z883"/>
  <c r="AB883" s="1"/>
  <c r="AD883" s="1"/>
  <c r="Y883"/>
  <c r="AA883" s="1"/>
  <c r="AC883" s="1"/>
  <c r="Z882"/>
  <c r="AB882" s="1"/>
  <c r="AD882" s="1"/>
  <c r="Y882"/>
  <c r="AA882" s="1"/>
  <c r="AC882" s="1"/>
  <c r="Z881"/>
  <c r="AB881" s="1"/>
  <c r="AD881" s="1"/>
  <c r="Y881"/>
  <c r="AA881" s="1"/>
  <c r="AC881" s="1"/>
  <c r="Z880"/>
  <c r="AB880" s="1"/>
  <c r="AD880" s="1"/>
  <c r="Y880"/>
  <c r="AA880" s="1"/>
  <c r="AC880" s="1"/>
  <c r="Z879"/>
  <c r="AB879" s="1"/>
  <c r="AD879" s="1"/>
  <c r="Y879"/>
  <c r="AA879" s="1"/>
  <c r="AC879" s="1"/>
  <c r="Z878"/>
  <c r="AB878" s="1"/>
  <c r="AD878" s="1"/>
  <c r="Y878"/>
  <c r="AA878" s="1"/>
  <c r="AC878" s="1"/>
  <c r="Z877"/>
  <c r="AB877" s="1"/>
  <c r="AD877" s="1"/>
  <c r="Y877"/>
  <c r="AA877" s="1"/>
  <c r="AC877" s="1"/>
  <c r="Z876"/>
  <c r="AB876" s="1"/>
  <c r="AD876" s="1"/>
  <c r="Y876"/>
  <c r="AA876" s="1"/>
  <c r="AC876" s="1"/>
  <c r="Z875"/>
  <c r="AB875" s="1"/>
  <c r="AD875" s="1"/>
  <c r="Y875"/>
  <c r="AA875" s="1"/>
  <c r="AC875" s="1"/>
  <c r="Z874"/>
  <c r="AB874" s="1"/>
  <c r="AD874" s="1"/>
  <c r="Y874"/>
  <c r="AA874" s="1"/>
  <c r="AC874" s="1"/>
  <c r="Z873"/>
  <c r="AB873" s="1"/>
  <c r="Y873"/>
  <c r="AA873" s="1"/>
  <c r="Z872"/>
  <c r="AB872" s="1"/>
  <c r="Y872"/>
  <c r="AA872" s="1"/>
  <c r="AC872" s="1"/>
  <c r="Z871"/>
  <c r="Y871"/>
  <c r="AA871" s="1"/>
  <c r="AC871" s="1"/>
  <c r="Z870"/>
  <c r="AB870" s="1"/>
  <c r="AD870" s="1"/>
  <c r="Y870"/>
  <c r="AA870" s="1"/>
  <c r="AC870" s="1"/>
  <c r="Z869"/>
  <c r="AB869" s="1"/>
  <c r="Y869"/>
  <c r="AA869" s="1"/>
  <c r="Z868"/>
  <c r="AB868" s="1"/>
  <c r="AD868" s="1"/>
  <c r="Y868"/>
  <c r="AA868" s="1"/>
  <c r="AA867"/>
  <c r="Y867"/>
  <c r="X867"/>
  <c r="V867"/>
  <c r="R867"/>
  <c r="P867"/>
  <c r="L867"/>
  <c r="Z866"/>
  <c r="AB866" s="1"/>
  <c r="Y866"/>
  <c r="AA866" s="1"/>
  <c r="AC866" s="1"/>
  <c r="X865"/>
  <c r="W865"/>
  <c r="V865"/>
  <c r="U865"/>
  <c r="T865"/>
  <c r="T847" s="1"/>
  <c r="S865"/>
  <c r="R865"/>
  <c r="P865"/>
  <c r="N865"/>
  <c r="L865"/>
  <c r="Z864"/>
  <c r="AB864" s="1"/>
  <c r="Y864"/>
  <c r="AA864" s="1"/>
  <c r="Z863"/>
  <c r="AB863" s="1"/>
  <c r="AD863" s="1"/>
  <c r="Y863"/>
  <c r="AA863" s="1"/>
  <c r="AC863" s="1"/>
  <c r="Z862"/>
  <c r="AB862" s="1"/>
  <c r="AD862" s="1"/>
  <c r="Y862"/>
  <c r="AA862" s="1"/>
  <c r="AC862" s="1"/>
  <c r="X861"/>
  <c r="W861"/>
  <c r="V861"/>
  <c r="U861"/>
  <c r="S861"/>
  <c r="R861"/>
  <c r="P861"/>
  <c r="N861"/>
  <c r="L861"/>
  <c r="Z860"/>
  <c r="AB860" s="1"/>
  <c r="AD860" s="1"/>
  <c r="Y860"/>
  <c r="AA860" s="1"/>
  <c r="AC860" s="1"/>
  <c r="Z859"/>
  <c r="AB859" s="1"/>
  <c r="AD859" s="1"/>
  <c r="Y859"/>
  <c r="AA859" s="1"/>
  <c r="AC859" s="1"/>
  <c r="Z858"/>
  <c r="AB858" s="1"/>
  <c r="AD858" s="1"/>
  <c r="Y858"/>
  <c r="AA858" s="1"/>
  <c r="AC858" s="1"/>
  <c r="Z857"/>
  <c r="AB857" s="1"/>
  <c r="AD857" s="1"/>
  <c r="Y857"/>
  <c r="AA857" s="1"/>
  <c r="AC857" s="1"/>
  <c r="Z856"/>
  <c r="AB856" s="1"/>
  <c r="AD856" s="1"/>
  <c r="Y856"/>
  <c r="AA856" s="1"/>
  <c r="AC856" s="1"/>
  <c r="Z855"/>
  <c r="AB855" s="1"/>
  <c r="AD855" s="1"/>
  <c r="Y855"/>
  <c r="AA855" s="1"/>
  <c r="AC855" s="1"/>
  <c r="Z854"/>
  <c r="AB854" s="1"/>
  <c r="AD854" s="1"/>
  <c r="Y854"/>
  <c r="AA854" s="1"/>
  <c r="AC854" s="1"/>
  <c r="Z853"/>
  <c r="AB853" s="1"/>
  <c r="AD853" s="1"/>
  <c r="Y853"/>
  <c r="AA853" s="1"/>
  <c r="AC853" s="1"/>
  <c r="Z852"/>
  <c r="AB852" s="1"/>
  <c r="AD852" s="1"/>
  <c r="Y852"/>
  <c r="AA852" s="1"/>
  <c r="AC852" s="1"/>
  <c r="Z851"/>
  <c r="AB851" s="1"/>
  <c r="AD851" s="1"/>
  <c r="Y851"/>
  <c r="AA851" s="1"/>
  <c r="AC851" s="1"/>
  <c r="Z850"/>
  <c r="AB850" s="1"/>
  <c r="AD850" s="1"/>
  <c r="Y850"/>
  <c r="AA850" s="1"/>
  <c r="AC850" s="1"/>
  <c r="Z849"/>
  <c r="AB849" s="1"/>
  <c r="AD849" s="1"/>
  <c r="Y849"/>
  <c r="AA849" s="1"/>
  <c r="AC849" s="1"/>
  <c r="Y848"/>
  <c r="AA848" s="1"/>
  <c r="AC848" s="1"/>
  <c r="P847" l="1"/>
  <c r="R847"/>
  <c r="L847"/>
  <c r="AB871"/>
  <c r="AB886"/>
  <c r="Z867"/>
  <c r="AB893"/>
  <c r="AC868"/>
  <c r="AC867"/>
  <c r="N867"/>
  <c r="N847" s="1"/>
  <c r="Y865"/>
  <c r="Z861"/>
  <c r="AB861" s="1"/>
  <c r="AD861" s="1"/>
  <c r="Z848"/>
  <c r="Y861"/>
  <c r="AA861" s="1"/>
  <c r="AC861" s="1"/>
  <c r="Z865"/>
  <c r="AD866"/>
  <c r="AB865"/>
  <c r="AD865" s="1"/>
  <c r="AA865"/>
  <c r="AC865" s="1"/>
  <c r="AB848" l="1"/>
  <c r="Z847"/>
  <c r="AC894"/>
  <c r="AC895" s="1"/>
  <c r="AB867"/>
  <c r="AD867" s="1"/>
  <c r="I5" i="2"/>
  <c r="P964" i="1"/>
  <c r="L944"/>
  <c r="P933"/>
  <c r="P897"/>
  <c r="I3" i="2"/>
  <c r="Y999" i="1"/>
  <c r="AA999" s="1"/>
  <c r="Y998"/>
  <c r="AA998" s="1"/>
  <c r="AC998" s="1"/>
  <c r="X998"/>
  <c r="V998"/>
  <c r="T998"/>
  <c r="R998"/>
  <c r="P998"/>
  <c r="N998"/>
  <c r="L998"/>
  <c r="Y997"/>
  <c r="AA997" s="1"/>
  <c r="AC997" s="1"/>
  <c r="Y996"/>
  <c r="AA996" s="1"/>
  <c r="AC996" s="1"/>
  <c r="Y995"/>
  <c r="AA995" s="1"/>
  <c r="AC995" s="1"/>
  <c r="Y994"/>
  <c r="AA994" s="1"/>
  <c r="AC994" s="1"/>
  <c r="Y993"/>
  <c r="AA993" s="1"/>
  <c r="AC993" s="1"/>
  <c r="Z992"/>
  <c r="AB992" s="1"/>
  <c r="AD992" s="1"/>
  <c r="Y992"/>
  <c r="AA992" s="1"/>
  <c r="AC992" s="1"/>
  <c r="Y991"/>
  <c r="AA991" s="1"/>
  <c r="AC991" s="1"/>
  <c r="X991"/>
  <c r="V991"/>
  <c r="T991"/>
  <c r="T971" s="1"/>
  <c r="R991"/>
  <c r="P991"/>
  <c r="N991"/>
  <c r="L991"/>
  <c r="Y990"/>
  <c r="AA990" s="1"/>
  <c r="AC990" s="1"/>
  <c r="Z989"/>
  <c r="AB989" s="1"/>
  <c r="Y989"/>
  <c r="AA989" s="1"/>
  <c r="AC989" s="1"/>
  <c r="L989"/>
  <c r="Z988"/>
  <c r="AB988" s="1"/>
  <c r="Y988"/>
  <c r="AA988" s="1"/>
  <c r="L988"/>
  <c r="K988"/>
  <c r="Y987"/>
  <c r="AA987" s="1"/>
  <c r="AC987" s="1"/>
  <c r="Y986"/>
  <c r="AA986" s="1"/>
  <c r="AC986" s="1"/>
  <c r="Y985"/>
  <c r="AA985" s="1"/>
  <c r="AC985" s="1"/>
  <c r="Z984"/>
  <c r="AB984" s="1"/>
  <c r="AD984" s="1"/>
  <c r="Y984"/>
  <c r="AA984" s="1"/>
  <c r="AC984" s="1"/>
  <c r="Y983"/>
  <c r="AA983" s="1"/>
  <c r="AC983" s="1"/>
  <c r="X983"/>
  <c r="X971" s="1"/>
  <c r="V983"/>
  <c r="P983"/>
  <c r="N983"/>
  <c r="Y982"/>
  <c r="AA982" s="1"/>
  <c r="AC982" s="1"/>
  <c r="AB981"/>
  <c r="Y981"/>
  <c r="AA981" s="1"/>
  <c r="AC981" s="1"/>
  <c r="L981"/>
  <c r="AB980"/>
  <c r="Y980"/>
  <c r="L980"/>
  <c r="Y979"/>
  <c r="AA979" s="1"/>
  <c r="AB978"/>
  <c r="Y978"/>
  <c r="AA978" s="1"/>
  <c r="AC978" s="1"/>
  <c r="L978"/>
  <c r="AB977"/>
  <c r="Y977"/>
  <c r="AA977" s="1"/>
  <c r="L977"/>
  <c r="Z976"/>
  <c r="AB976" s="1"/>
  <c r="Y976"/>
  <c r="AA976" s="1"/>
  <c r="L976"/>
  <c r="Z975"/>
  <c r="AB975" s="1"/>
  <c r="AD975" s="1"/>
  <c r="Y975"/>
  <c r="AA975" s="1"/>
  <c r="AC975" s="1"/>
  <c r="Z974"/>
  <c r="AB974" s="1"/>
  <c r="Y974"/>
  <c r="L974"/>
  <c r="Z973"/>
  <c r="AB973" s="1"/>
  <c r="AD973" s="1"/>
  <c r="Y973"/>
  <c r="AA973" s="1"/>
  <c r="AC973" s="1"/>
  <c r="Z972"/>
  <c r="Y972"/>
  <c r="AA972" s="1"/>
  <c r="AC972" s="1"/>
  <c r="N972"/>
  <c r="Y968"/>
  <c r="AA968" s="1"/>
  <c r="AC968" s="1"/>
  <c r="Z967"/>
  <c r="AB967" s="1"/>
  <c r="AD967" s="1"/>
  <c r="Y967"/>
  <c r="AA967" s="1"/>
  <c r="AC967" s="1"/>
  <c r="Y966"/>
  <c r="AA966" s="1"/>
  <c r="AC966" s="1"/>
  <c r="Z965"/>
  <c r="AB965" s="1"/>
  <c r="AD965" s="1"/>
  <c r="Y965"/>
  <c r="AA965" s="1"/>
  <c r="AC965" s="1"/>
  <c r="X964"/>
  <c r="V964"/>
  <c r="S964"/>
  <c r="R964"/>
  <c r="Q964"/>
  <c r="N964"/>
  <c r="L964"/>
  <c r="Y963"/>
  <c r="AA963" s="1"/>
  <c r="AC963" s="1"/>
  <c r="AA962"/>
  <c r="AC962" s="1"/>
  <c r="Z962"/>
  <c r="AB962" s="1"/>
  <c r="AD962" s="1"/>
  <c r="Y961"/>
  <c r="AA961" s="1"/>
  <c r="AC961" s="1"/>
  <c r="AA960"/>
  <c r="AC960" s="1"/>
  <c r="Z960"/>
  <c r="AB960" s="1"/>
  <c r="AD960" s="1"/>
  <c r="Y959"/>
  <c r="AA959" s="1"/>
  <c r="AC959" s="1"/>
  <c r="AA958"/>
  <c r="AC958" s="1"/>
  <c r="Z958"/>
  <c r="AB958" s="1"/>
  <c r="AD958" s="1"/>
  <c r="Y957"/>
  <c r="AA957" s="1"/>
  <c r="K957"/>
  <c r="AA956"/>
  <c r="AC956" s="1"/>
  <c r="Z956"/>
  <c r="AB956" s="1"/>
  <c r="AD956" s="1"/>
  <c r="Y955"/>
  <c r="AA955" s="1"/>
  <c r="K955"/>
  <c r="M954"/>
  <c r="K954"/>
  <c r="Y953"/>
  <c r="AA953" s="1"/>
  <c r="K953"/>
  <c r="Y952"/>
  <c r="AA952" s="1"/>
  <c r="K952"/>
  <c r="Y951"/>
  <c r="AA951" s="1"/>
  <c r="K951"/>
  <c r="Z950"/>
  <c r="AB950" s="1"/>
  <c r="AD950" s="1"/>
  <c r="Y950"/>
  <c r="M950"/>
  <c r="K950"/>
  <c r="Z949"/>
  <c r="AB949" s="1"/>
  <c r="Y949"/>
  <c r="AA949" s="1"/>
  <c r="AC949" s="1"/>
  <c r="Y948"/>
  <c r="AA948" s="1"/>
  <c r="K948"/>
  <c r="AC947"/>
  <c r="Z947"/>
  <c r="AB947" s="1"/>
  <c r="Z946"/>
  <c r="AB946" s="1"/>
  <c r="AD946" s="1"/>
  <c r="Y946"/>
  <c r="AA946" s="1"/>
  <c r="K946"/>
  <c r="Y945"/>
  <c r="X945"/>
  <c r="V945"/>
  <c r="R945"/>
  <c r="P945"/>
  <c r="N945"/>
  <c r="Z943"/>
  <c r="AB943" s="1"/>
  <c r="Y943"/>
  <c r="M943"/>
  <c r="Y942"/>
  <c r="AA942" s="1"/>
  <c r="K942"/>
  <c r="AD941"/>
  <c r="Z941"/>
  <c r="Y941"/>
  <c r="K941"/>
  <c r="AC941" s="1"/>
  <c r="Z940"/>
  <c r="AB940" s="1"/>
  <c r="Y940"/>
  <c r="AA940" s="1"/>
  <c r="AC940" s="1"/>
  <c r="Z939"/>
  <c r="AB939" s="1"/>
  <c r="Y939"/>
  <c r="M939"/>
  <c r="K939"/>
  <c r="Z938"/>
  <c r="AB937" s="1"/>
  <c r="Y938"/>
  <c r="AA938" s="1"/>
  <c r="AC938" s="1"/>
  <c r="Y937"/>
  <c r="AA937" s="1"/>
  <c r="AC937" s="1"/>
  <c r="Z936"/>
  <c r="AB936" s="1"/>
  <c r="AD936" s="1"/>
  <c r="Y936"/>
  <c r="AA936" s="1"/>
  <c r="AC936" s="1"/>
  <c r="Y935"/>
  <c r="AA935" s="1"/>
  <c r="AC935" s="1"/>
  <c r="Z934"/>
  <c r="AB934" s="1"/>
  <c r="AD934" s="1"/>
  <c r="Y934"/>
  <c r="M934"/>
  <c r="Y933"/>
  <c r="AA933" s="1"/>
  <c r="AC933" s="1"/>
  <c r="X933"/>
  <c r="V933"/>
  <c r="R933"/>
  <c r="N933"/>
  <c r="Z932"/>
  <c r="AB932" s="1"/>
  <c r="AD932" s="1"/>
  <c r="Y932"/>
  <c r="AA932" s="1"/>
  <c r="AC932" s="1"/>
  <c r="Y931"/>
  <c r="AA931" s="1"/>
  <c r="X931"/>
  <c r="V931"/>
  <c r="T931"/>
  <c r="R931"/>
  <c r="P931"/>
  <c r="N931"/>
  <c r="L931"/>
  <c r="K931"/>
  <c r="Z930"/>
  <c r="AB930" s="1"/>
  <c r="Y930"/>
  <c r="AA930" s="1"/>
  <c r="AC930" s="1"/>
  <c r="Y929"/>
  <c r="AA929" s="1"/>
  <c r="AC929" s="1"/>
  <c r="Z928"/>
  <c r="AB928" s="1"/>
  <c r="Y928"/>
  <c r="M928"/>
  <c r="L928"/>
  <c r="K928"/>
  <c r="Y927"/>
  <c r="AA927" s="1"/>
  <c r="AC927" s="1"/>
  <c r="X927"/>
  <c r="V927"/>
  <c r="R927"/>
  <c r="P927"/>
  <c r="N927"/>
  <c r="Z926"/>
  <c r="AB926" s="1"/>
  <c r="Y926"/>
  <c r="AA926" s="1"/>
  <c r="AC926" s="1"/>
  <c r="Y925"/>
  <c r="M925"/>
  <c r="K925"/>
  <c r="Z924"/>
  <c r="AB924" s="1"/>
  <c r="AD924" s="1"/>
  <c r="Y924"/>
  <c r="K924"/>
  <c r="K923" s="1"/>
  <c r="X923"/>
  <c r="W923"/>
  <c r="V923"/>
  <c r="U923"/>
  <c r="T923"/>
  <c r="T896" s="1"/>
  <c r="S923"/>
  <c r="R923"/>
  <c r="Q923"/>
  <c r="P923"/>
  <c r="O923"/>
  <c r="N923"/>
  <c r="M923"/>
  <c r="L923"/>
  <c r="Y922"/>
  <c r="AA922" s="1"/>
  <c r="AC922" s="1"/>
  <c r="AA921"/>
  <c r="Y920"/>
  <c r="AA920" s="1"/>
  <c r="AC920" s="1"/>
  <c r="Z919"/>
  <c r="AB919" s="1"/>
  <c r="Y919"/>
  <c r="AA919" s="1"/>
  <c r="AC919" s="1"/>
  <c r="L918"/>
  <c r="X918"/>
  <c r="W918"/>
  <c r="V918"/>
  <c r="U918"/>
  <c r="T918"/>
  <c r="R918"/>
  <c r="P918"/>
  <c r="N918"/>
  <c r="AA917"/>
  <c r="Z917"/>
  <c r="AB917" s="1"/>
  <c r="AD917" s="1"/>
  <c r="K917"/>
  <c r="Z916"/>
  <c r="Y916"/>
  <c r="AB915"/>
  <c r="AD915" s="1"/>
  <c r="AA915"/>
  <c r="K915"/>
  <c r="Z914"/>
  <c r="Y914"/>
  <c r="AB913"/>
  <c r="AD913" s="1"/>
  <c r="AA913"/>
  <c r="K913"/>
  <c r="AA912"/>
  <c r="Z912"/>
  <c r="AB912" s="1"/>
  <c r="AD912" s="1"/>
  <c r="K912"/>
  <c r="M911"/>
  <c r="AA911" s="1"/>
  <c r="K911"/>
  <c r="AB910"/>
  <c r="AD910" s="1"/>
  <c r="M910"/>
  <c r="AA910" s="1"/>
  <c r="K910"/>
  <c r="Z909"/>
  <c r="AB909" s="1"/>
  <c r="AD909" s="1"/>
  <c r="M909"/>
  <c r="AA909" s="1"/>
  <c r="K909"/>
  <c r="AB908"/>
  <c r="AD908" s="1"/>
  <c r="M908"/>
  <c r="AA908" s="1"/>
  <c r="K908"/>
  <c r="Z907"/>
  <c r="AB907" s="1"/>
  <c r="AD907" s="1"/>
  <c r="M907"/>
  <c r="AA907" s="1"/>
  <c r="K907"/>
  <c r="AA906"/>
  <c r="K906"/>
  <c r="M905"/>
  <c r="AA905" s="1"/>
  <c r="K905"/>
  <c r="AB904"/>
  <c r="AD904" s="1"/>
  <c r="Y904"/>
  <c r="AA904" s="1"/>
  <c r="K904"/>
  <c r="Z903"/>
  <c r="AB903" s="1"/>
  <c r="AD903" s="1"/>
  <c r="M903"/>
  <c r="AA903" s="1"/>
  <c r="K903"/>
  <c r="Z902"/>
  <c r="AB902" s="1"/>
  <c r="AD902" s="1"/>
  <c r="M902"/>
  <c r="AA902" s="1"/>
  <c r="K902"/>
  <c r="M901"/>
  <c r="AA901" s="1"/>
  <c r="K901"/>
  <c r="M900"/>
  <c r="AA900" s="1"/>
  <c r="K900"/>
  <c r="Z899"/>
  <c r="AB899" s="1"/>
  <c r="AD899" s="1"/>
  <c r="M899"/>
  <c r="AA899" s="1"/>
  <c r="K899"/>
  <c r="AA898"/>
  <c r="Z898"/>
  <c r="AB898" s="1"/>
  <c r="AD898" s="1"/>
  <c r="K898"/>
  <c r="Y897"/>
  <c r="AA897" s="1"/>
  <c r="AC897" s="1"/>
  <c r="X897"/>
  <c r="V897"/>
  <c r="R897"/>
  <c r="N897"/>
  <c r="L897"/>
  <c r="R971" l="1"/>
  <c r="N971"/>
  <c r="AD848"/>
  <c r="AD894" s="1"/>
  <c r="AD895" s="1"/>
  <c r="AB847"/>
  <c r="V971"/>
  <c r="AC1004"/>
  <c r="P971"/>
  <c r="AC999"/>
  <c r="AC917"/>
  <c r="Y918"/>
  <c r="AA918" s="1"/>
  <c r="AC918" s="1"/>
  <c r="AC898"/>
  <c r="AC913"/>
  <c r="AC942"/>
  <c r="AC903"/>
  <c r="AC909"/>
  <c r="AD949"/>
  <c r="P896"/>
  <c r="AB972"/>
  <c r="AC977"/>
  <c r="AC955"/>
  <c r="AD976"/>
  <c r="AD978"/>
  <c r="AA980"/>
  <c r="AC980" s="1"/>
  <c r="AA950"/>
  <c r="AC950" s="1"/>
  <c r="AC900"/>
  <c r="AC902"/>
  <c r="AC951"/>
  <c r="AC953"/>
  <c r="AA974"/>
  <c r="AC974" s="1"/>
  <c r="L983"/>
  <c r="L933"/>
  <c r="AD974"/>
  <c r="AC976"/>
  <c r="AD980"/>
  <c r="AD981"/>
  <c r="AD988"/>
  <c r="V896"/>
  <c r="Y964"/>
  <c r="AA964" s="1"/>
  <c r="AC964" s="1"/>
  <c r="AD977"/>
  <c r="L972"/>
  <c r="AC988"/>
  <c r="AD989"/>
  <c r="AC899"/>
  <c r="AC905"/>
  <c r="AC907"/>
  <c r="L945"/>
  <c r="Z983"/>
  <c r="AB983" s="1"/>
  <c r="Z998"/>
  <c r="AB998" s="1"/>
  <c r="Z991"/>
  <c r="AB991" s="1"/>
  <c r="X896"/>
  <c r="Z927"/>
  <c r="AB927" s="1"/>
  <c r="Z931"/>
  <c r="AB931" s="1"/>
  <c r="AD931" s="1"/>
  <c r="R896"/>
  <c r="L927"/>
  <c r="AD930"/>
  <c r="AA945"/>
  <c r="AC945" s="1"/>
  <c r="AC948"/>
  <c r="AA934"/>
  <c r="AC934" s="1"/>
  <c r="AC910"/>
  <c r="AC912"/>
  <c r="AD939"/>
  <c r="AD943"/>
  <c r="Z964"/>
  <c r="AB964" s="1"/>
  <c r="AD964" s="1"/>
  <c r="AC931"/>
  <c r="N896"/>
  <c r="AC904"/>
  <c r="AC906"/>
  <c r="AC911"/>
  <c r="AD940"/>
  <c r="AA943"/>
  <c r="AC943" s="1"/>
  <c r="AC946"/>
  <c r="AC901"/>
  <c r="AD919"/>
  <c r="Y923"/>
  <c r="AA925"/>
  <c r="AC925" s="1"/>
  <c r="AD928"/>
  <c r="AA939"/>
  <c r="AC939" s="1"/>
  <c r="Z945"/>
  <c r="AB945" s="1"/>
  <c r="AC915"/>
  <c r="Z918"/>
  <c r="AB918" s="1"/>
  <c r="AD918" s="1"/>
  <c r="AD948"/>
  <c r="AC952"/>
  <c r="AC957"/>
  <c r="AC908"/>
  <c r="AA928"/>
  <c r="AC928" s="1"/>
  <c r="Z933"/>
  <c r="AB933" s="1"/>
  <c r="AD938"/>
  <c r="AB923"/>
  <c r="AD923" s="1"/>
  <c r="AD926"/>
  <c r="AD947"/>
  <c r="AB897"/>
  <c r="Z923"/>
  <c r="AA924"/>
  <c r="Z897"/>
  <c r="L971" l="1"/>
  <c r="AD933"/>
  <c r="AD972"/>
  <c r="AD983"/>
  <c r="Z971"/>
  <c r="L896"/>
  <c r="AD945"/>
  <c r="AD927"/>
  <c r="Z896"/>
  <c r="AD991"/>
  <c r="AB971"/>
  <c r="AA923"/>
  <c r="AC923" s="1"/>
  <c r="AC924"/>
  <c r="AD897"/>
  <c r="AB896"/>
  <c r="AC969" l="1"/>
  <c r="AC970" s="1"/>
  <c r="AC1005"/>
  <c r="AD969"/>
  <c r="AD970" s="1"/>
  <c r="AD1004"/>
  <c r="AD1005" s="1"/>
  <c r="Z838" l="1"/>
  <c r="AB838" s="1"/>
  <c r="Z829"/>
  <c r="AB829" s="1"/>
  <c r="R829"/>
  <c r="P829"/>
  <c r="Z818"/>
  <c r="AB818" s="1"/>
  <c r="R818"/>
  <c r="P818"/>
  <c r="R815"/>
  <c r="Z815" s="1"/>
  <c r="AB815" s="1"/>
  <c r="AD815" s="1"/>
  <c r="P815"/>
  <c r="R812"/>
  <c r="Z812" s="1"/>
  <c r="AB812" s="1"/>
  <c r="AD812" s="1"/>
  <c r="P812"/>
  <c r="R810"/>
  <c r="Z810" s="1"/>
  <c r="AB810" s="1"/>
  <c r="AD810" s="1"/>
  <c r="P810"/>
  <c r="R804"/>
  <c r="Z804" s="1"/>
  <c r="AB804" s="1"/>
  <c r="AD804" s="1"/>
  <c r="P804"/>
  <c r="R790"/>
  <c r="Z790" s="1"/>
  <c r="AB790" s="1"/>
  <c r="AD790" s="1"/>
  <c r="P790"/>
  <c r="N789"/>
  <c r="AD845" l="1"/>
  <c r="AD846" s="1"/>
  <c r="P789"/>
  <c r="Z789"/>
  <c r="R789"/>
  <c r="AC768"/>
  <c r="Z768"/>
  <c r="AB768" s="1"/>
  <c r="AD768" s="1"/>
  <c r="Y768"/>
  <c r="Z767"/>
  <c r="AB767" s="1"/>
  <c r="AD767" s="1"/>
  <c r="Y767"/>
  <c r="AA767" s="1"/>
  <c r="Z766"/>
  <c r="AB766" s="1"/>
  <c r="AD766" s="1"/>
  <c r="Y766"/>
  <c r="AA766" s="1"/>
  <c r="AC766" s="1"/>
  <c r="Z765"/>
  <c r="AB765" s="1"/>
  <c r="AD765" s="1"/>
  <c r="Y765"/>
  <c r="AA765" s="1"/>
  <c r="AC765" s="1"/>
  <c r="Z764"/>
  <c r="AB764" s="1"/>
  <c r="AD764" s="1"/>
  <c r="Y764"/>
  <c r="AA764" s="1"/>
  <c r="AC764" s="1"/>
  <c r="Z763"/>
  <c r="AB763" s="1"/>
  <c r="AD763" s="1"/>
  <c r="Y763"/>
  <c r="AA763" s="1"/>
  <c r="AC763" s="1"/>
  <c r="Z762"/>
  <c r="AB762" s="1"/>
  <c r="AD762" s="1"/>
  <c r="Y762"/>
  <c r="AA762" s="1"/>
  <c r="AC762" s="1"/>
  <c r="Z761"/>
  <c r="AB761" s="1"/>
  <c r="AD761" s="1"/>
  <c r="Y761"/>
  <c r="AA761" s="1"/>
  <c r="AC761" s="1"/>
  <c r="Z760"/>
  <c r="AB760" s="1"/>
  <c r="AD760" s="1"/>
  <c r="Y760"/>
  <c r="AA760" s="1"/>
  <c r="AC760" s="1"/>
  <c r="Z759"/>
  <c r="AB759" s="1"/>
  <c r="AD759" s="1"/>
  <c r="Y759"/>
  <c r="AA759" s="1"/>
  <c r="AC759" s="1"/>
  <c r="AC758"/>
  <c r="Z758"/>
  <c r="AB758" s="1"/>
  <c r="Y758"/>
  <c r="AC757"/>
  <c r="Y757"/>
  <c r="X757"/>
  <c r="V757"/>
  <c r="R757"/>
  <c r="P757"/>
  <c r="N757"/>
  <c r="L757"/>
  <c r="Z755"/>
  <c r="AB755" s="1"/>
  <c r="AD755" s="1"/>
  <c r="Y755"/>
  <c r="AA755" s="1"/>
  <c r="AC755" s="1"/>
  <c r="Z754"/>
  <c r="AB754" s="1"/>
  <c r="AD754" s="1"/>
  <c r="Y754"/>
  <c r="AA754" s="1"/>
  <c r="AC754" s="1"/>
  <c r="AC753"/>
  <c r="Z753"/>
  <c r="AB753" s="1"/>
  <c r="AD753" s="1"/>
  <c r="Y753"/>
  <c r="Z752"/>
  <c r="AB752" s="1"/>
  <c r="AD752" s="1"/>
  <c r="Y752"/>
  <c r="AA752" s="1"/>
  <c r="AC752" s="1"/>
  <c r="Z751"/>
  <c r="AB751" s="1"/>
  <c r="AD751" s="1"/>
  <c r="Y751"/>
  <c r="AA751" s="1"/>
  <c r="AC751" s="1"/>
  <c r="Z750"/>
  <c r="AB750" s="1"/>
  <c r="AD750" s="1"/>
  <c r="Y750"/>
  <c r="AA750" s="1"/>
  <c r="AC750" s="1"/>
  <c r="Z749"/>
  <c r="AB749" s="1"/>
  <c r="Y749"/>
  <c r="AA749" s="1"/>
  <c r="AC749" s="1"/>
  <c r="Z748"/>
  <c r="AB748" s="1"/>
  <c r="AD748" s="1"/>
  <c r="Y748"/>
  <c r="AA748" s="1"/>
  <c r="AC748" s="1"/>
  <c r="Z747"/>
  <c r="AB747" s="1"/>
  <c r="AD747" s="1"/>
  <c r="Y747"/>
  <c r="AA747" s="1"/>
  <c r="AC747" s="1"/>
  <c r="Z746"/>
  <c r="AB746" s="1"/>
  <c r="AD746" s="1"/>
  <c r="Y746"/>
  <c r="AA746" s="1"/>
  <c r="AC746" s="1"/>
  <c r="Z745"/>
  <c r="Z744"/>
  <c r="AB744" s="1"/>
  <c r="AD744" s="1"/>
  <c r="Y744"/>
  <c r="AA744" s="1"/>
  <c r="AC744" s="1"/>
  <c r="Z743"/>
  <c r="AB743" s="1"/>
  <c r="Y743"/>
  <c r="AA743" s="1"/>
  <c r="AC743" s="1"/>
  <c r="L743"/>
  <c r="L741" s="1"/>
  <c r="AC742"/>
  <c r="Z742"/>
  <c r="AB742" s="1"/>
  <c r="Y742"/>
  <c r="AC741"/>
  <c r="Y741"/>
  <c r="X741"/>
  <c r="V741"/>
  <c r="R741"/>
  <c r="P741"/>
  <c r="N741"/>
  <c r="Z740"/>
  <c r="AB740" s="1"/>
  <c r="AD740" s="1"/>
  <c r="Y740"/>
  <c r="AA740" s="1"/>
  <c r="AC740" s="1"/>
  <c r="Z739"/>
  <c r="AB739" s="1"/>
  <c r="AD739" s="1"/>
  <c r="Y739"/>
  <c r="AA739" s="1"/>
  <c r="AC739" s="1"/>
  <c r="Z738"/>
  <c r="AB738" s="1"/>
  <c r="AD738" s="1"/>
  <c r="Y738"/>
  <c r="AA738" s="1"/>
  <c r="AC738" s="1"/>
  <c r="Z737"/>
  <c r="Z736"/>
  <c r="AB736" s="1"/>
  <c r="Y736"/>
  <c r="AA736" s="1"/>
  <c r="AC736" s="1"/>
  <c r="L736"/>
  <c r="Y735"/>
  <c r="AA735" s="1"/>
  <c r="AC735" s="1"/>
  <c r="X735"/>
  <c r="V735"/>
  <c r="R735"/>
  <c r="P735"/>
  <c r="N735"/>
  <c r="L735"/>
  <c r="AC734"/>
  <c r="Z734"/>
  <c r="AB734" s="1"/>
  <c r="L734"/>
  <c r="Z733"/>
  <c r="AB733" s="1"/>
  <c r="AD733" s="1"/>
  <c r="Y733"/>
  <c r="AA733" s="1"/>
  <c r="AC733" s="1"/>
  <c r="Z732"/>
  <c r="AB732" s="1"/>
  <c r="AD732" s="1"/>
  <c r="Y732"/>
  <c r="AA732" s="1"/>
  <c r="AC732" s="1"/>
  <c r="Z731"/>
  <c r="AB731" s="1"/>
  <c r="AD731" s="1"/>
  <c r="Y731"/>
  <c r="AA731" s="1"/>
  <c r="AC731" s="1"/>
  <c r="Z730"/>
  <c r="AB730" s="1"/>
  <c r="AD730" s="1"/>
  <c r="Y730"/>
  <c r="AA730" s="1"/>
  <c r="AC730" s="1"/>
  <c r="Z729"/>
  <c r="AB729" s="1"/>
  <c r="AD729" s="1"/>
  <c r="Y729"/>
  <c r="AA729" s="1"/>
  <c r="AC729" s="1"/>
  <c r="Z728"/>
  <c r="AB728" s="1"/>
  <c r="AD728" s="1"/>
  <c r="Y728"/>
  <c r="AA728" s="1"/>
  <c r="AC728" s="1"/>
  <c r="Z727"/>
  <c r="AB727" s="1"/>
  <c r="AD727" s="1"/>
  <c r="Y727"/>
  <c r="AA727" s="1"/>
  <c r="AC727" s="1"/>
  <c r="Z726"/>
  <c r="AB726" s="1"/>
  <c r="AD726" s="1"/>
  <c r="Y726"/>
  <c r="AA726" s="1"/>
  <c r="AC726" s="1"/>
  <c r="Z725"/>
  <c r="AB725" s="1"/>
  <c r="AD725" s="1"/>
  <c r="Y725"/>
  <c r="AA725" s="1"/>
  <c r="AC725" s="1"/>
  <c r="Z724"/>
  <c r="AB724" s="1"/>
  <c r="AD724" s="1"/>
  <c r="Y724"/>
  <c r="AA724" s="1"/>
  <c r="AC724" s="1"/>
  <c r="Y723"/>
  <c r="AA723" s="1"/>
  <c r="X723"/>
  <c r="V723"/>
  <c r="R723"/>
  <c r="P723"/>
  <c r="N723"/>
  <c r="L723"/>
  <c r="AC769" l="1"/>
  <c r="AC770" s="1"/>
  <c r="P722"/>
  <c r="AD736"/>
  <c r="Z757"/>
  <c r="AB757" s="1"/>
  <c r="AD757" s="1"/>
  <c r="L722"/>
  <c r="Z741"/>
  <c r="AB741" s="1"/>
  <c r="AD741" s="1"/>
  <c r="AD743"/>
  <c r="T722"/>
  <c r="Z723"/>
  <c r="AB723" s="1"/>
  <c r="AD723" s="1"/>
  <c r="R722"/>
  <c r="Z735"/>
  <c r="AB735" s="1"/>
  <c r="AD735" s="1"/>
  <c r="AD734"/>
  <c r="X722"/>
  <c r="V722"/>
  <c r="AC767"/>
  <c r="N722"/>
  <c r="AD769" l="1"/>
  <c r="AD770" s="1"/>
  <c r="Z722"/>
  <c r="AB722"/>
  <c r="F3" i="2" l="1"/>
  <c r="P648" i="1"/>
  <c r="P636"/>
  <c r="N719"/>
  <c r="N718" s="1"/>
  <c r="L715"/>
  <c r="L714"/>
  <c r="L713"/>
  <c r="N715"/>
  <c r="N714"/>
  <c r="N713"/>
  <c r="P710"/>
  <c r="P718"/>
  <c r="P716"/>
  <c r="P661"/>
  <c r="P625"/>
  <c r="Z719"/>
  <c r="Y719"/>
  <c r="AA719" s="1"/>
  <c r="AC719" s="1"/>
  <c r="Y718"/>
  <c r="AA718" s="1"/>
  <c r="AC718" s="1"/>
  <c r="R718"/>
  <c r="Z718" s="1"/>
  <c r="Z717"/>
  <c r="AB717" s="1"/>
  <c r="AD717" s="1"/>
  <c r="Y717"/>
  <c r="AA717" s="1"/>
  <c r="AC717" s="1"/>
  <c r="Z716"/>
  <c r="AB716" s="1"/>
  <c r="AD716" s="1"/>
  <c r="Y716"/>
  <c r="Z712"/>
  <c r="AB712" s="1"/>
  <c r="AD712" s="1"/>
  <c r="Y712"/>
  <c r="AA712" s="1"/>
  <c r="AC712" s="1"/>
  <c r="Z711"/>
  <c r="AB711" s="1"/>
  <c r="AD711" s="1"/>
  <c r="Y711"/>
  <c r="AA711" s="1"/>
  <c r="AC711" s="1"/>
  <c r="Y710"/>
  <c r="AA710" s="1"/>
  <c r="AC710" s="1"/>
  <c r="R710"/>
  <c r="Z710" s="1"/>
  <c r="N710"/>
  <c r="Z709"/>
  <c r="AB709" s="1"/>
  <c r="Y709"/>
  <c r="AA709" s="1"/>
  <c r="AC709" s="1"/>
  <c r="L709"/>
  <c r="Z708"/>
  <c r="AB708" s="1"/>
  <c r="Q708"/>
  <c r="Y708" s="1"/>
  <c r="AA708" s="1"/>
  <c r="AC708" s="1"/>
  <c r="L708"/>
  <c r="AC707"/>
  <c r="Z707"/>
  <c r="AB707" s="1"/>
  <c r="Y707"/>
  <c r="L707"/>
  <c r="R706"/>
  <c r="Z706" s="1"/>
  <c r="N706"/>
  <c r="P664"/>
  <c r="N664"/>
  <c r="AB664" s="1"/>
  <c r="L664"/>
  <c r="R661"/>
  <c r="Z661" s="1"/>
  <c r="N661"/>
  <c r="L661"/>
  <c r="R659"/>
  <c r="Z659" s="1"/>
  <c r="P659"/>
  <c r="N659"/>
  <c r="R657"/>
  <c r="Z657" s="1"/>
  <c r="Y657"/>
  <c r="AA657" s="1"/>
  <c r="AC657" s="1"/>
  <c r="P657"/>
  <c r="N657"/>
  <c r="L657" s="1"/>
  <c r="P655"/>
  <c r="L655"/>
  <c r="AD655" s="1"/>
  <c r="Y649"/>
  <c r="AA649" s="1"/>
  <c r="AC649" s="1"/>
  <c r="R648"/>
  <c r="Z648" s="1"/>
  <c r="N648"/>
  <c r="AA648"/>
  <c r="AC648" s="1"/>
  <c r="L648"/>
  <c r="R644"/>
  <c r="Z644" s="1"/>
  <c r="P644"/>
  <c r="N644"/>
  <c r="L644"/>
  <c r="R636"/>
  <c r="Z636" s="1"/>
  <c r="N636"/>
  <c r="L636"/>
  <c r="R625"/>
  <c r="Z625" s="1"/>
  <c r="N625"/>
  <c r="L625"/>
  <c r="Z621"/>
  <c r="AB621" s="1"/>
  <c r="Y621"/>
  <c r="AA621" s="1"/>
  <c r="AC621" s="1"/>
  <c r="L621"/>
  <c r="L620" s="1"/>
  <c r="Y620"/>
  <c r="AA620" s="1"/>
  <c r="AC620" s="1"/>
  <c r="R620"/>
  <c r="Z620" s="1"/>
  <c r="P620"/>
  <c r="N620"/>
  <c r="Z619"/>
  <c r="AB619" s="1"/>
  <c r="Y619"/>
  <c r="AA619" s="1"/>
  <c r="AC619" s="1"/>
  <c r="L619"/>
  <c r="Z618"/>
  <c r="AB618" s="1"/>
  <c r="AD618" s="1"/>
  <c r="Y618"/>
  <c r="AA618" s="1"/>
  <c r="AC618" s="1"/>
  <c r="Z617"/>
  <c r="AB617" s="1"/>
  <c r="Y617"/>
  <c r="AA617" s="1"/>
  <c r="AC617" s="1"/>
  <c r="L617"/>
  <c r="AC616"/>
  <c r="Z616"/>
  <c r="AB616" s="1"/>
  <c r="Y616"/>
  <c r="L616"/>
  <c r="AC613"/>
  <c r="Z613"/>
  <c r="AB613" s="1"/>
  <c r="Y613"/>
  <c r="L613"/>
  <c r="Y612"/>
  <c r="AA612" s="1"/>
  <c r="AC612" s="1"/>
  <c r="X612"/>
  <c r="V612"/>
  <c r="R612"/>
  <c r="P612"/>
  <c r="N612"/>
  <c r="Z611"/>
  <c r="AB611" s="1"/>
  <c r="Y611"/>
  <c r="AA611" s="1"/>
  <c r="AC611" s="1"/>
  <c r="L611"/>
  <c r="L610" s="1"/>
  <c r="Y610"/>
  <c r="AA610" s="1"/>
  <c r="AC610" s="1"/>
  <c r="X610"/>
  <c r="V610"/>
  <c r="T610"/>
  <c r="R610"/>
  <c r="P610"/>
  <c r="N610"/>
  <c r="Z607"/>
  <c r="AB607" s="1"/>
  <c r="AD607" s="1"/>
  <c r="Y607"/>
  <c r="AA607" s="1"/>
  <c r="AC607" s="1"/>
  <c r="Y606"/>
  <c r="AA606" s="1"/>
  <c r="AC606" s="1"/>
  <c r="X606"/>
  <c r="V606"/>
  <c r="T606"/>
  <c r="T582" s="1"/>
  <c r="R606"/>
  <c r="P606"/>
  <c r="N606"/>
  <c r="L606"/>
  <c r="Z605"/>
  <c r="AB605" s="1"/>
  <c r="Y605"/>
  <c r="AA605" s="1"/>
  <c r="AC605" s="1"/>
  <c r="L604"/>
  <c r="Y604"/>
  <c r="AA604" s="1"/>
  <c r="AC604" s="1"/>
  <c r="X604"/>
  <c r="V604"/>
  <c r="R604"/>
  <c r="P604"/>
  <c r="N604"/>
  <c r="Z603"/>
  <c r="AB603" s="1"/>
  <c r="Y603"/>
  <c r="AA603" s="1"/>
  <c r="AC603" s="1"/>
  <c r="L603"/>
  <c r="Z602"/>
  <c r="AB602" s="1"/>
  <c r="Y602"/>
  <c r="AA602" s="1"/>
  <c r="AC602" s="1"/>
  <c r="L602"/>
  <c r="Z599"/>
  <c r="AB599" s="1"/>
  <c r="Y599"/>
  <c r="AA599" s="1"/>
  <c r="AC599" s="1"/>
  <c r="L599"/>
  <c r="Y598"/>
  <c r="AA598" s="1"/>
  <c r="AC598" s="1"/>
  <c r="X598"/>
  <c r="V598"/>
  <c r="R598"/>
  <c r="P598"/>
  <c r="N598"/>
  <c r="Z597"/>
  <c r="AB597" s="1"/>
  <c r="Y597"/>
  <c r="AA597" s="1"/>
  <c r="AC597" s="1"/>
  <c r="L597"/>
  <c r="Z595"/>
  <c r="AB595" s="1"/>
  <c r="Y595"/>
  <c r="AA595" s="1"/>
  <c r="AC595" s="1"/>
  <c r="L595"/>
  <c r="Z594"/>
  <c r="AB594" s="1"/>
  <c r="Y594"/>
  <c r="AA594" s="1"/>
  <c r="AC594" s="1"/>
  <c r="L594"/>
  <c r="Z593"/>
  <c r="AB593" s="1"/>
  <c r="Y593"/>
  <c r="AA593" s="1"/>
  <c r="AC593" s="1"/>
  <c r="L593"/>
  <c r="Z592"/>
  <c r="AB592" s="1"/>
  <c r="Y592"/>
  <c r="AA592" s="1"/>
  <c r="AC592" s="1"/>
  <c r="L592"/>
  <c r="Z590"/>
  <c r="AB590" s="1"/>
  <c r="Y590"/>
  <c r="AA590" s="1"/>
  <c r="AC590" s="1"/>
  <c r="L590"/>
  <c r="Z589"/>
  <c r="AB589" s="1"/>
  <c r="Y589"/>
  <c r="AA589" s="1"/>
  <c r="AC589" s="1"/>
  <c r="L589"/>
  <c r="Z588"/>
  <c r="AB588" s="1"/>
  <c r="Y588"/>
  <c r="AA588" s="1"/>
  <c r="AC588" s="1"/>
  <c r="L588"/>
  <c r="Z587"/>
  <c r="AB587" s="1"/>
  <c r="Y587"/>
  <c r="AA587" s="1"/>
  <c r="AC587" s="1"/>
  <c r="L587"/>
  <c r="Z586"/>
  <c r="AB586" s="1"/>
  <c r="Y586"/>
  <c r="AA586" s="1"/>
  <c r="AC586" s="1"/>
  <c r="L586"/>
  <c r="Z585"/>
  <c r="AB585" s="1"/>
  <c r="Y585"/>
  <c r="AA585" s="1"/>
  <c r="AC585" s="1"/>
  <c r="L585"/>
  <c r="Z584"/>
  <c r="AB584" s="1"/>
  <c r="Y584"/>
  <c r="AA584" s="1"/>
  <c r="AC584" s="1"/>
  <c r="L584"/>
  <c r="Y583"/>
  <c r="AA583" s="1"/>
  <c r="AC583" s="1"/>
  <c r="R583"/>
  <c r="Z583" s="1"/>
  <c r="P583"/>
  <c r="N583"/>
  <c r="Z624" l="1"/>
  <c r="AB661"/>
  <c r="AD661" s="1"/>
  <c r="AB644"/>
  <c r="AD644" s="1"/>
  <c r="AB657"/>
  <c r="AD657" s="1"/>
  <c r="AB659"/>
  <c r="AD659" s="1"/>
  <c r="AB625"/>
  <c r="AB648"/>
  <c r="AD648" s="1"/>
  <c r="AD664"/>
  <c r="AB636"/>
  <c r="AD636" s="1"/>
  <c r="AC622"/>
  <c r="AC623" s="1"/>
  <c r="AC666"/>
  <c r="AC667" s="1"/>
  <c r="P705"/>
  <c r="L710"/>
  <c r="N705"/>
  <c r="AB706"/>
  <c r="AB710"/>
  <c r="L719"/>
  <c r="L718" s="1"/>
  <c r="L612"/>
  <c r="N582"/>
  <c r="AB718"/>
  <c r="AB719"/>
  <c r="AD589"/>
  <c r="AD594"/>
  <c r="AD611"/>
  <c r="AD708"/>
  <c r="Z705"/>
  <c r="AD707"/>
  <c r="AD709"/>
  <c r="R705"/>
  <c r="N624"/>
  <c r="AD619"/>
  <c r="AD603"/>
  <c r="L706"/>
  <c r="Q706"/>
  <c r="Y706" s="1"/>
  <c r="AA706" s="1"/>
  <c r="AC706" s="1"/>
  <c r="AC720" s="1"/>
  <c r="AC721" s="1"/>
  <c r="R624"/>
  <c r="R582"/>
  <c r="AD592"/>
  <c r="AD599"/>
  <c r="AB620"/>
  <c r="AD620" s="1"/>
  <c r="AD621"/>
  <c r="L624"/>
  <c r="P582"/>
  <c r="AD588"/>
  <c r="AD593"/>
  <c r="AD595"/>
  <c r="AD602"/>
  <c r="Z604"/>
  <c r="AB604" s="1"/>
  <c r="AD604" s="1"/>
  <c r="P624"/>
  <c r="L583"/>
  <c r="AB583"/>
  <c r="AD585"/>
  <c r="Z612"/>
  <c r="AB612" s="1"/>
  <c r="AD584"/>
  <c r="AD586"/>
  <c r="AD597"/>
  <c r="AD605"/>
  <c r="Z606"/>
  <c r="AB606" s="1"/>
  <c r="AD606" s="1"/>
  <c r="AD613"/>
  <c r="AD616"/>
  <c r="AD617"/>
  <c r="AD587"/>
  <c r="AD590"/>
  <c r="Z598"/>
  <c r="AB598" s="1"/>
  <c r="L598"/>
  <c r="Z610"/>
  <c r="AB610" s="1"/>
  <c r="AD610" s="1"/>
  <c r="AB582" l="1"/>
  <c r="Z582"/>
  <c r="AD625"/>
  <c r="AD666" s="1"/>
  <c r="AD667" s="1"/>
  <c r="AB624"/>
  <c r="AD718"/>
  <c r="AD706"/>
  <c r="AD710"/>
  <c r="AD719"/>
  <c r="AD612"/>
  <c r="L705"/>
  <c r="AB705"/>
  <c r="AD583"/>
  <c r="AD598"/>
  <c r="L582"/>
  <c r="AD622" l="1"/>
  <c r="AD623" s="1"/>
  <c r="AD720"/>
  <c r="AD721" s="1"/>
  <c r="C3" i="2" l="1"/>
  <c r="P478" i="1"/>
  <c r="P472"/>
  <c r="P459"/>
  <c r="P447"/>
  <c r="P436"/>
  <c r="P423"/>
  <c r="R416"/>
  <c r="Z416" s="1"/>
  <c r="A3" i="2"/>
  <c r="P416" i="1"/>
  <c r="N416"/>
  <c r="L416"/>
  <c r="R414"/>
  <c r="Z414" s="1"/>
  <c r="P414"/>
  <c r="N414"/>
  <c r="L414"/>
  <c r="R411"/>
  <c r="Z411" s="1"/>
  <c r="P411"/>
  <c r="N411"/>
  <c r="L411"/>
  <c r="R409"/>
  <c r="Z409" s="1"/>
  <c r="P409"/>
  <c r="N409"/>
  <c r="L409"/>
  <c r="R393"/>
  <c r="Z393" s="1"/>
  <c r="P393"/>
  <c r="R388"/>
  <c r="Z388" s="1"/>
  <c r="P388"/>
  <c r="N388"/>
  <c r="L388"/>
  <c r="R385"/>
  <c r="Z385" s="1"/>
  <c r="P385"/>
  <c r="N385"/>
  <c r="L385"/>
  <c r="AC385"/>
  <c r="R383"/>
  <c r="Z383" s="1"/>
  <c r="P383"/>
  <c r="N383"/>
  <c r="L383"/>
  <c r="R379"/>
  <c r="Z379" s="1"/>
  <c r="P379"/>
  <c r="N379"/>
  <c r="L379"/>
  <c r="R328"/>
  <c r="Z328" s="1"/>
  <c r="P328"/>
  <c r="N328"/>
  <c r="L328"/>
  <c r="R325"/>
  <c r="Z325" s="1"/>
  <c r="P325"/>
  <c r="N325"/>
  <c r="L325"/>
  <c r="R322"/>
  <c r="Z322" s="1"/>
  <c r="P322"/>
  <c r="N322"/>
  <c r="L322"/>
  <c r="R317"/>
  <c r="Z317" s="1"/>
  <c r="P317"/>
  <c r="N317"/>
  <c r="L317"/>
  <c r="R307"/>
  <c r="Z307" s="1"/>
  <c r="P307"/>
  <c r="N307"/>
  <c r="L307"/>
  <c r="R299"/>
  <c r="Z299" s="1"/>
  <c r="P299"/>
  <c r="N299"/>
  <c r="L299"/>
  <c r="R291"/>
  <c r="Z291" s="1"/>
  <c r="P291"/>
  <c r="N291"/>
  <c r="L291"/>
  <c r="R285"/>
  <c r="Z285" s="1"/>
  <c r="P285"/>
  <c r="N285"/>
  <c r="L285"/>
  <c r="R278"/>
  <c r="Z278" s="1"/>
  <c r="P278"/>
  <c r="N278"/>
  <c r="L278"/>
  <c r="R276"/>
  <c r="Z276" s="1"/>
  <c r="P276"/>
  <c r="N276"/>
  <c r="L276"/>
  <c r="R253"/>
  <c r="Z253" s="1"/>
  <c r="P253"/>
  <c r="N253"/>
  <c r="L253"/>
  <c r="Y240"/>
  <c r="AA240" s="1"/>
  <c r="AC240" s="1"/>
  <c r="R240"/>
  <c r="Z240" s="1"/>
  <c r="Z239" s="1"/>
  <c r="P240"/>
  <c r="N240"/>
  <c r="L240"/>
  <c r="AB409" l="1"/>
  <c r="AD409" s="1"/>
  <c r="AB411"/>
  <c r="AD411" s="1"/>
  <c r="AB253"/>
  <c r="AD253" s="1"/>
  <c r="AB278"/>
  <c r="AD278" s="1"/>
  <c r="AB416"/>
  <c r="AD416" s="1"/>
  <c r="AB393"/>
  <c r="AD393" s="1"/>
  <c r="AB328"/>
  <c r="AD328" s="1"/>
  <c r="AB322"/>
  <c r="AD322" s="1"/>
  <c r="AB385"/>
  <c r="AD385" s="1"/>
  <c r="AB291"/>
  <c r="AD291" s="1"/>
  <c r="AB276"/>
  <c r="AD276" s="1"/>
  <c r="AB285"/>
  <c r="AD285" s="1"/>
  <c r="AB299"/>
  <c r="AD299" s="1"/>
  <c r="AB307"/>
  <c r="AD307" s="1"/>
  <c r="AB317"/>
  <c r="AD317" s="1"/>
  <c r="AB325"/>
  <c r="AD325" s="1"/>
  <c r="AB379"/>
  <c r="AD379" s="1"/>
  <c r="AB383"/>
  <c r="AD383" s="1"/>
  <c r="AB388"/>
  <c r="AD388" s="1"/>
  <c r="AB414"/>
  <c r="AD414" s="1"/>
  <c r="P239"/>
  <c r="N239"/>
  <c r="L239"/>
  <c r="R239"/>
  <c r="AC420"/>
  <c r="AC421" s="1"/>
  <c r="AB240"/>
  <c r="AD240" l="1"/>
  <c r="AD420" s="1"/>
  <c r="AD421" s="1"/>
  <c r="AB239"/>
  <c r="P511"/>
  <c r="P504"/>
  <c r="P491"/>
  <c r="P538"/>
  <c r="P534"/>
  <c r="P524"/>
  <c r="P519"/>
  <c r="P517"/>
  <c r="P514"/>
  <c r="R781"/>
  <c r="R772"/>
  <c r="N772"/>
  <c r="P772"/>
  <c r="Z786"/>
  <c r="AB786" s="1"/>
  <c r="Y786"/>
  <c r="AA786" s="1"/>
  <c r="AC786" s="1"/>
  <c r="Y785"/>
  <c r="P785"/>
  <c r="N785"/>
  <c r="L785"/>
  <c r="Z784"/>
  <c r="AB784" s="1"/>
  <c r="AD784" s="1"/>
  <c r="Y784"/>
  <c r="AA784" s="1"/>
  <c r="AC784" s="1"/>
  <c r="Y783"/>
  <c r="AA783" s="1"/>
  <c r="R783"/>
  <c r="P783"/>
  <c r="N783"/>
  <c r="L783"/>
  <c r="Z782"/>
  <c r="AB782" s="1"/>
  <c r="Y782"/>
  <c r="AA782" s="1"/>
  <c r="AC782" s="1"/>
  <c r="Y781"/>
  <c r="P781"/>
  <c r="N781"/>
  <c r="L781"/>
  <c r="Z780"/>
  <c r="AB780" s="1"/>
  <c r="AD780" s="1"/>
  <c r="Y780"/>
  <c r="AA780" s="1"/>
  <c r="AC780" s="1"/>
  <c r="Z779"/>
  <c r="AB779" s="1"/>
  <c r="AD779" s="1"/>
  <c r="Y779"/>
  <c r="AA779" s="1"/>
  <c r="AC779" s="1"/>
  <c r="Z778"/>
  <c r="AB778" s="1"/>
  <c r="AD778" s="1"/>
  <c r="Y778"/>
  <c r="AA778" s="1"/>
  <c r="AC778" s="1"/>
  <c r="Z777"/>
  <c r="AB777" s="1"/>
  <c r="AD777" s="1"/>
  <c r="Y777"/>
  <c r="AA777" s="1"/>
  <c r="AC777" s="1"/>
  <c r="Z776"/>
  <c r="AB776" s="1"/>
  <c r="AD776" s="1"/>
  <c r="Y776"/>
  <c r="AA776" s="1"/>
  <c r="AC776" s="1"/>
  <c r="Z775"/>
  <c r="AB775" s="1"/>
  <c r="AD775" s="1"/>
  <c r="Y775"/>
  <c r="AA775" s="1"/>
  <c r="AC775" s="1"/>
  <c r="Z774"/>
  <c r="AB774" s="1"/>
  <c r="AD774" s="1"/>
  <c r="Y774"/>
  <c r="AA774" s="1"/>
  <c r="AC774" s="1"/>
  <c r="Z773"/>
  <c r="Y773"/>
  <c r="AA773" s="1"/>
  <c r="AC773" s="1"/>
  <c r="Y772"/>
  <c r="AA772" s="1"/>
  <c r="AC772" s="1"/>
  <c r="L772"/>
  <c r="R538"/>
  <c r="Z538" s="1"/>
  <c r="AB538" s="1"/>
  <c r="L538"/>
  <c r="R534"/>
  <c r="Z534" s="1"/>
  <c r="L534"/>
  <c r="R524"/>
  <c r="Z524" s="1"/>
  <c r="N524"/>
  <c r="L524"/>
  <c r="R519"/>
  <c r="Z519" s="1"/>
  <c r="N519"/>
  <c r="L519"/>
  <c r="R517"/>
  <c r="Z517" s="1"/>
  <c r="N517"/>
  <c r="L517"/>
  <c r="R514"/>
  <c r="Z514" s="1"/>
  <c r="N514"/>
  <c r="L514"/>
  <c r="R511"/>
  <c r="Z511" s="1"/>
  <c r="N511"/>
  <c r="L511"/>
  <c r="R504"/>
  <c r="Z504" s="1"/>
  <c r="N504"/>
  <c r="L504"/>
  <c r="R491"/>
  <c r="Z491" s="1"/>
  <c r="Q491"/>
  <c r="Y491" s="1"/>
  <c r="AA491" s="1"/>
  <c r="AC491" s="1"/>
  <c r="N491"/>
  <c r="L491"/>
  <c r="AB773" l="1"/>
  <c r="AD773" s="1"/>
  <c r="Z772"/>
  <c r="AB514"/>
  <c r="AD514" s="1"/>
  <c r="AB491"/>
  <c r="AD491" s="1"/>
  <c r="AB504"/>
  <c r="AD504" s="1"/>
  <c r="AB519"/>
  <c r="AD519" s="1"/>
  <c r="AB511"/>
  <c r="AD511" s="1"/>
  <c r="AB517"/>
  <c r="AD517" s="1"/>
  <c r="AD538"/>
  <c r="AB534"/>
  <c r="AD534" s="1"/>
  <c r="AB524"/>
  <c r="AD524" s="1"/>
  <c r="AC546"/>
  <c r="AC547" s="1"/>
  <c r="R771"/>
  <c r="AA781"/>
  <c r="AC781" s="1"/>
  <c r="P490"/>
  <c r="R490"/>
  <c r="Z490" s="1"/>
  <c r="AA785"/>
  <c r="AC785" s="1"/>
  <c r="P771"/>
  <c r="AC783"/>
  <c r="Z783"/>
  <c r="N771"/>
  <c r="N490"/>
  <c r="L490"/>
  <c r="AD786"/>
  <c r="AB785"/>
  <c r="AD785" s="1"/>
  <c r="AD782"/>
  <c r="AB781"/>
  <c r="AD781" s="1"/>
  <c r="Z785"/>
  <c r="Z781"/>
  <c r="AB783"/>
  <c r="AD783" s="1"/>
  <c r="AB772" l="1"/>
  <c r="AB771" s="1"/>
  <c r="Z771"/>
  <c r="AC787"/>
  <c r="AC788" s="1"/>
  <c r="AD546"/>
  <c r="AD547" s="1"/>
  <c r="X486"/>
  <c r="W486"/>
  <c r="V486"/>
  <c r="U486"/>
  <c r="T486"/>
  <c r="S486"/>
  <c r="R486"/>
  <c r="Q486"/>
  <c r="P486"/>
  <c r="L486" s="1"/>
  <c r="N486"/>
  <c r="N482"/>
  <c r="AB482" s="1"/>
  <c r="L482"/>
  <c r="N481"/>
  <c r="X478"/>
  <c r="V478"/>
  <c r="U478"/>
  <c r="T478"/>
  <c r="S478"/>
  <c r="R478"/>
  <c r="Q472"/>
  <c r="Y472" s="1"/>
  <c r="AA472" s="1"/>
  <c r="AC472" s="1"/>
  <c r="M477"/>
  <c r="AA477" s="1"/>
  <c r="AC477" s="1"/>
  <c r="M475"/>
  <c r="AA475" s="1"/>
  <c r="AC475" s="1"/>
  <c r="X472"/>
  <c r="V472"/>
  <c r="T472"/>
  <c r="R472"/>
  <c r="N472"/>
  <c r="L472"/>
  <c r="M466"/>
  <c r="M463"/>
  <c r="AA463" s="1"/>
  <c r="AC463" s="1"/>
  <c r="M462"/>
  <c r="AA462" s="1"/>
  <c r="AC462" s="1"/>
  <c r="M460"/>
  <c r="AA460" s="1"/>
  <c r="AC460" s="1"/>
  <c r="X459"/>
  <c r="V459"/>
  <c r="U459"/>
  <c r="T459"/>
  <c r="R459"/>
  <c r="N459"/>
  <c r="L459"/>
  <c r="X457"/>
  <c r="W457"/>
  <c r="V457"/>
  <c r="U457"/>
  <c r="T457"/>
  <c r="S457"/>
  <c r="R457"/>
  <c r="Q457"/>
  <c r="P457"/>
  <c r="N457"/>
  <c r="M457"/>
  <c r="L457"/>
  <c r="A457"/>
  <c r="A459" s="1"/>
  <c r="A472" s="1"/>
  <c r="A478" s="1"/>
  <c r="A486" s="1"/>
  <c r="N451"/>
  <c r="AB451" s="1"/>
  <c r="AD451" s="1"/>
  <c r="M450"/>
  <c r="AA450" s="1"/>
  <c r="L450"/>
  <c r="K450"/>
  <c r="N449"/>
  <c r="AB449" s="1"/>
  <c r="AD449" s="1"/>
  <c r="N448"/>
  <c r="AB448" s="1"/>
  <c r="AD448" s="1"/>
  <c r="X447"/>
  <c r="V447"/>
  <c r="T447"/>
  <c r="R447"/>
  <c r="Q447"/>
  <c r="Y447" s="1"/>
  <c r="AA447" s="1"/>
  <c r="AC447" s="1"/>
  <c r="N446"/>
  <c r="M446"/>
  <c r="AA446" s="1"/>
  <c r="AC446" s="1"/>
  <c r="X445"/>
  <c r="V445"/>
  <c r="T445"/>
  <c r="R445"/>
  <c r="P445"/>
  <c r="L445"/>
  <c r="N443"/>
  <c r="AB443" s="1"/>
  <c r="AD443" s="1"/>
  <c r="N442"/>
  <c r="AB442" s="1"/>
  <c r="L442"/>
  <c r="N441"/>
  <c r="AB441" s="1"/>
  <c r="L441"/>
  <c r="N440"/>
  <c r="AB440" s="1"/>
  <c r="AD440" s="1"/>
  <c r="N439"/>
  <c r="X436"/>
  <c r="V436"/>
  <c r="T436"/>
  <c r="R436"/>
  <c r="N435"/>
  <c r="Y434"/>
  <c r="AA434" s="1"/>
  <c r="AC434" s="1"/>
  <c r="N434"/>
  <c r="AB434" s="1"/>
  <c r="L434"/>
  <c r="Y433"/>
  <c r="AA433" s="1"/>
  <c r="AC433" s="1"/>
  <c r="N433"/>
  <c r="AB433" s="1"/>
  <c r="L433"/>
  <c r="Y432"/>
  <c r="AA432" s="1"/>
  <c r="AC432" s="1"/>
  <c r="N432"/>
  <c r="AB432" s="1"/>
  <c r="L432"/>
  <c r="Y431"/>
  <c r="AA431" s="1"/>
  <c r="AC431" s="1"/>
  <c r="N431"/>
  <c r="AB431" s="1"/>
  <c r="L431"/>
  <c r="Y430"/>
  <c r="AA430" s="1"/>
  <c r="AC430" s="1"/>
  <c r="N430"/>
  <c r="AB430" s="1"/>
  <c r="L430"/>
  <c r="Y429"/>
  <c r="AA429" s="1"/>
  <c r="AC429" s="1"/>
  <c r="N429"/>
  <c r="AB429" s="1"/>
  <c r="L429"/>
  <c r="Y428"/>
  <c r="AA428" s="1"/>
  <c r="AC428" s="1"/>
  <c r="N428"/>
  <c r="AB428" s="1"/>
  <c r="L428"/>
  <c r="Y427"/>
  <c r="AA427" s="1"/>
  <c r="AC427" s="1"/>
  <c r="N427"/>
  <c r="AB427" s="1"/>
  <c r="L427"/>
  <c r="Y426"/>
  <c r="AA426" s="1"/>
  <c r="AC426" s="1"/>
  <c r="N426"/>
  <c r="AB426" s="1"/>
  <c r="L426"/>
  <c r="N425"/>
  <c r="AB425" s="1"/>
  <c r="L425"/>
  <c r="Y424"/>
  <c r="AA424" s="1"/>
  <c r="AC424" s="1"/>
  <c r="N424"/>
  <c r="AB424" s="1"/>
  <c r="L424"/>
  <c r="X423"/>
  <c r="V423"/>
  <c r="T423"/>
  <c r="R423"/>
  <c r="T422" l="1"/>
  <c r="AD772"/>
  <c r="AD787" s="1"/>
  <c r="AD788" s="1"/>
  <c r="AD482"/>
  <c r="AD424"/>
  <c r="AD427"/>
  <c r="AD431"/>
  <c r="AD426"/>
  <c r="AD430"/>
  <c r="AD434"/>
  <c r="AD442"/>
  <c r="Y478"/>
  <c r="AA478" s="1"/>
  <c r="AC478" s="1"/>
  <c r="Z445"/>
  <c r="Z459"/>
  <c r="AB459" s="1"/>
  <c r="AD459" s="1"/>
  <c r="Z472"/>
  <c r="AB472" s="1"/>
  <c r="AD472" s="1"/>
  <c r="AC450"/>
  <c r="Z457"/>
  <c r="AB457" s="1"/>
  <c r="AD457" s="1"/>
  <c r="Z486"/>
  <c r="AB486" s="1"/>
  <c r="AD486" s="1"/>
  <c r="AD425"/>
  <c r="AD428"/>
  <c r="AD432"/>
  <c r="AD441"/>
  <c r="L439"/>
  <c r="L436" s="1"/>
  <c r="AB439"/>
  <c r="L435"/>
  <c r="L423" s="1"/>
  <c r="AB435"/>
  <c r="L447"/>
  <c r="AD450"/>
  <c r="Z478"/>
  <c r="Y457"/>
  <c r="AA457" s="1"/>
  <c r="AC457" s="1"/>
  <c r="Y486"/>
  <c r="AA486" s="1"/>
  <c r="AC486" s="1"/>
  <c r="N445"/>
  <c r="AB446"/>
  <c r="AD446" s="1"/>
  <c r="K466"/>
  <c r="AA466"/>
  <c r="L481"/>
  <c r="L478" s="1"/>
  <c r="AB481"/>
  <c r="Z436"/>
  <c r="Z447"/>
  <c r="Z423"/>
  <c r="AD429"/>
  <c r="AD433"/>
  <c r="Y459"/>
  <c r="AA459" s="1"/>
  <c r="AC459" s="1"/>
  <c r="P422"/>
  <c r="R422"/>
  <c r="N423"/>
  <c r="N436"/>
  <c r="N447"/>
  <c r="N478"/>
  <c r="AB445" l="1"/>
  <c r="AD445" s="1"/>
  <c r="AD481"/>
  <c r="AB436"/>
  <c r="AD436" s="1"/>
  <c r="AD435"/>
  <c r="AB423"/>
  <c r="AD423" s="1"/>
  <c r="AD439"/>
  <c r="AC466"/>
  <c r="AB447"/>
  <c r="AD447" s="1"/>
  <c r="AB478"/>
  <c r="AD478" s="1"/>
  <c r="L422"/>
  <c r="Z422"/>
  <c r="N422"/>
  <c r="AB422" l="1"/>
  <c r="Y1811"/>
  <c r="AA1811" s="1"/>
  <c r="AC1811" s="1"/>
  <c r="R1809"/>
  <c r="Z1809" s="1"/>
  <c r="P1809"/>
  <c r="N1809"/>
  <c r="L1809"/>
  <c r="Q1808"/>
  <c r="Y1808" s="1"/>
  <c r="AA1808" s="1"/>
  <c r="AC1808" s="1"/>
  <c r="R1807"/>
  <c r="Z1807" s="1"/>
  <c r="P1807"/>
  <c r="N1807"/>
  <c r="L1807"/>
  <c r="Q1806"/>
  <c r="Y1806" s="1"/>
  <c r="AA1806" s="1"/>
  <c r="AC1806" s="1"/>
  <c r="R1805"/>
  <c r="Z1805" s="1"/>
  <c r="P1805"/>
  <c r="L1805" s="1"/>
  <c r="N1805"/>
  <c r="Q1798"/>
  <c r="Y1798" s="1"/>
  <c r="M1798"/>
  <c r="R1797"/>
  <c r="Z1797" s="1"/>
  <c r="P1797"/>
  <c r="N1797"/>
  <c r="L1797"/>
  <c r="R1796"/>
  <c r="Z1796" s="1"/>
  <c r="AB1796" s="1"/>
  <c r="AD1796" s="1"/>
  <c r="R1795"/>
  <c r="Z1795" s="1"/>
  <c r="AB1795" s="1"/>
  <c r="AD1795" s="1"/>
  <c r="R1794"/>
  <c r="Z1794" s="1"/>
  <c r="AB1794" s="1"/>
  <c r="AD1794" s="1"/>
  <c r="R1793"/>
  <c r="Z1793" s="1"/>
  <c r="AB1793" s="1"/>
  <c r="AD1793" s="1"/>
  <c r="R1792"/>
  <c r="Z1792" s="1"/>
  <c r="AB1792" s="1"/>
  <c r="AD1792" s="1"/>
  <c r="R1791"/>
  <c r="Z1791" s="1"/>
  <c r="AB1791" s="1"/>
  <c r="AD1791" s="1"/>
  <c r="R1790"/>
  <c r="Z1790" s="1"/>
  <c r="AB1790" s="1"/>
  <c r="AD1790" s="1"/>
  <c r="R1789"/>
  <c r="Z1789" s="1"/>
  <c r="AB1789" s="1"/>
  <c r="AD1789" s="1"/>
  <c r="R1788"/>
  <c r="Z1788" s="1"/>
  <c r="AB1788" s="1"/>
  <c r="AD1788" s="1"/>
  <c r="R1787"/>
  <c r="Z1787" s="1"/>
  <c r="AB1787" s="1"/>
  <c r="AD1787" s="1"/>
  <c r="R1786"/>
  <c r="Z1786" s="1"/>
  <c r="AB1786" s="1"/>
  <c r="AD1786" s="1"/>
  <c r="P1785"/>
  <c r="N1785"/>
  <c r="L1785"/>
  <c r="AB1807" l="1"/>
  <c r="AD1807" s="1"/>
  <c r="AB1797"/>
  <c r="AD1797" s="1"/>
  <c r="AB1809"/>
  <c r="AD1809" s="1"/>
  <c r="AA1798"/>
  <c r="AC1798" s="1"/>
  <c r="AB1805"/>
  <c r="AD1805" s="1"/>
  <c r="L1784"/>
  <c r="L1709" s="1"/>
  <c r="N1784"/>
  <c r="N1709" s="1"/>
  <c r="P1784"/>
  <c r="P1709" s="1"/>
  <c r="AD488"/>
  <c r="AD489" s="1"/>
  <c r="Q1807"/>
  <c r="Y1807" s="1"/>
  <c r="AA1807" s="1"/>
  <c r="AC1807" s="1"/>
  <c r="Q1805"/>
  <c r="Y1805" s="1"/>
  <c r="AA1805" s="1"/>
  <c r="AC1805" s="1"/>
  <c r="R1785"/>
  <c r="R1784" l="1"/>
  <c r="R1709" s="1"/>
  <c r="Z1785"/>
  <c r="AB1785" s="1"/>
  <c r="AD1785" s="1"/>
  <c r="Z1784" l="1"/>
  <c r="Z1709" s="1"/>
  <c r="AD1824"/>
  <c r="AD1825" s="1"/>
  <c r="AB1784"/>
  <c r="AB1709" s="1"/>
  <c r="AC1824"/>
  <c r="AC1825" s="1"/>
  <c r="AC488" l="1"/>
  <c r="AC489" s="1"/>
  <c r="AD220"/>
  <c r="Z219"/>
  <c r="AB219" s="1"/>
  <c r="AD219" s="1"/>
  <c r="Y219"/>
  <c r="N214"/>
  <c r="N213"/>
  <c r="N212"/>
  <c r="AA212"/>
  <c r="AC212" s="1"/>
  <c r="X211"/>
  <c r="V211"/>
  <c r="R211"/>
  <c r="Y211"/>
  <c r="P211"/>
  <c r="N210"/>
  <c r="AB210" s="1"/>
  <c r="AD210" s="1"/>
  <c r="N209"/>
  <c r="AB209" s="1"/>
  <c r="AD209" s="1"/>
  <c r="N208"/>
  <c r="AB208" s="1"/>
  <c r="AD208" s="1"/>
  <c r="X205"/>
  <c r="V205"/>
  <c r="T205"/>
  <c r="R205"/>
  <c r="P205"/>
  <c r="X203"/>
  <c r="V203"/>
  <c r="T203"/>
  <c r="R203"/>
  <c r="Q203"/>
  <c r="Y203" s="1"/>
  <c r="P203"/>
  <c r="L203"/>
  <c r="L120" s="1"/>
  <c r="AB202"/>
  <c r="AD202" s="1"/>
  <c r="AA202"/>
  <c r="AC202" s="1"/>
  <c r="O201"/>
  <c r="AB201"/>
  <c r="AD201" s="1"/>
  <c r="AA201"/>
  <c r="AC201" s="1"/>
  <c r="AB200"/>
  <c r="AD200" s="1"/>
  <c r="AA200"/>
  <c r="AC200" s="1"/>
  <c r="AB199"/>
  <c r="AD199" s="1"/>
  <c r="AA199"/>
  <c r="AC199" s="1"/>
  <c r="V198"/>
  <c r="T198"/>
  <c r="R198"/>
  <c r="Q198"/>
  <c r="Y198" s="1"/>
  <c r="P198"/>
  <c r="AA197"/>
  <c r="AC197" s="1"/>
  <c r="N195"/>
  <c r="AB195" s="1"/>
  <c r="AD195" s="1"/>
  <c r="AB194"/>
  <c r="AD194" s="1"/>
  <c r="N192"/>
  <c r="AB192" s="1"/>
  <c r="AD192" s="1"/>
  <c r="N191"/>
  <c r="AB191" s="1"/>
  <c r="AD191" s="1"/>
  <c r="N190"/>
  <c r="AB190" s="1"/>
  <c r="AD190" s="1"/>
  <c r="X189"/>
  <c r="V189"/>
  <c r="T189"/>
  <c r="R189"/>
  <c r="Q189"/>
  <c r="Y189" s="1"/>
  <c r="P189"/>
  <c r="N188"/>
  <c r="AB188" s="1"/>
  <c r="AD188" s="1"/>
  <c r="N187"/>
  <c r="AB187" s="1"/>
  <c r="AD187" s="1"/>
  <c r="N186"/>
  <c r="AB186" s="1"/>
  <c r="AD186" s="1"/>
  <c r="N185"/>
  <c r="AB185" s="1"/>
  <c r="AD185" s="1"/>
  <c r="N184"/>
  <c r="X183"/>
  <c r="V183"/>
  <c r="T183"/>
  <c r="R183"/>
  <c r="N181"/>
  <c r="AB181" s="1"/>
  <c r="AD181" s="1"/>
  <c r="N180"/>
  <c r="AB180" s="1"/>
  <c r="AD180" s="1"/>
  <c r="N179"/>
  <c r="AB179" s="1"/>
  <c r="AD179" s="1"/>
  <c r="N178"/>
  <c r="AB178" s="1"/>
  <c r="AD178" s="1"/>
  <c r="N177"/>
  <c r="AB177" s="1"/>
  <c r="AD177" s="1"/>
  <c r="N176"/>
  <c r="AB176" s="1"/>
  <c r="AD176" s="1"/>
  <c r="X173"/>
  <c r="V173"/>
  <c r="R173"/>
  <c r="Q173"/>
  <c r="Y173" s="1"/>
  <c r="N171"/>
  <c r="AB171" s="1"/>
  <c r="AD171" s="1"/>
  <c r="N170"/>
  <c r="AB170" s="1"/>
  <c r="AD170" s="1"/>
  <c r="N169"/>
  <c r="AB169" s="1"/>
  <c r="AD169" s="1"/>
  <c r="N168"/>
  <c r="AB168" s="1"/>
  <c r="AD168" s="1"/>
  <c r="N167"/>
  <c r="AB167" s="1"/>
  <c r="AD167" s="1"/>
  <c r="X166"/>
  <c r="V166"/>
  <c r="T166"/>
  <c r="R166"/>
  <c r="AA165"/>
  <c r="AC165" s="1"/>
  <c r="AA164"/>
  <c r="AC164" s="1"/>
  <c r="AA163"/>
  <c r="AC163" s="1"/>
  <c r="X162"/>
  <c r="V162"/>
  <c r="T162"/>
  <c r="R162"/>
  <c r="P162"/>
  <c r="N160"/>
  <c r="AB160" s="1"/>
  <c r="AD160" s="1"/>
  <c r="AA160"/>
  <c r="AC160" s="1"/>
  <c r="AA159"/>
  <c r="AC159" s="1"/>
  <c r="N158"/>
  <c r="AB158" s="1"/>
  <c r="AD158" s="1"/>
  <c r="AA158"/>
  <c r="AC158" s="1"/>
  <c r="N157"/>
  <c r="AB157" s="1"/>
  <c r="AD157" s="1"/>
  <c r="AA157"/>
  <c r="AC157" s="1"/>
  <c r="X156"/>
  <c r="V156"/>
  <c r="T156"/>
  <c r="R156"/>
  <c r="P156"/>
  <c r="AA156"/>
  <c r="AC156" s="1"/>
  <c r="N154"/>
  <c r="AB154" s="1"/>
  <c r="AD154" s="1"/>
  <c r="AA154"/>
  <c r="AC154" s="1"/>
  <c r="N153"/>
  <c r="AB153" s="1"/>
  <c r="AD153" s="1"/>
  <c r="AA153"/>
  <c r="AC153" s="1"/>
  <c r="N152"/>
  <c r="AB152" s="1"/>
  <c r="AD152" s="1"/>
  <c r="M152"/>
  <c r="AA152" s="1"/>
  <c r="AC152" s="1"/>
  <c r="N151"/>
  <c r="AB151" s="1"/>
  <c r="AD151" s="1"/>
  <c r="AA151"/>
  <c r="AC151" s="1"/>
  <c r="N150"/>
  <c r="AB150" s="1"/>
  <c r="AD150" s="1"/>
  <c r="V149"/>
  <c r="R149"/>
  <c r="Y149"/>
  <c r="AA149" s="1"/>
  <c r="AC149" s="1"/>
  <c r="N149"/>
  <c r="AA148"/>
  <c r="AC148" s="1"/>
  <c r="N147"/>
  <c r="AB147" s="1"/>
  <c r="AD147" s="1"/>
  <c r="AA147"/>
  <c r="AC147" s="1"/>
  <c r="N146"/>
  <c r="AB146" s="1"/>
  <c r="AD146" s="1"/>
  <c r="AA146"/>
  <c r="AC146" s="1"/>
  <c r="N145"/>
  <c r="AB145" s="1"/>
  <c r="AD145" s="1"/>
  <c r="AA145"/>
  <c r="AC145" s="1"/>
  <c r="X144"/>
  <c r="V144"/>
  <c r="T144"/>
  <c r="R144"/>
  <c r="Q144"/>
  <c r="Y144" s="1"/>
  <c r="N144"/>
  <c r="N142"/>
  <c r="AB142" s="1"/>
  <c r="AD142" s="1"/>
  <c r="X141"/>
  <c r="W141"/>
  <c r="V141"/>
  <c r="T141"/>
  <c r="R141"/>
  <c r="Q141"/>
  <c r="Y141" s="1"/>
  <c r="AA141" s="1"/>
  <c r="AC141" s="1"/>
  <c r="P141"/>
  <c r="N141"/>
  <c r="N140"/>
  <c r="X138"/>
  <c r="W138"/>
  <c r="Y138" s="1"/>
  <c r="AA138" s="1"/>
  <c r="AC138" s="1"/>
  <c r="V138"/>
  <c r="T138"/>
  <c r="R138"/>
  <c r="N137"/>
  <c r="AB137" s="1"/>
  <c r="AD137" s="1"/>
  <c r="N136"/>
  <c r="AB136" s="1"/>
  <c r="AD136" s="1"/>
  <c r="N135"/>
  <c r="AB135" s="1"/>
  <c r="AD135" s="1"/>
  <c r="N134"/>
  <c r="AB134" s="1"/>
  <c r="AD134" s="1"/>
  <c r="N133"/>
  <c r="AB133" s="1"/>
  <c r="AD133" s="1"/>
  <c r="N132"/>
  <c r="AB132" s="1"/>
  <c r="AD132" s="1"/>
  <c r="N131"/>
  <c r="AB131" s="1"/>
  <c r="AD131" s="1"/>
  <c r="N130"/>
  <c r="AB130" s="1"/>
  <c r="AD130" s="1"/>
  <c r="N129"/>
  <c r="AB129" s="1"/>
  <c r="AD129" s="1"/>
  <c r="N128"/>
  <c r="AB128" s="1"/>
  <c r="AD128" s="1"/>
  <c r="N127"/>
  <c r="AB127" s="1"/>
  <c r="AD127" s="1"/>
  <c r="N126"/>
  <c r="AB126" s="1"/>
  <c r="AD126" s="1"/>
  <c r="N125"/>
  <c r="AB125" s="1"/>
  <c r="AD125" s="1"/>
  <c r="N124"/>
  <c r="AB124" s="1"/>
  <c r="AD124" s="1"/>
  <c r="N123"/>
  <c r="AB123" s="1"/>
  <c r="AD123" s="1"/>
  <c r="N122"/>
  <c r="AB122" s="1"/>
  <c r="AD122" s="1"/>
  <c r="V121"/>
  <c r="T121"/>
  <c r="R121"/>
  <c r="T120" l="1"/>
  <c r="AB212"/>
  <c r="L212"/>
  <c r="AB214"/>
  <c r="L214"/>
  <c r="AB213"/>
  <c r="L213"/>
  <c r="Z166"/>
  <c r="AB166" s="1"/>
  <c r="AD166" s="1"/>
  <c r="AB184"/>
  <c r="L184"/>
  <c r="AA173"/>
  <c r="AC173" s="1"/>
  <c r="AA183"/>
  <c r="AC183" s="1"/>
  <c r="N203"/>
  <c r="AB204"/>
  <c r="AD204" s="1"/>
  <c r="N138"/>
  <c r="AB140"/>
  <c r="AD140" s="1"/>
  <c r="AA190"/>
  <c r="AC190" s="1"/>
  <c r="AA192"/>
  <c r="AC192" s="1"/>
  <c r="Z141"/>
  <c r="AB141" s="1"/>
  <c r="AD141" s="1"/>
  <c r="Z144"/>
  <c r="AB144" s="1"/>
  <c r="AD144" s="1"/>
  <c r="Z189"/>
  <c r="AB189" s="1"/>
  <c r="AD189" s="1"/>
  <c r="AA198"/>
  <c r="AC198" s="1"/>
  <c r="AA203"/>
  <c r="AC203" s="1"/>
  <c r="AA191"/>
  <c r="AC191" s="1"/>
  <c r="AA177"/>
  <c r="AC177" s="1"/>
  <c r="AA179"/>
  <c r="AC179" s="1"/>
  <c r="AA181"/>
  <c r="AC181" s="1"/>
  <c r="AA184"/>
  <c r="AC184" s="1"/>
  <c r="AA186"/>
  <c r="AC186" s="1"/>
  <c r="AA188"/>
  <c r="AC188" s="1"/>
  <c r="AA194"/>
  <c r="AC194" s="1"/>
  <c r="AA209"/>
  <c r="AC209" s="1"/>
  <c r="AA213"/>
  <c r="AC213" s="1"/>
  <c r="AA220"/>
  <c r="AC220" s="1"/>
  <c r="Z121"/>
  <c r="Z138"/>
  <c r="Z156"/>
  <c r="Z162"/>
  <c r="AB162" s="1"/>
  <c r="AD162" s="1"/>
  <c r="Z183"/>
  <c r="AB183" s="1"/>
  <c r="AD183" s="1"/>
  <c r="AA189"/>
  <c r="AC189" s="1"/>
  <c r="Z198"/>
  <c r="AA193"/>
  <c r="AC193" s="1"/>
  <c r="AA176"/>
  <c r="AC176" s="1"/>
  <c r="AA178"/>
  <c r="AC178" s="1"/>
  <c r="AA180"/>
  <c r="AC180" s="1"/>
  <c r="AA182"/>
  <c r="AC182" s="1"/>
  <c r="AA185"/>
  <c r="AC185" s="1"/>
  <c r="AA187"/>
  <c r="AC187" s="1"/>
  <c r="AA195"/>
  <c r="AC195" s="1"/>
  <c r="AA204"/>
  <c r="AC204" s="1"/>
  <c r="AA208"/>
  <c r="AC208" s="1"/>
  <c r="AA210"/>
  <c r="AC210" s="1"/>
  <c r="AA214"/>
  <c r="AC214" s="1"/>
  <c r="Z149"/>
  <c r="AB149" s="1"/>
  <c r="AD149" s="1"/>
  <c r="Z173"/>
  <c r="Z203"/>
  <c r="Z205"/>
  <c r="Z211"/>
  <c r="AA172"/>
  <c r="AC172" s="1"/>
  <c r="AA171"/>
  <c r="AC171" s="1"/>
  <c r="AA170"/>
  <c r="AC170" s="1"/>
  <c r="AA169"/>
  <c r="AC169" s="1"/>
  <c r="AA168"/>
  <c r="AC168" s="1"/>
  <c r="AA167"/>
  <c r="AC167" s="1"/>
  <c r="AA166"/>
  <c r="AC166" s="1"/>
  <c r="P120"/>
  <c r="AA144"/>
  <c r="AC144" s="1"/>
  <c r="R120"/>
  <c r="N156"/>
  <c r="N121"/>
  <c r="N198"/>
  <c r="N173"/>
  <c r="N211"/>
  <c r="N205"/>
  <c r="AA219"/>
  <c r="AC219" s="1"/>
  <c r="AA211"/>
  <c r="AC211" s="1"/>
  <c r="Z120" l="1"/>
  <c r="AD213"/>
  <c r="AD212"/>
  <c r="AD214"/>
  <c r="AC223"/>
  <c r="AC224" s="1"/>
  <c r="AB211"/>
  <c r="AD211" s="1"/>
  <c r="AB205"/>
  <c r="AD205" s="1"/>
  <c r="AB203"/>
  <c r="AD203" s="1"/>
  <c r="AD184"/>
  <c r="AB156"/>
  <c r="AD156" s="1"/>
  <c r="AB173"/>
  <c r="AD173" s="1"/>
  <c r="AB198"/>
  <c r="AD198" s="1"/>
  <c r="AB138"/>
  <c r="AD138" s="1"/>
  <c r="AB121"/>
  <c r="N120"/>
  <c r="Z1543"/>
  <c r="AB1543" s="1"/>
  <c r="AD1543" s="1"/>
  <c r="Y1543"/>
  <c r="AA1543" s="1"/>
  <c r="AC1543" s="1"/>
  <c r="Z1542"/>
  <c r="AB1542" s="1"/>
  <c r="AD1542" s="1"/>
  <c r="Y1542"/>
  <c r="AA1542" s="1"/>
  <c r="AC1542" s="1"/>
  <c r="Z1541"/>
  <c r="AB1541" s="1"/>
  <c r="Y1541"/>
  <c r="AA1541" s="1"/>
  <c r="AC1541" s="1"/>
  <c r="R1540"/>
  <c r="P1540"/>
  <c r="Y1540"/>
  <c r="N1540"/>
  <c r="L1540"/>
  <c r="Z1539"/>
  <c r="Z1538" s="1"/>
  <c r="Y1539"/>
  <c r="AA1539" s="1"/>
  <c r="AC1539" s="1"/>
  <c r="R1538"/>
  <c r="P1538"/>
  <c r="O1538"/>
  <c r="Q1538" s="1"/>
  <c r="Y1538" s="1"/>
  <c r="N1538"/>
  <c r="M1538"/>
  <c r="L1538"/>
  <c r="K1538"/>
  <c r="Z1537"/>
  <c r="Z1536" s="1"/>
  <c r="Y1537"/>
  <c r="AA1537" s="1"/>
  <c r="AC1537" s="1"/>
  <c r="R1536"/>
  <c r="P1536"/>
  <c r="Q1536"/>
  <c r="Y1536" s="1"/>
  <c r="N1536"/>
  <c r="M1536"/>
  <c r="L1536"/>
  <c r="Z1535"/>
  <c r="AB1535" s="1"/>
  <c r="AD1535" s="1"/>
  <c r="Y1535"/>
  <c r="AA1535" s="1"/>
  <c r="AC1535" s="1"/>
  <c r="Z1534"/>
  <c r="AB1534" s="1"/>
  <c r="AD1534" s="1"/>
  <c r="Q1534"/>
  <c r="Y1534" s="1"/>
  <c r="AA1534" s="1"/>
  <c r="AC1534" s="1"/>
  <c r="Z1533"/>
  <c r="AB1533" s="1"/>
  <c r="AD1533" s="1"/>
  <c r="Y1533"/>
  <c r="AA1533" s="1"/>
  <c r="AC1533" s="1"/>
  <c r="Z1532"/>
  <c r="AB1532" s="1"/>
  <c r="Y1532"/>
  <c r="AA1532" s="1"/>
  <c r="AC1532" s="1"/>
  <c r="O1532"/>
  <c r="AD1531"/>
  <c r="Z1531"/>
  <c r="Y1531"/>
  <c r="AA1531" s="1"/>
  <c r="AC1531" s="1"/>
  <c r="AD1530"/>
  <c r="Z1530"/>
  <c r="Y1530"/>
  <c r="AA1530" s="1"/>
  <c r="AC1530" s="1"/>
  <c r="AD1529"/>
  <c r="Z1529"/>
  <c r="Y1529"/>
  <c r="AA1529" s="1"/>
  <c r="AC1529" s="1"/>
  <c r="AD1528"/>
  <c r="AC1528"/>
  <c r="Z1528"/>
  <c r="Y1528"/>
  <c r="Y1508"/>
  <c r="AA1508" s="1"/>
  <c r="R1508"/>
  <c r="P1508"/>
  <c r="N1508"/>
  <c r="L1508"/>
  <c r="Z1507"/>
  <c r="AB1507" s="1"/>
  <c r="AD1507" s="1"/>
  <c r="Y1507"/>
  <c r="AA1507" s="1"/>
  <c r="AC1507" s="1"/>
  <c r="Z1506"/>
  <c r="AB1506" s="1"/>
  <c r="AD1506" s="1"/>
  <c r="Y1506"/>
  <c r="AA1506" s="1"/>
  <c r="AC1506" s="1"/>
  <c r="Z1505"/>
  <c r="AB1505" s="1"/>
  <c r="AD1505" s="1"/>
  <c r="Y1505"/>
  <c r="AA1505" s="1"/>
  <c r="AC1505" s="1"/>
  <c r="AD1503"/>
  <c r="Z1503"/>
  <c r="R1502"/>
  <c r="P1502"/>
  <c r="L1502"/>
  <c r="AD1502" s="1"/>
  <c r="Z1501"/>
  <c r="AB1501" s="1"/>
  <c r="Y1501"/>
  <c r="AA1501" s="1"/>
  <c r="AC1501" s="1"/>
  <c r="R1500"/>
  <c r="Y1500"/>
  <c r="P1500"/>
  <c r="L1500"/>
  <c r="Z1499"/>
  <c r="AB1499" s="1"/>
  <c r="AD1499" s="1"/>
  <c r="Q1499"/>
  <c r="Y1499" s="1"/>
  <c r="AA1499" s="1"/>
  <c r="AC1499" s="1"/>
  <c r="Z1498"/>
  <c r="AB1498" s="1"/>
  <c r="AD1498" s="1"/>
  <c r="Q1498"/>
  <c r="Y1498" s="1"/>
  <c r="AA1498" s="1"/>
  <c r="AC1498" s="1"/>
  <c r="Z1497"/>
  <c r="AB1497" s="1"/>
  <c r="AD1497" s="1"/>
  <c r="Q1497"/>
  <c r="Y1497" s="1"/>
  <c r="AA1497" s="1"/>
  <c r="AC1497" s="1"/>
  <c r="Z1496"/>
  <c r="Y1496"/>
  <c r="AA1496" s="1"/>
  <c r="AC1496" s="1"/>
  <c r="R1495"/>
  <c r="Y1495"/>
  <c r="AA1495" s="1"/>
  <c r="AC1495" s="1"/>
  <c r="P1495"/>
  <c r="L1495"/>
  <c r="Z1494"/>
  <c r="AB1494" s="1"/>
  <c r="AD1494" s="1"/>
  <c r="Q1494"/>
  <c r="Y1494" s="1"/>
  <c r="AA1494" s="1"/>
  <c r="AC1494" s="1"/>
  <c r="P1482"/>
  <c r="Z1493"/>
  <c r="AB1493" s="1"/>
  <c r="AD1493" s="1"/>
  <c r="Q1493"/>
  <c r="Y1493" s="1"/>
  <c r="AA1493" s="1"/>
  <c r="AC1493" s="1"/>
  <c r="Z1492"/>
  <c r="AB1492" s="1"/>
  <c r="AD1492" s="1"/>
  <c r="Q1492"/>
  <c r="Y1492" s="1"/>
  <c r="AA1492" s="1"/>
  <c r="AC1492" s="1"/>
  <c r="Z1491"/>
  <c r="AB1491" s="1"/>
  <c r="AD1491" s="1"/>
  <c r="Q1491"/>
  <c r="Y1491" s="1"/>
  <c r="AA1491" s="1"/>
  <c r="AC1491" s="1"/>
  <c r="Z1490"/>
  <c r="AB1490" s="1"/>
  <c r="AD1490" s="1"/>
  <c r="Q1490"/>
  <c r="Y1490" s="1"/>
  <c r="AA1490" s="1"/>
  <c r="AC1490" s="1"/>
  <c r="Z1489"/>
  <c r="AB1489" s="1"/>
  <c r="AD1489" s="1"/>
  <c r="Q1489"/>
  <c r="Y1489" s="1"/>
  <c r="AA1489" s="1"/>
  <c r="AC1489" s="1"/>
  <c r="Z1488"/>
  <c r="AB1488" s="1"/>
  <c r="AD1488" s="1"/>
  <c r="Q1488"/>
  <c r="Y1488" s="1"/>
  <c r="AA1488" s="1"/>
  <c r="AC1488" s="1"/>
  <c r="Z1487"/>
  <c r="AB1487" s="1"/>
  <c r="AD1487" s="1"/>
  <c r="Q1487"/>
  <c r="Y1487" s="1"/>
  <c r="AA1487" s="1"/>
  <c r="AC1487" s="1"/>
  <c r="Z1486"/>
  <c r="AB1486" s="1"/>
  <c r="AD1486" s="1"/>
  <c r="Q1486"/>
  <c r="Y1486" s="1"/>
  <c r="AA1486" s="1"/>
  <c r="AC1486" s="1"/>
  <c r="Z1485"/>
  <c r="AB1485" s="1"/>
  <c r="AD1485" s="1"/>
  <c r="Q1485"/>
  <c r="Y1485" s="1"/>
  <c r="AA1485" s="1"/>
  <c r="AC1485" s="1"/>
  <c r="Z1484"/>
  <c r="AB1484" s="1"/>
  <c r="Q1484"/>
  <c r="Y1484" s="1"/>
  <c r="AA1484" s="1"/>
  <c r="AC1484" s="1"/>
  <c r="Z1483"/>
  <c r="AB1483" s="1"/>
  <c r="AD1483" s="1"/>
  <c r="Q1483"/>
  <c r="Y1483" s="1"/>
  <c r="AA1483" s="1"/>
  <c r="AC1483" s="1"/>
  <c r="R1482"/>
  <c r="Q1482"/>
  <c r="Y1482" s="1"/>
  <c r="AA1482" s="1"/>
  <c r="AC1482" s="1"/>
  <c r="L1482"/>
  <c r="Z1245"/>
  <c r="AB1245" s="1"/>
  <c r="AD1245" s="1"/>
  <c r="Y1245"/>
  <c r="AA1245" s="1"/>
  <c r="AC1245" s="1"/>
  <c r="Z1244"/>
  <c r="Y1244"/>
  <c r="AA1244" s="1"/>
  <c r="AC1244" s="1"/>
  <c r="Y1243"/>
  <c r="AA1243" s="1"/>
  <c r="AC1243" s="1"/>
  <c r="R1243"/>
  <c r="P1243"/>
  <c r="N1243"/>
  <c r="L1243"/>
  <c r="Z1242"/>
  <c r="AB1242" s="1"/>
  <c r="AD1242" s="1"/>
  <c r="Y1242"/>
  <c r="AA1242" s="1"/>
  <c r="AC1242" s="1"/>
  <c r="Z1241"/>
  <c r="AB1241" s="1"/>
  <c r="AD1241" s="1"/>
  <c r="Y1241"/>
  <c r="AA1241" s="1"/>
  <c r="AC1241" s="1"/>
  <c r="Z1240"/>
  <c r="AB1240" s="1"/>
  <c r="AD1240" s="1"/>
  <c r="Y1240"/>
  <c r="AA1240" s="1"/>
  <c r="AC1240" s="1"/>
  <c r="Z1239"/>
  <c r="AB1239" s="1"/>
  <c r="Y1239"/>
  <c r="AA1239" s="1"/>
  <c r="AC1239" s="1"/>
  <c r="Z1238"/>
  <c r="Y1238"/>
  <c r="AA1238" s="1"/>
  <c r="K1238"/>
  <c r="Z1237"/>
  <c r="AB1237" s="1"/>
  <c r="AD1237" s="1"/>
  <c r="Y1237"/>
  <c r="AA1237" s="1"/>
  <c r="AC1237" s="1"/>
  <c r="Z1236"/>
  <c r="AB1236" s="1"/>
  <c r="AD1236" s="1"/>
  <c r="Y1236"/>
  <c r="AA1236" s="1"/>
  <c r="AC1236" s="1"/>
  <c r="Z1235"/>
  <c r="AB1235" s="1"/>
  <c r="AD1235" s="1"/>
  <c r="Y1235"/>
  <c r="AA1235" s="1"/>
  <c r="AC1235" s="1"/>
  <c r="Z1234"/>
  <c r="AB1234" s="1"/>
  <c r="AD1234" s="1"/>
  <c r="Y1234"/>
  <c r="AA1234" s="1"/>
  <c r="AC1234" s="1"/>
  <c r="Z1233"/>
  <c r="Y1233"/>
  <c r="AA1233" s="1"/>
  <c r="AC1233" s="1"/>
  <c r="R1232"/>
  <c r="Y1232"/>
  <c r="P1232"/>
  <c r="N1232"/>
  <c r="L1232"/>
  <c r="Z116"/>
  <c r="AB116" s="1"/>
  <c r="Y116"/>
  <c r="AA116" s="1"/>
  <c r="L116"/>
  <c r="K116"/>
  <c r="Z115"/>
  <c r="AB115" s="1"/>
  <c r="Y115"/>
  <c r="AA115" s="1"/>
  <c r="L115"/>
  <c r="AD114"/>
  <c r="Z114"/>
  <c r="Y114"/>
  <c r="AA114" s="1"/>
  <c r="Z113"/>
  <c r="AB113" s="1"/>
  <c r="Y113"/>
  <c r="AA113" s="1"/>
  <c r="L113"/>
  <c r="Z112"/>
  <c r="AB112" s="1"/>
  <c r="Y112"/>
  <c r="AA112" s="1"/>
  <c r="L112"/>
  <c r="Z111"/>
  <c r="AB111" s="1"/>
  <c r="Y111"/>
  <c r="AA111" s="1"/>
  <c r="AC111" s="1"/>
  <c r="L111"/>
  <c r="Z110"/>
  <c r="AB110" s="1"/>
  <c r="Y110"/>
  <c r="AA110" s="1"/>
  <c r="L110"/>
  <c r="Z109"/>
  <c r="Y108"/>
  <c r="AA108" s="1"/>
  <c r="R108"/>
  <c r="P108"/>
  <c r="N108"/>
  <c r="Z107"/>
  <c r="AB107" s="1"/>
  <c r="Y107"/>
  <c r="AA107" s="1"/>
  <c r="AC107" s="1"/>
  <c r="L107"/>
  <c r="Z106"/>
  <c r="AB106" s="1"/>
  <c r="Y106"/>
  <c r="AA106" s="1"/>
  <c r="K106"/>
  <c r="Z105"/>
  <c r="AB105" s="1"/>
  <c r="Y105"/>
  <c r="AA105" s="1"/>
  <c r="AC105" s="1"/>
  <c r="Z104"/>
  <c r="AB104" s="1"/>
  <c r="Y104"/>
  <c r="AA104" s="1"/>
  <c r="AC104" s="1"/>
  <c r="L104"/>
  <c r="Z103"/>
  <c r="AB103" s="1"/>
  <c r="Y103"/>
  <c r="AA103" s="1"/>
  <c r="Z102"/>
  <c r="AB102" s="1"/>
  <c r="Y102"/>
  <c r="AA102" s="1"/>
  <c r="L102"/>
  <c r="Z101"/>
  <c r="AB101" s="1"/>
  <c r="Y101"/>
  <c r="AA101" s="1"/>
  <c r="L101"/>
  <c r="Z100"/>
  <c r="AB100" s="1"/>
  <c r="Y100"/>
  <c r="AA100" s="1"/>
  <c r="L100"/>
  <c r="K100"/>
  <c r="Z99"/>
  <c r="AB99" s="1"/>
  <c r="Y99"/>
  <c r="AA99" s="1"/>
  <c r="L99"/>
  <c r="Z98"/>
  <c r="AB98" s="1"/>
  <c r="Y98"/>
  <c r="AA98" s="1"/>
  <c r="L98"/>
  <c r="Z97"/>
  <c r="AB97" s="1"/>
  <c r="Y97"/>
  <c r="AA97" s="1"/>
  <c r="L97"/>
  <c r="K97"/>
  <c r="Z96"/>
  <c r="AB96" s="1"/>
  <c r="Y96"/>
  <c r="AA96" s="1"/>
  <c r="AC96" s="1"/>
  <c r="L96"/>
  <c r="Z95"/>
  <c r="AB95" s="1"/>
  <c r="Y95"/>
  <c r="AA95" s="1"/>
  <c r="L95"/>
  <c r="Z94"/>
  <c r="AB94" s="1"/>
  <c r="Y94"/>
  <c r="AA94" s="1"/>
  <c r="Z93"/>
  <c r="AB93" s="1"/>
  <c r="Y93"/>
  <c r="AA93" s="1"/>
  <c r="L93"/>
  <c r="Z92"/>
  <c r="Y92"/>
  <c r="AA92" s="1"/>
  <c r="AC92" s="1"/>
  <c r="Z91"/>
  <c r="Y91"/>
  <c r="M91"/>
  <c r="K91"/>
  <c r="R90"/>
  <c r="P90"/>
  <c r="N90"/>
  <c r="K90"/>
  <c r="O90" s="1"/>
  <c r="Q90" s="1"/>
  <c r="Z89"/>
  <c r="AB89" s="1"/>
  <c r="AD89" s="1"/>
  <c r="Y89"/>
  <c r="AA89" s="1"/>
  <c r="AC89" s="1"/>
  <c r="Z88"/>
  <c r="AB88" s="1"/>
  <c r="AD88" s="1"/>
  <c r="Y88"/>
  <c r="AA88" s="1"/>
  <c r="AC88" s="1"/>
  <c r="Z87"/>
  <c r="AB87" s="1"/>
  <c r="Y87"/>
  <c r="AA87" s="1"/>
  <c r="Z86"/>
  <c r="AB86" s="1"/>
  <c r="AD86" s="1"/>
  <c r="Y86"/>
  <c r="AA86" s="1"/>
  <c r="AC86" s="1"/>
  <c r="Z85"/>
  <c r="AB85" s="1"/>
  <c r="AD85" s="1"/>
  <c r="Y85"/>
  <c r="AA85" s="1"/>
  <c r="AC85" s="1"/>
  <c r="Z84"/>
  <c r="AB84" s="1"/>
  <c r="Y84"/>
  <c r="AA84" s="1"/>
  <c r="AC84" s="1"/>
  <c r="L84"/>
  <c r="Z83"/>
  <c r="AB83" s="1"/>
  <c r="AD83" s="1"/>
  <c r="Y83"/>
  <c r="AA83" s="1"/>
  <c r="AC83" s="1"/>
  <c r="Z82"/>
  <c r="AB82" s="1"/>
  <c r="Y82"/>
  <c r="AA82" s="1"/>
  <c r="L82"/>
  <c r="K82"/>
  <c r="Z81"/>
  <c r="AB81" s="1"/>
  <c r="Y81"/>
  <c r="AA81" s="1"/>
  <c r="L81"/>
  <c r="K81"/>
  <c r="R80"/>
  <c r="Z80" s="1"/>
  <c r="P80"/>
  <c r="Y80"/>
  <c r="N80"/>
  <c r="Z79"/>
  <c r="AB79" s="1"/>
  <c r="AD79" s="1"/>
  <c r="Y79"/>
  <c r="AA79" s="1"/>
  <c r="AC79" s="1"/>
  <c r="Z78"/>
  <c r="AB78" s="1"/>
  <c r="Y78"/>
  <c r="AA78" s="1"/>
  <c r="AC78" s="1"/>
  <c r="Z77"/>
  <c r="AB77" s="1"/>
  <c r="Y77"/>
  <c r="AA77" s="1"/>
  <c r="L77"/>
  <c r="Z76"/>
  <c r="AB76" s="1"/>
  <c r="Y76"/>
  <c r="AA76" s="1"/>
  <c r="L76"/>
  <c r="Z75"/>
  <c r="AB75" s="1"/>
  <c r="Y75"/>
  <c r="AA75" s="1"/>
  <c r="Z74"/>
  <c r="AB74" s="1"/>
  <c r="Y74"/>
  <c r="AA74" s="1"/>
  <c r="L74"/>
  <c r="V73"/>
  <c r="U73"/>
  <c r="Y73" s="1"/>
  <c r="AA73" s="1"/>
  <c r="AC73" s="1"/>
  <c r="R73"/>
  <c r="P73"/>
  <c r="N73"/>
  <c r="Z72"/>
  <c r="AB72" s="1"/>
  <c r="Y72"/>
  <c r="AA72" s="1"/>
  <c r="AC72" s="1"/>
  <c r="Z71"/>
  <c r="AB71" s="1"/>
  <c r="Y71"/>
  <c r="AA71" s="1"/>
  <c r="AC71" s="1"/>
  <c r="Z70"/>
  <c r="AB70" s="1"/>
  <c r="Y70"/>
  <c r="AA70" s="1"/>
  <c r="L70"/>
  <c r="Z69"/>
  <c r="AB69" s="1"/>
  <c r="AD69" s="1"/>
  <c r="Y69"/>
  <c r="AA69" s="1"/>
  <c r="AC69" s="1"/>
  <c r="Z68"/>
  <c r="AB68" s="1"/>
  <c r="AD68" s="1"/>
  <c r="Y68"/>
  <c r="AA68" s="1"/>
  <c r="AC68" s="1"/>
  <c r="Z67"/>
  <c r="AB67" s="1"/>
  <c r="AD67" s="1"/>
  <c r="Y67"/>
  <c r="AA67" s="1"/>
  <c r="AC67" s="1"/>
  <c r="Z66"/>
  <c r="AB66" s="1"/>
  <c r="Y66"/>
  <c r="AA66" s="1"/>
  <c r="L66"/>
  <c r="Z65"/>
  <c r="AB65" s="1"/>
  <c r="Y65"/>
  <c r="AA65" s="1"/>
  <c r="L65"/>
  <c r="Z64"/>
  <c r="AB64" s="1"/>
  <c r="Y64"/>
  <c r="AA64" s="1"/>
  <c r="AC64" s="1"/>
  <c r="L64"/>
  <c r="Z63"/>
  <c r="AB63" s="1"/>
  <c r="AD63" s="1"/>
  <c r="Y63"/>
  <c r="AA63" s="1"/>
  <c r="Z62"/>
  <c r="AB62" s="1"/>
  <c r="AD62" s="1"/>
  <c r="Y62"/>
  <c r="AA62" s="1"/>
  <c r="AC62" s="1"/>
  <c r="Z61"/>
  <c r="AB61" s="1"/>
  <c r="Y61"/>
  <c r="AA61" s="1"/>
  <c r="AC61" s="1"/>
  <c r="L61"/>
  <c r="Z60"/>
  <c r="AB60" s="1"/>
  <c r="Y60"/>
  <c r="AA60" s="1"/>
  <c r="AC60" s="1"/>
  <c r="L60"/>
  <c r="Z59"/>
  <c r="AB59" s="1"/>
  <c r="AD59" s="1"/>
  <c r="Y59"/>
  <c r="AA59" s="1"/>
  <c r="AC59" s="1"/>
  <c r="Z58"/>
  <c r="AB58" s="1"/>
  <c r="AD58" s="1"/>
  <c r="Y58"/>
  <c r="AA58" s="1"/>
  <c r="AC58" s="1"/>
  <c r="Z57"/>
  <c r="AB57" s="1"/>
  <c r="Y57"/>
  <c r="AA57" s="1"/>
  <c r="AC57" s="1"/>
  <c r="L57"/>
  <c r="Z56"/>
  <c r="AB56" s="1"/>
  <c r="AD56" s="1"/>
  <c r="Y56"/>
  <c r="AA56" s="1"/>
  <c r="AC56" s="1"/>
  <c r="Z55"/>
  <c r="AB55" s="1"/>
  <c r="AD55" s="1"/>
  <c r="Y55"/>
  <c r="AA55" s="1"/>
  <c r="AC55" s="1"/>
  <c r="Z54"/>
  <c r="AB54" s="1"/>
  <c r="AD54" s="1"/>
  <c r="Y54"/>
  <c r="AA54" s="1"/>
  <c r="AC54" s="1"/>
  <c r="Z53"/>
  <c r="AB53" s="1"/>
  <c r="AD53" s="1"/>
  <c r="Y53"/>
  <c r="AA53" s="1"/>
  <c r="AC53" s="1"/>
  <c r="Z52"/>
  <c r="AB52" s="1"/>
  <c r="Y52"/>
  <c r="AA52" s="1"/>
  <c r="AC52" s="1"/>
  <c r="L52"/>
  <c r="Z51"/>
  <c r="AB51" s="1"/>
  <c r="AD51" s="1"/>
  <c r="Y51"/>
  <c r="AA51" s="1"/>
  <c r="AC51" s="1"/>
  <c r="Z50"/>
  <c r="AB50" s="1"/>
  <c r="Y50"/>
  <c r="AA50" s="1"/>
  <c r="L50"/>
  <c r="K50"/>
  <c r="Z49"/>
  <c r="AB49" s="1"/>
  <c r="AD49" s="1"/>
  <c r="Y49"/>
  <c r="AA49" s="1"/>
  <c r="AC49" s="1"/>
  <c r="Z48"/>
  <c r="AB48" s="1"/>
  <c r="Y48"/>
  <c r="AA48" s="1"/>
  <c r="AC48" s="1"/>
  <c r="Z47"/>
  <c r="AB47" s="1"/>
  <c r="Y47"/>
  <c r="AA47" s="1"/>
  <c r="L47"/>
  <c r="K47"/>
  <c r="Z46"/>
  <c r="AB46" s="1"/>
  <c r="Y46"/>
  <c r="AA46" s="1"/>
  <c r="L46"/>
  <c r="K46"/>
  <c r="Z45"/>
  <c r="AB45" s="1"/>
  <c r="AD45" s="1"/>
  <c r="Y45"/>
  <c r="AA45" s="1"/>
  <c r="AC45" s="1"/>
  <c r="Z44"/>
  <c r="AB44" s="1"/>
  <c r="Y44"/>
  <c r="AA44" s="1"/>
  <c r="L44"/>
  <c r="Z43"/>
  <c r="AB43" s="1"/>
  <c r="Y43"/>
  <c r="AA43" s="1"/>
  <c r="AC43" s="1"/>
  <c r="L43"/>
  <c r="Z42"/>
  <c r="AB42" s="1"/>
  <c r="AD42" s="1"/>
  <c r="Y42"/>
  <c r="AA42" s="1"/>
  <c r="AC42" s="1"/>
  <c r="Z41"/>
  <c r="AB41" s="1"/>
  <c r="Y41"/>
  <c r="AA41" s="1"/>
  <c r="L41"/>
  <c r="K41"/>
  <c r="Z40"/>
  <c r="AB40" s="1"/>
  <c r="AD40" s="1"/>
  <c r="Y40"/>
  <c r="AA40" s="1"/>
  <c r="AC40" s="1"/>
  <c r="Z39"/>
  <c r="AB39" s="1"/>
  <c r="Y39"/>
  <c r="AA39" s="1"/>
  <c r="AC39" s="1"/>
  <c r="Q38"/>
  <c r="Y38" s="1"/>
  <c r="AA38" s="1"/>
  <c r="K38"/>
  <c r="Q37"/>
  <c r="Y37" s="1"/>
  <c r="AA37" s="1"/>
  <c r="K37"/>
  <c r="Q36"/>
  <c r="Y36" s="1"/>
  <c r="AA36" s="1"/>
  <c r="K36"/>
  <c r="R35"/>
  <c r="Z35" s="1"/>
  <c r="Q35"/>
  <c r="Y35" s="1"/>
  <c r="AA35" s="1"/>
  <c r="P35"/>
  <c r="N35"/>
  <c r="K35"/>
  <c r="Z34"/>
  <c r="AB34" s="1"/>
  <c r="Y34"/>
  <c r="AA34" s="1"/>
  <c r="AC34" s="1"/>
  <c r="L34"/>
  <c r="AA33"/>
  <c r="AC33" s="1"/>
  <c r="Z33"/>
  <c r="AB33" s="1"/>
  <c r="L33"/>
  <c r="AA32"/>
  <c r="AC32" s="1"/>
  <c r="Z32"/>
  <c r="AB32" s="1"/>
  <c r="L32"/>
  <c r="R31"/>
  <c r="Z31" s="1"/>
  <c r="P31"/>
  <c r="N31"/>
  <c r="Z30"/>
  <c r="AB30" s="1"/>
  <c r="AD30" s="1"/>
  <c r="Y30"/>
  <c r="AA30" s="1"/>
  <c r="AC30" s="1"/>
  <c r="Z29"/>
  <c r="AB29" s="1"/>
  <c r="Y29"/>
  <c r="AA29" s="1"/>
  <c r="AC29" s="1"/>
  <c r="L29"/>
  <c r="Z28"/>
  <c r="AB28" s="1"/>
  <c r="Y28"/>
  <c r="AA28" s="1"/>
  <c r="AC28" s="1"/>
  <c r="L28"/>
  <c r="Z27"/>
  <c r="AB27" s="1"/>
  <c r="AD27" s="1"/>
  <c r="Y27"/>
  <c r="AA27" s="1"/>
  <c r="AC27" s="1"/>
  <c r="Z26"/>
  <c r="AB26" s="1"/>
  <c r="Y26"/>
  <c r="AA26" s="1"/>
  <c r="AC26" s="1"/>
  <c r="L26"/>
  <c r="Z25"/>
  <c r="AB25" s="1"/>
  <c r="Y25"/>
  <c r="AA25" s="1"/>
  <c r="L25"/>
  <c r="Z24"/>
  <c r="AB24" s="1"/>
  <c r="Y24"/>
  <c r="AA24" s="1"/>
  <c r="AC24" s="1"/>
  <c r="L24"/>
  <c r="Z23"/>
  <c r="AB23" s="1"/>
  <c r="Y23"/>
  <c r="AA23" s="1"/>
  <c r="AC23" s="1"/>
  <c r="L23"/>
  <c r="Z22"/>
  <c r="AB22" s="1"/>
  <c r="Y22"/>
  <c r="AA22" s="1"/>
  <c r="L22"/>
  <c r="Z21"/>
  <c r="AB21" s="1"/>
  <c r="Y21"/>
  <c r="AA21" s="1"/>
  <c r="L21"/>
  <c r="Z20"/>
  <c r="AB20" s="1"/>
  <c r="AD20" s="1"/>
  <c r="Y20"/>
  <c r="AA20" s="1"/>
  <c r="AC20" s="1"/>
  <c r="Z19"/>
  <c r="AB19" s="1"/>
  <c r="Y19"/>
  <c r="AA19" s="1"/>
  <c r="AC19" s="1"/>
  <c r="L19"/>
  <c r="Z18"/>
  <c r="AB18" s="1"/>
  <c r="Y18"/>
  <c r="AA18" s="1"/>
  <c r="AC18" s="1"/>
  <c r="L18"/>
  <c r="Z17"/>
  <c r="AB17" s="1"/>
  <c r="Y17"/>
  <c r="AA17" s="1"/>
  <c r="AC17" s="1"/>
  <c r="L17"/>
  <c r="Z16"/>
  <c r="AB16" s="1"/>
  <c r="Y16"/>
  <c r="AA16" s="1"/>
  <c r="AC16" s="1"/>
  <c r="L16"/>
  <c r="Z15"/>
  <c r="AB15" s="1"/>
  <c r="Y15"/>
  <c r="AA15" s="1"/>
  <c r="AC15" s="1"/>
  <c r="L15"/>
  <c r="Z14"/>
  <c r="AB14" s="1"/>
  <c r="Y14"/>
  <c r="AA14" s="1"/>
  <c r="AC14" s="1"/>
  <c r="W13"/>
  <c r="W12" s="1"/>
  <c r="V13"/>
  <c r="U13"/>
  <c r="R13"/>
  <c r="Q13"/>
  <c r="N13"/>
  <c r="K13"/>
  <c r="AB1496" l="1"/>
  <c r="AD1496" s="1"/>
  <c r="Z1495"/>
  <c r="AD121"/>
  <c r="AD223" s="1"/>
  <c r="AD224" s="1"/>
  <c r="AB120"/>
  <c r="AB1233"/>
  <c r="Z1232"/>
  <c r="L73"/>
  <c r="AB31"/>
  <c r="Z13"/>
  <c r="AB13" s="1"/>
  <c r="Y13"/>
  <c r="AA13" s="1"/>
  <c r="AC13" s="1"/>
  <c r="AB35"/>
  <c r="AC35"/>
  <c r="P1231"/>
  <c r="Y90"/>
  <c r="R1481"/>
  <c r="N1481"/>
  <c r="P1481"/>
  <c r="L1481"/>
  <c r="AA1232"/>
  <c r="AC1232" s="1"/>
  <c r="AC1246" s="1"/>
  <c r="AC1247" s="1"/>
  <c r="N12"/>
  <c r="P12"/>
  <c r="R12"/>
  <c r="AC1238"/>
  <c r="R1231"/>
  <c r="AB1537"/>
  <c r="AD1537" s="1"/>
  <c r="AD98"/>
  <c r="L108"/>
  <c r="AD112"/>
  <c r="AC36"/>
  <c r="AC50"/>
  <c r="AD94"/>
  <c r="AD95"/>
  <c r="AD97"/>
  <c r="AC98"/>
  <c r="AC99"/>
  <c r="AC100"/>
  <c r="AD113"/>
  <c r="Z1243"/>
  <c r="AB1243" s="1"/>
  <c r="AD1243" s="1"/>
  <c r="Z1508"/>
  <c r="AD52"/>
  <c r="AB1244"/>
  <c r="AD1244" s="1"/>
  <c r="AD1239"/>
  <c r="AA1536"/>
  <c r="AC1536" s="1"/>
  <c r="V12"/>
  <c r="AD17"/>
  <c r="U12"/>
  <c r="AC21"/>
  <c r="AC22"/>
  <c r="AD28"/>
  <c r="AA1538"/>
  <c r="AC1538" s="1"/>
  <c r="AB1539"/>
  <c r="AD1539" s="1"/>
  <c r="AD33"/>
  <c r="AC41"/>
  <c r="AA80"/>
  <c r="AC81"/>
  <c r="AD110"/>
  <c r="Z1502"/>
  <c r="AA1540"/>
  <c r="AC1540" s="1"/>
  <c r="AD24"/>
  <c r="AD29"/>
  <c r="L31"/>
  <c r="AD43"/>
  <c r="AC44"/>
  <c r="AC87"/>
  <c r="AC106"/>
  <c r="AD107"/>
  <c r="AD111"/>
  <c r="L1231"/>
  <c r="AD34"/>
  <c r="Y1503"/>
  <c r="AA1503" s="1"/>
  <c r="AC1503" s="1"/>
  <c r="AD1484"/>
  <c r="AB1482"/>
  <c r="AD1541"/>
  <c r="AB1540"/>
  <c r="AD1540" s="1"/>
  <c r="AD1501"/>
  <c r="AB1500"/>
  <c r="AD1500" s="1"/>
  <c r="AB1508"/>
  <c r="AD1508" s="1"/>
  <c r="AD1532"/>
  <c r="Z1482"/>
  <c r="Z1500"/>
  <c r="Z1540"/>
  <c r="N1231"/>
  <c r="AB1238"/>
  <c r="AD1238" s="1"/>
  <c r="L80"/>
  <c r="AD15"/>
  <c r="AD19"/>
  <c r="AC25"/>
  <c r="AC46"/>
  <c r="AC47"/>
  <c r="AD48"/>
  <c r="AD65"/>
  <c r="AD70"/>
  <c r="Z73"/>
  <c r="AD82"/>
  <c r="Z90"/>
  <c r="AA91"/>
  <c r="AC91" s="1"/>
  <c r="AD102"/>
  <c r="AC115"/>
  <c r="AC116"/>
  <c r="AD16"/>
  <c r="AD21"/>
  <c r="AD22"/>
  <c r="AC37"/>
  <c r="AD41"/>
  <c r="AD50"/>
  <c r="AD57"/>
  <c r="AC63"/>
  <c r="AD64"/>
  <c r="AC65"/>
  <c r="AC66"/>
  <c r="AD71"/>
  <c r="AD75"/>
  <c r="AD76"/>
  <c r="AD101"/>
  <c r="AC102"/>
  <c r="AD104"/>
  <c r="AD26"/>
  <c r="AD44"/>
  <c r="AD77"/>
  <c r="AD84"/>
  <c r="AC93"/>
  <c r="AC94"/>
  <c r="AC95"/>
  <c r="AD96"/>
  <c r="AD100"/>
  <c r="L13"/>
  <c r="AD60"/>
  <c r="AC70"/>
  <c r="AD72"/>
  <c r="AC74"/>
  <c r="AC75"/>
  <c r="AC76"/>
  <c r="AC77"/>
  <c r="AD78"/>
  <c r="AD87"/>
  <c r="L90"/>
  <c r="AD99"/>
  <c r="AD103"/>
  <c r="AD105"/>
  <c r="AD106"/>
  <c r="Z108"/>
  <c r="AD115"/>
  <c r="AD116"/>
  <c r="AB80"/>
  <c r="AD18"/>
  <c r="AD23"/>
  <c r="AD25"/>
  <c r="AC38"/>
  <c r="L35"/>
  <c r="AD46"/>
  <c r="AD47"/>
  <c r="AD61"/>
  <c r="AD66"/>
  <c r="AC82"/>
  <c r="AC97"/>
  <c r="AC101"/>
  <c r="AD39"/>
  <c r="AD32"/>
  <c r="AD14"/>
  <c r="AB90"/>
  <c r="AD93"/>
  <c r="AD74"/>
  <c r="AB73"/>
  <c r="AD81"/>
  <c r="AC90"/>
  <c r="AB108"/>
  <c r="AD1233" l="1"/>
  <c r="AB1232"/>
  <c r="AB1495"/>
  <c r="AD1495" s="1"/>
  <c r="Z1481"/>
  <c r="AD1482"/>
  <c r="AD31"/>
  <c r="AD73"/>
  <c r="AD13"/>
  <c r="AD35"/>
  <c r="AC117"/>
  <c r="AC118" s="1"/>
  <c r="Z12"/>
  <c r="AD108"/>
  <c r="AB1536"/>
  <c r="AD1536" s="1"/>
  <c r="AD80"/>
  <c r="Q1502"/>
  <c r="Y1502" s="1"/>
  <c r="AA1502" s="1"/>
  <c r="AC1502" s="1"/>
  <c r="AC1544" s="1"/>
  <c r="AC1545" s="1"/>
  <c r="AB1538"/>
  <c r="AD1538" s="1"/>
  <c r="Z1231"/>
  <c r="AB1231"/>
  <c r="AD90"/>
  <c r="L12"/>
  <c r="AB12"/>
  <c r="AB1481" l="1"/>
  <c r="AD1544"/>
  <c r="AD1545" s="1"/>
  <c r="AD1232"/>
  <c r="AD1246" s="1"/>
  <c r="AD1247" s="1"/>
  <c r="AD117"/>
  <c r="AD118" s="1"/>
</calcChain>
</file>

<file path=xl/comments1.xml><?xml version="1.0" encoding="utf-8"?>
<comments xmlns="http://schemas.openxmlformats.org/spreadsheetml/2006/main">
  <authors>
    <author>user</author>
  </authors>
  <commentList>
    <comment ref="K1752" authorId="0">
      <text>
        <r>
          <rPr>
            <b/>
            <sz val="9"/>
            <color indexed="81"/>
            <rFont val="Tahoma"/>
            <family val="2"/>
          </rPr>
          <t>user:</t>
        </r>
        <r>
          <rPr>
            <sz val="9"/>
            <color indexed="81"/>
            <rFont val="Tahoma"/>
            <family val="2"/>
          </rPr>
          <t xml:space="preserve">
47 OPD x 6 tahun
</t>
        </r>
      </text>
    </comment>
    <comment ref="O1752" authorId="0">
      <text>
        <r>
          <rPr>
            <b/>
            <sz val="9"/>
            <color indexed="81"/>
            <rFont val="Tahoma"/>
            <family val="2"/>
          </rPr>
          <t>user:</t>
        </r>
        <r>
          <rPr>
            <sz val="9"/>
            <color indexed="81"/>
            <rFont val="Tahoma"/>
            <family val="2"/>
          </rPr>
          <t xml:space="preserve">
30 PD, 15 Kec, PPKD +KDH</t>
        </r>
      </text>
    </comment>
  </commentList>
</comments>
</file>

<file path=xl/sharedStrings.xml><?xml version="1.0" encoding="utf-8"?>
<sst xmlns="http://schemas.openxmlformats.org/spreadsheetml/2006/main" count="14375" uniqueCount="4137">
  <si>
    <t>EVALUASI TERHADAP HASIL RENCANA KERJA PEMERINTAH DAERAH</t>
  </si>
  <si>
    <t>KABUPATEN PESISIR SELATAN</t>
  </si>
  <si>
    <t>No</t>
  </si>
  <si>
    <t>Sasaran</t>
  </si>
  <si>
    <t>Kode Rekening</t>
  </si>
  <si>
    <t>Urusan/Bidang Urusan Pemerintahan Daerah Dan Program/Kegiatan</t>
  </si>
  <si>
    <t>Indikator Kinerja Program (Outcome)/(Output)</t>
  </si>
  <si>
    <t>Target RPJMD Kabupaten Pesisir Selatan pada Tahun 2021</t>
  </si>
  <si>
    <t>Realisasi Kinerja Pada Triwulan</t>
  </si>
  <si>
    <t>Realisasi Capaian 
Kinerja dan Anggaran RKPD  yang Dievaluasi</t>
  </si>
  <si>
    <t>Realisasi Kinerja dan Anggaran RPJMD s/d Tahun 2018 (Akhir Tahun Pelaksanaan RKPD tahun 2018)</t>
  </si>
  <si>
    <t>Tingkat Capaian Kinerja dan Realisasi Anggaran RPJMD Kabupaten/kota s/d Tahun 2018 
(%)</t>
  </si>
  <si>
    <t>SKPD Penanggung Jawab</t>
  </si>
  <si>
    <t>I</t>
  </si>
  <si>
    <t>II</t>
  </si>
  <si>
    <t>III</t>
  </si>
  <si>
    <t>IV</t>
  </si>
  <si>
    <t>14 = 7 +13</t>
  </si>
  <si>
    <t>15 = 14/6 X 100 %</t>
  </si>
  <si>
    <t>K</t>
  </si>
  <si>
    <t xml:space="preserve">Rp. </t>
  </si>
  <si>
    <t>Rp.</t>
  </si>
  <si>
    <t>URUSAN PEMERINTAHAN WAJIB</t>
  </si>
  <si>
    <t>URUSAN PEMERINTAHAN WAJIB PELAYANAN DASAR</t>
  </si>
  <si>
    <t>URUSAN PENDIDIKAN</t>
  </si>
  <si>
    <t>01</t>
  </si>
  <si>
    <t>Program Pelayanan Administrasi Perkantoran</t>
  </si>
  <si>
    <t>Dinas Pendiidkan dan Kebudayaan</t>
  </si>
  <si>
    <t>02</t>
  </si>
  <si>
    <t>07</t>
  </si>
  <si>
    <t>08</t>
  </si>
  <si>
    <t>10</t>
  </si>
  <si>
    <t>Penyediaan Alat Tulis Kantor</t>
  </si>
  <si>
    <t>Penyediaan Peralatan dan Perlengkapan Kantor</t>
  </si>
  <si>
    <t>00</t>
  </si>
  <si>
    <t>21</t>
  </si>
  <si>
    <t>Program Peningkatan Sarana dan Prasarana Aparatur</t>
  </si>
  <si>
    <t>Pemeliharaan Rutin/Berkala Gedung Kantor</t>
  </si>
  <si>
    <t>05</t>
  </si>
  <si>
    <t>03</t>
  </si>
  <si>
    <t>0</t>
  </si>
  <si>
    <t>1</t>
  </si>
  <si>
    <t>16</t>
  </si>
  <si>
    <t>09</t>
  </si>
  <si>
    <t>18</t>
  </si>
  <si>
    <t>15</t>
  </si>
  <si>
    <t xml:space="preserve"> </t>
  </si>
  <si>
    <t>19</t>
  </si>
  <si>
    <t>23</t>
  </si>
  <si>
    <t>27</t>
  </si>
  <si>
    <t>28</t>
  </si>
  <si>
    <t>29</t>
  </si>
  <si>
    <t>12</t>
  </si>
  <si>
    <t>30</t>
  </si>
  <si>
    <t>20</t>
  </si>
  <si>
    <t>Program Peningkatan Mutu Pendidik dan Tenaga Kependidikan</t>
  </si>
  <si>
    <t>06</t>
  </si>
  <si>
    <t>13</t>
  </si>
  <si>
    <t>14</t>
  </si>
  <si>
    <t>31</t>
  </si>
  <si>
    <t>32</t>
  </si>
  <si>
    <t>22</t>
  </si>
  <si>
    <t>11</t>
  </si>
  <si>
    <t>Rata-Rata Capaian Kinerja</t>
  </si>
  <si>
    <t>Peringkat  Kinerja</t>
  </si>
  <si>
    <t>URUSAN KESEHATAN</t>
  </si>
  <si>
    <t>Program Pelayanan Administrasi Perkantoran</t>
  </si>
  <si>
    <t>Penyediaan jasa komunikasi, sumber daya air dan listrik</t>
  </si>
  <si>
    <t>Penyediaan jasa administrasi keuangan</t>
  </si>
  <si>
    <t>Penyediaan jasa kebersihan kantor</t>
  </si>
  <si>
    <t>Penyediaan Alat Tulis Kantor</t>
  </si>
  <si>
    <t>Penyediaan barang cetakan dan penggandaan</t>
  </si>
  <si>
    <t>Penyediaan komponen instalasi listrik/penerangan bangunan kantor</t>
  </si>
  <si>
    <t>Penyediaan bahan bacaan dan peraturan perundang-undangan</t>
  </si>
  <si>
    <t>17</t>
  </si>
  <si>
    <t>Penyediaan makanan dan minuman</t>
  </si>
  <si>
    <t>Rapat-rapat kordinasi dan konsultasi ke luar daerah</t>
  </si>
  <si>
    <t>Rapat-rapat Koordinasi dan Konsultasi Dalam Daerah</t>
  </si>
  <si>
    <t>04</t>
  </si>
  <si>
    <t>URUSAN PEKERJAAN UMUM DAN PENATAAN RUANG</t>
  </si>
  <si>
    <t>DINAS PEKERJAAN UMUM DAN PENATAAN RUANG</t>
  </si>
  <si>
    <t>Rapat-rapat Koordinasi dan Konsultasi Dalam Daerah</t>
  </si>
  <si>
    <t>Pengadaan Peralatan Gedung Kantor</t>
  </si>
  <si>
    <t>Pengadaan Meubiler</t>
  </si>
  <si>
    <t>24</t>
  </si>
  <si>
    <t>Penyusunan Perencanaan Anggaran</t>
  </si>
  <si>
    <t>V</t>
  </si>
  <si>
    <t>72</t>
  </si>
  <si>
    <t>DINAS SATUAN POLISI PAMONG PRAJA</t>
  </si>
  <si>
    <t>Terpeliharanya gedung kantor (bln)</t>
  </si>
  <si>
    <t>terpeliharanya kendaraan dinas/ operasional (bln)</t>
  </si>
  <si>
    <t>VI</t>
  </si>
  <si>
    <t>URUSAN SOSIAL</t>
  </si>
  <si>
    <t>Program Pengembangan Pemasaran Pariwisata</t>
  </si>
  <si>
    <t>URUSAN PEMERINTAHAN WAJIB NON PELAYANAN DASAR</t>
  </si>
  <si>
    <t>URUSAN TENAGA KERJA</t>
  </si>
  <si>
    <t>Dinas Nakertran</t>
  </si>
  <si>
    <t>Tersedianya peralatan kantor (bln).</t>
  </si>
  <si>
    <t>Pemeliharaan rutin/berkala gedung kantor</t>
  </si>
  <si>
    <t>42</t>
  </si>
  <si>
    <t>URUSAN PANGAN</t>
  </si>
  <si>
    <t>Dinas Pangan</t>
  </si>
  <si>
    <t>Penyediaan jasa administrasi keuangan</t>
  </si>
  <si>
    <t>Tersedianya alat tulis kantor (bulan)</t>
  </si>
  <si>
    <t>57</t>
  </si>
  <si>
    <t>61</t>
  </si>
  <si>
    <t>URUSAN PERTANAHAN</t>
  </si>
  <si>
    <t>2</t>
  </si>
  <si>
    <t>Program pelayanan administrasi perkantoran</t>
  </si>
  <si>
    <t>Penyediaan jasa komunikasi, sumber daya air dan listrik</t>
  </si>
  <si>
    <t>Penyediaan jasa kebersihan kantor</t>
  </si>
  <si>
    <t>Dinas PU dan Penataan Ruang</t>
  </si>
  <si>
    <t>URUSAN ADMINISTRASI KEPENDUDUKAN DAN PENCATATAN SIPIL</t>
  </si>
  <si>
    <t>A</t>
  </si>
  <si>
    <t>B</t>
  </si>
  <si>
    <t>VII</t>
  </si>
  <si>
    <t>URUSAN PEMBERDAYAAN MASYARAKAT DAN DESA</t>
  </si>
  <si>
    <t>DPMDPPKB</t>
  </si>
  <si>
    <t>Penyedian jasa perbaikan peralatan kerja</t>
  </si>
  <si>
    <t>VIII</t>
  </si>
  <si>
    <t>IX</t>
  </si>
  <si>
    <t>URUSAN PERHUBUNGAN</t>
  </si>
  <si>
    <t>Dinas Perhubungan</t>
  </si>
  <si>
    <t>X</t>
  </si>
  <si>
    <t>Dinas Kominfo</t>
  </si>
  <si>
    <t>URUSAN KOPERASI, USAHA KECIL DAN MENENGAH</t>
  </si>
  <si>
    <t>DKUPP</t>
  </si>
  <si>
    <t>Pengadaan peralatan gedung kantor</t>
  </si>
  <si>
    <t>6</t>
  </si>
  <si>
    <t>300</t>
  </si>
  <si>
    <t>XII</t>
  </si>
  <si>
    <t>DPMP2TSP</t>
  </si>
  <si>
    <t>DISPARPORA</t>
  </si>
  <si>
    <t>Penyediaan Jasa Surat Menyurat</t>
  </si>
  <si>
    <t>Pemeliharaan rutin/berkala Gedung Kantor</t>
  </si>
  <si>
    <t>XIII</t>
  </si>
  <si>
    <t>URUSAN STATISTIK</t>
  </si>
  <si>
    <t>XIV</t>
  </si>
  <si>
    <t>URUSAN KEBUDAYAAN</t>
  </si>
  <si>
    <t>Program Pengembangan Nilai Budaya</t>
  </si>
  <si>
    <t>Pagelaran Seni dan Budaya</t>
  </si>
  <si>
    <t>Fasilitasi dan Kegiatan Pendamping Festival Seni dan Budaya</t>
  </si>
  <si>
    <t>Pengiriman Tim Kesenian</t>
  </si>
  <si>
    <t>Sumarak Pesisir Selatan</t>
  </si>
  <si>
    <t>Program Pengelolaan Kekayaan Budaya</t>
  </si>
  <si>
    <t>Penyusunan Perda tentang Kurikulum Muatan Lokal BAMK Berbasis ABS-SBK</t>
  </si>
  <si>
    <t>Paket Seni Tradisional dan Moderen</t>
  </si>
  <si>
    <t>XV</t>
  </si>
  <si>
    <t>URUSAN PERPUSTAKAAN</t>
  </si>
  <si>
    <t>Tersedianya ATK (bln)</t>
  </si>
  <si>
    <t>URUSAN PEMERINTAHAN PILIHAN</t>
  </si>
  <si>
    <t>URUSAN PERIKANAN</t>
  </si>
  <si>
    <t>Dinas Perikanan</t>
  </si>
  <si>
    <t>URUSAN PARIWISATA</t>
  </si>
  <si>
    <t>Program Pengembangan Ekonomi Kreatif</t>
  </si>
  <si>
    <t>Penyediaan barang cetakan dan penggandaan</t>
  </si>
  <si>
    <t>Penyediaan komponen instalasi listrik/penerangan bangunan kantor</t>
  </si>
  <si>
    <t>Penyediaan bahan bacaan dan peraturan perundang-undangan</t>
  </si>
  <si>
    <t>Terlaksananya pembayaran rekening listrik, air dan telpon kantor (bln)</t>
  </si>
  <si>
    <t>Terlaksananya pembayaran honor jasa administrasi keuangan (bln)</t>
  </si>
  <si>
    <t>Terlaksananya pemeliharaan kebersihan kantor (bln)</t>
  </si>
  <si>
    <t>Penyediaan jasa perbaikan peralatan kerja</t>
  </si>
  <si>
    <t>Terlaksananya perbaikan peralatan dan perlengkapan kantor (bln)</t>
  </si>
  <si>
    <t>Penyediaan alat tulis kantor</t>
  </si>
  <si>
    <t>Terlaksananya administrasi perkantoran (bln)</t>
  </si>
  <si>
    <t>Tersedianya komponen listrik /penerangan gedung kantor (bln)</t>
  </si>
  <si>
    <t>Tersedianya bahan bacaan dan peraturan perundang-undangan (bln)</t>
  </si>
  <si>
    <t>Penyediaan makanan dan minuman</t>
  </si>
  <si>
    <t>Tersedianya makanan dan minuman untuk peserta rapat dan tamu dinas (bln)</t>
  </si>
  <si>
    <t>Rapat-rapat koordinasai dan konsultasi keluar daerah</t>
  </si>
  <si>
    <t>Terlaksananya koordinasi dan konsultasi keluar daerah (bln)</t>
  </si>
  <si>
    <t>Rapat-rapat koordinasai dan konsultasi dalam daerah</t>
  </si>
  <si>
    <t>Terlaksananya koordinasi dan konsultasi dalam daerah (bln)</t>
  </si>
  <si>
    <t>Terlaksananya penunjang operasional perencanaan (bln)</t>
  </si>
  <si>
    <t>terpeliharanya kendaraan dinas/operasional (bln)</t>
  </si>
  <si>
    <t>Program Peningkatan Pengembangan Sistem Pelaporan Capaian Kinerja dan Keuangan</t>
  </si>
  <si>
    <t>Penyusunan Laporan Tahunan dan Statistik</t>
  </si>
  <si>
    <t>Tersusunnya laporan tahunan (dok)</t>
  </si>
  <si>
    <t>Program Peningkatan Produksi Hasil Peternakan</t>
  </si>
  <si>
    <t>Populasi ternak (ekor)</t>
  </si>
  <si>
    <t>- Sapi Potong</t>
  </si>
  <si>
    <t>- Kerbau</t>
  </si>
  <si>
    <t>- Kambing</t>
  </si>
  <si>
    <t>- Ayam Buras</t>
  </si>
  <si>
    <t>- Ayam Ras Petelur</t>
  </si>
  <si>
    <t>- Ayam Ras Pedaging</t>
  </si>
  <si>
    <t>- Itik</t>
  </si>
  <si>
    <t>Produksi ternak (kg)</t>
  </si>
  <si>
    <t xml:space="preserve">- Daging Sapi </t>
  </si>
  <si>
    <t>- Daging Kerbau</t>
  </si>
  <si>
    <t>- Daging Kambing</t>
  </si>
  <si>
    <t>- Daging Ayam Buras</t>
  </si>
  <si>
    <t>- Daging Ayam Ras Petelur</t>
  </si>
  <si>
    <t>- Daging Ayam Ras Pedaging</t>
  </si>
  <si>
    <t>- Daging Itik</t>
  </si>
  <si>
    <t>- Telur Ayam Ras</t>
  </si>
  <si>
    <t>- Telur Ayam Buras</t>
  </si>
  <si>
    <t>- Telur Itik</t>
  </si>
  <si>
    <t>Pembibitan dan Perawatan Ternak</t>
  </si>
  <si>
    <t>Terlaksananya operasionnal pemeliharaan ternak di P4 Lengayang (bln)</t>
  </si>
  <si>
    <t>Pembelian dan Pendistribusian Vaksin dan Pakan Ternak</t>
  </si>
  <si>
    <t>Tersedianya vaksin dan obat2an ternak</t>
  </si>
  <si>
    <t>Peningkatan Mutu Genetik Melalui IB</t>
  </si>
  <si>
    <t>Terlayaninya akseptor IB</t>
  </si>
  <si>
    <t>Pemberdayaan Kelembagaan dan Usaha Peternakan</t>
  </si>
  <si>
    <t>Jumlah petani ternak yang dilatih dan mendapat sosialisasi</t>
  </si>
  <si>
    <t>Pengembangan ternak untuk menunjang percepatan pembangunan</t>
  </si>
  <si>
    <t>Terdistribusikannya ternak kepada masyarakat</t>
  </si>
  <si>
    <t>tersedianya operasional kegiatan APBN (bln)</t>
  </si>
  <si>
    <t>Pemeliharaan kesehatan dan pencegahan penyakit menular ternak</t>
  </si>
  <si>
    <t>- penanganan gangguan reproduksi</t>
  </si>
  <si>
    <t>Pengendalian dan pemberantasan penyakit rabies</t>
  </si>
  <si>
    <t>jumlah ternak yang dikendalikan dari penyakit endekmik</t>
  </si>
  <si>
    <t>Pengawasan perdagangan ternak antar daerah</t>
  </si>
  <si>
    <t>Even Promosi yang diikuti</t>
  </si>
  <si>
    <t>Promosi atas hasil Produksi Peternakan Unggulan Daerah</t>
  </si>
  <si>
    <t>Even Promosi (kegiatan)</t>
  </si>
  <si>
    <t>Program Peningkatan Penerapan Teknologi Peternakan</t>
  </si>
  <si>
    <t>Jumlah teknologi yang diterapkan</t>
  </si>
  <si>
    <t>Penerapan Teknologi Peternakan</t>
  </si>
  <si>
    <t xml:space="preserve">jumlah teknologi yang diterapkan kelompok </t>
  </si>
  <si>
    <t>URUSAN PERINDUSTRIAN</t>
  </si>
  <si>
    <t>PENUNJANG URUSAN</t>
  </si>
  <si>
    <t>Bapedalitbang</t>
  </si>
  <si>
    <t>Penyediaan Jasa Surat menyurat</t>
  </si>
  <si>
    <t>terlaksanaya koordinasi dengan instansi mitra kerja (bln)</t>
  </si>
  <si>
    <t>KEUANGAN</t>
  </si>
  <si>
    <t>BADAN PENGELOLAAN KEUANGAN DAERAH</t>
  </si>
  <si>
    <t>BPKD</t>
  </si>
  <si>
    <t>Penyediaan bahan bacaan dan peraturan perundang undangan</t>
  </si>
  <si>
    <t>Pengadaan Peralatan gedung kantor</t>
  </si>
  <si>
    <t>Pembinaan Pengelolaan Keuangan Nagari</t>
  </si>
  <si>
    <t>Badan Pendapatan</t>
  </si>
  <si>
    <t>Rapat-rapat koordinasi dan konsultasi ke luar daerah</t>
  </si>
  <si>
    <t>Pengadaan Perlengkapan Gedung Kantor</t>
  </si>
  <si>
    <t>PENELITIAN DAN PENGEMBANGAN</t>
  </si>
  <si>
    <t>Program Pemeliharaan Kantrantibmas dan Pencegahan Tindak Kriminal</t>
  </si>
  <si>
    <t>Program Pemantapan Otonomi Daerah</t>
  </si>
  <si>
    <t>SEKRETARIAT DPRD</t>
  </si>
  <si>
    <t>Pemeliharaan rutin/berkala kendaraan dinas/operasional</t>
  </si>
  <si>
    <t>Penataan Administrasi Kependudukan</t>
  </si>
  <si>
    <t>Pemeliharaan Rutin/Berkala Rumah Dinas</t>
  </si>
  <si>
    <t>terpeliharanya peralatan kantor (bln)</t>
  </si>
  <si>
    <t>terpeliharanya gedung kantor (bln)</t>
  </si>
  <si>
    <t>Terlaksananya pengadaan peralatan gedung kantor (unit)</t>
  </si>
  <si>
    <t>Faktor pendorong keberhasilan kinerja:</t>
  </si>
  <si>
    <t>: Terlampir</t>
  </si>
  <si>
    <t>Faktor penghambat pencapaian kinerja:</t>
  </si>
  <si>
    <t xml:space="preserve">                                                                                                                                                                                              </t>
  </si>
  <si>
    <t>Tindak lanjut yang diperlukan dalam triwulan berikutnya:</t>
  </si>
  <si>
    <t>Tindak lanjut yang diperlukan dalam RKPD berikutnya:</t>
  </si>
  <si>
    <t>Disusun,</t>
  </si>
  <si>
    <t>Disetujui,</t>
  </si>
  <si>
    <t>KEPALA BAPEDALITBANG</t>
  </si>
  <si>
    <t>H. HENDRAJONI, SH. MH.</t>
  </si>
  <si>
    <t>NIP. 19750101 200003 1 003</t>
  </si>
  <si>
    <t>TRIWULAN I TAHUN 2019</t>
  </si>
  <si>
    <t>Pemenuhan pelayanan administrasi kantor (bln)</t>
  </si>
  <si>
    <t>Jasa Komunikasi, Sumber Daya Air dan Listrik  pada kantor selama 12 bulan</t>
  </si>
  <si>
    <t>Penyediaan jasa jaminan barang milik daerah</t>
  </si>
  <si>
    <t>Jasa jaminan barang milik daerah selama 12 bulan</t>
  </si>
  <si>
    <t>Penyediaan Jasa administrasi keuangan</t>
  </si>
  <si>
    <t>Jasa Administrasi Keuangan selama 12 bulan</t>
  </si>
  <si>
    <t xml:space="preserve">12 </t>
  </si>
  <si>
    <t>Penyediaan Jasa Kebersihan kantor</t>
  </si>
  <si>
    <t>Jasa kebersihan kantor selama 1 tahun</t>
  </si>
  <si>
    <t>Jasa perbaikan peralatan selama 12 bulan</t>
  </si>
  <si>
    <t>Rapat-rapat kordinasi dan konsultasi ke luar daerah</t>
  </si>
  <si>
    <t>Penunjang Operasional Perencanaan dan pelaporan</t>
  </si>
  <si>
    <t>Jumlah dokumen perencanaan dan pelaporan</t>
  </si>
  <si>
    <t>Penyediaan Biaya Operasional Unit kerja bawahan</t>
  </si>
  <si>
    <t>Penyediaan Jasa Tenaga Kerja Non PNS</t>
  </si>
  <si>
    <t>Jasa Publikasi</t>
  </si>
  <si>
    <t>Pemeliharaan rutin/berkala Gedung kantor</t>
  </si>
  <si>
    <t>Pemeliharaan Rutin/Berkala Kendaraan Dinas kantor</t>
  </si>
  <si>
    <t>Peningkatan gedung kantor</t>
  </si>
  <si>
    <t>Program Wajib Belajar Pendidikan Dasar Sembilan Tahun</t>
  </si>
  <si>
    <t>Persentase Kenaikan APK SD</t>
  </si>
  <si>
    <t>Persentase Kenaikan APM SD</t>
  </si>
  <si>
    <t>Persentase Kenaikan APK SMP</t>
  </si>
  <si>
    <t>Persentase Kenaikan APM SMP</t>
  </si>
  <si>
    <t>Pembangunan Taman, Lapangan Upacara dan Fasilitas Parkir</t>
  </si>
  <si>
    <t>Terpenuhinya kebutuhan prasarana parkir di sekolah</t>
  </si>
  <si>
    <t>101</t>
  </si>
  <si>
    <t>Pembangunan Gedung Sekolah SMP</t>
  </si>
  <si>
    <t>Tersedianya kebtuhan sarana dan prasarana disekolah</t>
  </si>
  <si>
    <t>Pembangunan taman, Lapangan Upacara dan Fasilitas Parkir SMP</t>
  </si>
  <si>
    <t>Terpenunhinya kebutuhan prasarana parkir disekolah smp</t>
  </si>
  <si>
    <t>Pembanguan Ruang Ibandah</t>
  </si>
  <si>
    <t>Tersedianya tempat ibadah disekolah</t>
  </si>
  <si>
    <t>114</t>
  </si>
  <si>
    <t>Pembangunan sarana air bersih dan sanitary SMP</t>
  </si>
  <si>
    <t>Tersedianya sarana air bersih dan sanitary di sekolah SMP</t>
  </si>
  <si>
    <t xml:space="preserve">Pembangunan sarana air bersih dan sanitary </t>
  </si>
  <si>
    <t xml:space="preserve">Tersedianya sarana air bersih dan sanitary di sekolah </t>
  </si>
  <si>
    <t>Rehabilitasi sedang/berat bangunan sekolah SMP</t>
  </si>
  <si>
    <t>Rehabilitasi banguanan sekolah SMP</t>
  </si>
  <si>
    <t>Pembanguan pagar sekolah SMP</t>
  </si>
  <si>
    <t>Tersedianya pagar disekolah SMP</t>
  </si>
  <si>
    <t>Pembangunan Pagar SD</t>
  </si>
  <si>
    <t>Pagar Sekolah SD</t>
  </si>
  <si>
    <t>Pembangunan / Rehabilitasi Gedung dan Pengadaan Sarana dan Prasarana Sekolah Dasar (DAK Reguler 2019)</t>
  </si>
  <si>
    <t>163</t>
  </si>
  <si>
    <t>Pembangunan / Rehabilitasi Gedung dan Pengadaan Sarana dan Prasarana Sekolah Dasar (DAK Afirmasi 2019)</t>
  </si>
  <si>
    <t>Pembangunan / Rehabilitasi gedung dan pengadaan sarana dan prasarana sekola menegah pertama ( DAK Reguler 2019 )</t>
  </si>
  <si>
    <t>165</t>
  </si>
  <si>
    <t>Pembangunan / Rehabilitasi gedung dan pengadaan sarana dan prasarana sekola menegah pertama ( DAK Afirmasi 2019 )</t>
  </si>
  <si>
    <t>166</t>
  </si>
  <si>
    <t>Lomba Tingkat Pendidikan Sekolah Dasar</t>
  </si>
  <si>
    <t>168</t>
  </si>
  <si>
    <t>Lomba Peningkatan Pendidikan Sekolah Menengah Pertama</t>
  </si>
  <si>
    <t>169</t>
  </si>
  <si>
    <t>Penyelenggara Pendidikan Inkusif di SD</t>
  </si>
  <si>
    <t>171</t>
  </si>
  <si>
    <t>Penyelenggaraan Tingkat Satuan Pendidikan Sekolah Menengah Pertama</t>
  </si>
  <si>
    <t>177</t>
  </si>
  <si>
    <t>Monitoring, Evaluasi Penggunaan  Dana BOS SMP</t>
  </si>
  <si>
    <t>178</t>
  </si>
  <si>
    <t>Monitoring, Evaluasi Penggunaan  Dana BOS SD</t>
  </si>
  <si>
    <t xml:space="preserve">Pengadaan Alat Praktik dan Peraga Siswa </t>
  </si>
  <si>
    <t>181</t>
  </si>
  <si>
    <t>Penyelenggaraan Pendidikan Karakter di Pendidikan Dasar</t>
  </si>
  <si>
    <t>184</t>
  </si>
  <si>
    <t>Lanjutan Pembangunan Ruang belajar SMP</t>
  </si>
  <si>
    <t>Tersedianya Ruang belajar sisiwa SMP</t>
  </si>
  <si>
    <t>185</t>
  </si>
  <si>
    <t>186</t>
  </si>
  <si>
    <t>Pengadaan Komputer Ujian Nasional Berbasis Komputer (UNBK) dan Ujian Kompetensi Guru (UKG)</t>
  </si>
  <si>
    <t xml:space="preserve">Pengadaan Mobiler Sekolah </t>
  </si>
  <si>
    <t>190</t>
  </si>
  <si>
    <t>Operasional Sarana Mobilitas Daerah Terpencil</t>
  </si>
  <si>
    <t>191</t>
  </si>
  <si>
    <t>Sosialisasi dan Informasi Pendidikan Dasar</t>
  </si>
  <si>
    <t>Rehabilitasi Sedang / Berat Ruang kelas sekolah</t>
  </si>
  <si>
    <t>Pelatihan Penyusunan Kurikulum</t>
  </si>
  <si>
    <t>Pembinaan Minat, Bakat dan Kreativitas Siswa</t>
  </si>
  <si>
    <t>Penyediaan Basiswa Transisi</t>
  </si>
  <si>
    <t>Penyelenggara Pendidikan Sekolah Dasar</t>
  </si>
  <si>
    <t>Bantuan operasional sekolah tingkat sekolah menengah pertama ( SMP )</t>
  </si>
  <si>
    <t>Program pendidikan anak usia dini</t>
  </si>
  <si>
    <t xml:space="preserve">Persentase Kenaikan APK PAUD </t>
  </si>
  <si>
    <t>50</t>
  </si>
  <si>
    <t>Pengembangan data dan informasi pendidikan anak usia dini</t>
  </si>
  <si>
    <t xml:space="preserve">Lomba Tingkat Pendidikan Anak usia Dini/ Taman Kanak-kanak </t>
  </si>
  <si>
    <t>Pembinaan pada Lembaga PAUD Percontohan</t>
  </si>
  <si>
    <t>Pelatihan operator paud dan dikmas</t>
  </si>
  <si>
    <t>75</t>
  </si>
  <si>
    <t>Program Pendidikan Non Formal</t>
  </si>
  <si>
    <t>Pemberdayaan Tenaga Pendidik Non Formal</t>
  </si>
  <si>
    <t>Pelatihan LKP dan PKBM</t>
  </si>
  <si>
    <t>Penyelengaraan Paket C</t>
  </si>
  <si>
    <t>Penyelenggaraan Pendidikan keluarga</t>
  </si>
  <si>
    <t>Pelaksanaan UNPK B</t>
  </si>
  <si>
    <t>Pelaksanaan UNPK C</t>
  </si>
  <si>
    <t>Hari Aksara Internasional (HAI)</t>
  </si>
  <si>
    <t>Pelatihan Tutor Paket C dan B</t>
  </si>
  <si>
    <t>Jumlah guru SD dan SMP  Profesional</t>
  </si>
  <si>
    <t>Jumlah Kepala Sekolah Profesional</t>
  </si>
  <si>
    <t>Jumlah Pengawas Sekolah Profesional</t>
  </si>
  <si>
    <t>Pelaksanaan Sertifikasi Pendidik</t>
  </si>
  <si>
    <t>Pelatihan bagi Pendidik untuk memenuhi standar kompetensi</t>
  </si>
  <si>
    <t>Pembinaan Pusat Pendidikan dan Pelatihan Guru (PPPPG)</t>
  </si>
  <si>
    <t>Pengembangan mutu dan kualitas program pendidikan dan pelatihan bagi pendidik dan tenaga kependidikan</t>
  </si>
  <si>
    <t>Pengembangan sistem pendataan dan pemetaan pendidik dan tenaga kependidikan</t>
  </si>
  <si>
    <t>Pengembangan Sistem Penghargaan dan Perlindungan terhadap Profesi Pendidik</t>
  </si>
  <si>
    <t>Pembinaan Tim Evaluasi Pembuatan Master Soal SMP</t>
  </si>
  <si>
    <t>Penilaian Angka Kredit Tenaga Pendidik</t>
  </si>
  <si>
    <t>Terlaksannya Penilaian Angka Kredit Tenaga Pendidik</t>
  </si>
  <si>
    <t>Sosialisasi juknis pelaksanaan jabatan fungsional guru dan angka kredit guru</t>
  </si>
  <si>
    <t>Peningkatan Kompetensi Pengawas Sekolah</t>
  </si>
  <si>
    <t>Pelatihan Kompetensi Tenaga Pendidik PAUD</t>
  </si>
  <si>
    <t>Rerukment dan Pelatihan Calon kepala sekolah SD dan SMP</t>
  </si>
  <si>
    <t>Bimtek Peningkatan Kompetensi Guru SD</t>
  </si>
  <si>
    <t>Peningkatan Kemampuan guru mengajar</t>
  </si>
  <si>
    <t>Penyediaan Jasa Tenaga Pendidik Non PNS</t>
  </si>
  <si>
    <t>Program Manajemen Pelayanan Pendidikan</t>
  </si>
  <si>
    <t>Persentase SD  Berakreditasi B</t>
  </si>
  <si>
    <t>Persentase SMP Berakreditasi B</t>
  </si>
  <si>
    <t>Penerapan Sistem dan Informasi Manajemen Pendidikan</t>
  </si>
  <si>
    <t>Sosialisasi dan updating data pokok pendidikan (Dapodik)</t>
  </si>
  <si>
    <t>Penyelenggaraan Akademi Komunitas</t>
  </si>
  <si>
    <t>Monitoring, evaluasi dan pelaporan pembinaan pembelajaran</t>
  </si>
  <si>
    <t>Pendataan dan Pemetaan Capaian Standar Pelayanan Minimal (SPM) Bidang Pendidikan</t>
  </si>
  <si>
    <t>Jumlah sekolah yang telah terpetakan SPM</t>
  </si>
  <si>
    <t>Pengembangan Sistem Perencanaan Data Penjaminan Mutu Pendidikan</t>
  </si>
  <si>
    <t>Jumlah sekolah yang telah terpetakan  8 SNP</t>
  </si>
  <si>
    <t>Target Kinerja dan Anggaran RKPD Kabupaten Pesisir Selatan Tahun Berjalan (2019) yang Dievaluasi</t>
  </si>
  <si>
    <t>Perawatan Cakar Budaya. Museum dan Peninggalan sejarah</t>
  </si>
  <si>
    <t>Pelatihan adat bagi pemangku adat</t>
  </si>
  <si>
    <t>terlatihnya adat bagi pemangku adat</t>
  </si>
  <si>
    <t xml:space="preserve">Terlaksananya 6 (enam) paket seni </t>
  </si>
  <si>
    <t>Pengadaan Peralatan pendidikan pada bidang kebudayaan</t>
  </si>
  <si>
    <t>Pembuatan Film Dokumenter, dokudrama, layar lebar</t>
  </si>
  <si>
    <t xml:space="preserve">Pendokumentasian secara digital atraksi adaat dan budaya tradisional kabupaten pesisir selatan </t>
  </si>
  <si>
    <t>Lawatan sejarah kabupaten peisisir selatan</t>
  </si>
  <si>
    <t>Peringkat Kinerja</t>
  </si>
  <si>
    <t>Dinas Peternakan dan Kesehatan Hewan</t>
  </si>
  <si>
    <t>Kegiatan Penyediaan jasa komunikasi, sumber daya air dan listrik</t>
  </si>
  <si>
    <t>Kegiatan Penyediaan jasa administrasi keuangan</t>
  </si>
  <si>
    <t>Penunjang operasional perencanaan dan Pelaporan</t>
  </si>
  <si>
    <t>tersedianya peralatan gedung kantor (unit)</t>
  </si>
  <si>
    <t>Tersedianya meubiler kantor</t>
  </si>
  <si>
    <t>Program Pencegahan dan penanggulangan penyakit menular</t>
  </si>
  <si>
    <t>Jumlah hewan ternak yang divaksinasi dan ditangani</t>
  </si>
  <si>
    <t>Jumlah hewan yang ditangani</t>
  </si>
  <si>
    <t>Pengawasan peredaran obat hewan</t>
  </si>
  <si>
    <t>Jumlah lokasi peredaran obat hewan yang diawasi</t>
  </si>
  <si>
    <t>Peningkatan produksi ternak  (%)</t>
  </si>
  <si>
    <t>Pendistribusian bibit ternak kepada masyarakat</t>
  </si>
  <si>
    <t>Terdistribusinya ternak kepada masyarakat</t>
  </si>
  <si>
    <t>Pencapaian Swasembada daging sapi dan kerbau</t>
  </si>
  <si>
    <t>Fasilitasi pengembangan modal usaha peternakan</t>
  </si>
  <si>
    <t>Program Peningkatan Pemasaran Hasil Produksi Peternakan</t>
  </si>
  <si>
    <t>Percepatan Pembangunan Sarana dan Prasarana Pertanian mendukung Peternakan</t>
  </si>
  <si>
    <t>Peningkatan Sarana/Prasarana Peternakan (DAK dan Penunjang)</t>
  </si>
  <si>
    <t>Peningkatan Sarana Prasarana Peternakan (DAK dari DAU)</t>
  </si>
  <si>
    <t>Terlaksananya pembangunan sarana prasarana peternakan</t>
  </si>
  <si>
    <t>DINAS KESEHATAN</t>
  </si>
  <si>
    <t>Dinas Kesehatan</t>
  </si>
  <si>
    <t>Penyediaan Jasa Pemeliharaan  dan Perizinan Kendaraan</t>
  </si>
  <si>
    <t>Penyediaan Jasa Perbaikan Peralatan Kerja</t>
  </si>
  <si>
    <t>Penyediaan Peralatan dan Perlengkapan kantor</t>
  </si>
  <si>
    <t>Penyediaan Jasa pengamanan kantor</t>
  </si>
  <si>
    <t>Pembinaan dan Pengelolaan Aset</t>
  </si>
  <si>
    <t>Penunjang Operasional Perencanaan dan Pelaporan</t>
  </si>
  <si>
    <t>Pengadaan Kendaraan Dinas / Operasional</t>
  </si>
  <si>
    <t>Pemeliharaan Rutin/Berkala Gedung kantor</t>
  </si>
  <si>
    <t>Pendidikan dan Pelatihan Formal</t>
  </si>
  <si>
    <t>Legalisasi dan Registrasi Tenaga Fungsional Kesehatan</t>
  </si>
  <si>
    <t>Program Obat dan Perbekalan Kesehatan</t>
  </si>
  <si>
    <t>Persentase Terpenuhi kebutuhan obat- obatan pelayanan kesehatan dasar</t>
  </si>
  <si>
    <t>Pengadaaan obat dan perbekalan kesehatan (DAK dan Pendamping)</t>
  </si>
  <si>
    <t>Jumlah Paket obat dan Perbekalan Kesehatan yang diadakan</t>
  </si>
  <si>
    <t>Peningkatan pemerataan obat dan perbekalan kesehatan</t>
  </si>
  <si>
    <t>Persentase obat dan Perbekalan kesehatan di Puskesmas</t>
  </si>
  <si>
    <t>Peningkatan pengawasan keamanan pangan dan bahan berbahaya</t>
  </si>
  <si>
    <t>Program Upaya Kesehatan Masyarakat</t>
  </si>
  <si>
    <t>Visite Rate</t>
  </si>
  <si>
    <t>Pemeliharaan dan pemulihan kesehatan</t>
  </si>
  <si>
    <t>Peningkatan Kesehatan Masyarakat</t>
  </si>
  <si>
    <t>Pembinaan upaya kesehatan dasar masyarakat (Bantuan Operasional Kesehatan (BOK)</t>
  </si>
  <si>
    <t xml:space="preserve">Terlaksananya pelayanan kesehatan pada masyarakat. </t>
  </si>
  <si>
    <t>Pelayanan Kesehatan Rujukan di Sarana Pelayanan Kesehatan</t>
  </si>
  <si>
    <t>Pelayanan Kesehatan pada Pengobatan Tradisional (BATRA)</t>
  </si>
  <si>
    <t>Jumlah penyehat tradisional yang dipantau dalam pelayanan kesehatan</t>
  </si>
  <si>
    <t>Penanggulangan Kegawat Daruratan Terpadu</t>
  </si>
  <si>
    <t>Usaha kesehatan institusi dan peran serta masyarakat</t>
  </si>
  <si>
    <t>Pembinaan dan Pembentukan Nagari Siaga</t>
  </si>
  <si>
    <t>Pengembangan Sistem Informasi Kesehatan Kabupaten</t>
  </si>
  <si>
    <t>Implementasi Gerakan Masyarakat</t>
  </si>
  <si>
    <t>Program Perbaikan Gizi Masyarakat</t>
  </si>
  <si>
    <t>pemberian tambahan makanan dan vitamin</t>
  </si>
  <si>
    <t>Pemantauan status gizi masyarakat</t>
  </si>
  <si>
    <t>Pembinaan dan monitoring program gizi masyarakat</t>
  </si>
  <si>
    <t>Program Pengembangan Lingkungan Sehat</t>
  </si>
  <si>
    <t>Pengkajian pengembangan lingkungan sehat</t>
  </si>
  <si>
    <t>Pendamping PAMSIMAS</t>
  </si>
  <si>
    <t>Penunjang Program Percepatan Pembangunan Sanitasi Pemukiman (PPSP)</t>
  </si>
  <si>
    <t>Pengelolaan dan pengembangan pemeriksaan sanitasi dasar masyarakat</t>
  </si>
  <si>
    <t>Pelaksanaan Forum Kecamatan dan Kabupaten Sehat dan Kabupaten Sehat</t>
  </si>
  <si>
    <t>Pelayanan Kesehatan Kerja dan Olah Raga</t>
  </si>
  <si>
    <t>Program Pencegahan dan Penanggulangan Penyakit Menular</t>
  </si>
  <si>
    <t>Succes Rate TB</t>
  </si>
  <si>
    <t>Pelayanan pencegahan dan penanggulangan penyakit menular</t>
  </si>
  <si>
    <t>Peningkatan Imunisasi</t>
  </si>
  <si>
    <t>Peningkatan surveillance epideminologi dan penaggulangan wabah</t>
  </si>
  <si>
    <t>Pemantauan &amp; Penanggulangan Masalah Kesehatan Akibat Bencana/KLB</t>
  </si>
  <si>
    <t xml:space="preserve">Sistem Kewaspadaan dini KLB / Wabah / Bencana </t>
  </si>
  <si>
    <t>Program Standarisasi Pelayanan Kesehatan</t>
  </si>
  <si>
    <t>Akreditasi, registrasi dan sertifikasi kesehatan</t>
  </si>
  <si>
    <t>Pembinaan dan Evaluasi Monitoring dr/drg/bidan PTT</t>
  </si>
  <si>
    <t>Upaya peningkatan kinerja petugas dan institusi kesehatan</t>
  </si>
  <si>
    <t>Pengelolaan dan pembinaan tenaga fungsional</t>
  </si>
  <si>
    <t>Akreditasi, Registrasi dan Sertifikasi Kesehatan (DAK non Fisik) Tahun 2016</t>
  </si>
  <si>
    <t>25</t>
  </si>
  <si>
    <t>Program pengadaan, peningkatan dan perbaikan sarana dan prasarana puskesmas/ puskesmas pembantu dan jaringannya</t>
  </si>
  <si>
    <t>Pengadaaan puskesmas keliling</t>
  </si>
  <si>
    <t>Pengadaaan sarana dan prasarana puskesmas (DAK dan Pendamping)</t>
  </si>
  <si>
    <t>Jumlah Puskesmas yang direhab</t>
  </si>
  <si>
    <t>Pembangunan sarana dan prasarana puskesmas dan jaringannya (Penunjang DAK)</t>
  </si>
  <si>
    <t>Pembangunan Sarana dan Prasarana Puskesmas dan jaringannya (luncuran)</t>
  </si>
  <si>
    <t>Pengadaan Alat Kesehatan Puskesmas (DAK)</t>
  </si>
  <si>
    <t>Pemeliharaan Rutin/Berkala Alat-alat Kesehatan</t>
  </si>
  <si>
    <t>Pengadaaan Instalasi Pengolahan Air Limbah (DAK)</t>
  </si>
  <si>
    <t>Program kemitraan peningkatan pelayanan kesehatan</t>
  </si>
  <si>
    <t>Kemitraan asuransi kesehatan masyarakat</t>
  </si>
  <si>
    <t>Pelayanan gratis di puskesmas dan jaringannya</t>
  </si>
  <si>
    <t>Pelayanan Kesehatan (Kapitasi) Jaminan Kesehatan Nasional (JKN) di Puskesmas</t>
  </si>
  <si>
    <t>Pelayanan Kesehatan (Non Kapitasi) Jaminan Kesehatan Nasional (JKN) di Puskesmas</t>
  </si>
  <si>
    <t>Program peningkatan pelayanan kesehatan lansia</t>
  </si>
  <si>
    <t>Pelayanan pemeliharaan kesehatan</t>
  </si>
  <si>
    <t>Program peningkatan keselamatan ibu melahirkan dan anak</t>
  </si>
  <si>
    <t>Usaha Kesehatan Ibu dan Anak</t>
  </si>
  <si>
    <t>Pelayanan kesehatan anak prasekolah dan usia sekolah (Prasekdam Usek)</t>
  </si>
  <si>
    <t>33</t>
  </si>
  <si>
    <t>Program Pencegahan dan Penanggulangan Penyakit Tidak Menular</t>
  </si>
  <si>
    <t>Persentase Nagari dengan Posbindu PTM</t>
  </si>
  <si>
    <t>Pemantauan dan Penanggulangan Masalah Kesehatan Matra</t>
  </si>
  <si>
    <t>Deteksi Dini dan Pengendalian Penyakit akibat Rokok (DBH Pajak Rokok)</t>
  </si>
  <si>
    <t>Pelayanan Kesehatan Orang Dengan Gangguan Jiwa (ODGJ) Berat</t>
  </si>
  <si>
    <t>Program Peningkatan Sarana pelayanan Kesehatan Rumah Sakit</t>
  </si>
  <si>
    <t>Biaya operasional RSU Pratama Tapan</t>
  </si>
  <si>
    <t>Program Perlayanan Administrasi Perkantoran</t>
  </si>
  <si>
    <t>Terlaksananya pembayaran rekening Listrik, Air, dan Koran (Publikasi) (bulan)</t>
  </si>
  <si>
    <t>Terlaksananya pembayaran jasa administrasi keuangan (bulan)</t>
  </si>
  <si>
    <t>Terlaksananya pembayaran jasa kebersihan kantor dan tersedianya alat kebersihan kantor (bulan)</t>
  </si>
  <si>
    <t>Terlaksananya perbaiakan perlatan kerja (bulan)</t>
  </si>
  <si>
    <t>Tersedianya barang cetakan dan tersedianya penggandaan dokumen (bulan)</t>
  </si>
  <si>
    <t>Tersedianya makan minum rapat, makan minum tamu, makan minum harian (bulan)</t>
  </si>
  <si>
    <t>Terlaksananya Koordinasi dan konsultasi keluar daerah (bulan)</t>
  </si>
  <si>
    <t>Terlaksananya Koordinasi dan konsultasi kedalam daerah (bulan)</t>
  </si>
  <si>
    <t>Penyediaan Jasa Pengaman Kantor</t>
  </si>
  <si>
    <t>Terlaksananya pembayaran jasa pengaman kantor (bulan)</t>
  </si>
  <si>
    <t>Tersedianya penunjang operasional dan pelaporan (bulan)</t>
  </si>
  <si>
    <t>Pengadaan Kendaraan Dinas/Operasional</t>
  </si>
  <si>
    <t>Tersedianya kendaraan Dinas/Operasional (unit)</t>
  </si>
  <si>
    <t>Tersedianya Meubiler (unit)</t>
  </si>
  <si>
    <t>Terpeliharanya rumah dinas (pkt)</t>
  </si>
  <si>
    <t>Pemeliharaan Rutin/Berkala Kendaraan Dinas/Operasional</t>
  </si>
  <si>
    <t>Terlaksananya pemeliharaan rutin/berkala kendaraan dinas operasional (bulan)</t>
  </si>
  <si>
    <t>Pemeliharaan Rutin/Berkala Peralatan Gedung Kantor</t>
  </si>
  <si>
    <t>Terlaksananya pemeliharaan rutin/berkala peralatan gedung kantor (bulan)</t>
  </si>
  <si>
    <t>Program Peningkatan Penghembangan Sistem Pelaporan Capaian Kinerja dan Keuangan</t>
  </si>
  <si>
    <t>Monitoring Evaluasi dan Pelaporan</t>
  </si>
  <si>
    <t>Sinkronisasi Program RPIJM Cipta Karya</t>
  </si>
  <si>
    <t>Program Pembangunan Jalan dan Jembatan</t>
  </si>
  <si>
    <t>Pembangunan dan Peningkatan Jalan Lingkungan</t>
  </si>
  <si>
    <t>Pembangunan Jalan Minapolitan</t>
  </si>
  <si>
    <t>Pembangunan dan Pemeliharaan Drainase Kawasan Permukiman</t>
  </si>
  <si>
    <t>36</t>
  </si>
  <si>
    <t>Program Penataan Bangunan dan Lingkungan</t>
  </si>
  <si>
    <t>Pembangunan Gedung Kantor</t>
  </si>
  <si>
    <t>Pembangunan Rumah Dinas</t>
  </si>
  <si>
    <t>Rehabilitasi Sedang/Berat Rumah Dinas</t>
  </si>
  <si>
    <t>Rehabilitasi Sedang/Berat Gedung Kantor</t>
  </si>
  <si>
    <t>Program Pengembangan Perumahan</t>
  </si>
  <si>
    <t>Penunjang Kegiatan Pendataan dan Perencanaan Perumahan</t>
  </si>
  <si>
    <t>Penunjang Perumahan Permukiman dan BSPS</t>
  </si>
  <si>
    <t>Rehab Rumah Tiodak Layak Huni</t>
  </si>
  <si>
    <t>Pendataan dan Validasi Data Rumah Tidak Layak Huni</t>
  </si>
  <si>
    <t>Pendampingan Perbaikan Rumah Tidak Layak Huni</t>
  </si>
  <si>
    <t>Pematangan Lahan Lokasi Rumah Tapak</t>
  </si>
  <si>
    <t>26</t>
  </si>
  <si>
    <t>Penunjang Pembangunan Rumah Khusus Nelayan</t>
  </si>
  <si>
    <t>Penunjang Evaluasi dan Monitoring Pelaksanaan Kegiatan Rumah Tidak Layak Huni</t>
  </si>
  <si>
    <t>Fasilitasi Sambungan Listrik Rumah Masyarakat Berpenghasilan Rendah</t>
  </si>
  <si>
    <t>Program Lingkungan sehat Perumahan</t>
  </si>
  <si>
    <t>Pembangunan Infrastruktur Sanitasi</t>
  </si>
  <si>
    <t>Penunjang Pembangunan Infrastruktur Sanitasi</t>
  </si>
  <si>
    <t>Peningkatan PSU (Prasarana dan sarana Utilitas Umum) Perumahan</t>
  </si>
  <si>
    <t>Program Pembangunan dan Pengembangan Kawasan Permukiman</t>
  </si>
  <si>
    <t>Koordinasi Pengawasan dan Pengendalian Pelaksanaan Kebijakan Tentang Pembangunan Kawasan Permukiman</t>
  </si>
  <si>
    <t>Penataan Kawasan Kumuh</t>
  </si>
  <si>
    <t>Penyusunan DED Kawasan Kumuh</t>
  </si>
  <si>
    <t>Penunjang Perencanaan Pembangunan dan Pengembangan Kawasan Permukiman</t>
  </si>
  <si>
    <t>Penyusunan Dokumen Lingkungan Kawasan Kumuh</t>
  </si>
  <si>
    <t>Penunjang Pemanfaatan dan Penhgendalian Kawasan Permukiman</t>
  </si>
  <si>
    <t>Penyusunan Dokumen Rencana Kawasan Permukiman (RKP) Kab. Pesisir Selatan</t>
  </si>
  <si>
    <t>Program Penataan Penguasaan, Pemilikan, Penggunaan dan Pemanfaatan tanah</t>
  </si>
  <si>
    <t>Sertifikasi Tanah Hak Milik Pemerintah Daerah</t>
  </si>
  <si>
    <t>Perencanaan Pengadaan tanah</t>
  </si>
  <si>
    <t>Persiapan Pengadaan Tanah</t>
  </si>
  <si>
    <t>Pelaksanaan Pengadaan Tanah</t>
  </si>
  <si>
    <t>Penyerahan Hasil Pengadaan Tanah</t>
  </si>
  <si>
    <t>Fasilitasi Pengadaan Tanah</t>
  </si>
  <si>
    <t>Sosilaisasi Pengadaan Tanah Bagi Pembangunan Untuk Kepentingan Umum</t>
  </si>
  <si>
    <t>Inventarisasi Tanah  Pemerintah Daerah</t>
  </si>
  <si>
    <t>Program Penyelesaian Konflik-Konflik Pertanahan</t>
  </si>
  <si>
    <t>Fasilitasi Penyelesaian Konflik-Konflik Pertanahan</t>
  </si>
  <si>
    <t>Jumlah Fasilitasi Penyelesaian Konflik Pertanahan (konflik)</t>
  </si>
  <si>
    <t>Program Pengembangan Sistem Informasi Pertanahan</t>
  </si>
  <si>
    <t>Penyusunan Sistem Informasi Pertanahan Yang Handal</t>
  </si>
  <si>
    <t>Tersedianya Sistem Informasi Pertanahan Yang Handal</t>
  </si>
  <si>
    <t>Pelaksanaan Promosi dan Publikasi</t>
  </si>
  <si>
    <t>3</t>
  </si>
  <si>
    <t>Penyediaan barang cetakan dan pengadaan</t>
  </si>
  <si>
    <t>Rapat-rapat koordinasi dan konsultasi dalam daerah</t>
  </si>
  <si>
    <t xml:space="preserve">Penunjang Operasional Perencanaan dan Pelaporan </t>
  </si>
  <si>
    <t>KUA PPAS, RKA, DPA, LAKIP, TAPKIN, LKPJ, NERACA, LPPD, RKPD dan lain-lain</t>
  </si>
  <si>
    <t>-</t>
  </si>
  <si>
    <t>Pengadaan Meubileur</t>
  </si>
  <si>
    <t>Pemeliharaan Rutin/Berkala Kendaraan Dinas Operasional</t>
  </si>
  <si>
    <t>Rehabilitasi Sedang/Berat Rumah Gedung Kantor</t>
  </si>
  <si>
    <t>Program Peningkatan Kapasitas Sumber Daya Aparatur</t>
  </si>
  <si>
    <t>Diklat Pengelolaan Keuangan Daerah</t>
  </si>
  <si>
    <t>Penyebarluasan Informasi Pembangunan</t>
  </si>
  <si>
    <t>Penyusunan laporan PAD</t>
  </si>
  <si>
    <t>Pendataan dan Verifikasi Pajak Daerah</t>
  </si>
  <si>
    <t>Pengadaan Barang Kuasi</t>
  </si>
  <si>
    <t>43</t>
  </si>
  <si>
    <t>Verifikasi dan Penetapan Pajak Daerah</t>
  </si>
  <si>
    <t>Pelayanan peningkatan pemungutan pajak daerah wilayah I</t>
  </si>
  <si>
    <t>51</t>
  </si>
  <si>
    <t>Pelayanan peningkatan pemungutan pajak daerah wilayah II</t>
  </si>
  <si>
    <t>52</t>
  </si>
  <si>
    <t>Pelayanan peningkatan pemungutan pajak daerah wilayah III</t>
  </si>
  <si>
    <t>63</t>
  </si>
  <si>
    <t>Sosialisasi Pajak Daerah</t>
  </si>
  <si>
    <t>68</t>
  </si>
  <si>
    <t>Rekonsiliasi Pendapatan Asli Daerah</t>
  </si>
  <si>
    <t>Monitoring dan evaluasi PAD</t>
  </si>
  <si>
    <t>78</t>
  </si>
  <si>
    <t>Pemetaan Potensi Pendapatan Asli Daerah</t>
  </si>
  <si>
    <t>80</t>
  </si>
  <si>
    <t>Cetak Massal dan Pengadaan Bahan2 Dokumen PBB-P2</t>
  </si>
  <si>
    <t>94</t>
  </si>
  <si>
    <t>Zonasi Nilai Jual Objek Pajak</t>
  </si>
  <si>
    <t>96</t>
  </si>
  <si>
    <t>Penunjang Sistem Informasi Pengelolaan Pajak Daerah</t>
  </si>
  <si>
    <t>DINAS PENDAPATAN</t>
  </si>
  <si>
    <t xml:space="preserve"> RATA-RATA CAPAIAN KINERJA </t>
  </si>
  <si>
    <t>PERINGKAT KINERJA</t>
  </si>
  <si>
    <t>Dinas PSDA</t>
  </si>
  <si>
    <t>Penyediaan Jasa Komunikasi, Sumber Daya Air dan Listrik</t>
  </si>
  <si>
    <t>Penyediaan Jasa Administrasi Keuangan</t>
  </si>
  <si>
    <t>Tersedianya jasa administrasi keuangan (bln)</t>
  </si>
  <si>
    <t>Penyediaan Jasa Kebersihan Kantor</t>
  </si>
  <si>
    <t>Penyediaan Barang Cetakan dan Penggandaan</t>
  </si>
  <si>
    <t>Penyediaan Komponen Instalasi Listrik/Penerangan Bangunan Kantor</t>
  </si>
  <si>
    <t>Penyediaan Bahan Bacaan dan Peraturan Perundang-undangan</t>
  </si>
  <si>
    <t>Penyediaan Makanan dan Minuman</t>
  </si>
  <si>
    <t>Rapat-rapat Koordinasi dan Konsultasi ke Luar Daerah</t>
  </si>
  <si>
    <t>Terlaksananya Pembinaan dan Pengelolaan Aset (bln)</t>
  </si>
  <si>
    <t>Terlaksananya Pembangunan Gedung Kantor (paket)</t>
  </si>
  <si>
    <t>Terlaksananya Pengadaan Kendaraan Dinas/Operasional (unit)</t>
  </si>
  <si>
    <t>Pengadaan Meubilier</t>
  </si>
  <si>
    <t>Terlaksananya pengadaan mebeleur (unit)</t>
  </si>
  <si>
    <t>Pemeliharaan Rutin/Berkala Alat Berat</t>
  </si>
  <si>
    <t>Pendidikan dan Pelatihan Formal</t>
  </si>
  <si>
    <t>Jumlah aparatur yang mengikuti pelatihan (org)</t>
  </si>
  <si>
    <t>Perencanaan Pembangunan Saluran Drainase dan Trotoar</t>
  </si>
  <si>
    <t>Tersedianya Perencanaan Saluran Drainase / Gorong-Gorong (Dok)</t>
  </si>
  <si>
    <t>Pemeliharaan Saluran Drainase/Gorong-Gorong</t>
  </si>
  <si>
    <t>Terlaksananya Pemeliharaan Saluran Drainase/Gorong-Gorong (paket)</t>
  </si>
  <si>
    <t>Pembangunan Saluran Drainase dan Trotoar</t>
  </si>
  <si>
    <t>Terlaksananya Pembangunan Saluran Drainase dan Trotoar (paket)</t>
  </si>
  <si>
    <t>Pembuatan Database Saluran Drainase/Gorong-gorong</t>
  </si>
  <si>
    <t>Terlaksananya Pembuatan Database Saluran
Drainase/Gorong-gorong (Dokumen)</t>
  </si>
  <si>
    <t>Terlaksananya Program pengembangan dan pengelolaan jaringan
irigasi, rawa dan jaringan pengairan lainnya</t>
  </si>
  <si>
    <t>Kelanjutan Drainase Batang Painan Kec. IV Jurai (Alokasi Dana Bantuan Keuangan yang Bersifat Khusus dari Propinsi Tahun 2018)</t>
  </si>
  <si>
    <t>Kelanjutan Drainase Belakang Pasar Surantih (Alokasi Dana Bantuan Keuangan yang Bersifat Khusus dari Propinsi Tahun 2018)</t>
  </si>
  <si>
    <t>Lanjutan Pemasangan Parit Miring (Drainase) Depan Paud Kasih Bunda, Nagari Bungo Pasang Salido (Alokasi Dana Bantuan Keuangan yang Bersifat Khusus dari Propinsi Tahun 2018)</t>
  </si>
  <si>
    <t>Pembangunan Saluran Drainase dan Trotoar (Luncuran 2017)</t>
  </si>
  <si>
    <t>Program Pembangunan Turap/Talud/Brojong</t>
  </si>
  <si>
    <t>Program Pengembangan dan Pengelolaan Jaringan Irigasi, Rawa dan Jaringan Pengairan Lainnya</t>
  </si>
  <si>
    <t>DINAS PSDA</t>
  </si>
  <si>
    <t>Perencanaan Normalisasi Saluran Sungai</t>
  </si>
  <si>
    <t>Jumlah dokumen Perencanaan Normalisasi Saluran Sungai (paket)</t>
  </si>
  <si>
    <t>Pelaksanaan Normalisasi saluran sungai</t>
  </si>
  <si>
    <t>Jumlah paket Normalisasi Saluran Sungai (paket)</t>
  </si>
  <si>
    <t>Rehabilitasi/pemeliharaan jaringan irigasi</t>
  </si>
  <si>
    <t>Perencanaan Peningkatan dan Rehabilitasi Jaringan Irigasi</t>
  </si>
  <si>
    <t>Jumlah Dokumen Perencanaan Irigasi yang dibuat (Dok)</t>
  </si>
  <si>
    <t>Optimalisasi Fungsi Jaringan Irigasi yang Telah Dibangun</t>
  </si>
  <si>
    <t>Peningkatan dan Rehabilitasi Jaringan Irigasi (Penunjang DAK)</t>
  </si>
  <si>
    <t>Peningkatan dan Rehabilitasi Jaringan Irigasi ( DAK )</t>
  </si>
  <si>
    <t>Operasional Komisi Irigasi</t>
  </si>
  <si>
    <t>Operasional Irigasi</t>
  </si>
  <si>
    <t>Terlaksananya Operasional Irigasi (bulan)</t>
  </si>
  <si>
    <t>Pengelolaan Aset Irigasi / Pembaruan Database Irigasi</t>
  </si>
  <si>
    <t>dokumen database irigasi (Dokumen)</t>
  </si>
  <si>
    <t>Integrated Participatory Development and Management of Irrigation Project (IPDMIP) (LOAN)</t>
  </si>
  <si>
    <t>Rehab Embung/Peningkatan Jaringan Embung Koto Jua Koto Kabun Kenag. Sungai Tunu Kec. Ranah Pesisir (Alokasi Dana Bantuan Keuangan yang Bersifat Khusus dari Propinsi Tahun 2018)</t>
  </si>
  <si>
    <t>Program Pengembangan, Pengelolaan, Konservasi Sungai, Danau dan Sumber Daya Air</t>
  </si>
  <si>
    <t>Monitoring, Evaluasi dan Pelaporan</t>
  </si>
  <si>
    <t>Perencanaan Embung dan Bangunan Penampungan Air Lainnya</t>
  </si>
  <si>
    <t>Jumlah dokumen Perencanaan Embung dan Bangunan Penampungan Air Lainnya (Paket)</t>
  </si>
  <si>
    <t>Pengawasan dan Konservasi Sumber Daya Air</t>
  </si>
  <si>
    <t>laporan Pengawasan dan Konservasi Sumber Daya Air (Laporan)</t>
  </si>
  <si>
    <t>Laporan Pelaksanaan AMDAL</t>
  </si>
  <si>
    <t>Laporan Pelaksanaan AMDAL (Laporan)</t>
  </si>
  <si>
    <t>Dokumen lingkungan</t>
  </si>
  <si>
    <t>Dokumen UKL-UPL (Dokumen)</t>
  </si>
  <si>
    <t>Program Pengendalian Banjir</t>
  </si>
  <si>
    <t>Rehabilitasi dan Pemeliharaan Bantaran dan Tanggul Sungai</t>
  </si>
  <si>
    <t>Peningkatan Pembersihan dan Pengerukan Sungai / Kali</t>
  </si>
  <si>
    <t>Pembuatan Database Sungai dan Pantai</t>
  </si>
  <si>
    <t>Database Sungai dan Pantai (dokumen)</t>
  </si>
  <si>
    <t>Pengembangan Pengelolaan Daerah Rawa Dalam Rangka Pengendalian Banjir</t>
  </si>
  <si>
    <t>Pemasangan Parit Miring Anak Sungai Bukit Jariang Punai Baliak Koto Lubuak Cubadak Kenag. Pelangai Kaciak Kec. Ranah Pesisir (Alokasi Dana Bantuan Keuangan yang Bersifat Khusus dari Propinsi Tahun 2018)</t>
  </si>
  <si>
    <t>Pengamanan Tebing Sungai Batang Bayang Kenag. Kubang Kec. Bayang (Alokasi Dana Bantuan Keuangan yang Bersifat Khusus dari Propinsi Tahun 2018)</t>
  </si>
  <si>
    <t>Penahanan Tebing Jembatan Gantung Muaro Bayang Nagari Pasar Baru Kecamatan Bayang ( Bantuan Keuangan Yang Bersifat Khusus Provinsi Tahun 2017)</t>
  </si>
  <si>
    <t>Program Pengembangan data/informasi</t>
  </si>
  <si>
    <t>URUSAN PERUMAHAN RAKYAT DAN KAWASAN PERMUKIMAN</t>
  </si>
  <si>
    <t>Pemenuhan layanan adminstrasi perkantoran (bln)</t>
  </si>
  <si>
    <t>kebutuhan air, listrik dan jasa komunikasi (bln)</t>
  </si>
  <si>
    <t>Penyediaan Jasa Jaminan Barang Milik Daerah</t>
  </si>
  <si>
    <t>Terlaksananya inventarisasi aset (bln)</t>
  </si>
  <si>
    <t>kebutuhan jasa administrasi keuangan (bln)</t>
  </si>
  <si>
    <t>kebutuhan jasa kebersihan kantor (bln)</t>
  </si>
  <si>
    <t>Terpenuhinya Kebutuhan alat tulis kantor (bln )</t>
  </si>
  <si>
    <t>Barang cetakan dan penggandaan untuk kantor (bln)</t>
  </si>
  <si>
    <t>Terpenuhinya Komponen penerangan bangunan kantor (bln )</t>
  </si>
  <si>
    <t>Jumlah peralatan dan perlengkapan kantor (bln)</t>
  </si>
  <si>
    <t>makan minum rapat dan tamu (bln)</t>
  </si>
  <si>
    <t>Pelaksanaan rapat - rapat koordinasi luar daerah (bln )</t>
  </si>
  <si>
    <t>Pelaksanaan rapat - rapat koordinasi dalam daerah (bln )</t>
  </si>
  <si>
    <t>Penunjang Operasional Perencanaan dan Pelaporan (bln)</t>
  </si>
  <si>
    <t>pemenuhan sarana dan prasarana aparatur (bln)</t>
  </si>
  <si>
    <t>Perencanaan Prasarana Gedung Kantor</t>
  </si>
  <si>
    <t>Jumlah dokumen perencanaan</t>
  </si>
  <si>
    <t>`</t>
  </si>
  <si>
    <t>Pemeliharaan Rutin / Berkala Kendaraan Dinas Operasional</t>
  </si>
  <si>
    <t>Pemeliharaan/ operasional kendaraan dinas (bln)</t>
  </si>
  <si>
    <t>Pemeliharaan Rutin / Berkala Peralatan Gedung Kantor</t>
  </si>
  <si>
    <t>Pemeliharaan peralatan gedung kantor</t>
  </si>
  <si>
    <t>Pemeliharaan Rutin / Berkala Gedung kantor</t>
  </si>
  <si>
    <t>Pemeliharaan  gedung kantor</t>
  </si>
  <si>
    <t>Pemeliharaan Rutin / Berkala Rumah Dinas</t>
  </si>
  <si>
    <t>Pemeliharaan  rumah dinas kantor</t>
  </si>
  <si>
    <t>Pembangunan Kantor wali nagari taratak sei lundang Kec. Koto XI Tarusan Kab. Pesisir Selatan ( Alokasi dana bantuan keuangan bersifat khusus propinsi tahun 2018 )</t>
  </si>
  <si>
    <t>Pembangunan  gedung kantor</t>
  </si>
  <si>
    <t>Pembangunan Kantor wali nagari bukik kaciak lumpo kec. Iv jurai Kab. Pesisir Selatan ( Alokasi dana bantuan keuangan bersifat khusus propinsi tahun 2018 )</t>
  </si>
  <si>
    <t>Rehab gedung pertemuan inderapura  kec. Pancung soal Kab. Pesisir Selatan ( Alokasi dana bantuan keuangan bersifat khusus propinsi tahun 2018 )</t>
  </si>
  <si>
    <t>Rehab  gedung kantor</t>
  </si>
  <si>
    <t>Pembangunan kantor wali nagari api - api kec. Bayang  Kab. Pesisir Selatan ( Alokasi dana bantuan keuangan bersifat khusus propinsi tahun 2018 )</t>
  </si>
  <si>
    <t>Pembangunan kantor wali nagari lakitan timur kec. lengayang  Kab. Pesisir Selatan ( Alokasi dana bantuan keuangan bersifat khusus propinsi tahun 2018 )</t>
  </si>
  <si>
    <t>Pembangunan kantor wali nagari kapelgam kec. Bayang  Kab. Pesisir Selatan ( Alokasi dana bantuan keuangan bersifat khusus propinsi tahun 2018 )</t>
  </si>
  <si>
    <t>Pembangunan kantor wali nagari jinang kp. pansur kec. Koto XI Tarusan  Kab. Pesisir Selatan ( Alokasi dana bantuan keuangan bersifat khusus propinsi tahun 2018 )</t>
  </si>
  <si>
    <t>Pembangunan kantor wali nagari bungo pasang salido kec. IV Jurai  Kab. Pesisir Selatan ( Alokasi dana bantuan keuangan bersifat khusus propinsi tahun 2018 )</t>
  </si>
  <si>
    <t>Pembangunan kantor badan usaha milik nagari ( BUM Nagari )  Kab. Pesisir Selatan ( Alokasi dana bantuan keuangan bersifat khusus propinsi tahun 2018 )</t>
  </si>
  <si>
    <t>Pembangunan kantor wali nagari gurun panjang utara kec. Bayang  Kab. Pesisir Selatan ( Alokasi dana bantuan keuangan bersifat khusus propinsi tahun 2018 )</t>
  </si>
  <si>
    <t>Pembangunan pagar kantor wali nagari sawah laweh kec. Bayang  Kab. Pesisir Selatan ( Alokasi dana bantuan keuangan bersifat khusus propinsi tahun 2018 )</t>
  </si>
  <si>
    <t>Kantor KAN Nagari Nanggalo Kec. Koto XI Tarusan  Kab. Pesisir Selatan ( Alokasi dana bantuan keuangan bersifat khusus propinsi tahun 2018 )</t>
  </si>
  <si>
    <t>Pembangunan Kantor wali nagari batu hampa Kec. Koto XI Tarusan Kab. Pesisir Selatan ( Alokasi dana bantuan keuangan bersifat khusus propinsi tahun 2018 )</t>
  </si>
  <si>
    <t>Pembangunan Kantor wali nagari kapuh utara Kec. Koto XI Tarusan Kab. Pesisir Selatan ( Alokasi dana bantuan keuangan bersifat khusus propinsi tahun 2018 )</t>
  </si>
  <si>
    <t>Pembangunan Kantor wali nagari nanggalo Kec. Koto XI Tarusan Kab. Pesisir Selatan ( Alokasi dana bantuan keuangan bersifat khusus propinsi tahun 2018 )</t>
  </si>
  <si>
    <t>Pembangunan Kantor wali nagari sungai pinang Kec. Koto XI Tarusan Kab. Pesisir Selatan ( Alokasi dana bantuan keuangan bersifat khusus propinsi tahun 2018 )</t>
  </si>
  <si>
    <t>Sharing pendanaan pengembangan objek wisata carocok painan (pendistrian panggung) ( Bantuan keuangan bersifat khusus propinsi tahun 2017)</t>
  </si>
  <si>
    <t>PROGRAM PENINGKATAN DISIPLIN  APARATUR</t>
  </si>
  <si>
    <t>Persentase peningkatan Displin aparatur</t>
  </si>
  <si>
    <t>Pengadaan Pakaian Kerja Lapangan</t>
  </si>
  <si>
    <t>Jumlah pakaian kerja lapangan (paket)</t>
  </si>
  <si>
    <t>PROGRAM PENGADAAN, PENINGKATAN SARANA DAN PRASARANA  RUMAH SAKIT / RUMAH SAKIT JIWA / RUMAH SAKIT PARU- PARU / RUMAH SAKIT MATA</t>
  </si>
  <si>
    <t>Persentase penyelesaian relokasi RSUD</t>
  </si>
  <si>
    <t>Manajemen Konstruksi RSUD Baru ( Lanjutan 2016 )</t>
  </si>
  <si>
    <t>Manajemen Konstruksi RSUD</t>
  </si>
  <si>
    <t>Lanjutan keg.2016</t>
  </si>
  <si>
    <t>Penyusunan Master Plan dan Perencanaan Teknis RSUD Baru (lanjutan2015)</t>
  </si>
  <si>
    <t>Master Plan RSUD ( paket )</t>
  </si>
  <si>
    <t>Lanjutan keg.2015</t>
  </si>
  <si>
    <t>Pembangunan Relokasi RSUD dr. M.Zein Painan /PIP (lanjutan 2015)</t>
  </si>
  <si>
    <t>Pembangunan Relokasi RSUD (paket )</t>
  </si>
  <si>
    <t>Pembuatan Amdal RSUD Baru</t>
  </si>
  <si>
    <t>Penyusunan Dokumen Lingkungan Hidup Pembangunan RSUD Baru (Sisa Tahun 2017)</t>
  </si>
  <si>
    <t>Dokumen Lingkungan Hidup</t>
  </si>
  <si>
    <t>Operasional Pembangunan RSUD M. Zein Painan</t>
  </si>
  <si>
    <t>Persentase drainase kondisi baik</t>
  </si>
  <si>
    <t>Pemeliharaan rutin drainase kota</t>
  </si>
  <si>
    <t>Pembangunan Saluran Drainase/Gorong-gorong</t>
  </si>
  <si>
    <t>Pembangunan Saluran Drainase dan trotoar</t>
  </si>
  <si>
    <t>Perencanaan Pembangunan Saluran Drainase dan trotoar</t>
  </si>
  <si>
    <t>Dokumen perencanaan pembangunan saluran drainase dan trotoar</t>
  </si>
  <si>
    <t>Penyusunan Data Base Drainase</t>
  </si>
  <si>
    <t>Data Base Drainase</t>
  </si>
  <si>
    <t>PROGRAM REHABILITASI / PEMELIHARAAN JALAN DAN JEMBATAN</t>
  </si>
  <si>
    <t>Pemeliharaan Jalan Kabupaten</t>
  </si>
  <si>
    <t>Pemeliharaan Jalan (bln)</t>
  </si>
  <si>
    <t>Pemeliharaan Jembatan Kabupaten</t>
  </si>
  <si>
    <t>Pemeliharaan Jembatan (bln)</t>
  </si>
  <si>
    <t>Rehabilitasi / Peningkatan Jembatan</t>
  </si>
  <si>
    <t>Rehab Jembatan gantung pelangai gadang kenag. Pelangai gadang kec. Ranah Pesisir Kab.Pesisir Selatan ( alokasi dana bantuan keuangan yang bersifat khusus propinsi tahun 2018 )</t>
  </si>
  <si>
    <t xml:space="preserve">Rehab Jembatan </t>
  </si>
  <si>
    <t>Rehab Jembatan gantung sumbaru kenag.pelangai koto nan ampek kec. Ranah Pesisir Kab.Pesisir Selatan ( alokasi dana bantuan keuangan yang bersifat khusus propinsi tahun 2018 )</t>
  </si>
  <si>
    <t>Rehab Jembatan gantung kampung mantayan air haji nagari sungai sirah air haji kec. Linggo sari baganti Kab.Pesisir Selatan ( alokasi dana bantuan keuangan yang bersifat khusus propinsi tahun 2018 )</t>
  </si>
  <si>
    <t>Rehab Peningkatan Jembatan (Sisa Tahun 2017)</t>
  </si>
  <si>
    <t>Pembangunan/Peningkatan Infrastruktur</t>
  </si>
  <si>
    <t>Jumlah Pembangunan / Peningkatan Infrastruktur</t>
  </si>
  <si>
    <t>Perencanaan Pengembangan Infrastruktur</t>
  </si>
  <si>
    <t>Dokumen Perencanaan</t>
  </si>
  <si>
    <t>Pembangunan Infrastruktur kawasan Destinasi wisata</t>
  </si>
  <si>
    <t>Jumlah Pembangunan / Infrastruktur kawasan destinasi wisata</t>
  </si>
  <si>
    <t>Sharing Pembangunan sarana prasarana wisata carocok painan  ( Alokasi dana bantuan keuangan bersifat khusus propinsi tahun 2018 )</t>
  </si>
  <si>
    <t>sarana dan prasarana wisata</t>
  </si>
  <si>
    <t>Pembangunan Infrastruktur Kawasan Destinasi Wisata (Sisa Tahun 2017)</t>
  </si>
  <si>
    <t>Pembangunan Infrastruktur kawasan destinasi wisata</t>
  </si>
  <si>
    <t>Penyusunan Dokumen AMDAL Mesjid Terapung (Sisa Tahun 2017)</t>
  </si>
  <si>
    <t>Dokumen AMDAL</t>
  </si>
  <si>
    <t>Pembangunan Gerbang Kawasan Wisata Mandeh (Sisa Tahun 2017)</t>
  </si>
  <si>
    <t>Pembangunan sarana dan prasarana wisata</t>
  </si>
  <si>
    <t>PROGRAM PEMBANGUNAN INFRASTRUKTUR PERDESAAN</t>
  </si>
  <si>
    <t>Optimalisasi Peningkatan Program Pamsimas (DDUB)</t>
  </si>
  <si>
    <t>Penunjang Kegiatan Pamsimas</t>
  </si>
  <si>
    <t>Peningkatan Akses Sanitasi Sambungan Rumah (SR)</t>
  </si>
  <si>
    <t>Pengembangan Program Hibah Air Minum</t>
  </si>
  <si>
    <t xml:space="preserve">Pembangunan Pamsimas Reguler </t>
  </si>
  <si>
    <t>Penyusunan Data Base Air Minum / Sanitasi</t>
  </si>
  <si>
    <t>Dokumen Database Air Minum / Sanitasi</t>
  </si>
  <si>
    <t>Rehabilitasi SPAM</t>
  </si>
  <si>
    <t>Rehabilitasi SPAM (bln)</t>
  </si>
  <si>
    <t>Pembangunan Kantor KAN Tapan (Sisa Tahun 2017)</t>
  </si>
  <si>
    <t>Pembangunan Kantor</t>
  </si>
  <si>
    <t>PROGRAM MONITORING, EVALUASI DAN PELAPORAN</t>
  </si>
  <si>
    <t>Sinkronisasi Program DAK dan APBN</t>
  </si>
  <si>
    <t>Rencana Program dan Sinkronisasi RPI2JM- CIPTA KARYA</t>
  </si>
  <si>
    <t>Penyusunan Dokumen HSBGN</t>
  </si>
  <si>
    <t xml:space="preserve">PROGRAM PEMELIHARAAN SARANA DAN PRASARANA PERTAMANAN </t>
  </si>
  <si>
    <t>Pemeliharaan dan Operasional Pertamanan</t>
  </si>
  <si>
    <t>Pemeliharaan taman (bln)</t>
  </si>
  <si>
    <t>Pemeliharaan Rutin / Berkala Penerangan Jalan Umum</t>
  </si>
  <si>
    <t>Pemeliharaan rutin/berkala penerangan jalan umum (bln)</t>
  </si>
  <si>
    <t>Jumlah pembangunan gedung pemerintah ( Unit )</t>
  </si>
  <si>
    <t>Rehabilitasi Sedang / Berat Gedung Kantor</t>
  </si>
  <si>
    <t>PROGRAM PEMBANGUNAN DAN PENINGKATAN JALAN DAN JEMBATAN</t>
  </si>
  <si>
    <t>Persentase jalan kondisi mantap ( baik + sedang )</t>
  </si>
  <si>
    <t>Pembangunan Jalan Kabupaten</t>
  </si>
  <si>
    <t>Jumlah ruas jalan yang dibangun</t>
  </si>
  <si>
    <t>Peningkatan Jalan Kabupaten (DAK)</t>
  </si>
  <si>
    <t>Peningkatan Jalan Kabupaten</t>
  </si>
  <si>
    <t>Pembangunan Jembatan Kabupaten</t>
  </si>
  <si>
    <t>Jumlah jembatan yang di bangun</t>
  </si>
  <si>
    <t xml:space="preserve">Perencanaan Pembangunan Jembatan </t>
  </si>
  <si>
    <t xml:space="preserve">Perencanaan Pembangunan dan peningkatan Jalan </t>
  </si>
  <si>
    <t>Jumlah dokumen perencanaan jalan</t>
  </si>
  <si>
    <t>Pembangunan dan Peningkatan Jalan Kecamatan Koto XI Tarusan</t>
  </si>
  <si>
    <t>Pembangunan dan Peningkatan Jalan Kecamatan Bayang</t>
  </si>
  <si>
    <t>Pembangunan dan Peningkatan Jalan Kecamatan Bayang Utara</t>
  </si>
  <si>
    <t>Pembangunan dan Peningkatan Jalan Kecamatan IV Jurai</t>
  </si>
  <si>
    <t>Pembangunan dan Peningkatan Jalan Kecamatan Batang Kapas</t>
  </si>
  <si>
    <t>Pembangunan dan Peningkatan Jalan Kecamatan Sutera</t>
  </si>
  <si>
    <t>Pembangunan dan Peningkatan Jalan Kecamatan Lengayang</t>
  </si>
  <si>
    <t>Pembangunan dan Peningkatan Jalan Kecamatan Ranah Pesisir</t>
  </si>
  <si>
    <t>Pembangunan dan Peningkatan Jalan Kecamatan Linggo Sari Baganti</t>
  </si>
  <si>
    <t>Pembangunan dan Peningkatan Jalan Kecamatan Air Pura</t>
  </si>
  <si>
    <t>Pembangunan dan Peningkatan Jalan Kecamatan Pancung Soal</t>
  </si>
  <si>
    <t>Pembangunan dan Peningkatan Jalan Kecamatan Basa Ampek Balai Tapan</t>
  </si>
  <si>
    <t>Pembangunan dan Peningkatan Jalan Kecamatan Ranah Ampek Hulu Tapan</t>
  </si>
  <si>
    <t>Pembangunan dan Peningkatan Jalan Kecamatan Lunang</t>
  </si>
  <si>
    <t>Penunjang DAK Peningkatan Jalan Kabupaten</t>
  </si>
  <si>
    <t>Penguatan Data Base dan Survey Kondisi ( DAK )</t>
  </si>
  <si>
    <t xml:space="preserve">Penguatan Data Base dan Survey Kondisi </t>
  </si>
  <si>
    <t>Pembangunan Jalan ( TMMD )</t>
  </si>
  <si>
    <t>Pemasangan parit miring ( drainse ) jalan api -api di kenagarian api - api (alokasi dana bantuan keuangan yang bersifat khusus propinsi tahun 2018 )</t>
  </si>
  <si>
    <t xml:space="preserve"> jalan yang di bangun (paket )</t>
  </si>
  <si>
    <t>Pembangunan jalan ambacang kamba kenag. Asam kamba kec. Bayang Kab. Pesisir Selatan  (alokasi dana bantuan keuangan yang bersifat khusus propinsi tahun 2018 )</t>
  </si>
  <si>
    <t>Peningkatan jalan sawah laweh - gurun panjang kec. Bayang Kab. Pesisir Selatan  (alokasi dana bantuan keuangan yang bersifat khusus propinsi tahun 2018 )</t>
  </si>
  <si>
    <t>Peningkatan jalan Persipan SMA 3 kec. Sutera Kab. Pesisir Selatan (alokasi dana bantuan keuangan yang bersifat khusus propinsi tahun 2018 )</t>
  </si>
  <si>
    <t>Pembuatan jalan lingkung di kenagarian Talaok kec. Bayang Kab. Pesisir Selatan (alokasi dana bantuan keuangan yang bersifat khusus propinsi tahun 2018 )</t>
  </si>
  <si>
    <t>Pembuatan jalan lingkung taluak kualo kec. Pancung soal Kab. Pesisir Selatan (alokasi dana bantuan keuangan yang bersifat khusus propinsi tahun 2018 )</t>
  </si>
  <si>
    <t>Pembuatan jalan ruas kapencong nagari kapelgam - nagari koto marapak kec. Bayang Kab. Pesisir Selatan (alokasi dana bantuan keuangan yang bersifat khusus propinsi tahun 2018 )</t>
  </si>
  <si>
    <t>Pembuatan jalan ruas lubuk gambir nagari kapelgam - nagari koto berapak kec. Bayang  Kab. Pesisir Selatan (alokasi dana bantuan keuangan yang bersifat khusus propinsi tahun 2018 )</t>
  </si>
  <si>
    <t>Pembangunan jalan ruas kenag. Barung - barung balantai kenag. Sungai lundang kec. Koto XI Tarusan  Kab. Pesisir Selatan (alokasi dana bantuan keuangan yang bersifat khusus propinsi tahun 2018 )</t>
  </si>
  <si>
    <t>Peningkatan jalan kapujan kec. Bayang  Kab. Pesisir Selatan (alokasi dana bantuan keuangan yang bersifat khusus propinsi tahun 2018 )</t>
  </si>
  <si>
    <t>Pembangunan jalan siguntur kec. Koto XI Tarusan Kab. Pesisir Selatan (alokasi dana bantuan keuangan yang bersifat khusus propinsi tahun 2018 )</t>
  </si>
  <si>
    <t>Pembangunan jalan lambung bukik gunung malelo kec. sutera  Kab. Pesisir Selatan (alokasi dana bantuan keuangan yang bersifat khusus propinsi tahun 2018 )</t>
  </si>
  <si>
    <t>Kelanjutan pengamanan jalan taratak tapatiah limo hantu (alokasi dana bantuan keuangan yang bersifat khusus propinsi tahun 2018 )</t>
  </si>
  <si>
    <t>Peningkatan jalan lingkung sungai sirah kec. Sutera (alokasi dana bantuan keuangan yang bersifat khusus propinsi tahun 2018 )</t>
  </si>
  <si>
    <t>Pembangunan jembatan usaha tani di sungai normalisasi sungai sirah  kec. Batang kapas (alokasi dana bantuan keuangan yang bersifat khusus propinsi tahun 2018 )</t>
  </si>
  <si>
    <t>Pembangunan jembatan usaha tani sungai sirah kenag. Pasa surantih kec. sutera (alokasi dana bantuan keuangan yang bersifat khusus propinsi tahun 2018 )</t>
  </si>
  <si>
    <t>Pembangunan jalan lingkar nagari puluik - puluik kec. Bayang Utara (alokasi dana bantuan keuangan yang bersifat khusus propinsi tahun 2018 )</t>
  </si>
  <si>
    <t>Aspal lapen jalan simpang coklat menuju pale kenag. Koto VII pelangai ranah pesisir Kab. Pesisir Selatan (alokasi dana bantuan keuangan yang bersifat khusus propinsi tahun 2018 )</t>
  </si>
  <si>
    <t>Pembangunan jembatan rawang KM 11  padang laban pasir peelangai kec. Ranah  pesisir Kab. Pesisir Selatan (alokasi dana bantuan keuangan yang bersifat khusus propinsi tahun 2018 )</t>
  </si>
  <si>
    <t>Jembatan yang di bangun (paket )</t>
  </si>
  <si>
    <t>Pembukaan / pengerasan jalan kurao sungai liku menuju koto lamo lakitan tengah kec. Ranah  pesisir Kab. Pesisir Selatan (alokasi dana bantuan keuangan yang bersifat khusus propinsi tahun 2018 )</t>
  </si>
  <si>
    <t>Rabat beton jalan lingkung taratak panas kenag. Pelangai gadang kec. Ranah  pesisir Kab. Pesisir Selatan (alokasi dana bantuan keuangan yang bersifat khusus propinsi tahun 2018 )</t>
  </si>
  <si>
    <t>Aspal lapen jalan ambaan kenag. Nyiur melambai kec. Ranah  pesisir Kab. Pesisir Selatan ( alokasi dana bantuan keuangan yang bersifat khusus propinsi tahun 2018 )</t>
  </si>
  <si>
    <t>Kelanjutan pembangunan jembatan talao nag. Taluk ampalu inderapura kec. Pancung soal Kab. Pesisir Selatan ( alokasi dana bantuan keuangan yang bersifat khusus propinsi tahun 2018 )</t>
  </si>
  <si>
    <t>Pengerasan jalan sungai putih menuju koto kanggo lumpo  nag. Gurun panjang selatan Kab. Pesisir Selatan ( alokasi dana bantuan keuangan yang bersifat khusus propinsi tahun 2018 )</t>
  </si>
  <si>
    <t>Rabat beton jalan pulau siandah karang tangah kenag. Lakitan selatan kec. Lengayang Kab. Pesisir Selatan ( alokasi dana bantuan keuangan yang bersifat khusus propinsi tahun 2018 )</t>
  </si>
  <si>
    <t>PROGRAM PENGENDALIAN DAN PEMANFAATAN RUANG</t>
  </si>
  <si>
    <t>Penyusunan kebijakan pengendalian pemanfaatan ruang (Koordinasi TKPRD)</t>
  </si>
  <si>
    <t>Operasional TKPRD (bln)</t>
  </si>
  <si>
    <t>Operasional Pengendalian dan Pengawasan Ruang</t>
  </si>
  <si>
    <t>Operasional pengendalian dan pengawasan ruang (bln)</t>
  </si>
  <si>
    <t>Rencana Detail Tata Ruang Kota Kambang Kec. Lengayang</t>
  </si>
  <si>
    <t>PROGRAM PENGATURAN JASA KONSTRUKSI</t>
  </si>
  <si>
    <t>PERSENTASE PENGATURAN JASA KONSTRUKSI</t>
  </si>
  <si>
    <t>Pengaturan dan Penyelenggaraan Izin Usaha Jasa Konstruksi</t>
  </si>
  <si>
    <t>Terlaksananya proses rekomendasi IUJK (bln)</t>
  </si>
  <si>
    <t>PROGRAM PEMBANGUNAN SARANA DAN PRASARANA PERIBADATAN</t>
  </si>
  <si>
    <t>Perencanaan Pembangunan Sarana dan Prasarana Ibadah</t>
  </si>
  <si>
    <t>Pembangunan Sarana dan Prasarana Ibadah</t>
  </si>
  <si>
    <t>PROGRAM PENINGKATAN SARANA DAN PRASARANA KEBINAMARGAAN</t>
  </si>
  <si>
    <t>Rehabilitasi/pemeliharaan alat-alat ukur dan bahan laboratorium kebinamargaan</t>
  </si>
  <si>
    <t>Pengadaan Alat ukur dan bahan laboratorium kebinamargaan</t>
  </si>
  <si>
    <t>Operasional laboratorium</t>
  </si>
  <si>
    <t>Pengadaan Alat - alat berat</t>
  </si>
  <si>
    <t>Jumlah Pengadaan Alat - alat berat ( unit )</t>
  </si>
  <si>
    <t>PROGRAM PENGEMBANGAN KINERJA PENGELOLAAN AIR MINUM DAN AIR LIMBAH</t>
  </si>
  <si>
    <t>Pembangunan Infrastruktur Air Minum</t>
  </si>
  <si>
    <t>Jumlah bangunan pengelolaan air minum</t>
  </si>
  <si>
    <t>Pemeliharaan Sarana Prasarana Air Bersih Kab. Pesisir Selatan</t>
  </si>
  <si>
    <t>Penunjang Kegiatan AMPL (Air minum dan penyehatan lingkungan )</t>
  </si>
  <si>
    <t>Pembangunan Infrastruktur Air Minum (DAK Afirmasi)</t>
  </si>
  <si>
    <t>Pembangunan Infrastruktur Air Minum (DAK Reguler)</t>
  </si>
  <si>
    <t>Pembangunan Infrastruktur Air Minum (DAK Penugasan)</t>
  </si>
  <si>
    <t>Penunjang Air Minum (DAK)</t>
  </si>
  <si>
    <t>Pembangunan Prasarana Sanitasi ( DAK Reguler )</t>
  </si>
  <si>
    <t>Pembangunan Prasarana Sanitasi ( DAK Penugasan )</t>
  </si>
  <si>
    <t>Pembangunan Prasarana Sanitasi ( DAK Afirmasi )</t>
  </si>
  <si>
    <t>Penunjang Sanitasi DAK</t>
  </si>
  <si>
    <t>Perencanaan Pembangunan Sanitasi</t>
  </si>
  <si>
    <t>Perbaikan Jalur Pipa Salido Ketek Kec. IV Jurai</t>
  </si>
  <si>
    <t>Pembangunan Sanitasi IPALD Hibah Australia (sAIIG)</t>
  </si>
  <si>
    <t>PROGRAM PENGENDALIAN PENCEMARAN DAN PERUSAKAN LINGKUNGAN HIDUP</t>
  </si>
  <si>
    <t>Operasional IPLT</t>
  </si>
  <si>
    <t>PROGRAM PENGEMBANGAN PARIWISATA</t>
  </si>
  <si>
    <t>Pelaksanaan Promosi Wisata</t>
  </si>
  <si>
    <t>Pemeliharaan pentas dan Tenda pariwisata</t>
  </si>
  <si>
    <t>PENYUSUNAN SISTEM INFORMASI/ DATABASE JALAN DAN JEMBATAN</t>
  </si>
  <si>
    <t>Penyusunan Sistem Informasi/Database Jembatan</t>
  </si>
  <si>
    <t>Database Jembatan</t>
  </si>
  <si>
    <t>PROGRAM PENGEMBANGAN KINERJA PENGELOLAAN PERSAMPAHAN</t>
  </si>
  <si>
    <t>Operasioanal Tempat pembuangan Akhir</t>
  </si>
  <si>
    <t>Operasional Kebersihan dan persampahan</t>
  </si>
  <si>
    <t>Pemeliharaan Rutin dan Operasional Kendaraan Kebersihan</t>
  </si>
  <si>
    <t>Program  Pengembangan Wilayah Strategi S dan Cepat Tumbuh</t>
  </si>
  <si>
    <t>dpa</t>
  </si>
  <si>
    <t>pu</t>
  </si>
  <si>
    <t>selisih</t>
  </si>
  <si>
    <t>psa</t>
  </si>
  <si>
    <t>selisih kurang</t>
  </si>
  <si>
    <t>Program Pelayanan Administrasi perkantoran</t>
  </si>
  <si>
    <t>terlaksananya Pelayanan Administrasi perkantoran (bln)</t>
  </si>
  <si>
    <t>Rek. Listrik, Telp, air untk (bln)</t>
  </si>
  <si>
    <t>Penatausahaan Keuangan bln)</t>
  </si>
  <si>
    <t>tersedianya kebersihan kantor (bln)</t>
  </si>
  <si>
    <t>Penyediaan jasa perbaikan peralatan kerja</t>
  </si>
  <si>
    <t>tersediannya jasa service peralatan (bln)</t>
  </si>
  <si>
    <t>tersedianya alat tulis kantor (bln)</t>
  </si>
  <si>
    <t>tersedianya barang cetakan dan pengadaan (bln)</t>
  </si>
  <si>
    <t>tersedianya alat listrik dan elektronik (bln)</t>
  </si>
  <si>
    <t>tersedia surat kabar untuk (bln)</t>
  </si>
  <si>
    <t>makanan dan minuman harian, rapat, tamu  (bln)</t>
  </si>
  <si>
    <t>perjalanan dinas luar daerah ( bln)</t>
  </si>
  <si>
    <t>Penyediaan Jasa Pengamanan Kantor</t>
  </si>
  <si>
    <t>Honorarium, makan petugas piket (bln)</t>
  </si>
  <si>
    <t>perjalanan dinas dalam daerah  (bln)</t>
  </si>
  <si>
    <t>Program Peningkatan Sarana dan Prasarana Aparatur</t>
  </si>
  <si>
    <t>Tersedianya sarana dan prasarana aparatur (bln)</t>
  </si>
  <si>
    <t>Tersedianya peralatan kantor yang layak (bln)</t>
  </si>
  <si>
    <t>Pengadaan Kendaraan dinas/operasional</t>
  </si>
  <si>
    <t>Pemeliharaan rutin/ berkala gedung kantor</t>
  </si>
  <si>
    <t>Pemeliharaan rutin/ berkala kendaraan dinas operasional</t>
  </si>
  <si>
    <t>Program Peningkatan Disiplin Paratur</t>
  </si>
  <si>
    <t>Persentase SDM yang disiplin</t>
  </si>
  <si>
    <t>Pengadaan Pakaian Dinas Beseta Perlengkapan</t>
  </si>
  <si>
    <t>Program Peningkatan Kapasitas Sumber Daya Aparatur</t>
  </si>
  <si>
    <t>Penertiban Pelanggaran Hukum Terhadap Ketentuan Pelanggaran Perda</t>
  </si>
  <si>
    <t xml:space="preserve">Tersedianya biaya penyelesaian kasus </t>
  </si>
  <si>
    <t>Pelatihan Kesapmataan dan Bela diri</t>
  </si>
  <si>
    <t>Sosialisasi Pencegahan Kebakaran</t>
  </si>
  <si>
    <t>Program Peningkatan dan kenyamanan lingkungan</t>
  </si>
  <si>
    <t>Pengendalian Ketentraman dan Ketertiban umum</t>
  </si>
  <si>
    <t xml:space="preserve">Program Pemeliharaan Kantrantibmas dan Pencegahan Tindak Kriminal </t>
  </si>
  <si>
    <t>Forum Penegak Perda</t>
  </si>
  <si>
    <t>Operasional Pengamanan ivent-ivent tertentu</t>
  </si>
  <si>
    <t>Operasional PAM Balimau Paga</t>
  </si>
  <si>
    <t>Terlaksanaya pengamanan  Balimau Paga (keg)</t>
  </si>
  <si>
    <t xml:space="preserve">Operasional Pengamanan Festival Langkisau </t>
  </si>
  <si>
    <t>Terlaksanaya pengamanan  festival langkisau (keg)</t>
  </si>
  <si>
    <t>Operasional Pengamanan Tour The Singkarak</t>
  </si>
  <si>
    <t>Terlaksanaya pengamanan   TDS (keg)</t>
  </si>
  <si>
    <t>Operasional PAM Lebaran</t>
  </si>
  <si>
    <t>Terlaksanaya pengamanan  lebaran (keg)</t>
  </si>
  <si>
    <t>Program Penanganan Tanggap Darurat</t>
  </si>
  <si>
    <t>Operasional Pemadam Kebakaran</t>
  </si>
  <si>
    <t>Program Pelayanan Administrasi Perkantoran</t>
  </si>
  <si>
    <t>Terlaksananya Administrasi Perkantoran</t>
  </si>
  <si>
    <t>Terpenuhinya kebutuhan terhadap telepon, air dan listrik (bln)</t>
  </si>
  <si>
    <t>Terpenuhinya jasa administrasi dan laporan keuangan (bln)</t>
  </si>
  <si>
    <t>Terpenuhnya biaya kebersihan kantor, penjaga kantor, petugas kebersihan, pramu kantor dan sopir (bln)</t>
  </si>
  <si>
    <t>Terpenuhinya operasional administrasi kantor (bln)</t>
  </si>
  <si>
    <t>Terpenuhinya kebutuhan penggandaan dan percetakan kantor (bln)</t>
  </si>
  <si>
    <t>Terpenuhinya kebutuhan penerangan kantor (bln)</t>
  </si>
  <si>
    <t>Terpenuhinya kebutuhan terhadap informasi (bln)</t>
  </si>
  <si>
    <t>Terpenuhinya kebutuhan makan dan minum rapat, tamu (bln)</t>
  </si>
  <si>
    <t>Terlaksananya rapat-rapat dalam provinsi dan luar provinsi (bln)</t>
  </si>
  <si>
    <t>Rapat-rapat Koordinasi dan  Konsultasi Dalam Daerah</t>
  </si>
  <si>
    <t>Terlaksananya rapat-rapat dalam daerah (bln)</t>
  </si>
  <si>
    <t>Terpenuhinya Sarana dan Prasarana Kantor (bln)</t>
  </si>
  <si>
    <t>Terenuhinya kebutuhan peralatan kantor (bln)</t>
  </si>
  <si>
    <t>Terpenuhinya kebutuhan meubiler kantor (bln)</t>
  </si>
  <si>
    <t>Pemeliharaan rutin/berkala gedung kantor</t>
  </si>
  <si>
    <t>Pemeliharaan rutin/berkala kendaraan dinas/operasional</t>
  </si>
  <si>
    <t>Tersedianya kendaraan dinas (bln)</t>
  </si>
  <si>
    <t>Terpeliharanya Peralatan Gedung Kantor (bln)</t>
  </si>
  <si>
    <t>Pelaksanaan Festifal Langkisau</t>
  </si>
  <si>
    <t>Keikutsertaan pada festival Langkisau (kegiatan)</t>
  </si>
  <si>
    <t>Program Pelayanan dan Rehabilitasi Kesejahteraan Sosial</t>
  </si>
  <si>
    <t>Terpenuhinya operasional penanganan bencana (bln)</t>
  </si>
  <si>
    <t>Monitoring, Evaluasi dan Kebijakan Perberasan (RASKIN)</t>
  </si>
  <si>
    <t>Laporan triwulan Hasil monev beras Raskin (dok)</t>
  </si>
  <si>
    <t>Pendampingan Bantuan KUBE Fakir Miskin</t>
  </si>
  <si>
    <t>Jumlah KUBE Fakir Miskin yang dibina</t>
  </si>
  <si>
    <t>Penunjang Operasional Program Keluarga Harapan (PKH)</t>
  </si>
  <si>
    <t>Pelayanan orang terlantar diperjalanan</t>
  </si>
  <si>
    <t>Verifikasi dan Validasi Data Penerima Bantuan Iuran APBD</t>
  </si>
  <si>
    <t>Laporan Validasi data PBI APBD (dok)</t>
  </si>
  <si>
    <t>Pengembangan SLRT Kabupaten Pesisir Selatan</t>
  </si>
  <si>
    <t>Verifikasi dan Validasi Basis Data Terpadu</t>
  </si>
  <si>
    <t>Bimbingan Sosial dan Pendampingan Jaminan Sosial Penyandang Cacat Berat</t>
  </si>
  <si>
    <t>Jumlah penyandang cacat yang diberi bantuan (org)</t>
  </si>
  <si>
    <t>Penyediaan Bahan Sembako Anak  Dalam Panti</t>
  </si>
  <si>
    <t>Jumlah anak panti yang dibantu sembako (org)</t>
  </si>
  <si>
    <t>Program Pemberdayaan Kelembagaan Kesejahteraan Sosial</t>
  </si>
  <si>
    <t>Sarasehan Penanaman Nilai-nilai Kepahlawanan bagi Generasi Muda</t>
  </si>
  <si>
    <t>Jumlah pemuda yang mengikuti pelatihan (org)</t>
  </si>
  <si>
    <t>Pelaksanaan Festival Langkisau</t>
  </si>
  <si>
    <t>URUSAN PEMBERDAYAAN PEREMPUAN DAN PERLINDUNGAN ANAK</t>
  </si>
  <si>
    <t>Program Penguatan dan Pembangunan Kelembagaan beserta Jaringanya dan Penyusunan Regulasi Daerah</t>
  </si>
  <si>
    <t>Pengembangan Fasilitasi Forum Anak Daerah</t>
  </si>
  <si>
    <t>Jumkah kecamtan yang tersentuuh perlindungan</t>
  </si>
  <si>
    <t>Pembinaan Kelembagaan PUG dan Perlindungan Anak</t>
  </si>
  <si>
    <t>Penyususnan Anggaran Responsif Gender</t>
  </si>
  <si>
    <t>Jumlah OPD yang menerapkan anggaran responsif gender</t>
  </si>
  <si>
    <t>Penguatan kelembagaan pengarusutamaan gender dan anak</t>
  </si>
  <si>
    <t>Fasilitasi Pengembangan Pusat Pelayanan Terpadu Pemberdayaan Perempuan (P2TP2A)</t>
  </si>
  <si>
    <t>Pengembangan Sistem Informasi Gender dan Anak</t>
  </si>
  <si>
    <t>Buku profil Gender (dok)</t>
  </si>
  <si>
    <t>Jumlah Nagari yang mendapat program perlindungan anak</t>
  </si>
  <si>
    <t xml:space="preserve">Pembinaan Nagari Layak Anak </t>
  </si>
  <si>
    <t>sosial</t>
  </si>
  <si>
    <t>Perlindungan anak</t>
  </si>
  <si>
    <t>total</t>
  </si>
  <si>
    <t>Pemberdayaan Kelembagaan GOW  Kabupaten</t>
  </si>
  <si>
    <t>Pemberdayaan Kelembagaan BKMT Kabupaten</t>
  </si>
  <si>
    <t>Pemberdayaan Kelembagaan  Dharmawanita Persatuan Kabupaten</t>
  </si>
  <si>
    <t>Penyerbaluasasn Informasi Pembangunan</t>
  </si>
  <si>
    <t>Penggadaan Kendaraan Dinas/Operasional</t>
  </si>
  <si>
    <t>Pembentukan kampung Siaga Bencana</t>
  </si>
  <si>
    <t>Terlaksananya pembayaran rekening listrik, air, telpon dan faks(bulan)</t>
  </si>
  <si>
    <t>Terlaksananya pembayaran honor dan operasional pengelola keuangan (bulan)</t>
  </si>
  <si>
    <t>Tersedianya barang cetakan dan penggandaan (bulan)</t>
  </si>
  <si>
    <t>Tersedianya komponen instalasi listrik dan penerangan (bulan)</t>
  </si>
  <si>
    <t>Tersedianya jasa kebersihan dan bahan kebersihan kantor (bulan)</t>
  </si>
  <si>
    <t>Tersedianya  Bahan Bacaan dan Peraturan Perundang-undangan (bulan)</t>
  </si>
  <si>
    <t>Tersedianya  Makanan dan Minuman (bulan)</t>
  </si>
  <si>
    <t>Tersedianya dana untuk Rapat-rapat Koordinasi dan Konsultasi ke Luar Daerah (bulan)</t>
  </si>
  <si>
    <t>Tersedianya dana untuk Rapat-rapat Koordinasi dan Konsultasi Dalam Daerah (bulan)</t>
  </si>
  <si>
    <t>Tersedianya jasa pengamanan kantor</t>
  </si>
  <si>
    <t>Meningkatnya kecukupan sarana dan prasarana aparatur (persentase)</t>
  </si>
  <si>
    <t>Terpeliharanya peralatan kantor (bulan)</t>
  </si>
  <si>
    <t>Pemeliharaan Rutin/Berkala Kendaraan Dinas/ Operasional</t>
  </si>
  <si>
    <t xml:space="preserve">Tersedianya Pemeliharaan Rutin/Berkala Kendaraan Dinas/Operasional (bulan) </t>
  </si>
  <si>
    <t>Pemeliharaan Rutin/Berkala Perlengkapan Gedung Kantor</t>
  </si>
  <si>
    <t>Terpeliharanya perlengkapan kantor  (bulan)</t>
  </si>
  <si>
    <t>Program Peningkatan Ketahanan Pangan (Pertanian/ Perkebunan)</t>
  </si>
  <si>
    <t xml:space="preserve">Ketersediaan Energi (kkal/kapita/hari) </t>
  </si>
  <si>
    <t xml:space="preserve"> Protein (gram/kapita/hari)</t>
  </si>
  <si>
    <t>Penanganan Daerah Rawan Pangan</t>
  </si>
  <si>
    <t>Terlaksananya penanganan kasus pada daerah rawan pangan (kk)</t>
  </si>
  <si>
    <t>Pengembangan Desa Mandiri Pangan</t>
  </si>
  <si>
    <t>Pembangunan Lumbung Pangan (DAK dan Pendamping)</t>
  </si>
  <si>
    <t>Penguatan Kelembagaan Cadangan Pangan Masyarakat</t>
  </si>
  <si>
    <t>Jumlah kelompok lumbung pangan yang aktif  (kelompok)</t>
  </si>
  <si>
    <t>45</t>
  </si>
  <si>
    <t>Pemantauan Produksi Pangan, Jaringan Distribusi, Pasokan Pangan dan HBKN</t>
  </si>
  <si>
    <t>Tersedianya informasi produksi pangan, jaringan distribusi, pasokan pangan, dan HBKN di 15 Kecamatan (bulan)</t>
  </si>
  <si>
    <t>46</t>
  </si>
  <si>
    <t>Penguatan Cadangan Pangan Pemerintah Kabupaten</t>
  </si>
  <si>
    <t>Pengembangan Penguatan Lembaga Distribusi Pangan Masyarakat (P-LDPM)</t>
  </si>
  <si>
    <t>Jumlah LDPM  yang aktif (kelompok)</t>
  </si>
  <si>
    <t>Pengembangan Kawasan Mandiri Pangan</t>
  </si>
  <si>
    <t>Terbentuknya kawasan mandiri pangan (nagari)</t>
  </si>
  <si>
    <t>Penyusunan Data Base Ketahanan Pangan</t>
  </si>
  <si>
    <t>64</t>
  </si>
  <si>
    <t>Pengembangan Usaha Pangan Masyarakat/TTI</t>
  </si>
  <si>
    <t>Terlaksananya pembinaan TTI yang sudah terbentuk (kelompok)</t>
  </si>
  <si>
    <t>Analisis Ketersediaan Pangan Berdasarkan Analisa Neraca Bahan Makanan (NBM)</t>
  </si>
  <si>
    <t>Jumlah dokumen analisis ketersediaan pangan (dokumen)</t>
  </si>
  <si>
    <t>69</t>
  </si>
  <si>
    <t>Pengembangan Sistem Kewaspadaan Pangan dan Gizi (SKPG)</t>
  </si>
  <si>
    <t>Tersedianya laporan kewaspadaan pangan (bulan)</t>
  </si>
  <si>
    <t>70</t>
  </si>
  <si>
    <t>Penunjang DAK Ketahanan Pangan</t>
  </si>
  <si>
    <t xml:space="preserve">Tersedianya anggaran penunjang DAK </t>
  </si>
  <si>
    <t>4.</t>
  </si>
  <si>
    <t>Program Peningkatan diversifikasi dan ketahanan pangan masyarakat</t>
  </si>
  <si>
    <t>Peningkatan dan Pengembangan Promosi Penganekaragaman Konsumsi Pangan</t>
  </si>
  <si>
    <t>Percepatan Penganekaragaman Konsumsi Pangan</t>
  </si>
  <si>
    <t>Jumlah KRPL yang dibina dan dokumen identifikasi Calon Lokasi KRPL (kelompok)</t>
  </si>
  <si>
    <t xml:space="preserve">Peningkatan Penanganan Keamanan Pangan Tingkat Produsen dan Konsumen </t>
  </si>
  <si>
    <t>Jumlah sosialisasi keamanan pangan yang dilaksanakan (kali)</t>
  </si>
  <si>
    <t>Penyusunan Pola Pangan Harapan</t>
  </si>
  <si>
    <t>Tersedianya dokumen analisis pola pangan harapan (dokumen)</t>
  </si>
  <si>
    <t xml:space="preserve">Perumusan Kebijakan Ketahanan Pangan melalui Dewan Ketahanan Pangan </t>
  </si>
  <si>
    <t xml:space="preserve">Tekhnologi Pengolahan Pangan Lokal </t>
  </si>
  <si>
    <t>Model Percontohan Keamanan Pangan (nagari)</t>
  </si>
  <si>
    <t>Gerakan Konsumsi B2SA (Beragam, Bergizi, Seimbang, dan Aman)</t>
  </si>
  <si>
    <t>Jumlah lomba cipta menu B2SA (kali)</t>
  </si>
  <si>
    <t>Pengawasan Keamanan dan Mutu Pangan</t>
  </si>
  <si>
    <t>Penyusunan Ranperda Ketahanan Pangan</t>
  </si>
  <si>
    <t>URUSAN LINGKUNGAN HIDUP</t>
  </si>
  <si>
    <t>Penyusunan Rencana Strategis SKPD</t>
  </si>
  <si>
    <t>Penunjang operasional perencanaan dan pelaporan</t>
  </si>
  <si>
    <t>Pengadaan perlengkapan gedung kantor</t>
  </si>
  <si>
    <t>Pengadaan Kendraan Dinas/Operasional</t>
  </si>
  <si>
    <t>Program Peningkatan Kapasitas Sumber Daya Aparatur</t>
  </si>
  <si>
    <t>Meningkatnya Kapasitas Sumber Daya Aparatur (%)</t>
  </si>
  <si>
    <t>Jenis Laporan Yang Disampaikan (doumen)</t>
  </si>
  <si>
    <t>Program Peningkatan Pengembangan Sistem Pelaporan Capaian Kinerja dan Keuangan</t>
  </si>
  <si>
    <t>Meningkatnya kualitas pelaporan Perangkat daerah (%)</t>
  </si>
  <si>
    <t>Penyusunan laporan capaian kinerja dan ikhtisar realisasi kinerja SKPD</t>
  </si>
  <si>
    <t>Monitoring dan Evaluasi Kegiatan</t>
  </si>
  <si>
    <t>Program Pengembangan Kinerja Pengelolaan Persampahan</t>
  </si>
  <si>
    <t>Meningkatkan Kualitas air, kualitas udara dan kualitas tanah di bawah baku mutu</t>
  </si>
  <si>
    <t>Penyusunan Laporan Periodik Volume Sampah</t>
  </si>
  <si>
    <t>Sosislisasi dan Pembinaan Pengelolaan Persampahan</t>
  </si>
  <si>
    <t>Pengawasan pelaksanaan kebijakan bidang lingkungan hidup</t>
  </si>
  <si>
    <t>Jumlah laporan hasil pengawasan</t>
  </si>
  <si>
    <t>Pembuatan Standar Pelayanan Minimum (SPM) Lingkungan Hidup</t>
  </si>
  <si>
    <t>Pengelolaan B3 dan Limbah B3</t>
  </si>
  <si>
    <t>Peringatan Hari Lingkungan Hidup Sedunia di Kabupaten Pesisir Selatan</t>
  </si>
  <si>
    <t>Penunjang Operasional Laboratorium</t>
  </si>
  <si>
    <t>Koordinasi Gerakan Sumatera Barat Bersih (GSB)</t>
  </si>
  <si>
    <t>Jumlah gerakan terpadu yang dikoordinasikan</t>
  </si>
  <si>
    <t>Pembinaan Pelaksanaan PROKLIM dan KALPATARU</t>
  </si>
  <si>
    <t>Jumlah Calon Yang Masuk Seleksi Nasional</t>
  </si>
  <si>
    <t>Program Peningkatan Kualitas dan akses Informasi SDA dan Lingkungan</t>
  </si>
  <si>
    <t>Pembuatan Buku Laporan Status Lingkungan Hidup Daerah (SLHD)</t>
  </si>
  <si>
    <t>Pembahasan Dokumen AMDAL dan UKL-UPL</t>
  </si>
  <si>
    <t>Tindak Lanjut Pengaduan Masyarakat di Bidang Lingkungan Hidup</t>
  </si>
  <si>
    <t>37</t>
  </si>
  <si>
    <t>Penyusunan Dokumen KLHS</t>
  </si>
  <si>
    <t>49</t>
  </si>
  <si>
    <t>Inventarisasi Kegiatan yang belum memiliki izin lingkungan</t>
  </si>
  <si>
    <t>Sosialisasi Peraturan dan Perundang-undangan Lingkungan Hidup</t>
  </si>
  <si>
    <t>Program Peningkatan Pengendalian Polusi</t>
  </si>
  <si>
    <t>Pemantauan Kualitas Media Skala Kabupaten</t>
  </si>
  <si>
    <t>Jumlah laporan hasil pemantauan</t>
  </si>
  <si>
    <t>Pembangunan Tempat Pembuangan benda padat/cair yang menimbulkan polusi (DAK)</t>
  </si>
  <si>
    <t>Program Pengendalian Kebakaran</t>
  </si>
  <si>
    <t>Penyadartahuan dan Pencegahan kebakaran Hutan dan Lahan (Sisa DBH DR Tahun 2009-2016)</t>
  </si>
  <si>
    <t>Program Pelestarian Keanekaragaman Hayati Daerah Kab.Pesisir Selatan</t>
  </si>
  <si>
    <t>Meningkatnya luasan tutupan lahan terbuka (persen)</t>
  </si>
  <si>
    <t>Penyusunan Profil keaneragaman hayati</t>
  </si>
  <si>
    <t>Jumlah dokumen kehayati</t>
  </si>
  <si>
    <t>pemenuhan layanan administrasi perkantoran (bln)</t>
  </si>
  <si>
    <t>Penyedian Jasa Komunikasi, Sumber Daya Air dan  Listrik</t>
  </si>
  <si>
    <t>telpon, air, listrik (12 Bulan)</t>
  </si>
  <si>
    <t>Penyedian Jasa Pemeliharaan dan Perizinan Kendaraan Dinas/Operasional</t>
  </si>
  <si>
    <t>Honorariun Non PNS</t>
  </si>
  <si>
    <t>Roda 4 sebanyak 6 Unit</t>
  </si>
  <si>
    <t>Pajak  2 sebanyak 70 Unit</t>
  </si>
  <si>
    <t>Penyedian Jasa Administrasi keuangan</t>
  </si>
  <si>
    <t>Honor penunjang kelancaran administrasi perkantoran(12 Bulan)</t>
  </si>
  <si>
    <t>Penyedian jasa kebersihan Kantor</t>
  </si>
  <si>
    <t>biaya kebersihan Kantor</t>
  </si>
  <si>
    <t>Perbaikan Genset</t>
  </si>
  <si>
    <t>Perbaikan Laptop</t>
  </si>
  <si>
    <t>Perbaikan AC, Sound System dan Mesin Tik</t>
  </si>
  <si>
    <t>Penyedian alat tulis kantor</t>
  </si>
  <si>
    <t>ATK Klantor</t>
  </si>
  <si>
    <t>Penyedian Barang cetak dan pengandaan</t>
  </si>
  <si>
    <t xml:space="preserve">Cetak dan penggandaan </t>
  </si>
  <si>
    <t>Penyedian kompopnen intalasi listrik/penerangan Bangunan Kantor</t>
  </si>
  <si>
    <t>alat alat elektronik kantor</t>
  </si>
  <si>
    <t>Penyedian peralatan dan perlengkapan kantor</t>
  </si>
  <si>
    <t>alat perlengkapan kantor</t>
  </si>
  <si>
    <t>lemari arsip</t>
  </si>
  <si>
    <t>Penyedian Bahan bacaan dan Peraturan Perundang undangan</t>
  </si>
  <si>
    <t>Koran 3 terbitan</t>
  </si>
  <si>
    <t>Penyedian makan dan minum</t>
  </si>
  <si>
    <t>makan minum tamu</t>
  </si>
  <si>
    <t>makan minum rapat</t>
  </si>
  <si>
    <t>Rapat rapat koordinasi dan konsultasi keluar daerah</t>
  </si>
  <si>
    <t>Rapat Koordinasi dalam propionsi</t>
  </si>
  <si>
    <t>Rapat Kooerdinasi Luar Propinsi</t>
  </si>
  <si>
    <t>Rapat rapat koordinasi dan konsultasi Dalam daerah</t>
  </si>
  <si>
    <t>Rapat koordinasi dalam daerah</t>
  </si>
  <si>
    <t>Program Peningkatan Sara dan Prasarana Aparatur</t>
  </si>
  <si>
    <t>Pemenuhan layanan sarpras bagi aparatur (bln)</t>
  </si>
  <si>
    <t>Pemeliharaan Rutin/Berkala gedung dan kantor</t>
  </si>
  <si>
    <t>ganti pintu mushola</t>
  </si>
  <si>
    <t>Ganti Pagar</t>
  </si>
  <si>
    <t>DED Gedung Kantor</t>
  </si>
  <si>
    <t>Cor Halaman Kantor</t>
  </si>
  <si>
    <t>Program Peningkatan Keberdayaan Masyarakat Perdesaan</t>
  </si>
  <si>
    <t>Pencanangan dan Penilaian Bulan Bhakti Gotong royong Masyarakat (BBGRM) Tingjkat Kabupaten</t>
  </si>
  <si>
    <t>1 kali pencanangan BBGRM TK. Kab. Pessel</t>
  </si>
  <si>
    <t>Mobnev Pelaksanaan BBGRM Kecamatan</t>
  </si>
  <si>
    <t>Pembinaan Nagari Berprestasi Tingkat Kabupaten</t>
  </si>
  <si>
    <t>Nagari Berprestasi</t>
  </si>
  <si>
    <t>Program Pengembangan Lembaga Ekonomi Perdesaan/ Nagari</t>
  </si>
  <si>
    <t>Pembinaan dan Pelatihan Bumnag dan Lembaga Ekonomi Masyarakat Nagari</t>
  </si>
  <si>
    <t>Rakor Bumnag</t>
  </si>
  <si>
    <t>Pembinaan Bumnag</t>
  </si>
  <si>
    <t>Pembentukan dan Pembinaan Posyantek dan Gelar TTG</t>
  </si>
  <si>
    <t>Posyantek</t>
  </si>
  <si>
    <t>Program Peningkatan Partisipasi Masyarakat Dalam Membangun Desa/Nagari</t>
  </si>
  <si>
    <t>Persentase Kesesuaian Dokumen Perencanaan Nagari (%)</t>
  </si>
  <si>
    <t>Pendampingan Pelaksanaan TMND</t>
  </si>
  <si>
    <t>TMMN/TMMD</t>
  </si>
  <si>
    <t>Program Pemberdayaan Lembaga Pemerintahan Desa/ Nagari</t>
  </si>
  <si>
    <t>Persentase nagari yang dibina (%)</t>
  </si>
  <si>
    <t>Fasilitasi Pemekaran, Penilaian Bamus Nagari dan Wali Nagari</t>
  </si>
  <si>
    <t>Pemilihan 105 Nagari</t>
  </si>
  <si>
    <t>Pemilihan Bamus dan PAW Bamus</t>
  </si>
  <si>
    <t>Pembinaan Keuangan Pemerintahan Nagari</t>
  </si>
  <si>
    <t>monev Keuangan Nagari</t>
  </si>
  <si>
    <t>Penyusnan Ranperda dan peraturan Bupati Pesisir Selatan Tentang Pemerintahan Nagari</t>
  </si>
  <si>
    <t>2 Rancangan Perda</t>
  </si>
  <si>
    <t>4 Perbub</t>
  </si>
  <si>
    <t>Penyelesaian Konflik Pemerintahan Nagari</t>
  </si>
  <si>
    <t>Jumlah konflik yang ditangani</t>
  </si>
  <si>
    <t>Pelatihan Aparatur Dalam Bidang Manajemen Pemerintahan Nagari</t>
  </si>
  <si>
    <t>Pelatihan Siskeudes (X orang)</t>
  </si>
  <si>
    <t>Pemuthakhiran Data Profil dan Data IDM Nagari</t>
  </si>
  <si>
    <t>182 data IDM</t>
  </si>
  <si>
    <t>Fasilitasi Pembinaan RPJM dan RKP Nagari</t>
  </si>
  <si>
    <t>182 Nagari</t>
  </si>
  <si>
    <t>Pemberdayaan Lembaga Sosial dan Ekonomi Masyarakat/ Nagari</t>
  </si>
  <si>
    <t>persentase LPM yang aktif membina kelompok</t>
  </si>
  <si>
    <t>Pembinaan Administrasi Program Pembangunan Desa dan Pemberdayaan Masyaerakat Desa/Nagari (P3MD)</t>
  </si>
  <si>
    <t>Pelatihan Pembinaan Lembaga Masyarakat Nagari (LPMN)</t>
  </si>
  <si>
    <t>Rapat 1 kali</t>
  </si>
  <si>
    <t>Pelatihan 3 Kali</t>
  </si>
  <si>
    <t>Fasilitasi dan Monev KKN</t>
  </si>
  <si>
    <t>Pembinaan Mahasiswa KKN (jumlah Perguruan Tinggi)</t>
  </si>
  <si>
    <t>Pemberdayaan Kelembagaan Tim Penggerak PKK Kabupaten</t>
  </si>
  <si>
    <t>Orientasi  PKK</t>
  </si>
  <si>
    <t>Jambore PKK</t>
  </si>
  <si>
    <t>HKG PKK</t>
  </si>
  <si>
    <t>Lomba Dasa wisma</t>
  </si>
  <si>
    <t>Pembinaan PKK Kec</t>
  </si>
  <si>
    <t>Lomba Posyandu</t>
  </si>
  <si>
    <t>Pemberdayaan Keberlanjutan Badan Pengelolah Sarana Prasarana Air Minum dan Sanitasi Nagari (BP-SPAMS)</t>
  </si>
  <si>
    <t>Rakor BP-SPAM</t>
  </si>
  <si>
    <t>Monev 105 BP-SPAMS</t>
  </si>
  <si>
    <t>Pemberdayaan Kelembagaan Posyandu Integrasi</t>
  </si>
  <si>
    <t>Pelatihan Posyandu Integrasi</t>
  </si>
  <si>
    <t>Lomba Posyandu integrasi</t>
  </si>
  <si>
    <t>Memasyarakatkan Olah Raga diDesa/.Nagari</t>
  </si>
  <si>
    <t>Lomba Tingkat Kec</t>
  </si>
  <si>
    <t>Lomba Tongkat Kab</t>
  </si>
  <si>
    <t>Pembinaan Lembaga Adat dan sosial Budaya</t>
  </si>
  <si>
    <t>Pembinaan KAN</t>
  </si>
  <si>
    <t>Sosialisasi Nagari Adat</t>
  </si>
  <si>
    <t>Program Pengembangan Kawasan Perdesaan</t>
  </si>
  <si>
    <t>persentase kawasan pedesaan yang dikembangkan (%)</t>
  </si>
  <si>
    <t>Pembinaan Badan Kerjasama Antar Nagari</t>
  </si>
  <si>
    <t>Pelatihan UPK</t>
  </si>
  <si>
    <t>Rakor</t>
  </si>
  <si>
    <t>Pembinaan Potensi Kawasan Perdesaan /Nagari</t>
  </si>
  <si>
    <t>Monev 3 Kawasan</t>
  </si>
  <si>
    <t>Pembentukan 4 kawasan baru</t>
  </si>
  <si>
    <t>URUSAN PENGENDALIAN PENDUDUK DAN KELUARGA BERENCANA</t>
  </si>
  <si>
    <t>Peningkatan Sarana dan Prasarana Pelayanan Keluarga Berencana</t>
  </si>
  <si>
    <t>Persentase klinik yang terpenuhi sarprasnya</t>
  </si>
  <si>
    <t>Pengadaan Sarana dan Prasarana Pelayanan Keluarga Berencana (DAK Fisik KB)</t>
  </si>
  <si>
    <t>BKL KIT</t>
  </si>
  <si>
    <t>Pengadaan Sarana dan Prasarana Pelayanan Keluarga Berencana (Penunjang DAK Fisik KB)</t>
  </si>
  <si>
    <t>Operasional  Balai Penyuluh  Keluarga Berencana ( DAK Non Fisik KB)</t>
  </si>
  <si>
    <t>beroperasinya balai penyuluh (bln)</t>
  </si>
  <si>
    <t>Operasinal Pendistribusian Alat Kontrasepsi (DAK NON Fisisk)</t>
  </si>
  <si>
    <t>Operasional Penggerakan Kampung KB (DAK Non Fisik)</t>
  </si>
  <si>
    <t>Pembinaan Kampung KB</t>
  </si>
  <si>
    <t>Penyedian Media Komunikasi, Informasi dan Edukasi (KIE) Keluarga Berencana (DAK Non Fisik)</t>
  </si>
  <si>
    <t>Bilbooard</t>
  </si>
  <si>
    <t>Roul Up Bliner</t>
  </si>
  <si>
    <t>Operasional Pembinaan Kader Keluarga Berencana (DAK Non Fisik)</t>
  </si>
  <si>
    <t>BKB KIT</t>
  </si>
  <si>
    <t>Program Penguatan Kelembagaan</t>
  </si>
  <si>
    <t>persentase kelembagaan KB yang  telah ada (%)</t>
  </si>
  <si>
    <t>Membangun jaringan Kemitraan dengan institusi peduli kependudukan keluarga berencana dan pembangunan keluarga</t>
  </si>
  <si>
    <t>Pemilihan KB Lestari</t>
  </si>
  <si>
    <t>Pemilihsn Keluarga Harmonis</t>
  </si>
  <si>
    <t>Jambore Saka Kencana</t>
  </si>
  <si>
    <t>Perbaikan alat alat kerja kantor</t>
  </si>
  <si>
    <t>Pemilihan Duta Gendre</t>
  </si>
  <si>
    <t>Pemilihan Duta Gender Kabupaten</t>
  </si>
  <si>
    <t>Pemilihan Duta Gender TK Propinsi</t>
  </si>
  <si>
    <t>Program Pelayanan Keluarga Berencana</t>
  </si>
  <si>
    <t>Persentase KB Wanita</t>
  </si>
  <si>
    <t>Bhakti KB Kes IBI/IDI/TNI/Bahangkara/PKK dan Jambore</t>
  </si>
  <si>
    <t>IUD</t>
  </si>
  <si>
    <t>MOW</t>
  </si>
  <si>
    <t>MOP</t>
  </si>
  <si>
    <t>Pencan Bhakti IBI KB</t>
  </si>
  <si>
    <t>Pencan Bhakti TNI KB Kes</t>
  </si>
  <si>
    <t>Pencan Bhakti PKK KB Kes</t>
  </si>
  <si>
    <t>Program Kesehatan Reproduksi Remaja</t>
  </si>
  <si>
    <t>Penyuluhan Kesehatan reproduksi remaja</t>
  </si>
  <si>
    <t>Program Kerjasama Informasi dan Media Masa</t>
  </si>
  <si>
    <t>Publikasi dan Promosi Daerah</t>
  </si>
  <si>
    <t>Publikasi Daerah dan pestifal langkisau</t>
  </si>
  <si>
    <t>bpm</t>
  </si>
  <si>
    <t>Fasilitasi Penetapan dan Penegasan BatasNagari</t>
  </si>
  <si>
    <t xml:space="preserve">Jumlah Kecamatan yang difasilitasi </t>
  </si>
  <si>
    <t xml:space="preserve">Terbayarnya tagihan jaringan komunikasi, listrik dan PDAM </t>
  </si>
  <si>
    <t>Terbayarnya honorium pengelola kegiatan</t>
  </si>
  <si>
    <t>Jumlah peralatan dan perlengkapan kantor yang baru</t>
  </si>
  <si>
    <t>Penyediaan Bahan Bacaan dan Peraturan Perundang - Undangan</t>
  </si>
  <si>
    <t>Jumlah makanan dan minuman rapat</t>
  </si>
  <si>
    <t>Rapat - Rapat Koordinasi dan Konsultasi Keluar Daerah</t>
  </si>
  <si>
    <t>Rapat - Rapat Koordinasi dan Konsultasi Dalam Daerah</t>
  </si>
  <si>
    <t>Program Perencanaan Pembangunan Daerah</t>
  </si>
  <si>
    <t>Penyusunan Perencanaan dan Pelaporan Capaian Kinerja</t>
  </si>
  <si>
    <t>Jumlah dokumen perencanaan dan pelaporan yang diterbitkan</t>
  </si>
  <si>
    <t>Pembangunan dan Pengoperasian SIAK Secara Terpadu</t>
  </si>
  <si>
    <t>Jumlah sarana pengolah data dalam kondisi baik</t>
  </si>
  <si>
    <t>Jumlah struktur jaringan data yang baik</t>
  </si>
  <si>
    <t xml:space="preserve">Implementasi Sistem Administrasi Kependudukan </t>
  </si>
  <si>
    <t>Jumlah Data Anomali Yang Diperbaiki</t>
  </si>
  <si>
    <t>Jumlah Data Ganda Yang Dihapus</t>
  </si>
  <si>
    <t xml:space="preserve">Jumlah data yang dikonsolidasikan </t>
  </si>
  <si>
    <t>Jumlah buku profil kependudukan yang diterbitkan</t>
  </si>
  <si>
    <t>Penyediaan Informasi Yang Dapat Diakses Masyarakat</t>
  </si>
  <si>
    <t>Jumlah Media Penyebarluasan Informasi Kependudukan</t>
  </si>
  <si>
    <t>Peningkatan Pelayanan Pencatatan Kelahiran</t>
  </si>
  <si>
    <t>Jumlah penerbitan Akta Kelahiran</t>
  </si>
  <si>
    <t>Peningkatan Kapasitas Aparat Pencatatan Sipil</t>
  </si>
  <si>
    <t>Jumlah peserta Bimtek Pencatatan Sipil</t>
  </si>
  <si>
    <t>Peningkatan Kapasitas Aparat Pendaftaran Penduduk</t>
  </si>
  <si>
    <t>Jumlah peserta Bimtek Pelayanan Pendaftaran Penduduk</t>
  </si>
  <si>
    <t>Jumlah pelaksanaan SOP yang dievaluasi</t>
  </si>
  <si>
    <t>Pelayanan Kartu Identitas Anak (KIA)</t>
  </si>
  <si>
    <t>Jumlah penerbitan Kartu Identitas Anak</t>
  </si>
  <si>
    <t>Pelayanan Penerbitan Kartu Keluarga</t>
  </si>
  <si>
    <t>Jumlah Penerbitan Kartu Keluarga</t>
  </si>
  <si>
    <t>Penerbitan NIK Nasional dan Penerapan e_KTP</t>
  </si>
  <si>
    <t>Jumlah Penerbitan KTP_el</t>
  </si>
  <si>
    <t>Pelaksanaan Pelayanan Unit Pendaftaran Penduduk dan Pencatatan Sipil Keliling (UP3SK)</t>
  </si>
  <si>
    <t>Jumlah Nagari dan Sekolah yang dikunjungi</t>
  </si>
  <si>
    <t>Peningkatan Pelayanan Pencatatan Kematian</t>
  </si>
  <si>
    <t>Jumlah Penerbitan Akta Kematian</t>
  </si>
  <si>
    <t>Pendataan dan Pelaporan Perkawinan Cerai</t>
  </si>
  <si>
    <t>Jumlah laporan perkawinan dan perceraian yang diterbitkan</t>
  </si>
  <si>
    <t>Pembangunan dan Pengelolaan Sistem Data Warehouse</t>
  </si>
  <si>
    <t>Jenis Layanan pada Pos Layanan Khusus</t>
  </si>
  <si>
    <t>Jumlah data warehouse kependudukan yang diakses lembaga pengguna</t>
  </si>
  <si>
    <t>Jenis Layanan Online Kependudukan</t>
  </si>
  <si>
    <t>Pengelolaan Arsip Administrasi Kependudukan Berbasis Digital</t>
  </si>
  <si>
    <t>Jumlah Arsip Digital Register Akta Kelahiran</t>
  </si>
  <si>
    <t>Pengembangan Sistem Administrasi Kependudukan (SAK) Terpadu (DAK Non Fisik)</t>
  </si>
  <si>
    <t>Jumlah blanko dokumen kependudukan yang diadakan</t>
  </si>
  <si>
    <t>Jumlah Peserta Sosialisasi</t>
  </si>
  <si>
    <t>Jumlah Bimtek/Pelatihan yang diikuti</t>
  </si>
  <si>
    <t>Pelayanan Administrasi Kependudukan di Satker</t>
  </si>
  <si>
    <t>Jumlah dokumen kependudukan yang diterbitkan di UKL</t>
  </si>
  <si>
    <t>Jumlah perekaman KTP_el di UKL</t>
  </si>
  <si>
    <t>Program Pelayanan Administrasi perkantoran</t>
  </si>
  <si>
    <t>tersedianya pelayanan admnistrasi perkantoran (bln)</t>
  </si>
  <si>
    <t>Penyediaan Jasa Komonikasi, Sumber daya air dan listrik</t>
  </si>
  <si>
    <t>Tersediannya air dan listrik (bln)</t>
  </si>
  <si>
    <t xml:space="preserve">Penyediaan Jasa Administrasi Keuangan </t>
  </si>
  <si>
    <t xml:space="preserve">Tersedianya  Jasa Administrasi Keuangan </t>
  </si>
  <si>
    <t>Tersedianya  Jasa Kebersihan Kantor (bln)</t>
  </si>
  <si>
    <t>Tersedianya alat tulis kantor (bln)</t>
  </si>
  <si>
    <t>Tersedianya Barang Cetakan dan Penggandaan (bln)</t>
  </si>
  <si>
    <t>Penyediaan Komponen, Instalasi Listrik/Penerangan bangunan kantor</t>
  </si>
  <si>
    <t>Tersedianya  Komponen, Instalasi Listrik/Penerangan (bln)</t>
  </si>
  <si>
    <t>Tersedianya Bahan Bacaan (bln)</t>
  </si>
  <si>
    <t>Tersedianya  Makanan dan Minuman rapat dan tamu (bln)</t>
  </si>
  <si>
    <t>Rapat-rapat koordinasi dan konsultasi keluar daerah</t>
  </si>
  <si>
    <t>Terpenuhi perjalanan dinas untuk rapat-rapat ke luar daerah (bln)</t>
  </si>
  <si>
    <t>Terpenuhi perjalanan dinas untuk rapat-rapat dalam daerah (bln)</t>
  </si>
  <si>
    <t>Penunjang operasional perencanaan dan pelaporan</t>
  </si>
  <si>
    <t>Tersedianya operasional untuk perencanaan dan pelaporan (bln)</t>
  </si>
  <si>
    <t>Program Peningkatan sarana dan prasarana aparatur</t>
  </si>
  <si>
    <t>Trsedianya Pemeliharaan rutin/berkala gedung kantor (bln)</t>
  </si>
  <si>
    <t>Pemeliharaan rutin/berkala Kendaraan dinas operasional</t>
  </si>
  <si>
    <t>Pemeliharaan rutin/berkala Perlengkapan gedung kantor</t>
  </si>
  <si>
    <t>Program Peningkatan Kapasitas  Sumber Daya Aparatur</t>
  </si>
  <si>
    <t>Persentase peningkatan SDM aparatur</t>
  </si>
  <si>
    <t>jumlah ASN yang berkualitas (orang)</t>
  </si>
  <si>
    <t xml:space="preserve">Program Pengembangan Pemasaran Pariwisata </t>
  </si>
  <si>
    <t>Program Penciptaan Iklim Usaha Kecil Menengah yang Kondusif</t>
  </si>
  <si>
    <t>Penggunaan SKIP (sistem Informasi kredit program) KUR</t>
  </si>
  <si>
    <t>Fasilitasi pengembangan Usaha kecil menengah</t>
  </si>
  <si>
    <t xml:space="preserve">Jumlah Pengembangan Produk Unggulan Daerah, </t>
  </si>
  <si>
    <t>Program Pengembangan kewirausahaan dan keunggulan Kompetitif usaha kecil menengah</t>
  </si>
  <si>
    <t>Menfasilitasi peningkatan kemitraan usaha bagi usaha mikro kecil menengah</t>
  </si>
  <si>
    <t>880</t>
  </si>
  <si>
    <t>Penyelengaraan Pelatihan Kewirausahaan</t>
  </si>
  <si>
    <t>60</t>
  </si>
  <si>
    <t>Pendataan validasi data UMKM</t>
  </si>
  <si>
    <t>Penyelenggaraan bazar dan promosi produk UMKM</t>
  </si>
  <si>
    <t>jumlah bazar yang di ikuti (paket)</t>
  </si>
  <si>
    <t>Bintek peningkatan Kapasitas SDM UMKM</t>
  </si>
  <si>
    <t>90</t>
  </si>
  <si>
    <t>Bantuan Sarana dan Prasarana bagi UMKM</t>
  </si>
  <si>
    <t>Jumlah UMKM yang mendapatkan bantuan binaan (unit usaha)</t>
  </si>
  <si>
    <t>400</t>
  </si>
  <si>
    <t>288</t>
  </si>
  <si>
    <t>Pengembangan Produk Unggulan Daerah</t>
  </si>
  <si>
    <t>210</t>
  </si>
  <si>
    <t>Program Peningkatan Kualitas Kelembagaan Koperasi</t>
  </si>
  <si>
    <t xml:space="preserve">Sosialisasi prinsip -prinsip pemahaman kopersaian </t>
  </si>
  <si>
    <t>120</t>
  </si>
  <si>
    <t>Pembinaan dan pengawasan dan penghargaan koperasi berprestasi dan peringkatan hari koperasi</t>
  </si>
  <si>
    <t>350</t>
  </si>
  <si>
    <t>Pelatihan Akutansi Koperasi</t>
  </si>
  <si>
    <t>jumlah pengurus koperasi yang mengikuti pelatihan (org)</t>
  </si>
  <si>
    <t>150</t>
  </si>
  <si>
    <t>Revitalisasi koperasi/KUD</t>
  </si>
  <si>
    <t>Bintek kelembagaan dan usaha koperasi</t>
  </si>
  <si>
    <t>Program Pengembangan Industri Kecil dan Menengah</t>
  </si>
  <si>
    <t>Penyusunan Kebijakan Industri Terkait dan Industri Penunjang Industri Kecil dan menengah</t>
  </si>
  <si>
    <t>Jumlah  peraturan yang diterbitkan</t>
  </si>
  <si>
    <t>Fasilitasi kerjasama kemitraan industri mikro, kecil dan menengah dengan swasta</t>
  </si>
  <si>
    <t>jumlah IKM yang mengikuti sosialisasi (unit usaha)</t>
  </si>
  <si>
    <t>Pemutakhiran Data IKM</t>
  </si>
  <si>
    <t>Data IKM (dok)</t>
  </si>
  <si>
    <t>Penunjang Operasional Dekranasda dan Pembinaan IKM</t>
  </si>
  <si>
    <t>Pembinaan dan Pengawasan IKM</t>
  </si>
  <si>
    <t>Jumlah produk  IKM yang terawasi</t>
  </si>
  <si>
    <t>Penyusunan Rencana Pembangunan Industri Kabupaten (REPIK)</t>
  </si>
  <si>
    <t>Fasilitasi IKM terhadap Pemanfaatan sumber daya</t>
  </si>
  <si>
    <t>Jumlah  IKM yang difasilitasi (unit)</t>
  </si>
  <si>
    <t>Pengembangan Sentra Industri Kecil Menengah</t>
  </si>
  <si>
    <t xml:space="preserve">Jumlah IKM yang dilatih </t>
  </si>
  <si>
    <t>Program Peningkatan Kapasitas Iptek Sistem Produksi</t>
  </si>
  <si>
    <t>Jumlah produk  bersertifikat halal, HKI, uji laboratorium, Izin edar</t>
  </si>
  <si>
    <t>Pengembangan kapasitas pranata pengukuran, standarisasi, pengujian dan kualitas</t>
  </si>
  <si>
    <t>Pembinaan Kemapuan teknologi industri kepada IKM</t>
  </si>
  <si>
    <t>Program Pengembangan Sentra-sentra Industri Potensial</t>
  </si>
  <si>
    <t>Penumbuhan dan Penataan Sentra-sentra Industri Unggulan</t>
  </si>
  <si>
    <t>Pembangunan Sentra IKM (DAK) 2018</t>
  </si>
  <si>
    <t>Jumlah sarana sentra  IKM yang dibangun</t>
  </si>
  <si>
    <t>Pembangunan Gedung Sentra IKM (Penunjang DAK)</t>
  </si>
  <si>
    <t>Penunjang Operasional Pembangun-an Sentra IKM</t>
  </si>
  <si>
    <t>Program Peningkatan Iklim Usaha Industri</t>
  </si>
  <si>
    <t>Jumlah IKM yang dibina</t>
  </si>
  <si>
    <t>Pembinaan dan Pengawasan Indutri Kecil dan Menengah</t>
  </si>
  <si>
    <t>URUSAN PERDAGANGAN</t>
  </si>
  <si>
    <t>Program Perlindungan Konsumen dan Pengamanan Perdagangan</t>
  </si>
  <si>
    <t>Koefesien variasi  harga bahan  kebutuhan pokok antarwaktu</t>
  </si>
  <si>
    <t>&lt; 9 %</t>
  </si>
  <si>
    <t>Peningkatan pengawasan peredaran barang</t>
  </si>
  <si>
    <t xml:space="preserve">Operasionalisasi dan perlengkapan UPTD Kemetrologian </t>
  </si>
  <si>
    <t>Pemantauan harga dan Operasi Pasar</t>
  </si>
  <si>
    <t>Pembuatan Database Perdagangan</t>
  </si>
  <si>
    <t>Jumlah pasar rakyat memenuhi syarat teknis SNI  8152:2015</t>
  </si>
  <si>
    <t>Peningkatan sistem dan Jaringan Informasi Perdagangan</t>
  </si>
  <si>
    <t>Jumlah Promosi Produk Unggulan Daerah(paket)</t>
  </si>
  <si>
    <t>Pelayanan Administrasi Penerimaan/ Tagihan dan pengelolaan Pasar</t>
  </si>
  <si>
    <t>Pengamanan dan Pengelolaan Pasar</t>
  </si>
  <si>
    <t>Operasional pengelolaan pasar (bln)</t>
  </si>
  <si>
    <t>Peningkatan Pasar Nagari dalam Kabupaten Pesisir Selatan</t>
  </si>
  <si>
    <t>Pasar Nagari yang terbangun / direvitalisasi (unit)</t>
  </si>
  <si>
    <t>Penyelenggaraan Painan Ekspo</t>
  </si>
  <si>
    <t xml:space="preserve">Terlaksananya pameran/ painan expo </t>
  </si>
  <si>
    <t>Pemeliharaan rutin/ berkala bangunan Pasar Kab. Pesisir Selatan</t>
  </si>
  <si>
    <t>Jumlah bangunan Pasar yang direhap</t>
  </si>
  <si>
    <t>Revitalisasi pasar hilalang kecamatan pancung soal (Alokasi dana bantuan keuangan yang bersifat khusus propinsi TA 2016)</t>
  </si>
  <si>
    <t>Revitalisasi pasar balai jumat lagan  kecamatan LSB (Alokasi dana bantuan keuangan yang bersifat khusus propinsi TA 2016)</t>
  </si>
  <si>
    <t>Pembangunan Pasar dalam Kab. Pesisir Selatan</t>
  </si>
  <si>
    <t>Jumlah Pasar Rakyat yang dibangun/ direvitalisa-si</t>
  </si>
  <si>
    <t>Rehab Pasar Asam Kumbang Kecamatan IV Nagar Bayang Utara (Bantuan Keuangan yang bersifat Khusus Propinsi TA 2017)</t>
  </si>
  <si>
    <t>Jumlah Pasar yang direvitalisasi</t>
  </si>
  <si>
    <t>Penunjang Percepatan Pembangunan Pasar dalam Kab. Pesisir Selatan</t>
  </si>
  <si>
    <t>Pembuatan buku Profil Pasar Kab. Pesisir Selatan</t>
  </si>
  <si>
    <t>Data profil Pasar  (dok)</t>
  </si>
  <si>
    <t>Pembangunan Pasar Kabupaten (DAK)</t>
  </si>
  <si>
    <t>Jumlah Pasar Rakyat yang dibangun</t>
  </si>
  <si>
    <t>Perdangan</t>
  </si>
  <si>
    <t>Perindustrian</t>
  </si>
  <si>
    <t>UMKM</t>
  </si>
  <si>
    <t>pas</t>
  </si>
  <si>
    <t>Tersedianya Jasa Komunikasi , sumber daya listrik dan air (bulan)</t>
  </si>
  <si>
    <t>Tertibnya Administerasi Keuangan (bulan)</t>
  </si>
  <si>
    <t>Terlaksananya kebersihan Kantor (bulan)</t>
  </si>
  <si>
    <t>Tersedianya jasa perbaikan peralatan kerja (bulan)</t>
  </si>
  <si>
    <t>Tersedianya ATK (bulan)</t>
  </si>
  <si>
    <t>Tersedianya komponen instalasi listrik.penerangan bangunan kantor (bulan)</t>
  </si>
  <si>
    <t>Tersedianya makan dan minum ( Bulan)</t>
  </si>
  <si>
    <t>Terlaksananya rapat koordinasi dan konsultasi Luar Daerah (bulan)</t>
  </si>
  <si>
    <t>Terlaksananya rapat koordinasi dan konsultasi Dalam Daerah (Bulan)</t>
  </si>
  <si>
    <t>Pengadaan  Peralatan Gedung Kantor</t>
  </si>
  <si>
    <t>Pengadaan Mobiler</t>
  </si>
  <si>
    <t>tersedianya mobiler kantor (paket)</t>
  </si>
  <si>
    <t>Pemeliharaan rutin /berkala gedung kantor</t>
  </si>
  <si>
    <t>0,20</t>
  </si>
  <si>
    <t>0,169</t>
  </si>
  <si>
    <t>Program Peningkatan  Pengembangan Sistem Pelaporan Capaian Kinerja dan Keuangan</t>
  </si>
  <si>
    <t>Pengembangan dan Peningkatan Data dan Informasi</t>
  </si>
  <si>
    <t>Program Pengembangan Budidaya Perikanan</t>
  </si>
  <si>
    <t>Jumlah Produksi Perikanan Budidaya ( Ton )</t>
  </si>
  <si>
    <t>Pengelolaan  Balai Benih Ikan (BBI) Pincuran Boga</t>
  </si>
  <si>
    <t xml:space="preserve"> Beroperasionalnya BBI Pincuran Boga        ( Bulan)</t>
  </si>
  <si>
    <t>Penyediaan sarana dan prasarana perikanan Budidaya Ikan (DAK)</t>
  </si>
  <si>
    <t>Pengelolaan Pabrik Pengolahan Pakan Ikan</t>
  </si>
  <si>
    <t>Program Pengembangan  Perikanan Tangkap</t>
  </si>
  <si>
    <t>Jumlah Produksi Perikanan Tangkap        ( Ton )</t>
  </si>
  <si>
    <t>Penunjang kegiatan DAK bidang Pemberdayaan  Nelayan kecil</t>
  </si>
  <si>
    <t>Operasional Balai Sekaya maritim</t>
  </si>
  <si>
    <t>Beroperasionalnya Balai Sekaya Maritim ( Bulan)</t>
  </si>
  <si>
    <t>Penyediaan sarana dan prasarana perikanan tangkap</t>
  </si>
  <si>
    <t>Jumlah Pembudidaya Yang Tersertifikasi CBIB   ( orang)</t>
  </si>
  <si>
    <t>Penanganan Hama dan Penyakit Ikan</t>
  </si>
  <si>
    <t>Tertanganinya Hama dan Penyakit Ikan         ( kasus)</t>
  </si>
  <si>
    <t>Pembinaan dan Pengembangan Perikanan</t>
  </si>
  <si>
    <t xml:space="preserve"> Jumlah Pembudidaya yang dilatih CPIB dan CBIB/orang</t>
  </si>
  <si>
    <t>Jumlah UPR Yang Tersertifikasi CPIB(UPR)</t>
  </si>
  <si>
    <t>Pembinaan Unit Perbenihan Rakyat (UPR)</t>
  </si>
  <si>
    <t>Terbinanya Unit Perbenihan Rakyat (UPR)</t>
  </si>
  <si>
    <t>Pembinaan Kelompok Pembididaya Ikan (Pokdakan)</t>
  </si>
  <si>
    <t xml:space="preserve">Jumlah  Kelompok Pmbudidayaan Ikan (Pokdakan) Kelompok </t>
  </si>
  <si>
    <t>Pendampingan Kegiatan Pusat dan Propinsi Bidang Perikanan  Budidaya</t>
  </si>
  <si>
    <t>Tertunjangnya kegiatan pusat dan Propinsi bidang perikanan budidaya (Bulan)</t>
  </si>
  <si>
    <t>Program Peningkatan Produksi Perikanan Budidaya</t>
  </si>
  <si>
    <t>Peningkatan Produksi Ikan</t>
  </si>
  <si>
    <t>Tersedianya benih dan pakan berkualitas (Ton)</t>
  </si>
  <si>
    <t>Jumlah Kelompok Usaha Bersama (KUB) kelompok</t>
  </si>
  <si>
    <t>Pendampingan Asuransi Nelayan</t>
  </si>
  <si>
    <t>Pro Gerakan Anti Kemiskinan Nelayan ( Pro Gakin )</t>
  </si>
  <si>
    <t>Terlaksananya Kegiatan Pro Gerakan Anti Kemiskinan (KUB)</t>
  </si>
  <si>
    <t>Sosialisasi dan Pendampingan Kredit Usaha Rakyat ( KUR ) Perikanan</t>
  </si>
  <si>
    <t xml:space="preserve"> Tersalurkanya KUR  Perikanan ke Nelayan (KUB)</t>
  </si>
  <si>
    <t>Pendampingan Kegiatan Pusat dan Provinsi Bidang Pemberdayaan Nelayan Kecil</t>
  </si>
  <si>
    <t>Terdampinginya kegiatan Provinsi dan Pusat ( Bulan)</t>
  </si>
  <si>
    <t>Penguatan Kelembagaan KUB Perikanan Tangkap</t>
  </si>
  <si>
    <t>Terbentuknya kelembagaab KUB yag lebih yang berbadan hukum (KUB)</t>
  </si>
  <si>
    <t>Program Peningkatan Daya Saing Produk Perikanan</t>
  </si>
  <si>
    <t>Terbinanya Kelompok Pengolah Pemasar (Poklahsar)</t>
  </si>
  <si>
    <t>Gerakan Masyarakat Makan Ikan (GEMARAKIN )</t>
  </si>
  <si>
    <t xml:space="preserve">Promosi dan Publikasi Produk Hasil Kelautan dan Perikanan </t>
  </si>
  <si>
    <t>Pendampingan Kegiatan Pusat dan Propinsi Bidang P2HP</t>
  </si>
  <si>
    <t>Tertunjangnya kegiatan Propinsi (bulan)</t>
  </si>
  <si>
    <t>Pembinaan Poklahsar Bidang P2HP</t>
  </si>
  <si>
    <t>Terbinanya Poklahsar Bidang P2HP (kelompok)</t>
  </si>
  <si>
    <t>Jumlah UPI yang menerapkan cara Pengolahan Ikan Yang Baik ( Kelompok)</t>
  </si>
  <si>
    <t>Pengawasan mutu Hasil Perikanan</t>
  </si>
  <si>
    <t>Terlaksananya Pengawasan terhadap Muu Hasil Perikanan (kali)</t>
  </si>
  <si>
    <t xml:space="preserve"> Pengelolaan Tempat Pelelangan Ikan (TPI)</t>
  </si>
  <si>
    <t>Jumlah  Tempat Pelelangan Ikan/buah</t>
  </si>
  <si>
    <t>Pelatihan Cara Pengolahan yang baik(GMP/SSOP)</t>
  </si>
  <si>
    <t>Penyediaan Jasa Komunikasi, Sumber Daya, Air dan Listrik</t>
  </si>
  <si>
    <t>Penyediaan Bahan Bacaan dan Peraturan Perundang-Undangan</t>
  </si>
  <si>
    <t>Tersedianya bahan bacaan (koran) dan peraturan perundang-undangan  (%)</t>
  </si>
  <si>
    <t>Rapat-Rapat Koordinasi dan Konsultasi Keluar Daerah</t>
  </si>
  <si>
    <t>Rapat-Rapat Koordinasi dan Konsultasi Dalam Daerah</t>
  </si>
  <si>
    <t>Pemeliharan Rutin/ Berkala Kendaraan Dinas/Operasional</t>
  </si>
  <si>
    <t>PROG. PENGEMBANGAN DESTINASI PARIWISATA</t>
  </si>
  <si>
    <t>Pemeliharaan rutin/berkala kawasan Objek wisata</t>
  </si>
  <si>
    <t>Pengawasan dan Monitoring Obyek Wisata Se Kabupaten Pesisir Selatan</t>
  </si>
  <si>
    <t>Pelaksanaan Pengelolaan Objek Wisata Pantai Carocok Painan</t>
  </si>
  <si>
    <t>Pembangunan Sarana dan prasarana obyek wisata (DAK)</t>
  </si>
  <si>
    <t>Pelaksanaan Pengelolaan Objek Wisata Mandeh</t>
  </si>
  <si>
    <t>Pembuatan Perencanaan (DED dan RAB Obyek Wisata)</t>
  </si>
  <si>
    <t>Program Pengembangan Pemasaran Pariwisata</t>
  </si>
  <si>
    <t>Pelaksanaan Tour De Singkarak</t>
  </si>
  <si>
    <t>Terlaksananya Tour de singkarak (kali)</t>
  </si>
  <si>
    <t>Pelaksanaan Promosi Pariwisata</t>
  </si>
  <si>
    <t>Lomba Drumband Tingkat SLTA se- Sumbar</t>
  </si>
  <si>
    <t>Parade Tingkuluak</t>
  </si>
  <si>
    <t>Terlaksananya Parade Tingkuluak (kali)</t>
  </si>
  <si>
    <t>Penyusunan Profil dan Promosi Pariwisata Pessel</t>
  </si>
  <si>
    <t>Program Pengembangan Kemitraan</t>
  </si>
  <si>
    <t>Pelaksanaan Famtrip</t>
  </si>
  <si>
    <t>Pembinaan Kawasan Masyarakat Wisata (DAK Non Fisik)</t>
  </si>
  <si>
    <t>Pemilihan Uda dan Uni Duta Wisata 2019</t>
  </si>
  <si>
    <t>Pelatihan Ekraf</t>
  </si>
  <si>
    <t>Aktifasi Ekonomi Kreatif</t>
  </si>
  <si>
    <t>Partisipasi Ekonomi Kreatif</t>
  </si>
  <si>
    <t>Program Peningkatan Peran Serta Kepemudaan</t>
  </si>
  <si>
    <t>Pembentukan Paskibraka</t>
  </si>
  <si>
    <t>Terlaksananya Pembentukan Paskibraka (kali)</t>
  </si>
  <si>
    <t>Penilaian Pemuda Pelopor dan Pemberdayaan Organisasi Kepemudaan</t>
  </si>
  <si>
    <t>Penyeleksian Jambore Pemuda Indonesia (JPI)</t>
  </si>
  <si>
    <t>Peringatan Sumpah Pemuda</t>
  </si>
  <si>
    <t>Terlaksananya peringatan sumpah pemuda (kali)</t>
  </si>
  <si>
    <t>Program pembinaan dan pemasyarakatan olahraga</t>
  </si>
  <si>
    <t>Aktivasi dan Bantuan Untuk club-club Olahraga</t>
  </si>
  <si>
    <t>Penyelenggaraan Open Tournamen Volly pantai Tingkat Nasional</t>
  </si>
  <si>
    <t>Terlaksananya open tournamen Volly pantai tingkat Nasional (kali)</t>
  </si>
  <si>
    <t>Penyelenggaraan Paralayang Internasional</t>
  </si>
  <si>
    <t>Terlaksananya paralayang internasional (kali)</t>
  </si>
  <si>
    <t>Program Pelayanan Adm Perkantoran</t>
  </si>
  <si>
    <t>Jumlah Tagihan Rekening listrik, telepon dan air</t>
  </si>
  <si>
    <t>Jumlah biaya honorarium pengelola keuangan</t>
  </si>
  <si>
    <t>Jumlah sarana Kebersihan</t>
  </si>
  <si>
    <t>Penyediaan jasa perbaikan perlatan kerja</t>
  </si>
  <si>
    <t>Jumlah Perbaikan Peralatan Kerja</t>
  </si>
  <si>
    <t>Penyediaan Alat       Tulis Kantor</t>
  </si>
  <si>
    <t>Jumlah ATK</t>
  </si>
  <si>
    <t>Jumlah cetakan penggandaan</t>
  </si>
  <si>
    <t>Jumlah komponen instalasi listrik penerangan bangunan</t>
  </si>
  <si>
    <t>Jumlah surat Kabar dean Buku Per-UU</t>
  </si>
  <si>
    <t>Jumlah biaya jamuan makan dan minum</t>
  </si>
  <si>
    <t>Jumlah Koordinasi dan Kosultasi yang diikuti luar daerah</t>
  </si>
  <si>
    <t>Jumlah Koordinasi dan Kosultasi yang diikuti dalam daerah</t>
  </si>
  <si>
    <t>Pengadaan perlengkapan gedung kantor</t>
  </si>
  <si>
    <t>Pengadaan peralatan  gedung kantor</t>
  </si>
  <si>
    <t>Pengadaan Mobileur</t>
  </si>
  <si>
    <t>Pemel. Rutin/Berkala Gedung Kantor</t>
  </si>
  <si>
    <t>Pemel. Rutin/Berkala Kendaraan Dinas/Operasional</t>
  </si>
  <si>
    <t>Rehabilitasi sedang/berat gedung kantor</t>
  </si>
  <si>
    <t>Program Peningkatan Disiplin Aparatur</t>
  </si>
  <si>
    <t>Persentase Peningkatan Disiplin Aparatur</t>
  </si>
  <si>
    <t>Pengadaan  Pakaian Dinas beserta Perlengkapannya</t>
  </si>
  <si>
    <t>Pengadaan Pakaian Khusus hari-hari tertentu</t>
  </si>
  <si>
    <t>Program Peningkatan Kapasitas Sumber Daya Manusia</t>
  </si>
  <si>
    <t>Jumlah aparatur yang mengikuti pendidikan dan pelatihan formal</t>
  </si>
  <si>
    <t>Pelaksanaan Pengawasan Internal Secara Berkala</t>
  </si>
  <si>
    <t>Jumlah Pengawasan Internal secara Berkala</t>
  </si>
  <si>
    <t>Penanganan Kasus Pengaduan di Lingkungan Pemda</t>
  </si>
  <si>
    <t>Jumlah kasus pengaduan dilingkungan Pemerintahan Daerah</t>
  </si>
  <si>
    <t>Inventarisasi temuan Pengawasan</t>
  </si>
  <si>
    <t>Jumlah temuan pengawasan yang telah terinventarisir</t>
  </si>
  <si>
    <t>Tindak Lanjut Hasil Temuan Pengawasan</t>
  </si>
  <si>
    <t>Jumlah  Hasil Temuan Pengawasan yang telah ditindak lanjuti</t>
  </si>
  <si>
    <t>Pelaksanaan Pembangunan Zona Integritas</t>
  </si>
  <si>
    <t>Jumlah OPD yang melaksanakan Pembangunan Zona Integritas</t>
  </si>
  <si>
    <t>Pelaksanaan Reformasi Birokrasi</t>
  </si>
  <si>
    <t>Pelaksanaan Matuitas SPIP</t>
  </si>
  <si>
    <t>Jumlah OPD yang mengimplemtasikan SPIP</t>
  </si>
  <si>
    <t>Pelaksanaan Unit Pengendalian Gratifikasi (UPG)</t>
  </si>
  <si>
    <t>Jumlah OPD yang melaksanakan Pengendalian Gratifikasi</t>
  </si>
  <si>
    <t>Review Laporan Keuangan Pemerintah Daerah</t>
  </si>
  <si>
    <t>Jumlah LKPD yang direview</t>
  </si>
  <si>
    <t>Evaluasi Laporan Akuntabilitas kinerja Instansi Pemerintah</t>
  </si>
  <si>
    <t>Jumlah Akuntabilitas Kinerja Instansi Pemerintah yang dievaluasi</t>
  </si>
  <si>
    <t>Evaluasi Rencana Kerja dan Anggaran (RKA)/RKA Perubahan OPD</t>
  </si>
  <si>
    <t>Jumlah Rencana Kerja dan Anggaran (RKA) dan Perubahan RKA yang di evaluasi</t>
  </si>
  <si>
    <t>Revieu Rencana Strategis (Renstra)</t>
  </si>
  <si>
    <t>Jumlah OPD yang telah membuat Renstra sesuai aturan</t>
  </si>
  <si>
    <t>Evaluai Penetapan Kinerja</t>
  </si>
  <si>
    <t>Persentase Penetapan Kinerja yang terlaksana</t>
  </si>
  <si>
    <t>Evaluasi Pengadaaan Barang dan Jasa Pemerintah</t>
  </si>
  <si>
    <t>Persentase Pelaksanaan Pengadaan Barang/jasa sesuai aturan</t>
  </si>
  <si>
    <t xml:space="preserve"> Sosialisasi Tata Cara Penilaian Laporan Kinerja</t>
  </si>
  <si>
    <t>Jumlah APIP yang melakukan penilaian kinerja sesuai ketentuan</t>
  </si>
  <si>
    <t>Evaluasi RPJMD</t>
  </si>
  <si>
    <t>Jumlah RPJMD yang dievaluasi</t>
  </si>
  <si>
    <t>Sosialisasi LHKPN</t>
  </si>
  <si>
    <t>Jumlah OPD yang mengikuti Sosialisasi LHKPN</t>
  </si>
  <si>
    <t>Reviu Dokumen Perencanaan dan Pelaporan</t>
  </si>
  <si>
    <t>Evaluasi Dokumen Perencanaan dan Pelaporan Keuangan</t>
  </si>
  <si>
    <t>Program Peningkatan Profesionalisme Tenaga Pemeriksaan dan Aparatur Pengawasan</t>
  </si>
  <si>
    <t>Peningkatan Level APIP (Aparat Pegawas Intern Pemerintahan)</t>
  </si>
  <si>
    <t>Pelatihan Pengembangan Tenaga Pemeriksa dan Aparatur Pengawasan</t>
  </si>
  <si>
    <t xml:space="preserve">Jumlah APIP yang  mengikuti diklat </t>
  </si>
  <si>
    <t>Pelatihan Khusus Aparatur Pengawasan Pada Kantor Sendiri</t>
  </si>
  <si>
    <t>Jumlah APIP yang mengikuti Pelatihan Kantor Sendiri</t>
  </si>
  <si>
    <t>Penyediaan Jasa Komunikasi Sumber Daya Air dan Listrik</t>
  </si>
  <si>
    <t>Tersedianya dana untuk jasa pelayanan rek air, listrik dan Telp (bulan)</t>
  </si>
  <si>
    <t>Tersedianya dana Administrasi Jasa Pengelolaan Keuangan Daerah dalam 1 Tahun (bulan)</t>
  </si>
  <si>
    <t>Tersedianya Jasa Kebersihan Kantor (bulan)</t>
  </si>
  <si>
    <t>Penyediaan alat Tulis Kantor</t>
  </si>
  <si>
    <t>Tersedianya Alat  Tulis Kantor (bulan)</t>
  </si>
  <si>
    <t xml:space="preserve">Penyediaan Barang Cetakan dan Penggandaan </t>
  </si>
  <si>
    <t>Tersedianya Barang Cetakan dan Penggandaan (bulan)</t>
  </si>
  <si>
    <t>Penyediaan Komponen Instalasi Listrik/Penerangan bangunan kantor</t>
  </si>
  <si>
    <t>Tersedianya Komponen Instalasi listrik/Penerangan Kantor (bulan)</t>
  </si>
  <si>
    <t xml:space="preserve">Tersedianya bahan bacaan dan peraturan perundang undangan (bulan) </t>
  </si>
  <si>
    <t>Tersedianya makan mimum rapat, tamu dan pegawai ( piket kantor) (bulan)</t>
  </si>
  <si>
    <t>Rapat - rapat koordinasi dan konsultasi ke Luar Daerah</t>
  </si>
  <si>
    <t>Terselenggaranya rapat-rapat koordinasi dan konsultasi ke Luar Daerah (bulan)</t>
  </si>
  <si>
    <t>Rapat - rapat koordinasi dan konsultasi ke  Dalam Daerah</t>
  </si>
  <si>
    <t>Terselenggaranya rapat-rapat koordinasi dan konsultasi ke Dalam Daerah (bulan)</t>
  </si>
  <si>
    <t>Penyusunan Rencana Strategis</t>
  </si>
  <si>
    <t>Tersusunnya Renstra SKPD</t>
  </si>
  <si>
    <t>Program Penyediaan Sarana Prasana Aparatur</t>
  </si>
  <si>
    <t>Tersedianyan Kendaraan Dinas Jabatan dan Operasional (unit)</t>
  </si>
  <si>
    <t>Pengadaan Perlengkapan gedung kantor</t>
  </si>
  <si>
    <t>Terpenuhinya kebutuhan Perlengkapan gedung kantor (unit)</t>
  </si>
  <si>
    <t>Terpenuhinya kebutuhan peralatan gedung kantor (unit)</t>
  </si>
  <si>
    <t>Pemeliharaan Rutin Berkala Gedung Kantor</t>
  </si>
  <si>
    <t>Terpeliharanya Gedung Kantor (unit)</t>
  </si>
  <si>
    <t>Terpeliharanya Kendaraan Dinas Opeasional (Kendaraan Roda4 dan Roda 2) (bulan)</t>
  </si>
  <si>
    <t>Terpeliharanya Perlengkapan Kantor (buan)</t>
  </si>
  <si>
    <t>Penyusunan Laporan Keuangan Semesteran</t>
  </si>
  <si>
    <t>Tersedianya informasi keuangan semester (buku)</t>
  </si>
  <si>
    <t>Penyusunan Pelaporan Keuangan Akhir Tahun</t>
  </si>
  <si>
    <t>Terpenuhinya informasi keuangan daerah yang transparansi (buku)</t>
  </si>
  <si>
    <t>Program Peningkatan Sistem Pegawasan Internal dan Pengendalian Pelaksanaan Kebijakan KDH</t>
  </si>
  <si>
    <t>Tercapainya pencegahan kerugian negara</t>
  </si>
  <si>
    <t>Penanganan Kasus dan Penyelesaian Ganti Kerugian Negara/Daerah</t>
  </si>
  <si>
    <t>Program Peningkatan dan Pengembangan Pengelolaan Keuangan Daerah</t>
  </si>
  <si>
    <t>dokumen apbd dan p-apbd tepat waktu (dokumen)</t>
  </si>
  <si>
    <t>Persentase perangkat daerah yang tertib Penatausahaan Barang Milik Daerah (persen)</t>
  </si>
  <si>
    <t>Persentase penyelesaian administrasi keuangan sesuai SOP</t>
  </si>
  <si>
    <t xml:space="preserve">Penyusunan Standar Satuan Harga </t>
  </si>
  <si>
    <t xml:space="preserve">Penyusunan Rancangan Peraturan Daerah tentang APBD </t>
  </si>
  <si>
    <t>Penyusunan Rancangan Peraturan KDH Tentang Penjabaran APBD</t>
  </si>
  <si>
    <t>Penyusunan Rancangan Peraturan Daerah tentang  Perubahan APBD</t>
  </si>
  <si>
    <t>Penyusunan Rancangan Peraturan KDH tentang Penjabaran  Perubahan APBD</t>
  </si>
  <si>
    <t>Penyusunan Rancangan Peraturan Daerah tentang Pertanggungjawaban Pelaksanaan APBD</t>
  </si>
  <si>
    <t>Penyusunan Laporan Realisasi Anggaran Periodik dan Pembinaan Laporan Keuangan SKPD</t>
  </si>
  <si>
    <t>Penunjang Bendahara Umum Daerah</t>
  </si>
  <si>
    <t>Pengelola Dana Transfer</t>
  </si>
  <si>
    <t>Penyusunan Rancangan Peraturan Bupati tentang Penjabaran Pertanggungjawaban Pelaksanaan APBD</t>
  </si>
  <si>
    <t xml:space="preserve">Penyusunan DPA SKPD </t>
  </si>
  <si>
    <t>Penghapusan Barang - barang Inventaris</t>
  </si>
  <si>
    <t>Penyusunan DPA Perubahan SKPD</t>
  </si>
  <si>
    <t>Penunjang Sistim Informasi Pengelolaan Keuangan Daerah</t>
  </si>
  <si>
    <t>Terlaksananya Pengelolaan Keuangan Daerah (bulan)</t>
  </si>
  <si>
    <t>Pengelolaan dan Penatausahaan Gaji PNSD</t>
  </si>
  <si>
    <t>Pengelolaan dan Penatausahaan Kas Daerah</t>
  </si>
  <si>
    <t>Verifikasi Rencana Kebutuhan Barang dan Pemeliharaan Barang</t>
  </si>
  <si>
    <t>Peningkatan Manajemen Aset/ Barang Daerah</t>
  </si>
  <si>
    <t>Penyusunan rancangan kebutuhan barang dan pemeliharaan</t>
  </si>
  <si>
    <t>Penyusunan Laporan Barang Milik Daerah</t>
  </si>
  <si>
    <t>Dokumen BMD (buku)</t>
  </si>
  <si>
    <t>Bimbingan Teknis Penatausahaan Barang Milik Daerah</t>
  </si>
  <si>
    <t>Jumlah ASN yang dilatih (org)</t>
  </si>
  <si>
    <t>Pembinaan Laporan Keuangan OPD</t>
  </si>
  <si>
    <t>Jumlah PD yang dibina (unit)</t>
  </si>
  <si>
    <t>Revisi Kebijakan Akuntansi Pemerintah Daerah Kabupaten Pesisir Selatan</t>
  </si>
  <si>
    <t>Penyusunan Standar Biaya</t>
  </si>
  <si>
    <t>Sosialisasi Pedoman Penyusunan APBD</t>
  </si>
  <si>
    <t>Jumlah OPD yang mengikuti sosialisasi (unit)</t>
  </si>
  <si>
    <t>Inventarisasi Barang</t>
  </si>
  <si>
    <t>Penyusunan Regulasi Pengelolaan BMD</t>
  </si>
  <si>
    <t>Pedoman penyusunan RKA</t>
  </si>
  <si>
    <t>Program Pembinaan dan Fasilitas Pengelolaan keuangan Kabupaten Kota</t>
  </si>
  <si>
    <t>Analisa APBD Kabupaten Pesisir Selatan Tahun Anggaran 2018</t>
  </si>
  <si>
    <t>Tersedianya Buku Analisa APBD (buku)</t>
  </si>
  <si>
    <t>Asistensi Penataan Hibah dan Bantuan Sosial</t>
  </si>
  <si>
    <t>Pengelolaan Dana Hibah dan Bantuan Sosial</t>
  </si>
  <si>
    <t>Penyusunan dan Sosialisasi pedoman penyusunan APBD tahun anggaran 2017</t>
  </si>
  <si>
    <t>Analisa Standar belanja Kabupaten Pesisir Selatan</t>
  </si>
  <si>
    <t>Rekonsiliasi dana Transfer ke Daerah</t>
  </si>
  <si>
    <t>Terbina dan meningkatnya Pengetahuan Sumber daya aparatur</t>
  </si>
  <si>
    <t>Monitoring dan Evaluasi dana Transfer ke Nagari</t>
  </si>
  <si>
    <t>Monitoring dan Evaluasi Penatausahaan Kas Daerah</t>
  </si>
  <si>
    <t>TOT Aplikasi SIMDA DESA (Nagari)</t>
  </si>
  <si>
    <t>Setwan</t>
  </si>
  <si>
    <t>Tersedianya jasa surat menyurat (bulan)</t>
  </si>
  <si>
    <t>Tersedianya Jasa Pengamanan Kantor  (bulan)</t>
  </si>
  <si>
    <t>Rapat-rapat Koordinasi dan Konsultasi ke Dalam Daerah</t>
  </si>
  <si>
    <t>Tersedianya dana untuk Rapat-rapat Koordinasi dan Konsultasi ke Dalam Daerah (bulan)</t>
  </si>
  <si>
    <t>Tersedianya dana Penunjang Operasional Perencanaan dan Pelaporan</t>
  </si>
  <si>
    <t>Penyediaan Jasa Publikasi</t>
  </si>
  <si>
    <t>Tersedianya Dana untuk mempublikasikan kegiatan DPRD</t>
  </si>
  <si>
    <t xml:space="preserve">Tersedianya </t>
  </si>
  <si>
    <t>Pengadaan Perlengkapan Rumah Jabatan / Dinas</t>
  </si>
  <si>
    <t>Tersedianya Perlengkapan Rumah Jabatan/Dinas (paket)</t>
  </si>
  <si>
    <t>Tersedianya Perlengkapan  Gedung Kantor (paket)</t>
  </si>
  <si>
    <t>Pengadaan Peralatan Rumah Jabatan / Dinas</t>
  </si>
  <si>
    <t>Tersedianya Peralatan Rumah Jabatan/Dinas (paket)</t>
  </si>
  <si>
    <t>Tersedianya Peralatan Gedung Kantor (paket)</t>
  </si>
  <si>
    <t>Pemeliharaan Rutin/Berkala Rumah Jabatan</t>
  </si>
  <si>
    <t>Terpeliharanya kondisi rumah Jabatan (bulan)</t>
  </si>
  <si>
    <t>Terpeliharanya kondisi Gedung  kantor (bulan)</t>
  </si>
  <si>
    <t>Pemeliharaan Rutin/Berkala Mobil Jabatan</t>
  </si>
  <si>
    <t>Terpeliharanya Kondisi Mobil Jabatan (bulan)</t>
  </si>
  <si>
    <t>Pemeliharaan Rutin/Berkala Peralatan Rumah Jabatan/Dinas</t>
  </si>
  <si>
    <t>Terpeliharanya kondisi peralatan rumah Jabatan/dinas (bulan)</t>
  </si>
  <si>
    <t>Rehabilitasi Sedang/Berat Rumah Jabatan</t>
  </si>
  <si>
    <t>Program Peningkatan Kapasitas Sumber daya  Aparatur</t>
  </si>
  <si>
    <t>Bimbingan Teknis Implementasi Peraturan Per UU an</t>
  </si>
  <si>
    <t>4</t>
  </si>
  <si>
    <t>Program Peningkatan Disiplin Aparatur</t>
  </si>
  <si>
    <t>Meningkatnya disiplin Aparatur</t>
  </si>
  <si>
    <t>Pengadaan pakaian dinas beserta perlengkapannya</t>
  </si>
  <si>
    <t>Jumlah pakaian dinas yang disediakan (stel)</t>
  </si>
  <si>
    <t>Program Peningkatan Kapasitas Lembaga Perwakilan Rakyat Daerah</t>
  </si>
  <si>
    <t>Pembahasan Rancangan Peraturan Daerah</t>
  </si>
  <si>
    <t>Jumlah Peraturan dan Keputusan yang disahkan</t>
  </si>
  <si>
    <t>Hearing/Dialog dan Koordinasi dengan Pejabat Pemerintah Daerah dan Tokoh Masyarakat/Tokoh Agama</t>
  </si>
  <si>
    <t>Jumlah Rapat-Rapat Hearing/dialog yang dilaksanakan</t>
  </si>
  <si>
    <t>Rapat-rapat Alat Kelengkapan</t>
  </si>
  <si>
    <t>Rapat-rapat  Paripurna</t>
  </si>
  <si>
    <t>Jumlah Rapat-Rapat Paripurna</t>
  </si>
  <si>
    <t>Kegiatan Reses</t>
  </si>
  <si>
    <t xml:space="preserve">Terselenggaranya penyerapan aspirasi dari konstituen daerah pemilihan  </t>
  </si>
  <si>
    <t>Peningkatan Kapasitas Pimpinan dan Anggota DPRD</t>
  </si>
  <si>
    <t xml:space="preserve">Terselenggaranya kegiatan Peningkatan Kapasistas Pimpinan dan Anggota DPRD </t>
  </si>
  <si>
    <t>Konsultasi, Koordinasi dan Pembinaan Alat Kelengkapan DPRD</t>
  </si>
  <si>
    <t>Terselenggaranya konsultasi, koordinasi dan Pembinaan Alat Kelengkapan DPRD</t>
  </si>
  <si>
    <t>Konsultasi, Koordinasi dan Pembinaan Pimpinan DPRD</t>
  </si>
  <si>
    <t>Terselenggaranya konsultasi, koordinasi dan Pembinaan Pimpinan dan anggota DPRD</t>
  </si>
  <si>
    <t>Kunjungan Kerja Pimpinan dan Anggota DPRD Dalam dan Luar Daerah</t>
  </si>
  <si>
    <t>Terselenggaranya kunjungan kerja Pimpinan dan anggota DPRD</t>
  </si>
  <si>
    <t>General Check Up Pimpinan dan Anggota  DPRD</t>
  </si>
  <si>
    <t>Tersedianya kegiatan General Chech Up Pimpinan dan Anggota DPRD</t>
  </si>
  <si>
    <t>KEPEGAWAIAN</t>
  </si>
  <si>
    <t>terpenuhinya pelayanan adminstrasi perkantoran (bln)</t>
  </si>
  <si>
    <t>BKPSDM</t>
  </si>
  <si>
    <t>Meningkatnya sistem karir PNS</t>
  </si>
  <si>
    <t>Tersedianya jasa telpon, sumber daya air dan listrik (bln)</t>
  </si>
  <si>
    <t>Tersedianya alat tulis kantor untuk operasional BKPSDM (bln)</t>
  </si>
  <si>
    <t>Tersedianya barang cetakan dan penggadaan pada BKPSDM (bln)</t>
  </si>
  <si>
    <t>Tersedianya komponen instalasi listrik bangunan kantor BKPSDM  (bln)</t>
  </si>
  <si>
    <t>Tersedianya bahan bacaan (koran) dan peraturan perundang-undangan  (bln)</t>
  </si>
  <si>
    <t>Tersedianya makanan dan minuman pada BKPSDM  (bln)</t>
  </si>
  <si>
    <t>Terwujudnya koordinasi dan konsultasi ke luar daerah dengan instansi terkait (bln)</t>
  </si>
  <si>
    <t>Terwujudnya koordinasi dan konsultasi kedalam daerah dengan instansi terkait (bln)</t>
  </si>
  <si>
    <t>Tersedinya layanan sarpras bagi aparatur (bln)</t>
  </si>
  <si>
    <t>Jumlah Pengadaan Perlengkapan Gedung Kantor (jenis)</t>
  </si>
  <si>
    <t>Jumlah Pengadaan Peralatan Gedung Kantor (unit)</t>
  </si>
  <si>
    <t>Persentase pegawai yang memenuhi standar kompetensi</t>
  </si>
  <si>
    <t>Belanja kursus-kursus singkta/pelatihan</t>
  </si>
  <si>
    <t>Jumlah ASN yang mengikuti kursus dan pelatihan sigkat (org)</t>
  </si>
  <si>
    <t>Jumlah Pegawai ASN yang mengikuti Diklat Pengelolaan Keuangan Daerah (orang)</t>
  </si>
  <si>
    <t>Program Pembinaan dan Pengembangan Aparatur</t>
  </si>
  <si>
    <t>Seleksi Penerimaan Calon PNS</t>
  </si>
  <si>
    <t>Jumlah Pelamar yang Mengikuti Seleksi dan Diterima Menjadi PNS (orang)</t>
  </si>
  <si>
    <t>Pemberian Bantuan Tugas Belajar dan Ikatan Dinas</t>
  </si>
  <si>
    <t>Jumlah PNS yang Mendapatkan Bantuan Tugas Belajar dan Ikatan Dinas (orang)</t>
  </si>
  <si>
    <t>Penyelenggaraan Tim Penilaian Kinerja ASN</t>
  </si>
  <si>
    <t>Jumlah sidang yang dilakukan oleh Tim Penilaian Kinerja ASN (kali)</t>
  </si>
  <si>
    <t>Pengambilan Sumpah PNS dan Pelantikan Jabatan</t>
  </si>
  <si>
    <t>Jumlah diadakan acara Pengambilan Sumpah dan Pelantikan Jabatan (kali)</t>
  </si>
  <si>
    <t>Seleksi Jabatan Pimpinan Tinggi</t>
  </si>
  <si>
    <t>Jumlah Peserta Seleksi Jabatan Pimpinan Tinggi (orang)</t>
  </si>
  <si>
    <t>Penyelenggaraan Majelis Pertimbangan Pegawai</t>
  </si>
  <si>
    <t>Jumlah sidang yang dilakukan oleh Tim Majelis Pertimbangan Pegawai (kali)</t>
  </si>
  <si>
    <t>Penyusunan Formasi PNS</t>
  </si>
  <si>
    <t>Tercapainya Penyusunan Formasi PNS (orang)</t>
  </si>
  <si>
    <t>Pengelolaan administrasi mutasi pegawai</t>
  </si>
  <si>
    <t>Pemeriksaan Kasus PNS dan Masalah Perceraian</t>
  </si>
  <si>
    <t xml:space="preserve">Pembekalan Pasangan Pra Nikah </t>
  </si>
  <si>
    <t>Jumlah pasangan PNS yang akan dibekali (pasangan)</t>
  </si>
  <si>
    <t>Penilaian Evaluasi Kinerja</t>
  </si>
  <si>
    <t>Jumlah PNS yang dinilai (orang)</t>
  </si>
  <si>
    <t>Pengadaan Ujian Dinas dan Penyesuaian Ijazah</t>
  </si>
  <si>
    <t>Meningkatkan pelayanan kepegawaian</t>
  </si>
  <si>
    <t>Pengelolaan Sistem Informasi Manajemen Kepegawaian (SIMPEG) dan SAPK</t>
  </si>
  <si>
    <t>Pengelolaan tata naskah dinas</t>
  </si>
  <si>
    <t>Pengelolaan Administrasi Kepangkatan dan Pemakaian Gelar Pegawai</t>
  </si>
  <si>
    <t>Jumlah berkas PNS yang diproses untuk usulan kenaikan pangkat dan pemakaian gelar (berkas)</t>
  </si>
  <si>
    <t>Pengelolaan Administrasi Pensiun Pegawai</t>
  </si>
  <si>
    <t>Jumlah berkas PNS yang diproses untuk usulan BUP, janda/duda, APS dan MPP (berkas)</t>
  </si>
  <si>
    <t>Jumlah berkas PNS yang diprose usulan karpeg, karis/karsu dan taspen (berkas)</t>
  </si>
  <si>
    <t>Program Pendidikan Kedinasan</t>
  </si>
  <si>
    <t>Peningkatan keterampilan dan profesionalisme</t>
  </si>
  <si>
    <t>Jumlah PNS yang Mengikuti Pendidikan Pim II dan Pim III (orang)</t>
  </si>
  <si>
    <t>Diklat Kepemimpinan Tk. IV</t>
  </si>
  <si>
    <t>Jumlah Pegawai ASN yang mengikuti Diklat PIM Tk. IV (orang)</t>
  </si>
  <si>
    <t>Sosialisasi Perka BKN No. 2 Tahun 2018</t>
  </si>
  <si>
    <t>Diklat Prajabatan bagi Calon PNS</t>
  </si>
  <si>
    <t>Jumlah Peserta yang Mengikuti Diklat Prajabatan (orang)</t>
  </si>
  <si>
    <t>47</t>
  </si>
  <si>
    <t>Jumlah kendaraan dinas roda 2 (unit)</t>
  </si>
  <si>
    <t>Pengadaan Peralatan Rumah Jabatan/ Dinas</t>
  </si>
  <si>
    <t>Pemeliharaan Rutin/Berkala Peralatan Rumah Dinas/Jabatan</t>
  </si>
  <si>
    <t>Pemeliharaan Rutin/ Berkala Gedung Kantor</t>
  </si>
  <si>
    <t>Pemeliharaan Rutin/berkala Mobil Jabatan</t>
  </si>
  <si>
    <t>Pemeliharaan Rutin/ Berkala Kendaraan Dinas/Operasional</t>
  </si>
  <si>
    <t>Pemeliharaan Rutin/Berkala Perlengkapan Rumah Jabatan/Dinas</t>
  </si>
  <si>
    <t>Pemeliharaan Rutin/ Berkala Meubileur</t>
  </si>
  <si>
    <t xml:space="preserve">Program Peningkatan Disiplin Aparatur </t>
  </si>
  <si>
    <t xml:space="preserve">Pengadaan Pakaian Dinas Beserta Perlengkapan </t>
  </si>
  <si>
    <t xml:space="preserve">Program Peningkatan Kapasitas Sumber Daya Aparatur </t>
  </si>
  <si>
    <t>Pengelolaan Administrasi Kepegawaian</t>
  </si>
  <si>
    <t>Program Pengembangan Lingkungan Sehat</t>
  </si>
  <si>
    <t>Monitoring dan Evaluasi Unit Kesehatan Sekolah (UKS)</t>
  </si>
  <si>
    <t>Jumlah sekolah yang dibina</t>
  </si>
  <si>
    <t>Program Peningkatan Keamanan dan Kenyamanan Lingkungan</t>
  </si>
  <si>
    <t>Peningkatan Pengawasan Aliran Kepercayaan Masyarakat Kab.Pessel</t>
  </si>
  <si>
    <t>Jumlah aliran kepercayaan yang diawasi</t>
  </si>
  <si>
    <t>Operasionalisasi Tim Terpadu Penanganan Konflik Sosial</t>
  </si>
  <si>
    <t>Forum Koordinasi Pimpinan Daerah (Forkopimda)</t>
  </si>
  <si>
    <t>Komunitas Intelligen Daerah</t>
  </si>
  <si>
    <t xml:space="preserve">Jumlah Rekomendasi </t>
  </si>
  <si>
    <t>Operasionalisasi Unit Bantuan Tugas Sapu Bersih Pemberantasan Pungutan Liar Tingkat Kabupaten Pesisir Selatan</t>
  </si>
  <si>
    <t>Koordinasi dan Konsultasi pemeliharaan kantrantibmas dan pencegahan tindak kriminal</t>
  </si>
  <si>
    <t>Program Pengembangan Wawasan Kebangsaan</t>
  </si>
  <si>
    <t>Peningkatan Kesadaran Bela Negara</t>
  </si>
  <si>
    <t>Pelaksanaan Upacara Kesadaran Nasional dan Hari Besar Lainnya</t>
  </si>
  <si>
    <t>Jumlah pelaksanaan upacara hari kesadaran nasional dan hari besar lainnya</t>
  </si>
  <si>
    <t>Pelaporan RANHAM</t>
  </si>
  <si>
    <t>Peringatan Hari Jadi Pesisir Selatan</t>
  </si>
  <si>
    <t>Program Pemberdayaan Masyarakat Untuk Menjaga Ketertiban dan Keamanan</t>
  </si>
  <si>
    <t>Forum Kewaspadaan Dini Masyarakat</t>
  </si>
  <si>
    <t>Program Peningkatan Pemberantasan Penyakit Masyarakat (Pekat)</t>
  </si>
  <si>
    <t>Fasilitasi Pencegahan Penyalahgunaan Narkotika</t>
  </si>
  <si>
    <t>Jumlah sosialisasi pencegahan penyalahgunaan narkotika</t>
  </si>
  <si>
    <t>Program Pendidikan Politik  Masyarakat</t>
  </si>
  <si>
    <t>Pemantauan, Pelaporan dan Evaluasi Perkembangan Politik di Daerah</t>
  </si>
  <si>
    <t>Meneliti dan Memeriksa Persyaratan Administrasi Bantuan Keuangan Kepada Partai</t>
  </si>
  <si>
    <t>Program Kerjasama Informasi dengan  Media Massa</t>
  </si>
  <si>
    <t>Penyebarluasan Informasi Pembangunan Daerah</t>
  </si>
  <si>
    <t xml:space="preserve">Dokumentasi Kegiatan Pemerintah Daerah </t>
  </si>
  <si>
    <t>Jumlah publikasi dan promosi daerah</t>
  </si>
  <si>
    <t>Program Peningkatan Promosi dan Kerjasama Investasi</t>
  </si>
  <si>
    <t>Pameran Apkasi dan Sumbar Expo</t>
  </si>
  <si>
    <t>Program Peningkatan Peran serta Kepemudaan</t>
  </si>
  <si>
    <t>Pembinaan Hasil karya Pemuda Pelopor</t>
  </si>
  <si>
    <t>Program Pembinaan dan Pemasyarakatan Olahraga</t>
  </si>
  <si>
    <t>Pemasyarakatan Olahraga Aparatur</t>
  </si>
  <si>
    <t>Program Penyelamatan dan Pelestarian Dokumen/Arsip Daerah</t>
  </si>
  <si>
    <t>Pendataan dan Penataan Dokumen/Arsip Daerah</t>
  </si>
  <si>
    <t>Program Pembinaan dan Pengembangan Energi Baru dan Terbarukan</t>
  </si>
  <si>
    <t>Monitoring, Evaluasi dan Pelaporan Energi Bersubsidi</t>
  </si>
  <si>
    <t>Pengawasan Pupuk Bersubsidi dan Peptisida</t>
  </si>
  <si>
    <t>Monitoring, Evaluasi, Pelaporan dan Koordinasi LPG 3 Kg/Gas dan BBM</t>
  </si>
  <si>
    <t>Program Peningkatan Efisensi Perdagangan Dalam Negeri</t>
  </si>
  <si>
    <t>Forum Pengendalian Harga dan Inflasi Daerah</t>
  </si>
  <si>
    <t>62</t>
  </si>
  <si>
    <t>Monitoring dan Evaluasi Penyaluran Kredit Usaha Rakyat (KUR)</t>
  </si>
  <si>
    <t>Program Peningkatan Sistem Pengawasan Internal dan Pengendalian Pelaksanaan Kebijakan KDH</t>
  </si>
  <si>
    <t xml:space="preserve">Optimalisasi Fungsi Koordinasi Bidang Umum, Organisasi dan Keuangan </t>
  </si>
  <si>
    <t>Optimalisasi Fungsi Koordinasi Bidang Ekonomi, Pembangunan dan Kesra</t>
  </si>
  <si>
    <t>Optimalisasi Fungsi Koordinasi Bidang Pemerintahan, Politik dan Hukum</t>
  </si>
  <si>
    <t>Pengendalian Program Pembangunan Daerah</t>
  </si>
  <si>
    <t>Pemantapan dan Optimalisasi Fungsi Staf Ahli Bupati</t>
  </si>
  <si>
    <t>Koordinasi Pembangunan Daerah Kabupaten Pesisir Selatan</t>
  </si>
  <si>
    <t>Penyusunan Prosedur Kegiatan</t>
  </si>
  <si>
    <t>Pelaporan Pelaksanaan Kegiatan Pembangunan Daerah</t>
  </si>
  <si>
    <t>Penyusunan Harga Satuan Pokok Kegiatan</t>
  </si>
  <si>
    <t>Jumlah dokumen HSPK yang disusun</t>
  </si>
  <si>
    <t xml:space="preserve">Program Penataan dan Penyempurnaan Kebijakan Sistem dan Prosedur Pengawasan </t>
  </si>
  <si>
    <t xml:space="preserve">Persentase pelelangan yang sesuai dengan aturan yang berlaku            </t>
  </si>
  <si>
    <t>Persentase pengadaan barang/jasa yang dilaksanakan melalui SPSE</t>
  </si>
  <si>
    <t>Pembinaan dan Pengawasan Jasa Kontruksi</t>
  </si>
  <si>
    <t>Jumlah Pembinaan dan Pengawasan Jasa Konstruksi yang dilaksanakan</t>
  </si>
  <si>
    <t xml:space="preserve">Pembinaan dan Konsultasi Pengadaan Barang dan Jasa </t>
  </si>
  <si>
    <t>Pelayanan Pengadaan Secara Elektronik</t>
  </si>
  <si>
    <t>Fasilitasi Lelang dan Klarifikasi PBJ</t>
  </si>
  <si>
    <t>Jumlah Fasilitasi dan Klarifikasi Lelang</t>
  </si>
  <si>
    <t>Penyusunan Standar Dokumen Pengadaan Barang / Jasa Daerah</t>
  </si>
  <si>
    <t>Jumlah Standar Dokumen Pengadaan Barang dan Jasa</t>
  </si>
  <si>
    <t>Pengembangan Standar Operasional Prosedur Pengadaan Barang dan Jasa</t>
  </si>
  <si>
    <t>Jumlah Dokumen Standar Operasional Prosedur Barang dan Jasa</t>
  </si>
  <si>
    <t>Evaluasi, Pelaporan dan Pengelolaan Dokumen Pengadaan Barang dan Jasa</t>
  </si>
  <si>
    <t>Program Perencanaan Pembangunan Ekonomi</t>
  </si>
  <si>
    <t>Koordinasi Peningkatan Ekonomi Pesisir Selatan</t>
  </si>
  <si>
    <t>Pemeringkatan kompetensi camat</t>
  </si>
  <si>
    <t>Penilaian Kompetensi ASN</t>
  </si>
  <si>
    <t>3 besar</t>
  </si>
  <si>
    <t>Program Peningkatan Pelayanan Kedinasan Kepala Daerah / Wakil Kepala Daerah</t>
  </si>
  <si>
    <t>Peningkatan Etos Kerja Keprotokolan</t>
  </si>
  <si>
    <t>Pengembangan Pelayanan Kesehatan bagi kepala Daerah/Wakil Kepala Daerah</t>
  </si>
  <si>
    <t>Jumlah Pelayanan Kesehatan</t>
  </si>
  <si>
    <t>Program Penataan Peraturan Perundang-undangan</t>
  </si>
  <si>
    <t>Pembuatan Buku Lembaran Daerah dan SJDI Hukum</t>
  </si>
  <si>
    <t>Jumlah Buku SJDI yang Disusun</t>
  </si>
  <si>
    <t>Publikasi Peraturan Perundang-undangan</t>
  </si>
  <si>
    <t>Jumlah Lembaran daerah yang dipublikasi</t>
  </si>
  <si>
    <t>Validasi, Evaluasi dan Klarifikasi Keputusan Bupati dan Produk Hukum Pemerintah Nagari</t>
  </si>
  <si>
    <t>Jumlah Produk Hukum Nagari  yang Dievaluasi</t>
  </si>
  <si>
    <t>Penyusunan Peraturan Bupati</t>
  </si>
  <si>
    <t>Jumlah Peraturan Bupati yang difasilitasi</t>
  </si>
  <si>
    <t>Pembentukan Peraturan Daerah</t>
  </si>
  <si>
    <t>Fasilitasi Pembentukan Peraturan Daerah</t>
  </si>
  <si>
    <t>Program Penataan Kelembagaan dan Ketatausahaan Pemda</t>
  </si>
  <si>
    <t>Evaluasi Jabatan SKPD</t>
  </si>
  <si>
    <t>Jumlah Perangkat daerah yang di evaluasi jabatan</t>
  </si>
  <si>
    <t>Penataan dan Penguatan Kelembagaan</t>
  </si>
  <si>
    <t>Revisi 20 Perbup, 5 Laporan Kelembagaan</t>
  </si>
  <si>
    <t>Penyusunan Peraturan Daerah tentang OPD dan Peraturan Bupati tentang Jabatan Struktural</t>
  </si>
  <si>
    <t>Jumlah Ranperda dan ranperbup  tentang jabatan struktural</t>
  </si>
  <si>
    <t>Penataan Jabatan Perangkat Daerah</t>
  </si>
  <si>
    <t>Program Advokasi Pemerintah Daerah</t>
  </si>
  <si>
    <t>Persentase Sangketa  hukum yang difasilitasi</t>
  </si>
  <si>
    <t>Penyelesaian Sengketa Hukum</t>
  </si>
  <si>
    <t>Jumlah perkara hukum yang diselesaikan</t>
  </si>
  <si>
    <t>Fasilitasi Penyelenggaraan Pemerintah Daerah</t>
  </si>
  <si>
    <t>Jumlah fasilitasi Rakor Gubernur dangan Kabupaten Kota</t>
  </si>
  <si>
    <t>Fasilitasi Kerjasama Antar Daerah</t>
  </si>
  <si>
    <t>Jumlah Mou dan Perjanjian Kerjasama  (PKS) antar daerah</t>
  </si>
  <si>
    <t>Fasilitasi Kerjasama Rantau</t>
  </si>
  <si>
    <t>Jumlah fasilitasi nagari binaan perantau tingkat Kabupaten</t>
  </si>
  <si>
    <t>Fasilitasi Penegasan Batas Daerah dan Kecamatan</t>
  </si>
  <si>
    <t>Jumlah fasilitasi penetapan dan  penegasan batas nagari</t>
  </si>
  <si>
    <t>Penamaan Rupa Bumi dan Unsur Alami</t>
  </si>
  <si>
    <t>Koordinasi dan Pembinaan Kewilayahan</t>
  </si>
  <si>
    <t>Rapat Koordinasi Penyelenggaraan Pemerintah Kabupaten</t>
  </si>
  <si>
    <t xml:space="preserve">Program Peningkatan IMTAQ </t>
  </si>
  <si>
    <t xml:space="preserve">Peringkat  MTQ Pesisir selatan </t>
  </si>
  <si>
    <t>Peningkatan Imtaq bagi Pegawai di Lingkugan Pemda Kab. Pessel dan Penyelenggaraan Hari Besar Islam</t>
  </si>
  <si>
    <t>Jumlah ceramah agama yang dilaksanakan</t>
  </si>
  <si>
    <t>Tim Silaturahmi Pemda</t>
  </si>
  <si>
    <t>Jumlah Masjid yang dikunjungi</t>
  </si>
  <si>
    <t xml:space="preserve">Peningkatan Kapasitas KAN </t>
  </si>
  <si>
    <t>Jumlah KAN yang dibina</t>
  </si>
  <si>
    <t>Pengelolaan Pemberian Hibah Bansos</t>
  </si>
  <si>
    <t>Jumlah Proposal yang difasilitasi</t>
  </si>
  <si>
    <t>Pembinaan Lembaga Didikan Subuh</t>
  </si>
  <si>
    <t>Standarisasi MDTA, TPQ/TPSQ</t>
  </si>
  <si>
    <t>Jumlah sosialisasi Standarisasi MDQ TPQ/TPSQ yang dilaksanakan</t>
  </si>
  <si>
    <t>Persiapan dan Penyelenggaraan MTQ</t>
  </si>
  <si>
    <t>Koordinasi dan Konsultasi Kesejahteraan Rakyat dan Urusan Keagamaan</t>
  </si>
  <si>
    <t>Pembinaan Pondok Pesantren, MDTA, dan Pondok Alquran</t>
  </si>
  <si>
    <t>Jumlah Pondok Pesantren, MDTA, dan Pondok Alquran yang dibina</t>
  </si>
  <si>
    <t>Fasilitasi Penyelenggaraan Ibadah Haji</t>
  </si>
  <si>
    <t>Program Peningkatan Pengawasan Akuntabilitas Kinerja Aparatur</t>
  </si>
  <si>
    <t xml:space="preserve">Peningkatan Nilai AKIP Kabupaten   </t>
  </si>
  <si>
    <t>BB</t>
  </si>
  <si>
    <t>Penyusunan Lakip Kabupaten Pesisir Selatan</t>
  </si>
  <si>
    <t>Monev Kinerja SKPD</t>
  </si>
  <si>
    <t>Penyusunan Laporan Penyelenggaraan Pemerintah Daerah</t>
  </si>
  <si>
    <t>Jumlah Dokumen LPPD</t>
  </si>
  <si>
    <t>Koordinasi Penyusunan Laporan Keterangan Pertanggungjawaban (LKPJ)</t>
  </si>
  <si>
    <t>Jumlah dokumen LKPJ</t>
  </si>
  <si>
    <t>Program Pengembangan Manajemen Pelayanan Publik</t>
  </si>
  <si>
    <t>Tingkat Kepuasan Masyarakat</t>
  </si>
  <si>
    <t>Fasilitasi Pelaksanaan Inovasi Pelayanan Publik</t>
  </si>
  <si>
    <t>Jumlah inovasi pelayanan publik yang difasilitasi</t>
  </si>
  <si>
    <t xml:space="preserve">Indeks Kepuasan Masyarakat </t>
  </si>
  <si>
    <t>Jumlah PD pelayanan publik yang disurvey</t>
  </si>
  <si>
    <t>Peningkatan Manajemen Pelayanan Publik</t>
  </si>
  <si>
    <t>Jumlah laporan pelayanan publik</t>
  </si>
  <si>
    <t>Bagian Umum</t>
  </si>
  <si>
    <t>Bagian Keuangan</t>
  </si>
  <si>
    <t>Bagian Organisasi</t>
  </si>
  <si>
    <t>Bagian Kesra</t>
  </si>
  <si>
    <t>Bagian Kesbangpol</t>
  </si>
  <si>
    <t>Bagian Hukum</t>
  </si>
  <si>
    <t>Bagian Pemerintahan dan Otda</t>
  </si>
  <si>
    <t>Bagian Humas dan Protokoler</t>
  </si>
  <si>
    <t>Bagian Perekonomian</t>
  </si>
  <si>
    <t>Bag Perekonomian dan SDA</t>
  </si>
  <si>
    <t>Asisten III</t>
  </si>
  <si>
    <t>Asisten II</t>
  </si>
  <si>
    <t>Asisten I</t>
  </si>
  <si>
    <t>Bagian Pembangunan dan Insfrastruktur</t>
  </si>
  <si>
    <t>Staf Ahli</t>
  </si>
  <si>
    <t>Bagian Pembangunan</t>
  </si>
  <si>
    <t>Bagian Pengadaan Barang dan Jasa</t>
  </si>
  <si>
    <t>Bag Pemerintahan dan Otda</t>
  </si>
  <si>
    <t>72'</t>
  </si>
  <si>
    <t>Program Pengadaan, Peningkatan Sarana dan Prasarana Rumah Sakit/Rumah Sakit Jiwa/Rumah Sakit Paru-Paru/Rumah Sakit Mata</t>
  </si>
  <si>
    <t>Pengadaan Alat-Alat Kesehatan Rumah Sakit (DAK)</t>
  </si>
  <si>
    <t>Penggadaan Sarana dan Prasarana Rumah Sakit (DAK)</t>
  </si>
  <si>
    <t>Program Peningkatan dan Pengembangan  Pengelolaan Keuangan Daerah</t>
  </si>
  <si>
    <t>Rata-Rata Capaian Kenerja</t>
  </si>
  <si>
    <t>Peningkatan Menajemen Aset /Barang Daerah</t>
  </si>
  <si>
    <t>KESEHATAN</t>
  </si>
  <si>
    <t>DPA</t>
  </si>
  <si>
    <t>PROGRAM PENATAAN BANGUNAN DAN LINGKUNGAN</t>
  </si>
  <si>
    <t>PU</t>
  </si>
  <si>
    <t>PERKIM</t>
  </si>
  <si>
    <t>PERTANAHAN</t>
  </si>
  <si>
    <t>Panjang jalan yangdibangun (km)</t>
  </si>
  <si>
    <t>URUSAN KETENRAMAN UMUM DAN PERLINDUNGAN MASYARAKAT</t>
  </si>
  <si>
    <t>BADAN PENANGGULANGAN BENCANA DAERAH</t>
  </si>
  <si>
    <t>Pemenuhan layanan administrasi perkantoran (bln)</t>
  </si>
  <si>
    <t>Tersedianya biaya jasa telepon dan listrik (bln)</t>
  </si>
  <si>
    <t>Tersedianya jasa administrasi keuangan. (bln)</t>
  </si>
  <si>
    <t>Tersedinya jasa petugas kebersihan kantor (bln)</t>
  </si>
  <si>
    <t>Tersedianya Alat Tulis Kantor (bln).</t>
  </si>
  <si>
    <t>Penyediaan barang cetakan dan penggandaan.</t>
  </si>
  <si>
    <t>Tersedianya barang cetakan dan pengandaan (bln).</t>
  </si>
  <si>
    <t>Penyediaan komponen instalasi listrik/penerangan bangunan kantor.</t>
  </si>
  <si>
    <t>Tersedianya komponen instalasi listrik/penerangan bangunan kantor (bln).</t>
  </si>
  <si>
    <t>Penyediaan bahan bacaan dan peraturan perundang undangan.</t>
  </si>
  <si>
    <t>Tersedianya bahan bacaan/surat kabar (bln).</t>
  </si>
  <si>
    <t xml:space="preserve">Penyediaan Makanan dan Minuman </t>
  </si>
  <si>
    <t>Tersedianya makan minum rapat dan tamu kantor (bln).</t>
  </si>
  <si>
    <t>Rapat- rapat koordinasi dan konsultasi ke luar daerah</t>
  </si>
  <si>
    <t>Adanya rapat- rapat koordinasi dan konsultasi baik dalam propinsi maupun luar propinsi (bln).</t>
  </si>
  <si>
    <t>Renstra Dinas Nakertrans (dok)</t>
  </si>
  <si>
    <t>Rapat- rapat koordinasi dan konsultasi dalam  daerah</t>
  </si>
  <si>
    <t>Adanya rapat- rapat koordinasi dan konsultasi se kecamatan dalam kabupaten (bln).</t>
  </si>
  <si>
    <t>Monitoring dan evaluasi pelaksanaan program dan kegiatan</t>
  </si>
  <si>
    <t>Laporan triwulan pelaksanaan Monev (dok)</t>
  </si>
  <si>
    <t>Program Peningkatan sarana dan Prasarana Aparatur</t>
  </si>
  <si>
    <t>Pemenuhan sarpras penunjang kerja (Bln)</t>
  </si>
  <si>
    <t>Pemeliharaan Rutin/Berkala peralatan gedung kantor.</t>
  </si>
  <si>
    <t>Terlaksananya pemeliharaan peralatan gedung dan halaman kantor (bln).</t>
  </si>
  <si>
    <t>Tersedianya mobiler kantor (bln).</t>
  </si>
  <si>
    <t>Terlaksananya pemeliharaan gedung kantor (bln).</t>
  </si>
  <si>
    <t>Rehab sedang/ berat gedung kantor</t>
  </si>
  <si>
    <t>Terlaksananya rehab sedang/ berat sarana dan prasarana BLK</t>
  </si>
  <si>
    <t>Persentase aparatur yang berkompeten (%)</t>
  </si>
  <si>
    <t>Bimbingan Teknis implementasi peraturan perundang-undangan.</t>
  </si>
  <si>
    <t>Jumlah aparatur yang mengikuti pendidikan (org)</t>
  </si>
  <si>
    <t>Program peningkatan kualitas dan produktivitas tenaga kerja</t>
  </si>
  <si>
    <t>Pendidikan dan pelatihan keterampilan bagi pencari kerja.</t>
  </si>
  <si>
    <t>Jumlah peserta pelatihan (org)</t>
  </si>
  <si>
    <t>Pemeliharaan peralatan Workshop BLK Painan</t>
  </si>
  <si>
    <t>jumlah peralatan workshop yang dipelihara (unit)</t>
  </si>
  <si>
    <t>Peningkatan profesionalisme tenaga kepelatihan dan instruktur BLK</t>
  </si>
  <si>
    <t>Pemeliharaan rutin/ berkala sarana dan prasarana BLK</t>
  </si>
  <si>
    <t>Program peningkatan kesempatan kerja</t>
  </si>
  <si>
    <t>Penyebarluasan informasi bursa tenaga kerja.</t>
  </si>
  <si>
    <t>Publikasi yang dilaksanakan (bln)</t>
  </si>
  <si>
    <t>Penyusunan Perencanaan Tenaga Kerja Daerah (PTKD)</t>
  </si>
  <si>
    <t>Buku PTKD (dok)</t>
  </si>
  <si>
    <t>Program Perlindungan dan  Pengembangan lembaga ketenagakerjaan</t>
  </si>
  <si>
    <t>Peningkatan pengawasan, perlindungan dan penegakan hukum terhadap keselamatan dan kesehatan kerja.</t>
  </si>
  <si>
    <t>pengawasan yang dilaksanakan (bln)</t>
  </si>
  <si>
    <t>Peningkatan Pembinaan Hubungan Industrial</t>
  </si>
  <si>
    <t>Pembinaan yang dilaksanakan (bln)</t>
  </si>
  <si>
    <t>Program Keluarga Berencana</t>
  </si>
  <si>
    <t>Pembinaan Keluarga Berencana</t>
  </si>
  <si>
    <t>URUSAN KOMUNIKASI DAN INFORMATIKA</t>
  </si>
  <si>
    <t>Program Pelayanan Adminsitrasi Perkantoran</t>
  </si>
  <si>
    <t>Penyedian Jasa Komunikasi,Sumber Daya Air dan Listrik</t>
  </si>
  <si>
    <t>Tersedianya listrik, air dan telfon (bln)</t>
  </si>
  <si>
    <t>Penyedian Jasa Adminstrasi Keuangan</t>
  </si>
  <si>
    <t>Terselenggaranya jasa administrasi keuangan (bln)</t>
  </si>
  <si>
    <t>Penyediaan  Jasa Kebersihan Kantor</t>
  </si>
  <si>
    <t>Terselenggaranya jasa kebersihan kantor (bln)</t>
  </si>
  <si>
    <t>Penyediaan  Jasa Perbaikan Peralatan Kerja</t>
  </si>
  <si>
    <t>Terselenggaranya perbaikan peralatan kerja (bln)</t>
  </si>
  <si>
    <t>Tersedianya barang cetakan dan penggandaan (bln)</t>
  </si>
  <si>
    <t>Penyediaan Komponen Instalansi listrik Penerangan Bangunan Kantor</t>
  </si>
  <si>
    <t>Tersedianya peralatan penerangan (bln)</t>
  </si>
  <si>
    <t>Penyediaan Bahan Bacaan  dan Peraturan Perundang-undangan</t>
  </si>
  <si>
    <t>Tersediaan bahan bacaan dan peraturan perundang- undangan (bln)</t>
  </si>
  <si>
    <t>Tersedianya makanan dan minuman (bln)</t>
  </si>
  <si>
    <t>jenis dokumen perencanaan dan laporan (dok)</t>
  </si>
  <si>
    <t>Pemeliharaan Rutin/Berkala Perlengkapan  Gedung Kantor</t>
  </si>
  <si>
    <t>Pengadaan kendaraan roda dua</t>
  </si>
  <si>
    <t>Penggadaan Peralatan kantor</t>
  </si>
  <si>
    <t>Program Kerjasma Informasi dan Media Massa</t>
  </si>
  <si>
    <t>Pengumpulan dan Penyebaran Informasi Daerah melalui Website</t>
  </si>
  <si>
    <t>Jumlah berita dan artikel yang diterbitkan (buah)</t>
  </si>
  <si>
    <t>Jumlah publikasi yang dilaksanakan (paket)</t>
  </si>
  <si>
    <t>Program Peningkatan Akses Informasi dan Komunikasi</t>
  </si>
  <si>
    <t>Pengembangan dan pemberdayaan Kelompok Informasi Masyarakat</t>
  </si>
  <si>
    <t>Operasional Penerangan Keliling,Pameran dan Posko Informasi</t>
  </si>
  <si>
    <t>Operasional LPPL Radio Langkisau FM</t>
  </si>
  <si>
    <t>beroperasinya Radio Langkisau (bln)</t>
  </si>
  <si>
    <t>Operasional Pelayanan Informasi Publik</t>
  </si>
  <si>
    <t>Pembuatan Master Plan Teknologi Informasi Komunikasi Kab.Pesisir Selatan</t>
  </si>
  <si>
    <t>Perencanaan  dan Pengembangan Kebijakan Komunikasi dan Informatika</t>
  </si>
  <si>
    <t>Pembangunan infrastruktur TIK Kab.Pessel</t>
  </si>
  <si>
    <t>Penyediaan Data Pesisir Selatan Dalam Angka</t>
  </si>
  <si>
    <t xml:space="preserve">Pembuatan Peraturan Perundang-undangan </t>
  </si>
  <si>
    <t>Program Fasilitasi Peningkatan SDM Bidang Komunikasi dan Informatika</t>
  </si>
  <si>
    <t>Pelatihan SDM dalam bidang komunikasi dan informasi</t>
  </si>
  <si>
    <t>Pembangunan dan Pengembangan Program Aplikasi Elektronik</t>
  </si>
  <si>
    <t>Aplikasi Elektronik Pemerintah (buah)</t>
  </si>
  <si>
    <t>Pengembangan Smart City</t>
  </si>
  <si>
    <t>Layanan internet dan intranet (bln)</t>
  </si>
  <si>
    <t>Terlaksanaya Perawatan jaringan dan komunikasi data (bln)</t>
  </si>
  <si>
    <t>Pembangunan Jaringan Pemda Mandiri FO</t>
  </si>
  <si>
    <t>URUSAN PENANAMAN MODAL DAN PELAYANAN PERIZINAN</t>
  </si>
  <si>
    <t>Rata-rata Capaian Kinerja</t>
  </si>
  <si>
    <t>Pengumpulan data statistik sektoral</t>
  </si>
  <si>
    <t>Data Pesisir Selatan Dalam Angka (buku)</t>
  </si>
  <si>
    <t>Penyelenggaraan Persandian dan Keamanan  informasi daerah</t>
  </si>
  <si>
    <t>Program pembinaan olah raga berprestasi</t>
  </si>
  <si>
    <t>kominfo'</t>
  </si>
  <si>
    <t>statistik</t>
  </si>
  <si>
    <t>.01</t>
  </si>
  <si>
    <t>Terlaksananya administrasi pelayanan perkantoran (bln)</t>
  </si>
  <si>
    <t>Rekening listrik air, telpon (bln)</t>
  </si>
  <si>
    <t>.07</t>
  </si>
  <si>
    <t>Honor pengelola kegiatan (bln)</t>
  </si>
  <si>
    <t>.08</t>
  </si>
  <si>
    <t>operasional kebersihan kantor (bln)</t>
  </si>
  <si>
    <t>.09</t>
  </si>
  <si>
    <t>terpeliharanya peralatan kerja (bln)</t>
  </si>
  <si>
    <t>.10</t>
  </si>
  <si>
    <t>.11</t>
  </si>
  <si>
    <t>terpenuhinya kebutuhan barang cetakan dan penggandaan (bln)</t>
  </si>
  <si>
    <t>.12</t>
  </si>
  <si>
    <t>tersedianya peralatan listrik (bln)</t>
  </si>
  <si>
    <t>tersedianya koran, buku (bln)</t>
  </si>
  <si>
    <t>.17</t>
  </si>
  <si>
    <t>makan rapat, tamu (bln)</t>
  </si>
  <si>
    <t>.18</t>
  </si>
  <si>
    <t>operasional rapat ke propinsi dan luar propinsi (bln)</t>
  </si>
  <si>
    <t>.20</t>
  </si>
  <si>
    <t>survei, peninjauan lapangan (bln)</t>
  </si>
  <si>
    <t>.22</t>
  </si>
  <si>
    <t>cetak RKA, RENSTRA, LKPJ, RKPD, dan laporan lainnya</t>
  </si>
  <si>
    <t>tersedianya sarpras penunjang (bln)</t>
  </si>
  <si>
    <t>pemeliharaan rutin (bln)</t>
  </si>
  <si>
    <t>Pengadaan kendaraan dinas (unit)</t>
  </si>
  <si>
    <t>Terlaksananya rehab gedung kantor (paket)</t>
  </si>
  <si>
    <t>Terlaksananya pemeliharaan rutin kendaraan dinas (bln)</t>
  </si>
  <si>
    <t>Program Peningkatan Promosi dan Kerja Sama Investasi</t>
  </si>
  <si>
    <t>Jumlah investor yang menanamkan modal</t>
  </si>
  <si>
    <t>Promosi Investasi di Dalam Negeri</t>
  </si>
  <si>
    <t>Jumlah promosi yang dilaksanakan (kegiatan)</t>
  </si>
  <si>
    <t>Pelayanan kerjasama Investasi</t>
  </si>
  <si>
    <t>jumlah MOU antara investor dengan Pemerintahan daerah</t>
  </si>
  <si>
    <t>Pendataan Realisasi Investasi Non Fasilitas dan RT</t>
  </si>
  <si>
    <t>Pelayanan Penanaman Modal</t>
  </si>
  <si>
    <t>Pengembangan Sistem Pelayanan Perizinan yang berbasis teknologi</t>
  </si>
  <si>
    <t>Lokakarya penyusunan LKPM</t>
  </si>
  <si>
    <t>Koordinasi bidang penanaman modal</t>
  </si>
  <si>
    <t>Pengawasan dan pengendalian penanaman modal</t>
  </si>
  <si>
    <t>Program Peningkatan pelayanan Publik Bidang Perizinan</t>
  </si>
  <si>
    <t>Jumlah perizinan dan non perizinan yang diterbitkan</t>
  </si>
  <si>
    <t>Operasional penyelenggaraan perizinan</t>
  </si>
  <si>
    <t>Monitoring dan evaluasi pelayanan perizinan</t>
  </si>
  <si>
    <t>Laporan triwulan hasil monev penanaman modal (dok)</t>
  </si>
  <si>
    <t>Survey indek kepuasan masyarakat</t>
  </si>
  <si>
    <t>Jumlah jajak pendapat yang dilakukan</t>
  </si>
  <si>
    <t>Penyusunan Regulasi Penanaman Modal</t>
  </si>
  <si>
    <t xml:space="preserve"> Naskah akademis ranperda</t>
  </si>
  <si>
    <t>Sosialisasi peraturan perizinan dan non perizinan</t>
  </si>
  <si>
    <t>Penyelesaian Permasalahan Pengaduan Perizinan</t>
  </si>
  <si>
    <t>Publikasi Perizinan, Penanaman Modal dan Peluang Investasi</t>
  </si>
  <si>
    <t>Pendidikan</t>
  </si>
  <si>
    <t>Kebudayaan</t>
  </si>
  <si>
    <t>URUSAN KEARSIPAN</t>
  </si>
  <si>
    <t>PERENCANAAN</t>
  </si>
  <si>
    <t>PROGRAM PELAYANAN ADM PERKATORAN</t>
  </si>
  <si>
    <t>Jumlahbulan pelayanan  pramu  kantor (bln)</t>
  </si>
  <si>
    <t>ketersediaan listrik, air, telfon (bln)</t>
  </si>
  <si>
    <t>ketersediaan layanan administrasi keuangan (bln)</t>
  </si>
  <si>
    <t>Ketersediaan jasa kebersihan kantor (bln)</t>
  </si>
  <si>
    <t>ketersediaan perawatan bagi peralatan kerja (bln)</t>
  </si>
  <si>
    <t>ketersediaan ATK (bln)</t>
  </si>
  <si>
    <t>Peny. Barang Cetakan dan Penggandaan</t>
  </si>
  <si>
    <t>Ketersediaan barang cetak dan penggandaan (bln)</t>
  </si>
  <si>
    <t>Penyediaan Komponen Instalasi Listrik/ Penerangan Bangunan Kantor</t>
  </si>
  <si>
    <t>Ketersediaan komponen instalasi listrik/ penerangan (bln)</t>
  </si>
  <si>
    <t>Peny. Bahan Bacaan dan Peraturan Perundang-undangan</t>
  </si>
  <si>
    <t>ketersediaan bahan bacaan dan peraturan perundang undangan (bln)</t>
  </si>
  <si>
    <t>Peny. Makanan dan Minuman</t>
  </si>
  <si>
    <t>Ketersediaan makan dan minum pegawai, rapat dan tamu (bln)</t>
  </si>
  <si>
    <t>Ketersediaan operasional untuk rapat-rapat koordinasi  dan konsultasi keluar daerah (bln)</t>
  </si>
  <si>
    <t>Tersedianya jasa pengaman kantor (bln)</t>
  </si>
  <si>
    <t>Rapat-rapat dan Koordinasi Dalam Daerah</t>
  </si>
  <si>
    <t>Ketersediaan operasional untuk rapat-rapat koordinasi  dan konsultasi dalam daerah (bln)</t>
  </si>
  <si>
    <t>Penunjang  operasional perencanaan dan pelaporan</t>
  </si>
  <si>
    <t>Jumlah dokumen perencanaan yang tersedia</t>
  </si>
  <si>
    <t>PROGRAM PENINGKATAN SARANA DAN PRASARANA APARATUR</t>
  </si>
  <si>
    <t>Terpenuhinya sarana dan prasarana bagi aparatur (bln)</t>
  </si>
  <si>
    <t>Pemeliharaan Rutin/ berkala Gedung Kantor</t>
  </si>
  <si>
    <t>Terlaksanaya pemeliharaan gedung kantor (bln)</t>
  </si>
  <si>
    <t>Pemeliharaan Rutin/ berkala Kendaraan Dinas/ Operasional</t>
  </si>
  <si>
    <t>Tersediannya BBM, service, suku cadang, jasa KIR dan pembayaran STNK bagi kendaraan dinas operasional (bln)</t>
  </si>
  <si>
    <t>PROGRAM KERJASAMA PEMBANGUNAN</t>
  </si>
  <si>
    <t>Koordinasi Spasial, Kerjasama Wilayah dan Perbatasan</t>
  </si>
  <si>
    <t>PROGRAM PENGEMBANGAN DATA INFORMASI</t>
  </si>
  <si>
    <t>Forum Data kabupaten Pesisir Selatan</t>
  </si>
  <si>
    <t>dokumen SIPD (dok)</t>
  </si>
  <si>
    <t>dokumen SDP2D (dok)</t>
  </si>
  <si>
    <t>tersebarnya informasi  pelaksanaan pembanggunan (%)</t>
  </si>
  <si>
    <t>PROGRAM PERENCANAAN PRASARANA WILAYAH DAN SDA</t>
  </si>
  <si>
    <t>Koordinasi Perencanaan Bidang Prasarana Wilayah</t>
  </si>
  <si>
    <t>Koordinasi program IPDMIP Kab, Pessel</t>
  </si>
  <si>
    <t>Terkoordinasikannya kegiatan IPDMIP (bln)</t>
  </si>
  <si>
    <t>Koordinasi Perencanaan SDA dan LH</t>
  </si>
  <si>
    <t>PROGRAM PERENCANAAN PEMBANGUNAN DAERAH</t>
  </si>
  <si>
    <t>Penyelenggaraan Musrenbang RKPD</t>
  </si>
  <si>
    <t>terselenggaranya musrenbang kabupaten (kali)</t>
  </si>
  <si>
    <t>Penyusunan Rancangan RKPD</t>
  </si>
  <si>
    <t>Perbup tentang RKPD (dok)</t>
  </si>
  <si>
    <t xml:space="preserve">Penyusunan Nota Kesepakatan KUA dan PPA  RAPBD Kab. Pessel </t>
  </si>
  <si>
    <t xml:space="preserve">Penyusunan Nota Kesepakatan KUA dan PPA APBD Perubahan </t>
  </si>
  <si>
    <t>Fasilitasi dan sinkronisasi RPJM  Nagari</t>
  </si>
  <si>
    <t>RPJMD Nagari yang telah singkron dengan RPJMD (dok)</t>
  </si>
  <si>
    <t>Koodinasi penyusunan  perencanaan dan penganggaran daerah</t>
  </si>
  <si>
    <t>Terlaksananya rapat dan Pertemuan Penyusunan Perencanaan Anggaran (bln)</t>
  </si>
  <si>
    <t>Pengelolaan Sistem Informasi perencanaan pembangunan Daerah</t>
  </si>
  <si>
    <t>Terkelolanya psistem perencanaan pembangunan secara onlone (bln)</t>
  </si>
  <si>
    <t>Evaluasi RKPD</t>
  </si>
  <si>
    <t>Laporan triwulan  evaluasi RKPD (dok)</t>
  </si>
  <si>
    <t>Monitoring, Evaluasi Pengendalian dan Pelaporan Pelaksanaan Rencana pembangunan</t>
  </si>
  <si>
    <t>Laporan triwulan hasil monev pelaksanaan DAK dan TP (dok)</t>
  </si>
  <si>
    <t>Penyusunan Perjanjian Kinerja</t>
  </si>
  <si>
    <t>Perjanjian Kinerja Eselon,II,III,IV dengan Renja dan Renstra (dok)</t>
  </si>
  <si>
    <t>PROGRAM  PERENCANAAN PENGEMBANGAN KOTA-KOTA MENENGAH DAN BESAR</t>
  </si>
  <si>
    <t>Koordinasi program pembangunan sanitasi dan permukiman (PPSP)</t>
  </si>
  <si>
    <t xml:space="preserve">Penunjang Program Penyediaan Air Minum dan Sanitasi Masyarakat (PAMSIMAS) </t>
  </si>
  <si>
    <t>PROGRAM PERENCANAAN SOSIAL BUDAYA</t>
  </si>
  <si>
    <t>Koordinasi Perencanaan Pembangunan Bidang Sosial Budaya</t>
  </si>
  <si>
    <t>Terkoordinasikannya perencanaan pembangunan lingkup bidang sosial budaya (bln)</t>
  </si>
  <si>
    <t>PROGRAM PERENCANAAN PEMBANGUNAN EKONOMI</t>
  </si>
  <si>
    <t>Koordinasi Perencanaan Pembangunan Bidang Ekonomi</t>
  </si>
  <si>
    <t>Koordinasi penanggulangan kemiskinan daerah</t>
  </si>
  <si>
    <t>Buku Strategi Penanggulangan Kemiskinan Daerah (dok)</t>
  </si>
  <si>
    <t>koodinasi percepatan pemb. Kawasan perdesaan</t>
  </si>
  <si>
    <t xml:space="preserve"> Rata-Rata Capaian Kinerja</t>
  </si>
  <si>
    <t>Program Pengembangan Sistem Inovasi Daerah</t>
  </si>
  <si>
    <t>Perumusan dan Penajaman Sistem Inovasi Daerah</t>
  </si>
  <si>
    <t>Program Penelitian Pengembangan Pemanfaatan SDM &amp; IPTEK Daerah</t>
  </si>
  <si>
    <t>Koordinasi kelitbangan</t>
  </si>
  <si>
    <t>Kajian Kebijakan Pusat dan Daerah di Kab. Pesisir Selatan</t>
  </si>
  <si>
    <t>Program Peningkatan Kelembagaan dan Sumber Daya Kelitbangan</t>
  </si>
  <si>
    <t>Penguatan kerjasama kelitbangan</t>
  </si>
  <si>
    <t>Litbang</t>
  </si>
  <si>
    <t>Perencanaan</t>
  </si>
  <si>
    <t>sisa</t>
  </si>
  <si>
    <t xml:space="preserve">Penyerbaluasan Informasi Pembangunan </t>
  </si>
  <si>
    <t>SEKRETARIAT DAERAH</t>
  </si>
  <si>
    <t>Setda</t>
  </si>
  <si>
    <t>Jumlah tagihan pengiriman surat menyurat (bln)</t>
  </si>
  <si>
    <t>Jumlah tagihan rekening listrik dan air</t>
  </si>
  <si>
    <t>Penyediaan Jasa Peralatan dan Perlengkapan Kantor</t>
  </si>
  <si>
    <t>Jumlah peralatan dan perlengkapan kantor yang disewa (bln)</t>
  </si>
  <si>
    <t>Jumlah biaya honorarium pengelola keuangan (bln)</t>
  </si>
  <si>
    <t>Jumlah peralatan kerja yang diperbaiki (bln)</t>
  </si>
  <si>
    <t>Penyediaan Komponen Instalasi Listrik / Penerangan Bangunan Kantor</t>
  </si>
  <si>
    <t>Jumlah Koordinasi dan Konsultasi ke luar daerah yang diikuti (bln)</t>
  </si>
  <si>
    <t>Jumlah Koordinasi dan Konsultasi ke dalam daerah yang diikuti (bln)</t>
  </si>
  <si>
    <t>Penyediaan  Jasa Tenaga Kerja Non PNS</t>
  </si>
  <si>
    <t>Jumlah Dokumen Perencanaan dan Pelaporan Sekretariat Daerah (bln)</t>
  </si>
  <si>
    <t>35</t>
  </si>
  <si>
    <t>Penyusunan dan Finalisasi Laporan Keuangan</t>
  </si>
  <si>
    <t>Jumlah Laporan Keuangan yang disusun (bln)</t>
  </si>
  <si>
    <t xml:space="preserve">Rapat-rapat Koordinasi dan Konsultasi ke Luar Provinsi </t>
  </si>
  <si>
    <t xml:space="preserve">Jumlah rumusan yang dihasilkan dari Dewan </t>
  </si>
  <si>
    <t>URUSAN TRANSMIGRASI</t>
  </si>
  <si>
    <t>Program Pengembangan Wilayah Transmigrasi</t>
  </si>
  <si>
    <t>Fasilitasi Dukungan KTM Lunang Silaut</t>
  </si>
  <si>
    <t>Pendampingan dana pembantuan KTM Lunang Silaut.</t>
  </si>
  <si>
    <t>Pembinaan Usaha Transmigrasi</t>
  </si>
  <si>
    <t>Jumlah kelompok tyang dibina</t>
  </si>
  <si>
    <t>Perencanaan Fasilitas dukungan KTM</t>
  </si>
  <si>
    <t>Pembangunan, peningkatan dan pemeliharaan jalan/ jembatan dikawasan transmigrasi (DAK Fisik Afirmasi)</t>
  </si>
  <si>
    <t>RSUD ZEIN PAINAN</t>
  </si>
  <si>
    <t>Penyediaan peralatan dan perlengkapan kantor</t>
  </si>
  <si>
    <t>Penyediaan Jasa Tenaga Kerja Non PNS</t>
  </si>
  <si>
    <t>Pengadaan meubiler</t>
  </si>
  <si>
    <t>pemeliharaan rutin/ berkala gedung kantor</t>
  </si>
  <si>
    <t>pemeliharaan rutin/ berkala kendaraan dinas/ operasional</t>
  </si>
  <si>
    <t>Pengadaan Kendaraan Dinas/ Operasional</t>
  </si>
  <si>
    <t>Pelaksanaan Peringatan Hari Besar Nasional</t>
  </si>
  <si>
    <t>Jumlah pelaksanaan hari besar perhubungan</t>
  </si>
  <si>
    <t>Program Peningkatan Displin Aparatur</t>
  </si>
  <si>
    <t>Persentase peningkatan disiplin aparatur</t>
  </si>
  <si>
    <t>Pengadaan Pakaian Dinas Beserta Kelengkapannya (PDH)</t>
  </si>
  <si>
    <t>Program Peningkatan Pengembangan Sistem Pelaporan Capaian Kinerja dan Keuangan</t>
  </si>
  <si>
    <t>Monitoring dan Evaluasi Kegiatan</t>
  </si>
  <si>
    <t>Program Pembangunan Prasarana dan Fasilitas Perhubungan</t>
  </si>
  <si>
    <t>Pembangunan Fasilitas Transportasi (DAK)</t>
  </si>
  <si>
    <t>Pembangunan Fasilitas Transportasi (Penunjang DAK)</t>
  </si>
  <si>
    <t>Rehabilitasi/Pemeliharaan Alat Keselamatan Lalu Lintas</t>
  </si>
  <si>
    <t>Jumlah alat keselamatan lalu lintas yang terpelihara</t>
  </si>
  <si>
    <t>Rehabilitas Sarana dan Prasarana Fasilitas Pos Retribusi (TPR)</t>
  </si>
  <si>
    <t>Program peningkatan pelayanan angkutan</t>
  </si>
  <si>
    <t>Penunjang Kegiatan WTN</t>
  </si>
  <si>
    <t>Operasional pengamanan lalu lintas angkutan laut</t>
  </si>
  <si>
    <t>Pelajar Pelopor Keselamatan Berlalu lintas</t>
  </si>
  <si>
    <t>Pemilihan Sopir Teladan (Abiyasa)</t>
  </si>
  <si>
    <t>Operasional Transportasi Pelayanan Pendidikan</t>
  </si>
  <si>
    <t>Pelayanan Terminal dan Perparkiran</t>
  </si>
  <si>
    <t>Program Pembangunan Sarana dan Prasarana Perhubungan</t>
  </si>
  <si>
    <t>Pembangunan Pagar,Taman Kantor dan Papan Nama (Merk Dinas)</t>
  </si>
  <si>
    <t>Pengembangan Pembangunan Pelabuhan</t>
  </si>
  <si>
    <t>Program Pengendalian Pengamanan Lalu lintas</t>
  </si>
  <si>
    <t>Pembangunan Penerangan jalan Umum</t>
  </si>
  <si>
    <t>Pemeliharaan rutin/berkala Penerangan Jalan Umum</t>
  </si>
  <si>
    <t>Pengadaan Rambu-Rambu RPPJ</t>
  </si>
  <si>
    <t>Pengadaan dan Pemasangan Alat Keselamatan Lalu Lintas</t>
  </si>
  <si>
    <t>Pengadaan Alat Uji Mekanis PKB</t>
  </si>
  <si>
    <t>Jumlah Pengadaan alat uji mekanis PKB</t>
  </si>
  <si>
    <t>Program Pengembangan data/ Informasi</t>
  </si>
  <si>
    <t>Penyebarluasan informasi pembangunan</t>
  </si>
  <si>
    <t>Progam Peningkatan dan Pengembangan Pengelolaan Keuangan Daerah</t>
  </si>
  <si>
    <t>Persentase Peningkatan dan Pengembangan Pengelolaan Keuangan</t>
  </si>
  <si>
    <t>Pelayanan Pemungutan Pajak dan Retribusi Daerah</t>
  </si>
  <si>
    <t>Rata-RataCapaian Kinerja</t>
  </si>
  <si>
    <t>naker</t>
  </si>
  <si>
    <t>Program Peningkatan Mutu Pelayanan Kesehatan BLUD</t>
  </si>
  <si>
    <t>RSUD Dr. M. Zein Painan</t>
  </si>
  <si>
    <t>Kegiatan penyediaan Kebutuhan Pelayanan BLUD</t>
  </si>
  <si>
    <t>Program Upaya Kesehatan Masyarakat</t>
  </si>
  <si>
    <t>Kegiatan Peningkatan dan Penanggulangan Masalah Kesehatan</t>
  </si>
  <si>
    <t>Program Pengadaan, Peningkatan sarana dan prasarana rumah sakit/Rumah sakit jiwa/Rumah sakit Paru-paru/rumah sakit Mata</t>
  </si>
  <si>
    <t>Pengadaan IPAL (DAK)</t>
  </si>
  <si>
    <t>Pengadaann alat kesehatan (Penunjang DAK)</t>
  </si>
  <si>
    <t>Kegiatan pengadaan alat kesehatan</t>
  </si>
  <si>
    <t>Kegiatan pengadaan alat CSSD</t>
  </si>
  <si>
    <t>Kegiatan pengadaan Radiologi</t>
  </si>
  <si>
    <t>URUSAN PERTANIAN</t>
  </si>
  <si>
    <t>DINAS TANAMAN PANGAN, HORTIKULTURA DAN PERKEBUNAN</t>
  </si>
  <si>
    <t>Tersedianya jasa komunikasi, sumber daya air dan listrik (bulan)</t>
  </si>
  <si>
    <t>Tersedianya layanan jasa administrasi keuangan perkantoran (bulan)</t>
  </si>
  <si>
    <t>Tersedianya layanan jasa kebersihan kantor/ cleaning service (bulan)</t>
  </si>
  <si>
    <t>Terpeliharanya peralatan kerja dinas (bulan)</t>
  </si>
  <si>
    <t>Tersedianya ATK dinas dan UPTD/ BPK (bulan)</t>
  </si>
  <si>
    <t>Tersedianya cetakan dan penggandaan dinas (bulan)</t>
  </si>
  <si>
    <t>Tersedianya komponen listrik kantor (bulan)</t>
  </si>
  <si>
    <t>Teredianya bahan bacaan dan perundang - undangan (bulan)</t>
  </si>
  <si>
    <t>Tersedianya makan minum rapat dinas dan tamu dinas (bulan)</t>
  </si>
  <si>
    <t>Lancarnya koordinasi dan konsultasi dengan lembaga di luar daerah (bulan)</t>
  </si>
  <si>
    <t>Lancarnya koordinasi dan konsultasi dengan lembaga di dalam daerah (bulan)</t>
  </si>
  <si>
    <t>Program Peningkatan Prasarana dan Sarana Aparatur</t>
  </si>
  <si>
    <t>Tersedianya kendaraan roda dua dinas (unit)</t>
  </si>
  <si>
    <t>Tersedianya peralatan dan perlengkapan kantor yang representati (paket)</t>
  </si>
  <si>
    <t>Tersedianya mebeleur yang representatif (unit)</t>
  </si>
  <si>
    <t>Program Peningkatan Penerapan Teknologi Pertanian/ Perkebunan</t>
  </si>
  <si>
    <t>Jumlah kelompok tani pemanfaat alsintan (kelompok)</t>
  </si>
  <si>
    <t>Jumlah kelompok tani yang menggunakan teknologi tepat guna (kelompok)</t>
  </si>
  <si>
    <t>Pengadaan sarana dan prasarana teknologi pertanian/perkebunan tepat guna</t>
  </si>
  <si>
    <t>Jumlah alat dan mesin pertanian (unit)</t>
  </si>
  <si>
    <t>Pelatihan dan Bimbingan Pengoperasian Teknologi Pertanian/Perkebunan Tepat Guna</t>
  </si>
  <si>
    <t>Jumlah petani yang dilatih menjadi operator alsintan (orang)</t>
  </si>
  <si>
    <t>Pengembangan Teknologi Budidaya Padi SRI</t>
  </si>
  <si>
    <t>Jumlah petani yang mengikuti sosialisasi dan pembinaan budidaya padi SRI (orang)</t>
  </si>
  <si>
    <t>Jumlah alat dan mesin pertanian bribage tanam yang dipelihara (unit)</t>
  </si>
  <si>
    <t>Pengembangan Teknologi Budidaya Padi Organik</t>
  </si>
  <si>
    <t>Jumlah petani yang mengikuti Sekolah Lapang budidaya padi organik (orang)</t>
  </si>
  <si>
    <t>Program Peningkatan Produksi Pertanian/ Perkebunan</t>
  </si>
  <si>
    <t>Jumlah Produksi Padi (Ton)</t>
  </si>
  <si>
    <t>Jumlah Produksi jagung (Ton)</t>
  </si>
  <si>
    <t>Jumlah Produksi Cabe (Ton)</t>
  </si>
  <si>
    <t>Jumlah produksi bawang merah (Ton)</t>
  </si>
  <si>
    <t>Jumlah produksi Buah-buahan (Ton)</t>
  </si>
  <si>
    <t>Jumlah Produksi Kelapa Sawit (Ton)</t>
  </si>
  <si>
    <t>Jumlah Produksi Karet (Ton)</t>
  </si>
  <si>
    <t>Jumlah Produksi gambir (Ton)</t>
  </si>
  <si>
    <t>Jumlah Produksi Pala (Ton)</t>
  </si>
  <si>
    <t>Jumlah Produksi kakao (Ton)</t>
  </si>
  <si>
    <t>Jumlah Produksi Kopi (Ton)</t>
  </si>
  <si>
    <t>Jumlah Produksi Cengkeh (Ton)</t>
  </si>
  <si>
    <t>Pengembangan Bibit Unggul Perkebunan</t>
  </si>
  <si>
    <t>Tersedianya bibit unggul tanaman Perkebunan (batang)</t>
  </si>
  <si>
    <t>Pembenahan dan Pengolahan Data Statistik Pertanian</t>
  </si>
  <si>
    <t>Jumlah buku statistik pertanian (buku)</t>
  </si>
  <si>
    <t>Pengendalian Hama Penyakit/OPT</t>
  </si>
  <si>
    <t>Jumlah pengamatan dan pengendalian OPT</t>
  </si>
  <si>
    <t>Pengembangan Bibit Unggul Pertanian</t>
  </si>
  <si>
    <t>Jumlah pertemuan kelompok penangkar (kali)</t>
  </si>
  <si>
    <t>Pengembangan Tanaman Hortikultura</t>
  </si>
  <si>
    <t>Jumlah petani yang mengikuti pelatihan penangkar tanaman hortikultura (orang)</t>
  </si>
  <si>
    <t>Pengujian Mutu Pupuk dan Pestisida</t>
  </si>
  <si>
    <t>Jumlah sampel pupuk dan pestisida yang diuji (sampel)</t>
  </si>
  <si>
    <t>Pemantauan Peredaran Pupuk dan Pestisida</t>
  </si>
  <si>
    <t>Penyusunan Data Base Lahan Pertanian Pangan Berkelanjutan (LP2B)</t>
  </si>
  <si>
    <t>Jumlah Kecamatan yang dipeta-kan LP2B (kecamatan)</t>
  </si>
  <si>
    <t>Sekolah Lapang Budidaya Kakao</t>
  </si>
  <si>
    <t>Jumlah petani yang mengikuti sekolah lapang (orang)</t>
  </si>
  <si>
    <t>Pelatihan Teknis Budidaya Tanaman Karet</t>
  </si>
  <si>
    <t>Jumlah petani yang mengikuti pelatihan teknis budidaya tanaman karet (orang)</t>
  </si>
  <si>
    <t>Pengendalian Hama Perkebunan</t>
  </si>
  <si>
    <t>Jumlah gerakan pengendalian hama perkebunan (gerakan)</t>
  </si>
  <si>
    <t>Pembinaan dan Pengembangan Tanaman Perkebunan</t>
  </si>
  <si>
    <t>Jumlah kelompok penangkar yang dibina (kelompok)</t>
  </si>
  <si>
    <t>Penunjang Kegiatan Provinsi dan Pusat Bidang Tanaman Pangan Hortikultura Perkebunan</t>
  </si>
  <si>
    <t>Terfasilitasinya kegiatan pusat dan provinsi yang ada di daerah (bulan)</t>
  </si>
  <si>
    <t>Optimasi Lahann Perkebunan Kelapa Sawit Rakyat</t>
  </si>
  <si>
    <t>Jumlah bibit sawit yang disalurkan</t>
  </si>
  <si>
    <t>Sekolah Lapang Pengendalian Hama dan Penyakit/ OPT Tanaman Perkebunan</t>
  </si>
  <si>
    <t>Jumlah petani yang mengikuti SL OPT (orang)</t>
  </si>
  <si>
    <t>Penangkaran Bibit Unggul Perkebunan</t>
  </si>
  <si>
    <t>Jumlah bibit sawit yang siap ditanam (batang)</t>
  </si>
  <si>
    <t>Penyusunan Action Plan Kawasan Pertanian</t>
  </si>
  <si>
    <t>Jumlah dokumen action plan kawasan pertanian</t>
  </si>
  <si>
    <t>Program Pemberdayaan Penyuluh Pertanian Lapangan</t>
  </si>
  <si>
    <t>Rasio Penyuluh Terhadap Kelompok Tani</t>
  </si>
  <si>
    <t>Jumlah Penyuluh Berprestasi (orang)</t>
  </si>
  <si>
    <t>Peningkatan Kapasitas Tenaga Penyuluh Pertanian/Perkebunan</t>
  </si>
  <si>
    <t>Jumlah PPL yang difasilitasi operasional (orang)</t>
  </si>
  <si>
    <t>Penyusunan Programa Penyuluh Pertanian/Perkebunan</t>
  </si>
  <si>
    <t>Jumlah programa penyuluhan yang dihasilkan (dokumen)</t>
  </si>
  <si>
    <t>Program Peningkatan Kelembagaan Petani</t>
  </si>
  <si>
    <t>Jumlah Gapoktan Berprestasi (gapoktan)</t>
  </si>
  <si>
    <t>Jumlah Kelompok Tani Berprestasi (kelompok)</t>
  </si>
  <si>
    <t>Jumlah Petani Berprestasi (orang)</t>
  </si>
  <si>
    <t>Peningkatan Kemampuan Kelembagaan  Petani (LKMA)</t>
  </si>
  <si>
    <t>Jumlah LKMA yang dibina (LKMA)</t>
  </si>
  <si>
    <t>Fasilitasi Pembentukan Kelompok Tani Berbadan Hukum</t>
  </si>
  <si>
    <t>Jumlah kelompok tani yang berbadan hukum (kelompok)</t>
  </si>
  <si>
    <t>Fasilitasi Asuransi Usaha Tanaman Padi</t>
  </si>
  <si>
    <t>Luas lahan usaha tani yang difasilitasi (ha)</t>
  </si>
  <si>
    <t>LOAN IPDMIP</t>
  </si>
  <si>
    <t>Jumlah petani yang mengikuti SL Budidaya Padi (orang)</t>
  </si>
  <si>
    <t>Penunjang LOAN IPDMIP</t>
  </si>
  <si>
    <t>Kegiatan LOAN IPDMIP yang difasilitasi</t>
  </si>
  <si>
    <t>Forum Komunikasi Petani/ Kontak Tani</t>
  </si>
  <si>
    <t>Jumlah pertemuan kontak tani yang dilaksanakan (kali)</t>
  </si>
  <si>
    <t>Program Penyediaan dan Pengembangan Sarana dan Prasarana Pertanian/ Perkebunan</t>
  </si>
  <si>
    <t>Pengembangan Prasarana dan sarana pertanian (penunjang satker 08)</t>
  </si>
  <si>
    <t>Terfasilitasinya kegiatan pusat (satker 08) (kegiatan)</t>
  </si>
  <si>
    <t>Pembangunan/Rehabilitasi Infrastruktur Pertanian</t>
  </si>
  <si>
    <t>Panjang Jalan Produksi/ Jalan Usaha Tani yang dibangun/ direhabilitasi (paket)</t>
  </si>
  <si>
    <t>DAK Bidang Pertanian dan Pendamping</t>
  </si>
  <si>
    <t>Jumlah embung/ dam parit saluran yang dibangun/ direhabilitasi (unit)</t>
  </si>
  <si>
    <t>Penunjang DAK Bidang Pertanian</t>
  </si>
  <si>
    <t>Lancarnya pelaksanaan kegiatan DAK Bidang Pertanian (kegiatan)</t>
  </si>
  <si>
    <t>Program Peningkatan Nilai Tambah, Daya Saing, Industri Hilir, Pemasaran dan Ekspor Hasil Pertanian</t>
  </si>
  <si>
    <t>Jumlah Diversifikasi Hasil Olahan Tanaman Pangan (jenis)</t>
  </si>
  <si>
    <t>Jumlah Diversifikasi Hasil Olahan Tanaman Hortikultura (jenis)</t>
  </si>
  <si>
    <t>Jumlah Diversifikasi Hasil Olahan Tanaman Perkebunan (jenis)</t>
  </si>
  <si>
    <t>Peningkatan Nilai Tambah dan Penekanan Susut Hasil Komoditi Tanaman Pangan</t>
  </si>
  <si>
    <t>Jumlah RMU yang direvitalisasi (unit)</t>
  </si>
  <si>
    <t>Pengembangan Pasca Panen Komoditi Tanaman Perkebunan</t>
  </si>
  <si>
    <t>Jumlah petani yang mengikuti pelatihan pengolahan pasca panen komoditi perkebunan (orang)</t>
  </si>
  <si>
    <t>Peningkatan Kelompok Pengolahan Hasil Tanaman Hortikultura</t>
  </si>
  <si>
    <t>Jumlah sarana pengolahan hasil tanaman hortikultura yang disalurkan (unit)</t>
  </si>
  <si>
    <t>Promosi Atas Hasil Produksi Pertanian Unggulan Daerah</t>
  </si>
  <si>
    <t>Jumlah kegiatan promosi yang diikuti (kegiatan)</t>
  </si>
  <si>
    <t>Penumbuhan Agrowisata</t>
  </si>
  <si>
    <t>Jumlah peserta yang mengikuti pelatihan budidaya sehat tanaman jeruk pada lokasi agrowisata (orang)</t>
  </si>
  <si>
    <t>Pengembangan Jaringan Pemasaran Produksi Perkebunan</t>
  </si>
  <si>
    <t>Pengembangan Pasca Panen Tanaman Hortikultura</t>
  </si>
  <si>
    <t>Jumlah sarana pengolahan hasil tanaman hortikultura yang disalurkan (paket)</t>
  </si>
  <si>
    <t>Pengembangan Pasca Panen Tanaman Pangan</t>
  </si>
  <si>
    <t>Lancarnya Pelayanan Adminisitrasi Perkantoran (bln)</t>
  </si>
  <si>
    <t>inspektorat</t>
  </si>
  <si>
    <t>Ketersediaan alat tulis (bln)</t>
  </si>
  <si>
    <t>Ketersediaan barang cetakan (bln)</t>
  </si>
  <si>
    <t>Ketersediaan komponen instalasi listrik (bln)</t>
  </si>
  <si>
    <t>Ketersediaan peralatan dan perlengkapan kantor (bln)</t>
  </si>
  <si>
    <t>Ketersediaan bahan bacaan / koran dan majalah (bln)</t>
  </si>
  <si>
    <t>Ketersediaan kebutuhan makan minum rapat dan tamu (bln)</t>
  </si>
  <si>
    <t>tersedianya operasional perjalanan dinas luar daerah (bln)</t>
  </si>
  <si>
    <t>tersedianya operasional perjalanan dinas dalam daerah (bln)</t>
  </si>
  <si>
    <t>Tersedianya biaya operasional unit kerja bawahan (bln)</t>
  </si>
  <si>
    <t>Tersedianya Tenaga guru honorer utk kegiatan PBM (bln)</t>
  </si>
  <si>
    <t>Jumlah Publikasi yang dilakukan</t>
  </si>
  <si>
    <t>Pemenuhan Layanan sarana dan prasaranan bagi aparatur (bln)</t>
  </si>
  <si>
    <t>Tersedianya bangunan yang aman dan nyaman untuk suasana kerja (bln)</t>
  </si>
  <si>
    <t>Terpeliharanya kendaraan dinas untuk operasional (bln)</t>
  </si>
  <si>
    <t>Rehabilitasi Ruang Kelas, Pembangunan RKB, Jamban, Koleksi Perpustakaan (ruang)</t>
  </si>
  <si>
    <t>Tersedianya rumah dinas guru (unit rumah)</t>
  </si>
  <si>
    <t>Meningkatnya sarana dan prasarana pbelajar SMP (ruang)</t>
  </si>
  <si>
    <t>Lomba Matematika dan Sains tingkat SD (kegiatan)</t>
  </si>
  <si>
    <t>Jumlah lomba yang diikuti (kegiatan)</t>
  </si>
  <si>
    <t>Tersedianya sekoah piloting pendidikan inusif (unit)</t>
  </si>
  <si>
    <t>Terselenggaranya Pendidikan tingkat SMP (bln)</t>
  </si>
  <si>
    <t>Pemanfaatan dana BOS SMP sesuai aturan (bln)</t>
  </si>
  <si>
    <t>Pemanfaatan dana BOS SD sesuai aturan (bln)</t>
  </si>
  <si>
    <t>Tesedianya KIT pembelajaran SD (paaket)</t>
  </si>
  <si>
    <t>Terselengaranya pendidikan kareakter (bln)</t>
  </si>
  <si>
    <t>Pengadaan media pendidikan SMP</t>
  </si>
  <si>
    <t>Tersedianya media pendidikan SMP (paket)</t>
  </si>
  <si>
    <t>jumlah komputer yang tersedia (Unit)</t>
  </si>
  <si>
    <t>Jumlah mobiler yang tersedia (paket)</t>
  </si>
  <si>
    <t>Tersedianya operasional kapal di kawasan Mandeh (bln)</t>
  </si>
  <si>
    <t>Terlaksananya Sosialisasi (kali)</t>
  </si>
  <si>
    <t>Ruang kelas yang direhab (unit)</t>
  </si>
  <si>
    <t>tPelatihan yang dilaksanakan (kali)</t>
  </si>
  <si>
    <t>Lomba O2SN dan FLS2N yang diikuti (kali)</t>
  </si>
  <si>
    <t>Tersedianya perlengkapan sekolah siswa SD (org)</t>
  </si>
  <si>
    <t>Terselenggaranya Pendidikan tingkat SD (bln)</t>
  </si>
  <si>
    <t>Bantuan Operasional Sekolah tingkat sekolah dasar (SD)</t>
  </si>
  <si>
    <t>Tersedianya operasional sekolah SD (bln)</t>
  </si>
  <si>
    <t>Tersedianya operasional sekolah SMP (bln)</t>
  </si>
  <si>
    <t>jumlah APE yang tersedia (paket)</t>
  </si>
  <si>
    <t>database PAUD (dokumen)</t>
  </si>
  <si>
    <t>Lomba tingkat PAUD dan TK yang diikuti (kegiatan)</t>
  </si>
  <si>
    <t>Lembaga PAUD yang dibina (unit)</t>
  </si>
  <si>
    <t>Jumlah operator PAUD yang dilatih (org)</t>
  </si>
  <si>
    <t>Sosialisasi DAK BOP Paud</t>
  </si>
  <si>
    <t>Jumlah PAUD yang mengikuti sosialisasi (unit)</t>
  </si>
  <si>
    <t>Angka Melek Aksara
penduduk usia dewasa
di atas15 tahun (%)</t>
  </si>
  <si>
    <t>Jumlah tutor yang dilatih (org)</t>
  </si>
  <si>
    <t>Jumlah Pengelola LKP dan PKBM yang dilatih (org)</t>
  </si>
  <si>
    <t>Terlaksananya Pendidikan Non Formal (tahun)</t>
  </si>
  <si>
    <t>Jumlah guru dan orang tua yang dilatih (org)</t>
  </si>
  <si>
    <t>Ujian paket B yang diselenggarakan (kali)</t>
  </si>
  <si>
    <t>Ujian paket C yang diselenggarakan (kali)</t>
  </si>
  <si>
    <t>even yang diikuti / dilaksanakan (keg)</t>
  </si>
  <si>
    <t>jumlah SKB yang dibenahi (unit)</t>
  </si>
  <si>
    <t>Peningkatan sarana / Prasarana SKB (DAK Reguler)</t>
  </si>
  <si>
    <t>tersedianya operasional administrasi sertifikasi guru (bln)</t>
  </si>
  <si>
    <t>jumlah guru yang mengikuti Bimtek  mapel UN SMP (org)</t>
  </si>
  <si>
    <t>Jumlah pertemuan yang dilakukan (kali)</t>
  </si>
  <si>
    <t>Jumlah diklat yang dilaksanakan (kali)</t>
  </si>
  <si>
    <t>Dokumen analisis kebutuhan guru SD dan SMP (dokumen)</t>
  </si>
  <si>
    <t>jumlah pembinaan yang dilakukan (kali)</t>
  </si>
  <si>
    <t>jumlah guru, kepala sekolah dan pengawas berprestasi jenjang TK, SD dan SMP</t>
  </si>
  <si>
    <t>Jumlah guru yang mengikuti sosialisasi (org)</t>
  </si>
  <si>
    <t>Jumlah calon pengawae sekolah yang dilatih (org)</t>
  </si>
  <si>
    <t>Jumlah tenaga pendidik PAUD yang dilatih (org)</t>
  </si>
  <si>
    <t>Jumlah calon kepala sekolah yang dilatih (org)</t>
  </si>
  <si>
    <t>Jumlah guru SD yang mengikuti pelatihan (org)</t>
  </si>
  <si>
    <t>Jumlah guru yang mengikuti pelatihan (org)</t>
  </si>
  <si>
    <t>Tersedinya jasa guru non PNS (bln)</t>
  </si>
  <si>
    <t>media informasi pendidikan yang dihasilkan (unit)</t>
  </si>
  <si>
    <t>updating data dapodik (bln)</t>
  </si>
  <si>
    <t>Tersedianya dana sharing untuk operasional Akademi Komunitas (thn)</t>
  </si>
  <si>
    <t>Monitoring, Evaluasi dan Pelaporan  Pelaksanaan Ujian Nasional)</t>
  </si>
  <si>
    <t>berlangsungnya UN secara baik (kali)</t>
  </si>
  <si>
    <t>Terpantaunya Pelaksanaan proses awal Pembelajaran (bln)</t>
  </si>
  <si>
    <t>ketersediaan Air, Listrik dan jasa komunikasi (bln)</t>
  </si>
  <si>
    <t>Terpeliharanyakendaraan dinas (bln)</t>
  </si>
  <si>
    <t>Honor pengelola keuangan (bln)</t>
  </si>
  <si>
    <t>Honor tenaga kebersihan (bln)</t>
  </si>
  <si>
    <t>Ketersediaan peralatan kerja (bln)</t>
  </si>
  <si>
    <t>Terpenuhinya kebutuhan ATK (bln)</t>
  </si>
  <si>
    <t>Terpenuhinya kebutuhan barang cetakan (bln)</t>
  </si>
  <si>
    <t>Terpenuhinya kebutuhan komponen instalasi listrik (bln)</t>
  </si>
  <si>
    <t>Penyediaan komponen instalasi listrik penerangan bangunan kantor</t>
  </si>
  <si>
    <t>terpenuhinya kebutuhan peralatan dan perlengkapan gedung kantor (bln)</t>
  </si>
  <si>
    <t>Terpenuhinya kebutuhan bahan bacaan (bln)</t>
  </si>
  <si>
    <t>Terpenuhinya kebutuhan makan minum rapat dan tamu (bln)</t>
  </si>
  <si>
    <t>Terpenuhin operasional perjalanan dinas luar daerah (bln)</t>
  </si>
  <si>
    <t>Honor petugas keamanan (bln</t>
  </si>
  <si>
    <t>Terpenuhin operasional perjalanan dinas dalam daerah (bln)</t>
  </si>
  <si>
    <t>operasional pengelolaan aset (bln))</t>
  </si>
  <si>
    <t>Jumlah dokumen perencanan dan laporan yang dihasilkan  (dok)</t>
  </si>
  <si>
    <t>Terpenuhinya kebutuhan sarana dan prasaranan aparatur (bln)</t>
  </si>
  <si>
    <t>Mobil Puskesmas keliling (unit)</t>
  </si>
  <si>
    <t>Persentase aparatur kesehatan profesional (%)</t>
  </si>
  <si>
    <t>Jumlah SDM Kesehatan yang mengikuti pelatihan formal (org)</t>
  </si>
  <si>
    <t>Jumlah SDMK Puskesmas dan RS yang memahami tentang registrasi dan perizinan (org)</t>
  </si>
  <si>
    <t>Pengadaaan obat dan perbekalan kesehatan (penunjang DAK)</t>
  </si>
  <si>
    <t>Lancarnya pelaksanaan DAK farmasi (kegiatan)</t>
  </si>
  <si>
    <t>Jumlah PIRT, Toko Obat dan Apotik yang diawasi dan dibina (unit)</t>
  </si>
  <si>
    <t>Persentase keluarga Kelompok Resiko tinggi (Resti) yang terlayani (%)</t>
  </si>
  <si>
    <t>Persentase fasyankes dan jaringannya yang melayani kesehatan masyarakat perorangan(%)</t>
  </si>
  <si>
    <t>Tersedianya Pelayanan Kesehatan Rujukan di sarana Pelayanan Kesehatan (bln)</t>
  </si>
  <si>
    <t>Terselengaranya penangulangan kegawatdaruratan terpadu (bln)</t>
  </si>
  <si>
    <t>Program Promosi Kesehatan dan Pemberdayaan Masyarakat</t>
  </si>
  <si>
    <t>Persentase Nagari Siaga Aktif (%)</t>
  </si>
  <si>
    <t>Pengembangan Media Promosi dan Informasi sadar Hidup Sehat (DBH Pajak Rokok TA 2015)</t>
  </si>
  <si>
    <t>Jumlah media promosi yang disediakan (paket)</t>
  </si>
  <si>
    <t>Persentase Posyandu Mandiri yang dibina (%)</t>
  </si>
  <si>
    <t>Persentase Nagari Siaga Aktif yang dibina (%)</t>
  </si>
  <si>
    <t>Database kesehatan yang dimiliki / dikelola (dokumen)</t>
  </si>
  <si>
    <t>Jumlah kecamatan yang tersentuh GERMAS (unit)</t>
  </si>
  <si>
    <t>Menurunnya Persentase balita gizi buruk (%)</t>
  </si>
  <si>
    <t>Persentase bagi balita kurang gizi dan ibu hamil Kurang Energi Koronis (KEK) yang dibantu (%)</t>
  </si>
  <si>
    <t>Terlaksanaya pemantuaan gizi (bln)</t>
  </si>
  <si>
    <t>Terlaksanaya monev terhadap puskesmas(bln)</t>
  </si>
  <si>
    <t>Persentase Nagari ODF (%)</t>
  </si>
  <si>
    <t>Pengawasan yang dilaksanakan (bln)</t>
  </si>
  <si>
    <t>Program Pamsimas yang didampingi (kegiatan)</t>
  </si>
  <si>
    <t>Program PPSP yang didampingi (kegiatan)</t>
  </si>
  <si>
    <t>Persentase Depot yang diperiksa / diawasi (%)</t>
  </si>
  <si>
    <t>Jumlah Forum Kabupaten Sehat dan Kelompok Kerja Nagari yang dibina (unit/thn)</t>
  </si>
  <si>
    <t>Persentase Kelompok UKK yang dibina   (%)</t>
  </si>
  <si>
    <t>Succes Rate DB</t>
  </si>
  <si>
    <t>Succes Rate Malaria</t>
  </si>
  <si>
    <t>Penyemprotan / fogging sarang nyamuk</t>
  </si>
  <si>
    <t>Terlaksananya fogging focus (kegiatan)</t>
  </si>
  <si>
    <t>Persentase masyarakat yang dilayani (%)</t>
  </si>
  <si>
    <t>Pencegahan penularan penyakit endemik / epidemik</t>
  </si>
  <si>
    <t>Pelayanan yang dilakukan (bln)</t>
  </si>
  <si>
    <t>Cakuman penerima imunisasi (%)</t>
  </si>
  <si>
    <t xml:space="preserve">surveillans epidemiologi penyakit menular &amp; penanggulangan wabah di masyarakat (%) </t>
  </si>
  <si>
    <t>Pemantauanyang dilakukan (bln)</t>
  </si>
  <si>
    <t>Operasional  Kewaspadaan dini (bln)</t>
  </si>
  <si>
    <t>persentase ppuskesmas berakreditasi (%))</t>
  </si>
  <si>
    <t>jumlah puskesmas yang diakreditasi (unit)</t>
  </si>
  <si>
    <t>Terlaksanaya pembinaan dan pengawasan (bln)</t>
  </si>
  <si>
    <t>Jumlah petugas yang  dilatih (org)</t>
  </si>
  <si>
    <t>Terlaksanaya  pengelolaan administrasi  tenaga fungsional (bln)</t>
  </si>
  <si>
    <t>Persentase Puskesmas dan Pustu yang memiliki sarana prasarana sesuai standar  (%)</t>
  </si>
  <si>
    <t>Jumlah Pengadaan Puskesmas keliling (unit)</t>
  </si>
  <si>
    <t>Jumlah Puskesmas yang direhab (unit)</t>
  </si>
  <si>
    <t>Pemeliharaan rutin / berkala sarana dan prasarana puskesmas</t>
  </si>
  <si>
    <t>Jum;ah kegiatan luncuran yang diselesaikan (paket)</t>
  </si>
  <si>
    <t>jumlah alat kesehatan yang diadakan (paket)</t>
  </si>
  <si>
    <t>Terpeliharanya alat kesehatan (bln)</t>
  </si>
  <si>
    <t>Terpeliharanya sarpras puskesmas (bln)</t>
  </si>
  <si>
    <t>Jumlah instalasi air limbah yang dibangun (unit)</t>
  </si>
  <si>
    <t>Persentase penduduk yang memiliki JKN (%)</t>
  </si>
  <si>
    <t>Pembayaran iuaran JAMKESDA (bln)</t>
  </si>
  <si>
    <t>Terselenggaranya pelayanan kesehatan di puskesmas (bln)</t>
  </si>
  <si>
    <t>Terselengaranya pelayanan Kapitasi JKN pada FKTP (bln)</t>
  </si>
  <si>
    <t>Terselengaranya pelayanan Non Kapitasi JKN pada FKTP (bln)</t>
  </si>
  <si>
    <t>Persentase Lansia yang mendapat pelayanan kesehatan (%)</t>
  </si>
  <si>
    <t>Terselengaranya pelayanan kesehatan bagi lansia (bln)</t>
  </si>
  <si>
    <t>Penurunan Angka Kematian Ibu (per 1000 kelahiran hidup)</t>
  </si>
  <si>
    <t>Penurunan Angka  Kematian Balita  (per 1000 kelahiran hidup)</t>
  </si>
  <si>
    <t>Penurunan Angka  Kematian Bayi (per 1000 kelahiran hidup)</t>
  </si>
  <si>
    <t>Terselengaranya pelayanan kesehatan ibu dan anak (bln)</t>
  </si>
  <si>
    <t>Terselengaranya pelayanan kesehatanprasekdam usek (bln)</t>
  </si>
  <si>
    <t>Usaha Kesehatan Ibu dan Anak (Jaminan Persalinan DAK NonFisik</t>
  </si>
  <si>
    <t>Terselenggaranya layanan persalinan bagi masyarakat miskin (bln)</t>
  </si>
  <si>
    <t>Pengendalian dan Pencegahan Penyakit Tidak Menular (PTM) DBH Pajak Rokok TA. 2015</t>
  </si>
  <si>
    <t>Jumlah sarana dan prasarnan yang disediakan (paket</t>
  </si>
  <si>
    <t>Terpantaunya penanggulangan kesehatan Matra (bln)</t>
  </si>
  <si>
    <t>Terselenggaranya deteksi dini penyakit akibat rokiok (bln)</t>
  </si>
  <si>
    <t>Terselenggaranya pelayannan ODGJ berat (bln)</t>
  </si>
  <si>
    <t>Cakupan sarana dan prasaranana kesehatan di RSUD Tapan (%</t>
  </si>
  <si>
    <t>Jumlah alkes yang dibeli  (paket)</t>
  </si>
  <si>
    <t>Jumlah saranan yang dibangun (paket)</t>
  </si>
  <si>
    <t>Terselenggaranya pelayanan kesehatan di RSUD Tapan (bln)</t>
  </si>
  <si>
    <t>tersedianya operasional pelayanan RSUD Tapan (bln)</t>
  </si>
  <si>
    <t>Opini BPK</t>
  </si>
  <si>
    <t>WTP</t>
  </si>
  <si>
    <t>Terselenggaranya manajemen aset (bln)</t>
  </si>
  <si>
    <t>Terselengaranya pelayanan RSUD M. Zein Painan (bln)</t>
  </si>
  <si>
    <t>Jumlah pasien Miskin / Bermasalah yang terlayan (org)</t>
  </si>
  <si>
    <t xml:space="preserve">Persentase pemenuhan Kebutuhan pelayanan Operasional dari Penerimaan BLUD (%) </t>
  </si>
  <si>
    <t>Terlaksananya kegiatan DAK  (kegiatan)</t>
  </si>
  <si>
    <t>Jumlah sarana IPAL yang dibangunan (unit)</t>
  </si>
  <si>
    <t>Terlaksanaya pemeliharaan drainase (bln)</t>
  </si>
  <si>
    <t>Pembangunan drainase dan gorong-gorong yang dibangun dan ditingkatkan (aket)</t>
  </si>
  <si>
    <t>Pembangunan Drainase dan trotoar  yang dibangun dan ditingkatkan (paket)</t>
  </si>
  <si>
    <t>Jalan terpelihara  (km)</t>
  </si>
  <si>
    <t>Jembatan yang direhab (unit)</t>
  </si>
  <si>
    <t>PROGRAM PEMBANGUNAN SALURAN DRAINASE/ GORONG-GORONG</t>
  </si>
  <si>
    <t>Persentase
pemenuhan infrstruktur
wilayah strategis (%)</t>
  </si>
  <si>
    <t>cakupan air bersih (%)</t>
  </si>
  <si>
    <t>Cakuan sanitasi layak (%)</t>
  </si>
  <si>
    <t>Tersedianya dukungan kegiatan Pamsimas (bln)</t>
  </si>
  <si>
    <t>Jumlah SR yang ditingkatkan (unit SR)</t>
  </si>
  <si>
    <t>Jumlah lokasi pengembangan air minum (paket))</t>
  </si>
  <si>
    <t>Jumlah pamsimas yang terbangun  (aket)</t>
  </si>
  <si>
    <t>Jumlah pamsimas yang terbangun (paket)</t>
  </si>
  <si>
    <t>Persentase program/ kegiatan sesuai perencanaan (%)</t>
  </si>
  <si>
    <t>Laporan Monev (dokumen)</t>
  </si>
  <si>
    <t>Koordinasi kegiatan DAK dan APBN (bln</t>
  </si>
  <si>
    <t xml:space="preserve"> Dokumen RPI2JM- CIPTA KARYA (dok</t>
  </si>
  <si>
    <t>Dokumen  HSBGN  (dokumen)</t>
  </si>
  <si>
    <t>persentase taman kota
kondisi baik (%)</t>
  </si>
  <si>
    <t>Persentase Bangunan
Pemerintah yang
terbangun (%)</t>
  </si>
  <si>
    <t>Gedung kantor yang di rehab berat  (unit)</t>
  </si>
  <si>
    <t>Jumlah ruas jalan yang dibangun (ruas)</t>
  </si>
  <si>
    <t>Jumlah ruas jalan yang ditingkatkan (ruas))</t>
  </si>
  <si>
    <t>Jumlah ruas jalan yang ditingkatkan  (ruas)</t>
  </si>
  <si>
    <t>Jumlah jembatan yang di bangun  (unit)</t>
  </si>
  <si>
    <t>Jumlah dokumen perencanaan jembatan (dok)</t>
  </si>
  <si>
    <t>Pembangunan dan Peningkatan Jalan Kecamatan Silaut</t>
  </si>
  <si>
    <t>Terlaksanaya  Kegiatan DAK Jalan (bln)</t>
  </si>
  <si>
    <t>Database jalan (dokumen)</t>
  </si>
  <si>
    <t>Persentase
Kesesuaian
Rekomendasi
Pemanfaatan Ruang
yang sesuai dengan
dokumen
Perencanaan Tata
Ruang (%)</t>
  </si>
  <si>
    <t>Dokumen RDTR  Kota Kambang (dok)</t>
  </si>
  <si>
    <t>Persentase sarana
peribadatan pemda
kondisi baik (%)</t>
  </si>
  <si>
    <t>Dokumen perencanaan (dokumen)</t>
  </si>
  <si>
    <t>Jumlah sarana dan prasarana ibadah yang dibangun (unit)</t>
  </si>
  <si>
    <t>Persentase
kelengkapan sarana
prasanana
kebinamargaan (%)</t>
  </si>
  <si>
    <t>Tersedianya biaya perawatan peralatan (bln)</t>
  </si>
  <si>
    <t>Jumlah pengadaan alat ukur dan bahan laboratorium (paket)</t>
  </si>
  <si>
    <t>Operasional laboratorium (bln)</t>
  </si>
  <si>
    <t>Jumlah bangunan pengelolaan air minum (unit)</t>
  </si>
  <si>
    <t>TerpeliharanyaSarana Prasarana Air Bersih Kab. Pesisir Selatan ( bln )</t>
  </si>
  <si>
    <t>Terlaksanaya kegiatam AMPL (kegiatan)</t>
  </si>
  <si>
    <t>Terlaksanaya Kegiatan DAK  Air Minum (bln)</t>
  </si>
  <si>
    <t>jumlah sarana sanitasi yang dibangun (paket)</t>
  </si>
  <si>
    <t>Terlaksanaya Kegiatan DAK sanitasi (bln)</t>
  </si>
  <si>
    <t>Jumlah dokumen perencanaan yang dihasilkan (dok)</t>
  </si>
  <si>
    <t>Jumlah jalur pipa yang diperbaiki (unit)</t>
  </si>
  <si>
    <t>Tersedianya operasional IPLT (bln)</t>
  </si>
  <si>
    <t>Indeks Kualitas Air</t>
  </si>
  <si>
    <t>B (tercemar ringan)</t>
  </si>
  <si>
    <t>Meningkatnya angka kunjungan wisata (org)</t>
  </si>
  <si>
    <t>Terlaksanaya promosi wisata (Kegiatan)</t>
  </si>
  <si>
    <t>Jumlah kepesrtaan dalam festival Langkisasu (kegiatan)</t>
  </si>
  <si>
    <t>terpeliharanya pentas dan Tenda pariwisata (bln)</t>
  </si>
  <si>
    <t>Persentase kesesuaian pembangunan dengan kebutuhan (%)</t>
  </si>
  <si>
    <t>Persentase penduduk
terlayani pengelolaan
Persampahan (%)</t>
  </si>
  <si>
    <t>Tersedianya Operasioanal TPA (bln)</t>
  </si>
  <si>
    <t>Tersedianya Operasional tenaga Kebersihan dan persampahan (bln)</t>
  </si>
  <si>
    <t>Terpelihanya kendara kebersihan (bln)</t>
  </si>
  <si>
    <t>Tersedianya jasa komunikasi, sumber daya air dan listrik (bln)</t>
  </si>
  <si>
    <t>Tersedianya jasa kebersihan kantor (bln)</t>
  </si>
  <si>
    <t>Tersedianya jasa perbaikan peralatan kerja (bln)</t>
  </si>
  <si>
    <t>Tersedianya komponen instalasi listrik/ penerangan bangunan kantor (bln)</t>
  </si>
  <si>
    <t>Tersedianya Bahan Bacaan dan Peraturan Perundang-undangan (bln)</t>
  </si>
  <si>
    <t>Tersedianya biaya perjalanan dinas dalam daerah (bln)</t>
  </si>
  <si>
    <t>Tersedianya biaya perjalanan dinas keluar daerah (bln)</t>
  </si>
  <si>
    <t>Terpenuhinmya pelayanan adminstrasi perkantoran (bulan)</t>
  </si>
  <si>
    <t>Terpenuhinmya  sarana dan prasarana penunjang bagi aparatur (bln)</t>
  </si>
  <si>
    <t>Terlaksananya pemeliharaan rutin/ berkala gedung kantor (bln)</t>
  </si>
  <si>
    <t>tersedianya biaya  pemeliharaan dan operasional kendaraan dinas/ operasional (bln)</t>
  </si>
  <si>
    <t>Tersedianya biaya pemeliharaan alat berat (bln)</t>
  </si>
  <si>
    <t>TGedung Kantor yang direhab (pkt)</t>
  </si>
  <si>
    <t>Jumlah aparatur yang profesional (%)</t>
  </si>
  <si>
    <t>Program
Pembangunan
Saluran
Drainase/ Gorong-gorong</t>
  </si>
  <si>
    <t>Persentase drainase kondisi baik (%)</t>
  </si>
  <si>
    <t>Persentase kerusakan
sungai yang tertangani (%)</t>
  </si>
  <si>
    <t>Pembangunan turap/ talud/ bronjong</t>
  </si>
  <si>
    <t>Terlaksananya Pembangunan turap /talud/ bronjong (paket)</t>
  </si>
  <si>
    <t>Persentase Irigasi
kondisi baik (%)</t>
  </si>
  <si>
    <t>Jumlah  jaringan irigasi yang dipelihara (Paket)</t>
  </si>
  <si>
    <t>Jumlah optimalisasi fungsi jaringan irigasi (Paket)</t>
  </si>
  <si>
    <t>Tersedianya biaya penunjang kegiatan DAK irigasi  (bln)</t>
  </si>
  <si>
    <t>Jumlah jaringan irigasi yang ditingkatkan dan direhab (Paket)</t>
  </si>
  <si>
    <t>Terlaksananya Operasional Komisi Irigasi (bln)</t>
  </si>
  <si>
    <t>Jumlah Daerah Irigasi yang ditangani (unit DI)</t>
  </si>
  <si>
    <t>Jumlah embung yang ditangani (unit)</t>
  </si>
  <si>
    <t>Volume air yang
tertampung (m3)</t>
  </si>
  <si>
    <t>Laporan triwulan Monitoring Pembangunan Irigasi, Sungai, Rawa dan Embung (dokumen)</t>
  </si>
  <si>
    <t>Persentase bantaran
sungai dan pantai yang
aman (%)</t>
  </si>
  <si>
    <t>Jumlah Bantaran Tanggul Sungai yang dipelihara (paket)</t>
  </si>
  <si>
    <t>Jumlah sungai yang dikeruk / dibersihkan (lokasi)</t>
  </si>
  <si>
    <t>Jumlah paket Pengeringan dan Pengurangan Banjir Pada Daerah Rawa (paket)</t>
  </si>
  <si>
    <t>Jumlah parit miring yang dibangun (unit)</t>
  </si>
  <si>
    <t>Jumlah pengaman tebingsungaiyang dibangun (paket)</t>
  </si>
  <si>
    <t>Jumlah penahan jembatan yang dibangunan (paket)</t>
  </si>
  <si>
    <t>Program Pengembangan data  /informasi</t>
  </si>
  <si>
    <t>Informasi pembangunan yang disampaikan ke masyarakat (%)</t>
  </si>
  <si>
    <t>tersedianya operasional aplikasi SEPAKAT PSDA (tahun)</t>
  </si>
  <si>
    <t>Penyediaan komponen instalasi listrik/ penerangan bangunan kantor</t>
  </si>
  <si>
    <t>Tersedianya komponen instalasi listrik/ penerangan bangunan (bulan)</t>
  </si>
  <si>
    <t> Peralatan Gedung Kantor yang dibeli (unit)</t>
  </si>
  <si>
    <t>Persentase pencapaian target Renstra (%)</t>
  </si>
  <si>
    <t>Laporan triwulan hasil pengendalian dan monev (dokumen)</t>
  </si>
  <si>
    <t>Dokumen sinkronisasi yang disusun (dok)</t>
  </si>
  <si>
    <t>Panjang  Jalan
Non Status (jalan lingkung) Terbangun
(km)</t>
  </si>
  <si>
    <t>Panjang jalan yang dibangun (km)</t>
  </si>
  <si>
    <t>Dinas PERKIMTAN</t>
  </si>
  <si>
    <t>Program Saluran Drainase/ Gorong-Gorong</t>
  </si>
  <si>
    <t>Saluran drainase
lingkungan kondisi baik (km)</t>
  </si>
  <si>
    <t>Jumlah gedung kantor yang dibangun (unit)</t>
  </si>
  <si>
    <t>Jumlah Rumah dinas yang dibangun (unit)</t>
  </si>
  <si>
    <t>Persentase kebutuhan Bangunan
Pemerintah yang
terbangun (%)</t>
  </si>
  <si>
    <t>Jumlah Rumah dinas yang direhab (unit)</t>
  </si>
  <si>
    <t>Jumlah Gedung Kantor Pemerintah yang direhab (unit)</t>
  </si>
  <si>
    <t>Cakupan ketersediaan
rumah layak huni (%)</t>
  </si>
  <si>
    <t>Tersedianya operasional pendataan dan perencanaan perumahan (bln)</t>
  </si>
  <si>
    <t>Tersedianya operasional penunjang program perumahan BSPS (bln)</t>
  </si>
  <si>
    <t>Jumlah RTLH yang direhab (unit)</t>
  </si>
  <si>
    <t>Database RTLH (dokumen)</t>
  </si>
  <si>
    <t>Tersedianya biaya operasional pendampingan rehab RTLH (bln)</t>
  </si>
  <si>
    <t>Jumlah lokasi yang ditangani (paket)</t>
  </si>
  <si>
    <t>Tersedianya biaya operasional bantuan Rusus Nelayan (bln)</t>
  </si>
  <si>
    <t>Jumlah sambungan rumah yang difasilitasi (unit SR)</t>
  </si>
  <si>
    <t>jumlah Tangki Septik yang dibangun (unit)</t>
  </si>
  <si>
    <t>Tersedianya penunjang kegiatan bantuan pembangunan sanitasi (bln)</t>
  </si>
  <si>
    <t>Jumlah PSU Permukiman yang dibangun (paket)</t>
  </si>
  <si>
    <t>Persentase kawasan
permukiman tertata
(%)</t>
  </si>
  <si>
    <t>Terselengaranya koordinasi pengembangan permukiman (bln)</t>
  </si>
  <si>
    <t>Jumlah Kawasan kumuh Tertata (kawasan)</t>
  </si>
  <si>
    <t>Jumlah dokumen DED yang disusun (dokumen)</t>
  </si>
  <si>
    <t>Tersedianya biaya operasional penunjang pembangunan kawasan permukiman (bln)</t>
  </si>
  <si>
    <t>Jumlah dokumen lingkungan yang disusun (dokumen)</t>
  </si>
  <si>
    <t>Laporan triwulan pengendalian dan monev kawasan permukiman (dokumen)</t>
  </si>
  <si>
    <t>Jumlah Dokumen RKPKP yang disusun (dokumen)</t>
  </si>
  <si>
    <t>Rasio permukiman
layak huni</t>
  </si>
  <si>
    <t>DINAS PENGELOLAAN SUMBERDAYA AIR</t>
  </si>
  <si>
    <t>Tersedianya laptop, AC dan printer (paket)</t>
  </si>
  <si>
    <t>Tersedianya atk, fotocopy penunjang perencanaan (bln)</t>
  </si>
  <si>
    <t>kendaraan dinas roda 2 yang dibeli (unit)</t>
  </si>
  <si>
    <t>jumlah mobiler yang dibeli (paket)</t>
  </si>
  <si>
    <t>pakaian dinas bagi satpol pp (paket)</t>
  </si>
  <si>
    <t>Persentase Aparatur profesional (%)</t>
  </si>
  <si>
    <t>terlatihnya anggota satpol pp dan damkar (org)</t>
  </si>
  <si>
    <t>Jumlah sosialisasi yang dilakukan (kegiatan)</t>
  </si>
  <si>
    <t>Persentase penegakan
perda (%)</t>
  </si>
  <si>
    <t>Terlaksanaya operasional petugas penegak Perda (bln)</t>
  </si>
  <si>
    <t>Tingkat penyelesaian
pelangaran K3
(Ketertibaan,
Kenyamanan,
keindahan) %</t>
  </si>
  <si>
    <t>terlaksanya Koordinasi stake holder Penegak Perda (bln)</t>
  </si>
  <si>
    <t>Konsolidasi Peran Satpo lPP se sumbar dan Indonesia</t>
  </si>
  <si>
    <t>Rapat dan apel bersama (kegiatan)</t>
  </si>
  <si>
    <t>Operasional petugas pada event daerah (event)</t>
  </si>
  <si>
    <t>Persentase kejadian
bencana diatasi (%)</t>
  </si>
  <si>
    <t>Terbayarnya honorarium dan operasional satgas damkar (bln)</t>
  </si>
  <si>
    <t>Sepeda motor (unit)</t>
  </si>
  <si>
    <t>Persentase korban
bencana yang
menerima bnatuan
sosial selama masa
tanggap darurat (%)</t>
  </si>
  <si>
    <t>Penanganan Masalah Strategis tentang Tanggap Cepat Darurat  dan Kejadian Luar Biasa</t>
  </si>
  <si>
    <t>Program pemberdayaan fakir miskin Komunitas
Adat Terpencil (KAT) dan penyandang masalah kesejahteraan sosial (PMKS) lainnya</t>
  </si>
  <si>
    <t>PMKS yang memperoleh bantuan (jiwa)</t>
  </si>
  <si>
    <t>biaya operasional penyaluran PKH (bln)</t>
  </si>
  <si>
    <t>Biaya operasional penanganan orang terlantar / ODGJ (bln)</t>
  </si>
  <si>
    <t>biaya operasional SLRT Kab. Pesisir Selatan (bln)</t>
  </si>
  <si>
    <t>laporan / dokumen Verifali BDT (dok)</t>
  </si>
  <si>
    <t>Jumlah kampung siaga bencana terbentuk (unit)</t>
  </si>
  <si>
    <t>Program pembinaan para penyandang cacat dan trauma</t>
  </si>
  <si>
    <t>Program Peningkatan Sarana dan Prasarana Aparatur</t>
  </si>
  <si>
    <t>Cakupan penyandang
cacat berat yang
memperoleh jaminan
sosial (%)</t>
  </si>
  <si>
    <t>Pemeliharaan rutin/ berkala kendaraan dinas/  operasional</t>
  </si>
  <si>
    <t>Pemeliharaan Rutin/ Berkala Peralatan Gedung Kantor</t>
  </si>
  <si>
    <t>Program pembinaan panti asuhan/ panti jompo</t>
  </si>
  <si>
    <t>Jumlah anak panti
yang mendapat
pelayanan sosial (jiwa)</t>
  </si>
  <si>
    <t>Jumlah LKKS dan
TKSK yang meningkat
kinerjanya (unit)</t>
  </si>
  <si>
    <t>Penungkatan Kualitas Lembaga Koordinasi Kesejahteraan Sosial  (LKKS) Kabupaten Pesisir Selatan</t>
  </si>
  <si>
    <t>Jumlah LKKS dan TKSK yang dibina (unit)</t>
  </si>
  <si>
    <t>Penanaman Nilai-Nilai Kepahlawanan  dan Keperintisan</t>
  </si>
  <si>
    <t>Jumlah generasi muda yang  mendapatkan
pemahaman nilai-nilai kebangsaan (orang)</t>
  </si>
  <si>
    <t>Peningkatan Sarana dan Prasarana Kepahlawanan dan keperintisan</t>
  </si>
  <si>
    <t>Terpenuhinya sarana dan prasarana kebutuhan TMP Sago dan MPN Ilyas Yacub (bln)</t>
  </si>
  <si>
    <t xml:space="preserve">Jumlah kepesrtaan dalam festival Langkisau (Keg) </t>
  </si>
  <si>
    <t>Pemeliharaan Rutin /Berkala Kendaraan Dinas/ Operasional.</t>
  </si>
  <si>
    <t>Terpeliharanya kendaraan dinas/ Operasional yang layak dan siap pakai (bln).</t>
  </si>
  <si>
    <t>Jumlah SDM tenaga instruktur pelatih, pembinaan LPKS dan akreditasi kejuruan  (org)</t>
  </si>
  <si>
    <t>Terpelihanya BLK (bln)</t>
  </si>
  <si>
    <t>Besaran tenaga kerja yang mendapat pelatihan berbasis
komptensi (%)</t>
  </si>
  <si>
    <t>Tingkat partisipasi
angkatan kerja (%)</t>
  </si>
  <si>
    <t>Angka sengketa
pekerja dan
pengusaha per tahun</t>
  </si>
  <si>
    <t>Perentase kelembagaan daerah yang responsif gender
(%)</t>
  </si>
  <si>
    <t>Jumlah lembaga PUG yang dibina (unit)</t>
  </si>
  <si>
    <t>persentase
peningkatan peran
perempuan dalam
pembangunan (%)</t>
  </si>
  <si>
    <t>Tersedianya dana pembinaan GOW (bln)</t>
  </si>
  <si>
    <t>Tersedianya dana pembinaan BKMT (bln)</t>
  </si>
  <si>
    <t>Tersedianya dana pembinaan Dharmawanita Persatuan (bln)</t>
  </si>
  <si>
    <t xml:space="preserve">Program Perlindungan anak </t>
  </si>
  <si>
    <t>Persentase  penurunan kasus kekerasan anak
(%)</t>
  </si>
  <si>
    <t>Tersedianya biaya operasional P2TP2A (bln)</t>
  </si>
  <si>
    <t>Persentase pelaksanaan pembangunan yang dipublikasikan (%)</t>
  </si>
  <si>
    <t>Jumlah publikasi di media massa</t>
  </si>
  <si>
    <t>Ketersediaan pelayanan admnistrasi perkantoran (bln)</t>
  </si>
  <si>
    <t>Ketersediaan sarpras penduknung bagi aparatur (bln)</t>
  </si>
  <si>
    <t>Peralatan kantor yang dibeli (unit)</t>
  </si>
  <si>
    <t xml:space="preserve">Terpeliharanya Kendaraan Dinas/ Operasional (bulan) </t>
  </si>
  <si>
    <t>Jumlah kelompok desa mandiri pangan yang aktif (unit)</t>
  </si>
  <si>
    <t>Jumlah lumbung pangan yang dibangun beserta sarana prasana yang tersedia (unit)</t>
  </si>
  <si>
    <t>Stok cadangan pangan pemerintah daerah (ton)</t>
  </si>
  <si>
    <t>Tersusunnya dokumen database ketahanan pangan (dok)</t>
  </si>
  <si>
    <t>Tersedianya peta ketahanan pangan dan kerentanan pangan (dok)</t>
  </si>
  <si>
    <t>Penyusunan Peta Ketahanan Pangan dan Kerentanan Pangan /(FSVA)</t>
  </si>
  <si>
    <t xml:space="preserve"> Konsumsi Energi (kkal/kapita/hari </t>
  </si>
  <si>
    <t>Konsumsi Protein (gram/kapita/hari)</t>
  </si>
  <si>
    <t>Jumlah pameran/ promosi pangan yang diikuti (kali)</t>
  </si>
  <si>
    <t>Tersedianya biaya rapat-rapat dewn ketahanan pangan (bln)</t>
  </si>
  <si>
    <t>Jumlah kelompok usaha pangan lokal yang dibina (kelompok)</t>
  </si>
  <si>
    <t>Jumlah nagari percontohan (unit)</t>
  </si>
  <si>
    <t>Terlaksanaya pengawasan bahan pangan (bln)</t>
  </si>
  <si>
    <t>Ranperda Ketahanan Pangan (dokumen)</t>
  </si>
  <si>
    <t>Dinas Perkimtan</t>
  </si>
  <si>
    <t>Persentase luas tanah
bersetifikasi (%)</t>
  </si>
  <si>
    <t>Jumlah tanah yang disertifikatkan (persil)</t>
  </si>
  <si>
    <t>Dokumen rencana pengadaan tanah (dok)</t>
  </si>
  <si>
    <t>Tersedianya operasional untuk persiapan pengadaan tanah (bln)</t>
  </si>
  <si>
    <t>Tanah yang dibebaskan (persil)</t>
  </si>
  <si>
    <t>Hasil pengadaan tanah yang diserahkan ke bagian asset (persil)</t>
  </si>
  <si>
    <t>Kebutuhan pengadaan tanah yang difasilitasi (paket)</t>
  </si>
  <si>
    <t>Jumlah masyarakat yang mengikuti sosialisasi (org)</t>
  </si>
  <si>
    <t>Penyelesaian kasus
tanah negara (kasus)</t>
  </si>
  <si>
    <t>Persentase Aset Tanah pemda terkelola denganbaik (%)</t>
  </si>
  <si>
    <t>Dinas Lingkungan Hidup</t>
  </si>
  <si>
    <t xml:space="preserve">Jumlah Dokumen Revisi Renstra Yang Dihasilkan </t>
  </si>
  <si>
    <t>Pembayaran rekening listrik, air, telfon  (Bulan)</t>
  </si>
  <si>
    <t>Tersedianya honor pengelola keuangan (Bulan)</t>
  </si>
  <si>
    <t>Terbayarnya honor  tenagakebersihan (Bulan)</t>
  </si>
  <si>
    <t>Tersedianya peralatan kerja kondisi baik (Bulan)</t>
  </si>
  <si>
    <t>Penyediaan barang cetakan dan penggandaan</t>
  </si>
  <si>
    <t>Tersedianya Alat Tulis Kantor (Bulan)</t>
  </si>
  <si>
    <t>Tersedianya barang cetakan dan Penggandaan (Bulan)</t>
  </si>
  <si>
    <t>Penyediaan komponen instalasi listrik/ penerangan bangunan kantor</t>
  </si>
  <si>
    <t>Tersedianya peralatan dan komponen instalasi listrik (Bulan)</t>
  </si>
  <si>
    <t>Penyediaan bahan bacaan dan peraturan perundang-undangan</t>
  </si>
  <si>
    <t>Tersedianya bahan bacaan (Bulan)</t>
  </si>
  <si>
    <t>Tersedianya Makanan dan Minuman (Bulan)</t>
  </si>
  <si>
    <t>Tersedianya biaya perjalanan dinas untuk rapat keluar daerah (Bulan)</t>
  </si>
  <si>
    <t>Tersedianya biaya perjalanan dinas untuk rapat dalam daerah (Bulan)</t>
  </si>
  <si>
    <t>Jumlah Laporan Yang Disampaikan (dok)</t>
  </si>
  <si>
    <t>Pemenuhan layanan Sarana dan prasarana Aparatur (bln)</t>
  </si>
  <si>
    <t>Pemilharaan rutin berkala kendaraan dinas/ operasional</t>
  </si>
  <si>
    <t>Tersedianya layanan kendaraan dinas operasionl (bln)</t>
  </si>
  <si>
    <t>Jumlah peralatan yang dibeli (paket)</t>
  </si>
  <si>
    <t>Rehabilitasi sedang/ berat gedung kantor</t>
  </si>
  <si>
    <t>Jumlah gedung yang direhab (unit)</t>
  </si>
  <si>
    <t>Jumlah kendaraan yang dibeli (unit)</t>
  </si>
  <si>
    <t>Jumlah aparatur yang dilatih (org)</t>
  </si>
  <si>
    <t>laporan triwulan hasil pengendalian dan evaluasi (dok)</t>
  </si>
  <si>
    <t>laporan triwulan yang disusun (dok)</t>
  </si>
  <si>
    <t>Program Pengendalian Pencemaran dan Perusakan Lingkungan Hidup</t>
  </si>
  <si>
    <t>Indeks Kualitas Udara:</t>
  </si>
  <si>
    <t>Diambang Kualitas
Udara baik</t>
  </si>
  <si>
    <t>Koordinasi Penilaian Kota Sehat/ Adipura</t>
  </si>
  <si>
    <t>Tersedianya biaya operasional untuk persiapan penilaian Adipura (keg)</t>
  </si>
  <si>
    <t>Dokumen SPM (dok)</t>
  </si>
  <si>
    <t>biaya operasional pengolahan limbah B3 (keg)</t>
  </si>
  <si>
    <t>event Yang Diaksanakan ( Kali )</t>
  </si>
  <si>
    <t>Tersedianya Opersional Laboratorium Yang Tersedia ( Bulan )</t>
  </si>
  <si>
    <t>Sekolah Berbudaya dan Berwawasan Lingkungan (ADIWIYATA )</t>
  </si>
  <si>
    <t>Jumlah Sekolah Adiwiyata yang dibina (unit)</t>
  </si>
  <si>
    <t>Jumlah Buku Laporan SLHD (dok)</t>
  </si>
  <si>
    <t>Jumlah Dokumen  Lingkungan Hidup yang dibahas (dok)</t>
  </si>
  <si>
    <t>Jumlah Pengaduan Masyarakatditindak lanjuti ( kasus )</t>
  </si>
  <si>
    <t>Penyusunan RPPLH Kabupaten Pesisir Selatan</t>
  </si>
  <si>
    <t>Jumlah Dokumen RPPLH (dok)</t>
  </si>
  <si>
    <t>Dokumn KLHS (dok)</t>
  </si>
  <si>
    <t>Laporan hasil inventarisasi (dok)</t>
  </si>
  <si>
    <t>Pencapaian kualitas air</t>
  </si>
  <si>
    <t>di bawah baku mutu</t>
  </si>
  <si>
    <t>Jumlah sarana yang dibangun (paket)</t>
  </si>
  <si>
    <t>Honor tenaga kebersihan dan ketersediaan alat pembersih (bln)</t>
  </si>
  <si>
    <t>layanan perbaikan peralatan kerja (bln)</t>
  </si>
  <si>
    <t>Jumlah alat tulis kantor yang tersedia (bln)</t>
  </si>
  <si>
    <t>Ketersediaan barang cetakan dan penggandaan (bln)</t>
  </si>
  <si>
    <t>tersedianya komponen instalasi listrik (bln)</t>
  </si>
  <si>
    <t>Terbayarnya tagihan koran/ majalah (bln)</t>
  </si>
  <si>
    <t>Biaya perjalanan dinas luar daerah (bln)</t>
  </si>
  <si>
    <t>Biaya perjalanan dinas dalam daerah (bln)</t>
  </si>
  <si>
    <t>Pemenuhan kebutuhan sarpras bagi aparatur (bln)</t>
  </si>
  <si>
    <t>terpelihanya gedung kantor (bln)</t>
  </si>
  <si>
    <t>Pemeliharaan Rutin/ Berkala Kendaraan Dinas/ Operasional</t>
  </si>
  <si>
    <t>Terpelihanya kendaran dinas (bln)</t>
  </si>
  <si>
    <t>Jumlah peralan yang dibeli (paket)</t>
  </si>
  <si>
    <t>Persentase target pembangunan yang tercapai (%)</t>
  </si>
  <si>
    <t>Rasio penduduk ber-KTP persatuan penduduk</t>
  </si>
  <si>
    <t>Rakor P3MD  (Kali)</t>
  </si>
  <si>
    <t>Persentase Lembaga Ekonomi Masyarakat yang aktif (%)</t>
  </si>
  <si>
    <t>Jumlah sarpras yang diadakan (paket)</t>
  </si>
  <si>
    <t>Kegiatan DAK yang ditunjang (keg)</t>
  </si>
  <si>
    <t>Biaya operasional pendribusian (bln)</t>
  </si>
  <si>
    <t>Pembinaan Kampung KB (bln)</t>
  </si>
  <si>
    <t>Operasional PKB, Klinik KB dan BP4 (bln)</t>
  </si>
  <si>
    <t xml:space="preserve">Pengadaan Sarana Dan Prasarana Keluarga Berencana </t>
  </si>
  <si>
    <t>Penyuluhan PIK R yang dilakukan (bln)</t>
  </si>
  <si>
    <t>Pembinaan yang dilakukan (Bln)</t>
  </si>
  <si>
    <t>Rasio Apseptor KB (%)</t>
  </si>
  <si>
    <t>Persentase kegiatan pembangunan yang dipublikasikan (%)</t>
  </si>
  <si>
    <t>tersedianya pelayanan administrasi perkantoran (bln)</t>
  </si>
  <si>
    <t>jasa komunikasi, sumber daya air dan listrik</t>
  </si>
  <si>
    <t>tersedianya peralatan dan perlengkapan kantor</t>
  </si>
  <si>
    <t>tersedianya jasa administrasi keuangan</t>
  </si>
  <si>
    <t>tersedianya jasa kebersihan kantor</t>
  </si>
  <si>
    <t>tersedianya jasa perbaikan peralatan kerja</t>
  </si>
  <si>
    <t>tersedianya alat tulis kantor</t>
  </si>
  <si>
    <t>Ltersedianya barang cetakan dan penggandaan</t>
  </si>
  <si>
    <t>tersedianya komponen instalasi listrik/ penerangan bangunan kantor</t>
  </si>
  <si>
    <t>Penyediaan bahan bacaan dan peraturan peruandang-undangan</t>
  </si>
  <si>
    <t>tersedianya bahan bacaan dan peraturan perundang- undangan</t>
  </si>
  <si>
    <t>tersedianya makanan dan minuman</t>
  </si>
  <si>
    <t>tersedianya biaya perjalanan dinasi ke luar daerah</t>
  </si>
  <si>
    <t>tersedianya biaya perjalanan dinasi dalam daerah</t>
  </si>
  <si>
    <t>Jumlah laporan (dok)</t>
  </si>
  <si>
    <t>Tersedianya jasa tenaga kerja non PNS (bln)</t>
  </si>
  <si>
    <t>Tersedoianya Jasa Pengamanan Kantor</t>
  </si>
  <si>
    <t>Program Peningkatan  Sarana dan Prasarana Aparatur</t>
  </si>
  <si>
    <t>Jumlah Meubiler (Paket)</t>
  </si>
  <si>
    <t>terpeliharanya gedung kantor</t>
  </si>
  <si>
    <t>Terpelihanya kendaraan dinas/ operasional</t>
  </si>
  <si>
    <t>Jumlah Pengadaan Kendaraan Dinas (unit)</t>
  </si>
  <si>
    <t>Jumlah Pembangunan Gedung Kantor (unit)</t>
  </si>
  <si>
    <t>Terlaksananya Peningkatan Disiplin Aparatur (paket)</t>
  </si>
  <si>
    <t>Laporan triwulan hasil monev (dok)</t>
  </si>
  <si>
    <t>Persentase kesuaian
pelaksanaan program
dengan rencana (%0</t>
  </si>
  <si>
    <t>JPersentase sarana
perhubungan yang
terpenuhi (%)</t>
  </si>
  <si>
    <t>terlaksanaya kegiatan DAK (Keg)</t>
  </si>
  <si>
    <t>Jumlah sarana dan prasarana yang dibangun/beli (paket)</t>
  </si>
  <si>
    <t>Program Rehabilitasi dan Pemeliharaan Prasaran dan fasilitas LLAJ</t>
  </si>
  <si>
    <t>Persentase alat
keselamatan lalu lintas yang berfungsi baik
(%)</t>
  </si>
  <si>
    <t>Jumlah pos retribusi (TPR) yang dipelihara (unit)</t>
  </si>
  <si>
    <t>Tingkat kepusasn
masyarakat terhadap pelayanan transportasi (%)</t>
  </si>
  <si>
    <t>Fasilitasi yang dilakukan (keg)</t>
  </si>
  <si>
    <t>Pengawasan dan Pengendalian LLAJ</t>
  </si>
  <si>
    <t>biaya operasional Pengawasan dan Pengendalian LLAJ (bln)</t>
  </si>
  <si>
    <t>Biaya  Operasional  Pengamanan  Lalu Lintas Angkutan Laut (bln)</t>
  </si>
  <si>
    <t>Pembinaan dan penertiban lalu lintas angkutan laut</t>
  </si>
  <si>
    <t>Jumlah masyarakat yang dibina</t>
  </si>
  <si>
    <t>Biaya operasional bus sekolah (bln)</t>
  </si>
  <si>
    <t>Operasional pelayanan terminal dan perparkiran (bln)</t>
  </si>
  <si>
    <t>Persentase sarana
perhubungan yang
terpenuhi (%)</t>
  </si>
  <si>
    <t>sarana yang dibangun (paket)</t>
  </si>
  <si>
    <t>Pelabuhan/ Dermaga / Tambatan Perahu yang dibangun (unit)</t>
  </si>
  <si>
    <t>Persentase
pemenuhan sarana
pengamanan lalu lintas (%)</t>
  </si>
  <si>
    <t>Jumlah pembangunan penerangan jalan umum (paket)</t>
  </si>
  <si>
    <t>Biaya pemeliharaan PJU (bln)</t>
  </si>
  <si>
    <t>Jumlah Rambu RPPJ (paket)</t>
  </si>
  <si>
    <t>Jumlah Alat Keselamatan (paket)</t>
  </si>
  <si>
    <t>Program peningkatan kelaikan pengoperasian kendaraan bermotor</t>
  </si>
  <si>
    <t>Jumlah Kendaraan
yang layak jalan (unit)</t>
  </si>
  <si>
    <t>Pelayanan Pengujian Kendaraan bermotor</t>
  </si>
  <si>
    <t>Jumlah kendaraan yang dilayani (unit)</t>
  </si>
  <si>
    <t>Jumlah publikasi (kali)</t>
  </si>
  <si>
    <t>Operasional pelayanan penerimaan retribusi (bln)</t>
  </si>
  <si>
    <t>pemenuhan pelayanan Adminstrasi perkantoran (bln)</t>
  </si>
  <si>
    <t>ketersediaan  sarpras kantor bagi aparatur</t>
  </si>
  <si>
    <t>Terpelihanya perlengkapan kantor (bln)</t>
  </si>
  <si>
    <t>terpelihanya kendraan dinas (bln)</t>
  </si>
  <si>
    <t>Peralatan yang dibeli (paket)</t>
  </si>
  <si>
    <t>Jumlah kerjasama
dengan madia massa</t>
  </si>
  <si>
    <t>Persentase informasi
publik yang mudah
diakses (%)</t>
  </si>
  <si>
    <t>Jumlah Kelompok Informasi Masyarakat yang dibina (unit)</t>
  </si>
  <si>
    <t>Biaya operasional penerangan keliling (bln)</t>
  </si>
  <si>
    <t>biaya operasional pelayanan informasi publik (bln)</t>
  </si>
  <si>
    <t>Masterplan TIK (dokumen)</t>
  </si>
  <si>
    <t>Jumlah regulasi bid.kominfo yang diterbitkan (regulasi)</t>
  </si>
  <si>
    <t>infrastruktur TIK yang dibangun (paket)</t>
  </si>
  <si>
    <t>Jumlah regulasi yang disusun (aturan)</t>
  </si>
  <si>
    <t>Persentase OPD yang memiliki SDM TIK (%)</t>
  </si>
  <si>
    <t>Jumlah aparatur yang dilatih (orang)</t>
  </si>
  <si>
    <t>Program Penyelengaraan e-Government</t>
  </si>
  <si>
    <t>Persentase cakupan nagari yang terintegrasi smartcity (%)</t>
  </si>
  <si>
    <t>Persentase cakupan PD yang terintegrasi  smartcity (%)</t>
  </si>
  <si>
    <t>Persentase cakupan puskesmas yang
terintegrasi smartcity (%)</t>
  </si>
  <si>
    <t>Pengawasan dan Pengendalian Jaringan dan Data TIK</t>
  </si>
  <si>
    <t>Tersedianya jaringan Fiber Optik milik pemerintah daerah (paket)</t>
  </si>
  <si>
    <t>XI</t>
  </si>
  <si>
    <t>Tersedianya peralatan gedung kantor (Unit)</t>
  </si>
  <si>
    <t>Terpeliharanya Perlengkapan gedung kantor (bln)</t>
  </si>
  <si>
    <t>Terpelihanya Kendaraan dinas (bln)</t>
  </si>
  <si>
    <t>Festival yang digelar (keg)</t>
  </si>
  <si>
    <t>Jumlah UMKM yang
mengkases
permodalan ke
lembaga keuangan
(unit)</t>
  </si>
  <si>
    <t>Jumlah calon debitur potensi untuk dibiayai KUR kedalam SKIP (unit usaha)</t>
  </si>
  <si>
    <t>Persentase UMKM
(%)</t>
  </si>
  <si>
    <t xml:space="preserve">jumlah UMKM yang mengikuti temu mitra (unit) </t>
  </si>
  <si>
    <t>jumlah  UMKM ynag mengikuti pelatihan (org)</t>
  </si>
  <si>
    <t>dokumen database UMKM (dok)</t>
  </si>
  <si>
    <t>Jumlah UMKM yang mengikuti bintek (org)</t>
  </si>
  <si>
    <t>Jumlah UMKM  yang terbina</t>
  </si>
  <si>
    <t>Persentase koperasi aktif melaksanakan RAT (%)</t>
  </si>
  <si>
    <t>Pesentase Koperasi dengan modal di atas5 M (%)</t>
  </si>
  <si>
    <t>Jumlah koperasi yang mengikuti sosialisasi (unit)</t>
  </si>
  <si>
    <t>Jumlah koperasi yang menerima penghargaan koperasi berprestasi (unit)</t>
  </si>
  <si>
    <t>Jumlah koperasi yang dibina dan diawasi (unit)</t>
  </si>
  <si>
    <t>jumlah koperasi yang direvilisasi (unit)</t>
  </si>
  <si>
    <t>jumlah pengurus koperasi yang mengikuti bintek (org)</t>
  </si>
  <si>
    <t>tersedianya peralatan kerja (paket)</t>
  </si>
  <si>
    <t>Program Peningkatan Iklim Investasi dan Realisasi Investasi</t>
  </si>
  <si>
    <t>Nilai realiasi investasi
PMA/ PMDN (milyar
Rp)</t>
  </si>
  <si>
    <t>dokumen data investasi non fasilitasi rumah tangga (dok)</t>
  </si>
  <si>
    <t>operasional sistem pelayananan perizinan secara online (bln)</t>
  </si>
  <si>
    <t>operasional pelayanan perizinan penanaman modal pada investor (bln)</t>
  </si>
  <si>
    <t>jumlah peserta lokakarya (org)</t>
  </si>
  <si>
    <t>Biaya operasional koordinasi (bln)</t>
  </si>
  <si>
    <t>Tersedianya operasional untuk pengawasan dan pengendalian (bln)</t>
  </si>
  <si>
    <t>Biaya operasional pelayanan (bln)</t>
  </si>
  <si>
    <t>Jumlah sosialisasi yang dilakukan (keg)</t>
  </si>
  <si>
    <t>Operasional tim penyelesaian pengaduan (bln)</t>
  </si>
  <si>
    <t>Program Peningkatan Daya Saing Penanaman Modal</t>
  </si>
  <si>
    <t>Terpenuhinya layanan administrasi perkantoran (bln)</t>
  </si>
  <si>
    <t xml:space="preserve"> /honorarium tenaga administrasi keuangan (bln)</t>
  </si>
  <si>
    <t>honr  petugas kebersihan kantor  (bln)</t>
  </si>
  <si>
    <t>Terpelihanya peralatan kerja  (bln)</t>
  </si>
  <si>
    <t>Terpenuhinya alat tulis kantor untuk operasional  (bln)</t>
  </si>
  <si>
    <t>Tersedianya barang cetakan dan penggadaan pada   (bln)</t>
  </si>
  <si>
    <t xml:space="preserve"> komponen instalasi listrik bangunan kantor   (bln)</t>
  </si>
  <si>
    <t xml:space="preserve"> Peralatan dan perlengkapan kantor (paket)</t>
  </si>
  <si>
    <t>terpenuhinya kebutuhan makanan dan minuman  (bln)</t>
  </si>
  <si>
    <t>Biaya perjalanan dinas luar daerah  (bln)</t>
  </si>
  <si>
    <t>Biaya perjalanan dinas dalam daerah  (bln)</t>
  </si>
  <si>
    <t>Terpeliharanya Gedung Kantor (bln)</t>
  </si>
  <si>
    <t>Peringkat pemuda
pelopor</t>
  </si>
  <si>
    <t>5 besar</t>
  </si>
  <si>
    <t>operasional dan fasilitasi penilaian (keg)</t>
  </si>
  <si>
    <t>Proses seleksi (kali)</t>
  </si>
  <si>
    <t>Jumlah Klub olah raga yang berkembang di
masyarakat</t>
  </si>
  <si>
    <t>Olah Raga Massal (Car Free Day )</t>
  </si>
  <si>
    <t>Jumlah olahraga massal yang dilaksankan (keg)</t>
  </si>
  <si>
    <t>Jumlah aktivasi dan bantuan untuk club-club olahraga yang dilakukan (paket)</t>
  </si>
  <si>
    <t>Jumlah prestasi olah raga</t>
  </si>
  <si>
    <t>Jumlah atlit
berprestasi (org)</t>
  </si>
  <si>
    <t>ketersediaan data
statistik sektoral</t>
  </si>
  <si>
    <t>Data Sektoral Perangkat Daerah (dok)</t>
  </si>
  <si>
    <t>Ada</t>
  </si>
  <si>
    <t>Operasional tim pengamanan digital (bln)</t>
  </si>
  <si>
    <t>Jumlah Grup
kesenian/sanggar
budaya yang
berkembang (unit)</t>
  </si>
  <si>
    <t>Jumlah tim yang dikirim (tim)</t>
  </si>
  <si>
    <t>Jumlah cagar yang dipelihara (unit)</t>
  </si>
  <si>
    <t>Dampingan yang diberikan (keg)</t>
  </si>
  <si>
    <t>film yang dihasilkan (buah)</t>
  </si>
  <si>
    <t>Jumlah cagar Budaya yang dilestarikan (unit)</t>
  </si>
  <si>
    <t>Ranperda tentang kurikulum muatan lokal BAMK berbasis ABS-SBK (dok)</t>
  </si>
  <si>
    <t>kegiatan yang dilaksanakan (keg)</t>
  </si>
  <si>
    <t>XVI</t>
  </si>
  <si>
    <t>Ketersediaan  Pelayanan Adminisitrasi Perkantoran (bln)</t>
  </si>
  <si>
    <t>Tersedianya bahan bacaan dan peraturan per-UU-an (Bulan)</t>
  </si>
  <si>
    <t>Ketersediaan layanan Sarana dan prasarana Aparatur (bln)</t>
  </si>
  <si>
    <t>Terpeliharanya kendaraan dinas / operasional (bulan)</t>
  </si>
  <si>
    <t>Terpiliharanya gedung kantor dinas perikanan (bln)</t>
  </si>
  <si>
    <t>peralatan dan perlengkapan kantor yang dibeli (paket)</t>
  </si>
  <si>
    <t xml:space="preserve">Nilai SAKIP Dinas </t>
  </si>
  <si>
    <t>Laporan triwulan hasil pengendalian dan monev (dok)</t>
  </si>
  <si>
    <t>Dokumen perencanaan dan penganggaran (doki)</t>
  </si>
  <si>
    <t>Database perikanan (dokumen )</t>
  </si>
  <si>
    <t>Sarana dan Prasaranaperikanan budidaya (paket)</t>
  </si>
  <si>
    <t>Penunjang Kegiatan DAK Bidang Perikanan Budidaya</t>
  </si>
  <si>
    <t xml:space="preserve"> Terlaksananya Kegiatan  DAK bidang perikanan budidaya (bln)</t>
  </si>
  <si>
    <t>Penyediaan Sarana dan Prasarana Kolam Perikanan rakyat</t>
  </si>
  <si>
    <t>sarana dan prasarana kolam perikanan rakyat (paket)</t>
  </si>
  <si>
    <t xml:space="preserve"> Biaya operasional Pabrik Pengolahan Pakan Ikan (bulan)</t>
  </si>
  <si>
    <t>Penyediaan Sarana Prasarana Pemberdayaan Skala Kecil Untuk Nelayan (DAK)</t>
  </si>
  <si>
    <t>Sarana dan Prasarana Pemberdayaan Skala Kecil Nelayan (paket)</t>
  </si>
  <si>
    <t>Terlaksanaya kegiatan DAK bidang pemberdayaan nelayan kecil (bln)</t>
  </si>
  <si>
    <t>Sarana dan Prasarana Perikanan Tangkap (paket)</t>
  </si>
  <si>
    <t>Terbinanya Kelompok Pembudidaya Ikan/pokdakan (kelompok)</t>
  </si>
  <si>
    <t>Tersalurkannya Asuransi nelayan (unit)</t>
  </si>
  <si>
    <t>Masyarakat yang terlibat (orang)</t>
  </si>
  <si>
    <t>Promosi yang dilakukan (kali)</t>
  </si>
  <si>
    <t>pelatihan yang dilakukan (kali)</t>
  </si>
  <si>
    <t>jumlah destinasi wisata
unggulan (Kawasan)</t>
  </si>
  <si>
    <t>biaya pemeliharaan objek wisata (bln)</t>
  </si>
  <si>
    <t>Laporan triwulan hasil monev objek wisata (dok)</t>
  </si>
  <si>
    <t>Biaya operasional pengelolaan pantai carocok (bln)</t>
  </si>
  <si>
    <t>Sarana dan Prasarana Objek wisata (paket)</t>
  </si>
  <si>
    <t>Biaya operasional pengelolaan kawan Mandeh (bln)</t>
  </si>
  <si>
    <t>DED yang disusun (dok)</t>
  </si>
  <si>
    <t>Terlaksanaya  Festival Langkisau  (keg)</t>
  </si>
  <si>
    <t>Angka kunjungan
wisata (org)</t>
  </si>
  <si>
    <t>Jpromosi yang diikuti (kali)</t>
  </si>
  <si>
    <t>Terlaksananya Lomba Drumband (kali)</t>
  </si>
  <si>
    <t>Buku profil pariwisata pessel (dok)</t>
  </si>
  <si>
    <t>Jumlah kelompok
sadar wisata yang
berkembang (kelompok)</t>
  </si>
  <si>
    <t>Paket famtrip yang dilaksanakan (keg)</t>
  </si>
  <si>
    <t>Pembinaan yang dilakukan (bulan)</t>
  </si>
  <si>
    <t>Jumlah kelompok
ekonomi kreatif yang berkembang (kelompok)</t>
  </si>
  <si>
    <t>Seleksi Uda-Uni (keg)</t>
  </si>
  <si>
    <t>Jumlah peserta (org)</t>
  </si>
  <si>
    <t>Jumlah kelompok yang difasilitasi (kel)</t>
  </si>
  <si>
    <t>event yang diikuti (keg)</t>
  </si>
  <si>
    <t>DISTANHORBUN</t>
  </si>
  <si>
    <t>tersedianya pelayanan administrasi yang prima (bln)</t>
  </si>
  <si>
    <t>tersedianya sarana dan prasarana kantor yang representatif (bln)</t>
  </si>
  <si>
    <t>Terpeliharanya kendaraan dinas roda empat dan roda dua (bln)</t>
  </si>
  <si>
    <t>jumlah aparatur yang dilatih (org)</t>
  </si>
  <si>
    <t>persentase aparatur profesional (%)</t>
  </si>
  <si>
    <t>Pemeliharaan rutin berkala sarana dan prasarana teknologi pertanian /perkebunan tepat guna</t>
  </si>
  <si>
    <t>persentase peningkatan pembangunan prasarana  pertanian (%)</t>
  </si>
  <si>
    <t>Rapat - rapat koordinasi dan asosiasi bidang perkebunan yang dilaksanakan (keg)</t>
  </si>
  <si>
    <t>Jumlah petani yang mengikuti pelatihan pengolahan hasil (org)</t>
  </si>
  <si>
    <t>DINAS PETERNAKAN DAN KESEHATAN HEWAN</t>
  </si>
  <si>
    <t>terlaksananya pelayanan administrasi perkantoran (bln)</t>
  </si>
  <si>
    <t>ketersediaan sarana penunjang (bln)</t>
  </si>
  <si>
    <t>terlaksananya pengawasan lalu lintas ternak (bln)</t>
  </si>
  <si>
    <t>Jumlah peternak yang difasilitasi</t>
  </si>
  <si>
    <t>Program Peningkatan Sarana/ Prasarana Peternakan</t>
  </si>
  <si>
    <t>Persentse peningkatan
Sarana prasarana
Pusat Perbibitan dan Pengembangan
Peternakan (P4)</t>
  </si>
  <si>
    <t>Terbangun nya sarana/ prasarana peternakan (paket)</t>
  </si>
  <si>
    <t>Jumlah pengawasan (keg)</t>
  </si>
  <si>
    <t>Terlaksana-nya persiapan pelayanan UPTD (bulan)</t>
  </si>
  <si>
    <t>Jumlah pemantauan (kegiatan)</t>
  </si>
  <si>
    <t>Jumlah papan display informasi harga (unit)</t>
  </si>
  <si>
    <t>Database perdagangan (dok)</t>
  </si>
  <si>
    <t>Program Peningkatan Efisiensi Perdagangan Dalam Negeri</t>
  </si>
  <si>
    <t>Kontribusi sektor
perdagangan terhadap
PDRB (%)</t>
  </si>
  <si>
    <t>Operasional penagihan PAD Pasar (bln)</t>
  </si>
  <si>
    <t xml:space="preserve"> Operasional Percepatan Pembangu-nan Pasar Kabupaten</t>
  </si>
  <si>
    <t>Pertumbuhan Industri (%)</t>
  </si>
  <si>
    <t>Operasional Dekranasda (bln)</t>
  </si>
  <si>
    <t>Ranperda REPIK (dok)</t>
  </si>
  <si>
    <t>Jumlah IKM yang difasilitasi untuk mendapatkan sertifikat halal, HKI, uji laboratorium, Izin edar (unit)</t>
  </si>
  <si>
    <t>Produk IKM yang
berkualitas
(bersertifikat) (jenis
produk)</t>
  </si>
  <si>
    <t xml:space="preserve">Program Peningkatan Kemampuan Teknologi industri </t>
  </si>
  <si>
    <t>Jumlah IKM  yang terbina dalam menggunakan teknologi tepat guna (unit)</t>
  </si>
  <si>
    <t>Jumlah Sentra IKM
(unit)</t>
  </si>
  <si>
    <t>Jumlah IKM sentra yang dibina dan dilatih (unit)</t>
  </si>
  <si>
    <t>Sudah tidak digunakan lagi</t>
  </si>
  <si>
    <t>Program ini Sudah tidak digunakan lagi</t>
  </si>
  <si>
    <t>Persentase sarana dan prasarana pendukung di wilayah KTM dalam
kondisi baik (%)</t>
  </si>
  <si>
    <t>Dokumengan untuk KTM (paket)</t>
  </si>
  <si>
    <t>Anggaran pendamping Dana TP (keg)</t>
  </si>
  <si>
    <t>Jumlah dokumen perencanaan yang disusun (dok)</t>
  </si>
  <si>
    <t>Infrastruktur, Sarana Prasarana yang dibangun (paket)</t>
  </si>
  <si>
    <t>PENGAWASAN</t>
  </si>
  <si>
    <t>Ketersediaan sarana dan prasarana penunjang bagi aparatur (bln)</t>
  </si>
  <si>
    <t>Jumlah pengadaan perlengkapan gedung kantor (paket)</t>
  </si>
  <si>
    <t>Jumlah pengadaan peralatan gedung kantor (paket)</t>
  </si>
  <si>
    <t>Jumlah Pengadaan Mobileur (paket)</t>
  </si>
  <si>
    <t>terpeliharanya kantor (bln)</t>
  </si>
  <si>
    <t>Terpelihanya kendaraan dinas (bln)</t>
  </si>
  <si>
    <t>Jumlah Pengadaan Pakaian Khusus hari-hari tertentu (paket)</t>
  </si>
  <si>
    <t>Jumlah Pengadaan Pakaian Dinas beserta perlengkapannya (paket)</t>
  </si>
  <si>
    <t>Jumlah Perangkat Daerah yang mengikuti Kegiatan/ sosialisasi Reformasi Birokrasi</t>
  </si>
  <si>
    <t>Jumlah dokumen anggaran yang direviu (dok)</t>
  </si>
  <si>
    <t>Jumlah Laporan Kinerja Instansi Pemerintah dan Pengadaan Barang dan Jasa Pemerintah  PD yang di evaluasi</t>
  </si>
  <si>
    <t>Level 4</t>
  </si>
  <si>
    <t>Level 3</t>
  </si>
  <si>
    <t>Persentase program pembangunan yang dipublikasikan (%)</t>
  </si>
  <si>
    <t>Jumlah publikasi yang dilakukan (kali)</t>
  </si>
  <si>
    <t>Terpenuhinya kebutuhan adm perkantoran untuk aparatur (bln)</t>
  </si>
  <si>
    <t>Kperalatan kantor yang dibeli (paket)</t>
  </si>
  <si>
    <t>jumlah MOU kewilayahan dengan Instansi Lainnya</t>
  </si>
  <si>
    <t>jumlah dokumen
kerjasama yang
disusun (dok)</t>
  </si>
  <si>
    <t>Persentase tingkat
integrasi data
pembangunan (%)</t>
  </si>
  <si>
    <t>Persentase
perencanaan
pembangunan
prasarana wilayah
yang selaras (%)</t>
  </si>
  <si>
    <t>Persentase
perencanaan daerah yang selaras (%)</t>
  </si>
  <si>
    <t>Dokumen RPJPD</t>
  </si>
  <si>
    <t>Dokumen RPJMD</t>
  </si>
  <si>
    <t>Dokumen RKPD</t>
  </si>
  <si>
    <t>Nota kesepakatan KUA dan PPA RAPBD (dok)</t>
  </si>
  <si>
    <t>Nota kesepakatan KUPA dan PPA  P-APBD (dok)</t>
  </si>
  <si>
    <t>Persentase
perencanaan
pengembangan
kawasan perkotaan
yang selaras (%)</t>
  </si>
  <si>
    <t>Terkoordinasikannya pelaksanaan program AMPL dan PPSP  (bln)</t>
  </si>
  <si>
    <t>Terkoordinasikannya pelaksanaan program Pamsimas (bln)</t>
  </si>
  <si>
    <t>Persentase
perencanaan
pembangunan siosial budaya yang selaras (%)</t>
  </si>
  <si>
    <t>Persentase
perencanaan
pembangunan
ekonomi yang selaras (%)</t>
  </si>
  <si>
    <t>Terkoordinasikannya perencanaan pembangunan lingkup bidan ekonomi (bln)</t>
  </si>
  <si>
    <t>Terwujudnya akselerasi pembangunan di Kawasan Pedesaan (kawasan)</t>
  </si>
  <si>
    <t>Dokumen Anggaran dan Pelaporan Pelaksanaan Pertanggungjawaban SKPD (dok)</t>
  </si>
  <si>
    <t>Ketersediaan sarana prasarana penunjang (bln)</t>
  </si>
  <si>
    <t>Jumlah mobiler (paket)</t>
  </si>
  <si>
    <t>Persentase perangkat daerah yang enyampaikan
laporan keuangan
tepat waktu</t>
  </si>
  <si>
    <t>Program Pengembangan Data/ Informasi</t>
  </si>
  <si>
    <t>Keikutsertaan  pada Festival Langkisau (keg)</t>
  </si>
  <si>
    <t>kasus penyelesaian kerugian negara yang ditangani (kasus)</t>
  </si>
  <si>
    <t>Tersusunnya Standar Harga (dok)</t>
  </si>
  <si>
    <t>Rancangan Perda tentang APBD (dok)</t>
  </si>
  <si>
    <t>Perbup  Penjabaran  APBD (dok)</t>
  </si>
  <si>
    <t>Rancangan Perda tentang P-APBD (dok)</t>
  </si>
  <si>
    <t>Perbup  Penjabaran  P-APBD (dok)</t>
  </si>
  <si>
    <t>Ranperda Pertanggungjawaban APBD (dok)</t>
  </si>
  <si>
    <t>Operasional pelaporan periodik (bln)</t>
  </si>
  <si>
    <t>Operasional BUD (bln)</t>
  </si>
  <si>
    <t>Operasional Pengelolaan Dana Transfer (bln)</t>
  </si>
  <si>
    <t>Perbiup tentang Penjabaran Pertanggung jawaban APBN (dok)</t>
  </si>
  <si>
    <t>Tersedianya buku DPA SKPD (dok)</t>
  </si>
  <si>
    <t>Operasional Penghapusan Barang-barang Inventaris (bulan)</t>
  </si>
  <si>
    <t>Tersedianya buku DPA Perubahan SKPD (dok)</t>
  </si>
  <si>
    <t>Operasional Pengeloaan dan Penatausahaan Gaji ASN ( bulan)</t>
  </si>
  <si>
    <t>Operasional pengelolaan Kasda (bln)</t>
  </si>
  <si>
    <t>Operasional verifikasi RKBMD (bulan)</t>
  </si>
  <si>
    <t>Dokumen  manajemen aset (buku)</t>
  </si>
  <si>
    <t>Dokumen RKBMD (dok)</t>
  </si>
  <si>
    <t>Dokumen SAP (dok)</t>
  </si>
  <si>
    <t>Perbup Standar Biaya (dok)</t>
  </si>
  <si>
    <t>Operasional inventarisasi aset (bln)</t>
  </si>
  <si>
    <t>Regulasi yang disusun (dok)</t>
  </si>
  <si>
    <t>Pedoman penyusunan RKA (dok)</t>
  </si>
  <si>
    <t>Persentase
peningkatan  kualitas pengelolaan keuangan  PD (%)</t>
  </si>
  <si>
    <t>Operasional penyaluran dana hibah dan bansos (bulan)</t>
  </si>
  <si>
    <t>Operasional penyaluran dana hibah dan bansos  (bulan)</t>
  </si>
  <si>
    <t>pedoman penyusunan APBD (dok)</t>
  </si>
  <si>
    <t>Analisa Standar Belanja (buku)</t>
  </si>
  <si>
    <t>operasional rekon dana transfer (bln)</t>
  </si>
  <si>
    <t>Program Pembinaan dan Fasilitasi  Pengelolaan Keuangan Desa/ Nagari</t>
  </si>
  <si>
    <t>Jumlah nagari yang dibina (nagari)</t>
  </si>
  <si>
    <t>Laporan triwulan hasil monev dana transfer ke nagari (dokumen)</t>
  </si>
  <si>
    <t>laporan triwulan hasil monev penatausahaan kas daerah (dokumen)</t>
  </si>
  <si>
    <t>Terselenggaranya TOT Aplikasi Siskuedes (kegiatan)</t>
  </si>
  <si>
    <t>Terpenuhinya Pelayanan Administrasi perkantoran (bln)</t>
  </si>
  <si>
    <t>Terpenuhinya Penyediaaan Jasa Komunikasi, Listrik, Telepon dan Air Badan Pendapatan (bln)</t>
  </si>
  <si>
    <t>Terlaksananya Administrasi Keuangan OPD (bln)</t>
  </si>
  <si>
    <t>Terlaksananya Kebersihan Kantor (bln)</t>
  </si>
  <si>
    <t>Tersedianya Alat Tulis Kantor (bln)</t>
  </si>
  <si>
    <t>Tersedianya Komponen Instalasi Listrik/Penerangan Bangunan kantor (bln)</t>
  </si>
  <si>
    <t>Tersedianya Makanan dan Minuman (bln)</t>
  </si>
  <si>
    <t>Terlaksananya Rapat-rapat Koordinasi dan Konsultasi Keluar Daerah (bln)</t>
  </si>
  <si>
    <t>Terlaksananya  rapat-rapat koordinasi dan konsultasi dalam daerah (bln)</t>
  </si>
  <si>
    <t>Tersedianya Sarana dan Prasarana penunjang bagi Aparatur (bln)</t>
  </si>
  <si>
    <t>sepeda motor (unit)</t>
  </si>
  <si>
    <t>peralatan kantor yang dibeli (paket)</t>
  </si>
  <si>
    <t>mobiler kantor (paket)</t>
  </si>
  <si>
    <t>Terpelihanya  Gedung Kantor (bln)</t>
  </si>
  <si>
    <t>Terpelihanya peralatan kantor (bln)</t>
  </si>
  <si>
    <t>gedung kantor yang direhab (unit)</t>
  </si>
  <si>
    <t>Persentase aparatur yang profesional (%)</t>
  </si>
  <si>
    <t>Jumlah aparatur yang mengikuti diklat (org)</t>
  </si>
  <si>
    <t>publikasi yang dilakukan (kali)</t>
  </si>
  <si>
    <t>Program Peningkatan Pengembangan Pengelolaan keuangan daerah</t>
  </si>
  <si>
    <t>Realisasi PAD (Milyar Rp)</t>
  </si>
  <si>
    <t xml:space="preserve"> Laporan PAD (dok)</t>
  </si>
  <si>
    <t>data potensi pajak daewrah (dok)</t>
  </si>
  <si>
    <t>Barang Kuasi (paket)</t>
  </si>
  <si>
    <t>operasional verifikasi potensi pajak (bln)</t>
  </si>
  <si>
    <t>operasional pemungutan pajak daerah pd wilayah I (bln)</t>
  </si>
  <si>
    <t>operasional pemungutan pajak daerah pd wilayah II (bln)</t>
  </si>
  <si>
    <t>operasional pemungutan pajak daerah pd wilayah III (bln)</t>
  </si>
  <si>
    <t>jumlah peserta sosialisasi (org)</t>
  </si>
  <si>
    <t>Dokumen Rekonsiliasi PAD (dokumen)</t>
  </si>
  <si>
    <t xml:space="preserve"> Laporan triwulan hasil monev PAD</t>
  </si>
  <si>
    <t>Tersusunnya Buku Potensi PAD (dok)</t>
  </si>
  <si>
    <t>barang cetakan dokumen PBB-P2 (paket)</t>
  </si>
  <si>
    <t xml:space="preserve"> Buku Zonasi Nilai Tanah (dokumen)</t>
  </si>
  <si>
    <t>operasional sistem informasi pengelolaan pajak daerah (bln)</t>
  </si>
  <si>
    <t xml:space="preserve"> jasa telpon, sumber daya air dan listrik (bln)</t>
  </si>
  <si>
    <t xml:space="preserve">pembayaran/ honorarium tenaga administrasi keuangan  (bln) </t>
  </si>
  <si>
    <t>honor petugas kebersihan kantor (bln)</t>
  </si>
  <si>
    <t>Terpeliharanya kendaraan dinas/ operasional (bln)</t>
  </si>
  <si>
    <t>Terpeliharanya peralatan gedung kantor (bln)</t>
  </si>
  <si>
    <t>Persentase tingkat
kepuasaan pelayanan
Administrasi
Kepegawaian (Aspek Syarat dan Prosedur)</t>
  </si>
  <si>
    <t>operasional administrasi mutasi pegawai (bln)</t>
  </si>
  <si>
    <t>Jumlah PNS yang melanggar disiplin dan masalah perceraian yang diproses (orang)</t>
  </si>
  <si>
    <t>Jumlah aparatur yang mengikuti ujian dinas dan penyesuaian ijazah(orang)</t>
  </si>
  <si>
    <t>operasional pengelolaan SIMPEG dan SAPK (bln)</t>
  </si>
  <si>
    <t>operasional  pengelolaan tata naskah dinas (bln)</t>
  </si>
  <si>
    <t>Pengelolaan administrasi karpeg, karis/ karsu dan taspen</t>
  </si>
  <si>
    <t>Jumlah aparatur yang mengikuti sosialisasi (org)</t>
  </si>
  <si>
    <t>Persentase Pejabat
Struktural Eselon II
dan III yang telah
mengikuti Diklat Pim II dan III (%)</t>
  </si>
  <si>
    <t>Persentase Pejabat
Struktural Eselon IV
yang telah engikuti
Diklat Pim IV (%)</t>
  </si>
  <si>
    <t>rumusan inovasi yang dihasilkan (buah)</t>
  </si>
  <si>
    <t>Persentase kebijakan inovasi yang diterapkan didaerah (%)</t>
  </si>
  <si>
    <t>Persentase
pemanfaatan hasil
kelitbangan (%)</t>
  </si>
  <si>
    <t>jumlah kebijakan yang dikaji (kebijakan)</t>
  </si>
  <si>
    <t>operasional pelaksanaan koordinasi kelitbangan (bln)</t>
  </si>
  <si>
    <t>Persentase kerjasama
yang dilaksanakan
antara Pemerintah
Daerah dengan
Perguruan Tinggi/ Lembaga Penelitian (%)</t>
  </si>
  <si>
    <t>terkelolanya dewan riset daerah (bln)</t>
  </si>
  <si>
    <t xml:space="preserve"> URUSAN PENDUKUNG</t>
  </si>
  <si>
    <t xml:space="preserve"> URUSAN KEWILAYAHAN</t>
  </si>
  <si>
    <t>Ketersediaan Pelayanan Administrasi Perkantoran (bln)</t>
  </si>
  <si>
    <t>honorarium tenaga kebersihan yang dibayarkan (bln)</t>
  </si>
  <si>
    <t>Ketersediaan  Alat Tulis (bln)</t>
  </si>
  <si>
    <t>Ketersediaan barang  Cetakan dan Pengandaan (bln)</t>
  </si>
  <si>
    <t>Ketersediaan komponen instalasi listrik/penerangan bangunan (bln)</t>
  </si>
  <si>
    <t>Jumlah peralatan dan perlengkapan kantor yang disediakan (peket)</t>
  </si>
  <si>
    <t>ketersediaan makan dan minum rapat dan tamu (bln)</t>
  </si>
  <si>
    <t>honor yang dibayarkan (bln)</t>
  </si>
  <si>
    <t xml:space="preserve">Penyediaan Komponen Instalasi Listrik/ Penerangan Bangunan Rumah Dinas </t>
  </si>
  <si>
    <t xml:space="preserve">ketersediaan komponen instalasi listrik penerangan rumah dinas (bln) </t>
  </si>
  <si>
    <t>biaya perjalanan dinas keluar daerah (bln)</t>
  </si>
  <si>
    <t>Biaya perjalanan dinas ke Luar Provinsi (bln)</t>
  </si>
  <si>
    <t xml:space="preserve">Ketersediaan  Sarana dan Prasarana Aparatur (bln)  </t>
  </si>
  <si>
    <t>Pengadaan Perlengkapan Rumah Jabatan/ Dinas</t>
  </si>
  <si>
    <t>Peralatan Rumah Jabatan/Dinas (paket)</t>
  </si>
  <si>
    <t>peralatan gedung kantor (paket)</t>
  </si>
  <si>
    <t>Meubiler (paket)</t>
  </si>
  <si>
    <t>Perlengkapan Rumah Jabatan/ Dinas (paket)</t>
  </si>
  <si>
    <t>Terpeliharanya Peralatan Rumah Dinas/ Jabatan (bln)</t>
  </si>
  <si>
    <t>Terpeliharanya Rumah Jabatan (bln)</t>
  </si>
  <si>
    <t>terpeliharanya rumah dinas (bln)</t>
  </si>
  <si>
    <t>terpeliharanya mobil jabatan (bln)</t>
  </si>
  <si>
    <t>Terpeliharanya kendaraan dinas /operasional (bln)</t>
  </si>
  <si>
    <t>Terpeliharanya perlengkapan Rumah Jabatan/ Dinas (bln)</t>
  </si>
  <si>
    <t>Terpeliharanya Meubeliur (bln)</t>
  </si>
  <si>
    <t>Persentase aparatur berdisiplin (%)</t>
  </si>
  <si>
    <t>Jumlah pakaian dinas beserta perlengkapan (paket)</t>
  </si>
  <si>
    <t>Jumlah aparatur mengikuti pelatihan (org)</t>
  </si>
  <si>
    <t>operasinal pengelolaan administrasi kepegawaian setda (bln)</t>
  </si>
  <si>
    <t>Persentase Nagari
ODF (Open Defication Free) (%)</t>
  </si>
  <si>
    <t>biaya operasional penanganan konflik (bln)</t>
  </si>
  <si>
    <t>Operasional koordinasi forkopimda (bln)</t>
  </si>
  <si>
    <t>Persentase penurunan
tingkat kriminalitas (%)</t>
  </si>
  <si>
    <t>Persentase penurunan
pungli di Kabupaten
Pesisir Selatan (%)</t>
  </si>
  <si>
    <t>Operasional Tim Saber Pungli (bln)</t>
  </si>
  <si>
    <t>operasional tim koordinasi pemeliharaan kantamtibmas (bln)</t>
  </si>
  <si>
    <t>Kepatuhan Aparatur dalam upacara hari-hari besar nasional (%)</t>
  </si>
  <si>
    <t>Jumlah Sosialisasi  yang dilaksanakan (keg)</t>
  </si>
  <si>
    <t>Laporan triwulan RanHam yang disampaikan (dokumen)</t>
  </si>
  <si>
    <t>Perhelatan yang dilakukan (kegiatan)</t>
  </si>
  <si>
    <t>Jumlah Rekomendasi yang dihasilkan (rekomendasi)</t>
  </si>
  <si>
    <t>Operasional FKDM (bln)</t>
  </si>
  <si>
    <t>Persentase penurunan kasus narkoba tingkat pelajar (%)</t>
  </si>
  <si>
    <t>Pertsentase
ormas/ LSM yang
memenuhi syarat
administrasi lengkap (%)</t>
  </si>
  <si>
    <t>Laporan triwulan hasil pemantauan perkembangan politik daerah (dok)</t>
  </si>
  <si>
    <t>Monitoring Evaluasi Keberadaan Ormas/ LSM sesuai dengan Undang-Undang Keormasan</t>
  </si>
  <si>
    <t>Laporan triwulan hasil monitoring (dokumen)</t>
  </si>
  <si>
    <t>operasional verifikasi bantuan keuangan kepada partai (bln)</t>
  </si>
  <si>
    <t>Jumlah kerjasama
dengan madia massa (media)</t>
  </si>
  <si>
    <t>operasional pendokumentasian humas (bln)</t>
  </si>
  <si>
    <t>Kerjasama dengan media (bln)</t>
  </si>
  <si>
    <t>Bintek Kapasitas Kewartawanan dan Pers /Studi Banding</t>
  </si>
  <si>
    <t xml:space="preserve">Jumlah Peserta Bintek Kewartawanan dan Pers </t>
  </si>
  <si>
    <t>Jumlah Pameran yang diikuti (kali)</t>
  </si>
  <si>
    <t>3 Besar</t>
  </si>
  <si>
    <t>Jumlah pemuda pelopor yang dibina (org)</t>
  </si>
  <si>
    <t>Jumlah Klub olah raga yang berkembang di
masyarakat (unit klub)</t>
  </si>
  <si>
    <t>Jumlah kegiatan olahraga aparatur yang dilaksanakan (kegiatan)</t>
  </si>
  <si>
    <t>Jumlah dokumen/ arsip daerah yang
terselamatkan &amp;
terlestarikan</t>
  </si>
  <si>
    <t>32 urusan</t>
  </si>
  <si>
    <t>operasional pengelolaan arsip lingkup setda (bln)</t>
  </si>
  <si>
    <t>Koordinasi pengembangan energi baru terbarukan (bln)</t>
  </si>
  <si>
    <t>Laporan triwulan hasil monev EBTB (dokumen)</t>
  </si>
  <si>
    <t>Koefisien variasi harga bahan kebutuhan
pokok antar waktu</t>
  </si>
  <si>
    <t>Koefisien variasi harga
bahan kebutuhan
pokok antar
kecamatan</t>
  </si>
  <si>
    <t>&lt;9%</t>
  </si>
  <si>
    <t>&lt;12%</t>
  </si>
  <si>
    <t>&lt;13,4%</t>
  </si>
  <si>
    <t>&lt;13%</t>
  </si>
  <si>
    <t>Jumlah kios pupuk bersubsidi dan pestisida yang diawasi (unit)</t>
  </si>
  <si>
    <t>Laporan triwulan hasil monev (dokumen)</t>
  </si>
  <si>
    <t>Operasional TPID (bln)</t>
  </si>
  <si>
    <t>laporan triwulan hasil monev KUR (dokumen)</t>
  </si>
  <si>
    <t>Persentase OPD yang memiliki laporan pelaksanaan kegiatanyang baik (%)</t>
  </si>
  <si>
    <t>Operasional koordinasi Asisten III (bln)</t>
  </si>
  <si>
    <t>Operasional koordinasi Asisten II (bln)</t>
  </si>
  <si>
    <t>Operasional koordinasi Asisten I (bln)</t>
  </si>
  <si>
    <t>Laporan triwulanhasil pengendalian pelaksanaan kegiatan (dokumen)</t>
  </si>
  <si>
    <t>Operasional koordinasi staf ahli (bln)</t>
  </si>
  <si>
    <t>pelaksanaan rapat pengendalian pembangunan (bln)</t>
  </si>
  <si>
    <t>Jsisdur pelaksanaan kegiatan (dokumen)</t>
  </si>
  <si>
    <t>laporan triwulan  pelaksanaan kegiatan pembangunan (dokumen)</t>
  </si>
  <si>
    <t>Jumlah Peserta pelatihan Pengadaan Barang dan Jasa (org)</t>
  </si>
  <si>
    <t>operasional sarana pengadaan secara elektronik (bln)</t>
  </si>
  <si>
    <t>Laporan triwulan monev pengadaan barang dan jasa (dokumen)</t>
  </si>
  <si>
    <t>terselengaranya rapat koordinasi peningkatan ekonomi Pesisir Selatan (bln)</t>
  </si>
  <si>
    <t>Persentase aset Setda yang terkelola dengan
baik (%)</t>
  </si>
  <si>
    <t xml:space="preserve">Peningkatan Manajemen Aset/ Barang Daerah </t>
  </si>
  <si>
    <t>pengelolaan aset setda (bln)</t>
  </si>
  <si>
    <t>6 besar Tk Prov</t>
  </si>
  <si>
    <t>Penyelenggaraan penilaian kompetensi camat (kegiatan)</t>
  </si>
  <si>
    <t>Persentase Falisitasi
kegiatan kepala
daerah oleh protokoler (%)</t>
  </si>
  <si>
    <t>Penerimaan Kunjungan Kerja Pejabat Negara/ Departemen/ Lembaga Pemerintah Non Departemen/Luar Negeri</t>
  </si>
  <si>
    <t>Layanan terhadap tamu kepala daerah (bln)</t>
  </si>
  <si>
    <t>operasional protokoler (bln)</t>
  </si>
  <si>
    <t>setda</t>
  </si>
  <si>
    <t>PPersentase produk hukum yang difasilitasi %)</t>
  </si>
  <si>
    <t>Persentase  kelembagaan Pemdayang tertata (%0</t>
  </si>
  <si>
    <t>Hasil analisis (dokumen)</t>
  </si>
  <si>
    <t>Nilai LPPD</t>
  </si>
  <si>
    <t>Laporan nama rupa bumi dan unsur buatan (dok)</t>
  </si>
  <si>
    <t>Terlaksananya koordinasi kewilayahan (bln)</t>
  </si>
  <si>
    <t>Rakor yang dilaksanakn</t>
  </si>
  <si>
    <t>Peringkat MTQ Pesisir
Selatan</t>
  </si>
  <si>
    <t>11 besar</t>
  </si>
  <si>
    <t>Jumlah event yang diikuti (keg)</t>
  </si>
  <si>
    <t>Terselengaranya koordinasi kesra dan keagamaan (bln)</t>
  </si>
  <si>
    <t>Penyelengaraan haji difasilitasi (kegiatan)i</t>
  </si>
  <si>
    <t>Laporan lakip yang disusun (dok)</t>
  </si>
  <si>
    <t>Jumlah triwulan Laporan monev Kinerja Perangkat daerah</t>
  </si>
  <si>
    <t>pelayanan admnistrasi perkantoran (bln)</t>
  </si>
  <si>
    <t xml:space="preserve"> kecukupan sarana dan prasarana aparatur (bulan)</t>
  </si>
  <si>
    <t>Aparatur yang profesional (%)</t>
  </si>
  <si>
    <t>Jumlah Perda yang
dihasilkan (dokumen)</t>
  </si>
  <si>
    <t/>
  </si>
  <si>
    <t>Program Pelayanan Administrasi  Perkantoran</t>
  </si>
  <si>
    <t>Dinas Kearsipan &amp; Perpustakaan</t>
  </si>
  <si>
    <t>Pembayaran rekening telepon, air dan listrik</t>
  </si>
  <si>
    <t>Penyediaan Jasa peralatan dan perlengkapan kantor</t>
  </si>
  <si>
    <t>Tersedianya peralatan &amp; perlengkapan kantor</t>
  </si>
  <si>
    <t>penyedia Jasa Pemeliharaan dan Perizinan kendaraan dinas/operasional</t>
  </si>
  <si>
    <t>Terpeliharannya Kendaraan Dinas perasional</t>
  </si>
  <si>
    <t>Terlaksananya pengelola administrasi keuangan dan aset</t>
  </si>
  <si>
    <t>Jasa kebersihan kantor</t>
  </si>
  <si>
    <t xml:space="preserve">Penyedia Jasa   Perbaikan Peralatan kerja </t>
  </si>
  <si>
    <t>Terlaksananya Pemeliharaan Peralatan Kerja</t>
  </si>
  <si>
    <t>Tersedianya ATK</t>
  </si>
  <si>
    <t>Tersedianya barang cetakan &amp; penggandaan</t>
  </si>
  <si>
    <t>Komponen instalasi listrik dan bola lampu</t>
  </si>
  <si>
    <t>Tersedianya bahan bacaan &amp; per-UU</t>
  </si>
  <si>
    <t>Tersedianya makanan &amp; minuman</t>
  </si>
  <si>
    <t>Terpeliharanya  Kantor Dinas Kearsipan dan Perpustakaan</t>
  </si>
  <si>
    <t>Pembangunan Pagar</t>
  </si>
  <si>
    <t>Pembangunan Tempat Parkir</t>
  </si>
  <si>
    <t>Bimbingan Teknis Kearsipan bagi Petugas Arsip Organisasi Perangkat Daerah (OPD)</t>
  </si>
  <si>
    <t>Program Pengembangan Budaya Baca dan Pembinaan Perpustakaan</t>
  </si>
  <si>
    <t>Peningkatan angka kunjungan ke perpustakaan umum daerah, puskel, OPD, Nagari, TBM dll</t>
  </si>
  <si>
    <t>Pemasyarakatan minat dan kebiasaan membaca untuk mendorong terwujudnya masyarakat pembelajaran</t>
  </si>
  <si>
    <t>Pembinaan dan Stimulasi pada Perpustakaan Sekolah</t>
  </si>
  <si>
    <t xml:space="preserve">Publikasi dan Sosialisasi Minat dan Budaya Baca </t>
  </si>
  <si>
    <t>Supervisi, pembinaan dan stimulasi pada perpustakaan umum,perpustakaan khusus, perpustakaan se Pesisir Selatan</t>
  </si>
  <si>
    <t>Pernyediaan Bahan Pustaka Perpustakaan Umum Daerah</t>
  </si>
  <si>
    <t>Pelayanan Perpustakaan Umum Daerah dan Kantin Baca</t>
  </si>
  <si>
    <t xml:space="preserve">Pelayanan Perpustakaan Keliling </t>
  </si>
  <si>
    <t>Pelaksanaan Rumah Pintar Perintis</t>
  </si>
  <si>
    <t>Pengembangan Minat dan Budaya Baca</t>
  </si>
  <si>
    <t>Penguatan Kelembagaan Ikatan Pustakawan Indonesia ( IPI ) Kab.Pessel</t>
  </si>
  <si>
    <t>Penyusunan Rancangan Peraturan Daerah tentang PengelolaanPerpustakaan</t>
  </si>
  <si>
    <t>Tersedianya Regulasi tentang Perpustakaan</t>
  </si>
  <si>
    <t>Bintek Pengelola Perpustakaan</t>
  </si>
  <si>
    <t>Program Peningkatan Kualitas Pelayanan Informasi</t>
  </si>
  <si>
    <t>Terlaksananya Peningkatan Pelayanan Informasi</t>
  </si>
  <si>
    <t xml:space="preserve"> Sosialisasi/Penyuluhan Kearsipan Dilingkungan Instansi Pemerintah dan Swasta</t>
  </si>
  <si>
    <t>Jumlah dokumen/arsip daerah yang terselamatkan &amp; terlestarikan</t>
  </si>
  <si>
    <t>Pendataan dan Penataan dokumen/Arsip Daerah</t>
  </si>
  <si>
    <t>Bintek Kearsipan bagi Petugas Unit Arsip ( Setiap OPD, BUMD, dan Nagari )</t>
  </si>
  <si>
    <t>Pembinaan dan Monev Unit Arsip</t>
  </si>
  <si>
    <t>terwujudnya unit arsip yang berkualitas</t>
  </si>
  <si>
    <t>Penataa dan pengelolaan arsip inaktif ( Depo arsip daerah )</t>
  </si>
  <si>
    <t>Penilaian unit arsip</t>
  </si>
  <si>
    <t>terlaksananya penilaian unit arsip</t>
  </si>
  <si>
    <t>Pembangunan Galeri Pesisir Selatan</t>
  </si>
  <si>
    <t>Penyusunan Rancangan Peraturan Daerah tentang Penyelenggaraan Kearsipan</t>
  </si>
  <si>
    <t>Akusisi dan Alih Media Arsip Strategis Pemerintah ( Pusat dan Derah )</t>
  </si>
  <si>
    <t>tersedianya arsip strategis pemerintah ( pusat dan daerah )</t>
  </si>
  <si>
    <t>Pemeliharaan Rutin /  Berkala  Arsip Daerah</t>
  </si>
  <si>
    <t xml:space="preserve">Program Perbaikan sistem administrasi kearsipan </t>
  </si>
  <si>
    <t>Pembuatan regulasi daerah tentang kearsipan</t>
  </si>
  <si>
    <t xml:space="preserve">Jumlah regulasi daerah tentang kearsipan yang diberikan </t>
  </si>
  <si>
    <t>Ketersediaan pelayanan administrasi perkantoran (bln)</t>
  </si>
  <si>
    <t>Lomba yang dilaksanakan (kali)</t>
  </si>
  <si>
    <t>jumlah peserta yang dilatih (org)</t>
  </si>
  <si>
    <t>jumlah sosialisasi yang dilakukan (keg)</t>
  </si>
  <si>
    <t>Jumlah pustaka sekolah yang dibina (unit)</t>
  </si>
  <si>
    <t xml:space="preserve"> koleksi buku, majalah dan koran (paket)</t>
  </si>
  <si>
    <t>operasional pelayanan pustaka daerah dan kantin baca (bln)</t>
  </si>
  <si>
    <t>operasional perpustakaan keliling (bln)</t>
  </si>
  <si>
    <t>Terlaksananya pelayanan rumah pintar perintis Painan (bln)</t>
  </si>
  <si>
    <t>Berfungsinya IPI Pesisir Selatan (tahun)</t>
  </si>
  <si>
    <t>Jumlah pengelola pustaka yang dilatih (org)</t>
  </si>
  <si>
    <t>biaya perjalanan rapat koordinasi &amp; konsultasi dalam daerah</t>
  </si>
  <si>
    <t>biaya perjalanan  rapat koordinasi &amp; konsultasi ke luar daerah</t>
  </si>
  <si>
    <t>Program Peningkatan Sarana  dan Prasarana Aparatur</t>
  </si>
  <si>
    <t>Pemeliharaan rutin/ berkala  gedung kantor</t>
  </si>
  <si>
    <t>Terlaksananya Pembangunan Pagar Kantor dan Taman Edukasi (paket)</t>
  </si>
  <si>
    <t>Terlaksananya Pembangunan Tempat Parkir Kendaraan (paket)</t>
  </si>
  <si>
    <t>Program Kapasitas Sumber Daya Aparatur</t>
  </si>
  <si>
    <t>Jumlah petugas arsip yang dilatih (org)</t>
  </si>
  <si>
    <t>Program Penyelamatan  dan Pelestarian Dokumen/ Arsip Daerah</t>
  </si>
  <si>
    <t>operasional penataan arsip daerah (bln)</t>
  </si>
  <si>
    <t>pengelolaan depo arsip (bln)</t>
  </si>
  <si>
    <t>Galeri dan isinya (unit)</t>
  </si>
  <si>
    <t xml:space="preserve"> regulasi daerah tentang kearsipan</t>
  </si>
  <si>
    <t>Program Pemeliharaan Rutin/ Berkala Sarana dan Prasarana Kearsipan</t>
  </si>
  <si>
    <t>persentase sarpras
arsip kondisi baik (%)</t>
  </si>
  <si>
    <t>Terlaksananya Pemeliharanan Rutin Berkala Depo Arsip Daerah (bln )</t>
  </si>
  <si>
    <t>persentase OPD,
Nagari yang
mengelolaa arsip
secara baku (%)</t>
  </si>
  <si>
    <t>Program Pengembangan data / Informasi</t>
  </si>
  <si>
    <t xml:space="preserve"> Persentase  program pembangunan yang dipublikasikan (%)</t>
  </si>
  <si>
    <t>KECAMATAN KOTO XI TARUSAN</t>
  </si>
  <si>
    <t>ketersediaan pelayanan Administrasi perkantoran (Bln)</t>
  </si>
  <si>
    <t>Kec.Kt.XI Trs</t>
  </si>
  <si>
    <t>Penyediaan jasa suarat menyurat</t>
  </si>
  <si>
    <t>Terlaksananya pembayaran jasa surat menyurat</t>
  </si>
  <si>
    <t>,02</t>
  </si>
  <si>
    <t>Penyediaan Jasa komunikasi, Sumber  daya air.</t>
  </si>
  <si>
    <t>Terlaksannya pembyran jasa komunikasi sumber daya air</t>
  </si>
  <si>
    <t>terlaksananya pembayaran honor dan operasional pengelolaan keuangan           (bulan)</t>
  </si>
  <si>
    <t>terlaksananya pembayaran jasa kebersihan kantor</t>
  </si>
  <si>
    <t>tersedianya alat tulis kantor          ( jenis )</t>
  </si>
  <si>
    <t>Penyediaan barang cetakan dan Penggandaan</t>
  </si>
  <si>
    <t>Tersedianya barang cetakan            dan penggandaan dokumen (bulan)</t>
  </si>
  <si>
    <t>Penyediaan komponen Instalasi listrik / penerangan bangunan kantor</t>
  </si>
  <si>
    <t>Tersedianya komponen istalasi listrik / penerangan bangunan (jenis)</t>
  </si>
  <si>
    <t>Tersedianya bahan bacaan dan peraturan perundang undangan                    (jenis)</t>
  </si>
  <si>
    <t>tersedianya makan dan minum rapat     ( bulan ) Tersedianya makan minum tamu ( bulan )</t>
  </si>
  <si>
    <t>Rapat - rapat Koordinasi dan konsultasi ke luar Daerah</t>
  </si>
  <si>
    <t>terlaksananya Koordinasi dan konsultasi keluar Daerah    ( bulan )</t>
  </si>
  <si>
    <t>Rapat - rapat Koordinasi dan konsultasi dalam Daerah</t>
  </si>
  <si>
    <t>terlaksananya Koordinasi dan konsultasi kedalam Daerah               ( bulan )</t>
  </si>
  <si>
    <t>Penunjang operasional Pelaporan OPD</t>
  </si>
  <si>
    <t>Jumlah Laporan dan dokumen perencanaan (dokumen)</t>
  </si>
  <si>
    <t>Program peningkatan Sarana dan Prasarana Aparatur</t>
  </si>
  <si>
    <t>Ketersediaan pelayanan sarana dan prasarana penunjang bagi aparatur (bln)</t>
  </si>
  <si>
    <t>Terpenuhinya kebutuhan peralatan kerja  (bln)</t>
  </si>
  <si>
    <t>Terlaksananya pemeliharaan gedung kantor ( unit kantor )</t>
  </si>
  <si>
    <t>Pemeliharaan rutin/berkala kendaraan dinas /operasional</t>
  </si>
  <si>
    <t>Terlaksananya pemeliharaan kendaraan dinas / operasional       (unit)</t>
  </si>
  <si>
    <t>Pemeliharaan rutin peralatan gedung kantor</t>
  </si>
  <si>
    <t>Terpeliharanya peralatan kantor (bln)</t>
  </si>
  <si>
    <t>C</t>
  </si>
  <si>
    <t>Program Peningkatan Peningkatan Keamanan dan Kenyamanan Lingkungan</t>
  </si>
  <si>
    <t>Persentase kasus pepanggaran Perda yang diselesaikan (persen)</t>
  </si>
  <si>
    <t>Fasilitasi Penyelesaian Permasalahan Trantibum</t>
  </si>
  <si>
    <t>Jumlah kasus yang difasilitasi (kasus)</t>
  </si>
  <si>
    <t>D</t>
  </si>
  <si>
    <t xml:space="preserve">Program pengembangan wawasan kebangsaan </t>
  </si>
  <si>
    <t>Persentase ASN ,sekolah, Abri dan ormas yg mengikuti PHBN</t>
  </si>
  <si>
    <t>jumlah kegiatan  PHBN yang dilaksanakan</t>
  </si>
  <si>
    <t>E</t>
  </si>
  <si>
    <t>Program Pemberdayaan Lembaga Sosial dan Ekonomi Masyarakat/ Nagari</t>
  </si>
  <si>
    <t>Persentase lembaga sosial masyarakat yang aktif</t>
  </si>
  <si>
    <t>Kec. Ranah Pesisir</t>
  </si>
  <si>
    <t>Pembinaan PKK Kecamatan</t>
  </si>
  <si>
    <t>Tersedianya biaya Pembinaan  Kegiatan PKK Kecamatan</t>
  </si>
  <si>
    <t>Pembinaan Bulan Bakti Gontong Royong</t>
  </si>
  <si>
    <t>Tersdianya biaya bulan bakti gotong royaong ke nagari</t>
  </si>
  <si>
    <t>F</t>
  </si>
  <si>
    <t>Program Peningkatan Pelayanan Publik Bidang Perizinan</t>
  </si>
  <si>
    <t>Fasilitasi Penyelenggaraan  Paten</t>
  </si>
  <si>
    <t>terselenggaraya pelayanan PATEN (bln</t>
  </si>
  <si>
    <t>G</t>
  </si>
  <si>
    <t>Program Peningkatan Peningkatan Pengembangan Sistem Pelaporan Capaian Kinerja dan Keuangan</t>
  </si>
  <si>
    <t>Nilai SAKIP Kecamatan</t>
  </si>
  <si>
    <t>Penyusunan Laporan Capaian Kinerja dan Ikhtisar Realisasi Kinerja SKPD</t>
  </si>
  <si>
    <t>Laporan yang disusun (SAKIP, LKPj, Neraca, CaLK, Evaluasi Renja) (dokumen)</t>
  </si>
  <si>
    <t>Dokumen perencanan dan anggaran yang disusun (Renja, Renja Perubahan, RKA, RKA Perubahan) (dokumen)</t>
  </si>
  <si>
    <t>H</t>
  </si>
  <si>
    <t>Program Pemeliharaan  Kantrantibmas dan Pencegahan tindak Kriminal</t>
  </si>
  <si>
    <t>Persentase kasus pelanggaran Perda yang diselesaikan</t>
  </si>
  <si>
    <t>Fasilitasi masalah trantip dan pertanahan</t>
  </si>
  <si>
    <t>jumlah penyelesaian permasahan trantip yang di fasilitasi</t>
  </si>
  <si>
    <t>Program Pemperdayaan Kelembagaan kesejahteraan sosial</t>
  </si>
  <si>
    <t>Persentase lembaga sosial aktif (%)</t>
  </si>
  <si>
    <t>Kec.Kt.XI Trs.</t>
  </si>
  <si>
    <t>Penunjang Kegiatan MTQ Kabuaten</t>
  </si>
  <si>
    <t>Terlaksannya Kegaiatan MTQ tk kecamatan</t>
  </si>
  <si>
    <t>Pembinaan lembaga didikan subuh</t>
  </si>
  <si>
    <t>Terlaksannya Pembinaan lembaga didikan subuh</t>
  </si>
  <si>
    <t>J</t>
  </si>
  <si>
    <t xml:space="preserve">Program pengembangan pemasaran Pariwisata </t>
  </si>
  <si>
    <t>Persentase promosi budaya daerah dan potensi daya lokal</t>
  </si>
  <si>
    <t>Pagelaran Seni Budaya dan Potensi Daerah pada Festival Langkisau</t>
  </si>
  <si>
    <t>Pameran pergelaran seni budaya dan festifal langkisau (event)</t>
  </si>
  <si>
    <t>Program pembinaan dan fasilitasi pengelolaan keuangan desa/nagari</t>
  </si>
  <si>
    <t>Persentase tata kelola keuangan nagari yang baik</t>
  </si>
  <si>
    <t>Pembinaan dan fasilitasi pengelolaan pemerintah Nagari</t>
  </si>
  <si>
    <t>tersedianya operasional pembinaan pemerintahan nagari (bln)</t>
  </si>
  <si>
    <t>Pembinaan dan Pengawasan Administrasi Keuangan Pemerintah Nagari</t>
  </si>
  <si>
    <t>Tersedianya operasional pembinaan keuangan nagari (bln)</t>
  </si>
  <si>
    <t>Pembinaan pengelolaan keuangan Nagari</t>
  </si>
  <si>
    <t>L</t>
  </si>
  <si>
    <t>Program Peningkatan IMTAQ</t>
  </si>
  <si>
    <t>Peringkat MTQ</t>
  </si>
  <si>
    <t>5  besar</t>
  </si>
  <si>
    <t>Kec. Bayang</t>
  </si>
  <si>
    <t>Lembaga Didikan Shubuh</t>
  </si>
  <si>
    <t>pembinaan yang dilakukan (bln)</t>
  </si>
  <si>
    <t>M</t>
  </si>
  <si>
    <t xml:space="preserve">Program pendidikan politik masyarakat </t>
  </si>
  <si>
    <t>Persentase terlaksananya pemilihan wali Nagari se Kecamatan</t>
  </si>
  <si>
    <t>Fasilitasi penyelenggaraan Pilwana</t>
  </si>
  <si>
    <t>Jumlah Pelaksanaan Pilwana</t>
  </si>
  <si>
    <t>Program pembangunan Wilayah Kecamatan</t>
  </si>
  <si>
    <t>Persentase pemberdayaan Masyarakat dalam peningkatan ekonomi</t>
  </si>
  <si>
    <t>Jumlah PPK Nagari yang di bina</t>
  </si>
  <si>
    <t>Pembinaan bulan Bhakti gontong royong</t>
  </si>
  <si>
    <t>jumlah bulan gontong royong yang dilaksanakan</t>
  </si>
  <si>
    <t>Perencanaan pembangunan Kecamatan</t>
  </si>
  <si>
    <t>Jumlah Musrembang RKPD yang diselenggarakan di tingkat Kecamatan</t>
  </si>
  <si>
    <t>Fasilitasi kegiatan kepemudaan keagamaan dan kemasyarakatan</t>
  </si>
  <si>
    <t>Meningkatnya capaian kehidupan beragama beradap dan mandiri</t>
  </si>
  <si>
    <t>Pelayanan Administrasi Terpadu (PATEN)</t>
  </si>
  <si>
    <t>terselenggaranya pelayanan PATEN (bln)</t>
  </si>
  <si>
    <t>N</t>
  </si>
  <si>
    <t>58</t>
  </si>
  <si>
    <t>Program pemantapan otonomi Daerah</t>
  </si>
  <si>
    <t>Persentase penyelesaian permasahan pemerintahan daerah</t>
  </si>
  <si>
    <t>Fasilitasi Forum Koordinasi Pimpinan Kecamatan</t>
  </si>
  <si>
    <t>terlaksananya Koordinasi dan pembinaan wilayah (bln)</t>
  </si>
  <si>
    <t>O</t>
  </si>
  <si>
    <t>59</t>
  </si>
  <si>
    <t>Program pemberdayaan potensi unggulan kecamatan</t>
  </si>
  <si>
    <t>Persentase terselenggaranya fasilitasi pemberdayaan program unggulan kecamatan</t>
  </si>
  <si>
    <t>Fasilitasi pemberdayaan program unggulan kecatan</t>
  </si>
  <si>
    <t>terlaksananya pemberdayaan (bln)</t>
  </si>
  <si>
    <t>KECAMATAN BAYANG</t>
  </si>
  <si>
    <t>Program Pelayanan administrasi perkantoran</t>
  </si>
  <si>
    <t>Ketersediaan Cakupan pelayanan administrasi perkantoran bln</t>
  </si>
  <si>
    <t>Terlaksananya pembayaran rekening listrik (rekening/ bulan)</t>
  </si>
  <si>
    <t>Terlaksananya pembayaran honor dan operasional pengelolaan keuangan (bulan)</t>
  </si>
  <si>
    <t xml:space="preserve">Terlaksananya pembayaran jasa kebersihan kantor (bulan)                                                    </t>
  </si>
  <si>
    <t xml:space="preserve">-Tersedianya barang cetakan dan penggandaan (bln) </t>
  </si>
  <si>
    <t>Tersedianya komponen instalasi listrik/ penerangan bangunan (bulan)</t>
  </si>
  <si>
    <t>Tersedianya bahan bacaan dan peraturan Perundang-undangan (bln)</t>
  </si>
  <si>
    <t>-Tersedianya bmakan minum rapat (bulan)</t>
  </si>
  <si>
    <t>Terlaksananya Koordinasi dan Kosultasi keluar daerah (bulan)</t>
  </si>
  <si>
    <t>Terlaksananya Koordinasi dan Kosultasi kedalam daerah (bulan)</t>
  </si>
  <si>
    <t>Program Peningkatan Sarana dan Prasarana aparatur</t>
  </si>
  <si>
    <t>Pengadaan perlengkapan gedung kantor</t>
  </si>
  <si>
    <t>Tersedianya persediaan barang kantor (bln)</t>
  </si>
  <si>
    <t>Pemeliharaan rutin / berkala rumah dinas</t>
  </si>
  <si>
    <t>Terlaksananya pemeliharaan rumah dinas (bln)</t>
  </si>
  <si>
    <t>Pemeliharaan rutin / berkala pperalatan gedung kantor</t>
  </si>
  <si>
    <t>Terlaksananya pemeliharaan peralatan kantor(bln)</t>
  </si>
  <si>
    <t>Jumlah pemeliharaan kendaraan dinas operasional</t>
  </si>
  <si>
    <t>Terlaksananya pemeliharaan kendaraan dinas/ operasional (bln</t>
  </si>
  <si>
    <t>Jumlah siswa yang berbudaya hidup  sehat (org)</t>
  </si>
  <si>
    <t>Pembinaan UKS Kecamatan</t>
  </si>
  <si>
    <t>jumlah pembinaan yang dilakukan</t>
  </si>
  <si>
    <t>Program Pengembangan Wawasan kebangsaan</t>
  </si>
  <si>
    <t>Persentase ASN, Sekolah, ABRI, Ormas yang mengikuti HUT RI</t>
  </si>
  <si>
    <t>Kegiatan pelaksanaan Upacara HUR RI</t>
  </si>
  <si>
    <t>jumlah pelaksanaan PHBN (kali)</t>
  </si>
  <si>
    <t>even yang dilaksanakan (kali</t>
  </si>
  <si>
    <t>Program pengembangan pemasaran pariwisata</t>
  </si>
  <si>
    <t>persentase Promosi budaya daerah dan potensi sumber daya lokal (persen)</t>
  </si>
  <si>
    <t>Kegiatan Pelaksanaan festival langkisau</t>
  </si>
  <si>
    <t>Pameran Budaya dan pemasaran UMKM sumber daya lokal (kali)</t>
  </si>
  <si>
    <t>Fasilitasi Peringatan Hari Besar Islam (PHBI)</t>
  </si>
  <si>
    <t>Jumlah PHBI yangdilaksanakan</t>
  </si>
  <si>
    <t>Penunjang Kegiatan MTQ Kabupaten</t>
  </si>
  <si>
    <t>Terlaksannya Pembinaan lembaga didikan subuh  (bln)</t>
  </si>
  <si>
    <t>Program Pembinaan dan Fasilitasi Pengelolaan Keuangan Desa/Nagari</t>
  </si>
  <si>
    <t>Persentase Nagari tertib administrasi dalam pengelolaan keuangan (nagari)</t>
  </si>
  <si>
    <t>Pembinaan dan Fasilitasi Pengelolaan Pemerintahan Nagari</t>
  </si>
  <si>
    <t>Jumlah Nagari yang dibina (17 Nagari x 6 thn)</t>
  </si>
  <si>
    <t>Pembinaan kegiatan sosial kemasyarakatan (Pramuka, UKS, dan Festival Langkisau)</t>
  </si>
  <si>
    <t>Terlaksananya pembinaan (bln)</t>
  </si>
  <si>
    <t>56</t>
  </si>
  <si>
    <t>Program Pembangunan Wilayah Kecamatan</t>
  </si>
  <si>
    <t>persentase pemberdayaan masyarakat dalam peningkatan ekonomi</t>
  </si>
  <si>
    <t xml:space="preserve">Jumlah PKK Nagari yang dibina </t>
  </si>
  <si>
    <t>Pembinaan bulan bhakti gotong royong</t>
  </si>
  <si>
    <t>Jumlah Bulan Gotong Royong yang dilaksanakan (kali)</t>
  </si>
  <si>
    <t>Perencanaan pembangunan kecamatan</t>
  </si>
  <si>
    <t>Jumlah Musrenbang RKPD yang diselenggarakan di tingkat kecamatan (kali)</t>
  </si>
  <si>
    <t>Musrenbang Kecamatan</t>
  </si>
  <si>
    <t>Koordinasi muspika dan pembinaan kewilayahan</t>
  </si>
  <si>
    <t>Jumlah koordinasi dan pembinaan kewilayahan yang dilakukan (bulan)</t>
  </si>
  <si>
    <t>Fasilitasi penyelenggaraan dan pelayanan administrasi terpadu</t>
  </si>
  <si>
    <t>jumlah rekomendasi yang dikeluarkan (rekomendasi)</t>
  </si>
  <si>
    <t>Fasilitasi masalah trantib dan pertanahan</t>
  </si>
  <si>
    <t>Jumlah kasus yang difasilitasi</t>
  </si>
  <si>
    <t>KECAMATAN IV NAGARI BAYANG UTARA</t>
  </si>
  <si>
    <t>Kec. Bayang Utara</t>
  </si>
  <si>
    <t>Kegiatan Penyediaan jasa Komunikasi, sumberdaya air dan listrik</t>
  </si>
  <si>
    <t xml:space="preserve"> Penyediaan jasa administrasi keuangan</t>
  </si>
  <si>
    <t>Terlaksananya perbaikan peralatan kerja (bln)</t>
  </si>
  <si>
    <t>Penyediaan komponen instalansi listrik/penerangan bangunan kantor</t>
  </si>
  <si>
    <t>Penyediaan bahan bacaan dan peraturan Perundang-undangan</t>
  </si>
  <si>
    <t>Rapat-rapat koordinasi dan Konsultasi dalam daerah</t>
  </si>
  <si>
    <t>Penunjang operasional   perencanaan dan pelaporan</t>
  </si>
  <si>
    <t>jumlah laporan yang dihasilkan (dokumen)</t>
  </si>
  <si>
    <t>Terlaksananya pemeliharaan perlengkapan gedung kantor (bln)</t>
  </si>
  <si>
    <t>Terlaksananya pemeliharaan rumahdinas (bln)</t>
  </si>
  <si>
    <t>Terlaksananya pemeliharaan kendaraan dinas/ operasional (bln)</t>
  </si>
  <si>
    <t>Terlaksananya pemeliharaan gedung kantor (unit kantor)</t>
  </si>
  <si>
    <t>Penunjang Kegiatan MTQ tingkat Kabupaten</t>
  </si>
  <si>
    <t>Jumlah MTQ yang diikuti (kali)</t>
  </si>
  <si>
    <t>Persentase capaian pembangunan sesuai target</t>
  </si>
  <si>
    <t>Penyelenggaran Musrenbang RKPD</t>
  </si>
  <si>
    <t>Musrenbang kecamatan yang diselenggarakan (kegiatan)</t>
  </si>
  <si>
    <t>Fasilitasi penyelenggaraan pilwana</t>
  </si>
  <si>
    <t>Jumlah Nagari yang melaksanakan Pilwana</t>
  </si>
  <si>
    <t>Monitoring dan Evaluasi Pembinaan Pengelolaan Pemerintahan Nagari</t>
  </si>
  <si>
    <t>Laporan  pemerintahan nagari yang akuntabel (6 Nagari x 6 tahun)</t>
  </si>
  <si>
    <t>Jumlah PKK Nagari yang dibina (6 nagari x 6 tahun)</t>
  </si>
  <si>
    <t>Fasilitasi Masalah Trantib dan Pertanahan</t>
  </si>
  <si>
    <t>Terfasilitasinya Masalah Trantib dan Pertanahan di ^ Nagari</t>
  </si>
  <si>
    <t>Fasilitasi Penyelenggaraan PATEN</t>
  </si>
  <si>
    <t>Terlaksananya Penyelenggaraan PATEN</t>
  </si>
  <si>
    <t>Program penataan Administrasi Kependudukan</t>
  </si>
  <si>
    <t>Cakuan KTP elektonik</t>
  </si>
  <si>
    <t>terlaksananya penataan Administrasi kependudukan (bln)</t>
  </si>
  <si>
    <t>Koordinasi dengan Kapolsek dan danramil berjalan baik</t>
  </si>
  <si>
    <t>Pembinaan Kegiatan Sosial Kemasyarakatan (Pramuka, UKS, dan Festival Langkisau)</t>
  </si>
  <si>
    <t>Jumlah kegiatan kemasyarakatn yang difasilitasu</t>
  </si>
  <si>
    <t>KECAMATAN IV JURAI</t>
  </si>
  <si>
    <t>Kec. IV Jurai</t>
  </si>
  <si>
    <t>Terpelihanya perlengkapan  gedung kantor (bln)</t>
  </si>
  <si>
    <t>Terpeliharanya gedungkantor kantor (bln)</t>
  </si>
  <si>
    <t>Terpelihara dan beroperasinya kendaraan dinas  (bln)</t>
  </si>
  <si>
    <t>Terpelihanya peralatan  gedung kantor (bln)</t>
  </si>
  <si>
    <t>Program Peningkatan Pengembangan Sistem Pelaporan dan Capaian Kinerja dan Keuangan</t>
  </si>
  <si>
    <t xml:space="preserve"> Peningkatan Nilai SAKIP Kecamatan </t>
  </si>
  <si>
    <t>Penyusunan Laporan Capaian Kinerja dan Ikhtisar Realisasi Kinerja OPD</t>
  </si>
  <si>
    <t>Laporan yang  disusun (dokumen)</t>
  </si>
  <si>
    <t>Dokumen perencanaan yang disusun (dok)</t>
  </si>
  <si>
    <t>jumlah embinaan yang dilakukan (kali)</t>
  </si>
  <si>
    <t>Persentase kasus pelanggaran perda yang diselesaikan (%)</t>
  </si>
  <si>
    <t>operasional penyelesaian masalah trantibbum (bln)</t>
  </si>
  <si>
    <t>Fasilitasi Penyelenggaraan  PATEN</t>
  </si>
  <si>
    <t>APB nagari terverifikasi</t>
  </si>
  <si>
    <t>Pembinaan dan Fasilitasi Pengelolaan
Pemerintahan Nagari</t>
  </si>
  <si>
    <t>Jumlah nagari yang dibina</t>
  </si>
  <si>
    <t>Fasilitasipenyelesaian permasalahan trantibum dan pertanahan</t>
  </si>
  <si>
    <t>jumlah kasus yang difasilitasi</t>
  </si>
  <si>
    <t>pembinaan Kesehatan dan Keluarga Berencana</t>
  </si>
  <si>
    <t>kepesertaan dalam jambore PKK tingkat Kabupaten (kegiatan)</t>
  </si>
  <si>
    <t>Program Pemberdayaan Potensi unggulan Kecamatan</t>
  </si>
  <si>
    <t>Jumlah nagari yang memiliki potensi unggulan (nagari)</t>
  </si>
  <si>
    <t>Fasilitasi Pemberdayaan Program Unggulan Kecamatan</t>
  </si>
  <si>
    <t>Jumlah nagari yang difasilitasi (nagari)</t>
  </si>
  <si>
    <t>Program pendidikan politik masyarakat</t>
  </si>
  <si>
    <t>Persentase terlaksananya pemilihan wali Nagari se Kecamatan (%)</t>
  </si>
  <si>
    <t>Fasilitasi Penyelenggaran Pilwana</t>
  </si>
  <si>
    <t>pilwana yang difasilitasi (keg)</t>
  </si>
  <si>
    <t>Program Pemberdayaan Kelembagaan Kesejahteraan Sosial</t>
  </si>
  <si>
    <t>Penunjang Kegiatan MTQ Kecamatan</t>
  </si>
  <si>
    <t>MTQ yang diikuti (keg)</t>
  </si>
  <si>
    <t>KECAMATAN BATANG KAPAS</t>
  </si>
  <si>
    <t>Kec. Batang Kapas</t>
  </si>
  <si>
    <t>Terlaksananya pemeliharaan rumah dinas (bln))</t>
  </si>
  <si>
    <t>Terpelihara Gedung Kantor (unit)</t>
  </si>
  <si>
    <t>Pemeliharaan Rutin/Berkala Kendaraan Dinas/operasional</t>
  </si>
  <si>
    <t>Terpeliharanya dan terawatnya kendaraan dinas (bln</t>
  </si>
  <si>
    <t>Pemeliharaan Rutin/Berkala /Peralatan gedung kantor</t>
  </si>
  <si>
    <t>Terpeliharanya dan terawatnya perlengkapan kantor (bln)</t>
  </si>
  <si>
    <t>Laporan keuangan pemerintahan nagari yang akuntabel</t>
  </si>
  <si>
    <t>Pembinaan Kegiatan Sosial kemasyarakatan</t>
  </si>
  <si>
    <t>Jumlah kelompok masyarakat Nagari yang terbina</t>
  </si>
  <si>
    <t>Penilaian Kompetensi Camat</t>
  </si>
  <si>
    <t>proses  penilaian yang dilaksanakan</t>
  </si>
  <si>
    <t>Pelaksanaan Kelembagaan Didikan Subuh</t>
  </si>
  <si>
    <t>Terlaksannya pembinaan didikan subuh (bln)</t>
  </si>
  <si>
    <t>Jumlah fasilitasi yang dilakukan (kali)</t>
  </si>
  <si>
    <t>Program Pengelolaan Ruang Terbuka Hijau</t>
  </si>
  <si>
    <t>Indeks Kualitas Udara</t>
  </si>
  <si>
    <t>Penataan RTH</t>
  </si>
  <si>
    <t xml:space="preserve">jumlahRTH yang ditata  </t>
  </si>
  <si>
    <t>Program pendidikan Politik masyarakat</t>
  </si>
  <si>
    <t xml:space="preserve">Fasilitasi Penyelenggaran Pilwana </t>
  </si>
  <si>
    <t>Jumlah  Pilwana yang difasilitasi</t>
  </si>
  <si>
    <t>KECAMATAN SUTERA</t>
  </si>
  <si>
    <t>Kec. Sutera</t>
  </si>
  <si>
    <t>Penunjang Operasional Perencanaan dan  Pelaporan</t>
  </si>
  <si>
    <t>Pemeliharaan rutin/berkala Rumah dinas</t>
  </si>
  <si>
    <t>Terlaksananya pemeliharaan rumah dinas (unit)</t>
  </si>
  <si>
    <t>Terlaksananya pemeliharaan kendaraan dinas/ operasional (unit)</t>
  </si>
  <si>
    <t xml:space="preserve"> Pemeliharaan rutin peralatan Gedung Kantor</t>
  </si>
  <si>
    <t>Terlaksananya pemeliharaan peralatan gedung kantor (unit)</t>
  </si>
  <si>
    <t xml:space="preserve">Fasilitasi dan monitoring Kegiatan Pilwana tahun 2018 </t>
  </si>
  <si>
    <t>Laporan keuangan pemerintahan nagari yang akuntabel (10 Nagari x 6 tahun)</t>
  </si>
  <si>
    <t>Verifikasi dan Evaluasi APB Nagari</t>
  </si>
  <si>
    <t>Jumlah PKK Nagari yang dibina (10 nagari x 6 tahun)</t>
  </si>
  <si>
    <t>Jambore Kader PKK Berprestasi tingkat Kabupaten</t>
  </si>
  <si>
    <t>KECAMATAN  LENGAYANG</t>
  </si>
  <si>
    <t>Persentase Cakupan pelayanan Administrasi perkantoran</t>
  </si>
  <si>
    <t>Kec. Lengayang</t>
  </si>
  <si>
    <t>Penyediaan jasa komunikasi,sumber daya air dan listrik</t>
  </si>
  <si>
    <t>Jumlah kebutuhan air dan listrik</t>
  </si>
  <si>
    <t>Terlaksananya administarsi keuangan yang baik dan benar</t>
  </si>
  <si>
    <t>Tersedianya biaya kebersihan kantor</t>
  </si>
  <si>
    <t>Tersedianya jasa peralatan dan perlengkapan kantor</t>
  </si>
  <si>
    <t>Tersedianya alat alat tulis untuk kebersihan kantor</t>
  </si>
  <si>
    <t>Tersedianya barang cetakan dan penggandaan</t>
  </si>
  <si>
    <t>Tersediayan Komponen instalasi listrik yang dibutuhkan</t>
  </si>
  <si>
    <t>Tersedianya biaya berlangganan koran</t>
  </si>
  <si>
    <t>Tersedianya makan dan minum</t>
  </si>
  <si>
    <t>Tersediaya koordinasi dan konsultasike luar daerah</t>
  </si>
  <si>
    <t>Tersediayan biaya konsultasi dan koordinasi dalam daerah</t>
  </si>
  <si>
    <t>Nilai LAKIP Kecamatan Lengayang</t>
  </si>
  <si>
    <t>Penunjang Operasional Perencanaan dan Pelaporan OPD</t>
  </si>
  <si>
    <t>Jumlah Dokumen perencanaan dan pelaporan yang dihasilkan (dokumen)</t>
  </si>
  <si>
    <t>5</t>
  </si>
  <si>
    <t>Program Peningkata Sarana dan Prasarana Aparatur</t>
  </si>
  <si>
    <t>Persentase cakupan lyanan sarana dan prasarana penunjang bagi aparatur</t>
  </si>
  <si>
    <t>Pengadaan perlengkapan  rumah jabatan / dinas</t>
  </si>
  <si>
    <t>Tersedianya perlengkapan rumah dinas camat lengayang</t>
  </si>
  <si>
    <t>tersedianya peralatan gedung kantor (bln)</t>
  </si>
  <si>
    <t>Pemeliharaan rutin/berkala rumah Dinas</t>
  </si>
  <si>
    <t>Terawatnya Rumah Dinas</t>
  </si>
  <si>
    <t>Pemeliharaan Rutin/berkala gedung kantor</t>
  </si>
  <si>
    <t>Terawatnya / Gedung Kantor</t>
  </si>
  <si>
    <t>Pemeliharaan rutin/ berkala kendaraan dinas/ operasional</t>
  </si>
  <si>
    <t>Kelancaran perjalanan dinas</t>
  </si>
  <si>
    <t>Peningkatan kegiatan keagamaan (didikan subuh wirid remaja)</t>
  </si>
  <si>
    <t>Terselenggaranyapembinaan didikan subuh (bln)</t>
  </si>
  <si>
    <t xml:space="preserve">Program Pengembangan Wawasan Kebangsaan </t>
  </si>
  <si>
    <t>Persentase
penyelesaian
kasus pemakai
narkoba tingkat
siswa dan
aparatur (%)</t>
  </si>
  <si>
    <t>Pelaksanaan Upacara HUT RI</t>
  </si>
  <si>
    <t>Tersedianya biaya HUT - RI</t>
  </si>
  <si>
    <t>Peningkatan kompetensi kelembagaan KAN</t>
  </si>
  <si>
    <t>Peningkatan mutu kelembagaan KAN</t>
  </si>
  <si>
    <t>Even promosi wisata yang didukung (kali)</t>
  </si>
  <si>
    <t>Pelaksanaan Pameran / Bazar Festival langkisau</t>
  </si>
  <si>
    <t>keikutsertaan dalam festifal langkisau (kegiatan)</t>
  </si>
  <si>
    <t>Program Pembinaan dan pasilitasi pengelolaan Keuangan Desa/Nagari</t>
  </si>
  <si>
    <t>Pembinaan dan pengawasan administrasi keuangan pemerintah nagari</t>
  </si>
  <si>
    <t>Tersedianya biaya Pembinaan Pengelolaan Keu.nagari</t>
  </si>
  <si>
    <t>Program Pembagunan Wilayah Kecamatan</t>
  </si>
  <si>
    <t>Terselenggaranya Pembangunan Wilayah Kecamatan (bln)</t>
  </si>
  <si>
    <t>Pembinaan Bulan Bakti Gotong Royong</t>
  </si>
  <si>
    <t xml:space="preserve">Perencanaan Pembagunan Kecamatan </t>
  </si>
  <si>
    <t>Jumlah musrenbang kecamtan yang dilaksanakan</t>
  </si>
  <si>
    <t xml:space="preserve">Lomba K3 dan Taman Se- Kecamatan </t>
  </si>
  <si>
    <t>Terjaganya  lingkungan yang sehat</t>
  </si>
  <si>
    <t xml:space="preserve">Koordinasi Muspika dan pembinaan kewilayaan </t>
  </si>
  <si>
    <t>Tersediya biaya Operasional koordinasi Muspika</t>
  </si>
  <si>
    <t>Fasilitasi kegiatan Kepemudaan dan keagamaan dan kemasyarakatan</t>
  </si>
  <si>
    <t xml:space="preserve"> Terlaksananya acara kepemudaan  dan keagamaan              </t>
  </si>
  <si>
    <t>Pembinaan pramuka kecamatan</t>
  </si>
  <si>
    <t>Terlaksananya kegiatan pramuka</t>
  </si>
  <si>
    <t>Fasilitasi Penyelenggaraan Pelayanan Administrasi Terpadu Kecamatan</t>
  </si>
  <si>
    <t>Persentase Penyelenggaraan Pelayanan Administrasi Terpadu Kecamatan</t>
  </si>
  <si>
    <t>Pembinaan produk  Unggulan Nagari dan Pemberdayaan Masyarakat</t>
  </si>
  <si>
    <t>Musrembang Kecamatan</t>
  </si>
  <si>
    <t>Musrenbang kecamatan yang dilaksanakan</t>
  </si>
  <si>
    <t>Program Peningkatan pembeantasa penyakit masyarakat (PEKAT)</t>
  </si>
  <si>
    <t>Persentase penurunan Narkoba Tingkat Pelajar</t>
  </si>
  <si>
    <t>Penyuluhan pencegah peredaran penggunaan minuman keras dan narkoba</t>
  </si>
  <si>
    <t>Penyuluhan narkoba yang dilaksanakan (kali)</t>
  </si>
  <si>
    <t>KECAMATAN RANAH PESISIR</t>
  </si>
  <si>
    <t>Program Peningkatan Sarana dan Prasarana Aparatur</t>
  </si>
  <si>
    <t>Pemeliharaan rutin/berkalaerlengkapan gedung kantor</t>
  </si>
  <si>
    <t>Terpelihanya perlengkapan  kantor (bln)</t>
  </si>
  <si>
    <t>Fasilitasi Kegiatan Kepemudaan dan Olah raga</t>
  </si>
  <si>
    <t>Pergelaran Seni Budaya dan potensi daerah pada Festival langkisau</t>
  </si>
  <si>
    <t>Musrenbang Kecamatan yang dilaksanakan (kali)</t>
  </si>
  <si>
    <t>Persentase nagari yang mengelola keuangan sesuai aturan (%)</t>
  </si>
  <si>
    <t>Jumlah Nagari yang dibina</t>
  </si>
  <si>
    <t>Pembinaan Pengelolaan Keuangan nagari</t>
  </si>
  <si>
    <t>Terlaksananya koordinasi musika (bln)</t>
  </si>
  <si>
    <t>KECAMATAN LINGGO SARI BAGANTI</t>
  </si>
  <si>
    <t>Kec. Linggo Sari Baganti</t>
  </si>
  <si>
    <t>Tersedianya peralatan kantor (paket)</t>
  </si>
  <si>
    <t>Pemeliharaan rutin/berkala rumah Dinas</t>
  </si>
  <si>
    <t>Terawatnya Rumah Dinas (bln)</t>
  </si>
  <si>
    <t>Pemeliharaan rutin/ berkala Peralatan Gedung kantor</t>
  </si>
  <si>
    <t>Program Peningkatan keamanan dan kenyamanan Lingkungan</t>
  </si>
  <si>
    <t>Jumlah kasus yang ditangani/fasilitasi</t>
  </si>
  <si>
    <t>Pengendalian ketentraman dan ketertiban umum</t>
  </si>
  <si>
    <t>jumlah nagari yang dilayani</t>
  </si>
  <si>
    <t>Program Pemeliharaan kntrantibmas dan Pencegahan Tindak Kriminal</t>
  </si>
  <si>
    <t>Pencapaian target pengurangan kasus pelanggaran Perda (persen)</t>
  </si>
  <si>
    <t>Jumlah nagari yang difasilitasi</t>
  </si>
  <si>
    <t>Terlaksananya Pembinaan  Kegiatan PKK Kecamatan(bln)</t>
  </si>
  <si>
    <t>Pergelaran seni budaya dan potensi daerah</t>
  </si>
  <si>
    <t>Program Peningkatan Pengembangan Pengelolaan Keuangan daerah</t>
  </si>
  <si>
    <t>65</t>
  </si>
  <si>
    <t>Fasilitasi penerimaan PBB-P2</t>
  </si>
  <si>
    <t>jumlah nagari yang difasilitasi</t>
  </si>
  <si>
    <t>Pembinaan dan  pengawasan administrasi keuangan pemerintah nagari</t>
  </si>
  <si>
    <t>Laporan keuangan pemerintahan nagari yang akuntabel (16 Nagari x 6 tahun)</t>
  </si>
  <si>
    <t>Persentase masyarakat yang tersentuh pembinaan (persen)</t>
  </si>
  <si>
    <t>Fasilitasi Penyelenggaraan Pilwana</t>
  </si>
  <si>
    <t>Jumlah Nagari yang difasilitasi</t>
  </si>
  <si>
    <t>Program Pemberdayaan kelembagaan Kesejahteraan Sosial</t>
  </si>
  <si>
    <t>Persentase lembaga sosial masyarakat yang aktif (persen)</t>
  </si>
  <si>
    <t>Penunjang kegiatan MTQ kecamatan</t>
  </si>
  <si>
    <t>Kegiatan MTQ yang diikuti (kegiatan)</t>
  </si>
  <si>
    <t>Jumlah PKK Nagari yang dibina (16 nagari x 6 tahun)</t>
  </si>
  <si>
    <t>jumlah pemuda yang dibina</t>
  </si>
  <si>
    <t>Terselengaranya PATEn (bln)</t>
  </si>
  <si>
    <t>KECAMATAN PANCUNG SOAL</t>
  </si>
  <si>
    <t>Ketersediaan Cakupan pelayanan administrasi perkantoran (bln)</t>
  </si>
  <si>
    <t>Kec. Pancung Soal</t>
  </si>
  <si>
    <t>Tersedianya layanan jasa surat menyirat/ bulan)</t>
  </si>
  <si>
    <t>Laporan perencanaan dan pelaporan yang dihasilkan</t>
  </si>
  <si>
    <t>Pengadaan perlengkapan gedung kantor</t>
  </si>
  <si>
    <t>Tersediayan peralatan gedung kantor</t>
  </si>
  <si>
    <t>Terawatnya Rumah Dinas (unit)</t>
  </si>
  <si>
    <t>Terawatnya Gedung Kantor</t>
  </si>
  <si>
    <t>Fasilitasi Peringatan Hari Besar Islam</t>
  </si>
  <si>
    <t>jumlah pelaksanaan PHBI (kali)</t>
  </si>
  <si>
    <t>Program Pendidikan Politik masyarakat</t>
  </si>
  <si>
    <t>jumlah Pilwana yang difasilitasi (kali)</t>
  </si>
  <si>
    <t>Program Pelayanan dan Rehabilitasi Kesejahteraan Sosial</t>
  </si>
  <si>
    <t>Monitoring dan Evaluasi Distribusi Beras Miskin</t>
  </si>
  <si>
    <t>jumlah nagari yang dimonitoring (unit)</t>
  </si>
  <si>
    <t>Program Peningkatan dan Pengembangan Pengelolaan keuangan daerah</t>
  </si>
  <si>
    <t>persentse peningkatan PAD</t>
  </si>
  <si>
    <t>Program Peningkatan Kapasitas Aparatur Pemerintahan Desa/Nagari</t>
  </si>
  <si>
    <t>Monitoring dan Evaluasi Penyelenggaraan Pemerintahan Nagari</t>
  </si>
  <si>
    <t>Pembinaan Bulan Bhakti Gotong Royong</t>
  </si>
  <si>
    <t>Fasilitasi masalah Trantib dan pertanahan</t>
  </si>
  <si>
    <t>Perencanaan Pembangunan Kecamatan</t>
  </si>
  <si>
    <t>Koordinasi Muspika dan Pembinaan Kewilayahan</t>
  </si>
  <si>
    <t>Program Pemantapan Otonomi daerah</t>
  </si>
  <si>
    <t>persentase penyelengaraan otonomi daerah</t>
  </si>
  <si>
    <t>Pembinaan kegiatan sosial kemasyarakatan (UKS, Pramuka dan Festifal Langkisau)</t>
  </si>
  <si>
    <t>jumlah UKS yang dibina</t>
  </si>
  <si>
    <t>Fasilitasi forum loordinasi pimpinan kecamatan</t>
  </si>
  <si>
    <t>rapat-raat koordinasi muspika (bln)</t>
  </si>
  <si>
    <t>Fasilitasi Pemilihan wali nagari</t>
  </si>
  <si>
    <t>Kec. Silaut</t>
  </si>
  <si>
    <t>Fasilitasi Pemberdayaan program unguulan kecamatan</t>
  </si>
  <si>
    <t>Berkembangnya lembaga sosial (%)</t>
  </si>
  <si>
    <t>persiapan dan penyelenggaraan MTQ</t>
  </si>
  <si>
    <t>MTQ yang diikuti</t>
  </si>
  <si>
    <t>KECAMATAN AIR PURA</t>
  </si>
  <si>
    <t>Kec. Airpura</t>
  </si>
  <si>
    <t>Tersedianya perlengkapan gedung kantor (bln)</t>
  </si>
  <si>
    <t>Tersedianya peralatan gedung kantor (bln)</t>
  </si>
  <si>
    <t>Pemeliharaan Rutin/Berkala Peralatan danPerlengkapan Kantor</t>
  </si>
  <si>
    <t>terelihanya peralatan dan perlengkapan kantor (bln)</t>
  </si>
  <si>
    <t>terpelihanya kendaraan dinas/ operasional (bln)</t>
  </si>
  <si>
    <t>terpelihanya perlengkapan gedung kantor (bln)</t>
  </si>
  <si>
    <t>terpelihanya peralatan gedung kantor (bln)</t>
  </si>
  <si>
    <t>Terlaksananya MTQ Kecamatan</t>
  </si>
  <si>
    <t>Terlaksananya pembinaan  LDS (bln)</t>
  </si>
  <si>
    <t>Pembinaan Keagamaan, Sosial dan Generasi Muda</t>
  </si>
  <si>
    <t>Terlaksananya Pembinaan bagi pemuda (bln</t>
  </si>
  <si>
    <t>Pembinaan BKMT</t>
  </si>
  <si>
    <t>Terlaksananya pembinaanBKMT  (bln</t>
  </si>
  <si>
    <t>Jumlah  nagari yang dibina (10 Nagari x 6 tahun)</t>
  </si>
  <si>
    <t>- Persentase ASN dan Sekolah yang mengikuti peringatan hari besar islam</t>
  </si>
  <si>
    <t>Peningkatan IMTAQ bagi Pegawai di Lingkungan Pemda Kab. Pesisir Selatan dan  Penyelenggaraan Hari Besar Islam</t>
  </si>
  <si>
    <t>jumlah peringatan hari besar islam yang difasilitasi</t>
  </si>
  <si>
    <t>Pilwana yang difasilitasi  (kegiatan)</t>
  </si>
  <si>
    <t>KECAMATAN BASA AMPEK BALAI TAPAN</t>
  </si>
  <si>
    <t>Kec. BAB Tapan</t>
  </si>
  <si>
    <t>Terpenuhinya jasa pramu kantor</t>
  </si>
  <si>
    <t xml:space="preserve">-Tersedianya barang cetakan (bln) </t>
  </si>
  <si>
    <t>Tersedianya komponen instalasi listrik/ penerangan bangunan (bln)</t>
  </si>
  <si>
    <t>Gedung kantor yangdibangun (unit)</t>
  </si>
  <si>
    <t>Pemeliharaan rutin/berkala rumah dinas jabatan</t>
  </si>
  <si>
    <t>Terlaksananya pemeliharaan rumah dinas</t>
  </si>
  <si>
    <t>Terlaksananya pengadaan peralatan gedung kantor (paket)</t>
  </si>
  <si>
    <t>Jumlah Kasus yang ditangani/ fasilitasi</t>
  </si>
  <si>
    <t>Jumlah penyelesaian permasalahan trantibum yang difasilitasi</t>
  </si>
  <si>
    <t>Festifal Langkisau yang diikuti  (kegiatan)</t>
  </si>
  <si>
    <t xml:space="preserve"> Pelaksanaan festival langkisau</t>
  </si>
  <si>
    <t>Pameran Budaya dan pemasaran UMKM sumber daya lokal Kecamatan BAB Tapan</t>
  </si>
  <si>
    <t>Persentase usulan program/kegiatan yang tertampung pada RPJMD</t>
  </si>
  <si>
    <t>Kegiatan Penyelenggaran Musrenbang RKPD</t>
  </si>
  <si>
    <t>Jumlah Musrenbang RKPD yang di selenggarakan di tingkat kecamatan (kali)</t>
  </si>
  <si>
    <t>APB Nagari yang akuntabel (dokumen)</t>
  </si>
  <si>
    <t>persiapan dan Keikutsertaan MTQ kabuaten dan kecamatan</t>
  </si>
  <si>
    <t xml:space="preserve">Nilai LAKIP  </t>
  </si>
  <si>
    <t>Pembinaan produk unggul nagari dan pemberdayaan masyarakat</t>
  </si>
  <si>
    <t>Jumlah produk unggulan yang dibina (nagari)</t>
  </si>
  <si>
    <t>P</t>
  </si>
  <si>
    <t>KECAMATAN RANAH AMPEK HULU TAPAN</t>
  </si>
  <si>
    <t>Kec. RAHUL Tapan</t>
  </si>
  <si>
    <t>Kegiatan Penyediaan jasa asa surat menyurat</t>
  </si>
  <si>
    <t>Tersedianya layannan surat menyurat kantor bulan)</t>
  </si>
  <si>
    <t>tersedianya perlengkapan penunjang (bln)</t>
  </si>
  <si>
    <t>tersedianya peralatan penunjang (bln)</t>
  </si>
  <si>
    <t>Terlaksananya pemeliharaan rumah dinas 1 unit x 6 tahun (unit)</t>
  </si>
  <si>
    <t>Terlaksananya pemeliharaan gedung kantor 1 unit x 3 tahun (unit)</t>
  </si>
  <si>
    <t>Rehab sedang  / berat Gedung Kantor</t>
  </si>
  <si>
    <t>terlaksannya rehab sedang/berat kantor  (unit kantor)</t>
  </si>
  <si>
    <t>Pembangunan tempat parkir</t>
  </si>
  <si>
    <t>tempat parkir (unit)</t>
  </si>
  <si>
    <t>Penyuluhan pencegah peredaran penggunaan minuman keras, narkoba dan pekat</t>
  </si>
  <si>
    <t>Program Perlindungan dan Konservasi Sumber Daya Alam</t>
  </si>
  <si>
    <t>Jumlah kampung proIklim yang aktif (unit)</t>
  </si>
  <si>
    <t>Pembinaan Pemanfaatan Ruang Terbuka Hijau</t>
  </si>
  <si>
    <t>RTH yang difasilitasi (unit)</t>
  </si>
  <si>
    <t>Pagelaran Seni Budaya dan Potensi Daerah</t>
  </si>
  <si>
    <t>Koodinasi dan konsultasi pemeliharaan kantrantibmas dan pencegahan tindak kriminal</t>
  </si>
  <si>
    <t>jumlah sekolah yang dibina untuk pencegahan narkoba</t>
  </si>
  <si>
    <t>Persentase masyarakat yang tersentuh pembinaan (%)</t>
  </si>
  <si>
    <t>Fasilitasi dan Monitoring Kegiatan Pemilihan Wali Nagari Tahun 2017</t>
  </si>
  <si>
    <t>Kegiatan pilwana yang didampingi (kegiatan)</t>
  </si>
  <si>
    <t>Nagari yang dibina (unit)</t>
  </si>
  <si>
    <t>Program Pemberdayaan Kelembagaan Keseahteraan sosial</t>
  </si>
  <si>
    <t>Meningkatnya pengamalan nilai-nilai agama dan peran lembaga adat</t>
  </si>
  <si>
    <t>Penyelenggaraan MTQ Kecamatan</t>
  </si>
  <si>
    <t>event MTQ yang dilaksanakan / diikuti (kegiatan)</t>
  </si>
  <si>
    <t>Pembinaan Lembaga didikan subuh</t>
  </si>
  <si>
    <t>umlah nagari yang dibina (unit)</t>
  </si>
  <si>
    <t>Jumlah Musrenbang RKPD kecamatan yang diselenggarakan  (kali)</t>
  </si>
  <si>
    <t>Pelayanan yang diberikan (bln)</t>
  </si>
  <si>
    <t>Lomba K3 dan Taman se Kecamatan</t>
  </si>
  <si>
    <t>umkah sekolah yang dinilai (unit)</t>
  </si>
  <si>
    <t>Rapat Koordinasi Kecamatan</t>
  </si>
  <si>
    <t>umlah rakor yang diselenggarakan (kegiatan)</t>
  </si>
  <si>
    <t>KECAMATAN LUNANG</t>
  </si>
  <si>
    <t>Kec. Lunang</t>
  </si>
  <si>
    <t xml:space="preserve">-Tersedianya barang cetakan  dan penggandaan (bulan) </t>
  </si>
  <si>
    <t>jumlah ublikasi di media massa (kali)</t>
  </si>
  <si>
    <t>Penunjang operasional perencanaan dan pelaporan SKPD</t>
  </si>
  <si>
    <t>Dokumen perencanaan dan pelaporan yang dihasilkan (dokumen)</t>
  </si>
  <si>
    <t>Tersedianya perlengkaan kantor (bln)</t>
  </si>
  <si>
    <t>Pemeliharaan rutin/berkala Rumah dinas jabatan</t>
  </si>
  <si>
    <t>Terpeliharanya  umah dinas (bln)</t>
  </si>
  <si>
    <t>Pemeliharaan rutin peralatan Gedung Kantor</t>
  </si>
  <si>
    <t>terpeliharanya peralatan gedung kantor (bln)</t>
  </si>
  <si>
    <t>Program Kerjasama Informasi dan Media Massa</t>
  </si>
  <si>
    <t>Persentase  data/informasi yang akurat</t>
  </si>
  <si>
    <t>Kegiatan Publikasi dan Promosi daerah</t>
  </si>
  <si>
    <t>Jumlah promosi daerah yang diikuti (kali)</t>
  </si>
  <si>
    <t>Pembinaan Pengelollaan Keuangan Nagari</t>
  </si>
  <si>
    <t>umlah nagari yang dibina</t>
  </si>
  <si>
    <t>Peningkatan Nilai SAKIP kecamatan (skor)</t>
  </si>
  <si>
    <t>Penyusunan laporan capaian kinera dan ikhtisar realisasi kinera OPD</t>
  </si>
  <si>
    <t>laporan kinera (dokumen)</t>
  </si>
  <si>
    <t>Penyusunan perencanaan anggaran</t>
  </si>
  <si>
    <t>Renja dan RKA (dokumen)</t>
  </si>
  <si>
    <t>Pameran Budaya dan pemasaran UMKM sumber daya lokal Kecamatan Silaut (kali)</t>
  </si>
  <si>
    <t>Program Pendidikan Politik msyarakat</t>
  </si>
  <si>
    <t>Persentase masyarakat yang terbina</t>
  </si>
  <si>
    <t>kegiatan Pilwana yang difasilitasi</t>
  </si>
  <si>
    <t>1.Peringkat MTQ Pesisir Selan. 2.Persentase lembaga sosial masyarakat yang aktif.</t>
  </si>
  <si>
    <t>Penunjang kegiatan MTQ Tingkat Kecamatan</t>
  </si>
  <si>
    <t>Q</t>
  </si>
  <si>
    <t>KECAMATAN SILAUT</t>
  </si>
  <si>
    <t xml:space="preserve">-Tersedianya barang cetakan (buku) </t>
  </si>
  <si>
    <t>-Tersedianya penggandaan dokumen (lembar)</t>
  </si>
  <si>
    <t>Tersedianya bahan bacaan dan peraturan Perundang-undangan (jenis)</t>
  </si>
  <si>
    <t>-Tersedianya makan minum tamu (bulan)</t>
  </si>
  <si>
    <t>Terlaksananya pengadaan perlengkapan gedung kantor (unit)</t>
  </si>
  <si>
    <t>Kegiatan pelaksanaan Peringatan Hari Besar Nasional</t>
  </si>
  <si>
    <t>Persentase nagari yang menyalurkan bantuan pangan non tunai tepat sasaran</t>
  </si>
  <si>
    <t>Kegiatan Monitoring, Evaluasi dan Kebijakan BPNP (Bantuan Pangan Non Tunai)</t>
  </si>
  <si>
    <t>Jumlah nagari yang menyalurkan bantuan pangan non tunai tepat sasaran (10 nagari*5 th)</t>
  </si>
  <si>
    <t>Program Perencanaan Pengembangan Wilayah Strategis dan Cepat Tumbuh</t>
  </si>
  <si>
    <t>Jumlah Kawasan strategis yang dibangun</t>
  </si>
  <si>
    <t>Koordinasi penetapan rencana pengembangan wilayah strategis dan cepat tumbuh</t>
  </si>
  <si>
    <t>Jumlah nagari yang difasilitasi dalam pembangunan kawasan perhutanan sosial (nagari)</t>
  </si>
  <si>
    <t>Jumlah nagari yang difasilitasi dalam pembangunan kawasan perdesaan berbasis peternakan (nagari)</t>
  </si>
  <si>
    <t>Program Peningkatan dan pengembangan pengelolaan keuangan daerah</t>
  </si>
  <si>
    <t>Persentase peningkatan PAD (persen)</t>
  </si>
  <si>
    <t>84</t>
  </si>
  <si>
    <t>Kegiatan Fasilitasi capaian penerimaan PBB-P2</t>
  </si>
  <si>
    <t>Persentase penerimaan PBB terhadap target (persen)</t>
  </si>
  <si>
    <t>Persentase Tata Kelola Keuangan Nagari Yang Baik</t>
  </si>
  <si>
    <t xml:space="preserve">terlaksananya pembinaan pemerintahan nagari </t>
  </si>
  <si>
    <t>Persentase koordinasi dan pembinaan kewilayahan yang dilakukan</t>
  </si>
  <si>
    <t>Persiapan dan Penyelengaraan MTQ Kecamatan</t>
  </si>
  <si>
    <t>Jumlah MTQ Tk.Kec yang diikuti (kali)</t>
  </si>
  <si>
    <t>Jumlah MTQ Tk.Kab yang diikuti (kali)</t>
  </si>
  <si>
    <t>Lembaga Didikan Subuh</t>
  </si>
  <si>
    <t>Jumlah Lembaga Didikan subuh yang dikunjungi</t>
  </si>
  <si>
    <t>Safari Ramadhan Kecamatan</t>
  </si>
  <si>
    <t>Jumlah kunjungan safari ramadhan ke nagari</t>
  </si>
  <si>
    <t>Pembinaan Pemuda Karang taruna</t>
  </si>
  <si>
    <t>Jumlah organisasi pemuda yang dibina (kali)</t>
  </si>
  <si>
    <t>Jumlah diversifikasi hasil olahan tanaman pangan</t>
  </si>
  <si>
    <t>Cakupan pelayanan administrasi perkantoran.</t>
  </si>
  <si>
    <t>BPBD</t>
  </si>
  <si>
    <t>Penyediaan Jasa Komunikasi, Sumber Daya Air dan Listrik.</t>
  </si>
  <si>
    <t>Persentase pelayanan jasa komunikasi,sumber daya air dan listrik.</t>
  </si>
  <si>
    <t>Penyediaan Jasa Administrasi Keuangan.</t>
  </si>
  <si>
    <t>Persentase penyediaan jasa administrasi keuangan.</t>
  </si>
  <si>
    <t>Persentase Pelayanan Jasa Kebersihan kantor.</t>
  </si>
  <si>
    <t>Persentase pelayanan jasa perbaikan peralatan kerja.</t>
  </si>
  <si>
    <t>Persentase layanan penyediaan alat tulis kantor.</t>
  </si>
  <si>
    <t>Persentase pelayanan penyediaan barang cetakan dan penggandaan.</t>
  </si>
  <si>
    <t>Persentase pelayanan penyediaan komponen instalasi listrik/penerangan bangunan kantor.</t>
  </si>
  <si>
    <t>Persentase pelayanan penyediaan bahan bacaan</t>
  </si>
  <si>
    <t>Persentase pelayanan makanan dan minuman kantor.</t>
  </si>
  <si>
    <t>Persentase pelayanan rapat-rapat koordinasi dan konsultasi ke luar daerah.</t>
  </si>
  <si>
    <t>Persentasen rapat-rapat koordinasi dan konsultasi dalam daerah.</t>
  </si>
  <si>
    <t>Tersedianya sarana dan prasarana aparatur.</t>
  </si>
  <si>
    <t>Jumlah kendaraan roda enam,roda empat dan roda dua dalam pemeliharaan berkala.</t>
  </si>
  <si>
    <t>Pemeliharaan rutin/berkala Gedung Kantor</t>
  </si>
  <si>
    <t>Persentase terpeliharanya Gedung kantor</t>
  </si>
  <si>
    <t>Persentase Meningkatnya pengetahuan  kebencanaan  masyarakat melalui promosi</t>
  </si>
  <si>
    <t>Pelaksanaan Festival Langkisau</t>
  </si>
  <si>
    <t>jumlah event yang diikuti</t>
  </si>
  <si>
    <t>Program Peningkatan Sarana dan Prasarana Kebina margaan</t>
  </si>
  <si>
    <t>Berfungsinya sarana-prasara kebencanaan (%)</t>
  </si>
  <si>
    <t>Operasional dan Pemeliharaan alat-alat berat.</t>
  </si>
  <si>
    <t>Terlaksananya operasional dan pemeliharaan alat-alat berat (bln)</t>
  </si>
  <si>
    <t>Program Kesiapsiagaan</t>
  </si>
  <si>
    <t>Persentase masyarakat yang siap siaga menghadapi bencana</t>
  </si>
  <si>
    <t>Jambore dan Bulan Pengurangan Resiko Bencana</t>
  </si>
  <si>
    <t>jumlah event jambore yang diikuti (kegiatan)</t>
  </si>
  <si>
    <t>Program Penanganan Tanggap Darurat</t>
  </si>
  <si>
    <t>Persentase Penanganan Bencana Tanggap Darurat.</t>
  </si>
  <si>
    <t>Operasional SAR dan Tim Reaksi Cepat (TRC)</t>
  </si>
  <si>
    <t>Terlaksananya Operasional SAR dan Tim Reaksi Cepat (bln).</t>
  </si>
  <si>
    <t>Operasional Logistik dan Perlengkapan Gudang Logistik</t>
  </si>
  <si>
    <t>Terlaksananya operasional logistik dan perlengkapan gudang logistik. (bln)</t>
  </si>
  <si>
    <t>Program Pengelolaan dan Penanganan Dampak Bencana</t>
  </si>
  <si>
    <t>Persentase kejadian bencana yang terdata</t>
  </si>
  <si>
    <t>Inventarisasi dan Identifikasi Kerusakan/Kerugian</t>
  </si>
  <si>
    <t>Jumlah data dan laporan triwulan yang dihasilkan (dokumen)</t>
  </si>
  <si>
    <t>Monitoring dan Evaluasi Kebencanaan</t>
  </si>
  <si>
    <t>jumlah laporan hasin monitoring dan evaluasi triwulannan (dok)</t>
  </si>
  <si>
    <t>Program Pencegahan dan Mitigasi Bencana</t>
  </si>
  <si>
    <t>Persentase perangkat daerah yang memahami tupoksi dalam penanggulangan bencana (%)</t>
  </si>
  <si>
    <t>Operasional dan Perawatan Pusdaltin</t>
  </si>
  <si>
    <t>berfungsinya Early Warning System (EWS) (bln)</t>
  </si>
  <si>
    <t>Operasional Posko Piket Satgas SAR</t>
  </si>
  <si>
    <t>Dinas Satpol PP</t>
  </si>
  <si>
    <t>Dinas Dukcapil</t>
  </si>
  <si>
    <t>Kec. Ranah Ampek Hulu Tapan</t>
  </si>
  <si>
    <t>Dinas Sosial, PP dan PA</t>
  </si>
  <si>
    <t>URUSAN KEPEMUDAAN DAN OLAH RAGA</t>
  </si>
  <si>
    <t>BUPATI PESISIR SELATAN</t>
  </si>
  <si>
    <t>YOZKI WANDRI, SPi. MSi.</t>
  </si>
  <si>
    <t>Capaian Kinerja RPJMD Kabupaten Pesisir Selatan sampai dengan RKPD  Tahun Lalu (2018)</t>
  </si>
  <si>
    <t xml:space="preserve">tri II JULI </t>
  </si>
  <si>
    <t>SELISIH</t>
  </si>
  <si>
    <t>Program Pengembangan Data Informasi</t>
  </si>
  <si>
    <t>a`</t>
  </si>
  <si>
    <t>Belum</t>
  </si>
  <si>
    <t>Persentase Nagari dengan pengelolaan keuangan baik (%)</t>
  </si>
  <si>
    <t>Rapat Koordinasi musika yang dilakukan (kali)</t>
  </si>
  <si>
    <t>Ketersediaan  pelayanan administrasi perkantoran (bln)</t>
  </si>
  <si>
    <t>Cakupan pelayanan sarana dan prasarana penunjang (bln)</t>
  </si>
  <si>
    <t>Pengadaan Peralatan rumah dinas/ jabatan</t>
  </si>
  <si>
    <t>Painan,        Juli 2019</t>
  </si>
  <si>
    <t>Painan,         Juli  2019</t>
  </si>
</sst>
</file>

<file path=xl/styles.xml><?xml version="1.0" encoding="utf-8"?>
<styleSheet xmlns="http://schemas.openxmlformats.org/spreadsheetml/2006/main">
  <numFmts count="33">
    <numFmt numFmtId="42" formatCode="_(&quot;Rp&quot;* #,##0_);_(&quot;Rp&quot;* \(#,##0\);_(&quot;Rp&quot;* &quot;-&quot;_);_(@_)"/>
    <numFmt numFmtId="41" formatCode="_(* #,##0_);_(* \(#,##0\);_(* &quot;-&quot;_);_(@_)"/>
    <numFmt numFmtId="43" formatCode="_(* #,##0.00_);_(* \(#,##0.00\);_(* &quot;-&quot;??_);_(@_)"/>
    <numFmt numFmtId="164" formatCode="_(* #,##0_);_(* \(#,##0\);_(* &quot;-&quot;??_);_(@_)"/>
    <numFmt numFmtId="165" formatCode="_(* #,##0.0_);_(* \(#,##0.0\);_(* &quot;-&quot;_);_(@_)"/>
    <numFmt numFmtId="166" formatCode="_(* #,##0.00_);_(* \(#,##0.00\);_(* &quot;-&quot;_);_(@_)"/>
    <numFmt numFmtId="167" formatCode="_-* #,##0_-;\-* #,##0_-;_-* &quot;-&quot;_-;_-@_-"/>
    <numFmt numFmtId="168" formatCode="0.0"/>
    <numFmt numFmtId="169" formatCode="_-* #,##0.00_-;\-* #,##0.00_-;_-* &quot;-&quot;??_-;_-@_-"/>
    <numFmt numFmtId="170" formatCode="#,##0.000"/>
    <numFmt numFmtId="171" formatCode="_-* #,##0_-;\-* #,##0_-;_-* &quot;-&quot;??_-;_-@_-"/>
    <numFmt numFmtId="172" formatCode="_(* #,##0.000_);_(* \(#,##0.000\);_(* &quot;-&quot;_);_(@_)"/>
    <numFmt numFmtId="173" formatCode="_(* #,##0.0_);_(* \(#,##0.0\);_(* &quot;-&quot;??_);_(@_)"/>
    <numFmt numFmtId="174" formatCode="0.0%"/>
    <numFmt numFmtId="175" formatCode="_-* #,##0.00_-;\-* #,##0.00_-;_-* &quot;-&quot;_-;_-@_-"/>
    <numFmt numFmtId="176" formatCode="0.000"/>
    <numFmt numFmtId="177" formatCode="0.0000"/>
    <numFmt numFmtId="178" formatCode="0_ "/>
    <numFmt numFmtId="179" formatCode="_(* #,##0.000_);_(* \(#,##0.000\);_(* &quot;-&quot;??_);_(@_)"/>
    <numFmt numFmtId="180" formatCode="_(* #,##0.00_);_(* \(#,##0.00\);_(* &quot;-&quot;???_);_(@_)"/>
    <numFmt numFmtId="181" formatCode="0E+00"/>
    <numFmt numFmtId="182" formatCode="_(* #,##0.000_);_(* \(#,##0.000\);_(* &quot;-&quot;???_);_(@_)"/>
    <numFmt numFmtId="183" formatCode="_(&quot;$&quot;* #,##0.0000_);_(&quot;$&quot;* \(#,##0.0000\);_(&quot;$&quot;* &quot;-&quot;????_);_(@_)"/>
    <numFmt numFmtId="184" formatCode="_(* #,##0_);_(* \(#,##0\);_(* &quot;-&quot;???_);_(@_)"/>
    <numFmt numFmtId="185" formatCode="#,##0_);\(#,##0\);\-"/>
    <numFmt numFmtId="186" formatCode="_(* #,##0.00_);_(* \(#,##0.00\);_(* &quot;-&quot;??.00_);_(@_)"/>
    <numFmt numFmtId="187" formatCode="#,000"/>
    <numFmt numFmtId="188" formatCode="_ * #,##0_ ;_ * \-#,##0_ ;_ * &quot;-&quot;_ ;_ @_ "/>
    <numFmt numFmtId="189" formatCode="0.00_ "/>
    <numFmt numFmtId="190" formatCode="#,##0.0"/>
    <numFmt numFmtId="191" formatCode="_(* #,##0.0_);_(* \(#,##0.0\);_(* &quot;-&quot;?_);_(@_)"/>
    <numFmt numFmtId="192" formatCode="_ * #,##0_ ;_ * \-#,##0_ ;_ * &quot;-&quot;??_ ;_ @_ "/>
    <numFmt numFmtId="193" formatCode="_-* #,##0.0_-;\-* #,##0.0_-;_-* &quot;-&quot;_-;_-@_-"/>
  </numFmts>
  <fonts count="34">
    <font>
      <sz val="11"/>
      <color theme="1"/>
      <name val="Calibri"/>
      <family val="2"/>
      <charset val="1"/>
      <scheme val="minor"/>
    </font>
    <font>
      <sz val="11"/>
      <color theme="1"/>
      <name val="Calibri"/>
      <family val="2"/>
      <charset val="1"/>
      <scheme val="minor"/>
    </font>
    <font>
      <sz val="11"/>
      <color theme="1"/>
      <name val="Calibri"/>
      <family val="2"/>
      <scheme val="minor"/>
    </font>
    <font>
      <sz val="11"/>
      <color indexed="8"/>
      <name val="Calibri"/>
      <family val="2"/>
      <charset val="1"/>
    </font>
    <font>
      <b/>
      <sz val="11"/>
      <name val="Arial Narrow"/>
      <family val="2"/>
    </font>
    <font>
      <b/>
      <sz val="11"/>
      <color theme="1"/>
      <name val="Arial Narrow"/>
      <family val="2"/>
    </font>
    <font>
      <sz val="11"/>
      <color theme="1"/>
      <name val="Arial Narrow"/>
      <family val="2"/>
    </font>
    <font>
      <b/>
      <sz val="11"/>
      <color indexed="8"/>
      <name val="Arial Narrow"/>
      <family val="2"/>
    </font>
    <font>
      <sz val="11"/>
      <color indexed="8"/>
      <name val="Arial Narrow"/>
      <family val="2"/>
    </font>
    <font>
      <sz val="11"/>
      <color rgb="FF000000"/>
      <name val="Arial Narrow"/>
      <family val="2"/>
    </font>
    <font>
      <b/>
      <sz val="11"/>
      <color rgb="FF000000"/>
      <name val="Arial Narrow"/>
      <family val="2"/>
    </font>
    <font>
      <sz val="11"/>
      <name val="Arial Narrow"/>
      <family val="2"/>
    </font>
    <font>
      <sz val="11"/>
      <color rgb="FFFF0000"/>
      <name val="Arial Narrow"/>
      <family val="2"/>
    </font>
    <font>
      <b/>
      <sz val="11"/>
      <color rgb="FFFF0000"/>
      <name val="Arial Narrow"/>
      <family val="2"/>
    </font>
    <font>
      <b/>
      <sz val="11"/>
      <color theme="1"/>
      <name val="Calibri"/>
      <family val="2"/>
      <charset val="1"/>
      <scheme val="minor"/>
    </font>
    <font>
      <b/>
      <sz val="10"/>
      <name val="Arial Narrow"/>
      <family val="2"/>
    </font>
    <font>
      <sz val="9"/>
      <color indexed="81"/>
      <name val="Tahoma"/>
      <family val="2"/>
    </font>
    <font>
      <b/>
      <sz val="9"/>
      <color indexed="81"/>
      <name val="Tahoma"/>
      <family val="2"/>
    </font>
    <font>
      <b/>
      <sz val="10"/>
      <color theme="1"/>
      <name val="Arial Narrow"/>
      <family val="2"/>
    </font>
    <font>
      <sz val="10"/>
      <color theme="1"/>
      <name val="Arial Narrow"/>
      <family val="2"/>
    </font>
    <font>
      <sz val="10"/>
      <name val="Arial Narrow"/>
      <family val="2"/>
    </font>
    <font>
      <b/>
      <sz val="10"/>
      <color rgb="FF000000"/>
      <name val="Arial Narrow"/>
      <family val="2"/>
    </font>
    <font>
      <sz val="10"/>
      <color rgb="FF000000"/>
      <name val="Arial Narrow"/>
      <family val="2"/>
    </font>
    <font>
      <sz val="10"/>
      <color theme="0"/>
      <name val="Arial Narrow"/>
      <family val="2"/>
    </font>
    <font>
      <b/>
      <sz val="11"/>
      <color theme="1"/>
      <name val="Calibri"/>
      <family val="2"/>
      <scheme val="minor"/>
    </font>
    <font>
      <sz val="10"/>
      <color indexed="8"/>
      <name val="Arial Narrow"/>
      <family val="2"/>
    </font>
    <font>
      <b/>
      <sz val="14"/>
      <color theme="1"/>
      <name val="Arial Narrow"/>
      <family val="2"/>
    </font>
    <font>
      <sz val="16"/>
      <color theme="1"/>
      <name val="Arial Narrow"/>
      <family val="2"/>
    </font>
    <font>
      <sz val="20"/>
      <color theme="1"/>
      <name val="Arial Narrow"/>
      <family val="2"/>
    </font>
    <font>
      <b/>
      <sz val="20"/>
      <color theme="1"/>
      <name val="Arial Narrow"/>
      <family val="2"/>
    </font>
    <font>
      <sz val="11"/>
      <color theme="1"/>
      <name val="Arial"/>
      <family val="2"/>
    </font>
    <font>
      <sz val="11"/>
      <color theme="1"/>
      <name val="Arial"/>
      <family val="2"/>
    </font>
    <font>
      <b/>
      <sz val="11"/>
      <color theme="1"/>
      <name val="Arial"/>
      <family val="2"/>
    </font>
    <font>
      <b/>
      <sz val="10"/>
      <color indexed="8"/>
      <name val="Arial Narrow"/>
      <family val="2"/>
    </font>
  </fonts>
  <fills count="16">
    <fill>
      <patternFill patternType="none"/>
    </fill>
    <fill>
      <patternFill patternType="gray125"/>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indexed="9"/>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9"/>
        <bgColor indexed="64"/>
      </patternFill>
    </fill>
  </fills>
  <borders count="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rgb="FF000000"/>
      </left>
      <right style="thin">
        <color rgb="FF000000"/>
      </right>
      <top/>
      <bottom/>
      <diagonal/>
    </border>
    <border>
      <left/>
      <right style="thin">
        <color rgb="FF000000"/>
      </right>
      <top/>
      <bottom/>
      <diagonal/>
    </border>
    <border>
      <left/>
      <right/>
      <top/>
      <bottom style="hair">
        <color auto="1"/>
      </bottom>
      <diagonal/>
    </border>
    <border>
      <left/>
      <right/>
      <top style="hair">
        <color auto="1"/>
      </top>
      <bottom/>
      <diagonal/>
    </border>
    <border>
      <left style="thin">
        <color rgb="FF000000"/>
      </left>
      <right style="thin">
        <color rgb="FF000000"/>
      </right>
      <top style="dashed">
        <color rgb="FF000000"/>
      </top>
      <bottom style="dashed">
        <color rgb="FF000000"/>
      </bottom>
      <diagonal/>
    </border>
    <border>
      <left style="thin">
        <color auto="1"/>
      </left>
      <right style="thin">
        <color auto="1"/>
      </right>
      <top style="dashed">
        <color rgb="FF000000"/>
      </top>
      <bottom style="dashed">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auto="1"/>
      </top>
      <bottom style="thin">
        <color rgb="FF000000"/>
      </bottom>
      <diagonal/>
    </border>
    <border>
      <left style="thin">
        <color rgb="FF000000"/>
      </left>
      <right style="thin">
        <color rgb="FF000000"/>
      </right>
      <top style="thin">
        <color auto="1"/>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auto="1"/>
      </right>
      <top/>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diagonal/>
    </border>
    <border>
      <left style="thin">
        <color rgb="FF000000"/>
      </left>
      <right style="thin">
        <color rgb="FF000000"/>
      </right>
      <top/>
      <bottom style="thin">
        <color auto="1"/>
      </bottom>
      <diagonal/>
    </border>
    <border>
      <left style="thin">
        <color rgb="FF000000"/>
      </left>
      <right style="thin">
        <color auto="1"/>
      </right>
      <top/>
      <bottom style="thin">
        <color auto="1"/>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style="dashed">
        <color rgb="FF000000"/>
      </top>
      <bottom style="thin">
        <color auto="1"/>
      </bottom>
      <diagonal/>
    </border>
    <border>
      <left style="thin">
        <color rgb="FF000000"/>
      </left>
      <right style="thin">
        <color auto="1"/>
      </right>
      <top style="thin">
        <color auto="1"/>
      </top>
      <bottom style="thin">
        <color auto="1"/>
      </bottom>
      <diagonal/>
    </border>
    <border>
      <left style="thin">
        <color rgb="FF000000"/>
      </left>
      <right style="thin">
        <color rgb="FF000000"/>
      </right>
      <top style="dashed">
        <color rgb="FF000000"/>
      </top>
      <bottom/>
      <diagonal/>
    </border>
    <border>
      <left style="thin">
        <color rgb="FF000000"/>
      </left>
      <right style="thin">
        <color auto="1"/>
      </right>
      <top style="thin">
        <color auto="1"/>
      </top>
      <bottom/>
      <diagonal/>
    </border>
    <border>
      <left style="thin">
        <color rgb="FF000000"/>
      </left>
      <right style="thin">
        <color auto="1"/>
      </right>
      <top style="thin">
        <color auto="1"/>
      </top>
      <bottom style="thin">
        <color rgb="FF000000"/>
      </bottom>
      <diagonal/>
    </border>
    <border>
      <left style="thin">
        <color auto="1"/>
      </left>
      <right style="thin">
        <color rgb="FF000000"/>
      </right>
      <top style="thin">
        <color auto="1"/>
      </top>
      <bottom style="thin">
        <color auto="1"/>
      </bottom>
      <diagonal/>
    </border>
    <border>
      <left/>
      <right style="thin">
        <color indexed="64"/>
      </right>
      <top style="thin">
        <color indexed="64"/>
      </top>
      <bottom style="hair">
        <color indexed="64"/>
      </bottom>
      <diagonal/>
    </border>
    <border>
      <left/>
      <right style="thin">
        <color auto="1"/>
      </right>
      <top style="hair">
        <color auto="1"/>
      </top>
      <bottom style="hair">
        <color auto="1"/>
      </bottom>
      <diagonal/>
    </border>
    <border>
      <left/>
      <right style="thin">
        <color auto="1"/>
      </right>
      <top/>
      <bottom style="hair">
        <color auto="1"/>
      </bottom>
      <diagonal/>
    </border>
    <border>
      <left/>
      <right/>
      <top style="thin">
        <color rgb="FF000000"/>
      </top>
      <bottom style="thin">
        <color auto="1"/>
      </bottom>
      <diagonal/>
    </border>
    <border>
      <left/>
      <right/>
      <top style="thin">
        <color rgb="FF000000"/>
      </top>
      <bottom style="thin">
        <color rgb="FF000000"/>
      </bottom>
      <diagonal/>
    </border>
    <border>
      <left style="thin">
        <color rgb="FF000000"/>
      </left>
      <right style="thin">
        <color auto="1"/>
      </right>
      <top style="thin">
        <color rgb="FF000000"/>
      </top>
      <bottom style="thin">
        <color rgb="FF000000"/>
      </bottom>
      <diagonal/>
    </border>
    <border>
      <left/>
      <right style="thin">
        <color rgb="FF000000"/>
      </right>
      <top style="thin">
        <color rgb="FF000000"/>
      </top>
      <bottom style="thin">
        <color auto="1"/>
      </bottom>
      <diagonal/>
    </border>
    <border>
      <left style="thin">
        <color auto="1"/>
      </left>
      <right style="thin">
        <color rgb="FF000000"/>
      </right>
      <top style="thin">
        <color auto="1"/>
      </top>
      <bottom/>
      <diagonal/>
    </border>
    <border>
      <left style="thin">
        <color auto="1"/>
      </left>
      <right style="thin">
        <color rgb="FF000000"/>
      </right>
      <top/>
      <bottom style="thin">
        <color auto="1"/>
      </bottom>
      <diagonal/>
    </border>
    <border>
      <left/>
      <right style="thin">
        <color rgb="FF000000"/>
      </right>
      <top style="thin">
        <color rgb="FF000000"/>
      </top>
      <bottom style="thin">
        <color rgb="FF000000"/>
      </bottom>
      <diagonal/>
    </border>
    <border>
      <left style="thin">
        <color auto="1"/>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style="thin">
        <color auto="1"/>
      </top>
      <bottom style="thin">
        <color auto="1"/>
      </bottom>
      <diagonal/>
    </border>
    <border>
      <left style="thin">
        <color rgb="FF000000"/>
      </left>
      <right/>
      <top style="thin">
        <color auto="1"/>
      </top>
      <bottom style="thin">
        <color auto="1"/>
      </bottom>
      <diagonal/>
    </border>
    <border>
      <left style="thin">
        <color rgb="FF000000"/>
      </left>
      <right style="thin">
        <color indexed="64"/>
      </right>
      <top style="thin">
        <color rgb="FF000000"/>
      </top>
      <bottom style="thin">
        <color indexed="64"/>
      </bottom>
      <diagonal/>
    </border>
    <border>
      <left style="thin">
        <color auto="1"/>
      </left>
      <right style="thin">
        <color auto="1"/>
      </right>
      <top style="thin">
        <color rgb="FF000000"/>
      </top>
      <bottom style="thin">
        <color auto="1"/>
      </bottom>
      <diagonal/>
    </border>
    <border>
      <left style="medium">
        <color rgb="FF000000"/>
      </left>
      <right style="medium">
        <color rgb="FF000000"/>
      </right>
      <top style="dashed">
        <color rgb="FF000000"/>
      </top>
      <bottom style="dashed">
        <color rgb="FF000000"/>
      </bottom>
      <diagonal/>
    </border>
    <border>
      <left style="thin">
        <color rgb="FF000000"/>
      </left>
      <right style="thin">
        <color rgb="FF000000"/>
      </right>
      <top style="thin">
        <color rgb="FF000000"/>
      </top>
      <bottom style="dashed">
        <color rgb="FF000000"/>
      </bottom>
      <diagonal/>
    </border>
    <border>
      <left style="thin">
        <color rgb="FF000000"/>
      </left>
      <right style="thin">
        <color rgb="FF000000"/>
      </right>
      <top style="dashed">
        <color rgb="FF000000"/>
      </top>
      <bottom style="thin">
        <color rgb="FF000000"/>
      </bottom>
      <diagonal/>
    </border>
    <border>
      <left style="medium">
        <color rgb="FF000000"/>
      </left>
      <right style="medium">
        <color rgb="FF000000"/>
      </right>
      <top style="dashed">
        <color rgb="FF000000"/>
      </top>
      <bottom style="thin">
        <color indexed="64"/>
      </bottom>
      <diagonal/>
    </border>
  </borders>
  <cellStyleXfs count="9">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0" borderId="0"/>
    <xf numFmtId="41" fontId="3" fillId="0" borderId="0" applyFont="0" applyFill="0" applyBorder="0" applyAlignment="0" applyProtection="0"/>
    <xf numFmtId="43" fontId="2" fillId="0" borderId="0" applyFont="0" applyFill="0" applyBorder="0" applyAlignment="0" applyProtection="0"/>
    <xf numFmtId="42" fontId="1" fillId="0" borderId="0" applyFont="0" applyFill="0" applyBorder="0" applyAlignment="0" applyProtection="0"/>
  </cellStyleXfs>
  <cellXfs count="2939">
    <xf numFmtId="0" fontId="0" fillId="0" borderId="0" xfId="0"/>
    <xf numFmtId="0" fontId="0" fillId="0" borderId="0" xfId="0"/>
    <xf numFmtId="0" fontId="8" fillId="0" borderId="1" xfId="0" applyFont="1" applyFill="1" applyBorder="1" applyAlignment="1">
      <alignment horizontal="left" vertical="top" wrapText="1"/>
    </xf>
    <xf numFmtId="0" fontId="8" fillId="0" borderId="1" xfId="0" applyFont="1" applyFill="1" applyBorder="1" applyAlignment="1">
      <alignment vertical="top" wrapText="1"/>
    </xf>
    <xf numFmtId="0" fontId="8" fillId="5" borderId="1" xfId="0" applyFont="1" applyFill="1" applyBorder="1" applyAlignment="1">
      <alignment vertical="top" wrapText="1"/>
    </xf>
    <xf numFmtId="0" fontId="8" fillId="5" borderId="1" xfId="0" applyFont="1" applyFill="1" applyBorder="1" applyAlignment="1">
      <alignment horizontal="left" vertical="top" wrapText="1"/>
    </xf>
    <xf numFmtId="0" fontId="11" fillId="0" borderId="1" xfId="0" applyFont="1" applyFill="1" applyBorder="1" applyAlignment="1">
      <alignment vertical="top" wrapText="1"/>
    </xf>
    <xf numFmtId="0" fontId="6" fillId="0" borderId="4" xfId="0" applyFont="1" applyFill="1" applyBorder="1" applyAlignment="1">
      <alignment vertical="top" wrapText="1"/>
    </xf>
    <xf numFmtId="0" fontId="6" fillId="0" borderId="1" xfId="0" applyFont="1" applyFill="1" applyBorder="1" applyAlignment="1">
      <alignment vertical="top" wrapText="1"/>
    </xf>
    <xf numFmtId="0" fontId="6" fillId="0" borderId="1" xfId="0" quotePrefix="1" applyFont="1" applyFill="1" applyBorder="1" applyAlignment="1">
      <alignment vertical="top" wrapText="1"/>
    </xf>
    <xf numFmtId="0" fontId="6" fillId="0" borderId="1" xfId="0" applyFont="1" applyFill="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right" vertical="top" wrapText="1"/>
    </xf>
    <xf numFmtId="41" fontId="6" fillId="0" borderId="1" xfId="2" applyFont="1" applyBorder="1" applyAlignment="1">
      <alignment horizontal="right" vertical="top" wrapText="1"/>
    </xf>
    <xf numFmtId="41" fontId="6" fillId="0" borderId="1" xfId="0" applyNumberFormat="1" applyFont="1" applyBorder="1" applyAlignment="1">
      <alignment horizontal="right" vertical="top" wrapText="1"/>
    </xf>
    <xf numFmtId="2" fontId="6" fillId="0" borderId="1" xfId="0" applyNumberFormat="1" applyFont="1" applyBorder="1" applyAlignment="1">
      <alignment horizontal="right" vertical="top" wrapText="1"/>
    </xf>
    <xf numFmtId="0" fontId="5" fillId="0" borderId="0" xfId="0" applyFont="1" applyAlignment="1">
      <alignment vertical="top" wrapText="1"/>
    </xf>
    <xf numFmtId="0" fontId="6" fillId="0" borderId="1" xfId="0" applyFont="1" applyBorder="1" applyAlignment="1">
      <alignment horizontal="lef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5" fillId="0" borderId="0" xfId="0" applyFont="1" applyFill="1" applyAlignment="1">
      <alignment vertical="top" wrapText="1"/>
    </xf>
    <xf numFmtId="0" fontId="6" fillId="0" borderId="2" xfId="0" applyFont="1" applyFill="1" applyBorder="1" applyAlignment="1">
      <alignment vertical="top" wrapText="1"/>
    </xf>
    <xf numFmtId="0" fontId="6" fillId="0" borderId="0" xfId="0" applyFont="1" applyAlignment="1">
      <alignment vertical="top" wrapText="1"/>
    </xf>
    <xf numFmtId="164" fontId="4" fillId="6" borderId="1" xfId="0" applyNumberFormat="1" applyFont="1" applyFill="1" applyBorder="1" applyAlignment="1">
      <alignment vertical="center"/>
    </xf>
    <xf numFmtId="41" fontId="6" fillId="0" borderId="1" xfId="2" applyFont="1" applyBorder="1" applyAlignment="1">
      <alignment vertical="top" wrapText="1"/>
    </xf>
    <xf numFmtId="41" fontId="6" fillId="0" borderId="1" xfId="2" applyFont="1" applyFill="1" applyBorder="1" applyAlignment="1">
      <alignment vertical="top" wrapText="1"/>
    </xf>
    <xf numFmtId="41" fontId="5" fillId="0" borderId="1" xfId="2" applyFont="1" applyFill="1" applyBorder="1" applyAlignment="1">
      <alignment vertical="top" wrapText="1"/>
    </xf>
    <xf numFmtId="41" fontId="6" fillId="0" borderId="4" xfId="2" applyFont="1" applyBorder="1" applyAlignment="1">
      <alignment vertical="top" wrapText="1"/>
    </xf>
    <xf numFmtId="41" fontId="6" fillId="0" borderId="2" xfId="2" applyFont="1" applyBorder="1" applyAlignment="1">
      <alignment vertical="top" wrapText="1"/>
    </xf>
    <xf numFmtId="43" fontId="6" fillId="0" borderId="1" xfId="0" applyNumberFormat="1" applyFont="1" applyBorder="1" applyAlignment="1">
      <alignment vertical="top" wrapText="1"/>
    </xf>
    <xf numFmtId="41" fontId="6" fillId="0" borderId="1" xfId="0" applyNumberFormat="1" applyFont="1" applyBorder="1" applyAlignment="1">
      <alignment vertical="top" wrapText="1"/>
    </xf>
    <xf numFmtId="2" fontId="6" fillId="0" borderId="1" xfId="0" applyNumberFormat="1" applyFont="1" applyBorder="1" applyAlignment="1">
      <alignment vertical="top" wrapText="1"/>
    </xf>
    <xf numFmtId="43" fontId="6" fillId="0" borderId="4" xfId="0" applyNumberFormat="1" applyFont="1" applyBorder="1" applyAlignment="1">
      <alignment vertical="top" wrapText="1"/>
    </xf>
    <xf numFmtId="0" fontId="5" fillId="9" borderId="1" xfId="0" applyFont="1" applyFill="1" applyBorder="1" applyAlignment="1">
      <alignment vertical="top" wrapText="1"/>
    </xf>
    <xf numFmtId="0" fontId="11" fillId="4" borderId="1" xfId="0" applyFont="1" applyFill="1" applyBorder="1" applyAlignment="1">
      <alignment vertical="top" wrapText="1"/>
    </xf>
    <xf numFmtId="0" fontId="11" fillId="4" borderId="4" xfId="0" applyFont="1" applyFill="1" applyBorder="1" applyAlignment="1">
      <alignment vertical="top" wrapText="1"/>
    </xf>
    <xf numFmtId="167" fontId="11" fillId="4" borderId="1" xfId="4" applyNumberFormat="1" applyFont="1" applyFill="1" applyBorder="1" applyAlignment="1">
      <alignment horizontal="right" vertical="top" wrapText="1"/>
    </xf>
    <xf numFmtId="167" fontId="11" fillId="4" borderId="4" xfId="4" applyNumberFormat="1" applyFont="1" applyFill="1" applyBorder="1" applyAlignment="1">
      <alignment horizontal="right" vertical="top" wrapText="1"/>
    </xf>
    <xf numFmtId="0" fontId="8" fillId="0" borderId="4" xfId="0" applyFont="1" applyFill="1" applyBorder="1" applyAlignment="1">
      <alignment horizontal="left" vertical="top" wrapText="1"/>
    </xf>
    <xf numFmtId="0" fontId="4" fillId="4" borderId="1" xfId="0" applyFont="1" applyFill="1" applyBorder="1" applyAlignment="1">
      <alignment vertical="top" wrapText="1"/>
    </xf>
    <xf numFmtId="0" fontId="5" fillId="9" borderId="1" xfId="0" applyFont="1" applyFill="1" applyBorder="1" applyAlignment="1">
      <alignment horizontal="left" vertical="top" wrapText="1"/>
    </xf>
    <xf numFmtId="0" fontId="5" fillId="4" borderId="1" xfId="0" applyFont="1" applyFill="1" applyBorder="1" applyAlignment="1">
      <alignment vertical="top" wrapText="1"/>
    </xf>
    <xf numFmtId="41" fontId="8" fillId="5" borderId="1" xfId="2" applyFont="1" applyFill="1" applyBorder="1" applyAlignment="1">
      <alignment horizontal="right" vertical="top" wrapText="1"/>
    </xf>
    <xf numFmtId="0" fontId="7" fillId="9" borderId="1" xfId="0" applyFont="1" applyFill="1" applyBorder="1" applyAlignment="1">
      <alignment vertical="top" wrapText="1"/>
    </xf>
    <xf numFmtId="0" fontId="4" fillId="9" borderId="1" xfId="0" applyFont="1" applyFill="1" applyBorder="1" applyAlignment="1">
      <alignment vertical="top" wrapText="1"/>
    </xf>
    <xf numFmtId="0" fontId="11" fillId="4" borderId="1" xfId="0" applyFont="1" applyFill="1" applyBorder="1" applyAlignment="1">
      <alignment horizontal="left" vertical="top" wrapText="1"/>
    </xf>
    <xf numFmtId="0" fontId="4" fillId="9" borderId="1" xfId="0" applyFont="1" applyFill="1" applyBorder="1" applyAlignment="1">
      <alignment horizontal="left" vertical="top" wrapText="1"/>
    </xf>
    <xf numFmtId="0" fontId="11" fillId="0" borderId="22" xfId="0" applyFont="1" applyBorder="1" applyAlignment="1">
      <alignment vertical="top" wrapText="1"/>
    </xf>
    <xf numFmtId="0" fontId="11" fillId="0" borderId="22" xfId="0" applyFont="1" applyFill="1" applyBorder="1" applyAlignment="1">
      <alignment vertical="top" wrapText="1"/>
    </xf>
    <xf numFmtId="0" fontId="11" fillId="4" borderId="22" xfId="0" applyFont="1" applyFill="1" applyBorder="1" applyAlignment="1">
      <alignment vertical="top" wrapText="1"/>
    </xf>
    <xf numFmtId="164" fontId="11" fillId="0" borderId="22" xfId="1" applyNumberFormat="1" applyFont="1" applyBorder="1" applyAlignment="1">
      <alignment vertical="top" wrapText="1"/>
    </xf>
    <xf numFmtId="41" fontId="11" fillId="0" borderId="22" xfId="0" applyNumberFormat="1" applyFont="1" applyBorder="1" applyAlignment="1">
      <alignment vertical="top" wrapText="1"/>
    </xf>
    <xf numFmtId="0" fontId="4" fillId="0" borderId="22" xfId="0" applyFont="1" applyBorder="1" applyAlignment="1">
      <alignment vertical="top" wrapText="1"/>
    </xf>
    <xf numFmtId="0" fontId="4" fillId="0" borderId="22" xfId="0" applyFont="1" applyFill="1" applyBorder="1" applyAlignment="1">
      <alignment vertical="top" wrapText="1"/>
    </xf>
    <xf numFmtId="164" fontId="11" fillId="0" borderId="22" xfId="1" applyNumberFormat="1" applyFont="1" applyFill="1" applyBorder="1" applyAlignment="1">
      <alignment vertical="top" wrapText="1"/>
    </xf>
    <xf numFmtId="41" fontId="11" fillId="0" borderId="22" xfId="0" applyNumberFormat="1" applyFont="1" applyFill="1" applyBorder="1" applyAlignment="1">
      <alignment vertical="top" wrapText="1"/>
    </xf>
    <xf numFmtId="164" fontId="4" fillId="0" borderId="22" xfId="1" applyNumberFormat="1" applyFont="1" applyBorder="1" applyAlignment="1">
      <alignment vertical="top" wrapText="1"/>
    </xf>
    <xf numFmtId="41" fontId="4" fillId="0" borderId="22" xfId="0" applyNumberFormat="1" applyFont="1" applyBorder="1" applyAlignment="1">
      <alignment vertical="top" wrapText="1"/>
    </xf>
    <xf numFmtId="0" fontId="11" fillId="0" borderId="22" xfId="0" applyFont="1" applyBorder="1" applyAlignment="1">
      <alignment horizontal="left" vertical="top" wrapText="1"/>
    </xf>
    <xf numFmtId="0" fontId="11" fillId="4" borderId="22" xfId="2" applyNumberFormat="1" applyFont="1" applyFill="1" applyBorder="1" applyAlignment="1">
      <alignment vertical="top" wrapText="1"/>
    </xf>
    <xf numFmtId="0" fontId="11" fillId="0" borderId="22" xfId="0" applyNumberFormat="1" applyFont="1" applyFill="1" applyBorder="1" applyAlignment="1">
      <alignment vertical="top" wrapText="1"/>
    </xf>
    <xf numFmtId="0" fontId="4" fillId="0" borderId="22" xfId="0" applyFont="1" applyBorder="1" applyAlignment="1">
      <alignment horizontal="center" vertical="top" wrapText="1"/>
    </xf>
    <xf numFmtId="0" fontId="11" fillId="0" borderId="22" xfId="0" applyNumberFormat="1" applyFont="1" applyBorder="1" applyAlignment="1">
      <alignment horizontal="center" vertical="top" wrapText="1"/>
    </xf>
    <xf numFmtId="41" fontId="11" fillId="0" borderId="22" xfId="2" applyFont="1" applyBorder="1" applyAlignment="1">
      <alignment vertical="top" wrapText="1"/>
    </xf>
    <xf numFmtId="41" fontId="11" fillId="0" borderId="22" xfId="2" applyFont="1" applyFill="1" applyBorder="1" applyAlignment="1">
      <alignment vertical="top" wrapText="1"/>
    </xf>
    <xf numFmtId="10" fontId="11" fillId="0" borderId="22" xfId="0" applyNumberFormat="1" applyFont="1" applyBorder="1" applyAlignment="1">
      <alignment horizontal="center" vertical="top" wrapText="1"/>
    </xf>
    <xf numFmtId="1" fontId="11" fillId="0" borderId="22" xfId="0" applyNumberFormat="1" applyFont="1" applyBorder="1" applyAlignment="1">
      <alignment horizontal="center" vertical="top" wrapText="1"/>
    </xf>
    <xf numFmtId="41" fontId="11" fillId="0" borderId="22" xfId="2" applyFont="1" applyBorder="1" applyAlignment="1">
      <alignment horizontal="center" vertical="top" wrapText="1"/>
    </xf>
    <xf numFmtId="41" fontId="11" fillId="0" borderId="22" xfId="2" applyFont="1" applyFill="1" applyBorder="1" applyAlignment="1">
      <alignment horizontal="center" vertical="top" wrapText="1"/>
    </xf>
    <xf numFmtId="0" fontId="11" fillId="4" borderId="22" xfId="0" applyNumberFormat="1" applyFont="1" applyFill="1" applyBorder="1" applyAlignment="1">
      <alignment vertical="top" wrapText="1"/>
    </xf>
    <xf numFmtId="0" fontId="4" fillId="0" borderId="22" xfId="0" applyFont="1" applyFill="1" applyBorder="1" applyAlignment="1">
      <alignment horizontal="center" vertical="top" wrapText="1"/>
    </xf>
    <xf numFmtId="0" fontId="11" fillId="0" borderId="22" xfId="0" applyNumberFormat="1" applyFont="1" applyFill="1" applyBorder="1" applyAlignment="1">
      <alignment horizontal="center" vertical="top" wrapText="1"/>
    </xf>
    <xf numFmtId="10" fontId="11" fillId="0" borderId="22" xfId="0" applyNumberFormat="1" applyFont="1" applyFill="1" applyBorder="1" applyAlignment="1">
      <alignment horizontal="center" vertical="top" wrapText="1"/>
    </xf>
    <xf numFmtId="1" fontId="11" fillId="0" borderId="22" xfId="0" applyNumberFormat="1" applyFont="1" applyFill="1" applyBorder="1" applyAlignment="1">
      <alignment horizontal="center" vertical="top" wrapText="1"/>
    </xf>
    <xf numFmtId="164" fontId="11" fillId="4" borderId="22" xfId="1" applyNumberFormat="1" applyFont="1" applyFill="1" applyBorder="1" applyAlignment="1">
      <alignment vertical="top" wrapText="1"/>
    </xf>
    <xf numFmtId="0" fontId="4" fillId="0" borderId="22" xfId="0" applyNumberFormat="1" applyFont="1" applyBorder="1" applyAlignment="1">
      <alignment horizontal="center" vertical="top" wrapText="1"/>
    </xf>
    <xf numFmtId="0" fontId="11" fillId="4" borderId="22" xfId="0" applyFont="1" applyFill="1" applyBorder="1" applyAlignment="1">
      <alignment horizontal="center" vertical="top" wrapText="1"/>
    </xf>
    <xf numFmtId="10" fontId="4" fillId="0" borderId="22" xfId="0" applyNumberFormat="1" applyFont="1" applyBorder="1" applyAlignment="1">
      <alignment horizontal="center" vertical="top" wrapText="1"/>
    </xf>
    <xf numFmtId="9" fontId="11" fillId="0" borderId="22" xfId="0" applyNumberFormat="1" applyFont="1" applyBorder="1" applyAlignment="1">
      <alignment horizontal="center" vertical="top" wrapText="1"/>
    </xf>
    <xf numFmtId="0" fontId="11" fillId="0" borderId="22" xfId="0" applyFont="1" applyBorder="1" applyAlignment="1">
      <alignment horizontal="center" vertical="top" wrapText="1"/>
    </xf>
    <xf numFmtId="0" fontId="11" fillId="4" borderId="22" xfId="2" applyNumberFormat="1" applyFont="1" applyFill="1" applyBorder="1" applyAlignment="1">
      <alignment horizontal="left" vertical="top" wrapText="1"/>
    </xf>
    <xf numFmtId="164" fontId="11" fillId="0" borderId="22" xfId="0" applyNumberFormat="1" applyFont="1" applyBorder="1" applyAlignment="1">
      <alignment vertical="top" wrapText="1"/>
    </xf>
    <xf numFmtId="0" fontId="11" fillId="0" borderId="22" xfId="0" quotePrefix="1" applyNumberFormat="1" applyFont="1" applyBorder="1" applyAlignment="1">
      <alignment horizontal="center" vertical="top" wrapText="1"/>
    </xf>
    <xf numFmtId="177" fontId="11" fillId="0" borderId="22" xfId="0" applyNumberFormat="1" applyFont="1" applyBorder="1" applyAlignment="1">
      <alignment horizontal="center" vertical="top" wrapText="1"/>
    </xf>
    <xf numFmtId="41" fontId="11" fillId="0" borderId="22" xfId="2" quotePrefix="1" applyFont="1" applyBorder="1" applyAlignment="1">
      <alignment horizontal="center" vertical="top" wrapText="1"/>
    </xf>
    <xf numFmtId="41" fontId="0" fillId="0" borderId="0" xfId="2" applyFont="1" applyAlignment="1">
      <alignment horizontal="center"/>
    </xf>
    <xf numFmtId="41" fontId="0" fillId="0" borderId="0" xfId="0" applyNumberFormat="1"/>
    <xf numFmtId="41" fontId="0" fillId="0" borderId="0" xfId="2" applyFont="1"/>
    <xf numFmtId="0" fontId="6" fillId="4" borderId="1" xfId="0" applyFont="1" applyFill="1" applyBorder="1" applyAlignment="1">
      <alignment vertical="top" wrapText="1"/>
    </xf>
    <xf numFmtId="0" fontId="6" fillId="4" borderId="1" xfId="0" applyFont="1" applyFill="1" applyBorder="1" applyAlignment="1">
      <alignment horizontal="center" vertical="top" wrapText="1"/>
    </xf>
    <xf numFmtId="0" fontId="9" fillId="4" borderId="1" xfId="0" applyFont="1" applyFill="1" applyBorder="1" applyAlignment="1">
      <alignment vertical="top" wrapText="1"/>
    </xf>
    <xf numFmtId="0" fontId="6" fillId="4" borderId="1" xfId="0" applyNumberFormat="1" applyFont="1" applyFill="1" applyBorder="1" applyAlignment="1">
      <alignment horizontal="right" vertical="top" wrapText="1"/>
    </xf>
    <xf numFmtId="164" fontId="6" fillId="4" borderId="1" xfId="7" applyNumberFormat="1" applyFont="1" applyFill="1" applyBorder="1" applyAlignment="1">
      <alignment horizontal="right" vertical="top" wrapText="1"/>
    </xf>
    <xf numFmtId="170" fontId="6" fillId="4" borderId="1" xfId="0" applyNumberFormat="1" applyFont="1" applyFill="1" applyBorder="1" applyAlignment="1">
      <alignment horizontal="right" vertical="top" wrapText="1"/>
    </xf>
    <xf numFmtId="3" fontId="6" fillId="4" borderId="1" xfId="0" applyNumberFormat="1" applyFont="1" applyFill="1" applyBorder="1" applyAlignment="1">
      <alignment horizontal="right" vertical="top" wrapText="1"/>
    </xf>
    <xf numFmtId="1" fontId="6" fillId="4" borderId="1" xfId="0" applyNumberFormat="1" applyFont="1" applyFill="1" applyBorder="1" applyAlignment="1">
      <alignment vertical="top" wrapText="1"/>
    </xf>
    <xf numFmtId="3" fontId="6" fillId="4" borderId="1" xfId="0" applyNumberFormat="1" applyFont="1" applyFill="1" applyBorder="1" applyAlignment="1">
      <alignment vertical="top" wrapText="1"/>
    </xf>
    <xf numFmtId="1" fontId="6" fillId="4" borderId="1" xfId="0" applyNumberFormat="1" applyFont="1" applyFill="1" applyBorder="1" applyAlignment="1">
      <alignment horizontal="right" vertical="top" wrapText="1"/>
    </xf>
    <xf numFmtId="43" fontId="6" fillId="4" borderId="1" xfId="7" applyFont="1" applyFill="1" applyBorder="1" applyAlignment="1">
      <alignment horizontal="right" vertical="top" wrapText="1"/>
    </xf>
    <xf numFmtId="41" fontId="6" fillId="4" borderId="1" xfId="2" applyFont="1" applyFill="1" applyBorder="1" applyAlignment="1">
      <alignment vertical="top" wrapText="1"/>
    </xf>
    <xf numFmtId="0" fontId="6" fillId="4" borderId="1" xfId="0" applyFont="1" applyFill="1" applyBorder="1" applyAlignment="1">
      <alignment horizontal="right" vertical="top" wrapText="1"/>
    </xf>
    <xf numFmtId="164" fontId="6" fillId="4" borderId="1" xfId="0" applyNumberFormat="1" applyFont="1" applyFill="1" applyBorder="1" applyAlignment="1">
      <alignment horizontal="right" vertical="top" wrapText="1"/>
    </xf>
    <xf numFmtId="0" fontId="6" fillId="0" borderId="1" xfId="0" applyFont="1" applyFill="1" applyBorder="1" applyAlignment="1">
      <alignment horizontal="center" vertical="top" wrapText="1"/>
    </xf>
    <xf numFmtId="0" fontId="9" fillId="0" borderId="1" xfId="0" applyFont="1" applyFill="1" applyBorder="1" applyAlignment="1">
      <alignment vertical="top" wrapText="1"/>
    </xf>
    <xf numFmtId="0" fontId="6" fillId="0" borderId="1" xfId="0" applyNumberFormat="1" applyFont="1" applyFill="1" applyBorder="1" applyAlignment="1">
      <alignment horizontal="right" vertical="top" wrapText="1"/>
    </xf>
    <xf numFmtId="164" fontId="6" fillId="0" borderId="1" xfId="7" applyNumberFormat="1" applyFont="1" applyFill="1" applyBorder="1" applyAlignment="1">
      <alignment horizontal="right" vertical="top" wrapText="1"/>
    </xf>
    <xf numFmtId="3" fontId="6" fillId="0" borderId="1" xfId="0" applyNumberFormat="1" applyFont="1" applyFill="1" applyBorder="1" applyAlignment="1">
      <alignment horizontal="right" vertical="top" wrapText="1"/>
    </xf>
    <xf numFmtId="0" fontId="6" fillId="0" borderId="1" xfId="0" applyFont="1" applyFill="1" applyBorder="1" applyAlignment="1">
      <alignment horizontal="right" vertical="top" wrapText="1"/>
    </xf>
    <xf numFmtId="164" fontId="6" fillId="0" borderId="1" xfId="0" applyNumberFormat="1" applyFont="1" applyFill="1" applyBorder="1" applyAlignment="1">
      <alignment horizontal="right" vertical="top" wrapText="1"/>
    </xf>
    <xf numFmtId="1" fontId="6" fillId="0" borderId="1" xfId="0" applyNumberFormat="1" applyFont="1" applyFill="1" applyBorder="1" applyAlignment="1">
      <alignment horizontal="right" vertical="top" wrapText="1"/>
    </xf>
    <xf numFmtId="43" fontId="6" fillId="0" borderId="1" xfId="7" applyFont="1" applyFill="1" applyBorder="1" applyAlignment="1">
      <alignment horizontal="right" vertical="top" wrapText="1"/>
    </xf>
    <xf numFmtId="41" fontId="6" fillId="4" borderId="1" xfId="0" applyNumberFormat="1" applyFont="1" applyFill="1" applyBorder="1" applyAlignment="1">
      <alignment horizontal="right" vertical="top" wrapText="1"/>
    </xf>
    <xf numFmtId="164" fontId="6" fillId="4" borderId="1" xfId="7" applyNumberFormat="1" applyFont="1" applyFill="1" applyBorder="1" applyAlignment="1">
      <alignment vertical="top" wrapText="1"/>
    </xf>
    <xf numFmtId="0" fontId="6" fillId="4" borderId="1" xfId="7" applyNumberFormat="1" applyFont="1" applyFill="1" applyBorder="1" applyAlignment="1">
      <alignment horizontal="right" vertical="top" wrapText="1"/>
    </xf>
    <xf numFmtId="0" fontId="9" fillId="4" borderId="1" xfId="0" applyFont="1" applyFill="1" applyBorder="1" applyAlignment="1">
      <alignment horizontal="left" vertical="top" wrapText="1"/>
    </xf>
    <xf numFmtId="0" fontId="11" fillId="4" borderId="1" xfId="0" applyFont="1" applyFill="1" applyBorder="1" applyAlignment="1">
      <alignment horizontal="right" vertical="top" wrapText="1"/>
    </xf>
    <xf numFmtId="164" fontId="11" fillId="4" borderId="1" xfId="7" applyNumberFormat="1" applyFont="1" applyFill="1" applyBorder="1" applyAlignment="1">
      <alignment horizontal="right" vertical="top" wrapText="1"/>
    </xf>
    <xf numFmtId="2" fontId="6" fillId="4" borderId="1" xfId="0" applyNumberFormat="1" applyFont="1" applyFill="1" applyBorder="1" applyAlignment="1">
      <alignment horizontal="right" vertical="top" wrapText="1"/>
    </xf>
    <xf numFmtId="43" fontId="5" fillId="4" borderId="1" xfId="7" applyFont="1" applyFill="1" applyBorder="1" applyAlignment="1">
      <alignment horizontal="right" vertical="top" wrapText="1"/>
    </xf>
    <xf numFmtId="0" fontId="9" fillId="4" borderId="1" xfId="0" applyNumberFormat="1" applyFont="1" applyFill="1" applyBorder="1" applyAlignment="1">
      <alignment horizontal="right" vertical="top" wrapText="1"/>
    </xf>
    <xf numFmtId="164" fontId="9" fillId="4" borderId="1" xfId="7" applyNumberFormat="1" applyFont="1" applyFill="1" applyBorder="1" applyAlignment="1">
      <alignment horizontal="right" vertical="top" wrapText="1"/>
    </xf>
    <xf numFmtId="189" fontId="6" fillId="4" borderId="1" xfId="0" applyNumberFormat="1" applyFont="1" applyFill="1" applyBorder="1" applyAlignment="1">
      <alignment horizontal="right" vertical="top" wrapText="1"/>
    </xf>
    <xf numFmtId="0" fontId="9" fillId="4" borderId="1" xfId="0" applyFont="1" applyFill="1" applyBorder="1" applyAlignment="1">
      <alignment horizontal="right" vertical="top" wrapText="1"/>
    </xf>
    <xf numFmtId="2" fontId="6" fillId="4" borderId="1" xfId="0" applyNumberFormat="1" applyFont="1" applyFill="1" applyBorder="1" applyAlignment="1">
      <alignment vertical="top" wrapText="1"/>
    </xf>
    <xf numFmtId="0" fontId="6" fillId="4" borderId="1" xfId="0" applyFont="1" applyFill="1" applyBorder="1" applyAlignment="1">
      <alignment horizontal="left" vertical="top" wrapText="1"/>
    </xf>
    <xf numFmtId="41" fontId="6" fillId="4" borderId="1" xfId="2" applyFont="1" applyFill="1" applyBorder="1" applyAlignment="1">
      <alignment horizontal="right" vertical="top" wrapText="1"/>
    </xf>
    <xf numFmtId="9" fontId="6" fillId="4" borderId="1" xfId="0" applyNumberFormat="1" applyFont="1" applyFill="1" applyBorder="1" applyAlignment="1">
      <alignment horizontal="right" vertical="top" wrapText="1"/>
    </xf>
    <xf numFmtId="9" fontId="6" fillId="4" borderId="1" xfId="3" applyFont="1" applyFill="1" applyBorder="1" applyAlignment="1">
      <alignment horizontal="right" vertical="top" wrapText="1"/>
    </xf>
    <xf numFmtId="9" fontId="6" fillId="4" borderId="1" xfId="3" applyNumberFormat="1" applyFont="1" applyFill="1" applyBorder="1" applyAlignment="1">
      <alignment horizontal="right" vertical="top" wrapText="1"/>
    </xf>
    <xf numFmtId="190" fontId="6" fillId="4" borderId="1" xfId="0" applyNumberFormat="1" applyFont="1" applyFill="1" applyBorder="1" applyAlignment="1">
      <alignment horizontal="right" vertical="top" wrapText="1"/>
    </xf>
    <xf numFmtId="0" fontId="6" fillId="4"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6" fillId="9" borderId="1" xfId="0" applyFont="1" applyFill="1" applyBorder="1" applyAlignment="1">
      <alignment horizontal="center" vertical="top" wrapText="1"/>
    </xf>
    <xf numFmtId="0" fontId="10" fillId="9" borderId="1" xfId="0" applyFont="1" applyFill="1" applyBorder="1" applyAlignment="1">
      <alignment vertical="top" wrapText="1"/>
    </xf>
    <xf numFmtId="0" fontId="5" fillId="9" borderId="1" xfId="0" applyNumberFormat="1" applyFont="1" applyFill="1" applyBorder="1" applyAlignment="1">
      <alignment horizontal="right" vertical="top" wrapText="1"/>
    </xf>
    <xf numFmtId="164" fontId="5" fillId="9" borderId="1" xfId="7" applyNumberFormat="1" applyFont="1" applyFill="1" applyBorder="1" applyAlignment="1">
      <alignment horizontal="right" vertical="top" wrapText="1"/>
    </xf>
    <xf numFmtId="3" fontId="5" fillId="9" borderId="1" xfId="0" applyNumberFormat="1" applyFont="1" applyFill="1" applyBorder="1" applyAlignment="1">
      <alignment horizontal="right" vertical="top" wrapText="1"/>
    </xf>
    <xf numFmtId="1" fontId="5" fillId="9" borderId="1" xfId="0" applyNumberFormat="1" applyFont="1" applyFill="1" applyBorder="1" applyAlignment="1">
      <alignment vertical="top" wrapText="1"/>
    </xf>
    <xf numFmtId="3" fontId="5" fillId="9" borderId="1" xfId="0" applyNumberFormat="1" applyFont="1" applyFill="1" applyBorder="1" applyAlignment="1">
      <alignment vertical="top" wrapText="1"/>
    </xf>
    <xf numFmtId="1" fontId="5" fillId="9" borderId="1" xfId="0" applyNumberFormat="1" applyFont="1" applyFill="1" applyBorder="1" applyAlignment="1">
      <alignment horizontal="right" vertical="top" wrapText="1"/>
    </xf>
    <xf numFmtId="43" fontId="5" fillId="9" borderId="1" xfId="7" applyNumberFormat="1" applyFont="1" applyFill="1" applyBorder="1" applyAlignment="1">
      <alignment horizontal="right" vertical="top" wrapText="1"/>
    </xf>
    <xf numFmtId="0" fontId="10" fillId="9" borderId="1" xfId="0" applyFont="1" applyFill="1" applyBorder="1" applyAlignment="1">
      <alignment horizontal="left" vertical="top" wrapText="1"/>
    </xf>
    <xf numFmtId="170" fontId="5" fillId="9" borderId="1" xfId="0" applyNumberFormat="1" applyFont="1" applyFill="1" applyBorder="1" applyAlignment="1">
      <alignment horizontal="right" vertical="top" wrapText="1"/>
    </xf>
    <xf numFmtId="41" fontId="5" fillId="9" borderId="1" xfId="0" applyNumberFormat="1" applyFont="1" applyFill="1" applyBorder="1" applyAlignment="1">
      <alignment vertical="top" wrapText="1"/>
    </xf>
    <xf numFmtId="43" fontId="5" fillId="9" borderId="1" xfId="7" applyFont="1" applyFill="1" applyBorder="1" applyAlignment="1">
      <alignment horizontal="right" vertical="top" wrapText="1"/>
    </xf>
    <xf numFmtId="0" fontId="4" fillId="9" borderId="1" xfId="0" applyFont="1" applyFill="1" applyBorder="1" applyAlignment="1">
      <alignment horizontal="right" vertical="top" wrapText="1"/>
    </xf>
    <xf numFmtId="164" fontId="4" fillId="9" borderId="1" xfId="0" applyNumberFormat="1" applyFont="1" applyFill="1" applyBorder="1" applyAlignment="1">
      <alignment horizontal="right" vertical="top" wrapText="1"/>
    </xf>
    <xf numFmtId="2" fontId="5" fillId="9" borderId="1" xfId="0" applyNumberFormat="1" applyFont="1" applyFill="1" applyBorder="1" applyAlignment="1">
      <alignment horizontal="right" vertical="top" wrapText="1"/>
    </xf>
    <xf numFmtId="0" fontId="4" fillId="9" borderId="1" xfId="0" applyNumberFormat="1" applyFont="1" applyFill="1" applyBorder="1" applyAlignment="1">
      <alignment horizontal="right" vertical="top" wrapText="1"/>
    </xf>
    <xf numFmtId="164" fontId="10" fillId="9" borderId="1" xfId="7" applyNumberFormat="1" applyFont="1" applyFill="1" applyBorder="1" applyAlignment="1">
      <alignment horizontal="right" vertical="top" wrapText="1"/>
    </xf>
    <xf numFmtId="2" fontId="5" fillId="9" borderId="1" xfId="0" applyNumberFormat="1" applyFont="1" applyFill="1" applyBorder="1" applyAlignment="1">
      <alignment vertical="top" wrapText="1"/>
    </xf>
    <xf numFmtId="164" fontId="6" fillId="9" borderId="1" xfId="7" applyNumberFormat="1" applyFont="1" applyFill="1" applyBorder="1" applyAlignment="1">
      <alignment horizontal="right" vertical="top" wrapText="1"/>
    </xf>
    <xf numFmtId="0" fontId="6" fillId="9" borderId="1" xfId="0" applyFont="1" applyFill="1" applyBorder="1" applyAlignment="1">
      <alignment horizontal="right" vertical="top" wrapText="1"/>
    </xf>
    <xf numFmtId="0" fontId="6" fillId="9" borderId="1" xfId="0" applyNumberFormat="1" applyFont="1" applyFill="1" applyBorder="1" applyAlignment="1">
      <alignment horizontal="right" vertical="top" wrapText="1"/>
    </xf>
    <xf numFmtId="164" fontId="5" fillId="9" borderId="1" xfId="7" applyNumberFormat="1" applyFont="1" applyFill="1" applyBorder="1" applyAlignment="1">
      <alignment vertical="top" wrapText="1"/>
    </xf>
    <xf numFmtId="0" fontId="10" fillId="9" borderId="1" xfId="0" applyFont="1" applyFill="1" applyBorder="1" applyAlignment="1">
      <alignment horizontal="right" vertical="top" wrapText="1"/>
    </xf>
    <xf numFmtId="164" fontId="10" fillId="9" borderId="1" xfId="0" applyNumberFormat="1" applyFont="1" applyFill="1" applyBorder="1" applyAlignment="1">
      <alignment horizontal="right" vertical="top" wrapText="1"/>
    </xf>
    <xf numFmtId="0" fontId="6" fillId="9" borderId="1" xfId="0" applyFont="1" applyFill="1" applyBorder="1" applyAlignment="1">
      <alignment vertical="top" wrapText="1"/>
    </xf>
    <xf numFmtId="41" fontId="5" fillId="9" borderId="1" xfId="2" applyFont="1" applyFill="1" applyBorder="1" applyAlignment="1">
      <alignment vertical="top" wrapText="1"/>
    </xf>
    <xf numFmtId="41" fontId="5" fillId="9" borderId="1" xfId="0" applyNumberFormat="1" applyFont="1" applyFill="1" applyBorder="1" applyAlignment="1">
      <alignment horizontal="right" vertical="top" wrapText="1"/>
    </xf>
    <xf numFmtId="0" fontId="5" fillId="9" borderId="1" xfId="0" applyFont="1" applyFill="1" applyBorder="1" applyAlignment="1">
      <alignment horizontal="center" vertical="top" wrapText="1"/>
    </xf>
    <xf numFmtId="10" fontId="5" fillId="9" borderId="1" xfId="3" applyNumberFormat="1" applyFont="1" applyFill="1" applyBorder="1" applyAlignment="1">
      <alignment horizontal="right" vertical="top" wrapText="1"/>
    </xf>
    <xf numFmtId="164" fontId="5" fillId="9" borderId="1" xfId="0" applyNumberFormat="1" applyFont="1" applyFill="1" applyBorder="1" applyAlignment="1">
      <alignment horizontal="left" vertical="top" wrapText="1"/>
    </xf>
    <xf numFmtId="0" fontId="11" fillId="0" borderId="4" xfId="5" applyFont="1" applyFill="1" applyBorder="1" applyAlignment="1">
      <alignment vertical="top" wrapText="1"/>
    </xf>
    <xf numFmtId="0" fontId="11" fillId="0" borderId="7" xfId="5" applyFont="1" applyFill="1" applyBorder="1" applyAlignment="1">
      <alignment vertical="top" wrapText="1"/>
    </xf>
    <xf numFmtId="0" fontId="11" fillId="0" borderId="1" xfId="5" applyFont="1" applyFill="1" applyBorder="1" applyAlignment="1">
      <alignment vertical="top" wrapText="1"/>
    </xf>
    <xf numFmtId="0" fontId="11" fillId="0" borderId="11" xfId="5" applyFont="1" applyFill="1" applyBorder="1" applyAlignment="1">
      <alignment vertical="top" wrapText="1"/>
    </xf>
    <xf numFmtId="0" fontId="4" fillId="9" borderId="1" xfId="5" applyFont="1" applyFill="1" applyBorder="1" applyAlignment="1">
      <alignment horizontal="left" vertical="top" wrapText="1"/>
    </xf>
    <xf numFmtId="0" fontId="4" fillId="9" borderId="1" xfId="5" applyFont="1" applyFill="1" applyBorder="1" applyAlignment="1">
      <alignment vertical="top" wrapText="1"/>
    </xf>
    <xf numFmtId="0" fontId="4" fillId="9" borderId="11" xfId="5" applyFont="1" applyFill="1" applyBorder="1" applyAlignment="1">
      <alignment vertical="top" wrapText="1"/>
    </xf>
    <xf numFmtId="41" fontId="11" fillId="0" borderId="2" xfId="5" applyNumberFormat="1" applyFont="1" applyBorder="1" applyAlignment="1">
      <alignment vertical="top" wrapText="1"/>
    </xf>
    <xf numFmtId="41" fontId="11" fillId="0" borderId="3" xfId="4" applyFont="1" applyBorder="1" applyAlignment="1">
      <alignment vertical="top" wrapText="1"/>
    </xf>
    <xf numFmtId="41" fontId="11" fillId="0" borderId="4" xfId="4" applyFont="1" applyBorder="1" applyAlignment="1">
      <alignment vertical="top" wrapText="1"/>
    </xf>
    <xf numFmtId="0" fontId="11" fillId="0" borderId="1" xfId="5" applyFont="1" applyBorder="1" applyAlignment="1">
      <alignment vertical="top" wrapText="1"/>
    </xf>
    <xf numFmtId="0" fontId="11" fillId="0" borderId="11" xfId="5" applyFont="1" applyBorder="1" applyAlignment="1">
      <alignment vertical="top" wrapText="1"/>
    </xf>
    <xf numFmtId="3" fontId="11" fillId="0" borderId="1" xfId="5" applyNumberFormat="1" applyFont="1" applyBorder="1" applyAlignment="1">
      <alignment vertical="top" wrapText="1"/>
    </xf>
    <xf numFmtId="41" fontId="11" fillId="0" borderId="1" xfId="4" applyFont="1" applyBorder="1" applyAlignment="1">
      <alignment vertical="top" wrapText="1"/>
    </xf>
    <xf numFmtId="41" fontId="11" fillId="0" borderId="1" xfId="4" applyFont="1" applyBorder="1" applyAlignment="1">
      <alignment horizontal="center" vertical="top" wrapText="1"/>
    </xf>
    <xf numFmtId="39" fontId="11" fillId="0" borderId="1" xfId="4" applyNumberFormat="1" applyFont="1" applyBorder="1" applyAlignment="1">
      <alignment horizontal="center" vertical="top" wrapText="1"/>
    </xf>
    <xf numFmtId="41" fontId="11" fillId="0" borderId="1" xfId="5" applyNumberFormat="1" applyFont="1" applyBorder="1" applyAlignment="1">
      <alignment vertical="top" wrapText="1"/>
    </xf>
    <xf numFmtId="41" fontId="11" fillId="0" borderId="4" xfId="4" applyNumberFormat="1" applyFont="1" applyBorder="1" applyAlignment="1">
      <alignment vertical="top" wrapText="1"/>
    </xf>
    <xf numFmtId="0" fontId="11" fillId="0" borderId="4" xfId="5" applyFont="1" applyBorder="1" applyAlignment="1">
      <alignment horizontal="left" vertical="top" wrapText="1"/>
    </xf>
    <xf numFmtId="0" fontId="11" fillId="0" borderId="2" xfId="5" applyFont="1" applyBorder="1" applyAlignment="1">
      <alignment horizontal="center" vertical="center" wrapText="1"/>
    </xf>
    <xf numFmtId="0" fontId="11" fillId="0" borderId="3" xfId="5" applyFont="1" applyBorder="1" applyAlignment="1">
      <alignment horizontal="center" vertical="center" wrapText="1"/>
    </xf>
    <xf numFmtId="0" fontId="11" fillId="0" borderId="4" xfId="5" applyFont="1" applyBorder="1" applyAlignment="1">
      <alignment horizontal="center" vertical="center" wrapText="1"/>
    </xf>
    <xf numFmtId="0" fontId="4" fillId="9" borderId="22" xfId="0" applyFont="1" applyFill="1" applyBorder="1" applyAlignment="1">
      <alignment vertical="top" wrapText="1"/>
    </xf>
    <xf numFmtId="0" fontId="4" fillId="9" borderId="22" xfId="0" applyFont="1" applyFill="1" applyBorder="1" applyAlignment="1">
      <alignment horizontal="left" vertical="top" wrapText="1"/>
    </xf>
    <xf numFmtId="0" fontId="4" fillId="9" borderId="22" xfId="0" applyNumberFormat="1" applyFont="1" applyFill="1" applyBorder="1" applyAlignment="1">
      <alignment horizontal="center" vertical="top" wrapText="1"/>
    </xf>
    <xf numFmtId="164" fontId="4" fillId="9" borderId="22" xfId="0" applyNumberFormat="1" applyFont="1" applyFill="1" applyBorder="1" applyAlignment="1">
      <alignment vertical="top" wrapText="1"/>
    </xf>
    <xf numFmtId="41" fontId="4" fillId="9" borderId="22" xfId="0" applyNumberFormat="1" applyFont="1" applyFill="1" applyBorder="1" applyAlignment="1">
      <alignment vertical="top" wrapText="1"/>
    </xf>
    <xf numFmtId="10" fontId="4" fillId="9" borderId="22" xfId="0" applyNumberFormat="1" applyFont="1" applyFill="1" applyBorder="1" applyAlignment="1">
      <alignment horizontal="center" vertical="top" wrapText="1"/>
    </xf>
    <xf numFmtId="164" fontId="4" fillId="9" borderId="22" xfId="1" applyNumberFormat="1" applyFont="1" applyFill="1" applyBorder="1" applyAlignment="1">
      <alignment vertical="top" wrapText="1"/>
    </xf>
    <xf numFmtId="0" fontId="4" fillId="9" borderId="22" xfId="0" applyNumberFormat="1" applyFont="1" applyFill="1" applyBorder="1" applyAlignment="1">
      <alignment vertical="top" wrapText="1"/>
    </xf>
    <xf numFmtId="0" fontId="4" fillId="9" borderId="22" xfId="0" applyFont="1" applyFill="1" applyBorder="1" applyAlignment="1">
      <alignment horizontal="center" vertical="top" wrapText="1"/>
    </xf>
    <xf numFmtId="2" fontId="4" fillId="9" borderId="22" xfId="0" applyNumberFormat="1" applyFont="1" applyFill="1" applyBorder="1" applyAlignment="1">
      <alignment horizontal="center" vertical="top" wrapText="1"/>
    </xf>
    <xf numFmtId="176" fontId="4" fillId="9" borderId="22" xfId="0" applyNumberFormat="1" applyFont="1" applyFill="1" applyBorder="1" applyAlignment="1">
      <alignment horizontal="center" vertical="top" wrapText="1"/>
    </xf>
    <xf numFmtId="0" fontId="4" fillId="9" borderId="22" xfId="5" applyFont="1" applyFill="1" applyBorder="1" applyAlignment="1">
      <alignment horizontal="left" vertical="top" wrapText="1"/>
    </xf>
    <xf numFmtId="0" fontId="6" fillId="8" borderId="10" xfId="0" applyFont="1" applyFill="1" applyBorder="1" applyAlignment="1">
      <alignment horizontal="center" vertical="center" wrapText="1"/>
    </xf>
    <xf numFmtId="0" fontId="6" fillId="0" borderId="10" xfId="0" applyFont="1" applyBorder="1" applyAlignment="1">
      <alignment vertical="top" wrapText="1"/>
    </xf>
    <xf numFmtId="0" fontId="5" fillId="0" borderId="0" xfId="0" applyFont="1" applyFill="1" applyBorder="1" applyAlignment="1">
      <alignment vertical="center" wrapText="1"/>
    </xf>
    <xf numFmtId="0" fontId="5" fillId="0" borderId="0" xfId="0" applyFont="1" applyFill="1" applyBorder="1" applyAlignment="1">
      <alignment vertical="top" wrapText="1"/>
    </xf>
    <xf numFmtId="41" fontId="6" fillId="4" borderId="1" xfId="0" applyNumberFormat="1" applyFont="1" applyFill="1" applyBorder="1" applyAlignment="1">
      <alignment vertical="top" wrapText="1"/>
    </xf>
    <xf numFmtId="41" fontId="11" fillId="4" borderId="1" xfId="2" applyFont="1" applyFill="1" applyBorder="1" applyAlignment="1">
      <alignment horizontal="right" vertical="top" wrapText="1"/>
    </xf>
    <xf numFmtId="41" fontId="6" fillId="0" borderId="1" xfId="0" applyNumberFormat="1" applyFont="1" applyFill="1" applyBorder="1" applyAlignment="1">
      <alignment horizontal="right" vertical="top" wrapText="1"/>
    </xf>
    <xf numFmtId="41" fontId="11" fillId="4" borderId="1" xfId="2" applyNumberFormat="1" applyFont="1" applyFill="1" applyBorder="1" applyAlignment="1">
      <alignment vertical="top" wrapText="1"/>
    </xf>
    <xf numFmtId="164" fontId="6" fillId="4" borderId="1" xfId="1" applyNumberFormat="1" applyFont="1" applyFill="1" applyBorder="1" applyAlignment="1">
      <alignment vertical="top" wrapText="1"/>
    </xf>
    <xf numFmtId="41" fontId="11" fillId="0" borderId="1" xfId="2" applyFont="1" applyFill="1" applyBorder="1" applyAlignment="1">
      <alignment horizontal="right" vertical="top" wrapText="1"/>
    </xf>
    <xf numFmtId="172" fontId="11" fillId="4" borderId="1" xfId="2" applyNumberFormat="1" applyFont="1" applyFill="1" applyBorder="1" applyAlignment="1">
      <alignment vertical="top" wrapText="1"/>
    </xf>
    <xf numFmtId="41" fontId="11" fillId="4" borderId="1" xfId="0" applyNumberFormat="1" applyFont="1" applyFill="1" applyBorder="1" applyAlignment="1">
      <alignment vertical="top" wrapText="1"/>
    </xf>
    <xf numFmtId="41" fontId="12" fillId="4" borderId="1" xfId="0" applyNumberFormat="1" applyFont="1" applyFill="1" applyBorder="1" applyAlignment="1">
      <alignment vertical="top" wrapText="1"/>
    </xf>
    <xf numFmtId="0" fontId="11" fillId="4" borderId="1" xfId="0" applyNumberFormat="1" applyFont="1" applyFill="1" applyBorder="1" applyAlignment="1">
      <alignment vertical="top" wrapText="1"/>
    </xf>
    <xf numFmtId="0" fontId="5" fillId="4" borderId="1" xfId="0" applyFont="1" applyFill="1" applyBorder="1" applyAlignment="1">
      <alignment horizontal="right" vertical="top" wrapText="1"/>
    </xf>
    <xf numFmtId="41" fontId="5" fillId="4" borderId="1" xfId="2" applyFont="1" applyFill="1" applyBorder="1" applyAlignment="1">
      <alignment horizontal="right" vertical="top" wrapText="1"/>
    </xf>
    <xf numFmtId="41" fontId="5" fillId="4" borderId="1" xfId="2" applyFont="1" applyFill="1" applyBorder="1" applyAlignment="1">
      <alignment vertical="top" wrapText="1"/>
    </xf>
    <xf numFmtId="1" fontId="11" fillId="4" borderId="1" xfId="0" applyNumberFormat="1" applyFont="1" applyFill="1" applyBorder="1" applyAlignment="1">
      <alignment horizontal="right" vertical="top" wrapText="1"/>
    </xf>
    <xf numFmtId="9" fontId="6" fillId="4" borderId="1" xfId="0" quotePrefix="1" applyNumberFormat="1" applyFont="1" applyFill="1" applyBorder="1" applyAlignment="1">
      <alignment horizontal="right" vertical="top" wrapText="1"/>
    </xf>
    <xf numFmtId="9" fontId="11" fillId="4" borderId="1" xfId="0" quotePrefix="1" applyNumberFormat="1" applyFont="1" applyFill="1" applyBorder="1" applyAlignment="1">
      <alignment horizontal="right" vertical="top" wrapText="1"/>
    </xf>
    <xf numFmtId="164" fontId="5" fillId="4" borderId="1" xfId="1" applyNumberFormat="1" applyFont="1" applyFill="1" applyBorder="1" applyAlignment="1">
      <alignment vertical="top" wrapText="1"/>
    </xf>
    <xf numFmtId="0" fontId="6" fillId="4" borderId="1" xfId="0" quotePrefix="1" applyFont="1" applyFill="1" applyBorder="1" applyAlignment="1">
      <alignment horizontal="right" vertical="top" wrapText="1"/>
    </xf>
    <xf numFmtId="0" fontId="5" fillId="11" borderId="1" xfId="0" applyFont="1" applyFill="1" applyBorder="1" applyAlignment="1">
      <alignment vertical="top" wrapText="1"/>
    </xf>
    <xf numFmtId="41" fontId="4" fillId="9" borderId="1" xfId="2" applyFont="1" applyFill="1" applyBorder="1" applyAlignment="1">
      <alignment vertical="top" wrapText="1"/>
    </xf>
    <xf numFmtId="41" fontId="4" fillId="9" borderId="1" xfId="2" applyFont="1" applyFill="1" applyBorder="1" applyAlignment="1">
      <alignment horizontal="right" vertical="top" wrapText="1"/>
    </xf>
    <xf numFmtId="164" fontId="5" fillId="9" borderId="1" xfId="1" applyNumberFormat="1" applyFont="1" applyFill="1" applyBorder="1" applyAlignment="1">
      <alignment vertical="top" wrapText="1"/>
    </xf>
    <xf numFmtId="0" fontId="11" fillId="9" borderId="1" xfId="0" applyFont="1" applyFill="1" applyBorder="1" applyAlignment="1">
      <alignment horizontal="right" vertical="top" wrapText="1"/>
    </xf>
    <xf numFmtId="41" fontId="11" fillId="9" borderId="1" xfId="2" applyFont="1" applyFill="1" applyBorder="1" applyAlignment="1">
      <alignment horizontal="right" vertical="top" wrapText="1"/>
    </xf>
    <xf numFmtId="41" fontId="6" fillId="9" borderId="1" xfId="2" applyFont="1" applyFill="1" applyBorder="1" applyAlignment="1">
      <alignment horizontal="right" vertical="top" wrapText="1"/>
    </xf>
    <xf numFmtId="41" fontId="6" fillId="9" borderId="1" xfId="2" applyFont="1" applyFill="1" applyBorder="1" applyAlignment="1">
      <alignment vertical="top" wrapText="1"/>
    </xf>
    <xf numFmtId="41" fontId="12" fillId="9" borderId="1" xfId="0" applyNumberFormat="1" applyFont="1" applyFill="1" applyBorder="1" applyAlignment="1">
      <alignment vertical="top" wrapText="1"/>
    </xf>
    <xf numFmtId="164" fontId="6" fillId="9" borderId="1" xfId="1" applyNumberFormat="1" applyFont="1" applyFill="1" applyBorder="1" applyAlignment="1">
      <alignment vertical="top" wrapText="1"/>
    </xf>
    <xf numFmtId="41" fontId="5" fillId="9" borderId="1" xfId="2" applyFont="1" applyFill="1" applyBorder="1" applyAlignment="1">
      <alignment horizontal="right" vertical="top" wrapText="1"/>
    </xf>
    <xf numFmtId="41" fontId="4" fillId="9" borderId="1" xfId="2" applyNumberFormat="1" applyFont="1" applyFill="1" applyBorder="1" applyAlignment="1">
      <alignment vertical="top" wrapText="1"/>
    </xf>
    <xf numFmtId="41" fontId="11" fillId="4" borderId="1" xfId="2" applyFont="1" applyFill="1" applyBorder="1" applyAlignment="1">
      <alignment vertical="top" wrapText="1"/>
    </xf>
    <xf numFmtId="41" fontId="6" fillId="4" borderId="1" xfId="2" applyNumberFormat="1" applyFont="1" applyFill="1" applyBorder="1" applyAlignment="1">
      <alignment vertical="top" wrapText="1"/>
    </xf>
    <xf numFmtId="0" fontId="5" fillId="11" borderId="1" xfId="0" applyFont="1" applyFill="1" applyBorder="1" applyAlignment="1">
      <alignment horizontal="center" vertical="top" wrapText="1"/>
    </xf>
    <xf numFmtId="0" fontId="5" fillId="0" borderId="1" xfId="0" applyFont="1" applyFill="1" applyBorder="1" applyAlignment="1">
      <alignment vertical="top" wrapText="1"/>
    </xf>
    <xf numFmtId="41" fontId="4" fillId="0" borderId="1" xfId="2" applyFont="1" applyFill="1" applyBorder="1" applyAlignment="1">
      <alignment horizontal="right" vertical="top" wrapText="1"/>
    </xf>
    <xf numFmtId="41" fontId="5" fillId="0" borderId="1" xfId="2" applyFont="1" applyFill="1" applyBorder="1" applyAlignment="1">
      <alignment horizontal="right" vertical="top" wrapText="1"/>
    </xf>
    <xf numFmtId="41" fontId="6" fillId="0" borderId="1" xfId="2" applyFont="1" applyFill="1" applyBorder="1" applyAlignment="1">
      <alignment horizontal="right" vertical="top" wrapText="1"/>
    </xf>
    <xf numFmtId="0" fontId="6" fillId="0" borderId="1" xfId="0" applyFont="1" applyBorder="1" applyAlignment="1">
      <alignment horizontal="center" vertical="top" wrapText="1"/>
    </xf>
    <xf numFmtId="0" fontId="9" fillId="0" borderId="1" xfId="0" applyFont="1" applyBorder="1" applyAlignment="1">
      <alignment horizontal="left" vertical="top" wrapText="1"/>
    </xf>
    <xf numFmtId="0" fontId="8" fillId="0" borderId="1" xfId="5" applyNumberFormat="1" applyFont="1" applyFill="1" applyBorder="1" applyAlignment="1">
      <alignment horizontal="justify" vertical="top" wrapText="1"/>
    </xf>
    <xf numFmtId="0" fontId="11" fillId="0" borderId="1" xfId="0" applyFont="1" applyBorder="1" applyAlignment="1">
      <alignment horizontal="right" vertical="top" wrapText="1"/>
    </xf>
    <xf numFmtId="41" fontId="11" fillId="0" borderId="1" xfId="2" applyFont="1" applyBorder="1" applyAlignment="1">
      <alignment horizontal="right" vertical="top" wrapText="1"/>
    </xf>
    <xf numFmtId="41" fontId="6" fillId="0" borderId="1" xfId="2" applyNumberFormat="1" applyFont="1" applyBorder="1" applyAlignment="1">
      <alignment horizontal="right" vertical="top" wrapText="1"/>
    </xf>
    <xf numFmtId="41" fontId="9" fillId="0" borderId="1" xfId="2" applyFont="1" applyBorder="1" applyAlignment="1">
      <alignment horizontal="center" vertical="top" wrapText="1"/>
    </xf>
    <xf numFmtId="164" fontId="9" fillId="0" borderId="1" xfId="1" applyNumberFormat="1" applyFont="1" applyBorder="1" applyAlignment="1">
      <alignment horizontal="center" vertical="top" wrapText="1"/>
    </xf>
    <xf numFmtId="41" fontId="9" fillId="0" borderId="1" xfId="2" applyNumberFormat="1" applyFont="1" applyBorder="1" applyAlignment="1">
      <alignment horizontal="right" vertical="top" wrapText="1"/>
    </xf>
    <xf numFmtId="166" fontId="6" fillId="0" borderId="1" xfId="2" applyNumberFormat="1" applyFont="1" applyBorder="1" applyAlignment="1">
      <alignment horizontal="right" vertical="top" wrapText="1"/>
    </xf>
    <xf numFmtId="166" fontId="11" fillId="0" borderId="1" xfId="2" applyNumberFormat="1" applyFont="1" applyBorder="1" applyAlignment="1">
      <alignment horizontal="right" vertical="top" wrapText="1"/>
    </xf>
    <xf numFmtId="0" fontId="9" fillId="0" borderId="1" xfId="0" applyFont="1" applyBorder="1" applyAlignment="1">
      <alignment vertical="top" wrapText="1"/>
    </xf>
    <xf numFmtId="0" fontId="6" fillId="0" borderId="1" xfId="5" applyFont="1" applyFill="1" applyBorder="1" applyAlignment="1">
      <alignment vertical="top" wrapText="1"/>
    </xf>
    <xf numFmtId="41" fontId="6" fillId="4" borderId="1" xfId="0" quotePrefix="1" applyNumberFormat="1" applyFont="1" applyFill="1" applyBorder="1" applyAlignment="1">
      <alignment horizontal="right" vertical="top" wrapText="1"/>
    </xf>
    <xf numFmtId="41" fontId="6" fillId="0" borderId="1" xfId="2" quotePrefix="1" applyNumberFormat="1" applyFont="1" applyBorder="1" applyAlignment="1">
      <alignment horizontal="right" vertical="top" wrapText="1"/>
    </xf>
    <xf numFmtId="41" fontId="6" fillId="0" borderId="1" xfId="2" quotePrefix="1" applyFont="1" applyBorder="1" applyAlignment="1">
      <alignment vertical="top" wrapText="1"/>
    </xf>
    <xf numFmtId="41" fontId="9" fillId="0" borderId="1" xfId="2" quotePrefix="1" applyFont="1" applyBorder="1" applyAlignment="1">
      <alignment horizontal="center" vertical="top" wrapText="1"/>
    </xf>
    <xf numFmtId="166" fontId="11" fillId="0" borderId="1" xfId="2" quotePrefix="1" applyNumberFormat="1" applyFont="1" applyBorder="1" applyAlignment="1">
      <alignment horizontal="right" vertical="top" wrapText="1"/>
    </xf>
    <xf numFmtId="41" fontId="11" fillId="0" borderId="1" xfId="2" quotePrefix="1" applyFont="1" applyBorder="1" applyAlignment="1">
      <alignment horizontal="right" vertical="top" wrapText="1"/>
    </xf>
    <xf numFmtId="0" fontId="6" fillId="0" borderId="1" xfId="0" quotePrefix="1" applyFont="1" applyBorder="1" applyAlignment="1">
      <alignment vertical="top" wrapText="1"/>
    </xf>
    <xf numFmtId="165" fontId="9" fillId="0" borderId="1" xfId="2" applyNumberFormat="1" applyFont="1" applyBorder="1" applyAlignment="1">
      <alignment horizontal="center" vertical="top" wrapText="1"/>
    </xf>
    <xf numFmtId="165" fontId="6" fillId="0" borderId="1" xfId="2" applyNumberFormat="1" applyFont="1" applyBorder="1" applyAlignment="1">
      <alignment horizontal="center" vertical="top" wrapText="1"/>
    </xf>
    <xf numFmtId="41" fontId="6" fillId="0" borderId="1" xfId="2" applyFont="1" applyBorder="1" applyAlignment="1">
      <alignment horizontal="center" vertical="top" wrapText="1"/>
    </xf>
    <xf numFmtId="164" fontId="6" fillId="0" borderId="1" xfId="1" applyNumberFormat="1" applyFont="1" applyBorder="1" applyAlignment="1">
      <alignment horizontal="center" vertical="top" wrapText="1"/>
    </xf>
    <xf numFmtId="41" fontId="11" fillId="4" borderId="1" xfId="2" applyFont="1" applyFill="1" applyBorder="1" applyAlignment="1">
      <alignment horizontal="left" vertical="top" wrapText="1"/>
    </xf>
    <xf numFmtId="166" fontId="12" fillId="0" borderId="1" xfId="2" applyNumberFormat="1" applyFont="1" applyBorder="1" applyAlignment="1">
      <alignment horizontal="right" vertical="top" wrapText="1"/>
    </xf>
    <xf numFmtId="164" fontId="6" fillId="0" borderId="1" xfId="1" applyNumberFormat="1" applyFont="1" applyBorder="1" applyAlignment="1">
      <alignment vertical="top" wrapText="1"/>
    </xf>
    <xf numFmtId="166" fontId="6" fillId="0" borderId="1" xfId="2" applyNumberFormat="1" applyFont="1" applyBorder="1" applyAlignment="1">
      <alignment vertical="top" wrapText="1"/>
    </xf>
    <xf numFmtId="0" fontId="11" fillId="0" borderId="1" xfId="0" applyNumberFormat="1" applyFont="1" applyFill="1" applyBorder="1" applyAlignment="1">
      <alignment vertical="top" wrapText="1"/>
    </xf>
    <xf numFmtId="41" fontId="9" fillId="0" borderId="1" xfId="0" applyNumberFormat="1" applyFont="1" applyBorder="1" applyAlignment="1">
      <alignment vertical="top" wrapText="1"/>
    </xf>
    <xf numFmtId="41" fontId="9" fillId="0" borderId="1" xfId="0" applyNumberFormat="1" applyFont="1" applyBorder="1" applyAlignment="1">
      <alignment horizontal="center" vertical="top" wrapText="1"/>
    </xf>
    <xf numFmtId="0" fontId="11" fillId="0" borderId="1" xfId="2" applyNumberFormat="1" applyFont="1" applyFill="1" applyBorder="1" applyAlignment="1">
      <alignment vertical="top" wrapText="1"/>
    </xf>
    <xf numFmtId="41" fontId="11" fillId="0" borderId="1" xfId="0" applyNumberFormat="1" applyFont="1" applyBorder="1" applyAlignment="1">
      <alignment horizontal="right" vertical="top" wrapText="1"/>
    </xf>
    <xf numFmtId="41" fontId="11" fillId="0" borderId="1" xfId="2" applyFont="1" applyBorder="1" applyAlignment="1">
      <alignment vertical="top" wrapText="1"/>
    </xf>
    <xf numFmtId="41" fontId="12" fillId="0" borderId="1" xfId="2" applyFont="1" applyBorder="1" applyAlignment="1">
      <alignment vertical="top" wrapText="1"/>
    </xf>
    <xf numFmtId="172" fontId="11" fillId="0" borderId="1" xfId="2" applyNumberFormat="1" applyFont="1" applyBorder="1" applyAlignment="1">
      <alignment horizontal="right" vertical="top" wrapText="1"/>
    </xf>
    <xf numFmtId="41" fontId="6" fillId="4" borderId="1" xfId="2" applyFont="1" applyFill="1" applyBorder="1" applyAlignment="1">
      <alignment horizontal="left" vertical="top" wrapText="1"/>
    </xf>
    <xf numFmtId="165" fontId="11" fillId="0" borderId="1" xfId="2" applyNumberFormat="1" applyFont="1" applyBorder="1" applyAlignment="1">
      <alignment horizontal="center" vertical="top" wrapText="1"/>
    </xf>
    <xf numFmtId="164" fontId="11" fillId="0" borderId="1" xfId="1" applyNumberFormat="1" applyFont="1" applyBorder="1" applyAlignment="1">
      <alignment vertical="top" wrapText="1"/>
    </xf>
    <xf numFmtId="164" fontId="11" fillId="0" borderId="1" xfId="1" applyNumberFormat="1" applyFont="1" applyBorder="1" applyAlignment="1">
      <alignment horizontal="center" vertical="top" wrapText="1"/>
    </xf>
    <xf numFmtId="165" fontId="6" fillId="0" borderId="1" xfId="2" applyNumberFormat="1" applyFont="1" applyBorder="1" applyAlignment="1">
      <alignment vertical="top" wrapText="1"/>
    </xf>
    <xf numFmtId="0" fontId="11" fillId="0" borderId="1" xfId="0" applyFont="1" applyBorder="1" applyAlignment="1">
      <alignment vertical="top" wrapText="1"/>
    </xf>
    <xf numFmtId="41" fontId="4" fillId="9" borderId="1" xfId="0" applyNumberFormat="1" applyFont="1" applyFill="1" applyBorder="1" applyAlignment="1">
      <alignment horizontal="right" vertical="top" wrapText="1"/>
    </xf>
    <xf numFmtId="41" fontId="4" fillId="9" borderId="1" xfId="2" applyNumberFormat="1" applyFont="1" applyFill="1" applyBorder="1" applyAlignment="1">
      <alignment horizontal="right" vertical="top" wrapText="1"/>
    </xf>
    <xf numFmtId="41" fontId="4" fillId="9" borderId="1" xfId="2" applyFont="1" applyFill="1" applyBorder="1" applyAlignment="1">
      <alignment horizontal="center" vertical="top" wrapText="1"/>
    </xf>
    <xf numFmtId="166" fontId="4" fillId="9" borderId="1" xfId="2" applyNumberFormat="1" applyFont="1" applyFill="1" applyBorder="1" applyAlignment="1">
      <alignment horizontal="right" vertical="top" wrapText="1"/>
    </xf>
    <xf numFmtId="164" fontId="4" fillId="9" borderId="1" xfId="1" applyNumberFormat="1" applyFont="1" applyFill="1" applyBorder="1" applyAlignment="1">
      <alignment horizontal="center" vertical="top" wrapText="1"/>
    </xf>
    <xf numFmtId="0" fontId="4" fillId="9" borderId="1" xfId="0" applyFont="1" applyFill="1" applyBorder="1" applyAlignment="1">
      <alignment horizontal="center" vertical="top" wrapText="1"/>
    </xf>
    <xf numFmtId="0" fontId="4" fillId="11" borderId="1" xfId="0" applyFont="1" applyFill="1" applyBorder="1" applyAlignment="1">
      <alignment vertical="top" wrapText="1"/>
    </xf>
    <xf numFmtId="0" fontId="4" fillId="11" borderId="1" xfId="0" applyFont="1" applyFill="1" applyBorder="1" applyAlignment="1">
      <alignment horizontal="center" vertical="top" wrapText="1"/>
    </xf>
    <xf numFmtId="1" fontId="4" fillId="9" borderId="1" xfId="0" applyNumberFormat="1" applyFont="1" applyFill="1" applyBorder="1" applyAlignment="1">
      <alignment horizontal="right" vertical="top" wrapText="1"/>
    </xf>
    <xf numFmtId="41" fontId="9" fillId="9" borderId="1" xfId="2" applyNumberFormat="1" applyFont="1" applyFill="1" applyBorder="1" applyAlignment="1">
      <alignment horizontal="right" vertical="top" wrapText="1"/>
    </xf>
    <xf numFmtId="0" fontId="5" fillId="9" borderId="1" xfId="2" applyNumberFormat="1" applyFont="1" applyFill="1" applyBorder="1" applyAlignment="1">
      <alignment horizontal="right" vertical="top" wrapText="1"/>
    </xf>
    <xf numFmtId="166" fontId="5" fillId="9" borderId="1" xfId="2" applyNumberFormat="1" applyFont="1" applyFill="1" applyBorder="1" applyAlignment="1">
      <alignment horizontal="right" vertical="top" wrapText="1"/>
    </xf>
    <xf numFmtId="0" fontId="5" fillId="9" borderId="1" xfId="0" quotePrefix="1" applyFont="1" applyFill="1" applyBorder="1" applyAlignment="1">
      <alignment vertical="top" wrapText="1"/>
    </xf>
    <xf numFmtId="165" fontId="4" fillId="9" borderId="1" xfId="2" applyNumberFormat="1" applyFont="1" applyFill="1" applyBorder="1" applyAlignment="1">
      <alignment horizontal="center" vertical="top" wrapText="1"/>
    </xf>
    <xf numFmtId="166" fontId="4" fillId="9" borderId="1" xfId="2" applyNumberFormat="1" applyFont="1" applyFill="1" applyBorder="1" applyAlignment="1">
      <alignment horizontal="center" vertical="top" wrapText="1"/>
    </xf>
    <xf numFmtId="41" fontId="4" fillId="9" borderId="1" xfId="2" applyFont="1" applyFill="1" applyBorder="1" applyAlignment="1">
      <alignment horizontal="left" vertical="top" wrapText="1"/>
    </xf>
    <xf numFmtId="41" fontId="5" fillId="9" borderId="1" xfId="2" applyFont="1" applyFill="1" applyBorder="1" applyAlignment="1">
      <alignment horizontal="left" vertical="top" wrapText="1"/>
    </xf>
    <xf numFmtId="41" fontId="10" fillId="9" borderId="1" xfId="0" applyNumberFormat="1" applyFont="1" applyFill="1" applyBorder="1" applyAlignment="1">
      <alignment vertical="top" wrapText="1"/>
    </xf>
    <xf numFmtId="41" fontId="10" fillId="9" borderId="1" xfId="0" applyNumberFormat="1" applyFont="1" applyFill="1" applyBorder="1" applyAlignment="1">
      <alignment horizontal="center" vertical="top" wrapText="1"/>
    </xf>
    <xf numFmtId="172" fontId="4" fillId="9" borderId="1" xfId="2" applyNumberFormat="1" applyFont="1" applyFill="1" applyBorder="1" applyAlignment="1">
      <alignment horizontal="right" vertical="top" wrapText="1"/>
    </xf>
    <xf numFmtId="166" fontId="13" fillId="9" borderId="1" xfId="2" applyNumberFormat="1" applyFont="1" applyFill="1" applyBorder="1" applyAlignment="1">
      <alignment horizontal="right" vertical="top" wrapText="1"/>
    </xf>
    <xf numFmtId="41" fontId="10" fillId="9" borderId="1" xfId="2" applyFont="1" applyFill="1" applyBorder="1" applyAlignment="1">
      <alignment horizontal="center" vertical="top" wrapText="1"/>
    </xf>
    <xf numFmtId="0" fontId="5" fillId="9" borderId="1" xfId="0" quotePrefix="1" applyFont="1" applyFill="1" applyBorder="1" applyAlignment="1">
      <alignment horizontal="center" vertical="top" wrapText="1"/>
    </xf>
    <xf numFmtId="0" fontId="6" fillId="0" borderId="1" xfId="0" quotePrefix="1" applyFont="1" applyBorder="1" applyAlignment="1">
      <alignment horizontal="center" vertical="top" wrapText="1"/>
    </xf>
    <xf numFmtId="0" fontId="11" fillId="0" borderId="1" xfId="0" applyFont="1" applyBorder="1" applyAlignment="1">
      <alignment vertical="center" wrapText="1"/>
    </xf>
    <xf numFmtId="0" fontId="6" fillId="4" borderId="4" xfId="0" applyFont="1" applyFill="1" applyBorder="1" applyAlignment="1">
      <alignment vertical="center" wrapText="1"/>
    </xf>
    <xf numFmtId="0" fontId="6" fillId="0" borderId="1" xfId="0" applyFont="1" applyBorder="1" applyAlignment="1">
      <alignment vertical="center" wrapText="1"/>
    </xf>
    <xf numFmtId="0" fontId="9" fillId="0" borderId="1" xfId="0" applyFont="1" applyBorder="1" applyAlignment="1">
      <alignment horizontal="center" vertical="top" wrapText="1"/>
    </xf>
    <xf numFmtId="43" fontId="6" fillId="0" borderId="31" xfId="0" applyNumberFormat="1" applyFont="1" applyBorder="1" applyAlignment="1">
      <alignment vertical="top" wrapText="1"/>
    </xf>
    <xf numFmtId="41" fontId="6" fillId="0" borderId="31" xfId="0" applyNumberFormat="1" applyFont="1" applyBorder="1" applyAlignment="1">
      <alignment vertical="top" wrapText="1"/>
    </xf>
    <xf numFmtId="0" fontId="6" fillId="0" borderId="1" xfId="0" applyFont="1" applyBorder="1" applyAlignment="1">
      <alignment wrapText="1"/>
    </xf>
    <xf numFmtId="0" fontId="9" fillId="0" borderId="30" xfId="0" applyFont="1" applyFill="1" applyBorder="1" applyAlignment="1">
      <alignment vertical="top" wrapText="1"/>
    </xf>
    <xf numFmtId="0" fontId="9" fillId="0" borderId="1" xfId="0" applyFont="1" applyFill="1" applyBorder="1" applyAlignment="1">
      <alignment horizontal="left" vertical="top" wrapText="1"/>
    </xf>
    <xf numFmtId="0" fontId="6" fillId="0" borderId="11" xfId="0" applyFont="1" applyBorder="1" applyAlignment="1">
      <alignment vertical="top" wrapText="1"/>
    </xf>
    <xf numFmtId="2" fontId="6" fillId="0" borderId="1" xfId="2" applyNumberFormat="1" applyFont="1" applyBorder="1" applyAlignment="1">
      <alignment vertical="top" wrapText="1"/>
    </xf>
    <xf numFmtId="0" fontId="9" fillId="0" borderId="3" xfId="0" applyFont="1" applyFill="1" applyBorder="1" applyAlignment="1">
      <alignment horizontal="left" vertical="top" wrapText="1"/>
    </xf>
    <xf numFmtId="3" fontId="6" fillId="0" borderId="31" xfId="0" applyNumberFormat="1" applyFont="1" applyBorder="1" applyAlignment="1">
      <alignment vertical="top" wrapText="1"/>
    </xf>
    <xf numFmtId="0" fontId="6" fillId="0" borderId="1" xfId="0" applyNumberFormat="1" applyFont="1" applyBorder="1" applyAlignment="1">
      <alignment vertical="top" wrapText="1"/>
    </xf>
    <xf numFmtId="41" fontId="6" fillId="0" borderId="31" xfId="2" applyFont="1" applyBorder="1" applyAlignment="1">
      <alignment vertical="top" wrapText="1"/>
    </xf>
    <xf numFmtId="43" fontId="6" fillId="4" borderId="4" xfId="0" applyNumberFormat="1" applyFont="1" applyFill="1" applyBorder="1" applyAlignment="1">
      <alignment vertical="top" wrapText="1"/>
    </xf>
    <xf numFmtId="41" fontId="6" fillId="4" borderId="4" xfId="2" applyFont="1" applyFill="1" applyBorder="1" applyAlignment="1">
      <alignment vertical="top" wrapText="1"/>
    </xf>
    <xf numFmtId="2" fontId="6" fillId="4" borderId="4" xfId="0" applyNumberFormat="1" applyFont="1" applyFill="1" applyBorder="1" applyAlignment="1">
      <alignment vertical="top" wrapText="1"/>
    </xf>
    <xf numFmtId="0" fontId="6" fillId="0" borderId="6" xfId="0" applyFont="1" applyBorder="1" applyAlignment="1">
      <alignment vertical="top" wrapText="1"/>
    </xf>
    <xf numFmtId="0" fontId="9" fillId="4" borderId="3" xfId="0" applyFont="1" applyFill="1" applyBorder="1" applyAlignment="1">
      <alignment horizontal="left" vertical="top" wrapText="1"/>
    </xf>
    <xf numFmtId="43" fontId="6" fillId="4" borderId="33" xfId="0" applyNumberFormat="1" applyFont="1" applyFill="1" applyBorder="1" applyAlignment="1">
      <alignment vertical="top" wrapText="1"/>
    </xf>
    <xf numFmtId="3" fontId="6" fillId="4" borderId="33" xfId="0" applyNumberFormat="1" applyFont="1" applyFill="1" applyBorder="1" applyAlignment="1">
      <alignment vertical="top" wrapText="1"/>
    </xf>
    <xf numFmtId="0" fontId="6" fillId="4" borderId="7" xfId="0" applyFont="1" applyFill="1" applyBorder="1" applyAlignment="1">
      <alignment vertical="top" wrapText="1"/>
    </xf>
    <xf numFmtId="0" fontId="6" fillId="4" borderId="4" xfId="0" applyFont="1" applyFill="1" applyBorder="1" applyAlignment="1">
      <alignment vertical="top" wrapText="1"/>
    </xf>
    <xf numFmtId="43" fontId="6" fillId="4" borderId="31" xfId="0" applyNumberFormat="1" applyFont="1" applyFill="1" applyBorder="1" applyAlignment="1">
      <alignment vertical="top" wrapText="1"/>
    </xf>
    <xf numFmtId="3" fontId="6" fillId="4" borderId="31" xfId="0" applyNumberFormat="1" applyFont="1" applyFill="1" applyBorder="1" applyAlignment="1">
      <alignment vertical="top" wrapText="1"/>
    </xf>
    <xf numFmtId="0" fontId="6" fillId="4" borderId="11" xfId="0" applyNumberFormat="1" applyFont="1" applyFill="1" applyBorder="1" applyAlignment="1">
      <alignment vertical="top" wrapText="1"/>
    </xf>
    <xf numFmtId="43" fontId="6" fillId="4" borderId="1" xfId="0" applyNumberFormat="1" applyFont="1" applyFill="1" applyBorder="1" applyAlignment="1">
      <alignment vertical="top" wrapText="1"/>
    </xf>
    <xf numFmtId="0" fontId="9" fillId="4" borderId="6" xfId="0" applyFont="1" applyFill="1" applyBorder="1" applyAlignment="1">
      <alignment vertical="top" wrapText="1"/>
    </xf>
    <xf numFmtId="0" fontId="6" fillId="4" borderId="24" xfId="0" applyFont="1" applyFill="1" applyBorder="1" applyAlignment="1">
      <alignment vertical="top" wrapText="1"/>
    </xf>
    <xf numFmtId="3" fontId="6" fillId="4" borderId="24" xfId="0" applyNumberFormat="1" applyFont="1" applyFill="1" applyBorder="1" applyAlignment="1">
      <alignment vertical="top" wrapText="1"/>
    </xf>
    <xf numFmtId="0" fontId="6" fillId="4" borderId="11" xfId="0" applyFont="1" applyFill="1" applyBorder="1" applyAlignment="1">
      <alignment vertical="top" wrapText="1"/>
    </xf>
    <xf numFmtId="0" fontId="9" fillId="4" borderId="30" xfId="0" applyFont="1" applyFill="1" applyBorder="1" applyAlignment="1">
      <alignment horizontal="left" vertical="top" wrapText="1"/>
    </xf>
    <xf numFmtId="0" fontId="6" fillId="0" borderId="8" xfId="0" applyFont="1" applyBorder="1" applyAlignment="1">
      <alignment vertical="top" wrapText="1"/>
    </xf>
    <xf numFmtId="0" fontId="9" fillId="0" borderId="30" xfId="0" applyFont="1" applyBorder="1" applyAlignment="1">
      <alignment vertical="top" wrapText="1"/>
    </xf>
    <xf numFmtId="0" fontId="11" fillId="0" borderId="10" xfId="0" applyFont="1" applyBorder="1" applyAlignment="1">
      <alignment vertical="top" wrapText="1"/>
    </xf>
    <xf numFmtId="0" fontId="6" fillId="0" borderId="35" xfId="0" applyFont="1" applyBorder="1" applyAlignment="1">
      <alignment vertical="top" wrapText="1"/>
    </xf>
    <xf numFmtId="41" fontId="6" fillId="0" borderId="10" xfId="2" applyFont="1" applyBorder="1" applyAlignment="1">
      <alignment vertical="top" wrapText="1"/>
    </xf>
    <xf numFmtId="39" fontId="6" fillId="0" borderId="31" xfId="0" applyNumberFormat="1" applyFont="1" applyBorder="1" applyAlignment="1">
      <alignment vertical="top" wrapText="1"/>
    </xf>
    <xf numFmtId="0" fontId="9" fillId="0" borderId="30" xfId="0" applyFont="1" applyBorder="1" applyAlignment="1">
      <alignment horizontal="left" vertical="top" wrapText="1"/>
    </xf>
    <xf numFmtId="0" fontId="9" fillId="0" borderId="3" xfId="0" applyFont="1" applyBorder="1" applyAlignment="1">
      <alignment vertical="top" wrapText="1"/>
    </xf>
    <xf numFmtId="41" fontId="9" fillId="0" borderId="5" xfId="2" applyFont="1" applyBorder="1" applyAlignment="1">
      <alignment vertical="top" wrapText="1"/>
    </xf>
    <xf numFmtId="0" fontId="6" fillId="0" borderId="11" xfId="0" applyNumberFormat="1" applyFont="1" applyBorder="1" applyAlignment="1">
      <alignment vertical="top" wrapText="1"/>
    </xf>
    <xf numFmtId="41" fontId="9" fillId="0" borderId="1" xfId="2" applyFont="1" applyBorder="1" applyAlignment="1">
      <alignment vertical="top" wrapText="1"/>
    </xf>
    <xf numFmtId="3" fontId="6" fillId="0" borderId="1" xfId="0" applyNumberFormat="1" applyFont="1" applyBorder="1" applyAlignment="1">
      <alignment vertical="top" wrapText="1"/>
    </xf>
    <xf numFmtId="0" fontId="6" fillId="0" borderId="2" xfId="0" applyFont="1" applyBorder="1" applyAlignment="1">
      <alignment vertical="top" wrapText="1"/>
    </xf>
    <xf numFmtId="0" fontId="9" fillId="0" borderId="2" xfId="0" applyFont="1" applyBorder="1" applyAlignment="1">
      <alignment horizontal="left" vertical="top" wrapText="1"/>
    </xf>
    <xf numFmtId="0" fontId="9" fillId="0" borderId="2" xfId="0" applyFont="1" applyBorder="1" applyAlignment="1">
      <alignment vertical="top" wrapText="1"/>
    </xf>
    <xf numFmtId="41" fontId="9" fillId="0" borderId="8" xfId="2" applyFont="1" applyBorder="1" applyAlignment="1">
      <alignment vertical="top" wrapText="1"/>
    </xf>
    <xf numFmtId="43" fontId="6" fillId="0" borderId="2" xfId="0" applyNumberFormat="1" applyFont="1" applyBorder="1" applyAlignment="1">
      <alignment vertical="top" wrapText="1"/>
    </xf>
    <xf numFmtId="3" fontId="6" fillId="0" borderId="2" xfId="0" applyNumberFormat="1" applyFont="1" applyBorder="1" applyAlignment="1">
      <alignment vertical="top" wrapText="1"/>
    </xf>
    <xf numFmtId="0" fontId="6" fillId="0" borderId="9" xfId="0" applyNumberFormat="1" applyFont="1" applyBorder="1" applyAlignment="1">
      <alignment vertical="top" wrapText="1"/>
    </xf>
    <xf numFmtId="2" fontId="6" fillId="0" borderId="2" xfId="0" applyNumberFormat="1" applyFont="1" applyBorder="1" applyAlignment="1">
      <alignment vertical="top" wrapText="1"/>
    </xf>
    <xf numFmtId="41" fontId="9" fillId="0" borderId="5" xfId="2" applyFont="1" applyBorder="1" applyAlignment="1">
      <alignment horizontal="right" vertical="top" wrapText="1"/>
    </xf>
    <xf numFmtId="0" fontId="9" fillId="0" borderId="10" xfId="0" applyFont="1" applyBorder="1" applyAlignment="1">
      <alignment horizontal="left" vertical="top" wrapText="1"/>
    </xf>
    <xf numFmtId="41" fontId="6" fillId="0" borderId="10" xfId="2" quotePrefix="1" applyFont="1" applyBorder="1" applyAlignment="1">
      <alignment vertical="top" wrapText="1"/>
    </xf>
    <xf numFmtId="0" fontId="6" fillId="4" borderId="0" xfId="0" applyFont="1" applyFill="1" applyAlignment="1">
      <alignment vertical="top" wrapText="1"/>
    </xf>
    <xf numFmtId="0" fontId="9" fillId="0" borderId="4" xfId="0" applyFont="1" applyBorder="1" applyAlignment="1">
      <alignment vertical="top" wrapText="1"/>
    </xf>
    <xf numFmtId="0" fontId="5" fillId="9" borderId="16" xfId="0" applyFont="1" applyFill="1" applyBorder="1" applyAlignment="1">
      <alignment vertical="top" wrapText="1"/>
    </xf>
    <xf numFmtId="0" fontId="5" fillId="9" borderId="4" xfId="0" applyFont="1" applyFill="1" applyBorder="1" applyAlignment="1">
      <alignment vertical="top" wrapText="1"/>
    </xf>
    <xf numFmtId="0" fontId="5" fillId="9" borderId="32" xfId="0" applyFont="1" applyFill="1" applyBorder="1" applyAlignment="1">
      <alignment vertical="top" wrapText="1"/>
    </xf>
    <xf numFmtId="2" fontId="6" fillId="9" borderId="1" xfId="0" applyNumberFormat="1" applyFont="1" applyFill="1" applyBorder="1" applyAlignment="1">
      <alignment vertical="top" wrapText="1"/>
    </xf>
    <xf numFmtId="0" fontId="4" fillId="9" borderId="10" xfId="0" applyFont="1" applyFill="1" applyBorder="1" applyAlignment="1">
      <alignment vertical="top" wrapText="1"/>
    </xf>
    <xf numFmtId="0" fontId="10" fillId="9" borderId="10" xfId="0" applyFont="1" applyFill="1" applyBorder="1" applyAlignment="1">
      <alignment horizontal="left" vertical="top" wrapText="1"/>
    </xf>
    <xf numFmtId="0" fontId="5" fillId="9" borderId="41" xfId="0" applyFont="1" applyFill="1" applyBorder="1" applyAlignment="1">
      <alignment horizontal="center" vertical="top" wrapText="1"/>
    </xf>
    <xf numFmtId="41" fontId="9" fillId="0" borderId="10" xfId="2" applyFont="1" applyBorder="1" applyAlignment="1">
      <alignment horizontal="right" vertical="top" wrapText="1"/>
    </xf>
    <xf numFmtId="43" fontId="6" fillId="0" borderId="24" xfId="0" applyNumberFormat="1" applyFont="1" applyBorder="1" applyAlignment="1">
      <alignment vertical="top" wrapText="1"/>
    </xf>
    <xf numFmtId="3" fontId="6" fillId="0" borderId="24" xfId="0" applyNumberFormat="1" applyFont="1" applyBorder="1" applyAlignment="1">
      <alignment vertical="top" wrapText="1"/>
    </xf>
    <xf numFmtId="0" fontId="9" fillId="0" borderId="7" xfId="0" applyFont="1" applyBorder="1" applyAlignment="1">
      <alignment horizontal="left" vertical="top" wrapText="1"/>
    </xf>
    <xf numFmtId="43" fontId="6" fillId="0" borderId="33" xfId="0" applyNumberFormat="1" applyFont="1" applyBorder="1" applyAlignment="1">
      <alignment vertical="top" wrapText="1"/>
    </xf>
    <xf numFmtId="3" fontId="6" fillId="0" borderId="33" xfId="0" applyNumberFormat="1" applyFont="1" applyBorder="1" applyAlignment="1">
      <alignment vertical="top" wrapText="1"/>
    </xf>
    <xf numFmtId="0" fontId="9" fillId="0" borderId="4" xfId="0" applyFont="1" applyBorder="1" applyAlignment="1">
      <alignment horizontal="left" vertical="top" wrapText="1"/>
    </xf>
    <xf numFmtId="41" fontId="9" fillId="0" borderId="6" xfId="2" applyFont="1" applyBorder="1" applyAlignment="1">
      <alignment horizontal="right" vertical="top" wrapText="1"/>
    </xf>
    <xf numFmtId="41" fontId="6" fillId="0" borderId="33" xfId="0" applyNumberFormat="1" applyFont="1" applyBorder="1" applyAlignment="1">
      <alignment vertical="top" wrapText="1"/>
    </xf>
    <xf numFmtId="0" fontId="6" fillId="0" borderId="7" xfId="0" applyFont="1" applyBorder="1" applyAlignment="1">
      <alignment vertical="top" wrapText="1"/>
    </xf>
    <xf numFmtId="2" fontId="6" fillId="0" borderId="4" xfId="0" applyNumberFormat="1" applyFont="1" applyBorder="1" applyAlignment="1">
      <alignment vertical="top" wrapText="1"/>
    </xf>
    <xf numFmtId="0" fontId="5" fillId="9" borderId="2" xfId="0" applyFont="1" applyFill="1" applyBorder="1" applyAlignment="1">
      <alignment vertical="top" wrapText="1"/>
    </xf>
    <xf numFmtId="0" fontId="10" fillId="9" borderId="7" xfId="0" applyFont="1" applyFill="1" applyBorder="1" applyAlignment="1">
      <alignment horizontal="left" vertical="top" wrapText="1"/>
    </xf>
    <xf numFmtId="0" fontId="10" fillId="9" borderId="4" xfId="0" applyFont="1" applyFill="1" applyBorder="1" applyAlignment="1">
      <alignment vertical="top" wrapText="1"/>
    </xf>
    <xf numFmtId="41" fontId="5" fillId="0" borderId="1" xfId="0" applyNumberFormat="1" applyFont="1" applyBorder="1" applyAlignment="1">
      <alignment horizontal="left" vertical="top" wrapText="1"/>
    </xf>
    <xf numFmtId="41" fontId="5" fillId="0" borderId="1" xfId="2" applyNumberFormat="1" applyFont="1" applyBorder="1" applyAlignment="1">
      <alignment horizontal="left" vertical="top" wrapText="1"/>
    </xf>
    <xf numFmtId="41" fontId="6" fillId="0" borderId="1" xfId="2" applyNumberFormat="1" applyFont="1" applyBorder="1" applyAlignment="1">
      <alignment horizontal="left" vertical="top" wrapText="1"/>
    </xf>
    <xf numFmtId="41" fontId="6" fillId="0" borderId="1" xfId="0" applyNumberFormat="1" applyFont="1" applyBorder="1" applyAlignment="1">
      <alignment horizontal="left" vertical="top" wrapText="1"/>
    </xf>
    <xf numFmtId="166" fontId="6" fillId="0" borderId="1" xfId="0" applyNumberFormat="1" applyFont="1" applyBorder="1" applyAlignment="1">
      <alignment horizontal="left" vertical="top" wrapText="1"/>
    </xf>
    <xf numFmtId="0" fontId="6" fillId="0" borderId="1" xfId="2" applyNumberFormat="1" applyFont="1" applyBorder="1" applyAlignment="1">
      <alignment horizontal="left" vertical="top" wrapText="1"/>
    </xf>
    <xf numFmtId="41" fontId="6" fillId="0" borderId="1" xfId="2" applyFont="1" applyBorder="1" applyAlignment="1">
      <alignment horizontal="left" vertical="top" wrapText="1"/>
    </xf>
    <xf numFmtId="41" fontId="6" fillId="0" borderId="1" xfId="0" applyNumberFormat="1" applyFont="1" applyFill="1" applyBorder="1" applyAlignment="1">
      <alignment horizontal="left" vertical="top" wrapText="1"/>
    </xf>
    <xf numFmtId="41" fontId="6" fillId="0" borderId="1" xfId="3" applyNumberFormat="1" applyFont="1" applyBorder="1" applyAlignment="1">
      <alignment horizontal="left" vertical="top" wrapText="1"/>
    </xf>
    <xf numFmtId="41" fontId="11" fillId="0" borderId="1" xfId="0" applyNumberFormat="1" applyFont="1" applyBorder="1" applyAlignment="1">
      <alignment horizontal="left" vertical="top" wrapText="1"/>
    </xf>
    <xf numFmtId="0" fontId="6" fillId="0" borderId="1" xfId="0" applyNumberFormat="1" applyFont="1" applyBorder="1" applyAlignment="1">
      <alignment horizontal="left" vertical="top" wrapText="1"/>
    </xf>
    <xf numFmtId="41" fontId="6" fillId="0" borderId="1" xfId="2" applyNumberFormat="1" applyFont="1" applyFill="1" applyBorder="1" applyAlignment="1">
      <alignment horizontal="left" vertical="top" wrapText="1"/>
    </xf>
    <xf numFmtId="166" fontId="6" fillId="0" borderId="1" xfId="2" applyNumberFormat="1" applyFont="1" applyBorder="1" applyAlignment="1">
      <alignment horizontal="left" vertical="top" wrapText="1"/>
    </xf>
    <xf numFmtId="41" fontId="5" fillId="0" borderId="1" xfId="0" applyNumberFormat="1" applyFont="1" applyBorder="1" applyAlignment="1">
      <alignment vertical="top" wrapText="1"/>
    </xf>
    <xf numFmtId="41" fontId="5" fillId="9" borderId="2" xfId="0" applyNumberFormat="1" applyFont="1" applyFill="1" applyBorder="1" applyAlignment="1">
      <alignment vertical="top" wrapText="1"/>
    </xf>
    <xf numFmtId="41" fontId="5" fillId="9" borderId="1" xfId="0" applyNumberFormat="1" applyFont="1" applyFill="1" applyBorder="1" applyAlignment="1">
      <alignment horizontal="left" vertical="top" wrapText="1"/>
    </xf>
    <xf numFmtId="41" fontId="5" fillId="9" borderId="1" xfId="2" applyNumberFormat="1" applyFont="1" applyFill="1" applyBorder="1" applyAlignment="1">
      <alignment horizontal="left" vertical="top" wrapText="1"/>
    </xf>
    <xf numFmtId="41" fontId="6" fillId="9" borderId="1" xfId="2" applyNumberFormat="1" applyFont="1" applyFill="1" applyBorder="1" applyAlignment="1">
      <alignment horizontal="left" vertical="top" wrapText="1"/>
    </xf>
    <xf numFmtId="166" fontId="6" fillId="9" borderId="1" xfId="0" applyNumberFormat="1" applyFont="1" applyFill="1" applyBorder="1" applyAlignment="1">
      <alignment horizontal="left" vertical="top" wrapText="1"/>
    </xf>
    <xf numFmtId="41" fontId="5" fillId="9" borderId="1" xfId="2" applyNumberFormat="1" applyFont="1" applyFill="1" applyBorder="1" applyAlignment="1">
      <alignment vertical="top" wrapText="1"/>
    </xf>
    <xf numFmtId="0" fontId="5" fillId="9" borderId="1" xfId="2" applyNumberFormat="1" applyFont="1" applyFill="1" applyBorder="1" applyAlignment="1">
      <alignment horizontal="left" vertical="top" wrapText="1"/>
    </xf>
    <xf numFmtId="0" fontId="5" fillId="9" borderId="1" xfId="0" applyNumberFormat="1" applyFont="1" applyFill="1" applyBorder="1" applyAlignment="1">
      <alignment horizontal="left" vertical="top" wrapText="1"/>
    </xf>
    <xf numFmtId="166" fontId="5" fillId="9" borderId="1"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64" fontId="6" fillId="0" borderId="1" xfId="1" applyNumberFormat="1" applyFont="1" applyFill="1" applyBorder="1" applyAlignment="1">
      <alignment horizontal="right" vertical="top" wrapText="1"/>
    </xf>
    <xf numFmtId="0" fontId="8" fillId="0" borderId="1" xfId="0" applyFont="1" applyBorder="1" applyAlignment="1">
      <alignment vertical="top" wrapText="1"/>
    </xf>
    <xf numFmtId="0" fontId="8" fillId="0" borderId="1" xfId="0" applyFont="1" applyBorder="1" applyAlignment="1">
      <alignment horizontal="center" vertical="top" wrapText="1"/>
    </xf>
    <xf numFmtId="0" fontId="8" fillId="0" borderId="1" xfId="0" applyFont="1" applyBorder="1" applyAlignment="1">
      <alignment horizontal="left" vertical="top" wrapText="1"/>
    </xf>
    <xf numFmtId="0" fontId="8" fillId="0" borderId="1" xfId="0" applyFont="1" applyFill="1" applyBorder="1" applyAlignment="1">
      <alignment horizontal="right" vertical="top" wrapText="1"/>
    </xf>
    <xf numFmtId="0" fontId="8" fillId="0" borderId="1" xfId="0" applyFont="1" applyBorder="1" applyAlignment="1">
      <alignment horizontal="right" vertical="top" wrapText="1"/>
    </xf>
    <xf numFmtId="171" fontId="8" fillId="0" borderId="1" xfId="1" applyNumberFormat="1" applyFont="1" applyBorder="1" applyAlignment="1">
      <alignment vertical="top" wrapText="1"/>
    </xf>
    <xf numFmtId="171" fontId="8" fillId="0" borderId="1" xfId="1" applyNumberFormat="1" applyFont="1" applyBorder="1" applyAlignment="1">
      <alignment horizontal="right" vertical="top" wrapText="1"/>
    </xf>
    <xf numFmtId="0" fontId="11" fillId="0" borderId="1" xfId="0" applyFont="1" applyBorder="1" applyAlignment="1">
      <alignment horizontal="left" vertical="top" wrapText="1"/>
    </xf>
    <xf numFmtId="0" fontId="8" fillId="0" borderId="1" xfId="0" applyNumberFormat="1" applyFont="1" applyBorder="1" applyAlignment="1">
      <alignment horizontal="right" vertical="top" wrapText="1"/>
    </xf>
    <xf numFmtId="164" fontId="8" fillId="0" borderId="1" xfId="1" applyNumberFormat="1" applyFont="1" applyBorder="1" applyAlignment="1">
      <alignment horizontal="right" vertical="top" wrapText="1"/>
    </xf>
    <xf numFmtId="0" fontId="7" fillId="9" borderId="1" xfId="0" applyFont="1" applyFill="1" applyBorder="1" applyAlignment="1">
      <alignment horizontal="right" vertical="top" wrapText="1"/>
    </xf>
    <xf numFmtId="0" fontId="7" fillId="9" borderId="1" xfId="0" applyFont="1" applyFill="1" applyBorder="1" applyAlignment="1">
      <alignment horizontal="center" vertical="top" wrapText="1"/>
    </xf>
    <xf numFmtId="0" fontId="6" fillId="0" borderId="22" xfId="0" applyFont="1" applyBorder="1" applyAlignment="1">
      <alignment vertical="top" wrapText="1"/>
    </xf>
    <xf numFmtId="0" fontId="9" fillId="0" borderId="25" xfId="0" applyFont="1" applyBorder="1" applyAlignment="1">
      <alignment vertical="top" wrapText="1"/>
    </xf>
    <xf numFmtId="164" fontId="6" fillId="0" borderId="22" xfId="7" applyNumberFormat="1" applyFont="1" applyBorder="1" applyAlignment="1">
      <alignment vertical="top" wrapText="1"/>
    </xf>
    <xf numFmtId="174" fontId="6" fillId="0" borderId="22" xfId="0" applyNumberFormat="1" applyFont="1" applyBorder="1" applyAlignment="1">
      <alignment vertical="top" wrapText="1"/>
    </xf>
    <xf numFmtId="2" fontId="6" fillId="0" borderId="22" xfId="0" applyNumberFormat="1" applyFont="1" applyBorder="1" applyAlignment="1">
      <alignment vertical="top" wrapText="1"/>
    </xf>
    <xf numFmtId="164" fontId="6" fillId="0" borderId="22" xfId="0" applyNumberFormat="1" applyFont="1" applyBorder="1" applyAlignment="1">
      <alignment vertical="top" wrapText="1"/>
    </xf>
    <xf numFmtId="0" fontId="6" fillId="4" borderId="22" xfId="0" applyFont="1" applyFill="1" applyBorder="1" applyAlignment="1">
      <alignment horizontal="left" vertical="top" wrapText="1"/>
    </xf>
    <xf numFmtId="0" fontId="9" fillId="0" borderId="22" xfId="0" applyFont="1" applyBorder="1" applyAlignment="1">
      <alignment vertical="top" wrapText="1"/>
    </xf>
    <xf numFmtId="0" fontId="6" fillId="4" borderId="22" xfId="0" applyFont="1" applyFill="1" applyBorder="1" applyAlignment="1">
      <alignment vertical="top" wrapText="1"/>
    </xf>
    <xf numFmtId="9" fontId="6" fillId="0" borderId="22" xfId="0" applyNumberFormat="1" applyFont="1" applyBorder="1" applyAlignment="1">
      <alignment vertical="top" wrapText="1"/>
    </xf>
    <xf numFmtId="9" fontId="5" fillId="0" borderId="22" xfId="0" applyNumberFormat="1" applyFont="1" applyBorder="1" applyAlignment="1">
      <alignment vertical="top" wrapText="1"/>
    </xf>
    <xf numFmtId="164" fontId="5" fillId="0" borderId="22" xfId="0" applyNumberFormat="1" applyFont="1" applyBorder="1" applyAlignment="1">
      <alignment vertical="top" wrapText="1"/>
    </xf>
    <xf numFmtId="164" fontId="5" fillId="0" borderId="22" xfId="7" applyNumberFormat="1" applyFont="1" applyBorder="1" applyAlignment="1">
      <alignment vertical="top" wrapText="1"/>
    </xf>
    <xf numFmtId="0" fontId="5" fillId="0" borderId="22" xfId="0" applyFont="1" applyBorder="1" applyAlignment="1">
      <alignment vertical="top" wrapText="1"/>
    </xf>
    <xf numFmtId="0" fontId="9" fillId="4" borderId="25" xfId="0" applyFont="1" applyFill="1" applyBorder="1" applyAlignment="1">
      <alignment vertical="top" wrapText="1"/>
    </xf>
    <xf numFmtId="164" fontId="6" fillId="4" borderId="22" xfId="7" applyNumberFormat="1" applyFont="1" applyFill="1" applyBorder="1" applyAlignment="1">
      <alignment vertical="top" wrapText="1"/>
    </xf>
    <xf numFmtId="0" fontId="6" fillId="0" borderId="22" xfId="0" applyFont="1" applyBorder="1" applyAlignment="1">
      <alignment horizontal="center" vertical="top" wrapText="1"/>
    </xf>
    <xf numFmtId="174" fontId="6" fillId="4" borderId="22" xfId="0" applyNumberFormat="1" applyFont="1" applyFill="1" applyBorder="1" applyAlignment="1">
      <alignment vertical="top" wrapText="1"/>
    </xf>
    <xf numFmtId="0" fontId="5" fillId="9" borderId="22" xfId="0" applyFont="1" applyFill="1" applyBorder="1" applyAlignment="1">
      <alignment vertical="top" wrapText="1"/>
    </xf>
    <xf numFmtId="0" fontId="10" fillId="9" borderId="22" xfId="0" applyFont="1" applyFill="1" applyBorder="1" applyAlignment="1">
      <alignment vertical="top" wrapText="1"/>
    </xf>
    <xf numFmtId="0" fontId="10" fillId="9" borderId="25" xfId="0" applyFont="1" applyFill="1" applyBorder="1" applyAlignment="1">
      <alignment vertical="top" wrapText="1"/>
    </xf>
    <xf numFmtId="174" fontId="6" fillId="0" borderId="22" xfId="0" applyNumberFormat="1" applyFont="1" applyBorder="1" applyAlignment="1">
      <alignment horizontal="right" vertical="top" wrapText="1"/>
    </xf>
    <xf numFmtId="164" fontId="11" fillId="0" borderId="22" xfId="7" applyNumberFormat="1" applyFont="1" applyBorder="1" applyAlignment="1">
      <alignment vertical="top" wrapText="1"/>
    </xf>
    <xf numFmtId="164" fontId="5" fillId="9" borderId="22" xfId="7" applyNumberFormat="1" applyFont="1" applyFill="1" applyBorder="1" applyAlignment="1">
      <alignment vertical="top" wrapText="1"/>
    </xf>
    <xf numFmtId="164" fontId="5" fillId="9" borderId="22" xfId="0" applyNumberFormat="1" applyFont="1" applyFill="1" applyBorder="1" applyAlignment="1">
      <alignment vertical="top" wrapText="1"/>
    </xf>
    <xf numFmtId="0" fontId="9" fillId="4" borderId="22" xfId="0" applyFont="1" applyFill="1" applyBorder="1" applyAlignment="1">
      <alignment horizontal="left" vertical="top" wrapText="1"/>
    </xf>
    <xf numFmtId="41" fontId="9" fillId="0" borderId="22" xfId="0" applyNumberFormat="1" applyFont="1" applyBorder="1" applyAlignment="1">
      <alignment horizontal="center" vertical="top" wrapText="1"/>
    </xf>
    <xf numFmtId="0" fontId="11" fillId="4" borderId="1" xfId="0" quotePrefix="1" applyNumberFormat="1" applyFont="1" applyFill="1" applyBorder="1" applyAlignment="1">
      <alignment horizontal="left" vertical="top" wrapText="1"/>
    </xf>
    <xf numFmtId="167" fontId="11" fillId="0" borderId="1" xfId="0" applyNumberFormat="1" applyFont="1" applyBorder="1" applyAlignment="1">
      <alignment vertical="top" wrapText="1"/>
    </xf>
    <xf numFmtId="0" fontId="11" fillId="0" borderId="1" xfId="0" applyFont="1" applyBorder="1" applyAlignment="1">
      <alignment horizontal="center" vertical="top" wrapText="1"/>
    </xf>
    <xf numFmtId="0" fontId="11" fillId="4" borderId="1" xfId="0" applyFont="1" applyFill="1" applyBorder="1" applyAlignment="1">
      <alignment horizontal="center" vertical="top" wrapText="1"/>
    </xf>
    <xf numFmtId="164" fontId="5" fillId="9" borderId="22" xfId="0" applyNumberFormat="1" applyFont="1" applyFill="1" applyBorder="1" applyAlignment="1">
      <alignment horizontal="right" vertical="top" wrapText="1"/>
    </xf>
    <xf numFmtId="164" fontId="6" fillId="0" borderId="22" xfId="7" applyNumberFormat="1" applyFont="1" applyFill="1" applyBorder="1" applyAlignment="1">
      <alignment vertical="top" wrapText="1"/>
    </xf>
    <xf numFmtId="9" fontId="6" fillId="0" borderId="22" xfId="0" quotePrefix="1" applyNumberFormat="1" applyFont="1" applyFill="1" applyBorder="1" applyAlignment="1">
      <alignment horizontal="right" vertical="top" wrapText="1"/>
    </xf>
    <xf numFmtId="0" fontId="6" fillId="0" borderId="22" xfId="0" applyFont="1" applyFill="1" applyBorder="1" applyAlignment="1">
      <alignment vertical="top" wrapText="1"/>
    </xf>
    <xf numFmtId="9" fontId="6" fillId="0" borderId="22" xfId="0" applyNumberFormat="1" applyFont="1" applyFill="1" applyBorder="1" applyAlignment="1">
      <alignment vertical="top" wrapText="1"/>
    </xf>
    <xf numFmtId="164" fontId="5" fillId="0" borderId="22" xfId="0" applyNumberFormat="1" applyFont="1" applyFill="1" applyBorder="1" applyAlignment="1">
      <alignment vertical="top" wrapText="1"/>
    </xf>
    <xf numFmtId="9" fontId="6" fillId="0" borderId="22" xfId="0" applyNumberFormat="1" applyFont="1" applyFill="1" applyBorder="1" applyAlignment="1">
      <alignment horizontal="right" vertical="top" wrapText="1"/>
    </xf>
    <xf numFmtId="174" fontId="6" fillId="0" borderId="22" xfId="3" applyNumberFormat="1" applyFont="1" applyFill="1" applyBorder="1" applyAlignment="1">
      <alignment horizontal="right" vertical="top" wrapText="1"/>
    </xf>
    <xf numFmtId="0" fontId="6" fillId="0" borderId="22" xfId="0" applyFont="1" applyFill="1" applyBorder="1" applyAlignment="1">
      <alignment horizontal="right" vertical="top" wrapText="1"/>
    </xf>
    <xf numFmtId="9" fontId="6" fillId="0" borderId="22" xfId="3" applyFont="1" applyFill="1" applyBorder="1" applyAlignment="1">
      <alignment vertical="top" wrapText="1"/>
    </xf>
    <xf numFmtId="186" fontId="6" fillId="0" borderId="22" xfId="7" applyNumberFormat="1" applyFont="1" applyFill="1" applyBorder="1" applyAlignment="1">
      <alignment vertical="top" wrapText="1"/>
    </xf>
    <xf numFmtId="164" fontId="6" fillId="0" borderId="22" xfId="7" applyNumberFormat="1" applyFont="1" applyFill="1" applyBorder="1" applyAlignment="1">
      <alignment horizontal="center" vertical="top" wrapText="1"/>
    </xf>
    <xf numFmtId="41" fontId="9" fillId="0" borderId="22" xfId="0" applyNumberFormat="1" applyFont="1" applyFill="1" applyBorder="1" applyAlignment="1">
      <alignment horizontal="center" vertical="top" wrapText="1"/>
    </xf>
    <xf numFmtId="43" fontId="6" fillId="0" borderId="22" xfId="7" applyFont="1" applyFill="1" applyBorder="1" applyAlignment="1">
      <alignment vertical="top" wrapText="1"/>
    </xf>
    <xf numFmtId="164" fontId="6" fillId="0" borderId="22" xfId="0" applyNumberFormat="1" applyFont="1" applyFill="1" applyBorder="1" applyAlignment="1">
      <alignment vertical="top" wrapText="1"/>
    </xf>
    <xf numFmtId="0" fontId="6" fillId="4" borderId="28" xfId="0" applyFont="1" applyFill="1" applyBorder="1" applyAlignment="1">
      <alignment vertical="top" wrapText="1"/>
    </xf>
    <xf numFmtId="0" fontId="9" fillId="4" borderId="28" xfId="0" applyFont="1" applyFill="1" applyBorder="1" applyAlignment="1">
      <alignment vertical="top" wrapText="1"/>
    </xf>
    <xf numFmtId="0" fontId="11" fillId="0" borderId="28" xfId="0" applyFont="1" applyBorder="1" applyAlignment="1">
      <alignment vertical="top" wrapText="1"/>
    </xf>
    <xf numFmtId="164" fontId="6" fillId="4" borderId="28" xfId="7" applyNumberFormat="1" applyFont="1" applyFill="1" applyBorder="1" applyAlignment="1">
      <alignment vertical="top" wrapText="1"/>
    </xf>
    <xf numFmtId="174" fontId="6" fillId="4" borderId="28" xfId="0" applyNumberFormat="1" applyFont="1" applyFill="1" applyBorder="1" applyAlignment="1">
      <alignment vertical="top" wrapText="1"/>
    </xf>
    <xf numFmtId="0" fontId="5" fillId="9" borderId="28" xfId="0" applyFont="1" applyFill="1" applyBorder="1" applyAlignment="1">
      <alignment vertical="top" wrapText="1"/>
    </xf>
    <xf numFmtId="0" fontId="10" fillId="9" borderId="28" xfId="0" applyFont="1" applyFill="1" applyBorder="1" applyAlignment="1">
      <alignment vertical="top" wrapText="1"/>
    </xf>
    <xf numFmtId="0" fontId="4" fillId="9" borderId="28" xfId="0" applyFont="1" applyFill="1" applyBorder="1" applyAlignment="1">
      <alignment vertical="top" wrapText="1"/>
    </xf>
    <xf numFmtId="164" fontId="5" fillId="9" borderId="28" xfId="7" applyNumberFormat="1" applyFont="1" applyFill="1" applyBorder="1" applyAlignment="1">
      <alignment vertical="top" wrapText="1"/>
    </xf>
    <xf numFmtId="174" fontId="5" fillId="9" borderId="28" xfId="0" applyNumberFormat="1" applyFont="1" applyFill="1" applyBorder="1" applyAlignment="1">
      <alignment vertical="top" wrapText="1"/>
    </xf>
    <xf numFmtId="0" fontId="6" fillId="8" borderId="1" xfId="0" applyFont="1" applyFill="1" applyBorder="1" applyAlignment="1">
      <alignment horizontal="center" vertical="center" wrapText="1"/>
    </xf>
    <xf numFmtId="0" fontId="6" fillId="3" borderId="41" xfId="0" applyFont="1" applyFill="1" applyBorder="1" applyAlignment="1">
      <alignment horizontal="center" vertical="center" wrapText="1"/>
    </xf>
    <xf numFmtId="0" fontId="6" fillId="8" borderId="41" xfId="0" applyFont="1" applyFill="1" applyBorder="1" applyAlignment="1">
      <alignment horizontal="center" vertical="center" wrapText="1"/>
    </xf>
    <xf numFmtId="0" fontId="5" fillId="9" borderId="41"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4" fillId="9" borderId="41" xfId="0" applyFont="1" applyFill="1" applyBorder="1" applyAlignment="1">
      <alignment horizontal="center" vertical="top" wrapText="1"/>
    </xf>
    <xf numFmtId="0" fontId="6" fillId="0" borderId="41" xfId="0" applyFont="1" applyBorder="1" applyAlignment="1">
      <alignment horizontal="center" vertical="top" wrapText="1"/>
    </xf>
    <xf numFmtId="9" fontId="5" fillId="9" borderId="22" xfId="0" applyNumberFormat="1" applyFont="1" applyFill="1" applyBorder="1" applyAlignment="1">
      <alignment vertical="top" wrapText="1"/>
    </xf>
    <xf numFmtId="174" fontId="5" fillId="9" borderId="22" xfId="0" applyNumberFormat="1" applyFont="1" applyFill="1" applyBorder="1" applyAlignment="1">
      <alignment vertical="top" wrapText="1"/>
    </xf>
    <xf numFmtId="0" fontId="5" fillId="9" borderId="25" xfId="0" applyFont="1" applyFill="1" applyBorder="1" applyAlignment="1">
      <alignment vertical="top" wrapText="1"/>
    </xf>
    <xf numFmtId="0" fontId="4" fillId="9" borderId="24" xfId="0" applyFont="1" applyFill="1" applyBorder="1" applyAlignment="1">
      <alignment vertical="top" wrapText="1"/>
    </xf>
    <xf numFmtId="0" fontId="4" fillId="9" borderId="24" xfId="0" applyFont="1" applyFill="1" applyBorder="1" applyAlignment="1">
      <alignment horizontal="left" vertical="top" wrapText="1"/>
    </xf>
    <xf numFmtId="0" fontId="4" fillId="9" borderId="21" xfId="0" applyFont="1" applyFill="1" applyBorder="1" applyAlignment="1">
      <alignment horizontal="left" vertical="top" wrapText="1"/>
    </xf>
    <xf numFmtId="0" fontId="11" fillId="4" borderId="41" xfId="0" applyFont="1" applyFill="1" applyBorder="1" applyAlignment="1">
      <alignment horizontal="center" vertical="top" wrapText="1"/>
    </xf>
    <xf numFmtId="0" fontId="6" fillId="4" borderId="1" xfId="0" applyFont="1" applyFill="1" applyBorder="1" applyAlignment="1">
      <alignment vertical="center" wrapText="1"/>
    </xf>
    <xf numFmtId="0" fontId="10" fillId="0" borderId="1" xfId="0" applyFont="1" applyFill="1" applyBorder="1" applyAlignment="1">
      <alignment vertical="top" wrapText="1"/>
    </xf>
    <xf numFmtId="3" fontId="6" fillId="0" borderId="1" xfId="2" applyNumberFormat="1" applyFont="1" applyFill="1" applyBorder="1" applyAlignment="1">
      <alignment horizontal="right" vertical="top" wrapText="1"/>
    </xf>
    <xf numFmtId="3" fontId="6" fillId="0" borderId="1" xfId="0" applyNumberFormat="1" applyFont="1" applyFill="1" applyBorder="1" applyAlignment="1">
      <alignment horizontal="center" vertical="top" wrapText="1"/>
    </xf>
    <xf numFmtId="3" fontId="6" fillId="4" borderId="1" xfId="2" applyNumberFormat="1" applyFont="1" applyFill="1" applyBorder="1" applyAlignment="1">
      <alignment horizontal="right" vertical="top" wrapText="1"/>
    </xf>
    <xf numFmtId="3" fontId="6" fillId="0" borderId="1" xfId="7" applyNumberFormat="1" applyFont="1" applyFill="1" applyBorder="1" applyAlignment="1">
      <alignment vertical="top" wrapText="1"/>
    </xf>
    <xf numFmtId="3" fontId="6" fillId="0" borderId="1" xfId="2" applyNumberFormat="1" applyFont="1" applyFill="1" applyBorder="1" applyAlignment="1">
      <alignment horizontal="center" vertical="top" wrapText="1"/>
    </xf>
    <xf numFmtId="0" fontId="6" fillId="0" borderId="1" xfId="3" applyNumberFormat="1" applyFont="1" applyFill="1" applyBorder="1" applyAlignment="1">
      <alignment horizontal="right" vertical="top" wrapText="1"/>
    </xf>
    <xf numFmtId="2" fontId="6" fillId="0" borderId="1" xfId="0" applyNumberFormat="1" applyFont="1" applyFill="1" applyBorder="1" applyAlignment="1">
      <alignment horizontal="right" vertical="top" wrapText="1"/>
    </xf>
    <xf numFmtId="2" fontId="6" fillId="0" borderId="1" xfId="2" applyNumberFormat="1" applyFont="1" applyFill="1" applyBorder="1" applyAlignment="1">
      <alignment horizontal="right" vertical="top" wrapText="1"/>
    </xf>
    <xf numFmtId="3" fontId="6" fillId="0" borderId="1" xfId="7" quotePrefix="1" applyNumberFormat="1" applyFont="1" applyFill="1" applyBorder="1" applyAlignment="1">
      <alignment vertical="top" wrapText="1"/>
    </xf>
    <xf numFmtId="0" fontId="5" fillId="0" borderId="1" xfId="0" applyNumberFormat="1" applyFont="1" applyFill="1" applyBorder="1" applyAlignment="1">
      <alignment horizontal="right" vertical="top" wrapText="1"/>
    </xf>
    <xf numFmtId="1" fontId="6" fillId="0" borderId="1" xfId="0" applyNumberFormat="1" applyFont="1" applyFill="1" applyBorder="1" applyAlignment="1">
      <alignment vertical="top" wrapText="1"/>
    </xf>
    <xf numFmtId="3" fontId="6" fillId="0" borderId="1" xfId="2" applyNumberFormat="1" applyFont="1" applyFill="1" applyBorder="1" applyAlignment="1">
      <alignment vertical="top" wrapText="1"/>
    </xf>
    <xf numFmtId="0" fontId="6" fillId="0" borderId="1" xfId="0" quotePrefix="1" applyFont="1" applyFill="1" applyBorder="1" applyAlignment="1">
      <alignment horizontal="right" vertical="top" wrapText="1"/>
    </xf>
    <xf numFmtId="0" fontId="11" fillId="4" borderId="1" xfId="0" applyNumberFormat="1" applyFont="1" applyFill="1" applyBorder="1" applyAlignment="1">
      <alignment horizontal="right" vertical="top" wrapText="1"/>
    </xf>
    <xf numFmtId="3" fontId="6" fillId="4" borderId="1" xfId="7" applyNumberFormat="1" applyFont="1" applyFill="1" applyBorder="1" applyAlignment="1">
      <alignment vertical="top" wrapText="1"/>
    </xf>
    <xf numFmtId="3" fontId="6" fillId="0" borderId="1" xfId="0" applyNumberFormat="1" applyFont="1" applyFill="1" applyBorder="1" applyAlignment="1">
      <alignment vertical="top" wrapText="1"/>
    </xf>
    <xf numFmtId="0" fontId="6" fillId="0" borderId="1" xfId="0" applyNumberFormat="1" applyFont="1" applyFill="1" applyBorder="1" applyAlignment="1">
      <alignment horizontal="center" vertical="top" wrapText="1"/>
    </xf>
    <xf numFmtId="3" fontId="5" fillId="9" borderId="1" xfId="2" applyNumberFormat="1" applyFont="1" applyFill="1" applyBorder="1" applyAlignment="1">
      <alignment horizontal="right" vertical="top" wrapText="1"/>
    </xf>
    <xf numFmtId="0" fontId="5" fillId="9" borderId="1" xfId="3" applyNumberFormat="1" applyFont="1" applyFill="1" applyBorder="1" applyAlignment="1">
      <alignment horizontal="right" vertical="top" wrapText="1"/>
    </xf>
    <xf numFmtId="3" fontId="5" fillId="9" borderId="1" xfId="0" applyNumberFormat="1" applyFont="1" applyFill="1" applyBorder="1" applyAlignment="1">
      <alignment horizontal="center" vertical="top" wrapText="1"/>
    </xf>
    <xf numFmtId="0" fontId="5" fillId="0" borderId="1" xfId="0" applyFont="1" applyFill="1" applyBorder="1" applyAlignment="1">
      <alignment horizontal="center" vertical="top" wrapText="1"/>
    </xf>
    <xf numFmtId="164" fontId="6" fillId="0" borderId="1" xfId="1" applyNumberFormat="1" applyFont="1" applyFill="1" applyBorder="1" applyAlignment="1">
      <alignment vertical="top" wrapText="1"/>
    </xf>
    <xf numFmtId="0" fontId="4" fillId="9" borderId="4" xfId="2" applyNumberFormat="1" applyFont="1" applyFill="1" applyBorder="1" applyAlignment="1">
      <alignment horizontal="left" vertical="top" wrapText="1"/>
    </xf>
    <xf numFmtId="0" fontId="5" fillId="9" borderId="32" xfId="0" applyFont="1" applyFill="1" applyBorder="1" applyAlignment="1">
      <alignment horizontal="left" vertical="top" wrapText="1"/>
    </xf>
    <xf numFmtId="0" fontId="5" fillId="11" borderId="1" xfId="0" applyFont="1" applyFill="1" applyBorder="1" applyAlignment="1">
      <alignment vertical="center" wrapText="1"/>
    </xf>
    <xf numFmtId="0" fontId="4" fillId="9" borderId="4" xfId="0" applyFont="1" applyFill="1" applyBorder="1" applyAlignment="1">
      <alignment vertical="top" wrapText="1"/>
    </xf>
    <xf numFmtId="0" fontId="6" fillId="0" borderId="4" xfId="0" applyFont="1" applyFill="1" applyBorder="1" applyAlignment="1">
      <alignment horizontal="left" vertical="top" wrapText="1"/>
    </xf>
    <xf numFmtId="0" fontId="6" fillId="0" borderId="4" xfId="0" applyFont="1" applyFill="1" applyBorder="1" applyAlignment="1">
      <alignment horizontal="center" vertical="top" wrapText="1"/>
    </xf>
    <xf numFmtId="0" fontId="11" fillId="0" borderId="2" xfId="5" applyFont="1" applyBorder="1" applyAlignment="1">
      <alignment vertical="top" wrapText="1"/>
    </xf>
    <xf numFmtId="0" fontId="11" fillId="0" borderId="4" xfId="5" applyFont="1" applyBorder="1" applyAlignment="1">
      <alignment vertical="top" wrapText="1"/>
    </xf>
    <xf numFmtId="0" fontId="11" fillId="0" borderId="3" xfId="5" applyFont="1" applyBorder="1" applyAlignment="1">
      <alignment vertical="top" wrapText="1"/>
    </xf>
    <xf numFmtId="0" fontId="4" fillId="4" borderId="1" xfId="0" applyFont="1" applyFill="1" applyBorder="1" applyAlignment="1">
      <alignment horizontal="right" vertical="top"/>
    </xf>
    <xf numFmtId="0" fontId="6" fillId="0" borderId="3" xfId="0" applyFont="1" applyBorder="1" applyAlignment="1">
      <alignment wrapText="1"/>
    </xf>
    <xf numFmtId="164" fontId="6" fillId="0" borderId="1" xfId="0" applyNumberFormat="1" applyFont="1" applyBorder="1" applyAlignment="1">
      <alignment horizontal="right" vertical="top" wrapText="1"/>
    </xf>
    <xf numFmtId="164" fontId="6" fillId="4" borderId="1" xfId="0" applyNumberFormat="1" applyFont="1" applyFill="1" applyBorder="1" applyAlignment="1">
      <alignment vertical="top" wrapText="1"/>
    </xf>
    <xf numFmtId="164" fontId="6" fillId="0" borderId="1" xfId="0" applyNumberFormat="1" applyFont="1" applyBorder="1" applyAlignment="1">
      <alignment vertical="top" wrapText="1"/>
    </xf>
    <xf numFmtId="43" fontId="6" fillId="0" borderId="1" xfId="0" applyNumberFormat="1" applyFont="1" applyBorder="1" applyAlignment="1">
      <alignment horizontal="right" vertical="top" wrapText="1"/>
    </xf>
    <xf numFmtId="164" fontId="5" fillId="0" borderId="1" xfId="0" applyNumberFormat="1" applyFont="1" applyFill="1" applyBorder="1" applyAlignment="1">
      <alignment horizontal="right" vertical="top" wrapText="1"/>
    </xf>
    <xf numFmtId="164" fontId="5" fillId="9" borderId="1" xfId="0" applyNumberFormat="1" applyFont="1" applyFill="1" applyBorder="1" applyAlignment="1">
      <alignment vertical="top" wrapText="1"/>
    </xf>
    <xf numFmtId="43" fontId="5" fillId="9" borderId="1" xfId="0" applyNumberFormat="1" applyFont="1" applyFill="1" applyBorder="1" applyAlignment="1">
      <alignment vertical="top" wrapText="1"/>
    </xf>
    <xf numFmtId="164" fontId="6" fillId="9" borderId="1" xfId="0" applyNumberFormat="1" applyFont="1" applyFill="1" applyBorder="1" applyAlignment="1">
      <alignment horizontal="right" vertical="top" wrapText="1"/>
    </xf>
    <xf numFmtId="0" fontId="10" fillId="9" borderId="1" xfId="0" applyFont="1" applyFill="1" applyBorder="1" applyAlignment="1">
      <alignment horizontal="center" vertical="top" wrapText="1"/>
    </xf>
    <xf numFmtId="164" fontId="5" fillId="9" borderId="1" xfId="0" applyNumberFormat="1" applyFont="1" applyFill="1" applyBorder="1" applyAlignment="1">
      <alignment horizontal="right" vertical="top" wrapText="1"/>
    </xf>
    <xf numFmtId="41" fontId="5" fillId="9" borderId="1" xfId="2" applyFont="1" applyFill="1" applyBorder="1" applyAlignment="1">
      <alignment horizontal="center" vertical="top" wrapText="1"/>
    </xf>
    <xf numFmtId="43" fontId="5" fillId="9" borderId="1" xfId="0" applyNumberFormat="1" applyFont="1" applyFill="1" applyBorder="1" applyAlignment="1">
      <alignment horizontal="right" vertical="top" wrapText="1"/>
    </xf>
    <xf numFmtId="0" fontId="5" fillId="9" borderId="1" xfId="0" applyFont="1" applyFill="1" applyBorder="1" applyAlignment="1">
      <alignment horizontal="right" vertical="top" wrapText="1"/>
    </xf>
    <xf numFmtId="166" fontId="5" fillId="9" borderId="1" xfId="0" applyNumberFormat="1" applyFont="1" applyFill="1" applyBorder="1" applyAlignment="1">
      <alignment horizontal="right" vertical="top" wrapText="1"/>
    </xf>
    <xf numFmtId="0" fontId="5" fillId="9" borderId="1" xfId="0" quotePrefix="1" applyFont="1" applyFill="1" applyBorder="1" applyAlignment="1">
      <alignment horizontal="left" vertical="top" wrapText="1"/>
    </xf>
    <xf numFmtId="172" fontId="5" fillId="9" borderId="1" xfId="0" applyNumberFormat="1" applyFont="1" applyFill="1" applyBorder="1" applyAlignment="1">
      <alignment horizontal="right" vertical="top" wrapText="1"/>
    </xf>
    <xf numFmtId="43" fontId="5" fillId="9" borderId="1" xfId="0" applyNumberFormat="1" applyFont="1" applyFill="1" applyBorder="1" applyAlignment="1">
      <alignment horizontal="right" vertical="top" wrapText="1"/>
    </xf>
    <xf numFmtId="164" fontId="5" fillId="9" borderId="1" xfId="1" applyNumberFormat="1" applyFont="1" applyFill="1" applyBorder="1" applyAlignment="1">
      <alignment horizontal="center" vertical="top" wrapText="1"/>
    </xf>
    <xf numFmtId="164" fontId="5" fillId="9" borderId="1" xfId="0" applyNumberFormat="1" applyFont="1" applyFill="1" applyBorder="1" applyAlignment="1">
      <alignment horizontal="right" vertical="top" wrapText="1"/>
    </xf>
    <xf numFmtId="0" fontId="5" fillId="9" borderId="1" xfId="0" applyFont="1" applyFill="1" applyBorder="1" applyAlignment="1">
      <alignment horizontal="right" vertical="top" wrapText="1"/>
    </xf>
    <xf numFmtId="41" fontId="5" fillId="9" borderId="1" xfId="0" applyNumberFormat="1" applyFont="1" applyFill="1" applyBorder="1" applyAlignment="1">
      <alignment horizontal="center" vertical="top" wrapText="1"/>
    </xf>
    <xf numFmtId="41" fontId="5" fillId="9" borderId="1" xfId="2" applyFont="1" applyFill="1" applyBorder="1" applyAlignment="1">
      <alignment horizontal="center" vertical="top" wrapText="1"/>
    </xf>
    <xf numFmtId="0" fontId="11" fillId="0" borderId="2" xfId="5" applyFont="1" applyBorder="1" applyAlignment="1">
      <alignment vertical="top" wrapText="1"/>
    </xf>
    <xf numFmtId="0" fontId="11" fillId="0" borderId="4" xfId="5" applyFont="1" applyBorder="1" applyAlignment="1">
      <alignment vertical="top" wrapText="1"/>
    </xf>
    <xf numFmtId="0" fontId="6" fillId="0" borderId="2" xfId="0" applyFont="1" applyBorder="1" applyAlignment="1">
      <alignment horizontal="center" vertical="top" wrapText="1"/>
    </xf>
    <xf numFmtId="0" fontId="6" fillId="0" borderId="4" xfId="0" applyFont="1" applyBorder="1" applyAlignment="1">
      <alignment horizontal="center" vertical="top" wrapText="1"/>
    </xf>
    <xf numFmtId="2" fontId="5" fillId="4" borderId="1" xfId="0" applyNumberFormat="1" applyFont="1" applyFill="1" applyBorder="1" applyAlignment="1">
      <alignment vertical="center" wrapText="1"/>
    </xf>
    <xf numFmtId="0" fontId="5" fillId="0" borderId="0" xfId="0" applyFont="1" applyBorder="1" applyAlignment="1">
      <alignment horizontal="center" vertical="top" wrapText="1"/>
    </xf>
    <xf numFmtId="0" fontId="11" fillId="4" borderId="1" xfId="5" applyFont="1" applyFill="1" applyBorder="1" applyAlignment="1">
      <alignment vertical="top" wrapText="1"/>
    </xf>
    <xf numFmtId="0" fontId="11" fillId="4" borderId="10" xfId="5" applyNumberFormat="1" applyFont="1" applyFill="1" applyBorder="1" applyAlignment="1">
      <alignment horizontal="right" vertical="top" wrapText="1"/>
    </xf>
    <xf numFmtId="185" fontId="11" fillId="0" borderId="1" xfId="0" applyNumberFormat="1" applyFont="1" applyBorder="1" applyAlignment="1">
      <alignment horizontal="right" vertical="top" wrapText="1"/>
    </xf>
    <xf numFmtId="185" fontId="11" fillId="4" borderId="1" xfId="0" applyNumberFormat="1" applyFont="1" applyFill="1" applyBorder="1" applyAlignment="1">
      <alignment horizontal="right" vertical="top" wrapText="1"/>
    </xf>
    <xf numFmtId="41" fontId="11" fillId="4" borderId="1" xfId="4" applyFont="1" applyFill="1" applyBorder="1" applyAlignment="1">
      <alignment horizontal="right" vertical="top" wrapText="1"/>
    </xf>
    <xf numFmtId="49" fontId="11" fillId="4" borderId="10" xfId="5" applyNumberFormat="1" applyFont="1" applyFill="1" applyBorder="1" applyAlignment="1">
      <alignment horizontal="right" vertical="top" wrapText="1"/>
    </xf>
    <xf numFmtId="0" fontId="11" fillId="4" borderId="1" xfId="5" applyFont="1" applyFill="1" applyBorder="1" applyAlignment="1">
      <alignment horizontal="left" vertical="top" wrapText="1"/>
    </xf>
    <xf numFmtId="41" fontId="11" fillId="0" borderId="1" xfId="4" applyFont="1" applyBorder="1" applyAlignment="1">
      <alignment horizontal="right" vertical="top" wrapText="1"/>
    </xf>
    <xf numFmtId="0" fontId="4" fillId="9"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41" fontId="11" fillId="9" borderId="1" xfId="2" applyNumberFormat="1" applyFont="1" applyFill="1" applyBorder="1" applyAlignment="1">
      <alignment horizontal="right" vertical="top" wrapText="1"/>
    </xf>
    <xf numFmtId="0" fontId="11" fillId="0" borderId="4" xfId="0" applyNumberFormat="1" applyFont="1" applyFill="1" applyBorder="1" applyAlignment="1">
      <alignment vertical="top" wrapText="1"/>
    </xf>
    <xf numFmtId="0" fontId="11" fillId="4" borderId="4" xfId="0" applyFont="1" applyFill="1" applyBorder="1" applyAlignment="1">
      <alignment horizontal="left" vertical="top" wrapText="1"/>
    </xf>
    <xf numFmtId="41" fontId="11" fillId="4" borderId="1" xfId="0" applyNumberFormat="1" applyFont="1" applyFill="1" applyBorder="1" applyAlignment="1">
      <alignment horizontal="right" vertical="top" wrapText="1"/>
    </xf>
    <xf numFmtId="2" fontId="11" fillId="4" borderId="1" xfId="4" applyNumberFormat="1" applyFont="1" applyFill="1" applyBorder="1" applyAlignment="1">
      <alignment horizontal="right" vertical="top" wrapText="1"/>
    </xf>
    <xf numFmtId="0" fontId="11" fillId="0" borderId="0" xfId="0" applyFont="1" applyFill="1" applyBorder="1" applyAlignment="1">
      <alignment vertical="top" wrapText="1"/>
    </xf>
    <xf numFmtId="0" fontId="11" fillId="0" borderId="0" xfId="0" applyFont="1" applyFill="1" applyAlignment="1">
      <alignment vertical="top" wrapText="1"/>
    </xf>
    <xf numFmtId="0" fontId="11" fillId="4" borderId="4" xfId="0" applyNumberFormat="1" applyFont="1" applyFill="1" applyBorder="1" applyAlignment="1">
      <alignment vertical="top" wrapText="1"/>
    </xf>
    <xf numFmtId="1" fontId="11" fillId="4" borderId="1" xfId="4" applyNumberFormat="1" applyFont="1" applyFill="1" applyBorder="1" applyAlignment="1">
      <alignment horizontal="right" vertical="top" wrapText="1"/>
    </xf>
    <xf numFmtId="0" fontId="11" fillId="4" borderId="10" xfId="0" applyFont="1" applyFill="1" applyBorder="1" applyAlignment="1">
      <alignment horizontal="right" vertical="top" wrapText="1"/>
    </xf>
    <xf numFmtId="0" fontId="11" fillId="4" borderId="6" xfId="0" applyFont="1" applyFill="1" applyBorder="1" applyAlignment="1">
      <alignment horizontal="right" vertical="top" wrapText="1"/>
    </xf>
    <xf numFmtId="41" fontId="11" fillId="4" borderId="4" xfId="4" applyFont="1" applyFill="1" applyBorder="1" applyAlignment="1">
      <alignment horizontal="right" vertical="top" wrapText="1"/>
    </xf>
    <xf numFmtId="0" fontId="11" fillId="4" borderId="11" xfId="0" applyFont="1" applyFill="1" applyBorder="1" applyAlignment="1">
      <alignment horizontal="left" vertical="top" wrapText="1"/>
    </xf>
    <xf numFmtId="0" fontId="11" fillId="4" borderId="1" xfId="0" quotePrefix="1" applyFont="1" applyFill="1" applyBorder="1" applyAlignment="1">
      <alignment horizontal="center" vertical="top" wrapText="1"/>
    </xf>
    <xf numFmtId="41" fontId="4" fillId="9" borderId="1" xfId="4" applyFont="1" applyFill="1" applyBorder="1" applyAlignment="1">
      <alignment horizontal="right" vertical="top" wrapText="1"/>
    </xf>
    <xf numFmtId="49" fontId="11" fillId="4" borderId="12" xfId="5" applyNumberFormat="1" applyFont="1" applyFill="1" applyBorder="1" applyAlignment="1">
      <alignment horizontal="right" vertical="top" wrapText="1"/>
    </xf>
    <xf numFmtId="41" fontId="11" fillId="4" borderId="1" xfId="7" applyNumberFormat="1" applyFont="1" applyFill="1" applyBorder="1" applyAlignment="1">
      <alignment vertical="top" wrapText="1"/>
    </xf>
    <xf numFmtId="41" fontId="11" fillId="4" borderId="1" xfId="2" applyNumberFormat="1" applyFont="1" applyFill="1" applyBorder="1" applyAlignment="1">
      <alignment horizontal="right" vertical="top" wrapText="1"/>
    </xf>
    <xf numFmtId="0" fontId="11" fillId="4" borderId="1" xfId="5" applyFont="1" applyFill="1" applyBorder="1" applyAlignment="1">
      <alignment horizontal="justify" vertical="top" wrapText="1"/>
    </xf>
    <xf numFmtId="49" fontId="11" fillId="4" borderId="6" xfId="5" applyNumberFormat="1" applyFont="1" applyFill="1" applyBorder="1" applyAlignment="1">
      <alignment horizontal="right" vertical="top" wrapText="1"/>
    </xf>
    <xf numFmtId="166" fontId="4" fillId="9" borderId="1" xfId="4" applyNumberFormat="1" applyFont="1" applyFill="1" applyBorder="1" applyAlignment="1">
      <alignment horizontal="right" vertical="top" wrapText="1"/>
    </xf>
    <xf numFmtId="41" fontId="11" fillId="4" borderId="1" xfId="4" applyFont="1" applyFill="1" applyBorder="1" applyAlignment="1">
      <alignment vertical="top" wrapText="1"/>
    </xf>
    <xf numFmtId="41" fontId="11" fillId="4" borderId="1" xfId="2" quotePrefix="1" applyNumberFormat="1" applyFont="1" applyFill="1" applyBorder="1" applyAlignment="1">
      <alignment horizontal="right" vertical="top" wrapText="1"/>
    </xf>
    <xf numFmtId="0" fontId="11" fillId="4" borderId="12" xfId="0" applyFont="1" applyFill="1" applyBorder="1" applyAlignment="1">
      <alignment vertical="top" wrapText="1"/>
    </xf>
    <xf numFmtId="0" fontId="11" fillId="9" borderId="1" xfId="0" applyFont="1" applyFill="1" applyBorder="1" applyAlignment="1">
      <alignment vertical="top" wrapText="1"/>
    </xf>
    <xf numFmtId="0" fontId="6" fillId="4" borderId="10" xfId="0" applyFont="1" applyFill="1" applyBorder="1" applyAlignment="1">
      <alignment horizontal="right" vertical="top" wrapText="1"/>
    </xf>
    <xf numFmtId="41" fontId="11" fillId="4" borderId="1" xfId="4" applyFont="1" applyFill="1" applyBorder="1" applyAlignment="1">
      <alignment horizontal="center" vertical="top" wrapText="1"/>
    </xf>
    <xf numFmtId="0" fontId="11" fillId="4" borderId="1" xfId="0" applyFont="1" applyFill="1" applyBorder="1" applyAlignment="1">
      <alignment horizontal="justify" vertical="top" wrapText="1"/>
    </xf>
    <xf numFmtId="41" fontId="11" fillId="4" borderId="1" xfId="4" quotePrefix="1" applyFont="1" applyFill="1" applyBorder="1" applyAlignment="1">
      <alignment horizontal="center" vertical="top" wrapText="1"/>
    </xf>
    <xf numFmtId="0" fontId="11" fillId="4" borderId="2" xfId="0" applyFont="1" applyFill="1" applyBorder="1" applyAlignment="1">
      <alignment vertical="top" wrapText="1"/>
    </xf>
    <xf numFmtId="0" fontId="4" fillId="9" borderId="1" xfId="0" applyFont="1" applyFill="1" applyBorder="1" applyAlignment="1">
      <alignment horizontal="center" vertical="top" wrapText="1"/>
    </xf>
    <xf numFmtId="0" fontId="11" fillId="4" borderId="2" xfId="0" applyNumberFormat="1" applyFont="1" applyFill="1" applyBorder="1" applyAlignment="1">
      <alignment vertical="top" wrapText="1"/>
    </xf>
    <xf numFmtId="41" fontId="11" fillId="4" borderId="2" xfId="4" applyFont="1" applyFill="1" applyBorder="1" applyAlignment="1">
      <alignment horizontal="right" vertical="top" wrapText="1"/>
    </xf>
    <xf numFmtId="3" fontId="11" fillId="4" borderId="1" xfId="4" applyNumberFormat="1" applyFont="1" applyFill="1" applyBorder="1" applyAlignment="1">
      <alignment horizontal="right" vertical="top" wrapText="1"/>
    </xf>
    <xf numFmtId="0" fontId="12" fillId="4" borderId="1" xfId="0" applyFont="1" applyFill="1" applyBorder="1" applyAlignment="1">
      <alignment vertical="top" wrapText="1"/>
    </xf>
    <xf numFmtId="0" fontId="11" fillId="4" borderId="1" xfId="0" quotePrefix="1" applyFont="1" applyFill="1" applyBorder="1" applyAlignment="1">
      <alignment horizontal="right" vertical="top" wrapText="1"/>
    </xf>
    <xf numFmtId="3" fontId="11" fillId="4" borderId="1" xfId="4" quotePrefix="1" applyNumberFormat="1" applyFont="1" applyFill="1" applyBorder="1" applyAlignment="1">
      <alignment horizontal="right" vertical="top" wrapText="1"/>
    </xf>
    <xf numFmtId="0" fontId="12" fillId="4" borderId="1" xfId="0" applyFont="1" applyFill="1" applyBorder="1" applyAlignment="1">
      <alignment horizontal="center" vertical="top" wrapText="1"/>
    </xf>
    <xf numFmtId="1" fontId="11" fillId="4" borderId="10" xfId="5" applyNumberFormat="1" applyFont="1" applyFill="1" applyBorder="1" applyAlignment="1">
      <alignment horizontal="right" vertical="top" wrapText="1"/>
    </xf>
    <xf numFmtId="0" fontId="6" fillId="0" borderId="41" xfId="0" applyFont="1" applyFill="1" applyBorder="1" applyAlignment="1">
      <alignment horizontal="center" vertical="center" wrapText="1"/>
    </xf>
    <xf numFmtId="0" fontId="4" fillId="4" borderId="1" xfId="0" applyFont="1" applyFill="1" applyBorder="1" applyAlignment="1">
      <alignment horizontal="right" vertical="center"/>
    </xf>
    <xf numFmtId="0" fontId="6" fillId="4" borderId="1" xfId="0" quotePrefix="1" applyFont="1" applyFill="1" applyBorder="1" applyAlignment="1">
      <alignment horizontal="center" vertical="top" wrapText="1"/>
    </xf>
    <xf numFmtId="41" fontId="6" fillId="4" borderId="1" xfId="2" applyFont="1" applyFill="1" applyBorder="1" applyAlignment="1">
      <alignment horizontal="center" vertical="top" wrapText="1"/>
    </xf>
    <xf numFmtId="0" fontId="6" fillId="4" borderId="41" xfId="0" applyFont="1" applyFill="1" applyBorder="1" applyAlignment="1">
      <alignment horizontal="center" vertical="top" wrapText="1"/>
    </xf>
    <xf numFmtId="0" fontId="5" fillId="9" borderId="1" xfId="0" quotePrefix="1" applyFont="1" applyFill="1" applyBorder="1" applyAlignment="1">
      <alignment horizontal="center" vertical="center" wrapText="1"/>
    </xf>
    <xf numFmtId="0" fontId="5" fillId="9" borderId="1" xfId="0" applyNumberFormat="1" applyFont="1" applyFill="1" applyBorder="1" applyAlignment="1">
      <alignment vertical="top" wrapText="1"/>
    </xf>
    <xf numFmtId="43" fontId="5" fillId="9" borderId="1" xfId="1" applyNumberFormat="1" applyFont="1" applyFill="1" applyBorder="1" applyAlignment="1">
      <alignment vertical="top" wrapText="1"/>
    </xf>
    <xf numFmtId="41" fontId="6" fillId="0" borderId="1" xfId="2" applyNumberFormat="1" applyFont="1" applyBorder="1" applyAlignment="1">
      <alignment vertical="top" wrapText="1"/>
    </xf>
    <xf numFmtId="1" fontId="6" fillId="0" borderId="1" xfId="0" applyNumberFormat="1" applyFont="1" applyBorder="1" applyAlignment="1">
      <alignment vertical="top" wrapText="1"/>
    </xf>
    <xf numFmtId="43" fontId="6" fillId="0" borderId="1" xfId="1" applyNumberFormat="1" applyFont="1" applyBorder="1" applyAlignment="1">
      <alignment vertical="top" wrapText="1"/>
    </xf>
    <xf numFmtId="0" fontId="5" fillId="9" borderId="1" xfId="2" applyNumberFormat="1" applyFont="1" applyFill="1" applyBorder="1" applyAlignment="1">
      <alignment vertical="top" wrapText="1"/>
    </xf>
    <xf numFmtId="0" fontId="6" fillId="9" borderId="41" xfId="0" applyFont="1" applyFill="1" applyBorder="1" applyAlignment="1">
      <alignment horizontal="center" vertical="top" wrapText="1"/>
    </xf>
    <xf numFmtId="0" fontId="6" fillId="0" borderId="1" xfId="2" applyNumberFormat="1" applyFont="1" applyBorder="1" applyAlignment="1">
      <alignment vertical="top" wrapText="1"/>
    </xf>
    <xf numFmtId="9" fontId="5" fillId="9" borderId="1" xfId="3" applyFont="1" applyFill="1" applyBorder="1" applyAlignment="1">
      <alignment vertical="top" wrapText="1"/>
    </xf>
    <xf numFmtId="0" fontId="6" fillId="0" borderId="1" xfId="0" quotePrefix="1" applyFont="1" applyBorder="1" applyAlignment="1">
      <alignment horizontal="right" vertical="top" wrapText="1"/>
    </xf>
    <xf numFmtId="41" fontId="6" fillId="0" borderId="1" xfId="2" quotePrefix="1" applyFont="1" applyBorder="1" applyAlignment="1">
      <alignment horizontal="right" vertical="top" wrapText="1"/>
    </xf>
    <xf numFmtId="0" fontId="6" fillId="9" borderId="1" xfId="0" quotePrefix="1" applyFont="1" applyFill="1" applyBorder="1" applyAlignment="1">
      <alignment horizontal="center" vertical="top" wrapText="1"/>
    </xf>
    <xf numFmtId="0" fontId="9" fillId="9" borderId="1" xfId="0" applyFont="1" applyFill="1" applyBorder="1" applyAlignment="1">
      <alignment vertical="top" wrapText="1"/>
    </xf>
    <xf numFmtId="0" fontId="6" fillId="0" borderId="1" xfId="0" quotePrefix="1" applyFont="1" applyBorder="1" applyAlignment="1">
      <alignment horizontal="center" vertical="center" wrapText="1"/>
    </xf>
    <xf numFmtId="0" fontId="9" fillId="0" borderId="1" xfId="0" quotePrefix="1" applyFont="1" applyBorder="1" applyAlignment="1">
      <alignment horizontal="center" vertical="top" wrapText="1"/>
    </xf>
    <xf numFmtId="9" fontId="6" fillId="0" borderId="1" xfId="0" applyNumberFormat="1" applyFont="1" applyBorder="1" applyAlignment="1">
      <alignment vertical="top" wrapText="1"/>
    </xf>
    <xf numFmtId="9" fontId="6" fillId="0" borderId="1" xfId="3" applyFont="1" applyBorder="1" applyAlignment="1">
      <alignment vertical="top" wrapText="1"/>
    </xf>
    <xf numFmtId="0" fontId="5" fillId="4" borderId="41" xfId="0" applyFont="1" applyFill="1" applyBorder="1" applyAlignment="1">
      <alignment horizontal="center" vertical="top" wrapText="1"/>
    </xf>
    <xf numFmtId="0" fontId="5" fillId="0" borderId="41" xfId="0" applyFont="1" applyFill="1" applyBorder="1" applyAlignment="1">
      <alignment horizontal="center" vertical="top" wrapText="1"/>
    </xf>
    <xf numFmtId="0" fontId="6" fillId="0" borderId="1" xfId="0" quotePrefix="1" applyFont="1" applyFill="1" applyBorder="1" applyAlignment="1">
      <alignment horizontal="center" vertical="top" wrapText="1"/>
    </xf>
    <xf numFmtId="0" fontId="5" fillId="9" borderId="1" xfId="0" applyFont="1" applyFill="1" applyBorder="1" applyAlignment="1">
      <alignment horizontal="left" vertical="top" wrapText="1"/>
    </xf>
    <xf numFmtId="0" fontId="5" fillId="9" borderId="2" xfId="0" applyFont="1" applyFill="1" applyBorder="1" applyAlignment="1">
      <alignment horizontal="left" vertical="top" wrapText="1"/>
    </xf>
    <xf numFmtId="0" fontId="5" fillId="9" borderId="2" xfId="0" applyFont="1" applyFill="1" applyBorder="1" applyAlignment="1">
      <alignment horizontal="right" vertical="top" wrapText="1"/>
    </xf>
    <xf numFmtId="41" fontId="6" fillId="0" borderId="1" xfId="0" applyNumberFormat="1" applyFont="1" applyFill="1" applyBorder="1" applyAlignment="1">
      <alignment vertical="top" wrapText="1"/>
    </xf>
    <xf numFmtId="0" fontId="7" fillId="9" borderId="1" xfId="0" quotePrefix="1" applyFont="1" applyFill="1" applyBorder="1" applyAlignment="1">
      <alignment horizontal="center" vertical="top" wrapText="1"/>
    </xf>
    <xf numFmtId="0" fontId="7" fillId="9" borderId="1" xfId="0" applyFont="1" applyFill="1" applyBorder="1" applyAlignment="1">
      <alignment horizontal="left" vertical="top" wrapText="1"/>
    </xf>
    <xf numFmtId="41" fontId="7" fillId="9" borderId="1" xfId="6" applyFont="1" applyFill="1" applyBorder="1" applyAlignment="1">
      <alignment horizontal="right" vertical="top" wrapText="1"/>
    </xf>
    <xf numFmtId="164" fontId="7" fillId="9" borderId="1" xfId="1" applyNumberFormat="1" applyFont="1" applyFill="1" applyBorder="1" applyAlignment="1">
      <alignment vertical="top" wrapText="1"/>
    </xf>
    <xf numFmtId="0" fontId="7" fillId="9" borderId="10" xfId="0" applyFont="1" applyFill="1" applyBorder="1" applyAlignment="1">
      <alignment horizontal="right" vertical="top" wrapText="1"/>
    </xf>
    <xf numFmtId="41" fontId="7" fillId="9" borderId="1" xfId="6" applyFont="1" applyFill="1" applyBorder="1" applyAlignment="1">
      <alignment horizontal="center" vertical="top" wrapText="1"/>
    </xf>
    <xf numFmtId="0" fontId="7" fillId="9" borderId="11" xfId="3" applyNumberFormat="1" applyFont="1" applyFill="1" applyBorder="1" applyAlignment="1">
      <alignment horizontal="right" vertical="top" wrapText="1"/>
    </xf>
    <xf numFmtId="1" fontId="7" fillId="9" borderId="1" xfId="3" applyNumberFormat="1" applyFont="1" applyFill="1" applyBorder="1" applyAlignment="1">
      <alignment vertical="top" wrapText="1"/>
    </xf>
    <xf numFmtId="41" fontId="7" fillId="9" borderId="1" xfId="6" applyFont="1" applyFill="1" applyBorder="1" applyAlignment="1">
      <alignment vertical="top" wrapText="1"/>
    </xf>
    <xf numFmtId="41" fontId="7" fillId="9" borderId="10" xfId="0" applyNumberFormat="1" applyFont="1" applyFill="1" applyBorder="1" applyAlignment="1">
      <alignment vertical="top" wrapText="1"/>
    </xf>
    <xf numFmtId="2" fontId="7" fillId="9" borderId="1" xfId="0" applyNumberFormat="1" applyFont="1" applyFill="1" applyBorder="1" applyAlignment="1">
      <alignment horizontal="right" vertical="top" wrapText="1"/>
    </xf>
    <xf numFmtId="0" fontId="8" fillId="5" borderId="1" xfId="0" quotePrefix="1" applyFont="1" applyFill="1" applyBorder="1" applyAlignment="1">
      <alignment horizontal="center" vertical="top" wrapText="1"/>
    </xf>
    <xf numFmtId="0" fontId="8" fillId="5" borderId="1" xfId="0" applyFont="1" applyFill="1" applyBorder="1" applyAlignment="1">
      <alignment horizontal="center" vertical="top" wrapText="1"/>
    </xf>
    <xf numFmtId="0" fontId="8" fillId="5" borderId="1" xfId="0" applyFont="1" applyFill="1" applyBorder="1" applyAlignment="1">
      <alignment horizontal="right" vertical="top" wrapText="1"/>
    </xf>
    <xf numFmtId="41" fontId="8" fillId="5" borderId="1" xfId="6" applyFont="1" applyFill="1" applyBorder="1" applyAlignment="1">
      <alignment horizontal="right" vertical="top" wrapText="1"/>
    </xf>
    <xf numFmtId="41" fontId="8" fillId="5" borderId="1" xfId="0" applyNumberFormat="1" applyFont="1" applyFill="1" applyBorder="1" applyAlignment="1">
      <alignment horizontal="right" vertical="top" wrapText="1"/>
    </xf>
    <xf numFmtId="164" fontId="8" fillId="5" borderId="1" xfId="1" applyNumberFormat="1" applyFont="1" applyFill="1" applyBorder="1" applyAlignment="1">
      <alignment vertical="top" wrapText="1"/>
    </xf>
    <xf numFmtId="41" fontId="8" fillId="5" borderId="1" xfId="6" applyFont="1" applyFill="1" applyBorder="1" applyAlignment="1">
      <alignment horizontal="center" vertical="top" wrapText="1"/>
    </xf>
    <xf numFmtId="0" fontId="8" fillId="5" borderId="11" xfId="6" applyNumberFormat="1" applyFont="1" applyFill="1" applyBorder="1" applyAlignment="1">
      <alignment horizontal="right" vertical="top" wrapText="1"/>
    </xf>
    <xf numFmtId="41" fontId="8" fillId="5" borderId="1" xfId="6" applyNumberFormat="1" applyFont="1" applyFill="1" applyBorder="1" applyAlignment="1">
      <alignment vertical="top" wrapText="1"/>
    </xf>
    <xf numFmtId="1" fontId="8" fillId="5" borderId="1" xfId="6" applyNumberFormat="1" applyFont="1" applyFill="1" applyBorder="1" applyAlignment="1">
      <alignment vertical="top" wrapText="1"/>
    </xf>
    <xf numFmtId="41" fontId="8" fillId="5" borderId="1" xfId="2" applyNumberFormat="1" applyFont="1" applyFill="1" applyBorder="1" applyAlignment="1">
      <alignment horizontal="center" vertical="top" wrapText="1"/>
    </xf>
    <xf numFmtId="166" fontId="8" fillId="5" borderId="1" xfId="6" applyNumberFormat="1" applyFont="1" applyFill="1" applyBorder="1" applyAlignment="1">
      <alignment horizontal="right" vertical="top" wrapText="1"/>
    </xf>
    <xf numFmtId="0" fontId="8" fillId="5" borderId="41" xfId="0" applyFont="1" applyFill="1" applyBorder="1" applyAlignment="1">
      <alignment horizontal="center" vertical="top" wrapText="1"/>
    </xf>
    <xf numFmtId="41" fontId="8" fillId="5" borderId="1" xfId="6" applyFont="1" applyFill="1" applyBorder="1" applyAlignment="1">
      <alignment horizontal="left" vertical="top" wrapText="1"/>
    </xf>
    <xf numFmtId="41" fontId="8" fillId="5" borderId="1" xfId="6" applyFont="1" applyFill="1" applyBorder="1" applyAlignment="1">
      <alignment vertical="top" wrapText="1"/>
    </xf>
    <xf numFmtId="41" fontId="8" fillId="5" borderId="1" xfId="6" quotePrefix="1" applyFont="1" applyFill="1" applyBorder="1" applyAlignment="1">
      <alignment horizontal="right" vertical="top" wrapText="1"/>
    </xf>
    <xf numFmtId="41" fontId="8" fillId="5" borderId="1" xfId="0" applyNumberFormat="1" applyFont="1" applyFill="1" applyBorder="1" applyAlignment="1">
      <alignment vertical="top" wrapText="1"/>
    </xf>
    <xf numFmtId="0" fontId="8" fillId="5" borderId="10" xfId="0" applyFont="1" applyFill="1" applyBorder="1" applyAlignment="1">
      <alignment horizontal="right" vertical="top" wrapText="1"/>
    </xf>
    <xf numFmtId="9" fontId="8" fillId="5" borderId="1" xfId="0" applyNumberFormat="1" applyFont="1" applyFill="1" applyBorder="1" applyAlignment="1">
      <alignment vertical="top" wrapText="1"/>
    </xf>
    <xf numFmtId="41" fontId="8" fillId="5" borderId="1" xfId="2" applyNumberFormat="1" applyFont="1" applyFill="1" applyBorder="1" applyAlignment="1">
      <alignment vertical="top" wrapText="1"/>
    </xf>
    <xf numFmtId="0" fontId="7" fillId="9" borderId="1" xfId="0" applyFont="1" applyFill="1" applyBorder="1" applyAlignment="1">
      <alignment horizontal="center" vertical="center" wrapText="1"/>
    </xf>
    <xf numFmtId="1" fontId="7" fillId="9" borderId="1" xfId="3" applyNumberFormat="1" applyFont="1" applyFill="1" applyBorder="1" applyAlignment="1">
      <alignment horizontal="right" vertical="top" wrapText="1"/>
    </xf>
    <xf numFmtId="41" fontId="7" fillId="9" borderId="10" xfId="6" applyFont="1" applyFill="1" applyBorder="1" applyAlignment="1">
      <alignment vertical="top" wrapText="1"/>
    </xf>
    <xf numFmtId="2" fontId="7" fillId="9" borderId="1" xfId="6" applyNumberFormat="1" applyFont="1" applyFill="1" applyBorder="1" applyAlignment="1">
      <alignment horizontal="right" vertical="top" wrapText="1"/>
    </xf>
    <xf numFmtId="0" fontId="8" fillId="5" borderId="1" xfId="6" applyNumberFormat="1" applyFont="1" applyFill="1" applyBorder="1" applyAlignment="1">
      <alignment horizontal="right" vertical="top" wrapText="1"/>
    </xf>
    <xf numFmtId="1" fontId="7" fillId="0" borderId="1" xfId="3" applyNumberFormat="1" applyFont="1" applyFill="1" applyBorder="1" applyAlignment="1">
      <alignment horizontal="right" vertical="top" wrapText="1"/>
    </xf>
    <xf numFmtId="41" fontId="8" fillId="5" borderId="10" xfId="6" applyFont="1" applyFill="1" applyBorder="1" applyAlignment="1">
      <alignment vertical="top" wrapText="1"/>
    </xf>
    <xf numFmtId="2" fontId="8" fillId="5" borderId="1" xfId="0" applyNumberFormat="1" applyFont="1" applyFill="1" applyBorder="1" applyAlignment="1">
      <alignment horizontal="right" vertical="top" wrapText="1"/>
    </xf>
    <xf numFmtId="2" fontId="8" fillId="5" borderId="1" xfId="6" applyNumberFormat="1" applyFont="1" applyFill="1" applyBorder="1" applyAlignment="1">
      <alignment horizontal="right" vertical="top" wrapText="1"/>
    </xf>
    <xf numFmtId="41" fontId="8" fillId="5" borderId="1" xfId="0" quotePrefix="1" applyNumberFormat="1" applyFont="1" applyFill="1" applyBorder="1" applyAlignment="1">
      <alignment horizontal="right" vertical="top" wrapText="1"/>
    </xf>
    <xf numFmtId="0" fontId="8" fillId="0" borderId="10" xfId="0" applyFont="1" applyBorder="1" applyAlignment="1">
      <alignment horizontal="right" vertical="top" wrapText="1"/>
    </xf>
    <xf numFmtId="41" fontId="8" fillId="5" borderId="1" xfId="0" quotePrefix="1" applyNumberFormat="1" applyFont="1" applyFill="1" applyBorder="1" applyAlignment="1">
      <alignment horizontal="center" vertical="top" wrapText="1"/>
    </xf>
    <xf numFmtId="41" fontId="8" fillId="5" borderId="10" xfId="0" applyNumberFormat="1" applyFont="1" applyFill="1" applyBorder="1" applyAlignment="1">
      <alignment vertical="top" wrapText="1"/>
    </xf>
    <xf numFmtId="0" fontId="8" fillId="0" borderId="1" xfId="0" quotePrefix="1" applyFont="1" applyFill="1" applyBorder="1" applyAlignment="1">
      <alignment horizontal="center" vertical="top" wrapText="1"/>
    </xf>
    <xf numFmtId="0" fontId="8" fillId="0" borderId="1" xfId="0" applyFont="1" applyFill="1" applyBorder="1" applyAlignment="1">
      <alignment horizontal="center" vertical="top" wrapText="1"/>
    </xf>
    <xf numFmtId="41" fontId="8" fillId="0" borderId="1" xfId="6" applyFont="1" applyFill="1" applyBorder="1" applyAlignment="1">
      <alignment horizontal="right" vertical="top" wrapText="1"/>
    </xf>
    <xf numFmtId="41" fontId="8" fillId="0" borderId="1" xfId="0" quotePrefix="1" applyNumberFormat="1" applyFont="1" applyFill="1" applyBorder="1" applyAlignment="1">
      <alignment horizontal="right" vertical="top" wrapText="1"/>
    </xf>
    <xf numFmtId="164" fontId="8" fillId="0" borderId="1" xfId="1" applyNumberFormat="1" applyFont="1" applyFill="1" applyBorder="1" applyAlignment="1">
      <alignment vertical="top" wrapText="1"/>
    </xf>
    <xf numFmtId="0" fontId="8" fillId="0" borderId="10" xfId="0" applyFont="1" applyFill="1" applyBorder="1" applyAlignment="1">
      <alignment horizontal="right" vertical="top" wrapText="1"/>
    </xf>
    <xf numFmtId="41" fontId="8" fillId="0" borderId="1" xfId="6" applyFont="1" applyFill="1" applyBorder="1" applyAlignment="1">
      <alignment horizontal="center" vertical="top" wrapText="1"/>
    </xf>
    <xf numFmtId="41" fontId="8" fillId="0" borderId="1" xfId="6" applyNumberFormat="1" applyFont="1" applyFill="1" applyBorder="1" applyAlignment="1">
      <alignment vertical="top" wrapText="1"/>
    </xf>
    <xf numFmtId="41" fontId="8" fillId="0" borderId="1" xfId="6" applyFont="1" applyFill="1" applyBorder="1" applyAlignment="1">
      <alignment vertical="top" wrapText="1"/>
    </xf>
    <xf numFmtId="41" fontId="8" fillId="0" borderId="10" xfId="6" applyFont="1" applyFill="1" applyBorder="1" applyAlignment="1">
      <alignment vertical="top" wrapText="1"/>
    </xf>
    <xf numFmtId="41" fontId="8" fillId="0" borderId="1" xfId="2" applyFont="1" applyFill="1" applyBorder="1" applyAlignment="1">
      <alignment vertical="top" wrapText="1"/>
    </xf>
    <xf numFmtId="2" fontId="8" fillId="0" borderId="1" xfId="0" applyNumberFormat="1" applyFont="1" applyFill="1" applyBorder="1" applyAlignment="1">
      <alignment horizontal="right" vertical="top" wrapText="1"/>
    </xf>
    <xf numFmtId="2" fontId="8" fillId="0" borderId="1" xfId="6" applyNumberFormat="1" applyFont="1" applyFill="1" applyBorder="1" applyAlignment="1">
      <alignment horizontal="right" vertical="top" wrapText="1"/>
    </xf>
    <xf numFmtId="0" fontId="8" fillId="9" borderId="1" xfId="0" quotePrefix="1" applyFont="1" applyFill="1" applyBorder="1" applyAlignment="1">
      <alignment horizontal="center" vertical="top" wrapText="1"/>
    </xf>
    <xf numFmtId="0" fontId="8" fillId="9" borderId="1" xfId="0" applyFont="1" applyFill="1" applyBorder="1" applyAlignment="1">
      <alignment horizontal="center" vertical="top" wrapText="1"/>
    </xf>
    <xf numFmtId="41" fontId="7" fillId="9" borderId="1" xfId="6" applyNumberFormat="1" applyFont="1" applyFill="1" applyBorder="1" applyAlignment="1">
      <alignment vertical="top" wrapText="1"/>
    </xf>
    <xf numFmtId="0" fontId="8" fillId="9" borderId="1" xfId="0" applyFont="1" applyFill="1" applyBorder="1" applyAlignment="1">
      <alignment vertical="top" wrapText="1"/>
    </xf>
    <xf numFmtId="2" fontId="8" fillId="9" borderId="1" xfId="6" applyNumberFormat="1" applyFont="1" applyFill="1" applyBorder="1" applyAlignment="1">
      <alignment vertical="top" wrapText="1"/>
    </xf>
    <xf numFmtId="41" fontId="8" fillId="9" borderId="1" xfId="6" applyFont="1" applyFill="1" applyBorder="1" applyAlignment="1">
      <alignment horizontal="center" vertical="top" wrapText="1"/>
    </xf>
    <xf numFmtId="2" fontId="8" fillId="9" borderId="1" xfId="6" applyNumberFormat="1" applyFont="1" applyFill="1" applyBorder="1" applyAlignment="1">
      <alignment horizontal="right" vertical="top" wrapText="1"/>
    </xf>
    <xf numFmtId="41" fontId="8" fillId="5" borderId="1" xfId="2" applyFont="1" applyFill="1" applyBorder="1" applyAlignment="1">
      <alignment horizontal="center" vertical="top" wrapText="1"/>
    </xf>
    <xf numFmtId="0" fontId="8" fillId="9" borderId="1" xfId="0" applyFont="1" applyFill="1" applyBorder="1" applyAlignment="1">
      <alignment horizontal="left" vertical="top" wrapText="1"/>
    </xf>
    <xf numFmtId="2" fontId="7" fillId="9" borderId="1" xfId="0" applyNumberFormat="1" applyFont="1" applyFill="1" applyBorder="1" applyAlignment="1">
      <alignment vertical="top" wrapText="1"/>
    </xf>
    <xf numFmtId="0" fontId="8" fillId="5" borderId="2" xfId="0" applyFont="1" applyFill="1" applyBorder="1" applyAlignment="1">
      <alignment vertical="top" wrapText="1"/>
    </xf>
    <xf numFmtId="0" fontId="8" fillId="5" borderId="11" xfId="0" applyNumberFormat="1" applyFont="1" applyFill="1" applyBorder="1" applyAlignment="1">
      <alignment horizontal="right" vertical="top" wrapText="1"/>
    </xf>
    <xf numFmtId="41" fontId="8" fillId="5" borderId="1" xfId="6" quotePrefix="1" applyNumberFormat="1" applyFont="1" applyFill="1" applyBorder="1" applyAlignment="1">
      <alignment horizontal="center" vertical="top" wrapText="1"/>
    </xf>
    <xf numFmtId="1" fontId="8" fillId="5" borderId="1" xfId="0" applyNumberFormat="1" applyFont="1" applyFill="1" applyBorder="1" applyAlignment="1">
      <alignment vertical="top" wrapText="1"/>
    </xf>
    <xf numFmtId="9" fontId="8" fillId="5" borderId="1" xfId="0" applyNumberFormat="1" applyFont="1" applyFill="1" applyBorder="1" applyAlignment="1">
      <alignment horizontal="center" vertical="top" wrapText="1"/>
    </xf>
    <xf numFmtId="2" fontId="8" fillId="5" borderId="1" xfId="0" applyNumberFormat="1" applyFont="1" applyFill="1" applyBorder="1" applyAlignment="1">
      <alignment vertical="top" wrapText="1"/>
    </xf>
    <xf numFmtId="2" fontId="8" fillId="5" borderId="1" xfId="0" applyNumberFormat="1" applyFont="1" applyFill="1" applyBorder="1" applyAlignment="1">
      <alignment horizontal="center" vertical="top" wrapText="1"/>
    </xf>
    <xf numFmtId="1" fontId="8" fillId="5" borderId="11" xfId="0" applyNumberFormat="1" applyFont="1" applyFill="1" applyBorder="1" applyAlignment="1">
      <alignment horizontal="right" vertical="top" wrapText="1"/>
    </xf>
    <xf numFmtId="9" fontId="7" fillId="9" borderId="1" xfId="3" applyFont="1" applyFill="1" applyBorder="1" applyAlignment="1">
      <alignment horizontal="right" vertical="top" wrapText="1"/>
    </xf>
    <xf numFmtId="10" fontId="8" fillId="9" borderId="1" xfId="3" applyNumberFormat="1" applyFont="1" applyFill="1" applyBorder="1" applyAlignment="1">
      <alignment vertical="top" wrapText="1"/>
    </xf>
    <xf numFmtId="9" fontId="7" fillId="9" borderId="1" xfId="3" applyFont="1" applyFill="1" applyBorder="1" applyAlignment="1">
      <alignment vertical="top" wrapText="1"/>
    </xf>
    <xf numFmtId="0" fontId="8" fillId="0" borderId="11" xfId="0" applyNumberFormat="1" applyFont="1" applyFill="1" applyBorder="1" applyAlignment="1">
      <alignment horizontal="right" vertical="top" wrapText="1"/>
    </xf>
    <xf numFmtId="1" fontId="8" fillId="0" borderId="1" xfId="0" applyNumberFormat="1" applyFont="1" applyFill="1" applyBorder="1" applyAlignment="1">
      <alignment vertical="top" wrapText="1"/>
    </xf>
    <xf numFmtId="41" fontId="8" fillId="5" borderId="1" xfId="6" quotePrefix="1" applyFont="1" applyFill="1" applyBorder="1" applyAlignment="1">
      <alignment horizontal="center" vertical="top" wrapText="1"/>
    </xf>
    <xf numFmtId="41" fontId="4" fillId="9" borderId="1" xfId="6" applyFont="1" applyFill="1" applyBorder="1" applyAlignment="1">
      <alignment horizontal="right" vertical="top" wrapText="1"/>
    </xf>
    <xf numFmtId="41" fontId="4" fillId="9" borderId="1" xfId="6" applyFont="1" applyFill="1" applyBorder="1" applyAlignment="1">
      <alignment horizontal="center" vertical="top" wrapText="1"/>
    </xf>
    <xf numFmtId="10" fontId="7" fillId="9" borderId="1" xfId="0" applyNumberFormat="1" applyFont="1" applyFill="1" applyBorder="1" applyAlignment="1">
      <alignment vertical="top" wrapText="1"/>
    </xf>
    <xf numFmtId="41" fontId="4" fillId="9" borderId="1" xfId="6" applyFont="1" applyFill="1" applyBorder="1" applyAlignment="1">
      <alignment vertical="top" wrapText="1"/>
    </xf>
    <xf numFmtId="41" fontId="4" fillId="9" borderId="10" xfId="6" applyFont="1" applyFill="1" applyBorder="1" applyAlignment="1">
      <alignment vertical="top" wrapText="1"/>
    </xf>
    <xf numFmtId="41" fontId="8" fillId="5" borderId="11" xfId="6" applyFont="1" applyFill="1" applyBorder="1" applyAlignment="1">
      <alignment horizontal="right" vertical="top" wrapText="1"/>
    </xf>
    <xf numFmtId="41" fontId="8" fillId="5" borderId="1" xfId="2" applyFont="1" applyFill="1" applyBorder="1" applyAlignment="1">
      <alignment vertical="top" wrapText="1"/>
    </xf>
    <xf numFmtId="0" fontId="8" fillId="5" borderId="11" xfId="0" applyFont="1" applyFill="1" applyBorder="1" applyAlignment="1">
      <alignment horizontal="right" vertical="top" wrapText="1"/>
    </xf>
    <xf numFmtId="41" fontId="8" fillId="5" borderId="10" xfId="6" quotePrefix="1" applyFont="1" applyFill="1" applyBorder="1" applyAlignment="1">
      <alignment horizontal="center" vertical="top" wrapText="1"/>
    </xf>
    <xf numFmtId="41" fontId="7" fillId="9" borderId="10" xfId="6" applyFont="1" applyFill="1" applyBorder="1" applyAlignment="1">
      <alignment horizontal="center" vertical="top" wrapText="1"/>
    </xf>
    <xf numFmtId="41" fontId="8" fillId="0" borderId="11" xfId="6" applyFont="1" applyFill="1" applyBorder="1" applyAlignment="1">
      <alignment horizontal="right" vertical="top" wrapText="1"/>
    </xf>
    <xf numFmtId="41" fontId="8" fillId="0" borderId="10" xfId="6" quotePrefix="1" applyFont="1" applyFill="1" applyBorder="1" applyAlignment="1">
      <alignment horizontal="center" vertical="top" wrapText="1"/>
    </xf>
    <xf numFmtId="2" fontId="8" fillId="0" borderId="1" xfId="0" applyNumberFormat="1" applyFont="1" applyFill="1" applyBorder="1" applyAlignment="1">
      <alignment horizontal="center" vertical="top" wrapText="1"/>
    </xf>
    <xf numFmtId="41" fontId="8" fillId="0" borderId="1" xfId="6" quotePrefix="1" applyFont="1" applyFill="1" applyBorder="1" applyAlignment="1">
      <alignment horizontal="center" vertical="top" wrapText="1"/>
    </xf>
    <xf numFmtId="41" fontId="7" fillId="9" borderId="10" xfId="6" quotePrefix="1" applyFont="1" applyFill="1" applyBorder="1" applyAlignment="1">
      <alignment horizontal="center" vertical="top" wrapText="1"/>
    </xf>
    <xf numFmtId="2" fontId="7" fillId="9" borderId="1" xfId="0" applyNumberFormat="1" applyFont="1" applyFill="1" applyBorder="1" applyAlignment="1">
      <alignment horizontal="center" vertical="top" wrapText="1"/>
    </xf>
    <xf numFmtId="2" fontId="8" fillId="0" borderId="11" xfId="0" applyNumberFormat="1" applyFont="1" applyFill="1" applyBorder="1" applyAlignment="1">
      <alignment horizontal="right" vertical="top" wrapText="1"/>
    </xf>
    <xf numFmtId="2" fontId="8" fillId="0" borderId="1" xfId="0" applyNumberFormat="1" applyFont="1" applyFill="1" applyBorder="1" applyAlignment="1">
      <alignment vertical="top" wrapText="1"/>
    </xf>
    <xf numFmtId="41" fontId="7" fillId="9" borderId="11" xfId="6" applyFont="1" applyFill="1" applyBorder="1" applyAlignment="1">
      <alignment horizontal="right" vertical="top" wrapText="1"/>
    </xf>
    <xf numFmtId="41" fontId="7" fillId="9" borderId="1" xfId="2" applyFont="1" applyFill="1" applyBorder="1" applyAlignment="1">
      <alignment vertical="top" wrapText="1"/>
    </xf>
    <xf numFmtId="9" fontId="7" fillId="9" borderId="1" xfId="0" applyNumberFormat="1" applyFont="1" applyFill="1" applyBorder="1" applyAlignment="1">
      <alignment vertical="top" wrapText="1"/>
    </xf>
    <xf numFmtId="9" fontId="7" fillId="9" borderId="1" xfId="0" applyNumberFormat="1" applyFont="1" applyFill="1" applyBorder="1" applyAlignment="1">
      <alignment horizontal="center" vertical="top" wrapText="1"/>
    </xf>
    <xf numFmtId="0" fontId="11" fillId="0" borderId="41" xfId="0" applyFont="1" applyFill="1" applyBorder="1" applyAlignment="1">
      <alignment horizontal="center" vertical="top" wrapText="1"/>
    </xf>
    <xf numFmtId="0" fontId="7" fillId="9" borderId="1" xfId="5" applyFont="1" applyFill="1" applyBorder="1" applyAlignment="1">
      <alignment vertical="top" wrapText="1"/>
    </xf>
    <xf numFmtId="0" fontId="8" fillId="0" borderId="1" xfId="5" applyFont="1" applyFill="1" applyBorder="1" applyAlignment="1">
      <alignment vertical="top" wrapText="1"/>
    </xf>
    <xf numFmtId="0" fontId="6" fillId="0" borderId="49" xfId="0" applyFont="1" applyFill="1" applyBorder="1" applyAlignment="1">
      <alignment horizontal="center" vertical="top" wrapText="1"/>
    </xf>
    <xf numFmtId="0" fontId="8" fillId="0" borderId="4" xfId="5" applyFont="1" applyFill="1" applyBorder="1" applyAlignment="1">
      <alignment horizontal="left" vertical="top" wrapText="1"/>
    </xf>
    <xf numFmtId="0" fontId="6" fillId="0" borderId="50" xfId="0" applyFont="1" applyFill="1" applyBorder="1" applyAlignment="1">
      <alignment horizontal="center" vertical="top" wrapText="1"/>
    </xf>
    <xf numFmtId="0" fontId="6" fillId="9" borderId="49" xfId="0" applyFont="1" applyFill="1" applyBorder="1" applyAlignment="1">
      <alignment horizontal="center" vertical="top" wrapText="1"/>
    </xf>
    <xf numFmtId="0" fontId="7" fillId="9" borderId="1" xfId="5" applyFont="1" applyFill="1" applyBorder="1" applyAlignment="1">
      <alignment horizontal="left" vertical="top" wrapText="1"/>
    </xf>
    <xf numFmtId="0" fontId="8" fillId="0" borderId="1" xfId="5" applyFont="1" applyFill="1" applyBorder="1" applyAlignment="1">
      <alignment horizontal="left" vertical="top" wrapText="1"/>
    </xf>
    <xf numFmtId="0" fontId="6" fillId="0" borderId="41" xfId="0" applyFont="1" applyFill="1" applyBorder="1" applyAlignment="1">
      <alignment horizontal="center" vertical="top" wrapText="1"/>
    </xf>
    <xf numFmtId="0" fontId="8" fillId="0" borderId="1" xfId="5" applyFont="1" applyFill="1" applyBorder="1" applyAlignment="1">
      <alignment horizontal="center" vertical="top" wrapText="1"/>
    </xf>
    <xf numFmtId="0" fontId="8" fillId="0" borderId="2" xfId="5" applyFont="1" applyFill="1" applyBorder="1" applyAlignment="1">
      <alignment vertical="top" wrapText="1"/>
    </xf>
    <xf numFmtId="0" fontId="8" fillId="0" borderId="2" xfId="5" applyFont="1" applyFill="1" applyBorder="1" applyAlignment="1">
      <alignment horizontal="left" vertical="top" wrapText="1"/>
    </xf>
    <xf numFmtId="0" fontId="8" fillId="9" borderId="1" xfId="5" applyFont="1" applyFill="1" applyBorder="1" applyAlignment="1">
      <alignment horizontal="center" vertical="top" wrapText="1"/>
    </xf>
    <xf numFmtId="0" fontId="6" fillId="0" borderId="0" xfId="0" applyFont="1" applyFill="1" applyBorder="1" applyAlignment="1">
      <alignment vertical="top" wrapText="1"/>
    </xf>
    <xf numFmtId="164" fontId="6" fillId="0" borderId="0" xfId="0" applyNumberFormat="1" applyFont="1" applyFill="1" applyBorder="1" applyAlignment="1">
      <alignment vertical="top" wrapText="1"/>
    </xf>
    <xf numFmtId="0" fontId="6" fillId="0" borderId="0" xfId="0" applyFont="1" applyFill="1" applyAlignment="1">
      <alignment vertical="top" wrapText="1"/>
    </xf>
    <xf numFmtId="0" fontId="4" fillId="9" borderId="1" xfId="0" quotePrefix="1" applyFont="1" applyFill="1" applyBorder="1" applyAlignment="1">
      <alignment horizontal="center" vertical="top" wrapText="1"/>
    </xf>
    <xf numFmtId="41" fontId="6" fillId="9" borderId="1" xfId="2" applyNumberFormat="1" applyFont="1" applyFill="1" applyBorder="1" applyAlignment="1">
      <alignment horizontal="right" vertical="top" wrapText="1"/>
    </xf>
    <xf numFmtId="2" fontId="5" fillId="9" borderId="1" xfId="3" applyNumberFormat="1" applyFont="1" applyFill="1" applyBorder="1" applyAlignment="1">
      <alignment horizontal="right" vertical="top" wrapText="1"/>
    </xf>
    <xf numFmtId="0" fontId="11" fillId="0" borderId="1" xfId="0" quotePrefix="1" applyFont="1" applyBorder="1" applyAlignment="1">
      <alignment horizontal="center" vertical="top" wrapText="1"/>
    </xf>
    <xf numFmtId="0" fontId="11" fillId="0" borderId="1" xfId="0" applyNumberFormat="1" applyFont="1" applyBorder="1" applyAlignment="1">
      <alignment vertical="top" wrapText="1"/>
    </xf>
    <xf numFmtId="0" fontId="6" fillId="0" borderId="1" xfId="0" applyNumberFormat="1" applyFont="1" applyBorder="1" applyAlignment="1">
      <alignment horizontal="right" vertical="top" wrapText="1"/>
    </xf>
    <xf numFmtId="166" fontId="6" fillId="0" borderId="1" xfId="0" applyNumberFormat="1" applyFont="1" applyBorder="1" applyAlignment="1">
      <alignment horizontal="right" vertical="top" wrapText="1"/>
    </xf>
    <xf numFmtId="2" fontId="6" fillId="0" borderId="1" xfId="3" applyNumberFormat="1" applyFont="1" applyBorder="1" applyAlignment="1">
      <alignment horizontal="right" vertical="top" wrapText="1"/>
    </xf>
    <xf numFmtId="0" fontId="11" fillId="0" borderId="1" xfId="2" applyNumberFormat="1" applyFont="1" applyBorder="1" applyAlignment="1">
      <alignment vertical="top" wrapText="1"/>
    </xf>
    <xf numFmtId="165" fontId="5" fillId="9" borderId="1" xfId="2" applyNumberFormat="1" applyFont="1" applyFill="1" applyBorder="1" applyAlignment="1">
      <alignment vertical="top" wrapText="1"/>
    </xf>
    <xf numFmtId="0" fontId="4" fillId="9" borderId="1" xfId="0" applyNumberFormat="1" applyFont="1" applyFill="1" applyBorder="1" applyAlignment="1">
      <alignment horizontal="left" vertical="top" wrapText="1"/>
    </xf>
    <xf numFmtId="0" fontId="11" fillId="0" borderId="1" xfId="0" applyNumberFormat="1" applyFont="1" applyFill="1" applyBorder="1" applyAlignment="1">
      <alignment horizontal="left" vertical="top" wrapText="1"/>
    </xf>
    <xf numFmtId="166" fontId="5" fillId="9" borderId="1" xfId="3" applyNumberFormat="1" applyFont="1" applyFill="1" applyBorder="1" applyAlignment="1">
      <alignment horizontal="right" vertical="top" wrapText="1"/>
    </xf>
    <xf numFmtId="166" fontId="6" fillId="0" borderId="1" xfId="3" applyNumberFormat="1" applyFont="1" applyBorder="1" applyAlignment="1">
      <alignment horizontal="right" vertical="top" wrapText="1"/>
    </xf>
    <xf numFmtId="41" fontId="11" fillId="0" borderId="1" xfId="2" applyFont="1" applyFill="1" applyBorder="1" applyAlignment="1">
      <alignment horizontal="left" vertical="top" wrapText="1"/>
    </xf>
    <xf numFmtId="0" fontId="11" fillId="9" borderId="1" xfId="0" quotePrefix="1" applyFont="1" applyFill="1" applyBorder="1" applyAlignment="1">
      <alignment horizontal="center" vertical="top" wrapText="1"/>
    </xf>
    <xf numFmtId="0" fontId="11" fillId="9" borderId="1" xfId="0" applyNumberFormat="1" applyFont="1" applyFill="1" applyBorder="1" applyAlignment="1">
      <alignment horizontal="left" vertical="top" wrapText="1"/>
    </xf>
    <xf numFmtId="41" fontId="6" fillId="9" borderId="1" xfId="0" applyNumberFormat="1" applyFont="1" applyFill="1" applyBorder="1" applyAlignment="1">
      <alignment horizontal="right" vertical="top" wrapText="1"/>
    </xf>
    <xf numFmtId="165" fontId="6" fillId="9" borderId="1" xfId="2" applyNumberFormat="1" applyFont="1" applyFill="1" applyBorder="1" applyAlignment="1">
      <alignment vertical="top" wrapText="1"/>
    </xf>
    <xf numFmtId="166" fontId="6" fillId="9" borderId="1" xfId="0" applyNumberFormat="1" applyFont="1" applyFill="1" applyBorder="1" applyAlignment="1">
      <alignment horizontal="right" vertical="top" wrapText="1"/>
    </xf>
    <xf numFmtId="166" fontId="6" fillId="9" borderId="1" xfId="3" applyNumberFormat="1" applyFont="1" applyFill="1" applyBorder="1" applyAlignment="1">
      <alignment horizontal="right" vertical="top" wrapText="1"/>
    </xf>
    <xf numFmtId="0" fontId="11" fillId="4" borderId="11" xfId="0" applyFont="1" applyFill="1" applyBorder="1" applyAlignment="1">
      <alignment vertical="top" wrapText="1"/>
    </xf>
    <xf numFmtId="41" fontId="4" fillId="9" borderId="1" xfId="4" applyNumberFormat="1" applyFont="1" applyFill="1" applyBorder="1" applyAlignment="1">
      <alignment horizontal="right" vertical="top" wrapText="1"/>
    </xf>
    <xf numFmtId="41" fontId="4" fillId="9" borderId="1" xfId="4" applyFont="1" applyFill="1" applyBorder="1" applyAlignment="1">
      <alignment horizontal="center" vertical="top" wrapText="1"/>
    </xf>
    <xf numFmtId="164" fontId="5" fillId="0" borderId="1" xfId="1" applyNumberFormat="1" applyFont="1" applyFill="1" applyBorder="1" applyAlignment="1">
      <alignment horizontal="right" vertical="top" wrapText="1"/>
    </xf>
    <xf numFmtId="2" fontId="5" fillId="0" borderId="1" xfId="0" applyNumberFormat="1" applyFont="1" applyFill="1" applyBorder="1" applyAlignment="1">
      <alignment horizontal="right" vertical="top" wrapText="1"/>
    </xf>
    <xf numFmtId="0" fontId="6" fillId="0" borderId="1" xfId="0" applyFont="1" applyBorder="1" applyAlignment="1">
      <alignment horizontal="center" vertical="top" wrapText="1"/>
    </xf>
    <xf numFmtId="0" fontId="6" fillId="0" borderId="1" xfId="0" applyFont="1" applyFill="1" applyBorder="1" applyAlignment="1">
      <alignment horizontal="left" vertical="top" wrapText="1"/>
    </xf>
    <xf numFmtId="0" fontId="6" fillId="0" borderId="10" xfId="0" applyFont="1" applyBorder="1" applyAlignment="1">
      <alignment horizontal="right" vertical="top" wrapText="1"/>
    </xf>
    <xf numFmtId="164" fontId="6" fillId="0" borderId="10" xfId="1" applyNumberFormat="1" applyFont="1" applyBorder="1" applyAlignment="1">
      <alignment vertical="top" wrapText="1"/>
    </xf>
    <xf numFmtId="41" fontId="11" fillId="0" borderId="1" xfId="2" applyNumberFormat="1" applyFont="1" applyBorder="1" applyAlignment="1">
      <alignment horizontal="right" vertical="top" wrapText="1"/>
    </xf>
    <xf numFmtId="0" fontId="5" fillId="0" borderId="1" xfId="0" applyFont="1" applyBorder="1" applyAlignment="1">
      <alignment vertical="top" wrapText="1"/>
    </xf>
    <xf numFmtId="2" fontId="5" fillId="0" borderId="1" xfId="0" applyNumberFormat="1" applyFont="1" applyBorder="1" applyAlignment="1">
      <alignment horizontal="right" vertical="top" wrapText="1"/>
    </xf>
    <xf numFmtId="41" fontId="6" fillId="0" borderId="1" xfId="2" applyNumberFormat="1" applyFont="1" applyFill="1" applyBorder="1" applyAlignment="1">
      <alignment horizontal="right" vertical="top" wrapText="1"/>
    </xf>
    <xf numFmtId="0" fontId="5" fillId="0" borderId="1" xfId="0" applyFont="1" applyFill="1" applyBorder="1" applyAlignment="1">
      <alignment horizontal="right" vertical="top" wrapText="1"/>
    </xf>
    <xf numFmtId="0" fontId="6" fillId="0" borderId="1" xfId="0" applyNumberFormat="1" applyFont="1" applyFill="1" applyBorder="1" applyAlignment="1">
      <alignment vertical="top" wrapText="1"/>
    </xf>
    <xf numFmtId="164" fontId="6" fillId="0" borderId="1" xfId="2" applyNumberFormat="1" applyFont="1" applyFill="1" applyBorder="1" applyAlignment="1">
      <alignment vertical="top" wrapText="1"/>
    </xf>
    <xf numFmtId="171" fontId="6" fillId="0" borderId="1" xfId="2" applyNumberFormat="1" applyFont="1" applyFill="1" applyBorder="1" applyAlignment="1">
      <alignment vertical="top" wrapText="1"/>
    </xf>
    <xf numFmtId="0" fontId="6" fillId="0" borderId="1" xfId="3" applyNumberFormat="1" applyFont="1" applyFill="1" applyBorder="1" applyAlignment="1">
      <alignment vertical="top" wrapText="1"/>
    </xf>
    <xf numFmtId="43" fontId="6" fillId="0" borderId="1" xfId="1" applyFont="1" applyFill="1" applyBorder="1" applyAlignment="1">
      <alignment vertical="top" wrapText="1"/>
    </xf>
    <xf numFmtId="3" fontId="6" fillId="0" borderId="1" xfId="1" applyNumberFormat="1" applyFont="1" applyFill="1" applyBorder="1" applyAlignment="1">
      <alignment vertical="top" wrapText="1"/>
    </xf>
    <xf numFmtId="0" fontId="11" fillId="0" borderId="1" xfId="0" applyFont="1" applyFill="1" applyBorder="1" applyAlignment="1">
      <alignment horizontal="center" vertical="top" wrapText="1"/>
    </xf>
    <xf numFmtId="0" fontId="11" fillId="0" borderId="1" xfId="0" applyFont="1" applyFill="1" applyBorder="1" applyAlignment="1">
      <alignment horizontal="right" vertical="top" wrapText="1"/>
    </xf>
    <xf numFmtId="0" fontId="7" fillId="0" borderId="0" xfId="0" applyFont="1" applyFill="1" applyBorder="1" applyAlignment="1">
      <alignment vertical="top" wrapText="1"/>
    </xf>
    <xf numFmtId="0" fontId="7" fillId="0" borderId="0" xfId="0" applyFont="1" applyFill="1" applyAlignment="1">
      <alignment vertical="top" wrapText="1"/>
    </xf>
    <xf numFmtId="0" fontId="8" fillId="0" borderId="0" xfId="0" applyFont="1" applyFill="1" applyBorder="1" applyAlignment="1">
      <alignment vertical="top" wrapText="1"/>
    </xf>
    <xf numFmtId="0" fontId="8" fillId="0" borderId="0" xfId="0" applyFont="1" applyFill="1" applyAlignment="1">
      <alignment vertical="top" wrapText="1"/>
    </xf>
    <xf numFmtId="0" fontId="5" fillId="12" borderId="1" xfId="0" applyFont="1" applyFill="1" applyBorder="1" applyAlignment="1">
      <alignment vertical="center" wrapText="1"/>
    </xf>
    <xf numFmtId="164" fontId="5" fillId="9" borderId="1" xfId="1" applyNumberFormat="1" applyFont="1" applyFill="1" applyBorder="1" applyAlignment="1">
      <alignment horizontal="right" vertical="top" wrapText="1"/>
    </xf>
    <xf numFmtId="0" fontId="10" fillId="4" borderId="1" xfId="0" applyFont="1" applyFill="1" applyBorder="1" applyAlignment="1">
      <alignment horizontal="right" vertical="top" wrapText="1"/>
    </xf>
    <xf numFmtId="164" fontId="6" fillId="4" borderId="1" xfId="1" applyNumberFormat="1" applyFont="1" applyFill="1" applyBorder="1" applyAlignment="1">
      <alignment horizontal="right" vertical="top" wrapText="1"/>
    </xf>
    <xf numFmtId="0" fontId="6" fillId="4" borderId="1" xfId="0" quotePrefix="1" applyNumberFormat="1" applyFont="1" applyFill="1" applyBorder="1" applyAlignment="1">
      <alignment horizontal="right" vertical="top" wrapText="1"/>
    </xf>
    <xf numFmtId="41" fontId="6" fillId="4" borderId="1" xfId="2" quotePrefix="1" applyFont="1" applyFill="1" applyBorder="1" applyAlignment="1">
      <alignment horizontal="right" vertical="top" wrapText="1"/>
    </xf>
    <xf numFmtId="166" fontId="5" fillId="4" borderId="1" xfId="2" applyNumberFormat="1" applyFont="1" applyFill="1" applyBorder="1" applyAlignment="1">
      <alignment horizontal="right" vertical="top" wrapText="1"/>
    </xf>
    <xf numFmtId="43" fontId="5" fillId="0" borderId="1" xfId="1" applyFont="1" applyFill="1" applyBorder="1" applyAlignment="1">
      <alignment horizontal="right" vertical="top" wrapText="1"/>
    </xf>
    <xf numFmtId="0" fontId="4" fillId="0" borderId="1" xfId="0" applyFont="1" applyFill="1" applyBorder="1" applyAlignment="1">
      <alignment horizontal="left" vertical="top" wrapText="1"/>
    </xf>
    <xf numFmtId="0" fontId="6" fillId="4" borderId="1" xfId="5" applyNumberFormat="1" applyFont="1" applyFill="1" applyBorder="1" applyAlignment="1">
      <alignment horizontal="right" vertical="top" wrapText="1"/>
    </xf>
    <xf numFmtId="0" fontId="6" fillId="4" borderId="1" xfId="1" applyNumberFormat="1" applyFont="1" applyFill="1" applyBorder="1" applyAlignment="1">
      <alignment horizontal="right" vertical="top" wrapText="1"/>
    </xf>
    <xf numFmtId="0" fontId="6" fillId="4" borderId="1" xfId="3" quotePrefix="1" applyNumberFormat="1" applyFont="1" applyFill="1" applyBorder="1" applyAlignment="1">
      <alignment horizontal="right" vertical="top" wrapText="1"/>
    </xf>
    <xf numFmtId="0" fontId="6" fillId="0" borderId="1" xfId="3" quotePrefix="1" applyNumberFormat="1" applyFont="1" applyFill="1" applyBorder="1" applyAlignment="1">
      <alignment horizontal="right" vertical="top" wrapText="1"/>
    </xf>
    <xf numFmtId="0" fontId="6" fillId="4" borderId="1" xfId="3" applyNumberFormat="1" applyFont="1" applyFill="1" applyBorder="1" applyAlignment="1">
      <alignment horizontal="right" vertical="top" wrapText="1"/>
    </xf>
    <xf numFmtId="0" fontId="6" fillId="4" borderId="1" xfId="5" quotePrefix="1" applyNumberFormat="1" applyFont="1" applyFill="1" applyBorder="1" applyAlignment="1">
      <alignment horizontal="right" vertical="top" wrapText="1"/>
    </xf>
    <xf numFmtId="41" fontId="6" fillId="0" borderId="1" xfId="2" quotePrefix="1" applyFont="1" applyFill="1" applyBorder="1" applyAlignment="1">
      <alignment horizontal="right" vertical="top" wrapText="1"/>
    </xf>
    <xf numFmtId="41" fontId="5" fillId="9" borderId="1" xfId="2" quotePrefix="1" applyNumberFormat="1" applyFont="1" applyFill="1" applyBorder="1" applyAlignment="1">
      <alignment horizontal="right" vertical="top" wrapText="1"/>
    </xf>
    <xf numFmtId="9" fontId="5" fillId="9" borderId="1" xfId="3" quotePrefix="1" applyFont="1" applyFill="1" applyBorder="1" applyAlignment="1">
      <alignment horizontal="right" vertical="top" wrapText="1"/>
    </xf>
    <xf numFmtId="41" fontId="5" fillId="9" borderId="1" xfId="2" quotePrefix="1" applyFont="1" applyFill="1" applyBorder="1" applyAlignment="1">
      <alignment horizontal="right" vertical="top" wrapText="1"/>
    </xf>
    <xf numFmtId="164" fontId="5" fillId="9" borderId="1" xfId="1" quotePrefix="1" applyNumberFormat="1" applyFont="1" applyFill="1" applyBorder="1" applyAlignment="1">
      <alignment horizontal="right" vertical="top" wrapText="1"/>
    </xf>
    <xf numFmtId="9" fontId="5" fillId="9" borderId="1" xfId="3" applyFont="1" applyFill="1" applyBorder="1" applyAlignment="1">
      <alignment horizontal="right" vertical="top" wrapText="1"/>
    </xf>
    <xf numFmtId="43" fontId="5" fillId="9" borderId="1" xfId="1" applyFont="1" applyFill="1" applyBorder="1" applyAlignment="1">
      <alignment horizontal="right" vertical="top" wrapText="1"/>
    </xf>
    <xf numFmtId="0" fontId="5" fillId="9" borderId="2" xfId="0" applyFont="1" applyFill="1" applyBorder="1" applyAlignment="1">
      <alignment horizontal="center" vertical="top" wrapText="1"/>
    </xf>
    <xf numFmtId="41" fontId="6" fillId="4" borderId="1" xfId="2" applyNumberFormat="1" applyFont="1" applyFill="1" applyBorder="1" applyAlignment="1">
      <alignment horizontal="right" vertical="top" wrapText="1"/>
    </xf>
    <xf numFmtId="164" fontId="6" fillId="4" borderId="1" xfId="1" applyNumberFormat="1" applyFont="1" applyFill="1" applyBorder="1" applyAlignment="1">
      <alignment horizontal="center" vertical="top" wrapText="1"/>
    </xf>
    <xf numFmtId="166" fontId="5" fillId="9" borderId="1" xfId="0" applyNumberFormat="1" applyFont="1" applyFill="1" applyBorder="1" applyAlignment="1">
      <alignment vertical="top" wrapText="1"/>
    </xf>
    <xf numFmtId="41" fontId="11" fillId="0" borderId="1" xfId="2" applyNumberFormat="1" applyFont="1" applyFill="1" applyBorder="1" applyAlignment="1">
      <alignment horizontal="right" vertical="top" wrapText="1"/>
    </xf>
    <xf numFmtId="2" fontId="6" fillId="0" borderId="1" xfId="0" applyNumberFormat="1" applyFont="1" applyFill="1" applyBorder="1" applyAlignment="1">
      <alignment vertical="top" wrapText="1"/>
    </xf>
    <xf numFmtId="41" fontId="6" fillId="0" borderId="1" xfId="2" applyNumberFormat="1" applyFont="1" applyFill="1" applyBorder="1" applyAlignment="1">
      <alignment vertical="top" wrapText="1"/>
    </xf>
    <xf numFmtId="188" fontId="6" fillId="0" borderId="1" xfId="0" applyNumberFormat="1" applyFont="1" applyFill="1" applyBorder="1" applyAlignment="1">
      <alignment vertical="top" wrapText="1"/>
    </xf>
    <xf numFmtId="187" fontId="6" fillId="0" borderId="1" xfId="0" applyNumberFormat="1" applyFont="1" applyFill="1" applyBorder="1" applyAlignment="1">
      <alignment vertical="top" wrapText="1"/>
    </xf>
    <xf numFmtId="2" fontId="6" fillId="0" borderId="1" xfId="2" applyNumberFormat="1" applyFont="1" applyFill="1" applyBorder="1" applyAlignment="1">
      <alignment vertical="top" wrapText="1"/>
    </xf>
    <xf numFmtId="41" fontId="4" fillId="0" borderId="1" xfId="2" applyNumberFormat="1" applyFont="1" applyFill="1" applyBorder="1" applyAlignment="1">
      <alignment horizontal="right" vertical="top" wrapText="1"/>
    </xf>
    <xf numFmtId="164" fontId="4" fillId="9" borderId="1" xfId="1" applyNumberFormat="1" applyFont="1" applyFill="1" applyBorder="1" applyAlignment="1">
      <alignment horizontal="right" vertical="top" wrapText="1"/>
    </xf>
    <xf numFmtId="43" fontId="4" fillId="9" borderId="1" xfId="1" applyFont="1" applyFill="1" applyBorder="1" applyAlignment="1">
      <alignment horizontal="right" vertical="top" wrapText="1"/>
    </xf>
    <xf numFmtId="166" fontId="11" fillId="0" borderId="1" xfId="2" applyNumberFormat="1" applyFont="1" applyFill="1" applyBorder="1" applyAlignment="1">
      <alignment horizontal="right" vertical="top" wrapText="1"/>
    </xf>
    <xf numFmtId="164" fontId="4" fillId="0" borderId="1" xfId="1" applyNumberFormat="1" applyFont="1" applyFill="1" applyBorder="1" applyAlignment="1">
      <alignment horizontal="right" vertical="top" wrapText="1"/>
    </xf>
    <xf numFmtId="43" fontId="6" fillId="0" borderId="1" xfId="1" applyNumberFormat="1" applyFont="1" applyFill="1" applyBorder="1" applyAlignment="1">
      <alignment vertical="top" wrapText="1"/>
    </xf>
    <xf numFmtId="0" fontId="11" fillId="0" borderId="10" xfId="0" applyFont="1" applyFill="1" applyBorder="1" applyAlignment="1">
      <alignment horizontal="right" vertical="top" wrapText="1"/>
    </xf>
    <xf numFmtId="49" fontId="4" fillId="9" borderId="1" xfId="0" applyNumberFormat="1" applyFont="1" applyFill="1" applyBorder="1" applyAlignment="1">
      <alignment vertical="top" wrapText="1"/>
    </xf>
    <xf numFmtId="0" fontId="4" fillId="0" borderId="1" xfId="0" applyFont="1" applyFill="1" applyBorder="1" applyAlignment="1">
      <alignment vertical="top" wrapText="1"/>
    </xf>
    <xf numFmtId="0" fontId="4" fillId="0" borderId="1" xfId="0" quotePrefix="1" applyFont="1" applyFill="1" applyBorder="1" applyAlignment="1">
      <alignment horizontal="center" vertical="top" wrapText="1"/>
    </xf>
    <xf numFmtId="49" fontId="4" fillId="11" borderId="1" xfId="0" applyNumberFormat="1" applyFont="1" applyFill="1" applyBorder="1" applyAlignment="1">
      <alignment vertical="top" wrapText="1"/>
    </xf>
    <xf numFmtId="49" fontId="11" fillId="0" borderId="1" xfId="0" applyNumberFormat="1" applyFont="1" applyFill="1" applyBorder="1" applyAlignment="1">
      <alignment vertical="top" wrapText="1"/>
    </xf>
    <xf numFmtId="164" fontId="11" fillId="0" borderId="1" xfId="1" applyNumberFormat="1" applyFont="1" applyFill="1" applyBorder="1" applyAlignment="1">
      <alignment horizontal="left" vertical="top" wrapText="1"/>
    </xf>
    <xf numFmtId="0" fontId="5" fillId="0" borderId="1" xfId="0" applyFont="1" applyFill="1" applyBorder="1" applyAlignment="1">
      <alignment horizontal="center" vertical="center" wrapText="1"/>
    </xf>
    <xf numFmtId="0" fontId="6" fillId="0" borderId="10" xfId="0" applyFont="1" applyFill="1" applyBorder="1" applyAlignment="1">
      <alignment horizontal="left" vertical="top" wrapText="1"/>
    </xf>
    <xf numFmtId="41" fontId="6" fillId="0" borderId="10" xfId="0" applyNumberFormat="1" applyFont="1" applyFill="1" applyBorder="1" applyAlignment="1">
      <alignment horizontal="left" vertical="top" wrapText="1"/>
    </xf>
    <xf numFmtId="0" fontId="6" fillId="0" borderId="0" xfId="0" applyFont="1" applyBorder="1" applyAlignment="1">
      <alignment vertical="top" wrapText="1"/>
    </xf>
    <xf numFmtId="0" fontId="6" fillId="0" borderId="1" xfId="0" applyFont="1" applyBorder="1" applyAlignment="1">
      <alignment horizontal="center" vertical="center" wrapText="1"/>
    </xf>
    <xf numFmtId="0" fontId="9" fillId="0" borderId="1" xfId="0" applyFont="1" applyFill="1" applyBorder="1" applyAlignment="1">
      <alignment horizontal="center" vertical="top" wrapText="1"/>
    </xf>
    <xf numFmtId="0" fontId="10" fillId="0" borderId="1" xfId="0" applyFont="1" applyFill="1" applyBorder="1" applyAlignment="1">
      <alignment horizontal="center" vertical="top" wrapText="1"/>
    </xf>
    <xf numFmtId="0" fontId="6" fillId="0" borderId="13" xfId="0" applyFont="1" applyBorder="1" applyAlignment="1">
      <alignment horizontal="center" vertical="top" wrapText="1"/>
    </xf>
    <xf numFmtId="0" fontId="6" fillId="0" borderId="0" xfId="0" applyFont="1" applyBorder="1" applyAlignment="1">
      <alignment horizontal="center" vertical="top" wrapText="1"/>
    </xf>
    <xf numFmtId="0" fontId="5" fillId="2" borderId="1" xfId="0" applyFont="1" applyFill="1" applyBorder="1" applyAlignment="1">
      <alignment horizontal="center" vertical="top" wrapText="1"/>
    </xf>
    <xf numFmtId="0" fontId="5" fillId="2" borderId="10" xfId="0" applyFont="1" applyFill="1" applyBorder="1" applyAlignment="1">
      <alignment horizontal="center" vertical="top" wrapText="1"/>
    </xf>
    <xf numFmtId="0" fontId="5" fillId="2" borderId="11" xfId="0" applyFont="1" applyFill="1" applyBorder="1" applyAlignment="1">
      <alignment horizontal="center" vertical="top" wrapText="1"/>
    </xf>
    <xf numFmtId="164" fontId="5" fillId="2" borderId="10" xfId="1" applyNumberFormat="1" applyFont="1" applyFill="1" applyBorder="1" applyAlignment="1">
      <alignment horizontal="center" vertical="top" wrapText="1"/>
    </xf>
    <xf numFmtId="164" fontId="5" fillId="2" borderId="1" xfId="1" applyNumberFormat="1" applyFont="1" applyFill="1" applyBorder="1" applyAlignment="1">
      <alignment horizontal="center" vertical="top" wrapText="1"/>
    </xf>
    <xf numFmtId="0" fontId="5" fillId="0" borderId="0" xfId="0" applyFont="1" applyFill="1" applyBorder="1" applyAlignment="1">
      <alignment horizontal="center" vertical="top" wrapText="1"/>
    </xf>
    <xf numFmtId="0" fontId="5" fillId="0" borderId="0" xfId="0" applyFont="1" applyFill="1" applyAlignment="1">
      <alignment horizontal="center" vertical="top" wrapText="1"/>
    </xf>
    <xf numFmtId="0" fontId="6" fillId="0" borderId="0" xfId="0" applyFont="1" applyFill="1" applyBorder="1" applyAlignment="1">
      <alignment vertical="center" wrapText="1"/>
    </xf>
    <xf numFmtId="0" fontId="6" fillId="0" borderId="0" xfId="0" applyFont="1" applyFill="1" applyAlignment="1">
      <alignment vertical="center" wrapText="1"/>
    </xf>
    <xf numFmtId="0" fontId="5" fillId="3" borderId="1" xfId="0" applyFont="1" applyFill="1" applyBorder="1" applyAlignment="1">
      <alignment horizontal="center" vertical="center" wrapText="1"/>
    </xf>
    <xf numFmtId="0" fontId="6" fillId="3" borderId="1" xfId="0" applyFont="1" applyFill="1" applyBorder="1" applyAlignment="1">
      <alignment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right" vertical="center" wrapText="1"/>
    </xf>
    <xf numFmtId="164" fontId="4" fillId="9" borderId="1" xfId="1" applyNumberFormat="1" applyFont="1" applyFill="1" applyBorder="1" applyAlignment="1">
      <alignment vertical="top" wrapText="1"/>
    </xf>
    <xf numFmtId="2" fontId="4" fillId="9" borderId="1" xfId="0" applyNumberFormat="1" applyFont="1" applyFill="1" applyBorder="1" applyAlignment="1">
      <alignment horizontal="right" vertical="top" wrapText="1"/>
    </xf>
    <xf numFmtId="41" fontId="4" fillId="0" borderId="0" xfId="0" applyNumberFormat="1" applyFont="1" applyFill="1" applyBorder="1" applyAlignment="1">
      <alignment vertical="top" wrapText="1"/>
    </xf>
    <xf numFmtId="0" fontId="4" fillId="0" borderId="0" xfId="0" applyFont="1" applyFill="1" applyBorder="1" applyAlignment="1">
      <alignment vertical="top" wrapText="1"/>
    </xf>
    <xf numFmtId="0" fontId="4" fillId="0" borderId="0" xfId="0" applyFont="1" applyFill="1" applyAlignment="1">
      <alignment vertical="top" wrapText="1"/>
    </xf>
    <xf numFmtId="0" fontId="4" fillId="4" borderId="1" xfId="0" applyNumberFormat="1" applyFont="1" applyFill="1" applyBorder="1" applyAlignment="1">
      <alignment horizontal="right" vertical="top" wrapText="1"/>
    </xf>
    <xf numFmtId="164" fontId="11" fillId="4" borderId="1" xfId="1" applyNumberFormat="1" applyFont="1" applyFill="1" applyBorder="1" applyAlignment="1">
      <alignment vertical="top" wrapText="1"/>
    </xf>
    <xf numFmtId="2" fontId="11" fillId="4" borderId="1" xfId="0" applyNumberFormat="1" applyFont="1" applyFill="1" applyBorder="1" applyAlignment="1">
      <alignment horizontal="right" vertical="top" wrapText="1"/>
    </xf>
    <xf numFmtId="1" fontId="11" fillId="4" borderId="1" xfId="0" quotePrefix="1" applyNumberFormat="1" applyFont="1" applyFill="1" applyBorder="1" applyAlignment="1">
      <alignment horizontal="right" vertical="top" wrapText="1"/>
    </xf>
    <xf numFmtId="41" fontId="11" fillId="4" borderId="1" xfId="4" applyNumberFormat="1" applyFont="1" applyFill="1" applyBorder="1" applyAlignment="1">
      <alignment horizontal="right" vertical="top" wrapText="1"/>
    </xf>
    <xf numFmtId="41" fontId="11" fillId="4" borderId="1" xfId="2" applyNumberFormat="1" applyFont="1" applyFill="1" applyBorder="1" applyAlignment="1">
      <alignment horizontal="left" vertical="top" wrapText="1"/>
    </xf>
    <xf numFmtId="41" fontId="11" fillId="0" borderId="14" xfId="2" applyFont="1" applyFill="1" applyBorder="1" applyAlignment="1">
      <alignment horizontal="center" vertical="top" wrapText="1"/>
    </xf>
    <xf numFmtId="167" fontId="4" fillId="9" borderId="1" xfId="2" applyNumberFormat="1" applyFont="1" applyFill="1" applyBorder="1" applyAlignment="1">
      <alignment horizontal="right" vertical="top" wrapText="1"/>
    </xf>
    <xf numFmtId="168" fontId="4" fillId="9" borderId="1" xfId="0" applyNumberFormat="1" applyFont="1" applyFill="1" applyBorder="1" applyAlignment="1">
      <alignment horizontal="right" vertical="top" wrapText="1"/>
    </xf>
    <xf numFmtId="41" fontId="11" fillId="0" borderId="1" xfId="5" applyNumberFormat="1" applyFont="1" applyFill="1" applyBorder="1" applyAlignment="1">
      <alignment vertical="top" wrapText="1"/>
    </xf>
    <xf numFmtId="0" fontId="11" fillId="4" borderId="1" xfId="0" quotePrefix="1" applyNumberFormat="1" applyFont="1" applyFill="1" applyBorder="1" applyAlignment="1">
      <alignment horizontal="right" vertical="top" wrapText="1"/>
    </xf>
    <xf numFmtId="0" fontId="11" fillId="4" borderId="1" xfId="3" applyNumberFormat="1" applyFont="1" applyFill="1" applyBorder="1" applyAlignment="1">
      <alignment horizontal="right" vertical="top" wrapText="1"/>
    </xf>
    <xf numFmtId="2" fontId="11" fillId="4" borderId="1" xfId="0" quotePrefix="1" applyNumberFormat="1" applyFont="1" applyFill="1" applyBorder="1" applyAlignment="1">
      <alignment horizontal="right" vertical="top" wrapText="1"/>
    </xf>
    <xf numFmtId="0" fontId="4" fillId="9" borderId="1" xfId="4" applyNumberFormat="1" applyFont="1" applyFill="1" applyBorder="1" applyAlignment="1">
      <alignment horizontal="right" vertical="top" wrapText="1"/>
    </xf>
    <xf numFmtId="168" fontId="4" fillId="9" borderId="1" xfId="4" applyNumberFormat="1" applyFont="1" applyFill="1" applyBorder="1" applyAlignment="1">
      <alignment horizontal="right" vertical="top" wrapText="1"/>
    </xf>
    <xf numFmtId="49" fontId="11" fillId="4" borderId="1" xfId="0" quotePrefix="1" applyNumberFormat="1" applyFont="1" applyFill="1" applyBorder="1" applyAlignment="1">
      <alignment horizontal="center" vertical="top" wrapText="1"/>
    </xf>
    <xf numFmtId="164" fontId="11" fillId="4" borderId="1" xfId="1" applyNumberFormat="1" applyFont="1" applyFill="1" applyBorder="1" applyAlignment="1">
      <alignment horizontal="right" vertical="top" wrapText="1"/>
    </xf>
    <xf numFmtId="49" fontId="11" fillId="4" borderId="1" xfId="0" applyNumberFormat="1" applyFont="1" applyFill="1" applyBorder="1" applyAlignment="1">
      <alignment horizontal="center" vertical="top" wrapText="1"/>
    </xf>
    <xf numFmtId="41" fontId="11" fillId="4" borderId="4" xfId="0" applyNumberFormat="1" applyFont="1" applyFill="1" applyBorder="1" applyAlignment="1">
      <alignment horizontal="right" vertical="top" wrapText="1"/>
    </xf>
    <xf numFmtId="41" fontId="11" fillId="0" borderId="15" xfId="2" applyFont="1" applyFill="1" applyBorder="1" applyAlignment="1">
      <alignment horizontal="center" vertical="top" wrapText="1"/>
    </xf>
    <xf numFmtId="41" fontId="11" fillId="0" borderId="3" xfId="2" applyFont="1" applyFill="1" applyBorder="1" applyAlignment="1">
      <alignment horizontal="center" vertical="top" wrapText="1"/>
    </xf>
    <xf numFmtId="41" fontId="11" fillId="4" borderId="6" xfId="2" applyFont="1" applyFill="1" applyBorder="1" applyAlignment="1">
      <alignment horizontal="right" vertical="top" wrapText="1"/>
    </xf>
    <xf numFmtId="41" fontId="11" fillId="0" borderId="14" xfId="2" applyFont="1" applyFill="1" applyBorder="1" applyAlignment="1">
      <alignment vertical="top" wrapText="1"/>
    </xf>
    <xf numFmtId="41" fontId="11" fillId="0" borderId="3" xfId="2" applyFont="1" applyFill="1" applyBorder="1" applyAlignment="1">
      <alignment vertical="top" wrapText="1"/>
    </xf>
    <xf numFmtId="41" fontId="11" fillId="4" borderId="4" xfId="0" applyNumberFormat="1" applyFont="1" applyFill="1" applyBorder="1" applyAlignment="1">
      <alignment vertical="top" wrapText="1"/>
    </xf>
    <xf numFmtId="41" fontId="11" fillId="9" borderId="1" xfId="2" quotePrefix="1" applyNumberFormat="1" applyFont="1" applyFill="1" applyBorder="1" applyAlignment="1">
      <alignment horizontal="right" vertical="top" wrapText="1"/>
    </xf>
    <xf numFmtId="41" fontId="11" fillId="0" borderId="14" xfId="2" applyFont="1" applyFill="1" applyBorder="1" applyAlignment="1">
      <alignment horizontal="left" vertical="top" wrapText="1"/>
    </xf>
    <xf numFmtId="167" fontId="11" fillId="4" borderId="1" xfId="0" applyNumberFormat="1" applyFont="1" applyFill="1" applyBorder="1" applyAlignment="1">
      <alignment horizontal="right" vertical="top" wrapText="1"/>
    </xf>
    <xf numFmtId="3" fontId="11" fillId="4" borderId="1" xfId="0" applyNumberFormat="1" applyFont="1" applyFill="1" applyBorder="1" applyAlignment="1">
      <alignment horizontal="right" vertical="top" wrapText="1"/>
    </xf>
    <xf numFmtId="0" fontId="11" fillId="4" borderId="5" xfId="0" applyFont="1" applyFill="1" applyBorder="1" applyAlignment="1">
      <alignment horizontal="right" vertical="top" wrapText="1"/>
    </xf>
    <xf numFmtId="41" fontId="11" fillId="4" borderId="3" xfId="0" applyNumberFormat="1" applyFont="1" applyFill="1" applyBorder="1" applyAlignment="1">
      <alignment vertical="top" wrapText="1"/>
    </xf>
    <xf numFmtId="164" fontId="11" fillId="4" borderId="1" xfId="1" quotePrefix="1" applyNumberFormat="1" applyFont="1" applyFill="1" applyBorder="1" applyAlignment="1">
      <alignment horizontal="right" vertical="top" wrapText="1"/>
    </xf>
    <xf numFmtId="166" fontId="4" fillId="4" borderId="1" xfId="2" applyNumberFormat="1" applyFont="1" applyFill="1" applyBorder="1" applyAlignment="1">
      <alignment horizontal="right" vertical="top" wrapText="1"/>
    </xf>
    <xf numFmtId="2" fontId="4" fillId="4" borderId="1" xfId="0" applyNumberFormat="1" applyFont="1" applyFill="1" applyBorder="1" applyAlignment="1">
      <alignment horizontal="right" vertical="top" wrapText="1"/>
    </xf>
    <xf numFmtId="0" fontId="6" fillId="8" borderId="1" xfId="0" applyFont="1" applyFill="1" applyBorder="1" applyAlignment="1">
      <alignment vertical="center" wrapText="1"/>
    </xf>
    <xf numFmtId="0" fontId="6" fillId="8" borderId="1" xfId="0" applyFont="1" applyFill="1" applyBorder="1" applyAlignment="1">
      <alignment horizontal="right" vertical="center" wrapText="1"/>
    </xf>
    <xf numFmtId="164" fontId="6" fillId="8" borderId="1" xfId="1" applyNumberFormat="1" applyFont="1" applyFill="1" applyBorder="1" applyAlignment="1">
      <alignment vertical="center" wrapText="1"/>
    </xf>
    <xf numFmtId="164" fontId="9" fillId="0" borderId="22" xfId="0" applyNumberFormat="1" applyFont="1" applyFill="1" applyBorder="1" applyAlignment="1">
      <alignment vertical="top" wrapText="1"/>
    </xf>
    <xf numFmtId="41" fontId="9" fillId="0" borderId="22" xfId="0" applyNumberFormat="1" applyFont="1" applyFill="1" applyBorder="1" applyAlignment="1">
      <alignment vertical="top" wrapText="1"/>
    </xf>
    <xf numFmtId="164" fontId="5" fillId="9" borderId="22" xfId="2" applyNumberFormat="1" applyFont="1" applyFill="1" applyBorder="1" applyAlignment="1">
      <alignment horizontal="right" vertical="top" wrapText="1"/>
    </xf>
    <xf numFmtId="43" fontId="5" fillId="9" borderId="22" xfId="2" applyNumberFormat="1" applyFont="1" applyFill="1" applyBorder="1" applyAlignment="1">
      <alignment horizontal="right" vertical="top" wrapText="1"/>
    </xf>
    <xf numFmtId="0" fontId="5" fillId="0" borderId="46" xfId="0" applyFont="1" applyBorder="1" applyAlignment="1">
      <alignment vertical="top" wrapText="1"/>
    </xf>
    <xf numFmtId="0" fontId="5" fillId="0" borderId="45" xfId="0" applyFont="1" applyBorder="1" applyAlignment="1">
      <alignment vertical="top" wrapText="1"/>
    </xf>
    <xf numFmtId="2" fontId="6" fillId="9" borderId="1" xfId="0" applyNumberFormat="1" applyFont="1" applyFill="1" applyBorder="1" applyAlignment="1">
      <alignment horizontal="right" vertical="top" wrapText="1"/>
    </xf>
    <xf numFmtId="0" fontId="6" fillId="0" borderId="4" xfId="0" quotePrefix="1" applyFont="1" applyBorder="1" applyAlignment="1">
      <alignment horizontal="center" vertical="top" wrapText="1"/>
    </xf>
    <xf numFmtId="2" fontId="6" fillId="0" borderId="4" xfId="0" quotePrefix="1" applyNumberFormat="1" applyFont="1" applyBorder="1" applyAlignment="1">
      <alignment horizontal="right" vertical="top" wrapText="1"/>
    </xf>
    <xf numFmtId="41" fontId="6" fillId="0" borderId="4" xfId="2" quotePrefix="1" applyFont="1" applyBorder="1" applyAlignment="1">
      <alignment vertical="top" wrapText="1"/>
    </xf>
    <xf numFmtId="41" fontId="6" fillId="0" borderId="4" xfId="0" applyNumberFormat="1" applyFont="1" applyBorder="1" applyAlignment="1">
      <alignment vertical="top" wrapText="1"/>
    </xf>
    <xf numFmtId="0" fontId="6" fillId="0" borderId="4" xfId="0" quotePrefix="1" applyFont="1" applyBorder="1" applyAlignment="1">
      <alignment vertical="top" wrapText="1"/>
    </xf>
    <xf numFmtId="3" fontId="6" fillId="0" borderId="4" xfId="2" quotePrefix="1" applyNumberFormat="1" applyFont="1" applyBorder="1" applyAlignment="1">
      <alignment vertical="top" wrapText="1"/>
    </xf>
    <xf numFmtId="169" fontId="6" fillId="0" borderId="4" xfId="0" applyNumberFormat="1" applyFont="1" applyBorder="1" applyAlignment="1">
      <alignment vertical="top" wrapText="1"/>
    </xf>
    <xf numFmtId="2" fontId="6" fillId="0" borderId="4" xfId="0" applyNumberFormat="1" applyFont="1" applyBorder="1" applyAlignment="1">
      <alignment horizontal="right" vertical="top" wrapText="1"/>
    </xf>
    <xf numFmtId="2" fontId="6" fillId="0" borderId="4" xfId="3" applyNumberFormat="1" applyFont="1" applyBorder="1" applyAlignment="1">
      <alignment vertical="top" wrapText="1"/>
    </xf>
    <xf numFmtId="0" fontId="6" fillId="0" borderId="4" xfId="0" quotePrefix="1" applyFont="1" applyFill="1" applyBorder="1" applyAlignment="1">
      <alignment horizontal="center" vertical="top" wrapText="1"/>
    </xf>
    <xf numFmtId="41" fontId="6" fillId="0" borderId="4" xfId="2" applyFont="1" applyFill="1" applyBorder="1" applyAlignment="1">
      <alignment vertical="top" wrapText="1"/>
    </xf>
    <xf numFmtId="41" fontId="6" fillId="0" borderId="4" xfId="2" applyNumberFormat="1" applyFont="1" applyFill="1" applyBorder="1" applyAlignment="1">
      <alignment vertical="top" wrapText="1"/>
    </xf>
    <xf numFmtId="41" fontId="6" fillId="0" borderId="4" xfId="0" applyNumberFormat="1" applyFont="1" applyFill="1" applyBorder="1" applyAlignment="1">
      <alignment vertical="top" wrapText="1"/>
    </xf>
    <xf numFmtId="2" fontId="6" fillId="0" borderId="4" xfId="0" applyNumberFormat="1" applyFont="1" applyFill="1" applyBorder="1" applyAlignment="1">
      <alignment horizontal="right" vertical="top" wrapText="1"/>
    </xf>
    <xf numFmtId="0" fontId="6" fillId="4" borderId="4" xfId="0" applyFont="1" applyFill="1" applyBorder="1" applyAlignment="1">
      <alignment horizontal="center" vertical="top" wrapText="1"/>
    </xf>
    <xf numFmtId="41" fontId="6" fillId="4" borderId="4" xfId="0" applyNumberFormat="1" applyFont="1" applyFill="1" applyBorder="1" applyAlignment="1">
      <alignment vertical="top" wrapText="1"/>
    </xf>
    <xf numFmtId="41" fontId="6" fillId="0" borderId="1" xfId="2" applyFont="1" applyBorder="1" applyAlignment="1">
      <alignment vertical="center" wrapText="1"/>
    </xf>
    <xf numFmtId="0" fontId="6" fillId="8" borderId="10" xfId="0" applyFont="1" applyFill="1" applyBorder="1" applyAlignment="1">
      <alignment horizontal="right" vertical="center" wrapText="1"/>
    </xf>
    <xf numFmtId="0" fontId="6" fillId="8" borderId="11" xfId="0" applyFont="1" applyFill="1" applyBorder="1" applyAlignment="1">
      <alignment horizontal="right" vertical="center" wrapText="1"/>
    </xf>
    <xf numFmtId="164" fontId="6" fillId="8" borderId="10" xfId="1" applyNumberFormat="1" applyFont="1" applyFill="1" applyBorder="1" applyAlignment="1">
      <alignment vertical="center" wrapText="1"/>
    </xf>
    <xf numFmtId="0" fontId="11" fillId="0" borderId="22" xfId="2" applyNumberFormat="1" applyFont="1" applyFill="1" applyBorder="1" applyAlignment="1">
      <alignment horizontal="left" vertical="top" wrapText="1"/>
    </xf>
    <xf numFmtId="1" fontId="4" fillId="9" borderId="22" xfId="6" applyNumberFormat="1" applyFont="1" applyFill="1" applyBorder="1" applyAlignment="1">
      <alignment horizontal="center" vertical="top" wrapText="1"/>
    </xf>
    <xf numFmtId="0" fontId="6" fillId="0" borderId="16" xfId="0" applyFont="1" applyBorder="1" applyAlignment="1">
      <alignment vertical="top" wrapText="1"/>
    </xf>
    <xf numFmtId="164" fontId="11" fillId="0" borderId="22" xfId="1" applyNumberFormat="1" applyFont="1" applyFill="1" applyBorder="1" applyAlignment="1">
      <alignment horizontal="center" vertical="top" wrapText="1"/>
    </xf>
    <xf numFmtId="43" fontId="4" fillId="9" borderId="22" xfId="2" applyNumberFormat="1" applyFont="1" applyFill="1" applyBorder="1" applyAlignment="1">
      <alignment horizontal="right" vertical="top" wrapText="1"/>
    </xf>
    <xf numFmtId="0" fontId="4" fillId="9" borderId="22" xfId="6" applyNumberFormat="1" applyFont="1" applyFill="1" applyBorder="1" applyAlignment="1">
      <alignment horizontal="center" vertical="top" wrapText="1"/>
    </xf>
    <xf numFmtId="164" fontId="11" fillId="0" borderId="22" xfId="1" applyNumberFormat="1" applyFont="1" applyFill="1" applyBorder="1" applyAlignment="1">
      <alignment horizontal="right" vertical="top" wrapText="1"/>
    </xf>
    <xf numFmtId="0" fontId="5" fillId="0" borderId="1" xfId="0" applyFont="1" applyBorder="1" applyAlignment="1">
      <alignment horizontal="right" vertical="top" wrapText="1"/>
    </xf>
    <xf numFmtId="0" fontId="6" fillId="0" borderId="1" xfId="0" applyFont="1" applyBorder="1" applyAlignment="1">
      <alignment horizontal="right" vertical="top" wrapText="1"/>
    </xf>
    <xf numFmtId="43" fontId="4" fillId="4" borderId="1" xfId="1" applyFont="1" applyFill="1" applyBorder="1" applyAlignment="1">
      <alignment horizontal="right" vertical="top" wrapText="1"/>
    </xf>
    <xf numFmtId="0" fontId="11" fillId="0" borderId="0" xfId="0" applyFont="1" applyFill="1" applyBorder="1" applyAlignment="1">
      <alignment vertical="center" wrapText="1"/>
    </xf>
    <xf numFmtId="0" fontId="11" fillId="0" borderId="0" xfId="0" applyFont="1" applyFill="1" applyAlignment="1">
      <alignment vertical="center" wrapText="1"/>
    </xf>
    <xf numFmtId="43" fontId="6" fillId="0" borderId="0" xfId="0" applyNumberFormat="1"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0" xfId="0" applyFont="1" applyFill="1" applyAlignment="1">
      <alignment horizontal="left" vertical="top" wrapText="1"/>
    </xf>
    <xf numFmtId="0" fontId="5" fillId="0" borderId="0" xfId="0" applyFont="1" applyFill="1" applyBorder="1" applyAlignment="1">
      <alignment horizontal="left" vertical="top" wrapText="1"/>
    </xf>
    <xf numFmtId="0" fontId="5" fillId="0" borderId="0" xfId="0" applyFont="1" applyFill="1" applyAlignment="1">
      <alignment horizontal="left" vertical="top" wrapText="1"/>
    </xf>
    <xf numFmtId="0" fontId="6" fillId="0" borderId="1" xfId="1" applyNumberFormat="1" applyFont="1" applyBorder="1" applyAlignment="1">
      <alignment horizontal="right" vertical="top" wrapText="1"/>
    </xf>
    <xf numFmtId="164" fontId="6" fillId="0" borderId="1" xfId="1" applyNumberFormat="1" applyFont="1" applyBorder="1" applyAlignment="1">
      <alignment horizontal="right" vertical="top" wrapText="1"/>
    </xf>
    <xf numFmtId="0" fontId="6" fillId="0" borderId="1" xfId="1" quotePrefix="1" applyNumberFormat="1" applyFont="1" applyBorder="1" applyAlignment="1">
      <alignment horizontal="right" vertical="top" wrapText="1"/>
    </xf>
    <xf numFmtId="164" fontId="6" fillId="0" borderId="1" xfId="1" quotePrefix="1" applyNumberFormat="1" applyFont="1" applyBorder="1" applyAlignment="1">
      <alignment horizontal="right" vertical="top" wrapText="1"/>
    </xf>
    <xf numFmtId="37" fontId="6" fillId="0" borderId="1" xfId="1" applyNumberFormat="1" applyFont="1" applyBorder="1" applyAlignment="1">
      <alignment horizontal="right" vertical="top" wrapText="1"/>
    </xf>
    <xf numFmtId="3" fontId="6" fillId="0" borderId="1" xfId="1" applyNumberFormat="1" applyFont="1" applyBorder="1" applyAlignment="1">
      <alignment horizontal="center" vertical="top" wrapText="1"/>
    </xf>
    <xf numFmtId="164" fontId="6" fillId="0" borderId="1" xfId="1" quotePrefix="1" applyNumberFormat="1" applyFont="1" applyBorder="1" applyAlignment="1">
      <alignment horizontal="center" vertical="top" wrapText="1"/>
    </xf>
    <xf numFmtId="164" fontId="6" fillId="0" borderId="1" xfId="1" applyNumberFormat="1" applyFont="1" applyBorder="1" applyAlignment="1">
      <alignment horizontal="left" vertical="top" wrapText="1"/>
    </xf>
    <xf numFmtId="43" fontId="6" fillId="0" borderId="1" xfId="1" applyFont="1" applyBorder="1" applyAlignment="1">
      <alignment horizontal="right" vertical="top" wrapText="1"/>
    </xf>
    <xf numFmtId="0" fontId="4" fillId="0" borderId="0" xfId="0" applyFont="1" applyFill="1" applyBorder="1" applyAlignment="1">
      <alignment vertical="center" wrapText="1"/>
    </xf>
    <xf numFmtId="0" fontId="4" fillId="0" borderId="0" xfId="0" applyFont="1" applyFill="1" applyAlignment="1">
      <alignment vertical="center" wrapText="1"/>
    </xf>
    <xf numFmtId="167" fontId="11" fillId="0" borderId="0" xfId="0" applyNumberFormat="1" applyFont="1" applyFill="1" applyBorder="1" applyAlignment="1">
      <alignment vertical="top" wrapText="1"/>
    </xf>
    <xf numFmtId="2" fontId="5" fillId="0" borderId="1" xfId="0" applyNumberFormat="1" applyFont="1" applyBorder="1" applyAlignment="1">
      <alignment horizontal="right" vertical="center" wrapText="1"/>
    </xf>
    <xf numFmtId="41" fontId="4" fillId="9" borderId="1" xfId="4" applyFont="1" applyFill="1" applyBorder="1" applyAlignment="1">
      <alignment vertical="top" wrapText="1"/>
    </xf>
    <xf numFmtId="0" fontId="11" fillId="0" borderId="1" xfId="0" quotePrefix="1" applyFont="1" applyFill="1" applyBorder="1" applyAlignment="1">
      <alignment horizontal="center" vertical="top" wrapText="1"/>
    </xf>
    <xf numFmtId="41" fontId="11" fillId="4" borderId="1" xfId="4" quotePrefix="1" applyFont="1" applyFill="1" applyBorder="1" applyAlignment="1">
      <alignment horizontal="right" vertical="top" wrapText="1"/>
    </xf>
    <xf numFmtId="168" fontId="11" fillId="4" borderId="1" xfId="0" quotePrefix="1" applyNumberFormat="1" applyFont="1" applyFill="1" applyBorder="1" applyAlignment="1">
      <alignment horizontal="right" vertical="top" wrapText="1"/>
    </xf>
    <xf numFmtId="0" fontId="5" fillId="0" borderId="0" xfId="0" applyFont="1" applyFill="1" applyAlignment="1">
      <alignment vertical="center" wrapText="1"/>
    </xf>
    <xf numFmtId="41" fontId="6" fillId="0" borderId="0" xfId="0" applyNumberFormat="1" applyFont="1" applyFill="1" applyBorder="1" applyAlignment="1">
      <alignment vertical="top" wrapText="1"/>
    </xf>
    <xf numFmtId="164" fontId="6" fillId="0" borderId="1" xfId="7" applyNumberFormat="1" applyFont="1" applyBorder="1" applyAlignment="1">
      <alignment vertical="top" wrapText="1"/>
    </xf>
    <xf numFmtId="164" fontId="11" fillId="0" borderId="1" xfId="1" applyNumberFormat="1" applyFont="1" applyBorder="1" applyAlignment="1" applyProtection="1">
      <alignment horizontal="center" vertical="top" wrapText="1"/>
      <protection locked="0"/>
    </xf>
    <xf numFmtId="0" fontId="6" fillId="0" borderId="0" xfId="0" applyFont="1" applyFill="1" applyBorder="1" applyAlignment="1">
      <alignment horizontal="right" vertical="center" wrapText="1"/>
    </xf>
    <xf numFmtId="164" fontId="5" fillId="9" borderId="1" xfId="2" applyNumberFormat="1" applyFont="1" applyFill="1" applyBorder="1" applyAlignment="1">
      <alignment horizontal="right" vertical="top" wrapText="1"/>
    </xf>
    <xf numFmtId="41" fontId="4" fillId="9" borderId="1" xfId="0" applyNumberFormat="1" applyFont="1" applyFill="1" applyBorder="1" applyAlignment="1">
      <alignment vertical="top" wrapText="1"/>
    </xf>
    <xf numFmtId="41" fontId="5" fillId="0" borderId="0" xfId="0" applyNumberFormat="1" applyFont="1" applyFill="1" applyBorder="1" applyAlignment="1">
      <alignment vertical="top" wrapText="1"/>
    </xf>
    <xf numFmtId="41" fontId="11" fillId="0" borderId="1" xfId="0" applyNumberFormat="1" applyFont="1" applyBorder="1" applyAlignment="1">
      <alignment vertical="top" wrapText="1"/>
    </xf>
    <xf numFmtId="41" fontId="11" fillId="0" borderId="4" xfId="0" applyNumberFormat="1" applyFont="1" applyBorder="1" applyAlignment="1">
      <alignment horizontal="right" vertical="top" wrapText="1"/>
    </xf>
    <xf numFmtId="41" fontId="11" fillId="0" borderId="3" xfId="0" applyNumberFormat="1" applyFont="1" applyBorder="1" applyAlignment="1">
      <alignment horizontal="right" vertical="top" wrapText="1"/>
    </xf>
    <xf numFmtId="41" fontId="6" fillId="0" borderId="2" xfId="2" applyFont="1" applyBorder="1" applyAlignment="1">
      <alignment horizontal="right" vertical="top" wrapText="1"/>
    </xf>
    <xf numFmtId="41" fontId="11" fillId="0" borderId="3" xfId="2" applyFont="1" applyBorder="1" applyAlignment="1">
      <alignment vertical="top" wrapText="1"/>
    </xf>
    <xf numFmtId="41" fontId="11" fillId="4" borderId="1" xfId="0" quotePrefix="1" applyNumberFormat="1" applyFont="1" applyFill="1" applyBorder="1" applyAlignment="1">
      <alignment vertical="top" wrapText="1"/>
    </xf>
    <xf numFmtId="3" fontId="6" fillId="0" borderId="0" xfId="0" applyNumberFormat="1" applyFont="1" applyFill="1" applyBorder="1" applyAlignment="1">
      <alignment vertical="top" wrapText="1"/>
    </xf>
    <xf numFmtId="166" fontId="11" fillId="4" borderId="1" xfId="2" applyNumberFormat="1" applyFont="1" applyFill="1" applyBorder="1" applyAlignment="1">
      <alignment horizontal="right" vertical="top" wrapText="1"/>
    </xf>
    <xf numFmtId="41" fontId="11" fillId="4" borderId="1" xfId="1" applyNumberFormat="1" applyFont="1" applyFill="1" applyBorder="1" applyAlignment="1">
      <alignment horizontal="right" vertical="top" wrapText="1"/>
    </xf>
    <xf numFmtId="41" fontId="6" fillId="0" borderId="0" xfId="2" applyFont="1" applyFill="1" applyBorder="1" applyAlignment="1">
      <alignment vertical="top" wrapText="1"/>
    </xf>
    <xf numFmtId="164" fontId="6" fillId="0" borderId="0" xfId="0" applyNumberFormat="1" applyFont="1" applyFill="1" applyBorder="1" applyAlignment="1">
      <alignment vertical="center" wrapText="1"/>
    </xf>
    <xf numFmtId="0" fontId="5" fillId="9" borderId="1" xfId="0" applyFont="1" applyFill="1" applyBorder="1" applyAlignment="1">
      <alignment horizontal="center" vertical="top" wrapText="1"/>
    </xf>
    <xf numFmtId="0" fontId="5" fillId="9" borderId="2" xfId="0" quotePrefix="1" applyFont="1" applyFill="1" applyBorder="1" applyAlignment="1">
      <alignment horizontal="center" vertical="top" wrapText="1"/>
    </xf>
    <xf numFmtId="41" fontId="5" fillId="9" borderId="2" xfId="2" applyFont="1" applyFill="1" applyBorder="1" applyAlignment="1">
      <alignment horizontal="right" vertical="top" wrapText="1"/>
    </xf>
    <xf numFmtId="3" fontId="5" fillId="9" borderId="2" xfId="0" quotePrefix="1" applyNumberFormat="1" applyFont="1" applyFill="1" applyBorder="1" applyAlignment="1">
      <alignment horizontal="right" vertical="top" wrapText="1"/>
    </xf>
    <xf numFmtId="41" fontId="5" fillId="9" borderId="2" xfId="0" applyNumberFormat="1" applyFont="1" applyFill="1" applyBorder="1" applyAlignment="1">
      <alignment horizontal="right" vertical="top" wrapText="1"/>
    </xf>
    <xf numFmtId="0" fontId="5" fillId="9" borderId="2" xfId="0" quotePrefix="1" applyFont="1" applyFill="1" applyBorder="1" applyAlignment="1">
      <alignment horizontal="right" vertical="top" wrapText="1"/>
    </xf>
    <xf numFmtId="41" fontId="5" fillId="9" borderId="2" xfId="2" applyNumberFormat="1" applyFont="1" applyFill="1" applyBorder="1" applyAlignment="1">
      <alignment vertical="top" wrapText="1"/>
    </xf>
    <xf numFmtId="164" fontId="5" fillId="9" borderId="2" xfId="1" applyNumberFormat="1" applyFont="1" applyFill="1" applyBorder="1" applyAlignment="1">
      <alignment vertical="top" wrapText="1"/>
    </xf>
    <xf numFmtId="2" fontId="5" fillId="9" borderId="2" xfId="0" applyNumberFormat="1" applyFont="1" applyFill="1" applyBorder="1" applyAlignment="1">
      <alignment horizontal="right" vertical="top" wrapText="1"/>
    </xf>
    <xf numFmtId="0" fontId="5" fillId="9" borderId="4" xfId="0" quotePrefix="1" applyFont="1" applyFill="1" applyBorder="1" applyAlignment="1">
      <alignment horizontal="center" vertical="top" wrapText="1"/>
    </xf>
    <xf numFmtId="41" fontId="5" fillId="9" borderId="4" xfId="0" applyNumberFormat="1" applyFont="1" applyFill="1" applyBorder="1" applyAlignment="1">
      <alignment vertical="top" wrapText="1"/>
    </xf>
    <xf numFmtId="2" fontId="5" fillId="9" borderId="4" xfId="0" applyNumberFormat="1" applyFont="1" applyFill="1" applyBorder="1" applyAlignment="1">
      <alignment horizontal="right" vertical="top" wrapText="1"/>
    </xf>
    <xf numFmtId="3" fontId="6" fillId="0" borderId="1" xfId="0" quotePrefix="1" applyNumberFormat="1" applyFont="1" applyFill="1" applyBorder="1" applyAlignment="1">
      <alignment horizontal="right" vertical="top" wrapText="1"/>
    </xf>
    <xf numFmtId="191" fontId="6" fillId="0" borderId="1" xfId="0" applyNumberFormat="1" applyFont="1" applyFill="1" applyBorder="1" applyAlignment="1">
      <alignment vertical="top" wrapText="1"/>
    </xf>
    <xf numFmtId="182" fontId="4" fillId="0" borderId="0" xfId="0" applyNumberFormat="1" applyFont="1" applyFill="1" applyBorder="1" applyAlignment="1">
      <alignment vertical="top" wrapText="1"/>
    </xf>
    <xf numFmtId="0" fontId="11" fillId="4" borderId="1" xfId="0" applyFont="1" applyFill="1" applyBorder="1" applyAlignment="1">
      <alignment horizontal="center" vertical="center" wrapText="1"/>
    </xf>
    <xf numFmtId="41" fontId="8" fillId="0" borderId="0" xfId="0" applyNumberFormat="1" applyFont="1" applyFill="1" applyBorder="1" applyAlignment="1">
      <alignment vertical="top" wrapText="1"/>
    </xf>
    <xf numFmtId="41" fontId="8" fillId="5" borderId="10" xfId="2" applyFont="1" applyFill="1" applyBorder="1" applyAlignment="1">
      <alignment vertical="top" wrapText="1"/>
    </xf>
    <xf numFmtId="41" fontId="8" fillId="0" borderId="10" xfId="6" applyFont="1" applyBorder="1" applyAlignment="1">
      <alignment horizontal="right" vertical="top" wrapText="1"/>
    </xf>
    <xf numFmtId="41" fontId="7" fillId="9" borderId="1" xfId="0" applyNumberFormat="1" applyFont="1" applyFill="1" applyBorder="1" applyAlignment="1">
      <alignment vertical="top" wrapText="1"/>
    </xf>
    <xf numFmtId="164" fontId="7" fillId="9" borderId="1" xfId="6" applyNumberFormat="1" applyFont="1" applyFill="1" applyBorder="1" applyAlignment="1">
      <alignment horizontal="right" vertical="top" wrapText="1"/>
    </xf>
    <xf numFmtId="41" fontId="4" fillId="9" borderId="10" xfId="6" applyNumberFormat="1" applyFont="1" applyFill="1" applyBorder="1" applyAlignment="1">
      <alignment horizontal="right" vertical="top" wrapText="1"/>
    </xf>
    <xf numFmtId="0" fontId="4" fillId="9" borderId="1" xfId="5" quotePrefix="1" applyFont="1" applyFill="1" applyBorder="1" applyAlignment="1">
      <alignment horizontal="center" vertical="top" wrapText="1"/>
    </xf>
    <xf numFmtId="0" fontId="4" fillId="9" borderId="1" xfId="5" applyFont="1" applyFill="1" applyBorder="1" applyAlignment="1">
      <alignment horizontal="center" vertical="top" wrapText="1"/>
    </xf>
    <xf numFmtId="41" fontId="4" fillId="9" borderId="4" xfId="4" applyFont="1" applyFill="1" applyBorder="1" applyAlignment="1">
      <alignment vertical="top" wrapText="1"/>
    </xf>
    <xf numFmtId="1" fontId="4" fillId="9" borderId="1" xfId="5" applyNumberFormat="1" applyFont="1" applyFill="1" applyBorder="1" applyAlignment="1">
      <alignment vertical="top" wrapText="1"/>
    </xf>
    <xf numFmtId="41" fontId="4" fillId="9" borderId="1" xfId="5" applyNumberFormat="1" applyFont="1" applyFill="1" applyBorder="1" applyAlignment="1">
      <alignment vertical="top" wrapText="1"/>
    </xf>
    <xf numFmtId="2" fontId="4" fillId="9" borderId="4" xfId="5" applyNumberFormat="1" applyFont="1" applyFill="1" applyBorder="1" applyAlignment="1">
      <alignment horizontal="right" vertical="top" wrapText="1"/>
    </xf>
    <xf numFmtId="2" fontId="4" fillId="9" borderId="4" xfId="5" applyNumberFormat="1" applyFont="1" applyFill="1" applyBorder="1" applyAlignment="1">
      <alignment vertical="top" wrapText="1"/>
    </xf>
    <xf numFmtId="0" fontId="11" fillId="0" borderId="4" xfId="5" applyFont="1" applyFill="1" applyBorder="1" applyAlignment="1">
      <alignment horizontal="center" vertical="center" wrapText="1"/>
    </xf>
    <xf numFmtId="0" fontId="11" fillId="0" borderId="3" xfId="5" applyFont="1" applyFill="1" applyBorder="1" applyAlignment="1">
      <alignment horizontal="center" vertical="top" wrapText="1"/>
    </xf>
    <xf numFmtId="0" fontId="11" fillId="0" borderId="4" xfId="5" quotePrefix="1" applyFont="1" applyFill="1" applyBorder="1" applyAlignment="1">
      <alignment horizontal="center" vertical="top" wrapText="1"/>
    </xf>
    <xf numFmtId="0" fontId="11" fillId="0" borderId="1" xfId="5" quotePrefix="1" applyFont="1" applyFill="1" applyBorder="1" applyAlignment="1">
      <alignment horizontal="center" vertical="top" wrapText="1"/>
    </xf>
    <xf numFmtId="0" fontId="11" fillId="0" borderId="4" xfId="5" applyFont="1" applyFill="1" applyBorder="1" applyAlignment="1">
      <alignment horizontal="center" vertical="top" wrapText="1"/>
    </xf>
    <xf numFmtId="41" fontId="11" fillId="0" borderId="4" xfId="4" applyFont="1" applyFill="1" applyBorder="1" applyAlignment="1">
      <alignment vertical="top" wrapText="1"/>
    </xf>
    <xf numFmtId="39" fontId="11" fillId="0" borderId="4" xfId="5" applyNumberFormat="1" applyFont="1" applyFill="1" applyBorder="1" applyAlignment="1">
      <alignment horizontal="center" vertical="top" wrapText="1"/>
    </xf>
    <xf numFmtId="41" fontId="11" fillId="0" borderId="7" xfId="4" applyFont="1" applyBorder="1" applyAlignment="1">
      <alignment vertical="top" wrapText="1"/>
    </xf>
    <xf numFmtId="2" fontId="11" fillId="0" borderId="4" xfId="5" applyNumberFormat="1" applyFont="1" applyBorder="1" applyAlignment="1">
      <alignment horizontal="right" vertical="top" wrapText="1"/>
    </xf>
    <xf numFmtId="2" fontId="11" fillId="0" borderId="4" xfId="5" applyNumberFormat="1" applyFont="1" applyBorder="1" applyAlignment="1">
      <alignment vertical="top" wrapText="1"/>
    </xf>
    <xf numFmtId="0" fontId="11" fillId="0" borderId="1" xfId="5" applyFont="1" applyFill="1" applyBorder="1" applyAlignment="1">
      <alignment horizontal="center" vertical="top" wrapText="1"/>
    </xf>
    <xf numFmtId="0" fontId="11" fillId="0" borderId="1" xfId="5" applyFont="1" applyFill="1" applyBorder="1" applyAlignment="1">
      <alignment horizontal="center" vertical="center" wrapText="1"/>
    </xf>
    <xf numFmtId="41" fontId="11" fillId="0" borderId="1" xfId="4" applyFont="1" applyFill="1" applyBorder="1" applyAlignment="1">
      <alignment vertical="top" wrapText="1"/>
    </xf>
    <xf numFmtId="39" fontId="11" fillId="0" borderId="1" xfId="5" applyNumberFormat="1" applyFont="1" applyFill="1" applyBorder="1" applyAlignment="1">
      <alignment horizontal="center" vertical="top" wrapText="1"/>
    </xf>
    <xf numFmtId="41" fontId="11" fillId="0" borderId="4" xfId="4" applyFont="1" applyFill="1" applyBorder="1" applyAlignment="1">
      <alignment horizontal="center" vertical="top" wrapText="1"/>
    </xf>
    <xf numFmtId="41" fontId="11" fillId="0" borderId="4" xfId="5" applyNumberFormat="1" applyFont="1" applyFill="1" applyBorder="1" applyAlignment="1">
      <alignment vertical="top" wrapText="1"/>
    </xf>
    <xf numFmtId="41" fontId="4" fillId="9" borderId="1" xfId="5" applyNumberFormat="1" applyFont="1" applyFill="1" applyBorder="1" applyAlignment="1">
      <alignment horizontal="center" vertical="top" wrapText="1"/>
    </xf>
    <xf numFmtId="166" fontId="4" fillId="9" borderId="1" xfId="4" applyNumberFormat="1" applyFont="1" applyFill="1" applyBorder="1" applyAlignment="1">
      <alignment vertical="top" wrapText="1"/>
    </xf>
    <xf numFmtId="0" fontId="11" fillId="0" borderId="3" xfId="5" quotePrefix="1" applyFont="1" applyBorder="1" applyAlignment="1">
      <alignment horizontal="center" vertical="top" wrapText="1"/>
    </xf>
    <xf numFmtId="0" fontId="11" fillId="0" borderId="2" xfId="5" quotePrefix="1" applyFont="1" applyFill="1" applyBorder="1" applyAlignment="1">
      <alignment horizontal="center" vertical="top" wrapText="1"/>
    </xf>
    <xf numFmtId="41" fontId="11" fillId="0" borderId="0" xfId="5" applyNumberFormat="1" applyFont="1" applyAlignment="1">
      <alignment vertical="top" wrapText="1"/>
    </xf>
    <xf numFmtId="0" fontId="11" fillId="0" borderId="3" xfId="5" quotePrefix="1" applyFont="1" applyFill="1" applyBorder="1" applyAlignment="1">
      <alignment horizontal="center" vertical="top" wrapText="1"/>
    </xf>
    <xf numFmtId="0" fontId="11" fillId="0" borderId="2" xfId="5" quotePrefix="1" applyFont="1" applyBorder="1" applyAlignment="1">
      <alignment horizontal="center" vertical="top" wrapText="1"/>
    </xf>
    <xf numFmtId="0" fontId="11" fillId="0" borderId="4" xfId="5" quotePrefix="1" applyFont="1" applyBorder="1" applyAlignment="1">
      <alignment horizontal="center" vertical="top" wrapText="1"/>
    </xf>
    <xf numFmtId="0" fontId="11" fillId="0" borderId="1" xfId="5" applyFont="1" applyBorder="1" applyAlignment="1">
      <alignment horizontal="center" vertical="center" wrapText="1"/>
    </xf>
    <xf numFmtId="41" fontId="11" fillId="0" borderId="10" xfId="5" applyNumberFormat="1" applyFont="1" applyBorder="1" applyAlignment="1">
      <alignment vertical="top" wrapText="1"/>
    </xf>
    <xf numFmtId="0" fontId="11" fillId="0" borderId="1" xfId="5" quotePrefix="1" applyFont="1" applyBorder="1" applyAlignment="1">
      <alignment horizontal="center" vertical="top" wrapText="1"/>
    </xf>
    <xf numFmtId="2" fontId="11" fillId="0" borderId="1" xfId="5" applyNumberFormat="1" applyFont="1" applyBorder="1" applyAlignment="1">
      <alignment horizontal="right" vertical="top" wrapText="1"/>
    </xf>
    <xf numFmtId="2" fontId="11" fillId="0" borderId="1" xfId="5" applyNumberFormat="1" applyFont="1" applyBorder="1" applyAlignment="1">
      <alignment vertical="top" wrapText="1"/>
    </xf>
    <xf numFmtId="43" fontId="11" fillId="0" borderId="0" xfId="0" applyNumberFormat="1" applyFont="1" applyFill="1" applyBorder="1" applyAlignment="1">
      <alignment vertical="top" wrapText="1"/>
    </xf>
    <xf numFmtId="184" fontId="11" fillId="0" borderId="0" xfId="0" applyNumberFormat="1" applyFont="1" applyFill="1" applyBorder="1" applyAlignment="1">
      <alignment vertical="top" wrapText="1"/>
    </xf>
    <xf numFmtId="2" fontId="4" fillId="0" borderId="1" xfId="0" applyNumberFormat="1" applyFont="1" applyBorder="1" applyAlignment="1">
      <alignment horizontal="right" vertical="top" wrapText="1"/>
    </xf>
    <xf numFmtId="0" fontId="7" fillId="9" borderId="1" xfId="5" applyFont="1" applyFill="1" applyBorder="1" applyAlignment="1">
      <alignment horizontal="center" vertical="top" wrapText="1"/>
    </xf>
    <xf numFmtId="0" fontId="7" fillId="9" borderId="1" xfId="5" quotePrefix="1" applyFont="1" applyFill="1" applyBorder="1" applyAlignment="1">
      <alignment horizontal="center" vertical="top" wrapText="1"/>
    </xf>
    <xf numFmtId="0" fontId="7" fillId="9" borderId="1" xfId="5" applyNumberFormat="1" applyFont="1" applyFill="1" applyBorder="1" applyAlignment="1">
      <alignment horizontal="right" vertical="top" wrapText="1"/>
    </xf>
    <xf numFmtId="41" fontId="7" fillId="9" borderId="1" xfId="4" applyFont="1" applyFill="1" applyBorder="1" applyAlignment="1" applyProtection="1">
      <alignment horizontal="right" vertical="top" wrapText="1"/>
    </xf>
    <xf numFmtId="41" fontId="7" fillId="9" borderId="1" xfId="5" applyNumberFormat="1" applyFont="1" applyFill="1" applyBorder="1" applyAlignment="1">
      <alignment vertical="top" wrapText="1"/>
    </xf>
    <xf numFmtId="0" fontId="7" fillId="9" borderId="1" xfId="5" applyFont="1" applyFill="1" applyBorder="1" applyAlignment="1">
      <alignment horizontal="right" vertical="top" wrapText="1"/>
    </xf>
    <xf numFmtId="164" fontId="7" fillId="9" borderId="1" xfId="7" applyNumberFormat="1" applyFont="1" applyFill="1" applyBorder="1" applyAlignment="1" applyProtection="1">
      <alignment vertical="top" wrapText="1"/>
    </xf>
    <xf numFmtId="2" fontId="7" fillId="9" borderId="1" xfId="5" applyNumberFormat="1" applyFont="1" applyFill="1" applyBorder="1" applyAlignment="1">
      <alignment horizontal="right" vertical="top" wrapText="1"/>
    </xf>
    <xf numFmtId="0" fontId="8" fillId="0" borderId="1" xfId="5" quotePrefix="1" applyFont="1" applyFill="1" applyBorder="1" applyAlignment="1">
      <alignment horizontal="center" vertical="top" wrapText="1"/>
    </xf>
    <xf numFmtId="0" fontId="8" fillId="0" borderId="1" xfId="5" applyFont="1" applyFill="1" applyBorder="1" applyAlignment="1">
      <alignment horizontal="right" vertical="top" wrapText="1"/>
    </xf>
    <xf numFmtId="41" fontId="8" fillId="0" borderId="1" xfId="4" applyFont="1" applyFill="1" applyBorder="1" applyAlignment="1" applyProtection="1">
      <alignment horizontal="right" vertical="top" wrapText="1"/>
    </xf>
    <xf numFmtId="0" fontId="8" fillId="0" borderId="1" xfId="5" quotePrefix="1" applyFont="1" applyFill="1" applyBorder="1" applyAlignment="1">
      <alignment horizontal="right" vertical="top" wrapText="1"/>
    </xf>
    <xf numFmtId="164" fontId="8" fillId="0" borderId="1" xfId="7" applyNumberFormat="1" applyFont="1" applyFill="1" applyBorder="1" applyAlignment="1" applyProtection="1">
      <alignment vertical="top" wrapText="1"/>
    </xf>
    <xf numFmtId="41" fontId="8" fillId="0" borderId="1" xfId="4" applyFont="1" applyFill="1" applyBorder="1" applyAlignment="1" applyProtection="1">
      <alignment vertical="top" wrapText="1"/>
    </xf>
    <xf numFmtId="41" fontId="8" fillId="0" borderId="1" xfId="5" applyNumberFormat="1" applyFont="1" applyFill="1" applyBorder="1" applyAlignment="1">
      <alignment vertical="top" wrapText="1"/>
    </xf>
    <xf numFmtId="2" fontId="8" fillId="0" borderId="1" xfId="5" applyNumberFormat="1" applyFont="1" applyFill="1" applyBorder="1" applyAlignment="1">
      <alignment horizontal="right" vertical="top" wrapText="1"/>
    </xf>
    <xf numFmtId="0" fontId="8" fillId="0" borderId="1" xfId="5" quotePrefix="1" applyFont="1" applyFill="1" applyBorder="1" applyAlignment="1">
      <alignment horizontal="center" vertical="top" wrapText="1"/>
    </xf>
    <xf numFmtId="41" fontId="9" fillId="0" borderId="0" xfId="4" applyFont="1" applyAlignment="1" applyProtection="1">
      <alignment vertical="top" wrapText="1"/>
      <protection locked="0"/>
    </xf>
    <xf numFmtId="41" fontId="9" fillId="0" borderId="1" xfId="4" applyFont="1" applyBorder="1" applyAlignment="1" applyProtection="1">
      <alignment vertical="top" wrapText="1"/>
      <protection locked="0"/>
    </xf>
    <xf numFmtId="41" fontId="9" fillId="0" borderId="1" xfId="4" applyFont="1" applyBorder="1" applyAlignment="1" applyProtection="1">
      <alignment wrapText="1"/>
      <protection locked="0"/>
    </xf>
    <xf numFmtId="0" fontId="11" fillId="0" borderId="1" xfId="5" applyFont="1" applyFill="1" applyBorder="1" applyAlignment="1">
      <alignment horizontal="right" vertical="top" wrapText="1"/>
    </xf>
    <xf numFmtId="0" fontId="8" fillId="0" borderId="1" xfId="5" applyFont="1" applyFill="1" applyBorder="1" applyAlignment="1">
      <alignment horizontal="right" vertical="top" wrapText="1"/>
    </xf>
    <xf numFmtId="2" fontId="8" fillId="0" borderId="1" xfId="5" applyNumberFormat="1" applyFont="1" applyFill="1" applyBorder="1" applyAlignment="1">
      <alignment horizontal="right" vertical="top" wrapText="1"/>
    </xf>
    <xf numFmtId="41" fontId="8" fillId="0" borderId="1" xfId="2" applyFont="1" applyFill="1" applyBorder="1" applyAlignment="1">
      <alignment horizontal="right" vertical="top" wrapText="1"/>
    </xf>
    <xf numFmtId="164" fontId="8" fillId="0" borderId="1" xfId="7" applyNumberFormat="1" applyFont="1" applyFill="1" applyBorder="1" applyAlignment="1" applyProtection="1">
      <alignment horizontal="right" vertical="top" wrapText="1"/>
    </xf>
    <xf numFmtId="0" fontId="8" fillId="9" borderId="1" xfId="5" quotePrefix="1" applyFont="1" applyFill="1" applyBorder="1" applyAlignment="1">
      <alignment horizontal="center" vertical="top" wrapText="1"/>
    </xf>
    <xf numFmtId="0" fontId="7" fillId="9" borderId="1" xfId="5" quotePrefix="1" applyFont="1" applyFill="1" applyBorder="1" applyAlignment="1">
      <alignment horizontal="right" vertical="top" wrapText="1"/>
    </xf>
    <xf numFmtId="41" fontId="7" fillId="9" borderId="1" xfId="5" applyNumberFormat="1" applyFont="1" applyFill="1" applyBorder="1" applyAlignment="1">
      <alignment horizontal="right" vertical="top" wrapText="1"/>
    </xf>
    <xf numFmtId="164" fontId="7" fillId="9" borderId="1" xfId="7" applyNumberFormat="1" applyFont="1" applyFill="1" applyBorder="1" applyAlignment="1" applyProtection="1">
      <alignment horizontal="right" vertical="top" wrapText="1"/>
    </xf>
    <xf numFmtId="0" fontId="7" fillId="0" borderId="1" xfId="5" applyFont="1" applyFill="1" applyBorder="1" applyAlignment="1">
      <alignment horizontal="right" vertical="top" wrapText="1"/>
    </xf>
    <xf numFmtId="41" fontId="7" fillId="0" borderId="1" xfId="2" applyFont="1" applyFill="1" applyBorder="1" applyAlignment="1">
      <alignment horizontal="right" vertical="top" wrapText="1"/>
    </xf>
    <xf numFmtId="41" fontId="7" fillId="0" borderId="1" xfId="2" quotePrefix="1" applyFont="1" applyFill="1" applyBorder="1" applyAlignment="1">
      <alignment horizontal="right" vertical="top" wrapText="1"/>
    </xf>
    <xf numFmtId="41" fontId="8" fillId="0" borderId="1" xfId="2" quotePrefix="1" applyFont="1" applyFill="1" applyBorder="1" applyAlignment="1">
      <alignment horizontal="right" vertical="top" wrapText="1"/>
    </xf>
    <xf numFmtId="41" fontId="7" fillId="9" borderId="1" xfId="2" applyFont="1" applyFill="1" applyBorder="1" applyAlignment="1">
      <alignment horizontal="right" vertical="top" wrapText="1"/>
    </xf>
    <xf numFmtId="164" fontId="7" fillId="9" borderId="1" xfId="5" applyNumberFormat="1" applyFont="1" applyFill="1" applyBorder="1" applyAlignment="1">
      <alignment horizontal="right" vertical="top" wrapText="1"/>
    </xf>
    <xf numFmtId="0" fontId="8" fillId="0" borderId="2" xfId="5" quotePrefix="1" applyFont="1" applyFill="1" applyBorder="1" applyAlignment="1">
      <alignment horizontal="center" vertical="top" wrapText="1"/>
    </xf>
    <xf numFmtId="0" fontId="8" fillId="0" borderId="4" xfId="5" quotePrefix="1" applyFont="1" applyFill="1" applyBorder="1" applyAlignment="1">
      <alignment horizontal="center" vertical="top" wrapText="1"/>
    </xf>
    <xf numFmtId="41" fontId="8" fillId="0" borderId="1" xfId="5" applyNumberFormat="1" applyFont="1" applyFill="1" applyBorder="1" applyAlignment="1">
      <alignment horizontal="right" vertical="top" wrapText="1"/>
    </xf>
    <xf numFmtId="0" fontId="7" fillId="9" borderId="1" xfId="5" applyFont="1" applyFill="1" applyBorder="1" applyAlignment="1">
      <alignment horizontal="center" vertical="center" wrapText="1"/>
    </xf>
    <xf numFmtId="0" fontId="8" fillId="0" borderId="1" xfId="5" applyFont="1" applyFill="1" applyBorder="1" applyAlignment="1">
      <alignment horizontal="center" vertical="center" wrapText="1"/>
    </xf>
    <xf numFmtId="41" fontId="11" fillId="0" borderId="1" xfId="4" applyFont="1" applyFill="1" applyBorder="1" applyAlignment="1" applyProtection="1">
      <alignment horizontal="right" vertical="top" wrapText="1"/>
    </xf>
    <xf numFmtId="0" fontId="11" fillId="0" borderId="1" xfId="5" quotePrefix="1" applyFont="1" applyFill="1" applyBorder="1" applyAlignment="1">
      <alignment horizontal="right" vertical="top" wrapText="1"/>
    </xf>
    <xf numFmtId="2" fontId="11" fillId="0" borderId="1" xfId="5" applyNumberFormat="1" applyFont="1" applyFill="1" applyBorder="1" applyAlignment="1">
      <alignment horizontal="right" vertical="top" wrapText="1"/>
    </xf>
    <xf numFmtId="41" fontId="9" fillId="0" borderId="0" xfId="4" applyFont="1" applyAlignment="1" applyProtection="1">
      <alignment wrapText="1"/>
      <protection locked="0"/>
    </xf>
    <xf numFmtId="41" fontId="7" fillId="9" borderId="1" xfId="4" applyFont="1" applyFill="1" applyBorder="1" applyAlignment="1" applyProtection="1">
      <alignment vertical="top" wrapText="1"/>
    </xf>
    <xf numFmtId="164" fontId="8" fillId="0" borderId="2" xfId="7" applyNumberFormat="1" applyFont="1" applyFill="1" applyBorder="1" applyAlignment="1" applyProtection="1">
      <alignment vertical="top" wrapText="1"/>
    </xf>
    <xf numFmtId="41" fontId="8" fillId="0" borderId="2" xfId="4" applyFont="1" applyFill="1" applyBorder="1" applyAlignment="1" applyProtection="1">
      <alignment horizontal="center" vertical="top" wrapText="1"/>
    </xf>
    <xf numFmtId="0" fontId="8" fillId="0" borderId="2" xfId="5" applyFont="1" applyFill="1" applyBorder="1" applyAlignment="1">
      <alignment horizontal="center" vertical="top" wrapText="1"/>
    </xf>
    <xf numFmtId="41" fontId="8" fillId="0" borderId="2" xfId="2" applyFont="1" applyFill="1" applyBorder="1" applyAlignment="1">
      <alignment horizontal="center" vertical="top" wrapText="1"/>
    </xf>
    <xf numFmtId="164" fontId="8" fillId="0" borderId="2" xfId="7" applyNumberFormat="1" applyFont="1" applyFill="1" applyBorder="1" applyAlignment="1" applyProtection="1">
      <alignment horizontal="center" vertical="top" wrapText="1"/>
    </xf>
    <xf numFmtId="2" fontId="8" fillId="0" borderId="2" xfId="5" applyNumberFormat="1" applyFont="1" applyFill="1" applyBorder="1" applyAlignment="1">
      <alignment horizontal="right" vertical="top" wrapText="1"/>
    </xf>
    <xf numFmtId="41" fontId="8" fillId="0" borderId="4" xfId="4" applyFont="1" applyFill="1" applyBorder="1" applyAlignment="1" applyProtection="1">
      <alignment horizontal="center" vertical="top" wrapText="1"/>
    </xf>
    <xf numFmtId="41" fontId="8" fillId="0" borderId="4" xfId="2" applyFont="1" applyFill="1" applyBorder="1" applyAlignment="1">
      <alignment horizontal="center" vertical="top" wrapText="1"/>
    </xf>
    <xf numFmtId="0" fontId="8" fillId="0" borderId="4" xfId="5" applyFont="1" applyFill="1" applyBorder="1" applyAlignment="1">
      <alignment horizontal="center" vertical="top" wrapText="1"/>
    </xf>
    <xf numFmtId="164" fontId="8" fillId="0" borderId="4" xfId="7" applyNumberFormat="1" applyFont="1" applyFill="1" applyBorder="1" applyAlignment="1" applyProtection="1">
      <alignment horizontal="center" vertical="top" wrapText="1"/>
    </xf>
    <xf numFmtId="0" fontId="6" fillId="0" borderId="11" xfId="0" applyFont="1" applyFill="1" applyBorder="1" applyAlignment="1">
      <alignment vertical="top" wrapText="1"/>
    </xf>
    <xf numFmtId="1" fontId="6" fillId="0" borderId="1" xfId="3" applyNumberFormat="1" applyFont="1" applyFill="1" applyBorder="1" applyAlignment="1">
      <alignment horizontal="right" vertical="top" wrapText="1"/>
    </xf>
    <xf numFmtId="1" fontId="6" fillId="0" borderId="4" xfId="0" applyNumberFormat="1" applyFont="1" applyFill="1" applyBorder="1" applyAlignment="1">
      <alignment horizontal="right" vertical="top" wrapText="1"/>
    </xf>
    <xf numFmtId="164" fontId="6" fillId="0" borderId="4" xfId="1" applyNumberFormat="1" applyFont="1" applyFill="1" applyBorder="1" applyAlignment="1">
      <alignment horizontal="right" vertical="top" wrapText="1"/>
    </xf>
    <xf numFmtId="164" fontId="6" fillId="0" borderId="4" xfId="1" applyNumberFormat="1" applyFont="1" applyBorder="1" applyAlignment="1">
      <alignment vertical="top" wrapText="1"/>
    </xf>
    <xf numFmtId="164" fontId="6" fillId="0" borderId="4" xfId="1" applyNumberFormat="1" applyFont="1" applyFill="1" applyBorder="1" applyAlignment="1">
      <alignment vertical="top" wrapText="1"/>
    </xf>
    <xf numFmtId="0" fontId="6" fillId="0" borderId="4" xfId="0" applyFont="1" applyFill="1" applyBorder="1" applyAlignment="1">
      <alignment horizontal="right" vertical="top" wrapText="1"/>
    </xf>
    <xf numFmtId="1" fontId="6" fillId="0" borderId="1" xfId="0" quotePrefix="1" applyNumberFormat="1" applyFont="1" applyFill="1" applyBorder="1" applyAlignment="1">
      <alignment horizontal="right" vertical="top" wrapText="1"/>
    </xf>
    <xf numFmtId="9" fontId="6" fillId="0" borderId="1" xfId="3" quotePrefix="1" applyFont="1" applyBorder="1" applyAlignment="1">
      <alignment vertical="top" wrapText="1"/>
    </xf>
    <xf numFmtId="9" fontId="6" fillId="0" borderId="1" xfId="0" quotePrefix="1" applyNumberFormat="1" applyFont="1" applyBorder="1" applyAlignment="1">
      <alignment vertical="top" wrapText="1"/>
    </xf>
    <xf numFmtId="9" fontId="6" fillId="0" borderId="1" xfId="3" applyFont="1" applyFill="1" applyBorder="1" applyAlignment="1">
      <alignment horizontal="right" vertical="top" wrapText="1"/>
    </xf>
    <xf numFmtId="164" fontId="6" fillId="0" borderId="1" xfId="1" quotePrefix="1" applyNumberFormat="1" applyFont="1" applyFill="1" applyBorder="1" applyAlignment="1">
      <alignment horizontal="right" vertical="top" wrapText="1"/>
    </xf>
    <xf numFmtId="0" fontId="5" fillId="9" borderId="1" xfId="0" quotePrefix="1" applyFont="1" applyFill="1" applyBorder="1" applyAlignment="1">
      <alignment horizontal="right" vertical="top" wrapText="1"/>
    </xf>
    <xf numFmtId="182" fontId="6" fillId="0" borderId="0" xfId="0" applyNumberFormat="1" applyFont="1" applyFill="1" applyBorder="1" applyAlignment="1">
      <alignment vertical="top" wrapText="1"/>
    </xf>
    <xf numFmtId="0" fontId="5" fillId="4" borderId="1" xfId="0" applyFont="1" applyFill="1" applyBorder="1" applyAlignment="1">
      <alignment horizontal="center" vertical="top" wrapText="1"/>
    </xf>
    <xf numFmtId="164" fontId="6" fillId="0" borderId="0" xfId="1" applyNumberFormat="1" applyFont="1" applyFill="1" applyBorder="1" applyAlignment="1">
      <alignment vertical="top" wrapText="1"/>
    </xf>
    <xf numFmtId="0" fontId="11" fillId="9" borderId="4" xfId="0" applyFont="1" applyFill="1" applyBorder="1" applyAlignment="1">
      <alignment horizontal="center" vertical="top" wrapText="1"/>
    </xf>
    <xf numFmtId="0" fontId="11" fillId="9" borderId="4" xfId="0" quotePrefix="1" applyFont="1" applyFill="1" applyBorder="1" applyAlignment="1">
      <alignment horizontal="center" vertical="top" wrapText="1"/>
    </xf>
    <xf numFmtId="0" fontId="6" fillId="9" borderId="4" xfId="0" applyFont="1" applyFill="1" applyBorder="1" applyAlignment="1">
      <alignment horizontal="center" vertical="top" wrapText="1"/>
    </xf>
    <xf numFmtId="0" fontId="6" fillId="9" borderId="3" xfId="0" applyFont="1" applyFill="1" applyBorder="1" applyAlignment="1">
      <alignment vertical="top" wrapText="1"/>
    </xf>
    <xf numFmtId="0" fontId="6" fillId="4" borderId="2" xfId="0" applyFont="1" applyFill="1" applyBorder="1" applyAlignment="1">
      <alignment horizontal="center" vertical="top" wrapText="1"/>
    </xf>
    <xf numFmtId="0" fontId="6" fillId="9" borderId="2" xfId="0" applyFont="1" applyFill="1" applyBorder="1" applyAlignment="1">
      <alignment horizontal="center" vertical="top" wrapText="1"/>
    </xf>
    <xf numFmtId="41" fontId="11" fillId="4" borderId="39" xfId="0" applyNumberFormat="1" applyFont="1" applyFill="1" applyBorder="1" applyAlignment="1">
      <alignment vertical="top" wrapText="1"/>
    </xf>
    <xf numFmtId="41" fontId="5" fillId="0" borderId="0" xfId="0" applyNumberFormat="1" applyFont="1" applyFill="1" applyBorder="1" applyAlignment="1">
      <alignment vertical="center" wrapText="1"/>
    </xf>
    <xf numFmtId="0" fontId="4" fillId="4" borderId="1" xfId="0" applyFont="1" applyFill="1" applyBorder="1" applyAlignment="1">
      <alignment horizontal="center" vertical="top" wrapText="1"/>
    </xf>
    <xf numFmtId="41" fontId="5" fillId="0" borderId="0" xfId="2" applyFont="1" applyFill="1" applyBorder="1" applyAlignment="1">
      <alignment vertical="top" wrapText="1"/>
    </xf>
    <xf numFmtId="0" fontId="6" fillId="0" borderId="11" xfId="0" applyFont="1" applyBorder="1" applyAlignment="1">
      <alignment horizontal="right" vertical="top" wrapText="1"/>
    </xf>
    <xf numFmtId="41" fontId="6" fillId="0" borderId="11" xfId="2" applyFont="1" applyFill="1" applyBorder="1" applyAlignment="1">
      <alignment horizontal="right" vertical="top" wrapText="1"/>
    </xf>
    <xf numFmtId="164" fontId="6" fillId="8" borderId="1" xfId="0" applyNumberFormat="1" applyFont="1" applyFill="1" applyBorder="1" applyAlignment="1">
      <alignment horizontal="center" vertical="center" wrapText="1"/>
    </xf>
    <xf numFmtId="43" fontId="4" fillId="9" borderId="1" xfId="2" applyNumberFormat="1" applyFont="1" applyFill="1" applyBorder="1" applyAlignment="1">
      <alignment horizontal="right" vertical="top" wrapText="1"/>
    </xf>
    <xf numFmtId="0" fontId="5" fillId="9" borderId="4" xfId="0" applyFont="1" applyFill="1" applyBorder="1" applyAlignment="1">
      <alignment horizontal="center" vertical="center" wrapText="1"/>
    </xf>
    <xf numFmtId="0" fontId="5" fillId="9" borderId="4" xfId="0" applyFont="1" applyFill="1" applyBorder="1" applyAlignment="1">
      <alignment horizontal="center" vertical="top" wrapText="1"/>
    </xf>
    <xf numFmtId="0" fontId="5" fillId="9" borderId="30" xfId="0" applyFont="1" applyFill="1" applyBorder="1" applyAlignment="1">
      <alignment horizontal="center" vertical="top" wrapText="1"/>
    </xf>
    <xf numFmtId="41" fontId="5" fillId="9" borderId="4" xfId="2" applyFont="1" applyFill="1" applyBorder="1" applyAlignment="1">
      <alignment vertical="top" wrapText="1"/>
    </xf>
    <xf numFmtId="2" fontId="5" fillId="9" borderId="4" xfId="0" applyNumberFormat="1" applyFont="1" applyFill="1" applyBorder="1" applyAlignment="1">
      <alignment vertical="top" wrapText="1"/>
    </xf>
    <xf numFmtId="41" fontId="9" fillId="0" borderId="10" xfId="2" applyFont="1" applyBorder="1" applyAlignment="1">
      <alignment vertical="top" wrapText="1"/>
    </xf>
    <xf numFmtId="43" fontId="6" fillId="0" borderId="4" xfId="0" quotePrefix="1" applyNumberFormat="1" applyFont="1" applyBorder="1" applyAlignment="1">
      <alignment vertical="top" wrapText="1"/>
    </xf>
    <xf numFmtId="0" fontId="11" fillId="0" borderId="4" xfId="0" quotePrefix="1" applyFont="1" applyBorder="1" applyAlignment="1">
      <alignment horizontal="center" vertical="top" wrapText="1"/>
    </xf>
    <xf numFmtId="41" fontId="9" fillId="4" borderId="5" xfId="2" applyFont="1" applyFill="1" applyBorder="1" applyAlignment="1">
      <alignment vertical="top" wrapText="1"/>
    </xf>
    <xf numFmtId="41" fontId="9" fillId="4" borderId="10" xfId="2" applyFont="1" applyFill="1" applyBorder="1" applyAlignment="1">
      <alignment vertical="top" wrapText="1"/>
    </xf>
    <xf numFmtId="41" fontId="9" fillId="4" borderId="6" xfId="2" applyFont="1" applyFill="1" applyBorder="1" applyAlignment="1">
      <alignment vertical="top" wrapText="1"/>
    </xf>
    <xf numFmtId="41" fontId="11" fillId="4" borderId="35" xfId="0" applyNumberFormat="1" applyFont="1" applyFill="1" applyBorder="1" applyAlignment="1">
      <alignment horizontal="right" vertical="top" wrapText="1"/>
    </xf>
    <xf numFmtId="0" fontId="6" fillId="4" borderId="2" xfId="0" applyFont="1" applyFill="1" applyBorder="1" applyAlignment="1">
      <alignment vertical="top" wrapText="1"/>
    </xf>
    <xf numFmtId="41" fontId="5" fillId="9" borderId="1" xfId="2" quotePrefix="1" applyNumberFormat="1" applyFont="1" applyFill="1" applyBorder="1" applyAlignment="1">
      <alignment vertical="top" wrapText="1"/>
    </xf>
    <xf numFmtId="41" fontId="6" fillId="4" borderId="1" xfId="2" quotePrefix="1" applyFont="1" applyFill="1" applyBorder="1" applyAlignment="1">
      <alignment vertical="top" wrapText="1"/>
    </xf>
    <xf numFmtId="166" fontId="6" fillId="4" borderId="1" xfId="2" quotePrefix="1" applyNumberFormat="1" applyFont="1" applyFill="1" applyBorder="1" applyAlignment="1">
      <alignment vertical="top" wrapText="1"/>
    </xf>
    <xf numFmtId="164" fontId="6" fillId="0" borderId="1" xfId="2" applyNumberFormat="1" applyFont="1" applyFill="1" applyBorder="1" applyAlignment="1">
      <alignment horizontal="right" vertical="top" wrapText="1"/>
    </xf>
    <xf numFmtId="172" fontId="6" fillId="0" borderId="1" xfId="2" applyNumberFormat="1" applyFont="1" applyFill="1" applyBorder="1" applyAlignment="1">
      <alignment horizontal="right" vertical="top" wrapText="1"/>
    </xf>
    <xf numFmtId="172" fontId="5" fillId="9" borderId="1" xfId="2" applyNumberFormat="1" applyFont="1" applyFill="1" applyBorder="1" applyAlignment="1">
      <alignment horizontal="right" vertical="top" wrapText="1"/>
    </xf>
    <xf numFmtId="0" fontId="5" fillId="0" borderId="0" xfId="0" applyFont="1" applyAlignment="1">
      <alignment vertical="center" wrapText="1"/>
    </xf>
    <xf numFmtId="0" fontId="4" fillId="11" borderId="1" xfId="0" quotePrefix="1" applyFont="1" applyFill="1" applyBorder="1" applyAlignment="1">
      <alignment horizontal="center" vertical="top" wrapText="1"/>
    </xf>
    <xf numFmtId="41" fontId="5" fillId="11" borderId="1" xfId="2" applyFont="1" applyFill="1" applyBorder="1" applyAlignment="1">
      <alignment vertical="top" wrapText="1"/>
    </xf>
    <xf numFmtId="41" fontId="4" fillId="11" borderId="1" xfId="4" applyFont="1" applyFill="1" applyBorder="1" applyAlignment="1">
      <alignment horizontal="right" vertical="top" wrapText="1"/>
    </xf>
    <xf numFmtId="166" fontId="4" fillId="11" borderId="1" xfId="4" applyNumberFormat="1" applyFont="1" applyFill="1" applyBorder="1" applyAlignment="1">
      <alignment horizontal="right" vertical="top" wrapText="1"/>
    </xf>
    <xf numFmtId="41" fontId="4" fillId="11" borderId="1" xfId="4" applyFont="1" applyFill="1" applyBorder="1" applyAlignment="1">
      <alignment vertical="top" wrapText="1"/>
    </xf>
    <xf numFmtId="2" fontId="4" fillId="11" borderId="1" xfId="0" applyNumberFormat="1" applyFont="1" applyFill="1" applyBorder="1" applyAlignment="1">
      <alignment horizontal="right" vertical="top" wrapText="1"/>
    </xf>
    <xf numFmtId="164" fontId="4" fillId="11" borderId="1" xfId="7" applyNumberFormat="1" applyFont="1" applyFill="1" applyBorder="1" applyAlignment="1">
      <alignment vertical="top" wrapText="1"/>
    </xf>
    <xf numFmtId="43" fontId="8" fillId="0" borderId="0" xfId="0" applyNumberFormat="1" applyFont="1" applyFill="1" applyBorder="1" applyAlignment="1">
      <alignment vertical="top" wrapText="1"/>
    </xf>
    <xf numFmtId="0" fontId="11" fillId="4" borderId="4" xfId="0" applyFont="1" applyFill="1" applyBorder="1" applyAlignment="1">
      <alignment horizontal="center" vertical="top" wrapText="1"/>
    </xf>
    <xf numFmtId="0" fontId="11" fillId="5" borderId="1" xfId="0" quotePrefix="1" applyFont="1" applyFill="1" applyBorder="1" applyAlignment="1">
      <alignment horizontal="center" vertical="top" wrapText="1"/>
    </xf>
    <xf numFmtId="0" fontId="11" fillId="5" borderId="4" xfId="0" quotePrefix="1" applyFont="1" applyFill="1" applyBorder="1" applyAlignment="1">
      <alignment horizontal="center" vertical="top" wrapText="1"/>
    </xf>
    <xf numFmtId="166" fontId="11" fillId="4" borderId="1" xfId="4" applyNumberFormat="1" applyFont="1" applyFill="1" applyBorder="1" applyAlignment="1">
      <alignment horizontal="right" vertical="top" wrapText="1"/>
    </xf>
    <xf numFmtId="41" fontId="11" fillId="4" borderId="4" xfId="4" applyFont="1" applyFill="1" applyBorder="1" applyAlignment="1">
      <alignment vertical="top" wrapText="1"/>
    </xf>
    <xf numFmtId="164" fontId="11" fillId="4" borderId="4" xfId="7" applyNumberFormat="1" applyFont="1" applyFill="1" applyBorder="1" applyAlignment="1">
      <alignment vertical="top" wrapText="1"/>
    </xf>
    <xf numFmtId="0" fontId="11" fillId="4" borderId="4" xfId="0" applyFont="1" applyFill="1" applyBorder="1" applyAlignment="1">
      <alignment horizontal="right" vertical="top" wrapText="1"/>
    </xf>
    <xf numFmtId="2" fontId="11" fillId="4" borderId="4" xfId="0" applyNumberFormat="1" applyFont="1" applyFill="1" applyBorder="1" applyAlignment="1">
      <alignment horizontal="right" vertical="top" wrapText="1"/>
    </xf>
    <xf numFmtId="0" fontId="4" fillId="9" borderId="4" xfId="0" applyFont="1" applyFill="1" applyBorder="1" applyAlignment="1">
      <alignment horizontal="center" vertical="top" wrapText="1"/>
    </xf>
    <xf numFmtId="0" fontId="4" fillId="9" borderId="4" xfId="0" applyFont="1" applyFill="1" applyBorder="1" applyAlignment="1">
      <alignment horizontal="right" vertical="top" wrapText="1"/>
    </xf>
    <xf numFmtId="167" fontId="4" fillId="9" borderId="4" xfId="2" applyNumberFormat="1" applyFont="1" applyFill="1" applyBorder="1" applyAlignment="1">
      <alignment horizontal="right" vertical="top" wrapText="1"/>
    </xf>
    <xf numFmtId="41" fontId="4" fillId="9" borderId="4" xfId="2" applyFont="1" applyFill="1" applyBorder="1" applyAlignment="1">
      <alignment horizontal="right" vertical="top" wrapText="1"/>
    </xf>
    <xf numFmtId="169" fontId="4" fillId="9" borderId="1" xfId="0" applyNumberFormat="1" applyFont="1" applyFill="1" applyBorder="1" applyAlignment="1">
      <alignment horizontal="right" vertical="top" wrapText="1"/>
    </xf>
    <xf numFmtId="164" fontId="4" fillId="9" borderId="1" xfId="7" applyNumberFormat="1" applyFont="1" applyFill="1" applyBorder="1" applyAlignment="1">
      <alignment vertical="top" wrapText="1"/>
    </xf>
    <xf numFmtId="0" fontId="11" fillId="4" borderId="1" xfId="0" applyFont="1" applyFill="1" applyBorder="1" applyAlignment="1">
      <alignment wrapText="1"/>
    </xf>
    <xf numFmtId="41" fontId="8" fillId="0" borderId="4" xfId="2" applyFont="1" applyFill="1" applyBorder="1" applyAlignment="1">
      <alignment horizontal="right" vertical="top" wrapText="1"/>
    </xf>
    <xf numFmtId="171" fontId="11" fillId="4" borderId="4" xfId="0" applyNumberFormat="1" applyFont="1" applyFill="1" applyBorder="1" applyAlignment="1">
      <alignment horizontal="right" vertical="top" wrapText="1"/>
    </xf>
    <xf numFmtId="0" fontId="4" fillId="4" borderId="4" xfId="0" applyFont="1" applyFill="1" applyBorder="1" applyAlignment="1">
      <alignment horizontal="center" vertical="top" wrapText="1"/>
    </xf>
    <xf numFmtId="167" fontId="11" fillId="4" borderId="4" xfId="2" applyNumberFormat="1" applyFont="1" applyFill="1" applyBorder="1" applyAlignment="1">
      <alignment horizontal="right" vertical="top" wrapText="1"/>
    </xf>
    <xf numFmtId="41" fontId="11" fillId="4" borderId="4" xfId="2" applyFont="1" applyFill="1" applyBorder="1" applyAlignment="1">
      <alignment horizontal="right" vertical="top" wrapText="1"/>
    </xf>
    <xf numFmtId="0" fontId="4" fillId="4" borderId="4" xfId="0" applyFont="1" applyFill="1" applyBorder="1" applyAlignment="1">
      <alignment vertical="top" wrapText="1"/>
    </xf>
    <xf numFmtId="41" fontId="4" fillId="9" borderId="4" xfId="2" applyFont="1" applyFill="1" applyBorder="1" applyAlignment="1">
      <alignment vertical="top" wrapText="1"/>
    </xf>
    <xf numFmtId="164" fontId="6" fillId="4" borderId="20" xfId="2" applyNumberFormat="1" applyFont="1" applyFill="1" applyBorder="1" applyAlignment="1">
      <alignment horizontal="right" vertical="top" wrapText="1"/>
    </xf>
    <xf numFmtId="43" fontId="6" fillId="4" borderId="20" xfId="2" applyNumberFormat="1" applyFont="1" applyFill="1" applyBorder="1" applyAlignment="1">
      <alignment horizontal="right" vertical="top" wrapText="1"/>
    </xf>
    <xf numFmtId="166" fontId="11" fillId="4" borderId="4" xfId="2" applyNumberFormat="1" applyFont="1" applyFill="1" applyBorder="1" applyAlignment="1">
      <alignment horizontal="right" vertical="top" wrapText="1"/>
    </xf>
    <xf numFmtId="166" fontId="4" fillId="9" borderId="1" xfId="0" applyNumberFormat="1" applyFont="1" applyFill="1" applyBorder="1" applyAlignment="1">
      <alignment horizontal="right" vertical="top" wrapText="1"/>
    </xf>
    <xf numFmtId="0" fontId="4" fillId="0" borderId="1" xfId="0" applyFont="1" applyFill="1" applyBorder="1" applyAlignment="1">
      <alignment horizontal="center" vertical="top" wrapText="1"/>
    </xf>
    <xf numFmtId="41" fontId="11" fillId="4" borderId="4" xfId="2" applyNumberFormat="1" applyFont="1" applyFill="1" applyBorder="1" applyAlignment="1">
      <alignment horizontal="right" vertical="top" wrapText="1"/>
    </xf>
    <xf numFmtId="41" fontId="4" fillId="4" borderId="1" xfId="0" applyNumberFormat="1" applyFont="1" applyFill="1" applyBorder="1" applyAlignment="1">
      <alignment horizontal="right" vertical="top" wrapText="1"/>
    </xf>
    <xf numFmtId="41" fontId="4" fillId="4" borderId="4" xfId="0" applyNumberFormat="1" applyFont="1" applyFill="1" applyBorder="1" applyAlignment="1">
      <alignment horizontal="right" vertical="top" wrapText="1"/>
    </xf>
    <xf numFmtId="166" fontId="11" fillId="9" borderId="1" xfId="4" applyNumberFormat="1" applyFont="1" applyFill="1" applyBorder="1" applyAlignment="1">
      <alignment horizontal="right" vertical="top" wrapText="1"/>
    </xf>
    <xf numFmtId="169" fontId="11" fillId="4" borderId="4" xfId="0" applyNumberFormat="1" applyFont="1" applyFill="1" applyBorder="1" applyAlignment="1">
      <alignment horizontal="right" vertical="top" wrapText="1"/>
    </xf>
    <xf numFmtId="41" fontId="8" fillId="0" borderId="1" xfId="2" applyFont="1" applyBorder="1" applyAlignment="1">
      <alignment horizontal="right" vertical="top" wrapText="1"/>
    </xf>
    <xf numFmtId="166" fontId="6" fillId="4" borderId="1" xfId="2" applyNumberFormat="1" applyFont="1" applyFill="1" applyBorder="1" applyAlignment="1">
      <alignment horizontal="right" vertical="top" wrapText="1"/>
    </xf>
    <xf numFmtId="41" fontId="5" fillId="9" borderId="1" xfId="2" quotePrefix="1" applyFont="1" applyFill="1" applyBorder="1" applyAlignment="1">
      <alignment horizontal="center" vertical="top" wrapText="1"/>
    </xf>
    <xf numFmtId="41" fontId="5" fillId="0" borderId="1" xfId="2" applyFont="1" applyFill="1" applyBorder="1" applyAlignment="1">
      <alignment horizontal="center" vertical="center" wrapText="1"/>
    </xf>
    <xf numFmtId="164" fontId="5" fillId="0" borderId="1" xfId="7" applyNumberFormat="1" applyFont="1" applyFill="1" applyBorder="1" applyAlignment="1">
      <alignment vertical="top" wrapText="1"/>
    </xf>
    <xf numFmtId="41" fontId="6" fillId="4" borderId="1" xfId="2" applyFont="1" applyFill="1" applyBorder="1" applyAlignment="1">
      <alignment horizontal="center" vertical="center" wrapText="1"/>
    </xf>
    <xf numFmtId="41" fontId="6" fillId="4" borderId="1" xfId="2" quotePrefix="1" applyFont="1" applyFill="1" applyBorder="1" applyAlignment="1">
      <alignment horizontal="center" vertical="top" wrapText="1"/>
    </xf>
    <xf numFmtId="164" fontId="5" fillId="4" borderId="1" xfId="7" applyNumberFormat="1" applyFont="1" applyFill="1" applyBorder="1" applyAlignment="1">
      <alignment vertical="top" wrapText="1"/>
    </xf>
    <xf numFmtId="0" fontId="4" fillId="4" borderId="2" xfId="0" applyFont="1" applyFill="1" applyBorder="1" applyAlignment="1">
      <alignment horizontal="right" vertical="top" wrapText="1"/>
    </xf>
    <xf numFmtId="41" fontId="11" fillId="0" borderId="3" xfId="2" applyNumberFormat="1" applyFont="1" applyBorder="1" applyAlignment="1">
      <alignment vertical="top" wrapText="1"/>
    </xf>
    <xf numFmtId="41" fontId="11" fillId="0" borderId="4" xfId="2" applyNumberFormat="1" applyFont="1" applyBorder="1" applyAlignment="1">
      <alignment vertical="top" wrapText="1"/>
    </xf>
    <xf numFmtId="41" fontId="5" fillId="9" borderId="1" xfId="3" applyNumberFormat="1" applyFont="1" applyFill="1" applyBorder="1" applyAlignment="1">
      <alignment horizontal="left" vertical="top" wrapText="1"/>
    </xf>
    <xf numFmtId="0" fontId="7" fillId="0" borderId="0" xfId="0" applyFont="1" applyFill="1" applyBorder="1" applyAlignment="1">
      <alignment vertical="center" wrapText="1"/>
    </xf>
    <xf numFmtId="164" fontId="4" fillId="0" borderId="0" xfId="1" applyNumberFormat="1" applyFont="1" applyFill="1" applyBorder="1" applyAlignment="1">
      <alignment vertical="top" wrapText="1"/>
    </xf>
    <xf numFmtId="0" fontId="6" fillId="0" borderId="0" xfId="0" applyFont="1" applyAlignment="1">
      <alignment wrapText="1"/>
    </xf>
    <xf numFmtId="43" fontId="4" fillId="9" borderId="1" xfId="0" applyNumberFormat="1" applyFont="1" applyFill="1" applyBorder="1" applyAlignment="1">
      <alignment horizontal="right" vertical="top" wrapText="1"/>
    </xf>
    <xf numFmtId="1" fontId="11" fillId="0" borderId="1" xfId="0" applyNumberFormat="1" applyFont="1" applyFill="1" applyBorder="1" applyAlignment="1">
      <alignment horizontal="right" vertical="top" wrapText="1"/>
    </xf>
    <xf numFmtId="164" fontId="11" fillId="0" borderId="1" xfId="1" applyNumberFormat="1" applyFont="1" applyFill="1" applyBorder="1" applyAlignment="1">
      <alignment horizontal="right" vertical="top" wrapText="1"/>
    </xf>
    <xf numFmtId="1" fontId="11" fillId="0" borderId="1" xfId="1" applyNumberFormat="1" applyFont="1" applyFill="1" applyBorder="1" applyAlignment="1">
      <alignment horizontal="right" vertical="top" wrapText="1"/>
    </xf>
    <xf numFmtId="43" fontId="11" fillId="0" borderId="1" xfId="1" applyFont="1" applyFill="1" applyBorder="1" applyAlignment="1">
      <alignment horizontal="right" vertical="top" wrapText="1"/>
    </xf>
    <xf numFmtId="2" fontId="11" fillId="0" borderId="1" xfId="0" applyNumberFormat="1" applyFont="1" applyBorder="1" applyAlignment="1">
      <alignment horizontal="right" vertical="top" wrapText="1"/>
    </xf>
    <xf numFmtId="2" fontId="11" fillId="0" borderId="1" xfId="0" applyNumberFormat="1" applyFont="1" applyFill="1" applyBorder="1" applyAlignment="1">
      <alignment horizontal="right" vertical="top" wrapText="1"/>
    </xf>
    <xf numFmtId="180" fontId="11" fillId="0" borderId="1" xfId="0" applyNumberFormat="1" applyFont="1" applyBorder="1" applyAlignment="1">
      <alignment horizontal="right" vertical="top" wrapText="1"/>
    </xf>
    <xf numFmtId="179" fontId="4" fillId="9" borderId="1" xfId="0" applyNumberFormat="1" applyFont="1" applyFill="1" applyBorder="1" applyAlignment="1">
      <alignment horizontal="right" vertical="top" wrapText="1"/>
    </xf>
    <xf numFmtId="43" fontId="4" fillId="9" borderId="1" xfId="1" applyNumberFormat="1" applyFont="1" applyFill="1" applyBorder="1" applyAlignment="1">
      <alignment horizontal="right" vertical="top" wrapText="1"/>
    </xf>
    <xf numFmtId="164" fontId="5" fillId="0" borderId="1" xfId="0" quotePrefix="1" applyNumberFormat="1" applyFont="1" applyFill="1" applyBorder="1" applyAlignment="1">
      <alignment horizontal="right" vertical="top" wrapText="1"/>
    </xf>
    <xf numFmtId="164" fontId="5" fillId="0" borderId="1" xfId="1" quotePrefix="1" applyNumberFormat="1" applyFont="1" applyFill="1" applyBorder="1" applyAlignment="1">
      <alignment horizontal="right" vertical="top" wrapText="1"/>
    </xf>
    <xf numFmtId="179" fontId="4" fillId="9" borderId="1" xfId="1" applyNumberFormat="1" applyFont="1" applyFill="1" applyBorder="1" applyAlignment="1">
      <alignment horizontal="right" vertical="top" wrapText="1"/>
    </xf>
    <xf numFmtId="43" fontId="11" fillId="0" borderId="1" xfId="1" applyNumberFormat="1" applyFont="1" applyFill="1" applyBorder="1" applyAlignment="1">
      <alignment horizontal="right" vertical="top" wrapText="1"/>
    </xf>
    <xf numFmtId="43" fontId="11" fillId="0" borderId="1" xfId="1" applyFont="1" applyBorder="1" applyAlignment="1">
      <alignment horizontal="right" vertical="top" wrapText="1"/>
    </xf>
    <xf numFmtId="173" fontId="11" fillId="0" borderId="1" xfId="1" applyNumberFormat="1" applyFont="1" applyFill="1" applyBorder="1" applyAlignment="1">
      <alignment horizontal="right" vertical="top" wrapText="1"/>
    </xf>
    <xf numFmtId="1" fontId="11" fillId="0" borderId="1" xfId="0" applyNumberFormat="1" applyFont="1" applyBorder="1" applyAlignment="1">
      <alignment horizontal="right" vertical="top" wrapText="1"/>
    </xf>
    <xf numFmtId="164" fontId="11" fillId="0" borderId="1" xfId="1" quotePrefix="1" applyNumberFormat="1" applyFont="1" applyFill="1" applyBorder="1" applyAlignment="1">
      <alignment horizontal="right" vertical="top" wrapText="1"/>
    </xf>
    <xf numFmtId="164" fontId="11" fillId="0" borderId="1" xfId="0" applyNumberFormat="1" applyFont="1" applyFill="1" applyBorder="1" applyAlignment="1">
      <alignment horizontal="right" vertical="top" wrapText="1"/>
    </xf>
    <xf numFmtId="173" fontId="11" fillId="0" borderId="1" xfId="0" applyNumberFormat="1" applyFont="1" applyFill="1" applyBorder="1" applyAlignment="1">
      <alignment horizontal="right" vertical="top" wrapText="1"/>
    </xf>
    <xf numFmtId="43" fontId="11" fillId="0" borderId="1" xfId="0" applyNumberFormat="1" applyFont="1" applyFill="1" applyBorder="1" applyAlignment="1">
      <alignment horizontal="right" vertical="top" wrapText="1"/>
    </xf>
    <xf numFmtId="168" fontId="11" fillId="0" borderId="1" xfId="0" applyNumberFormat="1" applyFont="1" applyFill="1" applyBorder="1" applyAlignment="1">
      <alignment horizontal="right" vertical="top" wrapText="1"/>
    </xf>
    <xf numFmtId="0" fontId="11" fillId="0" borderId="0" xfId="0" applyFont="1" applyAlignment="1">
      <alignment vertical="top" wrapText="1"/>
    </xf>
    <xf numFmtId="0" fontId="4" fillId="0" borderId="0" xfId="0" applyFont="1" applyAlignment="1">
      <alignment vertical="top" wrapText="1"/>
    </xf>
    <xf numFmtId="0" fontId="5" fillId="0" borderId="0" xfId="0" applyFont="1" applyBorder="1" applyAlignment="1">
      <alignment vertical="center" wrapText="1"/>
    </xf>
    <xf numFmtId="0" fontId="6" fillId="0" borderId="0" xfId="0" applyFont="1" applyAlignment="1">
      <alignment vertical="center" wrapText="1"/>
    </xf>
    <xf numFmtId="0" fontId="11" fillId="0" borderId="1" xfId="0" applyNumberFormat="1" applyFont="1" applyBorder="1" applyAlignment="1">
      <alignment horizontal="right" vertical="top" wrapText="1"/>
    </xf>
    <xf numFmtId="164" fontId="5" fillId="12" borderId="1" xfId="0" applyNumberFormat="1" applyFont="1" applyFill="1" applyBorder="1" applyAlignment="1">
      <alignment vertical="center" wrapText="1"/>
    </xf>
    <xf numFmtId="164" fontId="5" fillId="12" borderId="1" xfId="1" applyNumberFormat="1" applyFont="1" applyFill="1" applyBorder="1" applyAlignment="1">
      <alignment vertical="center" wrapText="1"/>
    </xf>
    <xf numFmtId="164" fontId="6" fillId="4" borderId="1" xfId="2" applyNumberFormat="1" applyFont="1" applyFill="1" applyBorder="1" applyAlignment="1">
      <alignment horizontal="right" vertical="top" wrapText="1"/>
    </xf>
    <xf numFmtId="41" fontId="5" fillId="9" borderId="1" xfId="2" applyNumberFormat="1" applyFont="1" applyFill="1" applyBorder="1" applyAlignment="1">
      <alignment horizontal="right" vertical="top" wrapText="1"/>
    </xf>
    <xf numFmtId="0" fontId="6" fillId="4" borderId="1" xfId="2" applyNumberFormat="1" applyFont="1" applyFill="1" applyBorder="1" applyAlignment="1">
      <alignment horizontal="right" vertical="top" wrapText="1"/>
    </xf>
    <xf numFmtId="181" fontId="11" fillId="9" borderId="1" xfId="0" applyNumberFormat="1" applyFont="1" applyFill="1" applyBorder="1" applyAlignment="1">
      <alignment vertical="top" wrapText="1"/>
    </xf>
    <xf numFmtId="187" fontId="5" fillId="9" borderId="1" xfId="0" applyNumberFormat="1" applyFont="1" applyFill="1" applyBorder="1" applyAlignment="1">
      <alignment horizontal="right" vertical="top" wrapText="1"/>
    </xf>
    <xf numFmtId="188" fontId="5" fillId="9" borderId="1" xfId="0" applyNumberFormat="1" applyFont="1" applyFill="1" applyBorder="1" applyAlignment="1">
      <alignment horizontal="right" vertical="top" wrapText="1"/>
    </xf>
    <xf numFmtId="178" fontId="6" fillId="0" borderId="1" xfId="0" applyNumberFormat="1" applyFont="1" applyFill="1" applyBorder="1" applyAlignment="1">
      <alignment horizontal="right" vertical="top" wrapText="1"/>
    </xf>
    <xf numFmtId="181" fontId="11" fillId="0" borderId="1" xfId="0" quotePrefix="1" applyNumberFormat="1" applyFont="1" applyFill="1" applyBorder="1" applyAlignment="1">
      <alignment horizontal="right" vertical="top" wrapText="1"/>
    </xf>
    <xf numFmtId="41" fontId="11" fillId="0" borderId="1" xfId="2" applyNumberFormat="1" applyFont="1" applyFill="1" applyBorder="1" applyAlignment="1">
      <alignment vertical="top" wrapText="1"/>
    </xf>
    <xf numFmtId="41" fontId="11" fillId="0" borderId="1" xfId="2" applyFont="1" applyFill="1" applyBorder="1" applyAlignment="1">
      <alignment vertical="top" wrapText="1"/>
    </xf>
    <xf numFmtId="187" fontId="5" fillId="9" borderId="1" xfId="0" applyNumberFormat="1" applyFont="1" applyFill="1" applyBorder="1" applyAlignment="1">
      <alignment vertical="top" wrapText="1"/>
    </xf>
    <xf numFmtId="188" fontId="5" fillId="9" borderId="1" xfId="0" applyNumberFormat="1" applyFont="1" applyFill="1" applyBorder="1" applyAlignment="1">
      <alignment vertical="top" wrapText="1"/>
    </xf>
    <xf numFmtId="43" fontId="5" fillId="9" borderId="1" xfId="1" applyFont="1" applyFill="1" applyBorder="1" applyAlignment="1">
      <alignment vertical="top" wrapText="1"/>
    </xf>
    <xf numFmtId="171" fontId="4" fillId="9" borderId="1" xfId="0" applyNumberFormat="1" applyFont="1" applyFill="1" applyBorder="1" applyAlignment="1">
      <alignment horizontal="right" vertical="top" wrapText="1"/>
    </xf>
    <xf numFmtId="0" fontId="11" fillId="5" borderId="1" xfId="0" applyFont="1" applyFill="1" applyBorder="1" applyAlignment="1">
      <alignment horizontal="center" vertical="top" wrapText="1"/>
    </xf>
    <xf numFmtId="0" fontId="8" fillId="0" borderId="1" xfId="0" quotePrefix="1" applyFont="1" applyBorder="1" applyAlignment="1">
      <alignment horizontal="center" vertical="top" wrapText="1"/>
    </xf>
    <xf numFmtId="41" fontId="8" fillId="0" borderId="1" xfId="6" applyFont="1" applyBorder="1" applyAlignment="1">
      <alignment horizontal="right" vertical="top" wrapText="1"/>
    </xf>
    <xf numFmtId="41" fontId="8" fillId="0" borderId="1" xfId="0" applyNumberFormat="1" applyFont="1" applyBorder="1" applyAlignment="1">
      <alignment horizontal="right" vertical="top" wrapText="1"/>
    </xf>
    <xf numFmtId="41" fontId="8" fillId="0" borderId="1" xfId="6" applyFont="1" applyBorder="1" applyAlignment="1">
      <alignment horizontal="center" vertical="top" wrapText="1"/>
    </xf>
    <xf numFmtId="41" fontId="8" fillId="0" borderId="1" xfId="6" applyFont="1" applyBorder="1" applyAlignment="1">
      <alignment vertical="top" wrapText="1"/>
    </xf>
    <xf numFmtId="41" fontId="8" fillId="0" borderId="1" xfId="6" applyNumberFormat="1" applyFont="1" applyBorder="1" applyAlignment="1">
      <alignment vertical="top" wrapText="1"/>
    </xf>
    <xf numFmtId="2" fontId="8" fillId="0" borderId="1" xfId="0" applyNumberFormat="1" applyFont="1" applyBorder="1" applyAlignment="1">
      <alignment vertical="top" wrapText="1"/>
    </xf>
    <xf numFmtId="41" fontId="4" fillId="9" borderId="1" xfId="0" applyNumberFormat="1" applyFont="1" applyFill="1" applyBorder="1" applyAlignment="1">
      <alignment horizontal="center" vertical="top" wrapText="1"/>
    </xf>
    <xf numFmtId="2" fontId="4" fillId="9" borderId="1" xfId="0" applyNumberFormat="1" applyFont="1" applyFill="1" applyBorder="1" applyAlignment="1">
      <alignment vertical="top" wrapText="1"/>
    </xf>
    <xf numFmtId="171" fontId="7" fillId="9" borderId="1" xfId="1" applyNumberFormat="1" applyFont="1" applyFill="1" applyBorder="1" applyAlignment="1">
      <alignment horizontal="right" vertical="top" wrapText="1"/>
    </xf>
    <xf numFmtId="164" fontId="8" fillId="0" borderId="1" xfId="6" applyNumberFormat="1" applyFont="1" applyFill="1" applyBorder="1" applyAlignment="1">
      <alignment horizontal="right" vertical="top" wrapText="1"/>
    </xf>
    <xf numFmtId="0" fontId="8" fillId="0" borderId="1" xfId="6" applyNumberFormat="1" applyFont="1" applyFill="1" applyBorder="1" applyAlignment="1" applyProtection="1">
      <alignment horizontal="right" vertical="top" wrapText="1"/>
    </xf>
    <xf numFmtId="1" fontId="8" fillId="0" borderId="1" xfId="0" applyNumberFormat="1" applyFont="1" applyBorder="1" applyAlignment="1">
      <alignment vertical="top" wrapText="1"/>
    </xf>
    <xf numFmtId="41" fontId="8" fillId="0" borderId="1" xfId="6" applyNumberFormat="1" applyFont="1" applyBorder="1" applyAlignment="1">
      <alignment horizontal="right" vertical="top" wrapText="1"/>
    </xf>
    <xf numFmtId="1" fontId="11" fillId="9" borderId="1" xfId="0" applyNumberFormat="1" applyFont="1" applyFill="1" applyBorder="1" applyAlignment="1">
      <alignment horizontal="center" vertical="top" wrapText="1"/>
    </xf>
    <xf numFmtId="41" fontId="11" fillId="9" borderId="1" xfId="6" applyFont="1" applyFill="1" applyBorder="1" applyAlignment="1">
      <alignment horizontal="center" vertical="top" wrapText="1"/>
    </xf>
    <xf numFmtId="0" fontId="4" fillId="9" borderId="10" xfId="0" applyFont="1" applyFill="1" applyBorder="1" applyAlignment="1">
      <alignment horizontal="right" vertical="top" wrapText="1"/>
    </xf>
    <xf numFmtId="164" fontId="4" fillId="9" borderId="1" xfId="0" applyNumberFormat="1" applyFont="1" applyFill="1" applyBorder="1" applyAlignment="1">
      <alignment horizontal="center" vertical="top" wrapText="1"/>
    </xf>
    <xf numFmtId="0" fontId="4" fillId="9" borderId="11" xfId="0" applyFont="1" applyFill="1" applyBorder="1" applyAlignment="1">
      <alignment horizontal="right" vertical="top" wrapText="1"/>
    </xf>
    <xf numFmtId="164" fontId="4" fillId="9" borderId="10" xfId="1" applyNumberFormat="1" applyFont="1" applyFill="1" applyBorder="1" applyAlignment="1">
      <alignment horizontal="right" vertical="top" wrapText="1"/>
    </xf>
    <xf numFmtId="1" fontId="4" fillId="9" borderId="11" xfId="0" applyNumberFormat="1" applyFont="1" applyFill="1" applyBorder="1" applyAlignment="1">
      <alignment horizontal="right" vertical="top" wrapText="1"/>
    </xf>
    <xf numFmtId="164" fontId="11" fillId="0" borderId="1" xfId="0" applyNumberFormat="1" applyFont="1" applyFill="1" applyBorder="1" applyAlignment="1">
      <alignment horizontal="center" vertical="top" wrapText="1"/>
    </xf>
    <xf numFmtId="0" fontId="11" fillId="0" borderId="11" xfId="0" applyFont="1" applyFill="1" applyBorder="1" applyAlignment="1">
      <alignment horizontal="right" vertical="top" wrapText="1"/>
    </xf>
    <xf numFmtId="1" fontId="11" fillId="0" borderId="11" xfId="0" applyNumberFormat="1" applyFont="1" applyFill="1" applyBorder="1" applyAlignment="1">
      <alignment horizontal="right" vertical="top" wrapText="1"/>
    </xf>
    <xf numFmtId="2" fontId="4" fillId="9" borderId="11" xfId="0" applyNumberFormat="1" applyFont="1" applyFill="1" applyBorder="1" applyAlignment="1">
      <alignment horizontal="right" vertical="top" wrapText="1"/>
    </xf>
    <xf numFmtId="2" fontId="11" fillId="0" borderId="11" xfId="0" applyNumberFormat="1" applyFont="1" applyFill="1" applyBorder="1" applyAlignment="1">
      <alignment horizontal="right" vertical="top" wrapText="1"/>
    </xf>
    <xf numFmtId="41" fontId="11" fillId="0" borderId="1" xfId="6" applyNumberFormat="1" applyFont="1" applyFill="1" applyBorder="1" applyAlignment="1">
      <alignment horizontal="right" vertical="top" wrapText="1"/>
    </xf>
    <xf numFmtId="172" fontId="11" fillId="0" borderId="1" xfId="2" applyNumberFormat="1" applyFont="1" applyFill="1" applyBorder="1" applyAlignment="1">
      <alignment horizontal="right" vertical="top" wrapText="1"/>
    </xf>
    <xf numFmtId="41" fontId="4" fillId="9" borderId="1" xfId="6" applyNumberFormat="1" applyFont="1" applyFill="1" applyBorder="1" applyAlignment="1">
      <alignment horizontal="right" vertical="top" wrapText="1"/>
    </xf>
    <xf numFmtId="173" fontId="4" fillId="9" borderId="1" xfId="1" applyNumberFormat="1" applyFont="1" applyFill="1" applyBorder="1" applyAlignment="1">
      <alignment horizontal="right" vertical="top" wrapText="1"/>
    </xf>
    <xf numFmtId="43" fontId="8" fillId="0" borderId="1" xfId="1" applyFont="1" applyBorder="1" applyAlignment="1">
      <alignment vertical="top" wrapText="1"/>
    </xf>
    <xf numFmtId="164" fontId="5" fillId="3" borderId="1" xfId="0" applyNumberFormat="1" applyFont="1" applyFill="1" applyBorder="1" applyAlignment="1">
      <alignment horizontal="right" vertical="center" wrapText="1"/>
    </xf>
    <xf numFmtId="164" fontId="5" fillId="3" borderId="1" xfId="1" applyNumberFormat="1" applyFont="1" applyFill="1" applyBorder="1" applyAlignment="1">
      <alignment horizontal="right" vertical="center" wrapText="1"/>
    </xf>
    <xf numFmtId="0" fontId="6" fillId="0" borderId="0" xfId="0" applyFont="1" applyFill="1" applyBorder="1" applyAlignment="1">
      <alignment wrapText="1"/>
    </xf>
    <xf numFmtId="0" fontId="6" fillId="0" borderId="0" xfId="0" applyFont="1" applyFill="1" applyAlignment="1">
      <alignment wrapText="1"/>
    </xf>
    <xf numFmtId="2" fontId="5" fillId="4" borderId="1" xfId="0" applyNumberFormat="1" applyFont="1" applyFill="1" applyBorder="1" applyAlignment="1">
      <alignment horizontal="right" vertical="top" wrapText="1"/>
    </xf>
    <xf numFmtId="166" fontId="5" fillId="0" borderId="1" xfId="2" applyNumberFormat="1" applyFont="1" applyFill="1" applyBorder="1" applyAlignment="1">
      <alignment horizontal="right" vertical="top" wrapText="1"/>
    </xf>
    <xf numFmtId="0" fontId="6" fillId="0" borderId="1" xfId="0" applyFont="1" applyBorder="1" applyAlignment="1">
      <alignment horizontal="left" vertical="top" wrapText="1"/>
    </xf>
    <xf numFmtId="0" fontId="6" fillId="0" borderId="13" xfId="0" applyFont="1" applyBorder="1" applyAlignment="1">
      <alignment horizontal="right" vertical="top" wrapText="1"/>
    </xf>
    <xf numFmtId="0" fontId="6" fillId="0" borderId="13" xfId="0" applyFont="1" applyBorder="1" applyAlignment="1">
      <alignment vertical="top" wrapText="1"/>
    </xf>
    <xf numFmtId="164" fontId="6" fillId="0" borderId="13" xfId="1" applyNumberFormat="1" applyFont="1" applyBorder="1" applyAlignment="1">
      <alignment vertical="top" wrapText="1"/>
    </xf>
    <xf numFmtId="0" fontId="6" fillId="0" borderId="0" xfId="0" applyFont="1" applyBorder="1" applyAlignment="1">
      <alignment horizontal="right" vertical="top" wrapText="1"/>
    </xf>
    <xf numFmtId="164" fontId="6" fillId="0" borderId="0" xfId="1" applyNumberFormat="1" applyFont="1" applyBorder="1" applyAlignment="1">
      <alignment vertical="top" wrapText="1"/>
    </xf>
    <xf numFmtId="0" fontId="4" fillId="4" borderId="41" xfId="0" applyFont="1" applyFill="1" applyBorder="1" applyAlignment="1">
      <alignment horizontal="center" vertical="top" wrapText="1"/>
    </xf>
    <xf numFmtId="0" fontId="5" fillId="0" borderId="18" xfId="0" applyFont="1" applyFill="1" applyBorder="1" applyAlignment="1">
      <alignment vertical="top" wrapText="1"/>
    </xf>
    <xf numFmtId="0" fontId="5" fillId="0" borderId="19" xfId="0" applyFont="1" applyFill="1" applyBorder="1" applyAlignment="1">
      <alignment vertical="top" wrapText="1"/>
    </xf>
    <xf numFmtId="43" fontId="5" fillId="12" borderId="1" xfId="0" applyNumberFormat="1" applyFont="1" applyFill="1" applyBorder="1" applyAlignment="1">
      <alignment horizontal="right" vertical="center" wrapText="1"/>
    </xf>
    <xf numFmtId="0" fontId="6" fillId="12" borderId="1" xfId="0" applyFont="1" applyFill="1" applyBorder="1" applyAlignment="1">
      <alignment horizontal="center" vertical="center" wrapText="1"/>
    </xf>
    <xf numFmtId="41" fontId="6" fillId="0" borderId="0" xfId="2" applyFont="1" applyAlignment="1">
      <alignment vertical="top" wrapText="1"/>
    </xf>
    <xf numFmtId="167" fontId="11" fillId="0" borderId="1" xfId="2" applyNumberFormat="1" applyFont="1" applyFill="1" applyBorder="1" applyAlignment="1">
      <alignment vertical="top" wrapText="1"/>
    </xf>
    <xf numFmtId="167" fontId="11" fillId="4" borderId="1" xfId="2" applyNumberFormat="1" applyFont="1" applyFill="1" applyBorder="1" applyAlignment="1">
      <alignment horizontal="left" vertical="top" wrapText="1"/>
    </xf>
    <xf numFmtId="167" fontId="11" fillId="4" borderId="1" xfId="2" applyNumberFormat="1" applyFont="1" applyFill="1" applyBorder="1" applyAlignment="1">
      <alignment horizontal="center" vertical="top" wrapText="1"/>
    </xf>
    <xf numFmtId="0" fontId="6" fillId="0" borderId="0" xfId="0" applyFont="1" applyAlignment="1">
      <alignment horizontal="right" vertical="center" wrapText="1"/>
    </xf>
    <xf numFmtId="41" fontId="11" fillId="0" borderId="1" xfId="4" applyFont="1" applyFill="1" applyBorder="1" applyAlignment="1">
      <alignment horizontal="center" vertical="top" wrapText="1"/>
    </xf>
    <xf numFmtId="2" fontId="7" fillId="0" borderId="1" xfId="5" applyNumberFormat="1" applyFont="1" applyBorder="1" applyAlignment="1">
      <alignment horizontal="right" vertical="top" wrapText="1"/>
    </xf>
    <xf numFmtId="0" fontId="6" fillId="0" borderId="11" xfId="0" applyFont="1" applyBorder="1" applyAlignment="1">
      <alignment horizontal="right" vertical="top" wrapText="1"/>
    </xf>
    <xf numFmtId="166" fontId="6" fillId="9" borderId="1" xfId="2" applyNumberFormat="1" applyFont="1" applyFill="1" applyBorder="1" applyAlignment="1">
      <alignment horizontal="right" vertical="top" wrapText="1"/>
    </xf>
    <xf numFmtId="167" fontId="11" fillId="0" borderId="1" xfId="2" applyNumberFormat="1" applyFont="1" applyFill="1" applyBorder="1" applyAlignment="1">
      <alignment horizontal="left" vertical="top" wrapText="1"/>
    </xf>
    <xf numFmtId="0" fontId="5" fillId="0" borderId="18" xfId="0" applyFont="1" applyBorder="1" applyAlignment="1">
      <alignment wrapText="1"/>
    </xf>
    <xf numFmtId="0" fontId="5" fillId="0" borderId="19" xfId="0" applyFont="1" applyBorder="1" applyAlignment="1">
      <alignment wrapText="1"/>
    </xf>
    <xf numFmtId="0" fontId="6" fillId="4" borderId="0" xfId="0" applyFont="1" applyFill="1" applyBorder="1" applyAlignment="1">
      <alignment horizontal="left" vertical="top" wrapText="1"/>
    </xf>
    <xf numFmtId="0" fontId="5" fillId="0" borderId="0" xfId="0" applyFont="1" applyAlignment="1">
      <alignment wrapText="1"/>
    </xf>
    <xf numFmtId="0" fontId="11" fillId="0" borderId="14" xfId="0" applyFont="1" applyBorder="1" applyAlignment="1">
      <alignment vertical="top" wrapText="1"/>
    </xf>
    <xf numFmtId="41" fontId="6" fillId="0" borderId="0" xfId="0" applyNumberFormat="1" applyFont="1" applyAlignment="1">
      <alignment vertical="top" wrapText="1"/>
    </xf>
    <xf numFmtId="164" fontId="5" fillId="9" borderId="1" xfId="2" quotePrefix="1" applyNumberFormat="1" applyFont="1" applyFill="1" applyBorder="1" applyAlignment="1">
      <alignment horizontal="right" vertical="top" wrapText="1"/>
    </xf>
    <xf numFmtId="0" fontId="5" fillId="9" borderId="1" xfId="5" applyNumberFormat="1" applyFont="1" applyFill="1" applyBorder="1" applyAlignment="1">
      <alignment horizontal="right" vertical="top" wrapText="1"/>
    </xf>
    <xf numFmtId="164" fontId="5" fillId="3" borderId="1" xfId="1" applyNumberFormat="1" applyFont="1" applyFill="1" applyBorder="1" applyAlignment="1">
      <alignment vertical="center" wrapText="1"/>
    </xf>
    <xf numFmtId="0" fontId="4" fillId="9" borderId="2" xfId="0" applyFont="1" applyFill="1" applyBorder="1" applyAlignment="1">
      <alignment horizontal="left" vertical="top" wrapText="1"/>
    </xf>
    <xf numFmtId="0" fontId="4" fillId="9" borderId="2" xfId="0" applyFont="1" applyFill="1" applyBorder="1" applyAlignment="1">
      <alignment horizontal="center" vertical="top" wrapText="1"/>
    </xf>
    <xf numFmtId="49" fontId="11" fillId="9" borderId="2" xfId="0" quotePrefix="1" applyNumberFormat="1" applyFont="1" applyFill="1" applyBorder="1" applyAlignment="1">
      <alignment horizontal="center" vertical="top" wrapText="1"/>
    </xf>
    <xf numFmtId="0" fontId="11" fillId="9" borderId="2" xfId="0" applyFont="1" applyFill="1" applyBorder="1" applyAlignment="1">
      <alignment horizontal="center" vertical="top" wrapText="1"/>
    </xf>
    <xf numFmtId="0" fontId="4" fillId="9" borderId="3" xfId="0" applyFont="1" applyFill="1" applyBorder="1" applyAlignment="1">
      <alignment horizontal="center" vertical="top" wrapText="1"/>
    </xf>
    <xf numFmtId="49" fontId="11" fillId="9" borderId="3" xfId="0" quotePrefix="1" applyNumberFormat="1" applyFont="1" applyFill="1" applyBorder="1" applyAlignment="1">
      <alignment horizontal="center" vertical="top" wrapText="1"/>
    </xf>
    <xf numFmtId="0" fontId="11" fillId="9" borderId="3" xfId="0" applyFont="1" applyFill="1" applyBorder="1" applyAlignment="1">
      <alignment horizontal="center" vertical="top" wrapText="1"/>
    </xf>
    <xf numFmtId="49" fontId="11" fillId="9" borderId="4" xfId="0" quotePrefix="1" applyNumberFormat="1" applyFont="1" applyFill="1" applyBorder="1" applyAlignment="1">
      <alignment horizontal="center" vertical="top" wrapText="1"/>
    </xf>
    <xf numFmtId="41" fontId="11" fillId="4" borderId="6" xfId="0" applyNumberFormat="1" applyFont="1" applyFill="1" applyBorder="1" applyAlignment="1">
      <alignment horizontal="right" vertical="top" wrapText="1"/>
    </xf>
    <xf numFmtId="1" fontId="6" fillId="0" borderId="0" xfId="0" applyNumberFormat="1" applyFont="1" applyAlignment="1">
      <alignment vertical="top" wrapText="1"/>
    </xf>
    <xf numFmtId="165" fontId="4" fillId="9" borderId="1" xfId="4" applyNumberFormat="1" applyFont="1" applyFill="1" applyBorder="1" applyAlignment="1">
      <alignment horizontal="right" vertical="top" wrapText="1"/>
    </xf>
    <xf numFmtId="49" fontId="11" fillId="4" borderId="1" xfId="5" applyNumberFormat="1" applyFont="1" applyFill="1" applyBorder="1" applyAlignment="1">
      <alignment horizontal="right" vertical="top" wrapText="1"/>
    </xf>
    <xf numFmtId="49" fontId="11" fillId="4" borderId="1" xfId="0" applyNumberFormat="1" applyFont="1" applyFill="1" applyBorder="1" applyAlignment="1">
      <alignment horizontal="right" vertical="top" wrapText="1"/>
    </xf>
    <xf numFmtId="0" fontId="4" fillId="9" borderId="4" xfId="0" applyFont="1" applyFill="1" applyBorder="1" applyAlignment="1">
      <alignment horizontal="left" vertical="top" wrapText="1"/>
    </xf>
    <xf numFmtId="0" fontId="11" fillId="9" borderId="2" xfId="0" quotePrefix="1" applyFont="1" applyFill="1" applyBorder="1" applyAlignment="1">
      <alignment horizontal="center" vertical="top" wrapText="1"/>
    </xf>
    <xf numFmtId="0" fontId="11" fillId="9" borderId="3" xfId="0" applyFont="1" applyFill="1" applyBorder="1" applyAlignment="1">
      <alignment vertical="top" wrapText="1"/>
    </xf>
    <xf numFmtId="0" fontId="11" fillId="9" borderId="3" xfId="0" quotePrefix="1" applyFont="1" applyFill="1" applyBorder="1" applyAlignment="1">
      <alignment horizontal="center" vertical="top" wrapText="1"/>
    </xf>
    <xf numFmtId="0" fontId="11" fillId="9" borderId="4" xfId="0" applyFont="1" applyFill="1" applyBorder="1" applyAlignment="1">
      <alignment vertical="top" wrapText="1"/>
    </xf>
    <xf numFmtId="0" fontId="4" fillId="9" borderId="2" xfId="0" applyFont="1" applyFill="1" applyBorder="1" applyAlignment="1">
      <alignment vertical="top" wrapText="1"/>
    </xf>
    <xf numFmtId="0" fontId="4" fillId="9" borderId="2" xfId="0" quotePrefix="1" applyFont="1" applyFill="1" applyBorder="1" applyAlignment="1">
      <alignment horizontal="center" vertical="top" wrapText="1"/>
    </xf>
    <xf numFmtId="49" fontId="11" fillId="9" borderId="2" xfId="0" applyNumberFormat="1" applyFont="1" applyFill="1" applyBorder="1" applyAlignment="1">
      <alignment horizontal="center" vertical="top" wrapText="1"/>
    </xf>
    <xf numFmtId="0" fontId="4" fillId="9" borderId="2" xfId="0" applyNumberFormat="1" applyFont="1" applyFill="1" applyBorder="1" applyAlignment="1">
      <alignment vertical="top" wrapText="1"/>
    </xf>
    <xf numFmtId="49" fontId="11" fillId="9" borderId="4" xfId="0" applyNumberFormat="1" applyFont="1" applyFill="1" applyBorder="1" applyAlignment="1">
      <alignment horizontal="center" vertical="top" wrapText="1"/>
    </xf>
    <xf numFmtId="0" fontId="4" fillId="9" borderId="4" xfId="0" applyNumberFormat="1" applyFont="1" applyFill="1" applyBorder="1" applyAlignment="1">
      <alignment vertical="top" wrapText="1"/>
    </xf>
    <xf numFmtId="0" fontId="5" fillId="0" borderId="0" xfId="0" applyFont="1" applyFill="1" applyBorder="1" applyAlignment="1">
      <alignment wrapText="1"/>
    </xf>
    <xf numFmtId="0" fontId="5" fillId="0" borderId="0" xfId="0" applyFont="1" applyFill="1" applyAlignment="1">
      <alignment wrapText="1"/>
    </xf>
    <xf numFmtId="164" fontId="5" fillId="0" borderId="0" xfId="0" applyNumberFormat="1" applyFont="1" applyFill="1" applyBorder="1" applyAlignment="1">
      <alignment vertical="center" wrapText="1"/>
    </xf>
    <xf numFmtId="0" fontId="10" fillId="0" borderId="22" xfId="0" applyFont="1" applyBorder="1" applyAlignment="1">
      <alignment vertical="top" wrapText="1"/>
    </xf>
    <xf numFmtId="9" fontId="6" fillId="0" borderId="22" xfId="3" quotePrefix="1" applyFont="1" applyFill="1" applyBorder="1" applyAlignment="1">
      <alignment horizontal="right" vertical="top" wrapText="1"/>
    </xf>
    <xf numFmtId="174" fontId="6" fillId="0" borderId="22" xfId="0" quotePrefix="1" applyNumberFormat="1" applyFont="1" applyFill="1" applyBorder="1" applyAlignment="1">
      <alignment horizontal="right" vertical="top" wrapText="1"/>
    </xf>
    <xf numFmtId="0" fontId="5" fillId="9" borderId="22" xfId="0" applyFont="1" applyFill="1" applyBorder="1" applyAlignment="1">
      <alignment horizontal="right" vertical="top" wrapText="1"/>
    </xf>
    <xf numFmtId="0" fontId="5" fillId="9" borderId="22" xfId="0" applyFont="1" applyFill="1" applyBorder="1" applyAlignment="1">
      <alignment horizontal="left" vertical="top" wrapText="1"/>
    </xf>
    <xf numFmtId="9" fontId="5" fillId="9" borderId="22" xfId="3" quotePrefix="1" applyFont="1" applyFill="1" applyBorder="1" applyAlignment="1">
      <alignment horizontal="right" vertical="top" wrapText="1"/>
    </xf>
    <xf numFmtId="9" fontId="5" fillId="9" borderId="22" xfId="0" quotePrefix="1" applyNumberFormat="1" applyFont="1" applyFill="1" applyBorder="1" applyAlignment="1">
      <alignment horizontal="right" vertical="top" wrapText="1"/>
    </xf>
    <xf numFmtId="9" fontId="6" fillId="9" borderId="22" xfId="0" quotePrefix="1" applyNumberFormat="1" applyFont="1" applyFill="1" applyBorder="1" applyAlignment="1">
      <alignment horizontal="right" vertical="top" wrapText="1"/>
    </xf>
    <xf numFmtId="164" fontId="5" fillId="9" borderId="22" xfId="7" applyNumberFormat="1" applyFont="1" applyFill="1" applyBorder="1" applyAlignment="1">
      <alignment horizontal="right" vertical="top" wrapText="1"/>
    </xf>
    <xf numFmtId="174" fontId="5" fillId="9" borderId="22" xfId="0" quotePrefix="1" applyNumberFormat="1" applyFont="1" applyFill="1" applyBorder="1" applyAlignment="1">
      <alignment horizontal="right" vertical="top" wrapText="1"/>
    </xf>
    <xf numFmtId="2" fontId="5" fillId="9" borderId="22" xfId="0" applyNumberFormat="1" applyFont="1" applyFill="1" applyBorder="1" applyAlignment="1">
      <alignment vertical="top" wrapText="1"/>
    </xf>
    <xf numFmtId="0" fontId="9" fillId="0" borderId="25" xfId="0" applyFont="1" applyFill="1" applyBorder="1" applyAlignment="1">
      <alignment vertical="top" wrapText="1"/>
    </xf>
    <xf numFmtId="41" fontId="6" fillId="0" borderId="22" xfId="2" quotePrefix="1" applyFont="1" applyFill="1" applyBorder="1" applyAlignment="1">
      <alignment horizontal="right" vertical="top" wrapText="1"/>
    </xf>
    <xf numFmtId="174" fontId="5" fillId="9" borderId="22" xfId="0" applyNumberFormat="1" applyFont="1" applyFill="1" applyBorder="1" applyAlignment="1">
      <alignment horizontal="right" vertical="top" wrapText="1"/>
    </xf>
    <xf numFmtId="41" fontId="5" fillId="9" borderId="22" xfId="2" applyFont="1" applyFill="1" applyBorder="1" applyAlignment="1">
      <alignment vertical="top" wrapText="1"/>
    </xf>
    <xf numFmtId="41" fontId="6" fillId="0" borderId="22" xfId="2" applyFont="1" applyBorder="1" applyAlignment="1">
      <alignment vertical="top" wrapText="1"/>
    </xf>
    <xf numFmtId="41" fontId="6" fillId="4" borderId="22" xfId="2" applyFont="1" applyFill="1" applyBorder="1" applyAlignment="1">
      <alignment vertical="top" wrapText="1"/>
    </xf>
    <xf numFmtId="41" fontId="5" fillId="9" borderId="22" xfId="2" applyFont="1" applyFill="1" applyBorder="1" applyAlignment="1">
      <alignment horizontal="center" vertical="top" wrapText="1"/>
    </xf>
    <xf numFmtId="41" fontId="6" fillId="4" borderId="28" xfId="2" applyFont="1" applyFill="1" applyBorder="1" applyAlignment="1">
      <alignment vertical="top" wrapText="1"/>
    </xf>
    <xf numFmtId="166" fontId="5" fillId="9" borderId="22" xfId="2" applyNumberFormat="1" applyFont="1" applyFill="1" applyBorder="1" applyAlignment="1">
      <alignment vertical="top" wrapText="1"/>
    </xf>
    <xf numFmtId="166" fontId="5" fillId="9" borderId="22" xfId="2" applyNumberFormat="1" applyFont="1" applyFill="1" applyBorder="1" applyAlignment="1" applyProtection="1">
      <alignment vertical="top" wrapText="1"/>
    </xf>
    <xf numFmtId="166" fontId="6" fillId="0" borderId="22" xfId="2" applyNumberFormat="1" applyFont="1" applyBorder="1" applyAlignment="1">
      <alignment vertical="top" wrapText="1"/>
    </xf>
    <xf numFmtId="166" fontId="5" fillId="0" borderId="22" xfId="2" applyNumberFormat="1" applyFont="1" applyBorder="1" applyAlignment="1">
      <alignment vertical="top" wrapText="1"/>
    </xf>
    <xf numFmtId="166" fontId="6" fillId="0" borderId="22" xfId="2" applyNumberFormat="1" applyFont="1" applyBorder="1" applyAlignment="1">
      <alignment horizontal="right" vertical="top" wrapText="1"/>
    </xf>
    <xf numFmtId="166" fontId="6" fillId="0" borderId="22" xfId="2" applyNumberFormat="1" applyFont="1" applyBorder="1" applyAlignment="1">
      <alignment horizontal="center" vertical="top" wrapText="1"/>
    </xf>
    <xf numFmtId="166" fontId="6" fillId="0" borderId="22" xfId="2" applyNumberFormat="1" applyFont="1" applyBorder="1" applyAlignment="1">
      <alignment vertical="center" wrapText="1"/>
    </xf>
    <xf numFmtId="166" fontId="6" fillId="0" borderId="22" xfId="2" applyNumberFormat="1" applyFont="1" applyBorder="1" applyAlignment="1">
      <alignment wrapText="1"/>
    </xf>
    <xf numFmtId="166" fontId="5" fillId="9" borderId="22" xfId="2" applyNumberFormat="1" applyFont="1" applyFill="1" applyBorder="1" applyAlignment="1">
      <alignment horizontal="center" vertical="top" wrapText="1"/>
    </xf>
    <xf numFmtId="166" fontId="5" fillId="9" borderId="28" xfId="2" applyNumberFormat="1" applyFont="1" applyFill="1" applyBorder="1" applyAlignment="1">
      <alignment vertical="top" wrapText="1"/>
    </xf>
    <xf numFmtId="166" fontId="5" fillId="9" borderId="28" xfId="2" applyNumberFormat="1" applyFont="1" applyFill="1" applyBorder="1" applyAlignment="1">
      <alignment horizontal="center" vertical="top" wrapText="1"/>
    </xf>
    <xf numFmtId="166" fontId="6" fillId="4" borderId="28" xfId="2" applyNumberFormat="1" applyFont="1" applyFill="1" applyBorder="1" applyAlignment="1">
      <alignment vertical="top" wrapText="1"/>
    </xf>
    <xf numFmtId="166" fontId="6" fillId="0" borderId="28" xfId="2" applyNumberFormat="1" applyFont="1" applyBorder="1" applyAlignment="1">
      <alignment vertical="top" wrapText="1"/>
    </xf>
    <xf numFmtId="166" fontId="6" fillId="0" borderId="28" xfId="2" applyNumberFormat="1" applyFont="1" applyBorder="1" applyAlignment="1">
      <alignment horizontal="center" vertical="top" wrapText="1"/>
    </xf>
    <xf numFmtId="41" fontId="5" fillId="9" borderId="22" xfId="2" applyNumberFormat="1" applyFont="1" applyFill="1" applyBorder="1" applyAlignment="1">
      <alignment vertical="top" wrapText="1"/>
    </xf>
    <xf numFmtId="41" fontId="6" fillId="0" borderId="22" xfId="2" applyNumberFormat="1" applyFont="1" applyBorder="1" applyAlignment="1">
      <alignment vertical="top" wrapText="1"/>
    </xf>
    <xf numFmtId="41" fontId="5" fillId="0" borderId="22" xfId="2" applyNumberFormat="1" applyFont="1" applyBorder="1" applyAlignment="1">
      <alignment vertical="top" wrapText="1"/>
    </xf>
    <xf numFmtId="41" fontId="6" fillId="4" borderId="22" xfId="2" applyNumberFormat="1" applyFont="1" applyFill="1" applyBorder="1" applyAlignment="1">
      <alignment vertical="top" wrapText="1"/>
    </xf>
    <xf numFmtId="41" fontId="5" fillId="9" borderId="28" xfId="2" applyNumberFormat="1" applyFont="1" applyFill="1" applyBorder="1" applyAlignment="1">
      <alignment vertical="top" wrapText="1"/>
    </xf>
    <xf numFmtId="41" fontId="6" fillId="4" borderId="28" xfId="2" applyNumberFormat="1" applyFont="1" applyFill="1" applyBorder="1" applyAlignment="1">
      <alignment vertical="top" wrapText="1"/>
    </xf>
    <xf numFmtId="41" fontId="5" fillId="9" borderId="22" xfId="2" applyFont="1" applyFill="1" applyBorder="1" applyAlignment="1">
      <alignment horizontal="right" vertical="top" wrapText="1"/>
    </xf>
    <xf numFmtId="41" fontId="6" fillId="0" borderId="22" xfId="2" applyFont="1" applyFill="1" applyBorder="1" applyAlignment="1">
      <alignment vertical="top" wrapText="1"/>
    </xf>
    <xf numFmtId="41" fontId="6" fillId="0" borderId="22" xfId="2" applyFont="1" applyFill="1" applyBorder="1" applyAlignment="1">
      <alignment horizontal="right" vertical="top" wrapText="1"/>
    </xf>
    <xf numFmtId="165" fontId="5" fillId="0" borderId="22" xfId="2" applyNumberFormat="1" applyFont="1" applyFill="1" applyBorder="1" applyAlignment="1">
      <alignment horizontal="right" vertical="top" wrapText="1"/>
    </xf>
    <xf numFmtId="166" fontId="5" fillId="0" borderId="22" xfId="2" applyNumberFormat="1" applyFont="1" applyFill="1" applyBorder="1" applyAlignment="1">
      <alignment vertical="top" wrapText="1"/>
    </xf>
    <xf numFmtId="166" fontId="6" fillId="0" borderId="22" xfId="2" applyNumberFormat="1" applyFont="1" applyFill="1" applyBorder="1" applyAlignment="1">
      <alignment horizontal="right" vertical="top" wrapText="1"/>
    </xf>
    <xf numFmtId="41" fontId="6" fillId="0" borderId="22" xfId="2" applyNumberFormat="1" applyFont="1" applyFill="1" applyBorder="1" applyAlignment="1">
      <alignment vertical="top" wrapText="1"/>
    </xf>
    <xf numFmtId="41" fontId="6" fillId="0" borderId="22" xfId="2" applyNumberFormat="1" applyFont="1" applyFill="1" applyBorder="1" applyAlignment="1">
      <alignment horizontal="right" vertical="top" wrapText="1"/>
    </xf>
    <xf numFmtId="166" fontId="5" fillId="9" borderId="22" xfId="2" applyNumberFormat="1" applyFont="1" applyFill="1" applyBorder="1" applyAlignment="1">
      <alignment horizontal="right" vertical="top" wrapText="1"/>
    </xf>
    <xf numFmtId="41" fontId="5" fillId="9" borderId="22" xfId="2" applyNumberFormat="1" applyFont="1" applyFill="1" applyBorder="1" applyAlignment="1">
      <alignment horizontal="right" vertical="top" wrapText="1"/>
    </xf>
    <xf numFmtId="164" fontId="5" fillId="9" borderId="22" xfId="7" applyNumberFormat="1" applyFont="1" applyFill="1" applyBorder="1" applyAlignment="1">
      <alignment horizontal="center" vertical="top" wrapText="1"/>
    </xf>
    <xf numFmtId="0" fontId="5" fillId="9" borderId="22" xfId="0" applyFont="1" applyFill="1" applyBorder="1" applyAlignment="1">
      <alignment horizontal="center" vertical="top" wrapText="1"/>
    </xf>
    <xf numFmtId="41" fontId="5" fillId="9" borderId="22" xfId="2" applyNumberFormat="1" applyFont="1" applyFill="1" applyBorder="1" applyAlignment="1">
      <alignment horizontal="center" vertical="top" wrapText="1"/>
    </xf>
    <xf numFmtId="0" fontId="9" fillId="4" borderId="22" xfId="0" applyFont="1" applyFill="1" applyBorder="1" applyAlignment="1">
      <alignment vertical="top" wrapText="1"/>
    </xf>
    <xf numFmtId="0" fontId="10" fillId="9" borderId="22" xfId="0" applyFont="1" applyFill="1" applyBorder="1" applyAlignment="1">
      <alignment horizontal="left" vertical="top" wrapText="1"/>
    </xf>
    <xf numFmtId="0" fontId="5" fillId="9" borderId="22" xfId="0" quotePrefix="1" applyFont="1" applyFill="1" applyBorder="1" applyAlignment="1">
      <alignment horizontal="center" vertical="top" wrapText="1"/>
    </xf>
    <xf numFmtId="0" fontId="5" fillId="9" borderId="25" xfId="0" applyFont="1" applyFill="1" applyBorder="1" applyAlignment="1">
      <alignment horizontal="center" vertical="top" wrapText="1"/>
    </xf>
    <xf numFmtId="0" fontId="6" fillId="0" borderId="22" xfId="0" quotePrefix="1" applyFont="1" applyBorder="1" applyAlignment="1">
      <alignment horizontal="center" vertical="top" wrapText="1"/>
    </xf>
    <xf numFmtId="0" fontId="9" fillId="0" borderId="25" xfId="0" applyFont="1" applyBorder="1" applyAlignment="1">
      <alignment horizontal="center" vertical="top" wrapText="1"/>
    </xf>
    <xf numFmtId="0" fontId="10" fillId="9" borderId="25" xfId="0" applyFont="1" applyFill="1" applyBorder="1" applyAlignment="1">
      <alignment horizontal="center" vertical="top" wrapText="1"/>
    </xf>
    <xf numFmtId="0" fontId="10" fillId="9" borderId="22" xfId="0" applyFont="1" applyFill="1" applyBorder="1" applyAlignment="1">
      <alignment horizontal="center" vertical="top" wrapText="1"/>
    </xf>
    <xf numFmtId="0" fontId="9" fillId="4" borderId="22" xfId="0" applyFont="1" applyFill="1" applyBorder="1" applyAlignment="1">
      <alignment horizontal="center" vertical="top" wrapText="1"/>
    </xf>
    <xf numFmtId="0" fontId="9" fillId="4" borderId="25" xfId="0" applyFont="1" applyFill="1" applyBorder="1" applyAlignment="1">
      <alignment horizontal="center" vertical="top" wrapText="1"/>
    </xf>
    <xf numFmtId="0" fontId="6" fillId="4" borderId="22" xfId="0" applyFont="1" applyFill="1" applyBorder="1" applyAlignment="1">
      <alignment horizontal="center" vertical="top" wrapText="1"/>
    </xf>
    <xf numFmtId="0" fontId="6" fillId="4" borderId="22" xfId="0" quotePrefix="1" applyFont="1" applyFill="1" applyBorder="1" applyAlignment="1">
      <alignment horizontal="center" vertical="top" wrapText="1"/>
    </xf>
    <xf numFmtId="0" fontId="5" fillId="9" borderId="28" xfId="0" applyFont="1" applyFill="1" applyBorder="1" applyAlignment="1">
      <alignment horizontal="center" vertical="top" wrapText="1"/>
    </xf>
    <xf numFmtId="0" fontId="5" fillId="9" borderId="28" xfId="0" quotePrefix="1" applyFont="1" applyFill="1" applyBorder="1" applyAlignment="1">
      <alignment horizontal="center" vertical="top" wrapText="1"/>
    </xf>
    <xf numFmtId="0" fontId="10" fillId="9" borderId="28" xfId="0" applyFont="1" applyFill="1" applyBorder="1" applyAlignment="1">
      <alignment horizontal="center" vertical="top" wrapText="1"/>
    </xf>
    <xf numFmtId="0" fontId="6" fillId="4" borderId="28" xfId="0" applyFont="1" applyFill="1" applyBorder="1" applyAlignment="1">
      <alignment horizontal="center" vertical="top" wrapText="1"/>
    </xf>
    <xf numFmtId="0" fontId="6" fillId="4" borderId="28" xfId="0" quotePrefix="1" applyFont="1" applyFill="1" applyBorder="1" applyAlignment="1">
      <alignment horizontal="center" vertical="top" wrapText="1"/>
    </xf>
    <xf numFmtId="0" fontId="9" fillId="4" borderId="28" xfId="0" applyFont="1" applyFill="1" applyBorder="1" applyAlignment="1">
      <alignment horizontal="center" vertical="top" wrapText="1"/>
    </xf>
    <xf numFmtId="0" fontId="5" fillId="0" borderId="46" xfId="0" applyFont="1" applyBorder="1" applyAlignment="1">
      <alignment horizontal="center" vertical="top" wrapText="1"/>
    </xf>
    <xf numFmtId="0" fontId="5" fillId="0" borderId="45" xfId="0" applyFont="1" applyBorder="1" applyAlignment="1">
      <alignment horizontal="center" vertical="top" wrapText="1"/>
    </xf>
    <xf numFmtId="0" fontId="4" fillId="9" borderId="24" xfId="0" applyFont="1" applyFill="1" applyBorder="1" applyAlignment="1">
      <alignment horizontal="center" vertical="top" wrapText="1"/>
    </xf>
    <xf numFmtId="0" fontId="4" fillId="9" borderId="24" xfId="0" quotePrefix="1" applyFont="1" applyFill="1" applyBorder="1" applyAlignment="1">
      <alignment horizontal="center" vertical="top" wrapText="1"/>
    </xf>
    <xf numFmtId="0" fontId="11" fillId="0" borderId="22" xfId="0" applyFont="1" applyFill="1" applyBorder="1" applyAlignment="1">
      <alignment horizontal="center" vertical="top" wrapText="1"/>
    </xf>
    <xf numFmtId="0" fontId="11" fillId="0" borderId="22" xfId="0" quotePrefix="1" applyFont="1" applyFill="1" applyBorder="1" applyAlignment="1">
      <alignment horizontal="center" vertical="top" wrapText="1"/>
    </xf>
    <xf numFmtId="0" fontId="4" fillId="9" borderId="22" xfId="0" quotePrefix="1" applyFont="1" applyFill="1" applyBorder="1" applyAlignment="1">
      <alignment horizontal="center" vertical="top" wrapText="1"/>
    </xf>
    <xf numFmtId="0" fontId="11" fillId="0" borderId="22" xfId="0" quotePrefix="1" applyFont="1" applyBorder="1" applyAlignment="1">
      <alignment horizontal="center" vertical="top" wrapText="1"/>
    </xf>
    <xf numFmtId="0" fontId="4" fillId="0" borderId="22" xfId="0" quotePrefix="1" applyFont="1" applyFill="1" applyBorder="1" applyAlignment="1">
      <alignment horizontal="center" vertical="top" wrapText="1"/>
    </xf>
    <xf numFmtId="0" fontId="11" fillId="4" borderId="22" xfId="0" quotePrefix="1" applyFont="1" applyFill="1" applyBorder="1" applyAlignment="1">
      <alignment horizontal="center" vertical="top" wrapText="1"/>
    </xf>
    <xf numFmtId="0" fontId="6" fillId="0" borderId="1" xfId="0" applyFont="1" applyBorder="1" applyAlignment="1">
      <alignment horizontal="center" wrapText="1"/>
    </xf>
    <xf numFmtId="0" fontId="5" fillId="0" borderId="2" xfId="0" quotePrefix="1" applyFont="1" applyBorder="1" applyAlignment="1">
      <alignment horizontal="center" vertical="top" wrapText="1"/>
    </xf>
    <xf numFmtId="0" fontId="5" fillId="4" borderId="2" xfId="0" quotePrefix="1" applyFont="1" applyFill="1" applyBorder="1" applyAlignment="1">
      <alignment horizontal="center" vertical="top" wrapText="1"/>
    </xf>
    <xf numFmtId="0" fontId="6" fillId="4" borderId="2" xfId="0" quotePrefix="1" applyFont="1" applyFill="1" applyBorder="1" applyAlignment="1">
      <alignment horizontal="center" vertical="top" wrapText="1"/>
    </xf>
    <xf numFmtId="0" fontId="6" fillId="0" borderId="2" xfId="0" quotePrefix="1" applyFont="1" applyBorder="1" applyAlignment="1">
      <alignment horizontal="center" vertical="top" wrapText="1"/>
    </xf>
    <xf numFmtId="0" fontId="6" fillId="0" borderId="3" xfId="0" applyFont="1" applyBorder="1" applyAlignment="1">
      <alignment horizontal="center" vertical="top" wrapText="1"/>
    </xf>
    <xf numFmtId="0" fontId="5" fillId="9" borderId="16" xfId="0" quotePrefix="1" applyFont="1" applyFill="1" applyBorder="1" applyAlignment="1">
      <alignment horizontal="center" vertical="top" wrapText="1"/>
    </xf>
    <xf numFmtId="0" fontId="5" fillId="9" borderId="16" xfId="0" applyFont="1" applyFill="1" applyBorder="1" applyAlignment="1">
      <alignment horizontal="center" vertical="top" wrapText="1"/>
    </xf>
    <xf numFmtId="0" fontId="5" fillId="9" borderId="32" xfId="0" quotePrefix="1" applyFont="1" applyFill="1" applyBorder="1" applyAlignment="1">
      <alignment horizontal="center" vertical="top" wrapText="1"/>
    </xf>
    <xf numFmtId="0" fontId="5" fillId="9" borderId="32" xfId="0" applyFont="1" applyFill="1" applyBorder="1" applyAlignment="1">
      <alignment horizontal="center" vertical="top" wrapText="1"/>
    </xf>
    <xf numFmtId="0" fontId="6" fillId="0" borderId="33" xfId="0" quotePrefix="1" applyFont="1" applyBorder="1" applyAlignment="1">
      <alignment horizontal="center" vertical="top" wrapText="1"/>
    </xf>
    <xf numFmtId="0" fontId="6" fillId="4" borderId="33" xfId="0" quotePrefix="1" applyFont="1" applyFill="1" applyBorder="1" applyAlignment="1">
      <alignment horizontal="center" vertical="top" wrapText="1"/>
    </xf>
    <xf numFmtId="0" fontId="6" fillId="4" borderId="34" xfId="0" applyFont="1" applyFill="1" applyBorder="1" applyAlignment="1">
      <alignment horizontal="center" vertical="top" wrapText="1"/>
    </xf>
    <xf numFmtId="0" fontId="6" fillId="0" borderId="35" xfId="0" quotePrefix="1" applyFont="1" applyBorder="1" applyAlignment="1">
      <alignment horizontal="center" vertical="top" wrapText="1"/>
    </xf>
    <xf numFmtId="0" fontId="6" fillId="4" borderId="36" xfId="0" quotePrefix="1" applyFont="1" applyFill="1" applyBorder="1" applyAlignment="1">
      <alignment horizontal="center" vertical="top" wrapText="1"/>
    </xf>
    <xf numFmtId="0" fontId="6" fillId="4" borderId="37" xfId="0" applyFont="1" applyFill="1" applyBorder="1" applyAlignment="1">
      <alignment horizontal="center" vertical="top" wrapText="1"/>
    </xf>
    <xf numFmtId="0" fontId="6" fillId="0" borderId="36" xfId="0" quotePrefix="1" applyFont="1" applyBorder="1" applyAlignment="1">
      <alignment horizontal="center" vertical="top" wrapText="1"/>
    </xf>
    <xf numFmtId="0" fontId="6" fillId="4" borderId="38" xfId="0" quotePrefix="1" applyFont="1" applyFill="1" applyBorder="1" applyAlignment="1">
      <alignment horizontal="center" vertical="top" wrapText="1"/>
    </xf>
    <xf numFmtId="0" fontId="6" fillId="4" borderId="39" xfId="0" applyFont="1" applyFill="1" applyBorder="1" applyAlignment="1">
      <alignment horizontal="center" vertical="top" wrapText="1"/>
    </xf>
    <xf numFmtId="0" fontId="6" fillId="0" borderId="24" xfId="0" quotePrefix="1" applyFont="1" applyBorder="1" applyAlignment="1">
      <alignment horizontal="center" vertical="top" wrapText="1"/>
    </xf>
    <xf numFmtId="0" fontId="6" fillId="0" borderId="40" xfId="0" quotePrefix="1" applyFont="1" applyBorder="1" applyAlignment="1">
      <alignment horizontal="center" vertical="top" wrapText="1"/>
    </xf>
    <xf numFmtId="41" fontId="5" fillId="9" borderId="2" xfId="0" applyNumberFormat="1" applyFont="1" applyFill="1" applyBorder="1" applyAlignment="1">
      <alignment horizontal="center" vertical="top" wrapText="1"/>
    </xf>
    <xf numFmtId="41" fontId="5" fillId="0" borderId="1" xfId="0" applyNumberFormat="1" applyFont="1" applyBorder="1" applyAlignment="1">
      <alignment horizontal="center" vertical="top" wrapText="1"/>
    </xf>
    <xf numFmtId="41" fontId="6" fillId="0" borderId="1" xfId="2" applyNumberFormat="1" applyFont="1" applyBorder="1" applyAlignment="1">
      <alignment horizontal="center" vertical="top" wrapText="1"/>
    </xf>
    <xf numFmtId="41" fontId="5" fillId="9" borderId="1" xfId="2" applyNumberFormat="1" applyFont="1" applyFill="1" applyBorder="1" applyAlignment="1">
      <alignment horizontal="center" vertical="top" wrapText="1"/>
    </xf>
    <xf numFmtId="41" fontId="6" fillId="0" borderId="1" xfId="0" applyNumberFormat="1" applyFont="1" applyBorder="1" applyAlignment="1">
      <alignment horizontal="center" vertical="top" wrapText="1"/>
    </xf>
    <xf numFmtId="0" fontId="6" fillId="0" borderId="0" xfId="0" applyFont="1" applyAlignment="1">
      <alignment horizontal="center" wrapText="1"/>
    </xf>
    <xf numFmtId="0" fontId="4" fillId="9" borderId="22" xfId="0" applyFont="1" applyFill="1" applyBorder="1" applyAlignment="1">
      <alignment horizontal="justify" vertical="top" wrapText="1"/>
    </xf>
    <xf numFmtId="41" fontId="10" fillId="9" borderId="22" xfId="0" applyNumberFormat="1" applyFont="1" applyFill="1" applyBorder="1" applyAlignment="1">
      <alignment horizontal="center" vertical="top" wrapText="1"/>
    </xf>
    <xf numFmtId="41" fontId="6" fillId="4" borderId="22" xfId="2" applyFont="1" applyFill="1" applyBorder="1" applyAlignment="1">
      <alignment horizontal="right" vertical="top" wrapText="1"/>
    </xf>
    <xf numFmtId="0" fontId="10" fillId="9" borderId="16" xfId="0" applyFont="1" applyFill="1" applyBorder="1" applyAlignment="1">
      <alignment vertical="top" wrapText="1"/>
    </xf>
    <xf numFmtId="0" fontId="10" fillId="9" borderId="16" xfId="0" applyFont="1" applyFill="1" applyBorder="1" applyAlignment="1">
      <alignment horizontal="center" vertical="top" wrapText="1"/>
    </xf>
    <xf numFmtId="0" fontId="5" fillId="9" borderId="29" xfId="0" applyFont="1" applyFill="1" applyBorder="1" applyAlignment="1">
      <alignment vertical="top" wrapText="1"/>
    </xf>
    <xf numFmtId="0" fontId="10" fillId="9" borderId="29" xfId="0" applyFont="1" applyFill="1" applyBorder="1" applyAlignment="1">
      <alignment vertical="top" wrapText="1"/>
    </xf>
    <xf numFmtId="0" fontId="5" fillId="9" borderId="29" xfId="0" applyFont="1" applyFill="1" applyBorder="1" applyAlignment="1">
      <alignment horizontal="center" vertical="top" wrapText="1"/>
    </xf>
    <xf numFmtId="0" fontId="5" fillId="9" borderId="29" xfId="0" quotePrefix="1" applyFont="1" applyFill="1" applyBorder="1" applyAlignment="1">
      <alignment horizontal="center" vertical="top" wrapText="1"/>
    </xf>
    <xf numFmtId="0" fontId="10" fillId="9" borderId="29" xfId="0" applyFont="1" applyFill="1" applyBorder="1" applyAlignment="1">
      <alignment horizontal="center" vertical="top" wrapText="1"/>
    </xf>
    <xf numFmtId="0" fontId="10" fillId="9" borderId="53" xfId="0" applyFont="1" applyFill="1" applyBorder="1" applyAlignment="1">
      <alignment horizontal="center" vertical="top" wrapText="1"/>
    </xf>
    <xf numFmtId="0" fontId="10" fillId="9" borderId="54" xfId="0" applyFont="1" applyFill="1" applyBorder="1" applyAlignment="1">
      <alignment horizontal="center" vertical="top" wrapText="1"/>
    </xf>
    <xf numFmtId="0" fontId="10" fillId="9" borderId="55" xfId="0" applyFont="1" applyFill="1" applyBorder="1" applyAlignment="1">
      <alignment horizontal="center" vertical="top" wrapText="1"/>
    </xf>
    <xf numFmtId="0" fontId="5" fillId="0" borderId="17" xfId="0" applyFont="1" applyFill="1" applyBorder="1" applyAlignment="1">
      <alignment vertical="top" wrapText="1"/>
    </xf>
    <xf numFmtId="0" fontId="5" fillId="0" borderId="16" xfId="0" applyFont="1" applyFill="1" applyBorder="1" applyAlignment="1">
      <alignment vertical="top" wrapText="1"/>
    </xf>
    <xf numFmtId="41" fontId="6" fillId="4" borderId="22" xfId="2" quotePrefix="1" applyFont="1" applyFill="1" applyBorder="1" applyAlignment="1">
      <alignment vertical="top" wrapText="1"/>
    </xf>
    <xf numFmtId="9" fontId="5" fillId="9" borderId="28" xfId="0" applyNumberFormat="1" applyFont="1" applyFill="1" applyBorder="1" applyAlignment="1">
      <alignment horizontal="right" vertical="top" wrapText="1"/>
    </xf>
    <xf numFmtId="9" fontId="5" fillId="9" borderId="28" xfId="3" applyFont="1" applyFill="1" applyBorder="1" applyAlignment="1">
      <alignment horizontal="right" vertical="top" wrapText="1"/>
    </xf>
    <xf numFmtId="41" fontId="6" fillId="4" borderId="28" xfId="2" quotePrefix="1" applyFont="1" applyFill="1" applyBorder="1" applyAlignment="1">
      <alignment horizontal="right" vertical="top" wrapText="1"/>
    </xf>
    <xf numFmtId="0" fontId="5" fillId="13" borderId="1" xfId="0" applyFont="1" applyFill="1" applyBorder="1" applyAlignment="1">
      <alignment horizontal="center" vertical="center" wrapText="1"/>
    </xf>
    <xf numFmtId="0" fontId="6" fillId="13" borderId="1" xfId="0" applyFont="1" applyFill="1" applyBorder="1" applyAlignment="1">
      <alignment vertical="center" wrapText="1"/>
    </xf>
    <xf numFmtId="0" fontId="6" fillId="13" borderId="1" xfId="0" applyFont="1" applyFill="1" applyBorder="1" applyAlignment="1">
      <alignment horizontal="center" vertical="center" wrapText="1"/>
    </xf>
    <xf numFmtId="0" fontId="6" fillId="13" borderId="1" xfId="0" applyFont="1" applyFill="1" applyBorder="1" applyAlignment="1">
      <alignment horizontal="right" vertical="center" wrapText="1"/>
    </xf>
    <xf numFmtId="164" fontId="5" fillId="13" borderId="1" xfId="0" applyNumberFormat="1" applyFont="1" applyFill="1" applyBorder="1" applyAlignment="1">
      <alignment horizontal="right" vertical="center" wrapText="1"/>
    </xf>
    <xf numFmtId="164" fontId="5" fillId="13" borderId="1" xfId="1" applyNumberFormat="1" applyFont="1" applyFill="1" applyBorder="1" applyAlignment="1">
      <alignment horizontal="right" vertical="center" wrapText="1"/>
    </xf>
    <xf numFmtId="164" fontId="5" fillId="13" borderId="1" xfId="1" applyNumberFormat="1" applyFont="1" applyFill="1" applyBorder="1" applyAlignment="1">
      <alignment vertical="center" wrapText="1"/>
    </xf>
    <xf numFmtId="164" fontId="6" fillId="13" borderId="1" xfId="1" applyNumberFormat="1" applyFont="1" applyFill="1" applyBorder="1" applyAlignment="1">
      <alignment vertical="center" wrapText="1"/>
    </xf>
    <xf numFmtId="0" fontId="5" fillId="13" borderId="10" xfId="0" applyFont="1" applyFill="1" applyBorder="1" applyAlignment="1">
      <alignment vertical="center" wrapText="1"/>
    </xf>
    <xf numFmtId="0" fontId="5" fillId="13" borderId="11" xfId="0" applyFont="1" applyFill="1" applyBorder="1" applyAlignment="1">
      <alignment vertical="center" wrapText="1"/>
    </xf>
    <xf numFmtId="41" fontId="5" fillId="13" borderId="1" xfId="0" applyNumberFormat="1" applyFont="1" applyFill="1" applyBorder="1" applyAlignment="1">
      <alignment horizontal="right" vertical="center" wrapText="1"/>
    </xf>
    <xf numFmtId="0" fontId="5" fillId="14" borderId="26" xfId="0" applyFont="1" applyFill="1" applyBorder="1" applyAlignment="1">
      <alignment vertical="center" wrapText="1"/>
    </xf>
    <xf numFmtId="0" fontId="5" fillId="14" borderId="24" xfId="0" applyFont="1" applyFill="1" applyBorder="1" applyAlignment="1">
      <alignment horizontal="left" vertical="center" wrapText="1"/>
    </xf>
    <xf numFmtId="9" fontId="5" fillId="14" borderId="24" xfId="3" quotePrefix="1" applyFont="1" applyFill="1" applyBorder="1" applyAlignment="1">
      <alignment horizontal="right" vertical="center" wrapText="1"/>
    </xf>
    <xf numFmtId="164" fontId="5" fillId="14" borderId="24" xfId="2" applyNumberFormat="1" applyFont="1" applyFill="1" applyBorder="1" applyAlignment="1">
      <alignment horizontal="right" vertical="center" wrapText="1"/>
    </xf>
    <xf numFmtId="9" fontId="5" fillId="14" borderId="24" xfId="0" applyNumberFormat="1" applyFont="1" applyFill="1" applyBorder="1" applyAlignment="1">
      <alignment horizontal="right" vertical="center" wrapText="1"/>
    </xf>
    <xf numFmtId="9" fontId="5" fillId="14" borderId="24" xfId="0" quotePrefix="1" applyNumberFormat="1" applyFont="1" applyFill="1" applyBorder="1" applyAlignment="1">
      <alignment horizontal="right" vertical="center" wrapText="1"/>
    </xf>
    <xf numFmtId="174" fontId="5" fillId="14" borderId="24" xfId="0" quotePrefix="1" applyNumberFormat="1" applyFont="1" applyFill="1" applyBorder="1" applyAlignment="1">
      <alignment horizontal="right" vertical="center" wrapText="1"/>
    </xf>
    <xf numFmtId="174" fontId="5" fillId="14" borderId="24" xfId="0" applyNumberFormat="1" applyFont="1" applyFill="1" applyBorder="1" applyAlignment="1">
      <alignment vertical="center" wrapText="1"/>
    </xf>
    <xf numFmtId="164" fontId="5" fillId="14" borderId="24" xfId="0" applyNumberFormat="1" applyFont="1" applyFill="1" applyBorder="1" applyAlignment="1">
      <alignment vertical="center" wrapText="1"/>
    </xf>
    <xf numFmtId="2" fontId="5" fillId="14" borderId="24" xfId="0" applyNumberFormat="1" applyFont="1" applyFill="1" applyBorder="1" applyAlignment="1">
      <alignment vertical="center" wrapText="1"/>
    </xf>
    <xf numFmtId="164" fontId="5" fillId="14" borderId="24" xfId="7" applyNumberFormat="1" applyFont="1" applyFill="1" applyBorder="1" applyAlignment="1">
      <alignment vertical="center" wrapText="1"/>
    </xf>
    <xf numFmtId="0" fontId="5" fillId="14" borderId="24" xfId="3" applyNumberFormat="1" applyFont="1" applyFill="1" applyBorder="1" applyAlignment="1" applyProtection="1">
      <alignment vertical="center" wrapText="1"/>
    </xf>
    <xf numFmtId="9" fontId="5" fillId="14" borderId="24" xfId="3" applyNumberFormat="1" applyFont="1" applyFill="1" applyBorder="1" applyAlignment="1">
      <alignment vertical="center" wrapText="1"/>
    </xf>
    <xf numFmtId="174" fontId="5" fillId="14" borderId="24" xfId="3" applyNumberFormat="1" applyFont="1" applyFill="1" applyBorder="1" applyAlignment="1">
      <alignment vertical="center" wrapText="1"/>
    </xf>
    <xf numFmtId="0" fontId="5" fillId="14" borderId="1" xfId="0" applyFont="1" applyFill="1" applyBorder="1" applyAlignment="1">
      <alignment vertical="center" wrapText="1"/>
    </xf>
    <xf numFmtId="41" fontId="5" fillId="14" borderId="1" xfId="0" applyNumberFormat="1" applyFont="1" applyFill="1" applyBorder="1" applyAlignment="1">
      <alignment vertical="center" wrapText="1"/>
    </xf>
    <xf numFmtId="0" fontId="5" fillId="14" borderId="1" xfId="0" applyFont="1" applyFill="1" applyBorder="1" applyAlignment="1">
      <alignment horizontal="center" vertical="center" wrapText="1"/>
    </xf>
    <xf numFmtId="9" fontId="6" fillId="14" borderId="1" xfId="3" applyFont="1" applyFill="1" applyBorder="1" applyAlignment="1">
      <alignment horizontal="center" vertical="center" wrapText="1"/>
    </xf>
    <xf numFmtId="174" fontId="6" fillId="14" borderId="1" xfId="3" applyNumberFormat="1" applyFont="1" applyFill="1" applyBorder="1" applyAlignment="1">
      <alignment horizontal="center" vertical="center" wrapText="1"/>
    </xf>
    <xf numFmtId="41" fontId="5" fillId="9" borderId="1" xfId="0" quotePrefix="1" applyNumberFormat="1" applyFont="1" applyFill="1" applyBorder="1" applyAlignment="1">
      <alignment vertical="top" wrapText="1"/>
    </xf>
    <xf numFmtId="166" fontId="4" fillId="4" borderId="1" xfId="2" applyNumberFormat="1" applyFont="1" applyFill="1" applyBorder="1" applyAlignment="1">
      <alignment horizontal="right" vertical="center" wrapText="1"/>
    </xf>
    <xf numFmtId="0" fontId="4" fillId="14" borderId="1" xfId="0" applyFont="1" applyFill="1" applyBorder="1" applyAlignment="1">
      <alignment vertical="center"/>
    </xf>
    <xf numFmtId="0" fontId="4" fillId="14" borderId="1" xfId="0" applyFont="1" applyFill="1" applyBorder="1" applyAlignment="1">
      <alignment vertical="center" wrapText="1"/>
    </xf>
    <xf numFmtId="0" fontId="4" fillId="14" borderId="1" xfId="0" applyFont="1" applyFill="1" applyBorder="1" applyAlignment="1">
      <alignment horizontal="center" vertical="center" wrapText="1"/>
    </xf>
    <xf numFmtId="164" fontId="4" fillId="14" borderId="1" xfId="0" applyNumberFormat="1" applyFont="1" applyFill="1" applyBorder="1" applyAlignment="1">
      <alignment vertical="center" wrapText="1"/>
    </xf>
    <xf numFmtId="0" fontId="4" fillId="14" borderId="10" xfId="0" applyFont="1" applyFill="1" applyBorder="1" applyAlignment="1">
      <alignment vertical="center" wrapText="1"/>
    </xf>
    <xf numFmtId="0" fontId="4" fillId="14" borderId="11" xfId="0" applyFont="1" applyFill="1" applyBorder="1" applyAlignment="1">
      <alignment vertical="center" wrapText="1"/>
    </xf>
    <xf numFmtId="164" fontId="4" fillId="14" borderId="1" xfId="1" applyNumberFormat="1" applyFont="1" applyFill="1" applyBorder="1" applyAlignment="1">
      <alignment vertical="center" wrapText="1"/>
    </xf>
    <xf numFmtId="164" fontId="4" fillId="14" borderId="10" xfId="1" applyNumberFormat="1" applyFont="1" applyFill="1" applyBorder="1" applyAlignment="1">
      <alignment vertical="center" wrapText="1"/>
    </xf>
    <xf numFmtId="41" fontId="4" fillId="14" borderId="1" xfId="0" applyNumberFormat="1" applyFont="1" applyFill="1" applyBorder="1" applyAlignment="1">
      <alignment vertical="center" wrapText="1"/>
    </xf>
    <xf numFmtId="0" fontId="5" fillId="14" borderId="51" xfId="0" applyFont="1" applyFill="1" applyBorder="1" applyAlignment="1">
      <alignment vertical="top" wrapText="1"/>
    </xf>
    <xf numFmtId="0" fontId="6" fillId="3" borderId="10" xfId="0" applyFont="1" applyFill="1" applyBorder="1" applyAlignment="1">
      <alignment horizontal="right" vertical="center" wrapText="1"/>
    </xf>
    <xf numFmtId="164" fontId="5" fillId="3" borderId="1" xfId="1" applyNumberFormat="1" applyFont="1" applyFill="1" applyBorder="1" applyAlignment="1">
      <alignment horizontal="center" vertical="center" wrapText="1"/>
    </xf>
    <xf numFmtId="0" fontId="6" fillId="3" borderId="11" xfId="0" applyFont="1" applyFill="1" applyBorder="1" applyAlignment="1">
      <alignment horizontal="right" vertical="center" wrapText="1"/>
    </xf>
    <xf numFmtId="164" fontId="6" fillId="3" borderId="10" xfId="1" applyNumberFormat="1" applyFont="1" applyFill="1" applyBorder="1" applyAlignment="1">
      <alignment vertical="center" wrapText="1"/>
    </xf>
    <xf numFmtId="164" fontId="6" fillId="3" borderId="1" xfId="0" applyNumberFormat="1" applyFont="1" applyFill="1" applyBorder="1" applyAlignment="1">
      <alignment vertical="center" wrapText="1"/>
    </xf>
    <xf numFmtId="41" fontId="4" fillId="9" borderId="22" xfId="2" applyFont="1" applyFill="1" applyBorder="1" applyAlignment="1">
      <alignment vertical="top" wrapText="1"/>
    </xf>
    <xf numFmtId="166" fontId="11" fillId="0" borderId="22" xfId="2" applyNumberFormat="1" applyFont="1" applyBorder="1" applyAlignment="1">
      <alignment vertical="top" wrapText="1"/>
    </xf>
    <xf numFmtId="166" fontId="4" fillId="9" borderId="22" xfId="2" applyNumberFormat="1" applyFont="1" applyFill="1" applyBorder="1" applyAlignment="1">
      <alignment vertical="top" wrapText="1"/>
    </xf>
    <xf numFmtId="166" fontId="11" fillId="0" borderId="22" xfId="2" applyNumberFormat="1" applyFont="1" applyFill="1" applyBorder="1" applyAlignment="1">
      <alignment vertical="top" wrapText="1"/>
    </xf>
    <xf numFmtId="166" fontId="11" fillId="4" borderId="22" xfId="2" applyNumberFormat="1" applyFont="1" applyFill="1" applyBorder="1" applyAlignment="1">
      <alignment vertical="top" wrapText="1"/>
    </xf>
    <xf numFmtId="0" fontId="6" fillId="0" borderId="17" xfId="0" applyFont="1" applyFill="1" applyBorder="1" applyAlignment="1">
      <alignment wrapText="1"/>
    </xf>
    <xf numFmtId="0" fontId="6" fillId="0" borderId="16" xfId="0" applyFont="1" applyFill="1" applyBorder="1" applyAlignment="1">
      <alignment wrapText="1"/>
    </xf>
    <xf numFmtId="41" fontId="4" fillId="9" borderId="24" xfId="2" applyFont="1" applyFill="1" applyBorder="1" applyAlignment="1">
      <alignment vertical="top" wrapText="1"/>
    </xf>
    <xf numFmtId="0" fontId="4" fillId="9" borderId="24" xfId="0" applyNumberFormat="1" applyFont="1" applyFill="1" applyBorder="1" applyAlignment="1">
      <alignment horizontal="center" vertical="top" wrapText="1"/>
    </xf>
    <xf numFmtId="41" fontId="4" fillId="9" borderId="24" xfId="0" applyNumberFormat="1" applyFont="1" applyFill="1" applyBorder="1" applyAlignment="1">
      <alignment vertical="top" wrapText="1"/>
    </xf>
    <xf numFmtId="166" fontId="4" fillId="9" borderId="24" xfId="2" applyNumberFormat="1" applyFont="1" applyFill="1" applyBorder="1" applyAlignment="1">
      <alignment vertical="top" wrapText="1"/>
    </xf>
    <xf numFmtId="43" fontId="11" fillId="0" borderId="22" xfId="1" applyFont="1" applyBorder="1" applyAlignment="1">
      <alignment vertical="top" wrapText="1"/>
    </xf>
    <xf numFmtId="164" fontId="4" fillId="9" borderId="22" xfId="2" applyNumberFormat="1" applyFont="1" applyFill="1" applyBorder="1" applyAlignment="1">
      <alignment horizontal="right" vertical="top" wrapText="1"/>
    </xf>
    <xf numFmtId="43" fontId="11" fillId="0" borderId="22" xfId="0" applyNumberFormat="1" applyFont="1" applyFill="1" applyBorder="1" applyAlignment="1">
      <alignment vertical="top" wrapText="1"/>
    </xf>
    <xf numFmtId="41" fontId="11" fillId="0" borderId="22" xfId="2" applyFont="1" applyFill="1" applyBorder="1" applyAlignment="1">
      <alignment horizontal="right" vertical="top" wrapText="1"/>
    </xf>
    <xf numFmtId="164" fontId="4" fillId="9" borderId="22" xfId="1" applyNumberFormat="1" applyFont="1" applyFill="1" applyBorder="1" applyAlignment="1">
      <alignment horizontal="center" vertical="top" wrapText="1"/>
    </xf>
    <xf numFmtId="0" fontId="11" fillId="0" borderId="22" xfId="2" applyNumberFormat="1" applyFont="1" applyBorder="1" applyAlignment="1">
      <alignment vertical="top" wrapText="1"/>
    </xf>
    <xf numFmtId="0" fontId="4" fillId="9" borderId="22" xfId="2" applyNumberFormat="1" applyFont="1" applyFill="1" applyBorder="1" applyAlignment="1">
      <alignment horizontal="center" vertical="top" wrapText="1"/>
    </xf>
    <xf numFmtId="0" fontId="4" fillId="0" borderId="22" xfId="2" applyNumberFormat="1" applyFont="1" applyFill="1" applyBorder="1" applyAlignment="1">
      <alignment horizontal="center" vertical="top" wrapText="1"/>
    </xf>
    <xf numFmtId="0" fontId="11" fillId="4" borderId="22" xfId="5" applyFont="1" applyFill="1" applyBorder="1" applyAlignment="1">
      <alignment horizontal="left" vertical="top" wrapText="1"/>
    </xf>
    <xf numFmtId="41" fontId="11" fillId="0" borderId="22" xfId="2" applyFont="1" applyBorder="1" applyAlignment="1">
      <alignment horizontal="right" vertical="top" wrapText="1"/>
    </xf>
    <xf numFmtId="0" fontId="4" fillId="0" borderId="22" xfId="6" applyNumberFormat="1" applyFont="1" applyFill="1" applyBorder="1" applyAlignment="1">
      <alignment horizontal="center" vertical="top" wrapText="1"/>
    </xf>
    <xf numFmtId="43" fontId="4" fillId="0" borderId="22" xfId="1" quotePrefix="1" applyNumberFormat="1" applyFont="1" applyFill="1" applyBorder="1" applyAlignment="1">
      <alignment horizontal="center" vertical="top" wrapText="1"/>
    </xf>
    <xf numFmtId="164" fontId="11" fillId="0" borderId="22" xfId="1" applyNumberFormat="1" applyFont="1" applyBorder="1" applyAlignment="1">
      <alignment horizontal="center" vertical="top" wrapText="1"/>
    </xf>
    <xf numFmtId="166" fontId="4" fillId="0" borderId="22" xfId="2" applyNumberFormat="1" applyFont="1" applyBorder="1" applyAlignment="1">
      <alignment vertical="top" wrapText="1"/>
    </xf>
    <xf numFmtId="9" fontId="11" fillId="0" borderId="22" xfId="0" applyNumberFormat="1" applyFont="1" applyFill="1" applyBorder="1" applyAlignment="1">
      <alignment horizontal="center" vertical="top" wrapText="1"/>
    </xf>
    <xf numFmtId="0" fontId="6" fillId="0" borderId="17" xfId="0" applyFont="1" applyFill="1" applyBorder="1" applyAlignment="1">
      <alignment vertical="top" wrapText="1"/>
    </xf>
    <xf numFmtId="0" fontId="6" fillId="0" borderId="16" xfId="0" applyFont="1" applyFill="1" applyBorder="1" applyAlignment="1">
      <alignment vertical="top" wrapText="1"/>
    </xf>
    <xf numFmtId="0" fontId="4" fillId="9" borderId="22" xfId="0" applyNumberFormat="1" applyFont="1" applyFill="1" applyBorder="1" applyAlignment="1">
      <alignment horizontal="left" vertical="top" wrapText="1"/>
    </xf>
    <xf numFmtId="164" fontId="11" fillId="0" borderId="22" xfId="0" applyNumberFormat="1" applyFont="1" applyBorder="1" applyAlignment="1">
      <alignment horizontal="center" vertical="top" wrapText="1"/>
    </xf>
    <xf numFmtId="0" fontId="11" fillId="0" borderId="22" xfId="0" applyFont="1" applyBorder="1" applyAlignment="1">
      <alignment horizontal="right" vertical="top" wrapText="1"/>
    </xf>
    <xf numFmtId="0" fontId="4" fillId="9" borderId="24" xfId="3" applyNumberFormat="1" applyFont="1" applyFill="1" applyBorder="1" applyAlignment="1">
      <alignment horizontal="right" vertical="top" wrapText="1"/>
    </xf>
    <xf numFmtId="0" fontId="11" fillId="0" borderId="22" xfId="0" applyNumberFormat="1" applyFont="1" applyBorder="1" applyAlignment="1">
      <alignment horizontal="right" vertical="top" wrapText="1"/>
    </xf>
    <xf numFmtId="0" fontId="11" fillId="0" borderId="22" xfId="0" applyNumberFormat="1" applyFont="1" applyFill="1" applyBorder="1" applyAlignment="1">
      <alignment horizontal="right" vertical="top" wrapText="1"/>
    </xf>
    <xf numFmtId="0" fontId="4" fillId="9" borderId="22" xfId="3" applyNumberFormat="1" applyFont="1" applyFill="1" applyBorder="1" applyAlignment="1">
      <alignment horizontal="right" vertical="top" wrapText="1"/>
    </xf>
    <xf numFmtId="0" fontId="4" fillId="9" borderId="22" xfId="0" applyNumberFormat="1" applyFont="1" applyFill="1" applyBorder="1" applyAlignment="1">
      <alignment horizontal="right" vertical="top" wrapText="1"/>
    </xf>
    <xf numFmtId="0" fontId="4" fillId="9" borderId="22" xfId="2" applyNumberFormat="1" applyFont="1" applyFill="1" applyBorder="1" applyAlignment="1">
      <alignment horizontal="right" vertical="top" wrapText="1"/>
    </xf>
    <xf numFmtId="0" fontId="11" fillId="0" borderId="22" xfId="2" applyNumberFormat="1" applyFont="1" applyFill="1" applyBorder="1" applyAlignment="1">
      <alignment horizontal="right" vertical="top" wrapText="1"/>
    </xf>
    <xf numFmtId="9" fontId="11" fillId="0" borderId="22" xfId="2" applyNumberFormat="1" applyFont="1" applyFill="1" applyBorder="1" applyAlignment="1">
      <alignment horizontal="right" vertical="top" wrapText="1"/>
    </xf>
    <xf numFmtId="0" fontId="11" fillId="0" borderId="22" xfId="3" applyNumberFormat="1" applyFont="1" applyFill="1" applyBorder="1" applyAlignment="1">
      <alignment horizontal="right" vertical="top" wrapText="1"/>
    </xf>
    <xf numFmtId="164" fontId="11" fillId="0" borderId="22" xfId="2" applyNumberFormat="1" applyFont="1" applyFill="1" applyBorder="1" applyAlignment="1">
      <alignment horizontal="right" vertical="top" wrapText="1"/>
    </xf>
    <xf numFmtId="1" fontId="11" fillId="0" borderId="22" xfId="0" applyNumberFormat="1" applyFont="1" applyBorder="1" applyAlignment="1">
      <alignment horizontal="right" vertical="top" wrapText="1"/>
    </xf>
    <xf numFmtId="0" fontId="11" fillId="4" borderId="22" xfId="0" applyFont="1" applyFill="1" applyBorder="1" applyAlignment="1">
      <alignment horizontal="right" vertical="top" wrapText="1"/>
    </xf>
    <xf numFmtId="0" fontId="4" fillId="9" borderId="22" xfId="1" applyNumberFormat="1" applyFont="1" applyFill="1" applyBorder="1" applyAlignment="1">
      <alignment horizontal="right" vertical="top" wrapText="1"/>
    </xf>
    <xf numFmtId="0" fontId="11" fillId="0" borderId="22" xfId="1" applyNumberFormat="1" applyFont="1" applyBorder="1" applyAlignment="1">
      <alignment horizontal="right" vertical="top" wrapText="1"/>
    </xf>
    <xf numFmtId="164" fontId="4" fillId="9" borderId="22" xfId="1" applyNumberFormat="1" applyFont="1" applyFill="1" applyBorder="1" applyAlignment="1">
      <alignment horizontal="right" vertical="top" wrapText="1"/>
    </xf>
    <xf numFmtId="164" fontId="11" fillId="0" borderId="22" xfId="1" applyNumberFormat="1" applyFont="1" applyBorder="1" applyAlignment="1">
      <alignment horizontal="right" vertical="top" wrapText="1"/>
    </xf>
    <xf numFmtId="1" fontId="4" fillId="9" borderId="22" xfId="0" applyNumberFormat="1" applyFont="1" applyFill="1" applyBorder="1" applyAlignment="1">
      <alignment horizontal="right" vertical="top" wrapText="1"/>
    </xf>
    <xf numFmtId="0" fontId="4" fillId="9" borderId="24" xfId="0" applyNumberFormat="1" applyFont="1" applyFill="1" applyBorder="1" applyAlignment="1">
      <alignment horizontal="right" vertical="top" wrapText="1"/>
    </xf>
    <xf numFmtId="0" fontId="11" fillId="0" borderId="22" xfId="0" quotePrefix="1" applyNumberFormat="1" applyFont="1" applyBorder="1" applyAlignment="1">
      <alignment horizontal="right" vertical="top" wrapText="1"/>
    </xf>
    <xf numFmtId="41" fontId="11" fillId="0" borderId="22" xfId="2" quotePrefix="1" applyFont="1" applyBorder="1" applyAlignment="1">
      <alignment horizontal="right" vertical="top" wrapText="1"/>
    </xf>
    <xf numFmtId="0" fontId="4" fillId="9" borderId="22" xfId="6" applyNumberFormat="1" applyFont="1" applyFill="1" applyBorder="1" applyAlignment="1">
      <alignment horizontal="right" vertical="top" wrapText="1"/>
    </xf>
    <xf numFmtId="0" fontId="11" fillId="0" borderId="22" xfId="6" applyNumberFormat="1" applyFont="1" applyFill="1" applyBorder="1" applyAlignment="1">
      <alignment horizontal="right" vertical="top" wrapText="1"/>
    </xf>
    <xf numFmtId="168" fontId="4" fillId="9" borderId="22" xfId="0" applyNumberFormat="1" applyFont="1" applyFill="1" applyBorder="1" applyAlignment="1">
      <alignment horizontal="right" vertical="top" wrapText="1"/>
    </xf>
    <xf numFmtId="0" fontId="4" fillId="0" borderId="22" xfId="0" applyNumberFormat="1" applyFont="1" applyBorder="1" applyAlignment="1">
      <alignment horizontal="right" vertical="top" wrapText="1"/>
    </xf>
    <xf numFmtId="9" fontId="11" fillId="0" borderId="22" xfId="0" applyNumberFormat="1" applyFont="1" applyBorder="1" applyAlignment="1">
      <alignment horizontal="right" vertical="top" wrapText="1"/>
    </xf>
    <xf numFmtId="1" fontId="4" fillId="9" borderId="22" xfId="6" applyNumberFormat="1" applyFont="1" applyFill="1" applyBorder="1" applyAlignment="1">
      <alignment horizontal="right" vertical="top" wrapText="1"/>
    </xf>
    <xf numFmtId="1" fontId="11" fillId="0" borderId="22" xfId="6" applyNumberFormat="1" applyFont="1" applyFill="1" applyBorder="1" applyAlignment="1">
      <alignment horizontal="right" vertical="top" wrapText="1"/>
    </xf>
    <xf numFmtId="0" fontId="4" fillId="0" borderId="22" xfId="0" applyNumberFormat="1" applyFont="1" applyFill="1" applyBorder="1" applyAlignment="1">
      <alignment horizontal="right" vertical="top" wrapText="1"/>
    </xf>
    <xf numFmtId="0" fontId="4" fillId="0" borderId="22" xfId="6" applyNumberFormat="1" applyFont="1" applyFill="1" applyBorder="1" applyAlignment="1">
      <alignment horizontal="right" vertical="top" wrapText="1"/>
    </xf>
    <xf numFmtId="1" fontId="11" fillId="0" borderId="22" xfId="2" applyNumberFormat="1" applyFont="1" applyBorder="1" applyAlignment="1">
      <alignment horizontal="right" vertical="top" wrapText="1"/>
    </xf>
    <xf numFmtId="0" fontId="11" fillId="0" borderId="22" xfId="2" applyNumberFormat="1" applyFont="1" applyBorder="1" applyAlignment="1">
      <alignment horizontal="right" vertical="top" wrapText="1"/>
    </xf>
    <xf numFmtId="168" fontId="11" fillId="0" borderId="22" xfId="0" applyNumberFormat="1" applyFont="1" applyBorder="1" applyAlignment="1">
      <alignment horizontal="right" vertical="top" wrapText="1"/>
    </xf>
    <xf numFmtId="10" fontId="11" fillId="0" borderId="22" xfId="0" applyNumberFormat="1" applyFont="1" applyBorder="1" applyAlignment="1">
      <alignment horizontal="right" vertical="top" wrapText="1"/>
    </xf>
    <xf numFmtId="0" fontId="4" fillId="0" borderId="22" xfId="2" applyNumberFormat="1" applyFont="1" applyBorder="1" applyAlignment="1">
      <alignment horizontal="right" vertical="top" wrapText="1"/>
    </xf>
    <xf numFmtId="1" fontId="11" fillId="0" borderId="22" xfId="0" applyNumberFormat="1" applyFont="1" applyFill="1" applyBorder="1" applyAlignment="1">
      <alignment horizontal="right" vertical="top" wrapText="1"/>
    </xf>
    <xf numFmtId="176" fontId="4" fillId="9" borderId="22" xfId="0" applyNumberFormat="1" applyFont="1" applyFill="1" applyBorder="1" applyAlignment="1">
      <alignment horizontal="right" vertical="top" wrapText="1"/>
    </xf>
    <xf numFmtId="0" fontId="5" fillId="0" borderId="16" xfId="0" applyFont="1" applyBorder="1" applyAlignment="1">
      <alignment vertical="top" wrapText="1"/>
    </xf>
    <xf numFmtId="41" fontId="4" fillId="9" borderId="22" xfId="2" applyFont="1" applyFill="1" applyBorder="1" applyAlignment="1">
      <alignment horizontal="right" vertical="top" wrapText="1"/>
    </xf>
    <xf numFmtId="2" fontId="4" fillId="9" borderId="22" xfId="0" applyNumberFormat="1" applyFont="1" applyFill="1" applyBorder="1" applyAlignment="1">
      <alignment horizontal="right" vertical="top" wrapText="1"/>
    </xf>
    <xf numFmtId="0" fontId="4" fillId="9" borderId="28" xfId="0" applyFont="1" applyFill="1" applyBorder="1" applyAlignment="1">
      <alignment horizontal="center" vertical="top" wrapText="1"/>
    </xf>
    <xf numFmtId="0" fontId="4" fillId="9" borderId="28" xfId="0" applyFont="1" applyFill="1" applyBorder="1" applyAlignment="1">
      <alignment horizontal="left" vertical="top" wrapText="1"/>
    </xf>
    <xf numFmtId="0" fontId="4" fillId="9" borderId="28" xfId="0" quotePrefix="1" applyFont="1" applyFill="1" applyBorder="1" applyAlignment="1">
      <alignment horizontal="center" vertical="top" wrapText="1"/>
    </xf>
    <xf numFmtId="0" fontId="4" fillId="9" borderId="29" xfId="0" applyFont="1" applyFill="1" applyBorder="1" applyAlignment="1">
      <alignment horizontal="center" vertical="top" wrapText="1"/>
    </xf>
    <xf numFmtId="0" fontId="4" fillId="9" borderId="29" xfId="0" applyFont="1" applyFill="1" applyBorder="1" applyAlignment="1">
      <alignment horizontal="left" vertical="top" wrapText="1"/>
    </xf>
    <xf numFmtId="0" fontId="4" fillId="9" borderId="29" xfId="0" quotePrefix="1" applyFont="1" applyFill="1" applyBorder="1" applyAlignment="1">
      <alignment horizontal="center" vertical="top" wrapText="1"/>
    </xf>
    <xf numFmtId="0" fontId="4" fillId="9" borderId="29" xfId="0" applyFont="1" applyFill="1" applyBorder="1" applyAlignment="1">
      <alignment vertical="top" wrapText="1"/>
    </xf>
    <xf numFmtId="9" fontId="4" fillId="9" borderId="22" xfId="0" applyNumberFormat="1" applyFont="1" applyFill="1" applyBorder="1" applyAlignment="1">
      <alignment horizontal="center" vertical="top" wrapText="1"/>
    </xf>
    <xf numFmtId="0" fontId="5" fillId="9" borderId="1" xfId="1" applyNumberFormat="1" applyFont="1" applyFill="1" applyBorder="1" applyAlignment="1">
      <alignment horizontal="right" vertical="top" wrapText="1"/>
    </xf>
    <xf numFmtId="3" fontId="5" fillId="9" borderId="1" xfId="1" applyNumberFormat="1" applyFont="1" applyFill="1" applyBorder="1" applyAlignment="1">
      <alignment horizontal="center" vertical="top" wrapText="1"/>
    </xf>
    <xf numFmtId="164" fontId="5" fillId="9" borderId="1" xfId="1" applyNumberFormat="1" applyFont="1" applyFill="1" applyBorder="1" applyAlignment="1">
      <alignment horizontal="left" vertical="top" wrapText="1"/>
    </xf>
    <xf numFmtId="43" fontId="5" fillId="9" borderId="41" xfId="1" applyFont="1" applyFill="1" applyBorder="1" applyAlignment="1">
      <alignment horizontal="center" vertical="top" wrapText="1"/>
    </xf>
    <xf numFmtId="2" fontId="5" fillId="9" borderId="1" xfId="1" applyNumberFormat="1" applyFont="1" applyFill="1" applyBorder="1" applyAlignment="1">
      <alignment horizontal="right" vertical="top" wrapText="1"/>
    </xf>
    <xf numFmtId="2" fontId="6" fillId="0" borderId="1" xfId="1" applyNumberFormat="1" applyFont="1" applyBorder="1" applyAlignment="1">
      <alignment horizontal="right" vertical="top" wrapText="1"/>
    </xf>
    <xf numFmtId="43" fontId="6" fillId="0" borderId="41" xfId="1" applyFont="1" applyBorder="1" applyAlignment="1">
      <alignment horizontal="center" vertical="top" wrapText="1"/>
    </xf>
    <xf numFmtId="43" fontId="6" fillId="0" borderId="1" xfId="1" applyFont="1" applyBorder="1" applyAlignment="1">
      <alignment horizontal="center" vertical="top" wrapText="1"/>
    </xf>
    <xf numFmtId="2" fontId="6" fillId="0" borderId="1" xfId="1" quotePrefix="1" applyNumberFormat="1" applyFont="1" applyBorder="1" applyAlignment="1">
      <alignment horizontal="right" vertical="top" wrapText="1"/>
    </xf>
    <xf numFmtId="0" fontId="11" fillId="4" borderId="1" xfId="0" applyNumberFormat="1" applyFont="1" applyFill="1" applyBorder="1" applyAlignment="1">
      <alignment horizontal="left" vertical="top" wrapText="1"/>
    </xf>
    <xf numFmtId="43" fontId="6" fillId="4" borderId="41" xfId="1" applyFont="1" applyFill="1" applyBorder="1" applyAlignment="1">
      <alignment horizontal="center" vertical="top" wrapText="1"/>
    </xf>
    <xf numFmtId="3" fontId="6" fillId="0" borderId="1" xfId="1" applyNumberFormat="1" applyFont="1" applyBorder="1" applyAlignment="1">
      <alignment horizontal="right" vertical="top" wrapText="1"/>
    </xf>
    <xf numFmtId="43" fontId="5" fillId="9" borderId="1" xfId="1" quotePrefix="1" applyFont="1" applyFill="1" applyBorder="1" applyAlignment="1">
      <alignment horizontal="center" vertical="top" wrapText="1"/>
    </xf>
    <xf numFmtId="37" fontId="5" fillId="9" borderId="1" xfId="1" applyNumberFormat="1" applyFont="1" applyFill="1" applyBorder="1" applyAlignment="1">
      <alignment horizontal="center" vertical="top" wrapText="1"/>
    </xf>
    <xf numFmtId="3" fontId="5" fillId="9" borderId="1" xfId="1" applyNumberFormat="1" applyFont="1" applyFill="1" applyBorder="1" applyAlignment="1">
      <alignment horizontal="right" vertical="top" wrapText="1"/>
    </xf>
    <xf numFmtId="43" fontId="5" fillId="9" borderId="1" xfId="1" applyNumberFormat="1" applyFont="1" applyFill="1" applyBorder="1" applyAlignment="1">
      <alignment horizontal="right" vertical="top" wrapText="1"/>
    </xf>
    <xf numFmtId="37" fontId="5" fillId="9" borderId="1" xfId="1" applyNumberFormat="1" applyFont="1" applyFill="1" applyBorder="1" applyAlignment="1">
      <alignment horizontal="right" vertical="top" wrapText="1"/>
    </xf>
    <xf numFmtId="43" fontId="4" fillId="14" borderId="1" xfId="0" applyNumberFormat="1" applyFont="1" applyFill="1" applyBorder="1" applyAlignment="1">
      <alignment vertical="center" wrapText="1"/>
    </xf>
    <xf numFmtId="0" fontId="4" fillId="13" borderId="1" xfId="0" applyFont="1" applyFill="1" applyBorder="1" applyAlignment="1">
      <alignment horizontal="right" vertical="center" wrapText="1"/>
    </xf>
    <xf numFmtId="0" fontId="5" fillId="3" borderId="1" xfId="0" applyFont="1" applyFill="1" applyBorder="1" applyAlignment="1">
      <alignment vertical="center" wrapText="1"/>
    </xf>
    <xf numFmtId="41" fontId="5" fillId="3" borderId="1" xfId="0" applyNumberFormat="1" applyFont="1" applyFill="1" applyBorder="1" applyAlignment="1">
      <alignment vertical="center" wrapText="1"/>
    </xf>
    <xf numFmtId="0" fontId="4" fillId="3" borderId="1" xfId="0" applyFont="1" applyFill="1" applyBorder="1" applyAlignment="1">
      <alignment horizontal="right" vertical="center" wrapText="1"/>
    </xf>
    <xf numFmtId="0" fontId="4" fillId="13" borderId="1" xfId="0" applyFont="1" applyFill="1" applyBorder="1" applyAlignment="1">
      <alignment horizontal="center" vertical="center" wrapText="1"/>
    </xf>
    <xf numFmtId="0" fontId="11" fillId="13" borderId="41" xfId="0" applyFont="1" applyFill="1" applyBorder="1" applyAlignment="1">
      <alignment horizontal="center" vertical="center" wrapText="1"/>
    </xf>
    <xf numFmtId="0" fontId="6" fillId="3" borderId="1" xfId="0" applyNumberFormat="1" applyFont="1" applyFill="1" applyBorder="1" applyAlignment="1">
      <alignment horizontal="right" vertical="center" wrapText="1"/>
    </xf>
    <xf numFmtId="0" fontId="6" fillId="3" borderId="10" xfId="0" applyNumberFormat="1" applyFont="1" applyFill="1" applyBorder="1" applyAlignment="1">
      <alignment horizontal="right" vertical="center" wrapText="1"/>
    </xf>
    <xf numFmtId="0" fontId="6" fillId="3" borderId="11" xfId="0" applyNumberFormat="1" applyFont="1" applyFill="1" applyBorder="1" applyAlignment="1">
      <alignment horizontal="right" vertical="center" wrapText="1"/>
    </xf>
    <xf numFmtId="1" fontId="6" fillId="3" borderId="1" xfId="0" applyNumberFormat="1" applyFont="1" applyFill="1" applyBorder="1" applyAlignment="1">
      <alignment vertical="center" wrapText="1"/>
    </xf>
    <xf numFmtId="164" fontId="6" fillId="3" borderId="10" xfId="1" applyNumberFormat="1" applyFont="1" applyFill="1" applyBorder="1" applyAlignment="1">
      <alignment horizontal="right" vertical="center" wrapText="1"/>
    </xf>
    <xf numFmtId="164" fontId="6" fillId="3" borderId="1" xfId="0" applyNumberFormat="1" applyFont="1" applyFill="1" applyBorder="1" applyAlignment="1">
      <alignment horizontal="right" vertical="center" wrapText="1"/>
    </xf>
    <xf numFmtId="1" fontId="6" fillId="3" borderId="11" xfId="0" applyNumberFormat="1" applyFont="1" applyFill="1" applyBorder="1" applyAlignment="1">
      <alignment horizontal="right" vertical="center" wrapText="1"/>
    </xf>
    <xf numFmtId="43" fontId="6" fillId="3" borderId="1" xfId="1" applyFont="1" applyFill="1" applyBorder="1" applyAlignment="1">
      <alignment horizontal="right" vertical="center" wrapText="1"/>
    </xf>
    <xf numFmtId="0" fontId="5" fillId="3" borderId="41" xfId="0" applyFont="1" applyFill="1" applyBorder="1" applyAlignment="1">
      <alignment horizontal="center" vertical="center" wrapText="1"/>
    </xf>
    <xf numFmtId="0" fontId="15" fillId="9" borderId="1" xfId="0" applyFont="1" applyFill="1" applyBorder="1" applyAlignment="1">
      <alignment vertical="top" wrapText="1"/>
    </xf>
    <xf numFmtId="0" fontId="10" fillId="9" borderId="1" xfId="0" applyFont="1" applyFill="1" applyBorder="1" applyAlignment="1">
      <alignment horizontal="justify" vertical="top" wrapText="1"/>
    </xf>
    <xf numFmtId="0" fontId="5" fillId="12" borderId="1" xfId="0" applyFont="1" applyFill="1" applyBorder="1" applyAlignment="1">
      <alignment horizontal="center" vertical="center" wrapText="1"/>
    </xf>
    <xf numFmtId="0" fontId="5" fillId="0" borderId="49" xfId="0" applyFont="1" applyFill="1" applyBorder="1" applyAlignment="1">
      <alignment horizontal="center" vertical="top" wrapText="1"/>
    </xf>
    <xf numFmtId="3" fontId="6" fillId="0" borderId="0" xfId="0" applyNumberFormat="1" applyFont="1" applyFill="1" applyBorder="1" applyAlignment="1">
      <alignment vertical="center" wrapText="1"/>
    </xf>
    <xf numFmtId="0" fontId="6" fillId="10" borderId="1" xfId="0" applyFont="1" applyFill="1" applyBorder="1" applyAlignment="1">
      <alignment horizontal="right" vertical="center" wrapText="1"/>
    </xf>
    <xf numFmtId="0" fontId="6" fillId="10" borderId="1" xfId="0" applyFont="1" applyFill="1" applyBorder="1" applyAlignment="1">
      <alignment horizontal="center" vertical="center" wrapText="1"/>
    </xf>
    <xf numFmtId="0" fontId="6" fillId="10" borderId="10" xfId="0" applyFont="1" applyFill="1" applyBorder="1" applyAlignment="1">
      <alignment horizontal="right" vertical="center" wrapText="1"/>
    </xf>
    <xf numFmtId="0" fontId="6" fillId="10" borderId="11" xfId="0" applyFont="1" applyFill="1" applyBorder="1" applyAlignment="1">
      <alignment horizontal="right" vertical="center" wrapText="1"/>
    </xf>
    <xf numFmtId="164" fontId="6" fillId="10" borderId="10" xfId="1" applyNumberFormat="1" applyFont="1" applyFill="1" applyBorder="1" applyAlignment="1">
      <alignment horizontal="right" vertical="center" wrapText="1"/>
    </xf>
    <xf numFmtId="164" fontId="6" fillId="10" borderId="1" xfId="1" applyNumberFormat="1" applyFont="1" applyFill="1" applyBorder="1" applyAlignment="1">
      <alignment horizontal="right" vertical="center" wrapText="1"/>
    </xf>
    <xf numFmtId="0" fontId="6" fillId="10" borderId="41" xfId="0" applyFont="1" applyFill="1" applyBorder="1" applyAlignment="1">
      <alignment horizontal="center" vertical="center" wrapText="1"/>
    </xf>
    <xf numFmtId="3" fontId="5" fillId="9" borderId="1" xfId="4" applyNumberFormat="1" applyFont="1" applyFill="1" applyBorder="1" applyAlignment="1">
      <alignment horizontal="right" vertical="top" wrapText="1"/>
    </xf>
    <xf numFmtId="3" fontId="5" fillId="9" borderId="1" xfId="2" applyNumberFormat="1" applyFont="1" applyFill="1" applyBorder="1" applyAlignment="1">
      <alignment vertical="top" wrapText="1"/>
    </xf>
    <xf numFmtId="3" fontId="5" fillId="9" borderId="1" xfId="7" applyNumberFormat="1" applyFont="1" applyFill="1" applyBorder="1" applyAlignment="1">
      <alignment vertical="top" wrapText="1"/>
    </xf>
    <xf numFmtId="10" fontId="6" fillId="0" borderId="1" xfId="0" applyNumberFormat="1" applyFont="1" applyFill="1" applyBorder="1" applyAlignment="1">
      <alignment vertical="top" wrapText="1"/>
    </xf>
    <xf numFmtId="4" fontId="6" fillId="0" borderId="1" xfId="2" applyNumberFormat="1" applyFont="1" applyFill="1" applyBorder="1" applyAlignment="1">
      <alignment vertical="top" wrapText="1"/>
    </xf>
    <xf numFmtId="3" fontId="6" fillId="4" borderId="1" xfId="2" applyNumberFormat="1" applyFont="1" applyFill="1" applyBorder="1" applyAlignment="1">
      <alignment vertical="top" wrapText="1"/>
    </xf>
    <xf numFmtId="176" fontId="6" fillId="0" borderId="1" xfId="0" applyNumberFormat="1" applyFont="1" applyFill="1" applyBorder="1" applyAlignment="1">
      <alignment vertical="top" wrapText="1"/>
    </xf>
    <xf numFmtId="176" fontId="6" fillId="0" borderId="1" xfId="2" applyNumberFormat="1" applyFont="1" applyFill="1" applyBorder="1" applyAlignment="1">
      <alignment vertical="top" wrapText="1"/>
    </xf>
    <xf numFmtId="173" fontId="6" fillId="0" borderId="1" xfId="0" applyNumberFormat="1" applyFont="1" applyFill="1" applyBorder="1" applyAlignment="1">
      <alignment vertical="top" wrapText="1"/>
    </xf>
    <xf numFmtId="173" fontId="6" fillId="0" borderId="1" xfId="2" applyNumberFormat="1" applyFont="1" applyFill="1" applyBorder="1" applyAlignment="1">
      <alignment vertical="top" wrapText="1"/>
    </xf>
    <xf numFmtId="0" fontId="5" fillId="9" borderId="1" xfId="3" applyNumberFormat="1" applyFont="1" applyFill="1" applyBorder="1" applyAlignment="1">
      <alignment vertical="top" wrapText="1"/>
    </xf>
    <xf numFmtId="165" fontId="4" fillId="9" borderId="1" xfId="0" applyNumberFormat="1" applyFont="1" applyFill="1" applyBorder="1" applyAlignment="1">
      <alignment horizontal="right" vertical="top" wrapText="1"/>
    </xf>
    <xf numFmtId="165" fontId="5" fillId="9" borderId="1" xfId="0" applyNumberFormat="1" applyFont="1" applyFill="1" applyBorder="1" applyAlignment="1">
      <alignment horizontal="right" vertical="top" wrapText="1"/>
    </xf>
    <xf numFmtId="41" fontId="4" fillId="9" borderId="1" xfId="1" applyNumberFormat="1" applyFont="1" applyFill="1" applyBorder="1" applyAlignment="1">
      <alignment horizontal="right" vertical="top" wrapText="1"/>
    </xf>
    <xf numFmtId="3" fontId="6" fillId="9" borderId="1" xfId="7" applyNumberFormat="1" applyFont="1" applyFill="1" applyBorder="1" applyAlignment="1">
      <alignment vertical="top" wrapText="1"/>
    </xf>
    <xf numFmtId="4" fontId="5" fillId="9" borderId="1" xfId="2" applyNumberFormat="1" applyFont="1" applyFill="1" applyBorder="1" applyAlignment="1">
      <alignment vertical="top" wrapText="1"/>
    </xf>
    <xf numFmtId="43" fontId="5" fillId="9" borderId="1" xfId="2" applyNumberFormat="1" applyFont="1" applyFill="1" applyBorder="1" applyAlignment="1">
      <alignment horizontal="right" vertical="top" wrapText="1"/>
    </xf>
    <xf numFmtId="3" fontId="5" fillId="9" borderId="1" xfId="7" quotePrefix="1" applyNumberFormat="1" applyFont="1" applyFill="1" applyBorder="1" applyAlignment="1">
      <alignment vertical="top" wrapText="1"/>
    </xf>
    <xf numFmtId="164" fontId="5" fillId="9" borderId="1" xfId="3" applyNumberFormat="1" applyFont="1" applyFill="1" applyBorder="1" applyAlignment="1">
      <alignment vertical="top" wrapText="1"/>
    </xf>
    <xf numFmtId="173" fontId="5" fillId="9" borderId="1" xfId="0" applyNumberFormat="1" applyFont="1" applyFill="1" applyBorder="1" applyAlignment="1">
      <alignment vertical="top" wrapText="1"/>
    </xf>
    <xf numFmtId="41" fontId="6" fillId="0" borderId="1" xfId="2" quotePrefix="1" applyFont="1" applyFill="1" applyBorder="1" applyAlignment="1">
      <alignment vertical="top" wrapText="1"/>
    </xf>
    <xf numFmtId="0" fontId="5" fillId="3" borderId="1" xfId="0" applyFont="1" applyFill="1" applyBorder="1" applyAlignment="1">
      <alignment horizontal="right" vertical="center" wrapText="1"/>
    </xf>
    <xf numFmtId="0" fontId="5" fillId="3" borderId="10" xfId="0" applyFont="1" applyFill="1" applyBorder="1" applyAlignment="1">
      <alignment horizontal="right" vertical="center" wrapText="1"/>
    </xf>
    <xf numFmtId="0" fontId="5" fillId="3" borderId="11" xfId="0" applyFont="1" applyFill="1" applyBorder="1" applyAlignment="1">
      <alignment horizontal="right" vertical="center" wrapText="1"/>
    </xf>
    <xf numFmtId="41" fontId="5" fillId="3" borderId="10" xfId="0" applyNumberFormat="1" applyFont="1" applyFill="1" applyBorder="1" applyAlignment="1">
      <alignment vertical="center" wrapText="1"/>
    </xf>
    <xf numFmtId="164" fontId="5" fillId="3" borderId="1" xfId="0" applyNumberFormat="1" applyFont="1" applyFill="1" applyBorder="1" applyAlignment="1">
      <alignment vertical="center" wrapText="1"/>
    </xf>
    <xf numFmtId="164" fontId="5" fillId="0" borderId="0" xfId="1" applyNumberFormat="1" applyFont="1" applyFill="1" applyBorder="1" applyAlignment="1">
      <alignment horizontal="center" vertical="top" wrapText="1"/>
    </xf>
    <xf numFmtId="164" fontId="5" fillId="0" borderId="0" xfId="0" applyNumberFormat="1" applyFont="1" applyFill="1" applyBorder="1" applyAlignment="1">
      <alignment vertical="top" wrapText="1"/>
    </xf>
    <xf numFmtId="41" fontId="5" fillId="3" borderId="1" xfId="0" applyNumberFormat="1" applyFont="1" applyFill="1" applyBorder="1" applyAlignment="1">
      <alignment horizontal="right" vertical="center" wrapText="1"/>
    </xf>
    <xf numFmtId="0" fontId="5" fillId="3" borderId="1" xfId="0" applyFont="1" applyFill="1" applyBorder="1" applyAlignment="1">
      <alignment horizontal="right" vertical="top" wrapText="1"/>
    </xf>
    <xf numFmtId="164" fontId="5" fillId="3" borderId="1" xfId="1" applyNumberFormat="1" applyFont="1" applyFill="1" applyBorder="1" applyAlignment="1">
      <alignment vertical="top" wrapText="1"/>
    </xf>
    <xf numFmtId="0" fontId="5" fillId="9" borderId="49" xfId="0" applyFont="1" applyFill="1" applyBorder="1" applyAlignment="1">
      <alignment horizontal="center" vertical="center" wrapText="1"/>
    </xf>
    <xf numFmtId="170" fontId="5" fillId="9" borderId="1" xfId="0" quotePrefix="1" applyNumberFormat="1" applyFont="1" applyFill="1" applyBorder="1" applyAlignment="1">
      <alignment horizontal="right" vertical="top" wrapText="1"/>
    </xf>
    <xf numFmtId="0" fontId="6" fillId="9" borderId="4" xfId="0" applyFont="1" applyFill="1" applyBorder="1" applyAlignment="1">
      <alignment vertical="top" wrapText="1"/>
    </xf>
    <xf numFmtId="164" fontId="6" fillId="3" borderId="1" xfId="1" applyNumberFormat="1" applyFont="1" applyFill="1" applyBorder="1" applyAlignment="1">
      <alignment vertical="center" wrapText="1"/>
    </xf>
    <xf numFmtId="41" fontId="11" fillId="4" borderId="1" xfId="2" quotePrefix="1" applyFont="1" applyFill="1" applyBorder="1" applyAlignment="1">
      <alignment horizontal="right" vertical="top" wrapText="1"/>
    </xf>
    <xf numFmtId="164" fontId="5" fillId="3" borderId="10" xfId="1" applyNumberFormat="1" applyFont="1" applyFill="1" applyBorder="1" applyAlignment="1">
      <alignment vertical="center" wrapText="1"/>
    </xf>
    <xf numFmtId="0" fontId="8" fillId="3" borderId="41" xfId="0" applyFont="1" applyFill="1" applyBorder="1" applyAlignment="1">
      <alignment horizontal="center" vertical="top" wrapText="1"/>
    </xf>
    <xf numFmtId="0" fontId="7" fillId="9" borderId="0" xfId="0" applyFont="1" applyFill="1" applyAlignment="1">
      <alignment vertical="top" wrapText="1"/>
    </xf>
    <xf numFmtId="0" fontId="7" fillId="9" borderId="41" xfId="0" applyFont="1" applyFill="1" applyBorder="1" applyAlignment="1">
      <alignment horizontal="center" vertical="top" wrapText="1"/>
    </xf>
    <xf numFmtId="41" fontId="7" fillId="0" borderId="0" xfId="0" applyNumberFormat="1" applyFont="1" applyFill="1" applyBorder="1" applyAlignment="1">
      <alignment vertical="top" wrapText="1"/>
    </xf>
    <xf numFmtId="1" fontId="7" fillId="9" borderId="1" xfId="0" applyNumberFormat="1" applyFont="1" applyFill="1" applyBorder="1" applyAlignment="1">
      <alignment horizontal="right" vertical="top" wrapText="1"/>
    </xf>
    <xf numFmtId="41" fontId="8" fillId="5" borderId="11" xfId="2" applyFont="1" applyFill="1" applyBorder="1" applyAlignment="1">
      <alignment horizontal="right" vertical="top" wrapText="1"/>
    </xf>
    <xf numFmtId="2" fontId="7" fillId="9" borderId="1" xfId="6" applyNumberFormat="1" applyFont="1" applyFill="1" applyBorder="1" applyAlignment="1">
      <alignment vertical="top" wrapText="1"/>
    </xf>
    <xf numFmtId="0" fontId="7" fillId="9" borderId="2" xfId="0" applyFont="1" applyFill="1" applyBorder="1" applyAlignment="1">
      <alignment horizontal="center" vertical="top" wrapText="1"/>
    </xf>
    <xf numFmtId="0" fontId="7" fillId="9" borderId="2" xfId="0" applyFont="1" applyFill="1" applyBorder="1" applyAlignment="1">
      <alignment horizontal="left" vertical="top" wrapText="1"/>
    </xf>
    <xf numFmtId="0" fontId="7" fillId="9" borderId="2" xfId="0" quotePrefix="1" applyFont="1" applyFill="1" applyBorder="1" applyAlignment="1">
      <alignment horizontal="center" vertical="top" wrapText="1"/>
    </xf>
    <xf numFmtId="0" fontId="7" fillId="9" borderId="2" xfId="0" applyFont="1" applyFill="1" applyBorder="1" applyAlignment="1">
      <alignment vertical="top" wrapText="1"/>
    </xf>
    <xf numFmtId="0" fontId="7" fillId="9" borderId="4" xfId="0" applyFont="1" applyFill="1" applyBorder="1" applyAlignment="1">
      <alignment horizontal="center" vertical="top" wrapText="1"/>
    </xf>
    <xf numFmtId="0" fontId="7" fillId="9" borderId="4" xfId="0" applyFont="1" applyFill="1" applyBorder="1" applyAlignment="1">
      <alignment horizontal="left" vertical="top" wrapText="1"/>
    </xf>
    <xf numFmtId="0" fontId="7" fillId="9" borderId="4" xfId="0" quotePrefix="1" applyFont="1" applyFill="1" applyBorder="1" applyAlignment="1">
      <alignment horizontal="center" vertical="top" wrapText="1"/>
    </xf>
    <xf numFmtId="0" fontId="7" fillId="9" borderId="4" xfId="0" applyFont="1" applyFill="1" applyBorder="1" applyAlignment="1">
      <alignment vertical="top" wrapText="1"/>
    </xf>
    <xf numFmtId="41" fontId="8" fillId="5" borderId="10" xfId="2" applyFont="1" applyFill="1" applyBorder="1" applyAlignment="1">
      <alignment horizontal="right" vertical="top" wrapText="1"/>
    </xf>
    <xf numFmtId="41" fontId="8" fillId="5" borderId="1" xfId="2" quotePrefix="1" applyFont="1" applyFill="1" applyBorder="1" applyAlignment="1">
      <alignment horizontal="center" vertical="top" wrapText="1"/>
    </xf>
    <xf numFmtId="41" fontId="8" fillId="0" borderId="10" xfId="2" applyFont="1" applyFill="1" applyBorder="1" applyAlignment="1">
      <alignment horizontal="right" vertical="top" wrapText="1"/>
    </xf>
    <xf numFmtId="41" fontId="8" fillId="0" borderId="1" xfId="2" applyFont="1" applyFill="1" applyBorder="1" applyAlignment="1">
      <alignment horizontal="center" vertical="top" wrapText="1"/>
    </xf>
    <xf numFmtId="41" fontId="8" fillId="0" borderId="11" xfId="2" applyFont="1" applyFill="1" applyBorder="1" applyAlignment="1">
      <alignment horizontal="right" vertical="top" wrapText="1"/>
    </xf>
    <xf numFmtId="0" fontId="8" fillId="5" borderId="41" xfId="0" applyFont="1" applyFill="1" applyBorder="1" applyAlignment="1">
      <alignment horizontal="center" vertical="center" wrapText="1"/>
    </xf>
    <xf numFmtId="0" fontId="7" fillId="0" borderId="0" xfId="0" applyFont="1" applyFill="1" applyAlignment="1">
      <alignment vertical="center" wrapText="1"/>
    </xf>
    <xf numFmtId="0" fontId="8" fillId="0" borderId="0" xfId="0" applyFont="1" applyFill="1" applyBorder="1" applyAlignment="1">
      <alignment vertical="center" wrapText="1"/>
    </xf>
    <xf numFmtId="0" fontId="8" fillId="0" borderId="0" xfId="0" applyFont="1" applyFill="1" applyAlignment="1">
      <alignment vertical="center" wrapText="1"/>
    </xf>
    <xf numFmtId="0" fontId="4" fillId="0" borderId="41" xfId="0" applyFont="1" applyFill="1" applyBorder="1" applyAlignment="1">
      <alignment horizontal="center" vertical="top" wrapText="1"/>
    </xf>
    <xf numFmtId="0" fontId="11" fillId="0" borderId="12" xfId="5" applyFont="1" applyBorder="1" applyAlignment="1">
      <alignment vertical="top" wrapText="1"/>
    </xf>
    <xf numFmtId="41" fontId="11" fillId="0" borderId="12" xfId="5" applyNumberFormat="1" applyFont="1" applyBorder="1" applyAlignment="1">
      <alignment vertical="top" wrapText="1"/>
    </xf>
    <xf numFmtId="41" fontId="11" fillId="0" borderId="1" xfId="5" quotePrefix="1" applyNumberFormat="1" applyFont="1" applyBorder="1" applyAlignment="1">
      <alignment vertical="top" wrapText="1"/>
    </xf>
    <xf numFmtId="37" fontId="11" fillId="0" borderId="1" xfId="4" applyNumberFormat="1" applyFont="1" applyBorder="1" applyAlignment="1">
      <alignment vertical="top" wrapText="1"/>
    </xf>
    <xf numFmtId="41" fontId="11" fillId="0" borderId="1" xfId="4" applyNumberFormat="1" applyFont="1" applyBorder="1" applyAlignment="1">
      <alignment vertical="top" wrapText="1"/>
    </xf>
    <xf numFmtId="0" fontId="4" fillId="9" borderId="1" xfId="5" applyFont="1" applyFill="1" applyBorder="1" applyAlignment="1">
      <alignment horizontal="right" vertical="top" wrapText="1"/>
    </xf>
    <xf numFmtId="41" fontId="4" fillId="9" borderId="1" xfId="4" applyNumberFormat="1" applyFont="1" applyFill="1" applyBorder="1" applyAlignment="1">
      <alignment vertical="top" wrapText="1"/>
    </xf>
    <xf numFmtId="41" fontId="11" fillId="0" borderId="1" xfId="4" applyNumberFormat="1" applyFont="1" applyFill="1" applyBorder="1" applyAlignment="1">
      <alignment vertical="top" wrapText="1"/>
    </xf>
    <xf numFmtId="41" fontId="11" fillId="0" borderId="4" xfId="4" applyNumberFormat="1" applyFont="1" applyFill="1" applyBorder="1" applyAlignment="1">
      <alignment vertical="top" wrapText="1"/>
    </xf>
    <xf numFmtId="41" fontId="4" fillId="9" borderId="4" xfId="4" applyNumberFormat="1" applyFont="1" applyFill="1" applyBorder="1" applyAlignment="1">
      <alignment vertical="top" wrapText="1"/>
    </xf>
    <xf numFmtId="171" fontId="4" fillId="9" borderId="1" xfId="5" applyNumberFormat="1" applyFont="1" applyFill="1" applyBorder="1" applyAlignment="1">
      <alignment vertical="top" wrapText="1"/>
    </xf>
    <xf numFmtId="171" fontId="11" fillId="0" borderId="1" xfId="5" applyNumberFormat="1" applyFont="1" applyFill="1" applyBorder="1" applyAlignment="1">
      <alignment vertical="top" wrapText="1"/>
    </xf>
    <xf numFmtId="171" fontId="4" fillId="9" borderId="11" xfId="5" applyNumberFormat="1" applyFont="1" applyFill="1" applyBorder="1" applyAlignment="1">
      <alignment vertical="top" wrapText="1"/>
    </xf>
    <xf numFmtId="171" fontId="11" fillId="0" borderId="11" xfId="5" applyNumberFormat="1" applyFont="1" applyFill="1" applyBorder="1" applyAlignment="1">
      <alignment vertical="top" wrapText="1"/>
    </xf>
    <xf numFmtId="171" fontId="11" fillId="0" borderId="1" xfId="5" applyNumberFormat="1" applyFont="1" applyBorder="1" applyAlignment="1">
      <alignment vertical="top" wrapText="1"/>
    </xf>
    <xf numFmtId="171" fontId="11" fillId="0" borderId="2" xfId="5" applyNumberFormat="1" applyFont="1" applyBorder="1" applyAlignment="1">
      <alignment vertical="top" wrapText="1"/>
    </xf>
    <xf numFmtId="41" fontId="11" fillId="0" borderId="3" xfId="4" applyNumberFormat="1" applyFont="1" applyBorder="1" applyAlignment="1">
      <alignment vertical="top" wrapText="1"/>
    </xf>
    <xf numFmtId="2" fontId="4" fillId="9" borderId="1" xfId="5" applyNumberFormat="1" applyFont="1" applyFill="1" applyBorder="1" applyAlignment="1">
      <alignment horizontal="right" vertical="top" wrapText="1"/>
    </xf>
    <xf numFmtId="2" fontId="4" fillId="9" borderId="1" xfId="5" applyNumberFormat="1" applyFont="1" applyFill="1" applyBorder="1" applyAlignment="1">
      <alignment vertical="top" wrapText="1"/>
    </xf>
    <xf numFmtId="171" fontId="11" fillId="0" borderId="10" xfId="5" applyNumberFormat="1" applyFont="1" applyFill="1" applyBorder="1" applyAlignment="1">
      <alignment vertical="top" wrapText="1"/>
    </xf>
    <xf numFmtId="171" fontId="4" fillId="9" borderId="10" xfId="5" applyNumberFormat="1" applyFont="1" applyFill="1" applyBorder="1" applyAlignment="1">
      <alignment vertical="top" wrapText="1"/>
    </xf>
    <xf numFmtId="2" fontId="4" fillId="0" borderId="1" xfId="0" applyNumberFormat="1" applyFont="1" applyBorder="1" applyAlignment="1">
      <alignment horizontal="right" vertical="center" wrapText="1"/>
    </xf>
    <xf numFmtId="0" fontId="11" fillId="0" borderId="41" xfId="0" applyFont="1" applyFill="1" applyBorder="1" applyAlignment="1">
      <alignment horizontal="center" vertical="center" wrapText="1"/>
    </xf>
    <xf numFmtId="0" fontId="7" fillId="3" borderId="1" xfId="5" applyFont="1" applyFill="1" applyBorder="1" applyAlignment="1">
      <alignment horizontal="center" vertical="center" wrapText="1"/>
    </xf>
    <xf numFmtId="0" fontId="7" fillId="3" borderId="1" xfId="5" applyFont="1" applyFill="1" applyBorder="1" applyAlignment="1">
      <alignment vertical="center" wrapText="1"/>
    </xf>
    <xf numFmtId="0" fontId="7" fillId="3" borderId="1" xfId="5" applyFont="1" applyFill="1" applyBorder="1" applyAlignment="1">
      <alignment horizontal="right" vertical="center" wrapText="1"/>
    </xf>
    <xf numFmtId="41" fontId="7" fillId="3" borderId="1" xfId="5" applyNumberFormat="1" applyFont="1" applyFill="1" applyBorder="1" applyAlignment="1">
      <alignment horizontal="right" vertical="center" wrapText="1"/>
    </xf>
    <xf numFmtId="164" fontId="7" fillId="3" borderId="1" xfId="7" applyNumberFormat="1" applyFont="1" applyFill="1" applyBorder="1" applyAlignment="1" applyProtection="1">
      <alignment horizontal="right" vertical="center" wrapText="1"/>
    </xf>
    <xf numFmtId="164" fontId="7" fillId="3" borderId="1" xfId="7" applyNumberFormat="1" applyFont="1" applyFill="1" applyBorder="1" applyAlignment="1" applyProtection="1">
      <alignment vertical="center" wrapText="1"/>
    </xf>
    <xf numFmtId="0" fontId="8" fillId="0" borderId="2" xfId="5" quotePrefix="1" applyFont="1" applyFill="1" applyBorder="1" applyAlignment="1">
      <alignment vertical="top" wrapText="1"/>
    </xf>
    <xf numFmtId="0" fontId="8" fillId="0" borderId="4" xfId="5" quotePrefix="1" applyFont="1" applyFill="1" applyBorder="1" applyAlignment="1">
      <alignment vertical="top" wrapText="1"/>
    </xf>
    <xf numFmtId="0" fontId="8" fillId="0" borderId="3" xfId="5" quotePrefix="1" applyFont="1" applyFill="1" applyBorder="1" applyAlignment="1">
      <alignment vertical="top" wrapText="1"/>
    </xf>
    <xf numFmtId="41" fontId="8" fillId="0" borderId="1" xfId="2" applyFont="1" applyFill="1" applyBorder="1" applyAlignment="1" applyProtection="1">
      <alignment horizontal="right" vertical="top" wrapText="1"/>
    </xf>
    <xf numFmtId="41" fontId="9" fillId="0" borderId="1" xfId="2" applyFont="1" applyBorder="1" applyAlignment="1" applyProtection="1">
      <alignment vertical="top" wrapText="1"/>
      <protection locked="0"/>
    </xf>
    <xf numFmtId="41" fontId="9" fillId="0" borderId="0" xfId="2" applyFont="1" applyAlignment="1" applyProtection="1">
      <alignment vertical="top" wrapText="1"/>
      <protection locked="0"/>
    </xf>
    <xf numFmtId="41" fontId="11" fillId="0" borderId="1" xfId="2" quotePrefix="1" applyFont="1" applyFill="1" applyBorder="1" applyAlignment="1">
      <alignment horizontal="right" vertical="top" wrapText="1"/>
    </xf>
    <xf numFmtId="0" fontId="5" fillId="0" borderId="52" xfId="0" applyFont="1" applyFill="1" applyBorder="1" applyAlignment="1">
      <alignment horizontal="center" vertical="top" wrapText="1"/>
    </xf>
    <xf numFmtId="2" fontId="4" fillId="0" borderId="1" xfId="5" applyNumberFormat="1" applyFont="1" applyBorder="1" applyAlignment="1">
      <alignment horizontal="right" vertical="center" wrapText="1"/>
    </xf>
    <xf numFmtId="164" fontId="8" fillId="0" borderId="2" xfId="7" applyNumberFormat="1" applyFont="1" applyFill="1" applyBorder="1" applyAlignment="1" applyProtection="1">
      <alignment horizontal="right" vertical="top" wrapText="1"/>
    </xf>
    <xf numFmtId="164" fontId="8" fillId="0" borderId="4" xfId="7" applyNumberFormat="1" applyFont="1" applyFill="1" applyBorder="1" applyAlignment="1" applyProtection="1">
      <alignment horizontal="right" vertical="top" wrapText="1"/>
    </xf>
    <xf numFmtId="0" fontId="5" fillId="9" borderId="41" xfId="0" applyFont="1" applyFill="1" applyBorder="1" applyAlignment="1">
      <alignment horizontal="left" vertical="top" wrapText="1"/>
    </xf>
    <xf numFmtId="41" fontId="7" fillId="9" borderId="1" xfId="2" quotePrefix="1" applyFont="1" applyFill="1" applyBorder="1" applyAlignment="1">
      <alignment horizontal="right" vertical="top" wrapText="1"/>
    </xf>
    <xf numFmtId="41" fontId="7" fillId="9" borderId="1" xfId="2" applyFont="1" applyFill="1" applyBorder="1" applyAlignment="1" applyProtection="1">
      <alignment vertical="top" wrapText="1"/>
    </xf>
    <xf numFmtId="41" fontId="8" fillId="0" borderId="1" xfId="2" applyFont="1" applyFill="1" applyBorder="1" applyAlignment="1" applyProtection="1">
      <alignment vertical="top" wrapText="1"/>
    </xf>
    <xf numFmtId="0" fontId="5" fillId="3" borderId="2" xfId="0" applyFont="1" applyFill="1" applyBorder="1" applyAlignment="1">
      <alignment horizontal="center" vertical="center" wrapText="1"/>
    </xf>
    <xf numFmtId="0" fontId="5" fillId="3" borderId="2" xfId="0" applyFont="1" applyFill="1" applyBorder="1" applyAlignment="1">
      <alignment vertical="center" wrapText="1"/>
    </xf>
    <xf numFmtId="0" fontId="5" fillId="3" borderId="2" xfId="0" applyFont="1" applyFill="1" applyBorder="1" applyAlignment="1">
      <alignment horizontal="right" vertical="center" wrapText="1"/>
    </xf>
    <xf numFmtId="41" fontId="5" fillId="3" borderId="2" xfId="0" applyNumberFormat="1" applyFont="1" applyFill="1" applyBorder="1" applyAlignment="1">
      <alignment horizontal="right" vertical="center" wrapText="1"/>
    </xf>
    <xf numFmtId="0" fontId="5" fillId="3" borderId="8" xfId="0" applyFont="1" applyFill="1" applyBorder="1" applyAlignment="1">
      <alignment horizontal="right" vertical="center" wrapText="1"/>
    </xf>
    <xf numFmtId="0" fontId="5" fillId="3" borderId="9" xfId="0" applyFont="1" applyFill="1" applyBorder="1" applyAlignment="1">
      <alignment horizontal="right" vertical="center" wrapText="1"/>
    </xf>
    <xf numFmtId="164" fontId="5" fillId="3" borderId="2" xfId="1" applyNumberFormat="1" applyFont="1" applyFill="1" applyBorder="1" applyAlignment="1">
      <alignment vertical="center" wrapText="1"/>
    </xf>
    <xf numFmtId="164" fontId="5" fillId="3" borderId="8" xfId="1" applyNumberFormat="1"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49" xfId="0" applyFont="1" applyFill="1" applyBorder="1" applyAlignment="1">
      <alignment horizontal="center" vertical="center" wrapText="1"/>
    </xf>
    <xf numFmtId="2" fontId="5" fillId="9" borderId="1" xfId="2" applyNumberFormat="1" applyFont="1" applyFill="1" applyBorder="1" applyAlignment="1">
      <alignment horizontal="right" vertical="top" wrapText="1"/>
    </xf>
    <xf numFmtId="166" fontId="6" fillId="0" borderId="1" xfId="2" applyNumberFormat="1" applyFont="1" applyFill="1" applyBorder="1" applyAlignment="1">
      <alignment horizontal="right" vertical="top" wrapText="1"/>
    </xf>
    <xf numFmtId="0" fontId="6" fillId="0" borderId="1" xfId="2" applyNumberFormat="1" applyFont="1" applyFill="1" applyBorder="1" applyAlignment="1">
      <alignment horizontal="right" vertical="top" wrapText="1"/>
    </xf>
    <xf numFmtId="0" fontId="5" fillId="0" borderId="11" xfId="0" applyFont="1" applyFill="1" applyBorder="1" applyAlignment="1">
      <alignment vertical="top" wrapText="1"/>
    </xf>
    <xf numFmtId="0" fontId="5" fillId="9" borderId="1" xfId="0" applyFont="1" applyFill="1" applyBorder="1" applyAlignment="1">
      <alignment horizontal="right" vertical="center" wrapText="1"/>
    </xf>
    <xf numFmtId="1" fontId="6" fillId="4" borderId="1" xfId="2" applyNumberFormat="1" applyFont="1" applyFill="1" applyBorder="1" applyAlignment="1">
      <alignment horizontal="right" vertical="top" wrapText="1"/>
    </xf>
    <xf numFmtId="0" fontId="5" fillId="3" borderId="1" xfId="0" applyFont="1" applyFill="1" applyBorder="1" applyAlignment="1">
      <alignment horizontal="center" vertical="top" wrapText="1"/>
    </xf>
    <xf numFmtId="0" fontId="5" fillId="3" borderId="1" xfId="0" applyFont="1" applyFill="1" applyBorder="1" applyAlignment="1">
      <alignment vertical="top" wrapText="1"/>
    </xf>
    <xf numFmtId="164" fontId="6" fillId="9" borderId="1" xfId="1" applyNumberFormat="1" applyFont="1" applyFill="1" applyBorder="1" applyAlignment="1">
      <alignment horizontal="right" vertical="top" wrapText="1"/>
    </xf>
    <xf numFmtId="41" fontId="5" fillId="3" borderId="1" xfId="0" applyNumberFormat="1" applyFont="1" applyFill="1" applyBorder="1" applyAlignment="1">
      <alignment horizontal="right" vertical="top" wrapText="1"/>
    </xf>
    <xf numFmtId="3" fontId="4" fillId="9" borderId="1" xfId="0" applyNumberFormat="1" applyFont="1" applyFill="1" applyBorder="1" applyAlignment="1">
      <alignment horizontal="right" vertical="top" wrapText="1"/>
    </xf>
    <xf numFmtId="9" fontId="4" fillId="9" borderId="1" xfId="0" quotePrefix="1" applyNumberFormat="1" applyFont="1" applyFill="1" applyBorder="1" applyAlignment="1">
      <alignment horizontal="right" vertical="top" wrapText="1"/>
    </xf>
    <xf numFmtId="0" fontId="6" fillId="4" borderId="2"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41" xfId="0" applyFont="1" applyFill="1" applyBorder="1" applyAlignment="1">
      <alignment horizontal="center" vertical="center" wrapText="1"/>
    </xf>
    <xf numFmtId="164" fontId="4" fillId="3" borderId="1" xfId="1" applyNumberFormat="1" applyFont="1" applyFill="1" applyBorder="1" applyAlignment="1">
      <alignment horizontal="right" vertical="top" wrapText="1"/>
    </xf>
    <xf numFmtId="41" fontId="6" fillId="3" borderId="1" xfId="2" applyNumberFormat="1" applyFont="1" applyFill="1" applyBorder="1" applyAlignment="1">
      <alignment horizontal="right" vertical="top" wrapText="1"/>
    </xf>
    <xf numFmtId="166" fontId="6" fillId="3" borderId="1" xfId="2" applyNumberFormat="1" applyFont="1" applyFill="1" applyBorder="1" applyAlignment="1">
      <alignment horizontal="right" vertical="top" wrapText="1"/>
    </xf>
    <xf numFmtId="165" fontId="6" fillId="3" borderId="1" xfId="2" applyNumberFormat="1" applyFont="1" applyFill="1" applyBorder="1" applyAlignment="1">
      <alignment vertical="top" wrapText="1"/>
    </xf>
    <xf numFmtId="2" fontId="6" fillId="3" borderId="1" xfId="0" applyNumberFormat="1" applyFont="1" applyFill="1" applyBorder="1" applyAlignment="1">
      <alignment vertical="top" wrapText="1"/>
    </xf>
    <xf numFmtId="0" fontId="5" fillId="3" borderId="1" xfId="0" applyNumberFormat="1" applyFont="1" applyFill="1" applyBorder="1" applyAlignment="1">
      <alignment horizontal="right" vertical="top" wrapText="1"/>
    </xf>
    <xf numFmtId="0" fontId="5" fillId="9" borderId="3" xfId="0" applyFont="1" applyFill="1" applyBorder="1" applyAlignment="1">
      <alignment horizontal="center" vertical="top" wrapText="1"/>
    </xf>
    <xf numFmtId="0" fontId="5" fillId="9" borderId="3" xfId="0" applyFont="1" applyFill="1" applyBorder="1" applyAlignment="1">
      <alignment vertical="top" wrapText="1"/>
    </xf>
    <xf numFmtId="0" fontId="5" fillId="9" borderId="3" xfId="0" quotePrefix="1" applyFont="1" applyFill="1" applyBorder="1" applyAlignment="1">
      <alignment horizontal="center" vertical="top" wrapText="1"/>
    </xf>
    <xf numFmtId="2" fontId="4" fillId="5" borderId="1" xfId="5" applyNumberFormat="1" applyFont="1" applyFill="1" applyBorder="1" applyAlignment="1">
      <alignment horizontal="right" vertical="center" wrapText="1"/>
    </xf>
    <xf numFmtId="164" fontId="6" fillId="0" borderId="0" xfId="1" applyNumberFormat="1" applyFont="1" applyFill="1" applyBorder="1" applyAlignment="1">
      <alignment vertical="center" wrapText="1"/>
    </xf>
    <xf numFmtId="0" fontId="4" fillId="9" borderId="4" xfId="0" quotePrefix="1" applyFont="1" applyFill="1" applyBorder="1" applyAlignment="1">
      <alignment horizontal="center" vertical="top" wrapText="1"/>
    </xf>
    <xf numFmtId="0" fontId="5" fillId="9" borderId="3" xfId="0" applyFont="1" applyFill="1" applyBorder="1" applyAlignment="1">
      <alignment horizontal="right" vertical="top" wrapText="1"/>
    </xf>
    <xf numFmtId="41" fontId="5" fillId="9" borderId="3" xfId="0" applyNumberFormat="1" applyFont="1" applyFill="1" applyBorder="1" applyAlignment="1">
      <alignment vertical="top" wrapText="1"/>
    </xf>
    <xf numFmtId="43" fontId="5" fillId="9" borderId="3" xfId="0" applyNumberFormat="1" applyFont="1" applyFill="1" applyBorder="1" applyAlignment="1">
      <alignment vertical="top" wrapText="1"/>
    </xf>
    <xf numFmtId="164" fontId="6" fillId="0" borderId="1" xfId="0" quotePrefix="1" applyNumberFormat="1" applyFont="1" applyBorder="1" applyAlignment="1">
      <alignment vertical="top" wrapText="1"/>
    </xf>
    <xf numFmtId="164" fontId="5" fillId="9" borderId="3" xfId="0" applyNumberFormat="1" applyFont="1" applyFill="1" applyBorder="1" applyAlignment="1">
      <alignment vertical="top" wrapText="1"/>
    </xf>
    <xf numFmtId="0" fontId="5" fillId="9" borderId="11" xfId="0" applyFont="1" applyFill="1" applyBorder="1" applyAlignment="1">
      <alignment vertical="top" wrapText="1"/>
    </xf>
    <xf numFmtId="0" fontId="5" fillId="9" borderId="11" xfId="0" applyFont="1" applyFill="1" applyBorder="1" applyAlignment="1">
      <alignment horizontal="right" vertical="top" wrapText="1"/>
    </xf>
    <xf numFmtId="0" fontId="5" fillId="9" borderId="0" xfId="0" applyFont="1" applyFill="1" applyAlignment="1">
      <alignment vertical="top" wrapText="1"/>
    </xf>
    <xf numFmtId="0" fontId="5" fillId="9" borderId="9" xfId="0" applyFont="1" applyFill="1" applyBorder="1" applyAlignment="1">
      <alignment vertical="top" wrapText="1"/>
    </xf>
    <xf numFmtId="41" fontId="5" fillId="9" borderId="2" xfId="2" applyFont="1" applyFill="1" applyBorder="1" applyAlignment="1">
      <alignment vertical="top" wrapText="1"/>
    </xf>
    <xf numFmtId="43" fontId="5" fillId="9" borderId="2" xfId="0" applyNumberFormat="1" applyFont="1" applyFill="1" applyBorder="1" applyAlignment="1">
      <alignment vertical="top" wrapText="1"/>
    </xf>
    <xf numFmtId="0" fontId="9" fillId="0" borderId="1" xfId="0" applyFont="1" applyBorder="1" applyAlignment="1">
      <alignment horizontal="right" vertical="top" wrapText="1"/>
    </xf>
    <xf numFmtId="0" fontId="5" fillId="9" borderId="2" xfId="0" applyFont="1" applyFill="1" applyBorder="1" applyAlignment="1">
      <alignment horizontal="right" wrapText="1"/>
    </xf>
    <xf numFmtId="0" fontId="10" fillId="9" borderId="9" xfId="0" applyFont="1" applyFill="1" applyBorder="1" applyAlignment="1">
      <alignment horizontal="left" vertical="top" wrapText="1"/>
    </xf>
    <xf numFmtId="0" fontId="5" fillId="9" borderId="6" xfId="0" applyFont="1" applyFill="1" applyBorder="1" applyAlignment="1">
      <alignment horizontal="right" wrapText="1"/>
    </xf>
    <xf numFmtId="0" fontId="5" fillId="0" borderId="3" xfId="0" quotePrefix="1" applyFont="1" applyBorder="1" applyAlignment="1">
      <alignment horizontal="center" vertical="top" wrapText="1"/>
    </xf>
    <xf numFmtId="0" fontId="5" fillId="4" borderId="3" xfId="0" quotePrefix="1" applyFont="1" applyFill="1" applyBorder="1" applyAlignment="1">
      <alignment horizontal="center" vertical="top" wrapText="1"/>
    </xf>
    <xf numFmtId="0" fontId="6" fillId="0" borderId="4" xfId="0" applyFont="1" applyFill="1" applyBorder="1" applyAlignment="1">
      <alignment wrapText="1"/>
    </xf>
    <xf numFmtId="0" fontId="6" fillId="0" borderId="2" xfId="0" applyFont="1" applyFill="1" applyBorder="1" applyAlignment="1">
      <alignment wrapText="1"/>
    </xf>
    <xf numFmtId="0" fontId="9" fillId="0" borderId="4" xfId="0" applyFont="1" applyBorder="1" applyAlignment="1">
      <alignment horizontal="right" vertical="top" wrapText="1"/>
    </xf>
    <xf numFmtId="0" fontId="9" fillId="0" borderId="3" xfId="0" applyFont="1" applyBorder="1" applyAlignment="1">
      <alignment horizontal="right" vertical="top" wrapText="1"/>
    </xf>
    <xf numFmtId="0" fontId="5" fillId="9" borderId="7" xfId="0" applyFont="1" applyFill="1" applyBorder="1" applyAlignment="1">
      <alignment horizontal="right" vertical="top" wrapText="1"/>
    </xf>
    <xf numFmtId="164" fontId="6" fillId="0" borderId="32" xfId="0" applyNumberFormat="1" applyFont="1" applyBorder="1" applyAlignment="1">
      <alignment vertical="top" wrapText="1"/>
    </xf>
    <xf numFmtId="43" fontId="5" fillId="0" borderId="1" xfId="0" applyNumberFormat="1" applyFont="1" applyBorder="1" applyAlignment="1">
      <alignment vertical="center" wrapText="1"/>
    </xf>
    <xf numFmtId="2" fontId="4" fillId="4" borderId="1" xfId="0" applyNumberFormat="1" applyFont="1" applyFill="1" applyBorder="1" applyAlignment="1">
      <alignment horizontal="right" vertical="center" wrapText="1"/>
    </xf>
    <xf numFmtId="43" fontId="5" fillId="3" borderId="1" xfId="0" applyNumberFormat="1" applyFont="1" applyFill="1" applyBorder="1" applyAlignment="1">
      <alignment horizontal="right" vertical="center" wrapText="1"/>
    </xf>
    <xf numFmtId="0" fontId="8" fillId="0" borderId="1" xfId="5" applyNumberFormat="1" applyFont="1" applyFill="1" applyBorder="1" applyAlignment="1">
      <alignment horizontal="left" vertical="top" wrapText="1"/>
    </xf>
    <xf numFmtId="0" fontId="5" fillId="3" borderId="10" xfId="0" applyFont="1" applyFill="1" applyBorder="1" applyAlignment="1">
      <alignment horizontal="center" vertical="center" wrapText="1"/>
    </xf>
    <xf numFmtId="0" fontId="9" fillId="0" borderId="1" xfId="0" applyNumberFormat="1" applyFont="1" applyBorder="1" applyAlignment="1">
      <alignment horizontal="right" vertical="top" wrapText="1"/>
    </xf>
    <xf numFmtId="0" fontId="9" fillId="0" borderId="3" xfId="0" applyNumberFormat="1" applyFont="1" applyBorder="1" applyAlignment="1">
      <alignment horizontal="right" vertical="top" wrapText="1"/>
    </xf>
    <xf numFmtId="164" fontId="6" fillId="0" borderId="31" xfId="0" applyNumberFormat="1" applyFont="1" applyBorder="1" applyAlignment="1">
      <alignment vertical="top" wrapText="1"/>
    </xf>
    <xf numFmtId="0" fontId="9" fillId="4" borderId="3" xfId="0" applyFont="1" applyFill="1" applyBorder="1" applyAlignment="1">
      <alignment horizontal="right" vertical="top" wrapText="1"/>
    </xf>
    <xf numFmtId="0" fontId="9" fillId="4" borderId="4" xfId="0" applyFont="1" applyFill="1" applyBorder="1" applyAlignment="1">
      <alignment horizontal="right" vertical="top" wrapText="1"/>
    </xf>
    <xf numFmtId="0" fontId="6" fillId="4" borderId="11" xfId="0" applyFont="1" applyFill="1" applyBorder="1" applyAlignment="1">
      <alignment horizontal="right" vertical="top" wrapText="1"/>
    </xf>
    <xf numFmtId="0" fontId="5" fillId="9" borderId="8" xfId="0" applyFont="1" applyFill="1" applyBorder="1" applyAlignment="1">
      <alignment vertical="top" wrapText="1"/>
    </xf>
    <xf numFmtId="3" fontId="5" fillId="9" borderId="9" xfId="0" applyNumberFormat="1" applyFont="1" applyFill="1" applyBorder="1" applyAlignment="1">
      <alignment vertical="top" wrapText="1"/>
    </xf>
    <xf numFmtId="3" fontId="0" fillId="0" borderId="0" xfId="0" applyNumberFormat="1"/>
    <xf numFmtId="3" fontId="0" fillId="0" borderId="0" xfId="0" applyNumberFormat="1" applyAlignment="1">
      <alignment wrapText="1"/>
    </xf>
    <xf numFmtId="3" fontId="5" fillId="9" borderId="2" xfId="0" applyNumberFormat="1" applyFont="1" applyFill="1" applyBorder="1" applyAlignment="1">
      <alignment vertical="top" wrapText="1"/>
    </xf>
    <xf numFmtId="0" fontId="6" fillId="4" borderId="35" xfId="0" applyFont="1" applyFill="1" applyBorder="1" applyAlignment="1">
      <alignment horizontal="right" vertical="top" wrapText="1"/>
    </xf>
    <xf numFmtId="0" fontId="5" fillId="9" borderId="10" xfId="0" applyFont="1" applyFill="1" applyBorder="1" applyAlignment="1">
      <alignment vertical="top" wrapText="1"/>
    </xf>
    <xf numFmtId="0" fontId="9" fillId="0" borderId="2" xfId="0" applyFont="1" applyBorder="1" applyAlignment="1">
      <alignment horizontal="right" vertical="top" wrapText="1"/>
    </xf>
    <xf numFmtId="164" fontId="6" fillId="0" borderId="2" xfId="0" applyNumberFormat="1" applyFont="1" applyBorder="1" applyAlignment="1">
      <alignment vertical="top" wrapText="1"/>
    </xf>
    <xf numFmtId="41" fontId="5" fillId="9" borderId="1" xfId="2" quotePrefix="1" applyFont="1" applyFill="1" applyBorder="1" applyAlignment="1">
      <alignment vertical="top" wrapText="1"/>
    </xf>
    <xf numFmtId="0" fontId="10" fillId="9" borderId="2" xfId="0" applyFont="1" applyFill="1" applyBorder="1" applyAlignment="1">
      <alignment vertical="top" wrapText="1"/>
    </xf>
    <xf numFmtId="0" fontId="10" fillId="9" borderId="2" xfId="0" applyFont="1" applyFill="1" applyBorder="1" applyAlignment="1">
      <alignment horizontal="center" vertical="top" wrapText="1"/>
    </xf>
    <xf numFmtId="0" fontId="5" fillId="9" borderId="4" xfId="0" quotePrefix="1" applyFont="1" applyFill="1" applyBorder="1" applyAlignment="1">
      <alignment vertical="top" wrapText="1"/>
    </xf>
    <xf numFmtId="0" fontId="10" fillId="9" borderId="4" xfId="0" applyFont="1" applyFill="1" applyBorder="1" applyAlignment="1">
      <alignment horizontal="center" vertical="top" wrapText="1"/>
    </xf>
    <xf numFmtId="0" fontId="10" fillId="9" borderId="3" xfId="0" applyFont="1" applyFill="1" applyBorder="1" applyAlignment="1">
      <alignment vertical="top" wrapText="1"/>
    </xf>
    <xf numFmtId="0" fontId="6" fillId="9" borderId="3" xfId="0" applyFont="1" applyFill="1" applyBorder="1" applyAlignment="1">
      <alignment horizontal="center" vertical="top" wrapText="1"/>
    </xf>
    <xf numFmtId="41" fontId="5" fillId="12" borderId="1" xfId="0" applyNumberFormat="1" applyFont="1" applyFill="1" applyBorder="1" applyAlignment="1">
      <alignment vertical="center" wrapText="1"/>
    </xf>
    <xf numFmtId="0" fontId="5" fillId="12" borderId="10" xfId="0" applyFont="1" applyFill="1" applyBorder="1" applyAlignment="1">
      <alignment vertical="center" wrapText="1"/>
    </xf>
    <xf numFmtId="0" fontId="5" fillId="12" borderId="11" xfId="0" applyFont="1" applyFill="1" applyBorder="1" applyAlignment="1">
      <alignment vertical="center" wrapText="1"/>
    </xf>
    <xf numFmtId="164" fontId="5" fillId="12" borderId="10" xfId="1" applyNumberFormat="1" applyFont="1" applyFill="1" applyBorder="1" applyAlignment="1">
      <alignment vertical="center" wrapText="1"/>
    </xf>
    <xf numFmtId="0" fontId="6" fillId="0" borderId="7" xfId="0" applyFont="1" applyFill="1" applyBorder="1" applyAlignment="1">
      <alignment wrapText="1"/>
    </xf>
    <xf numFmtId="0" fontId="6" fillId="0" borderId="9" xfId="0" applyFont="1" applyFill="1" applyBorder="1" applyAlignment="1">
      <alignment wrapText="1"/>
    </xf>
    <xf numFmtId="0" fontId="6" fillId="0" borderId="0" xfId="0" applyFont="1" applyFill="1" applyAlignment="1">
      <alignment horizontal="right" vertical="center" wrapText="1"/>
    </xf>
    <xf numFmtId="0" fontId="5" fillId="0" borderId="18" xfId="0" applyFont="1" applyFill="1" applyBorder="1" applyAlignment="1">
      <alignment wrapText="1"/>
    </xf>
    <xf numFmtId="0" fontId="5" fillId="0" borderId="19" xfId="0" applyFont="1" applyFill="1" applyBorder="1" applyAlignment="1">
      <alignment wrapText="1"/>
    </xf>
    <xf numFmtId="0" fontId="11" fillId="5" borderId="2" xfId="0" quotePrefix="1" applyFont="1" applyFill="1" applyBorder="1" applyAlignment="1">
      <alignment horizontal="center" vertical="top" wrapText="1"/>
    </xf>
    <xf numFmtId="0" fontId="11" fillId="4" borderId="2" xfId="0" applyFont="1" applyFill="1" applyBorder="1" applyAlignment="1">
      <alignment horizontal="center" vertical="top" wrapText="1"/>
    </xf>
    <xf numFmtId="0" fontId="11" fillId="4" borderId="4" xfId="0" applyFont="1" applyFill="1" applyBorder="1" applyAlignment="1">
      <alignment vertical="center" wrapText="1"/>
    </xf>
    <xf numFmtId="166" fontId="4" fillId="9" borderId="4" xfId="4" applyNumberFormat="1" applyFont="1" applyFill="1" applyBorder="1" applyAlignment="1">
      <alignment horizontal="right" vertical="top" wrapText="1"/>
    </xf>
    <xf numFmtId="166" fontId="4" fillId="9" borderId="4" xfId="0" applyNumberFormat="1" applyFont="1" applyFill="1" applyBorder="1" applyAlignment="1">
      <alignment horizontal="right" vertical="top" wrapText="1"/>
    </xf>
    <xf numFmtId="164" fontId="4" fillId="9" borderId="4" xfId="7" applyNumberFormat="1" applyFont="1" applyFill="1" applyBorder="1" applyAlignment="1">
      <alignment vertical="top" wrapText="1"/>
    </xf>
    <xf numFmtId="2" fontId="4" fillId="9" borderId="4" xfId="0" applyNumberFormat="1" applyFont="1" applyFill="1" applyBorder="1" applyAlignment="1">
      <alignment horizontal="right" vertical="top" wrapText="1"/>
    </xf>
    <xf numFmtId="167" fontId="11" fillId="9" borderId="4" xfId="2" applyNumberFormat="1" applyFont="1" applyFill="1" applyBorder="1" applyAlignment="1">
      <alignment horizontal="right" vertical="top" wrapText="1"/>
    </xf>
    <xf numFmtId="166" fontId="11" fillId="9" borderId="4" xfId="4" applyNumberFormat="1" applyFont="1" applyFill="1" applyBorder="1" applyAlignment="1">
      <alignment horizontal="right" vertical="top" wrapText="1"/>
    </xf>
    <xf numFmtId="164" fontId="5" fillId="3" borderId="1" xfId="7" applyNumberFormat="1" applyFont="1" applyFill="1" applyBorder="1" applyAlignment="1">
      <alignment horizontal="right" vertical="center" wrapText="1"/>
    </xf>
    <xf numFmtId="164" fontId="5" fillId="3" borderId="1" xfId="7" applyNumberFormat="1" applyFont="1" applyFill="1" applyBorder="1" applyAlignment="1">
      <alignment vertical="center" wrapText="1"/>
    </xf>
    <xf numFmtId="41" fontId="5" fillId="3" borderId="1" xfId="2" applyFont="1" applyFill="1" applyBorder="1" applyAlignment="1">
      <alignment vertical="center" wrapText="1"/>
    </xf>
    <xf numFmtId="10" fontId="4" fillId="9" borderId="1" xfId="0" applyNumberFormat="1" applyFont="1" applyFill="1" applyBorder="1" applyAlignment="1">
      <alignment horizontal="right" vertical="top" wrapText="1"/>
    </xf>
    <xf numFmtId="41" fontId="6" fillId="0" borderId="0" xfId="0" applyNumberFormat="1" applyFont="1" applyFill="1" applyBorder="1" applyAlignment="1">
      <alignment vertical="center" wrapText="1"/>
    </xf>
    <xf numFmtId="3" fontId="5" fillId="3" borderId="1" xfId="0" applyNumberFormat="1" applyFont="1" applyFill="1" applyBorder="1" applyAlignment="1">
      <alignment vertical="center" wrapText="1"/>
    </xf>
    <xf numFmtId="0" fontId="4" fillId="4" borderId="2" xfId="0" applyFont="1" applyFill="1" applyBorder="1" applyAlignment="1">
      <alignment horizontal="right" vertical="center" wrapText="1"/>
    </xf>
    <xf numFmtId="0" fontId="6" fillId="0" borderId="2" xfId="0" applyFont="1" applyFill="1" applyBorder="1" applyAlignment="1">
      <alignment horizontal="center" vertical="center" wrapText="1"/>
    </xf>
    <xf numFmtId="0" fontId="6" fillId="3" borderId="2" xfId="0" applyFont="1" applyFill="1" applyBorder="1" applyAlignment="1">
      <alignment vertical="center" wrapText="1"/>
    </xf>
    <xf numFmtId="0" fontId="6" fillId="3" borderId="2"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7" fillId="3" borderId="1" xfId="0" applyFont="1" applyFill="1" applyBorder="1" applyAlignment="1">
      <alignment horizontal="center" vertical="center" wrapText="1"/>
    </xf>
    <xf numFmtId="41" fontId="7" fillId="3" borderId="1" xfId="0" applyNumberFormat="1" applyFont="1" applyFill="1" applyBorder="1" applyAlignment="1">
      <alignment vertical="center" wrapText="1"/>
    </xf>
    <xf numFmtId="0" fontId="7" fillId="3" borderId="1" xfId="0" applyFont="1" applyFill="1" applyBorder="1" applyAlignment="1">
      <alignment horizontal="right" vertical="center" wrapText="1"/>
    </xf>
    <xf numFmtId="164" fontId="7" fillId="3" borderId="1" xfId="0" applyNumberFormat="1" applyFont="1" applyFill="1" applyBorder="1" applyAlignment="1">
      <alignment horizontal="right" vertical="center" wrapText="1"/>
    </xf>
    <xf numFmtId="164" fontId="7" fillId="3" borderId="1" xfId="1" applyNumberFormat="1" applyFont="1" applyFill="1" applyBorder="1" applyAlignment="1">
      <alignment horizontal="right" vertical="center" wrapText="1"/>
    </xf>
    <xf numFmtId="0" fontId="7" fillId="3" borderId="1" xfId="0" applyFont="1" applyFill="1" applyBorder="1" applyAlignment="1">
      <alignment vertical="center" wrapText="1"/>
    </xf>
    <xf numFmtId="43" fontId="7" fillId="3" borderId="1" xfId="1" applyNumberFormat="1" applyFont="1" applyFill="1" applyBorder="1" applyAlignment="1">
      <alignment horizontal="right" vertical="center" wrapText="1"/>
    </xf>
    <xf numFmtId="0" fontId="4" fillId="9" borderId="3" xfId="0" applyFont="1" applyFill="1" applyBorder="1" applyAlignment="1">
      <alignment vertical="top" wrapText="1"/>
    </xf>
    <xf numFmtId="166" fontId="7" fillId="0" borderId="1" xfId="6" applyNumberFormat="1" applyFont="1" applyBorder="1" applyAlignment="1">
      <alignment horizontal="right" vertical="center" wrapText="1"/>
    </xf>
    <xf numFmtId="0" fontId="8" fillId="0" borderId="1" xfId="0" applyFont="1" applyFill="1" applyBorder="1" applyAlignment="1">
      <alignment horizontal="center" vertical="center" wrapText="1"/>
    </xf>
    <xf numFmtId="166" fontId="5" fillId="9" borderId="1" xfId="2" quotePrefix="1" applyNumberFormat="1" applyFont="1" applyFill="1" applyBorder="1" applyAlignment="1">
      <alignment horizontal="right" vertical="top" wrapText="1"/>
    </xf>
    <xf numFmtId="164" fontId="6" fillId="9" borderId="0" xfId="1" applyNumberFormat="1" applyFont="1" applyFill="1" applyAlignment="1">
      <alignment vertical="top" wrapText="1"/>
    </xf>
    <xf numFmtId="0" fontId="10" fillId="9" borderId="2" xfId="0" applyFont="1" applyFill="1" applyBorder="1" applyAlignment="1">
      <alignment horizontal="left" vertical="top" wrapText="1"/>
    </xf>
    <xf numFmtId="0" fontId="10" fillId="9" borderId="3" xfId="0" applyFont="1" applyFill="1" applyBorder="1" applyAlignment="1">
      <alignment horizontal="left" vertical="top" wrapText="1"/>
    </xf>
    <xf numFmtId="0" fontId="10" fillId="9" borderId="4" xfId="0" applyFont="1" applyFill="1" applyBorder="1" applyAlignment="1">
      <alignment horizontal="left" vertical="top" wrapText="1"/>
    </xf>
    <xf numFmtId="0" fontId="5" fillId="3" borderId="10" xfId="0" applyFont="1" applyFill="1" applyBorder="1" applyAlignment="1">
      <alignment vertical="center" wrapText="1"/>
    </xf>
    <xf numFmtId="0" fontId="5" fillId="3" borderId="11" xfId="0" applyFont="1" applyFill="1" applyBorder="1" applyAlignment="1">
      <alignment vertical="center" wrapText="1"/>
    </xf>
    <xf numFmtId="170" fontId="5" fillId="9" borderId="1" xfId="0" applyNumberFormat="1" applyFont="1" applyFill="1" applyBorder="1" applyAlignment="1">
      <alignment vertical="top" wrapText="1"/>
    </xf>
    <xf numFmtId="176" fontId="5" fillId="9" borderId="1" xfId="0" applyNumberFormat="1" applyFont="1" applyFill="1" applyBorder="1" applyAlignment="1">
      <alignment vertical="top" wrapText="1"/>
    </xf>
    <xf numFmtId="0" fontId="4" fillId="4" borderId="12" xfId="0" applyFont="1" applyFill="1" applyBorder="1" applyAlignment="1">
      <alignment horizontal="right" vertical="center" wrapText="1"/>
    </xf>
    <xf numFmtId="0" fontId="4" fillId="4" borderId="12" xfId="0" applyFont="1" applyFill="1" applyBorder="1" applyAlignment="1">
      <alignment horizontal="center" vertical="center" wrapText="1"/>
    </xf>
    <xf numFmtId="0" fontId="4" fillId="4" borderId="11" xfId="0" applyFont="1" applyFill="1" applyBorder="1" applyAlignment="1">
      <alignment horizontal="right" vertical="center" wrapText="1"/>
    </xf>
    <xf numFmtId="164" fontId="7" fillId="3" borderId="1" xfId="1" applyNumberFormat="1" applyFont="1" applyFill="1" applyBorder="1" applyAlignment="1">
      <alignment vertical="center" wrapText="1"/>
    </xf>
    <xf numFmtId="164" fontId="7" fillId="9" borderId="1" xfId="1" applyNumberFormat="1" applyFont="1" applyFill="1" applyBorder="1" applyAlignment="1">
      <alignment horizontal="right" vertical="top" wrapText="1"/>
    </xf>
    <xf numFmtId="41" fontId="7" fillId="9" borderId="1" xfId="0" applyNumberFormat="1" applyFont="1" applyFill="1" applyBorder="1" applyAlignment="1">
      <alignment horizontal="right" vertical="top" wrapText="1"/>
    </xf>
    <xf numFmtId="171" fontId="7" fillId="9" borderId="1" xfId="1" applyNumberFormat="1" applyFont="1" applyFill="1" applyBorder="1" applyAlignment="1">
      <alignment vertical="top" wrapText="1"/>
    </xf>
    <xf numFmtId="171" fontId="8" fillId="0" borderId="1" xfId="1" applyNumberFormat="1" applyFont="1" applyFill="1" applyBorder="1" applyAlignment="1">
      <alignment horizontal="right" vertical="top" wrapText="1"/>
    </xf>
    <xf numFmtId="164" fontId="8" fillId="0" borderId="1" xfId="1" applyNumberFormat="1" applyFont="1" applyFill="1" applyBorder="1" applyAlignment="1">
      <alignment horizontal="right" vertical="top" wrapText="1"/>
    </xf>
    <xf numFmtId="43" fontId="8" fillId="0" borderId="1" xfId="1" applyFont="1" applyFill="1" applyBorder="1" applyAlignment="1">
      <alignment vertical="top" wrapText="1"/>
    </xf>
    <xf numFmtId="171" fontId="8" fillId="0" borderId="1" xfId="1" applyNumberFormat="1" applyFont="1" applyFill="1" applyBorder="1" applyAlignment="1">
      <alignment vertical="top" wrapText="1"/>
    </xf>
    <xf numFmtId="166" fontId="5" fillId="0" borderId="1" xfId="2" applyNumberFormat="1" applyFont="1" applyBorder="1" applyAlignment="1">
      <alignment vertical="center" wrapText="1"/>
    </xf>
    <xf numFmtId="0" fontId="5" fillId="3" borderId="1" xfId="0" applyNumberFormat="1" applyFont="1" applyFill="1" applyBorder="1" applyAlignment="1">
      <alignment horizontal="center" vertical="center" wrapText="1"/>
    </xf>
    <xf numFmtId="175" fontId="4" fillId="9" borderId="1" xfId="0" applyNumberFormat="1" applyFont="1" applyFill="1" applyBorder="1" applyAlignment="1">
      <alignment horizontal="right" vertical="top" wrapText="1"/>
    </xf>
    <xf numFmtId="164" fontId="11" fillId="9" borderId="1" xfId="0" applyNumberFormat="1" applyFont="1" applyFill="1" applyBorder="1" applyAlignment="1">
      <alignment horizontal="right" vertical="top" wrapText="1"/>
    </xf>
    <xf numFmtId="167" fontId="4" fillId="9" borderId="1" xfId="0" applyNumberFormat="1" applyFont="1" applyFill="1" applyBorder="1" applyAlignment="1">
      <alignment horizontal="right" vertical="top" wrapText="1"/>
    </xf>
    <xf numFmtId="0" fontId="11" fillId="0" borderId="1" xfId="1" applyNumberFormat="1" applyFont="1" applyFill="1" applyBorder="1" applyAlignment="1">
      <alignment horizontal="right" vertical="top" wrapText="1"/>
    </xf>
    <xf numFmtId="0" fontId="11" fillId="0" borderId="1" xfId="0" applyNumberFormat="1" applyFont="1" applyFill="1" applyBorder="1" applyAlignment="1">
      <alignment horizontal="right" vertical="top" wrapText="1"/>
    </xf>
    <xf numFmtId="167" fontId="11" fillId="0" borderId="1" xfId="2" applyNumberFormat="1" applyFont="1" applyFill="1" applyBorder="1" applyAlignment="1">
      <alignment horizontal="right" vertical="top" wrapText="1"/>
    </xf>
    <xf numFmtId="175" fontId="11" fillId="0" borderId="1" xfId="2" applyNumberFormat="1" applyFont="1" applyFill="1" applyBorder="1" applyAlignment="1">
      <alignment horizontal="right" vertical="top" wrapText="1"/>
    </xf>
    <xf numFmtId="167" fontId="11" fillId="0" borderId="1" xfId="0" applyNumberFormat="1" applyFont="1" applyFill="1" applyBorder="1" applyAlignment="1">
      <alignment horizontal="right" vertical="top" wrapText="1"/>
    </xf>
    <xf numFmtId="43" fontId="6" fillId="0" borderId="1" xfId="1" applyFont="1" applyFill="1" applyBorder="1" applyAlignment="1">
      <alignment horizontal="right" vertical="top" wrapText="1"/>
    </xf>
    <xf numFmtId="3" fontId="11" fillId="0" borderId="1" xfId="0" applyNumberFormat="1" applyFont="1" applyFill="1" applyBorder="1" applyAlignment="1">
      <alignment horizontal="right" vertical="top" wrapText="1"/>
    </xf>
    <xf numFmtId="0" fontId="11" fillId="0" borderId="1" xfId="1" quotePrefix="1" applyNumberFormat="1" applyFont="1" applyFill="1" applyBorder="1" applyAlignment="1">
      <alignment horizontal="right" vertical="top" wrapText="1"/>
    </xf>
    <xf numFmtId="175" fontId="11" fillId="0" borderId="2" xfId="2" applyNumberFormat="1" applyFont="1" applyFill="1" applyBorder="1" applyAlignment="1">
      <alignment horizontal="right" vertical="top" wrapText="1"/>
    </xf>
    <xf numFmtId="0" fontId="11" fillId="0" borderId="2" xfId="0" applyFont="1" applyFill="1" applyBorder="1" applyAlignment="1">
      <alignment horizontal="right" vertical="top" wrapText="1"/>
    </xf>
    <xf numFmtId="167" fontId="11" fillId="0" borderId="2" xfId="0" applyNumberFormat="1" applyFont="1" applyFill="1" applyBorder="1" applyAlignment="1">
      <alignment horizontal="right" vertical="top" wrapText="1"/>
    </xf>
    <xf numFmtId="0" fontId="4" fillId="11" borderId="1" xfId="0" applyNumberFormat="1" applyFont="1" applyFill="1" applyBorder="1" applyAlignment="1">
      <alignment horizontal="right" vertical="top" wrapText="1"/>
    </xf>
    <xf numFmtId="3" fontId="4" fillId="11" borderId="1" xfId="0" applyNumberFormat="1" applyFont="1" applyFill="1" applyBorder="1" applyAlignment="1">
      <alignment horizontal="right" vertical="top" wrapText="1"/>
    </xf>
    <xf numFmtId="175" fontId="4" fillId="11" borderId="1" xfId="0" applyNumberFormat="1" applyFont="1" applyFill="1" applyBorder="1" applyAlignment="1">
      <alignment horizontal="right" vertical="top" wrapText="1"/>
    </xf>
    <xf numFmtId="167" fontId="4" fillId="11" borderId="1" xfId="0" applyNumberFormat="1" applyFont="1" applyFill="1" applyBorder="1" applyAlignment="1">
      <alignment horizontal="right" vertical="top" wrapText="1"/>
    </xf>
    <xf numFmtId="0" fontId="11" fillId="11" borderId="1" xfId="0" applyNumberFormat="1" applyFont="1" applyFill="1" applyBorder="1" applyAlignment="1">
      <alignment horizontal="right" vertical="top" wrapText="1"/>
    </xf>
    <xf numFmtId="43" fontId="5" fillId="11" borderId="1" xfId="1" applyFont="1" applyFill="1" applyBorder="1" applyAlignment="1">
      <alignment horizontal="right" vertical="top" wrapText="1"/>
    </xf>
    <xf numFmtId="4" fontId="11" fillId="0" borderId="1" xfId="0" applyNumberFormat="1" applyFont="1" applyFill="1" applyBorder="1" applyAlignment="1">
      <alignment horizontal="right" vertical="top" wrapText="1"/>
    </xf>
    <xf numFmtId="0" fontId="4" fillId="0" borderId="1" xfId="0" applyNumberFormat="1" applyFont="1" applyFill="1" applyBorder="1" applyAlignment="1">
      <alignment horizontal="right" vertical="top" wrapText="1"/>
    </xf>
    <xf numFmtId="0" fontId="11" fillId="9" borderId="1" xfId="0" applyNumberFormat="1" applyFont="1" applyFill="1" applyBorder="1" applyAlignment="1">
      <alignment horizontal="right" vertical="top" wrapText="1"/>
    </xf>
    <xf numFmtId="0" fontId="11" fillId="0" borderId="1" xfId="2" applyNumberFormat="1" applyFont="1" applyFill="1" applyBorder="1" applyAlignment="1">
      <alignment horizontal="right" vertical="top" wrapText="1"/>
    </xf>
    <xf numFmtId="0" fontId="4" fillId="9" borderId="1" xfId="1" applyNumberFormat="1" applyFont="1" applyFill="1" applyBorder="1" applyAlignment="1">
      <alignment horizontal="right" vertical="top" wrapText="1"/>
    </xf>
    <xf numFmtId="175" fontId="4" fillId="9" borderId="1" xfId="2" applyNumberFormat="1" applyFont="1" applyFill="1" applyBorder="1" applyAlignment="1">
      <alignment horizontal="right" vertical="top" wrapText="1"/>
    </xf>
    <xf numFmtId="0" fontId="4" fillId="9" borderId="1" xfId="1" quotePrefix="1" applyNumberFormat="1" applyFont="1" applyFill="1" applyBorder="1" applyAlignment="1">
      <alignment horizontal="right" vertical="top" wrapText="1"/>
    </xf>
    <xf numFmtId="0" fontId="4" fillId="9" borderId="1" xfId="2" applyNumberFormat="1" applyFont="1" applyFill="1" applyBorder="1" applyAlignment="1">
      <alignment horizontal="right" vertical="top" wrapText="1"/>
    </xf>
    <xf numFmtId="43" fontId="6" fillId="9" borderId="1" xfId="1" applyFont="1" applyFill="1" applyBorder="1" applyAlignment="1">
      <alignment horizontal="right" vertical="top" wrapText="1"/>
    </xf>
    <xf numFmtId="0" fontId="11" fillId="0" borderId="1" xfId="3" applyNumberFormat="1" applyFont="1" applyFill="1" applyBorder="1" applyAlignment="1">
      <alignment horizontal="right" vertical="top" wrapText="1"/>
    </xf>
    <xf numFmtId="0" fontId="5" fillId="9" borderId="1" xfId="0" applyNumberFormat="1" applyFont="1" applyFill="1" applyBorder="1" applyAlignment="1">
      <alignment horizontal="center" vertical="top" wrapText="1"/>
    </xf>
    <xf numFmtId="41" fontId="11" fillId="0" borderId="1" xfId="0" applyNumberFormat="1" applyFont="1" applyFill="1" applyBorder="1" applyAlignment="1">
      <alignment horizontal="right" vertical="top" wrapText="1"/>
    </xf>
    <xf numFmtId="0" fontId="4" fillId="0" borderId="1" xfId="0" applyFont="1" applyFill="1" applyBorder="1" applyAlignment="1">
      <alignment horizontal="right" vertical="top" wrapText="1"/>
    </xf>
    <xf numFmtId="175" fontId="4" fillId="0" borderId="1" xfId="0" applyNumberFormat="1" applyFont="1" applyFill="1" applyBorder="1" applyAlignment="1">
      <alignment horizontal="right" vertical="top" wrapText="1"/>
    </xf>
    <xf numFmtId="167" fontId="4" fillId="0" borderId="1" xfId="2" applyNumberFormat="1" applyFont="1" applyFill="1" applyBorder="1" applyAlignment="1">
      <alignment horizontal="right" vertical="top" wrapText="1"/>
    </xf>
    <xf numFmtId="167" fontId="4" fillId="0" borderId="1" xfId="0" applyNumberFormat="1" applyFont="1" applyFill="1" applyBorder="1" applyAlignment="1">
      <alignment horizontal="right" vertical="top" wrapText="1"/>
    </xf>
    <xf numFmtId="0" fontId="11" fillId="0" borderId="1" xfId="0" quotePrefix="1" applyNumberFormat="1" applyFont="1" applyFill="1" applyBorder="1" applyAlignment="1">
      <alignment horizontal="right" vertical="top" wrapText="1"/>
    </xf>
    <xf numFmtId="0" fontId="11" fillId="0" borderId="15" xfId="0" applyFont="1" applyFill="1" applyBorder="1" applyAlignment="1">
      <alignment horizontal="center" vertical="top" wrapText="1"/>
    </xf>
    <xf numFmtId="0" fontId="4" fillId="9" borderId="1" xfId="3" applyNumberFormat="1" applyFont="1" applyFill="1" applyBorder="1" applyAlignment="1">
      <alignment horizontal="right" vertical="top" wrapText="1"/>
    </xf>
    <xf numFmtId="0" fontId="6" fillId="0" borderId="11" xfId="0" applyFont="1" applyFill="1" applyBorder="1" applyAlignment="1">
      <alignment horizontal="right" vertical="top" wrapText="1"/>
    </xf>
    <xf numFmtId="0" fontId="5" fillId="9" borderId="10" xfId="0" applyFont="1" applyFill="1" applyBorder="1" applyAlignment="1">
      <alignment horizontal="left" vertical="top" wrapText="1"/>
    </xf>
    <xf numFmtId="2" fontId="5" fillId="0" borderId="1" xfId="0" applyNumberFormat="1" applyFont="1" applyBorder="1" applyAlignment="1">
      <alignment vertical="center" wrapText="1"/>
    </xf>
    <xf numFmtId="0" fontId="5" fillId="0" borderId="0" xfId="0" applyFont="1" applyFill="1" applyBorder="1" applyAlignment="1">
      <alignment vertical="center"/>
    </xf>
    <xf numFmtId="0" fontId="5" fillId="9" borderId="24" xfId="0" applyFont="1" applyFill="1" applyBorder="1" applyAlignment="1">
      <alignment vertical="top" wrapText="1"/>
    </xf>
    <xf numFmtId="0" fontId="5" fillId="9" borderId="24" xfId="0" quotePrefix="1" applyFont="1" applyFill="1" applyBorder="1" applyAlignment="1">
      <alignment horizontal="right" vertical="top" wrapText="1"/>
    </xf>
    <xf numFmtId="0" fontId="5" fillId="9" borderId="24" xfId="0" applyFont="1" applyFill="1" applyBorder="1" applyAlignment="1">
      <alignment horizontal="right" vertical="top" wrapText="1"/>
    </xf>
    <xf numFmtId="0" fontId="10" fillId="9" borderId="24" xfId="0" applyFont="1" applyFill="1" applyBorder="1" applyAlignment="1">
      <alignment vertical="top" wrapText="1"/>
    </xf>
    <xf numFmtId="0" fontId="5" fillId="9" borderId="24" xfId="0" applyNumberFormat="1" applyFont="1" applyFill="1" applyBorder="1" applyAlignment="1">
      <alignment horizontal="right" vertical="top"/>
    </xf>
    <xf numFmtId="41" fontId="5" fillId="9" borderId="24" xfId="2" applyNumberFormat="1" applyFont="1" applyFill="1" applyBorder="1" applyAlignment="1">
      <alignment horizontal="right" vertical="top"/>
    </xf>
    <xf numFmtId="166" fontId="5" fillId="9" borderId="24" xfId="0" applyNumberFormat="1" applyFont="1" applyFill="1" applyBorder="1" applyAlignment="1">
      <alignment horizontal="right" vertical="top" wrapText="1"/>
    </xf>
    <xf numFmtId="41" fontId="5" fillId="9" borderId="24" xfId="2" applyFont="1" applyFill="1" applyBorder="1" applyAlignment="1">
      <alignment horizontal="right" vertical="top" wrapText="1"/>
    </xf>
    <xf numFmtId="0" fontId="5" fillId="9" borderId="24" xfId="0" applyNumberFormat="1" applyFont="1" applyFill="1" applyBorder="1" applyAlignment="1">
      <alignment horizontal="right" vertical="top" wrapText="1"/>
    </xf>
    <xf numFmtId="41" fontId="5" fillId="9" borderId="24" xfId="0" applyNumberFormat="1" applyFont="1" applyFill="1" applyBorder="1" applyAlignment="1">
      <alignment horizontal="right" vertical="top" wrapText="1"/>
    </xf>
    <xf numFmtId="2" fontId="5" fillId="9" borderId="24" xfId="0" applyNumberFormat="1" applyFont="1" applyFill="1" applyBorder="1" applyAlignment="1">
      <alignment horizontal="right" vertical="top" wrapText="1"/>
    </xf>
    <xf numFmtId="0" fontId="6" fillId="0" borderId="22" xfId="0" applyFont="1" applyBorder="1" applyAlignment="1">
      <alignment horizontal="center" vertical="center" wrapText="1"/>
    </xf>
    <xf numFmtId="0" fontId="6" fillId="0" borderId="22" xfId="0" applyFont="1" applyBorder="1"/>
    <xf numFmtId="0" fontId="6" fillId="0" borderId="22" xfId="0" quotePrefix="1" applyFont="1" applyBorder="1" applyAlignment="1">
      <alignment horizontal="right" vertical="top" wrapText="1"/>
    </xf>
    <xf numFmtId="0" fontId="6" fillId="0" borderId="22" xfId="0" applyFont="1" applyBorder="1" applyAlignment="1">
      <alignment horizontal="right" vertical="top" wrapText="1"/>
    </xf>
    <xf numFmtId="41" fontId="11" fillId="0" borderId="22" xfId="2" applyNumberFormat="1" applyFont="1" applyBorder="1" applyAlignment="1">
      <alignment horizontal="right" vertical="top" wrapText="1"/>
    </xf>
    <xf numFmtId="41" fontId="6" fillId="0" borderId="22" xfId="2" applyFont="1" applyBorder="1" applyAlignment="1">
      <alignment horizontal="right" vertical="top" wrapText="1"/>
    </xf>
    <xf numFmtId="41" fontId="6" fillId="0" borderId="22" xfId="2" applyFont="1" applyBorder="1" applyAlignment="1">
      <alignment horizontal="right" vertical="top"/>
    </xf>
    <xf numFmtId="41" fontId="6" fillId="0" borderId="22" xfId="0" applyNumberFormat="1" applyFont="1" applyBorder="1" applyAlignment="1">
      <alignment horizontal="right" vertical="top" wrapText="1"/>
    </xf>
    <xf numFmtId="2" fontId="6" fillId="0" borderId="22" xfId="0" applyNumberFormat="1" applyFont="1" applyBorder="1" applyAlignment="1">
      <alignment horizontal="right" vertical="top" wrapText="1"/>
    </xf>
    <xf numFmtId="0" fontId="9" fillId="0" borderId="28" xfId="0" applyFont="1" applyFill="1" applyBorder="1" applyAlignment="1">
      <alignment vertical="top" wrapText="1"/>
    </xf>
    <xf numFmtId="0" fontId="6" fillId="0" borderId="28" xfId="0" applyFont="1" applyBorder="1" applyAlignment="1">
      <alignment vertical="top" wrapText="1"/>
    </xf>
    <xf numFmtId="0" fontId="9" fillId="0" borderId="22" xfId="0" applyFont="1" applyBorder="1" applyAlignment="1">
      <alignment horizontal="left" vertical="top" wrapText="1"/>
    </xf>
    <xf numFmtId="0" fontId="6" fillId="0" borderId="22" xfId="0" applyFont="1" applyBorder="1" applyAlignment="1">
      <alignment horizontal="left" vertical="top" wrapText="1"/>
    </xf>
    <xf numFmtId="0" fontId="9" fillId="0" borderId="22" xfId="0" applyFont="1" applyBorder="1" applyAlignment="1">
      <alignment horizontal="left" vertical="top"/>
    </xf>
    <xf numFmtId="0" fontId="6" fillId="0" borderId="22" xfId="0" applyFont="1" applyBorder="1" applyAlignment="1">
      <alignment horizontal="left" vertical="top"/>
    </xf>
    <xf numFmtId="41" fontId="6" fillId="0" borderId="22" xfId="0" applyNumberFormat="1" applyFont="1" applyBorder="1" applyAlignment="1">
      <alignment vertical="top" wrapText="1"/>
    </xf>
    <xf numFmtId="0" fontId="4" fillId="9" borderId="22" xfId="0" quotePrefix="1" applyFont="1" applyFill="1" applyBorder="1" applyAlignment="1">
      <alignment horizontal="right" vertical="top" wrapText="1"/>
    </xf>
    <xf numFmtId="0" fontId="4" fillId="9" borderId="22" xfId="0" applyFont="1" applyFill="1" applyBorder="1" applyAlignment="1">
      <alignment horizontal="right" vertical="top" wrapText="1"/>
    </xf>
    <xf numFmtId="41" fontId="4" fillId="9" borderId="22" xfId="2" applyNumberFormat="1" applyFont="1" applyFill="1" applyBorder="1" applyAlignment="1">
      <alignment horizontal="right" vertical="top" wrapText="1"/>
    </xf>
    <xf numFmtId="41" fontId="11" fillId="9" borderId="22" xfId="2" applyFont="1" applyFill="1" applyBorder="1" applyAlignment="1">
      <alignment horizontal="right" vertical="top"/>
    </xf>
    <xf numFmtId="41" fontId="4" fillId="9" borderId="22" xfId="0" applyNumberFormat="1" applyFont="1" applyFill="1" applyBorder="1" applyAlignment="1">
      <alignment horizontal="right" vertical="top" wrapText="1"/>
    </xf>
    <xf numFmtId="2" fontId="11" fillId="9" borderId="22" xfId="0" applyNumberFormat="1" applyFont="1" applyFill="1" applyBorder="1" applyAlignment="1">
      <alignment horizontal="right" vertical="top" wrapText="1"/>
    </xf>
    <xf numFmtId="0" fontId="6" fillId="0" borderId="22" xfId="0" applyFont="1" applyBorder="1" applyAlignment="1">
      <alignment horizontal="right" vertical="top"/>
    </xf>
    <xf numFmtId="0" fontId="9" fillId="0" borderId="28" xfId="0" applyFont="1" applyBorder="1" applyAlignment="1">
      <alignment vertical="top" wrapText="1"/>
    </xf>
    <xf numFmtId="0" fontId="6" fillId="0" borderId="22" xfId="3" applyNumberFormat="1" applyFont="1" applyFill="1" applyBorder="1" applyAlignment="1">
      <alignment horizontal="right" vertical="top" wrapText="1"/>
    </xf>
    <xf numFmtId="41" fontId="6" fillId="0" borderId="22" xfId="2" applyNumberFormat="1" applyFont="1" applyBorder="1" applyAlignment="1">
      <alignment horizontal="right" vertical="top" wrapText="1"/>
    </xf>
    <xf numFmtId="166" fontId="6" fillId="0" borderId="22" xfId="0" applyNumberFormat="1" applyFont="1" applyBorder="1" applyAlignment="1">
      <alignment vertical="top" wrapText="1"/>
    </xf>
    <xf numFmtId="0" fontId="9" fillId="0" borderId="22" xfId="0" applyFont="1" applyBorder="1" applyAlignment="1">
      <alignment horizontal="center" vertical="top"/>
    </xf>
    <xf numFmtId="0" fontId="5" fillId="9" borderId="22" xfId="0" quotePrefix="1" applyFont="1" applyFill="1" applyBorder="1" applyAlignment="1">
      <alignment horizontal="right" vertical="top" wrapText="1"/>
    </xf>
    <xf numFmtId="41" fontId="5" fillId="9" borderId="22" xfId="2" applyFont="1" applyFill="1" applyBorder="1" applyAlignment="1">
      <alignment horizontal="right" vertical="top"/>
    </xf>
    <xf numFmtId="41" fontId="5" fillId="9" borderId="22" xfId="0" applyNumberFormat="1" applyFont="1" applyFill="1" applyBorder="1" applyAlignment="1">
      <alignment horizontal="right" vertical="top" wrapText="1"/>
    </xf>
    <xf numFmtId="2" fontId="5" fillId="9" borderId="22" xfId="0" applyNumberFormat="1" applyFont="1" applyFill="1" applyBorder="1" applyAlignment="1">
      <alignment horizontal="right" vertical="top" wrapText="1"/>
    </xf>
    <xf numFmtId="41" fontId="12" fillId="0" borderId="22" xfId="2" applyFont="1" applyBorder="1" applyAlignment="1">
      <alignment horizontal="right" vertical="top" wrapText="1"/>
    </xf>
    <xf numFmtId="0" fontId="6" fillId="0" borderId="35" xfId="0" applyFont="1" applyBorder="1" applyAlignment="1">
      <alignment horizontal="center" vertical="center" wrapText="1"/>
    </xf>
    <xf numFmtId="0" fontId="6" fillId="0" borderId="35" xfId="0" quotePrefix="1" applyFont="1" applyBorder="1" applyAlignment="1">
      <alignment horizontal="right" vertical="top" wrapText="1"/>
    </xf>
    <xf numFmtId="0" fontId="6" fillId="0" borderId="35" xfId="0" applyFont="1" applyBorder="1" applyAlignment="1">
      <alignment horizontal="right" vertical="top" wrapText="1"/>
    </xf>
    <xf numFmtId="0" fontId="9" fillId="0" borderId="35" xfId="0" applyFont="1" applyBorder="1" applyAlignment="1">
      <alignment vertical="top" wrapText="1"/>
    </xf>
    <xf numFmtId="41" fontId="6" fillId="0" borderId="35" xfId="2" applyFont="1" applyBorder="1" applyAlignment="1">
      <alignment horizontal="right" vertical="top" wrapText="1"/>
    </xf>
    <xf numFmtId="41" fontId="6" fillId="0" borderId="35" xfId="2" applyNumberFormat="1" applyFont="1" applyBorder="1" applyAlignment="1">
      <alignment horizontal="right" vertical="top" wrapText="1"/>
    </xf>
    <xf numFmtId="0" fontId="11" fillId="0" borderId="35" xfId="0" applyFont="1" applyBorder="1" applyAlignment="1">
      <alignment horizontal="right" vertical="top" wrapText="1"/>
    </xf>
    <xf numFmtId="41" fontId="11" fillId="0" borderId="35" xfId="2" applyFont="1" applyBorder="1" applyAlignment="1">
      <alignment horizontal="right" vertical="top" wrapText="1"/>
    </xf>
    <xf numFmtId="41" fontId="6" fillId="0" borderId="35" xfId="2" applyFont="1" applyFill="1" applyBorder="1" applyAlignment="1">
      <alignment horizontal="right" vertical="top" wrapText="1"/>
    </xf>
    <xf numFmtId="41" fontId="6" fillId="0" borderId="35" xfId="2" applyFont="1" applyBorder="1" applyAlignment="1">
      <alignment horizontal="right" vertical="top"/>
    </xf>
    <xf numFmtId="41" fontId="12" fillId="0" borderId="35" xfId="2" applyFont="1" applyBorder="1" applyAlignment="1">
      <alignment horizontal="right" vertical="top" wrapText="1"/>
    </xf>
    <xf numFmtId="41" fontId="6" fillId="0" borderId="35" xfId="0" applyNumberFormat="1" applyFont="1" applyBorder="1" applyAlignment="1">
      <alignment horizontal="right" vertical="top" wrapText="1"/>
    </xf>
    <xf numFmtId="2" fontId="6" fillId="0" borderId="35" xfId="0" applyNumberFormat="1" applyFont="1" applyBorder="1" applyAlignment="1">
      <alignment horizontal="right" vertical="top" wrapText="1"/>
    </xf>
    <xf numFmtId="0" fontId="4" fillId="9" borderId="24" xfId="0" quotePrefix="1" applyFont="1" applyFill="1" applyBorder="1" applyAlignment="1">
      <alignment horizontal="right" vertical="top" wrapText="1"/>
    </xf>
    <xf numFmtId="0" fontId="4" fillId="9" borderId="24" xfId="0" applyFont="1" applyFill="1" applyBorder="1" applyAlignment="1">
      <alignment horizontal="right" vertical="top" wrapText="1"/>
    </xf>
    <xf numFmtId="41" fontId="4" fillId="9" borderId="24" xfId="2" applyNumberFormat="1" applyFont="1" applyFill="1" applyBorder="1" applyAlignment="1">
      <alignment horizontal="right" vertical="top" wrapText="1"/>
    </xf>
    <xf numFmtId="41" fontId="4" fillId="9" borderId="24" xfId="2" applyFont="1" applyFill="1" applyBorder="1" applyAlignment="1">
      <alignment horizontal="right" vertical="top" wrapText="1"/>
    </xf>
    <xf numFmtId="166" fontId="4" fillId="9" borderId="24" xfId="2" applyNumberFormat="1" applyFont="1" applyFill="1" applyBorder="1" applyAlignment="1">
      <alignment horizontal="right" vertical="top" wrapText="1"/>
    </xf>
    <xf numFmtId="41" fontId="4" fillId="9" borderId="24" xfId="0" applyNumberFormat="1" applyFont="1" applyFill="1" applyBorder="1" applyAlignment="1">
      <alignment horizontal="right" vertical="top" wrapText="1"/>
    </xf>
    <xf numFmtId="2" fontId="4" fillId="9" borderId="24" xfId="0" applyNumberFormat="1" applyFont="1" applyFill="1" applyBorder="1" applyAlignment="1">
      <alignment horizontal="right" vertical="top" wrapText="1"/>
    </xf>
    <xf numFmtId="0" fontId="5" fillId="0" borderId="22" xfId="0" applyFont="1" applyFill="1" applyBorder="1" applyAlignment="1">
      <alignment vertical="top" wrapText="1"/>
    </xf>
    <xf numFmtId="0" fontId="9" fillId="0" borderId="22" xfId="0" applyFont="1" applyBorder="1" applyAlignment="1">
      <alignment horizontal="right" vertical="top" wrapText="1"/>
    </xf>
    <xf numFmtId="0" fontId="6" fillId="0" borderId="22" xfId="0" quotePrefix="1" applyFont="1" applyBorder="1" applyAlignment="1">
      <alignment horizontal="right" vertical="top"/>
    </xf>
    <xf numFmtId="0" fontId="9" fillId="0" borderId="22" xfId="0" applyFont="1" applyBorder="1" applyAlignment="1">
      <alignment horizontal="right" vertical="top"/>
    </xf>
    <xf numFmtId="0" fontId="6" fillId="0" borderId="22" xfId="0" quotePrefix="1" applyFont="1" applyFill="1" applyBorder="1" applyAlignment="1">
      <alignment horizontal="right" vertical="top" wrapText="1"/>
    </xf>
    <xf numFmtId="41" fontId="6" fillId="0" borderId="22" xfId="0" applyNumberFormat="1" applyFont="1" applyBorder="1" applyAlignment="1">
      <alignment horizontal="right" vertical="top"/>
    </xf>
    <xf numFmtId="0" fontId="6" fillId="0" borderId="35" xfId="0" quotePrefix="1" applyFont="1" applyFill="1" applyBorder="1" applyAlignment="1">
      <alignment horizontal="right" vertical="top" wrapText="1"/>
    </xf>
    <xf numFmtId="0" fontId="6" fillId="0" borderId="35" xfId="0" applyFont="1" applyBorder="1" applyAlignment="1">
      <alignment horizontal="right" vertical="top"/>
    </xf>
    <xf numFmtId="0" fontId="9" fillId="0" borderId="35" xfId="0" applyFont="1" applyBorder="1" applyAlignment="1">
      <alignment horizontal="left" vertical="top" wrapText="1"/>
    </xf>
    <xf numFmtId="0" fontId="6" fillId="0" borderId="35" xfId="0" applyFont="1" applyFill="1" applyBorder="1" applyAlignment="1">
      <alignment horizontal="right" vertical="top" wrapText="1"/>
    </xf>
    <xf numFmtId="0" fontId="6" fillId="0" borderId="0" xfId="0" applyFont="1" applyFill="1"/>
    <xf numFmtId="0" fontId="18" fillId="0" borderId="0" xfId="0" applyFont="1" applyFill="1" applyBorder="1" applyAlignment="1">
      <alignment vertical="top" wrapText="1"/>
    </xf>
    <xf numFmtId="0" fontId="18" fillId="0" borderId="0" xfId="0" applyFont="1" applyFill="1" applyAlignment="1">
      <alignment vertical="top" wrapText="1"/>
    </xf>
    <xf numFmtId="0" fontId="19" fillId="0" borderId="0" xfId="0" applyFont="1" applyFill="1" applyBorder="1" applyAlignment="1">
      <alignment vertical="top" wrapText="1"/>
    </xf>
    <xf numFmtId="0" fontId="19" fillId="0" borderId="0" xfId="0" applyFont="1" applyFill="1" applyAlignment="1">
      <alignment vertical="top" wrapText="1"/>
    </xf>
    <xf numFmtId="41" fontId="5" fillId="0" borderId="0" xfId="2" applyFont="1" applyFill="1" applyBorder="1" applyAlignment="1">
      <alignment vertical="center"/>
    </xf>
    <xf numFmtId="0" fontId="5" fillId="9" borderId="31" xfId="0" applyFont="1" applyFill="1" applyBorder="1" applyAlignment="1">
      <alignment horizontal="right" vertical="top" wrapText="1"/>
    </xf>
    <xf numFmtId="41" fontId="5" fillId="9" borderId="31" xfId="2" applyNumberFormat="1" applyFont="1" applyFill="1" applyBorder="1" applyAlignment="1">
      <alignment vertical="top" wrapText="1"/>
    </xf>
    <xf numFmtId="0" fontId="4" fillId="9" borderId="31" xfId="0" applyFont="1" applyFill="1" applyBorder="1" applyAlignment="1">
      <alignment vertical="top" wrapText="1"/>
    </xf>
    <xf numFmtId="41" fontId="4" fillId="9" borderId="31" xfId="2" applyFont="1" applyFill="1" applyBorder="1" applyAlignment="1">
      <alignment vertical="top" wrapText="1"/>
    </xf>
    <xf numFmtId="0" fontId="6" fillId="9" borderId="31" xfId="0" applyFont="1" applyFill="1" applyBorder="1" applyAlignment="1">
      <alignment vertical="top" wrapText="1"/>
    </xf>
    <xf numFmtId="41" fontId="5" fillId="9" borderId="31" xfId="2" applyFont="1" applyFill="1" applyBorder="1" applyAlignment="1">
      <alignment vertical="top" wrapText="1"/>
    </xf>
    <xf numFmtId="41" fontId="6" fillId="9" borderId="31" xfId="2" applyFont="1" applyFill="1" applyBorder="1" applyAlignment="1">
      <alignment vertical="top"/>
    </xf>
    <xf numFmtId="41" fontId="5" fillId="9" borderId="31" xfId="0" applyNumberFormat="1" applyFont="1" applyFill="1" applyBorder="1" applyAlignment="1">
      <alignment vertical="top" wrapText="1"/>
    </xf>
    <xf numFmtId="41" fontId="6" fillId="9" borderId="31" xfId="2" applyFont="1" applyFill="1" applyBorder="1" applyAlignment="1">
      <alignment horizontal="center" vertical="top"/>
    </xf>
    <xf numFmtId="41" fontId="6" fillId="9" borderId="31" xfId="2" applyFont="1" applyFill="1" applyBorder="1" applyAlignment="1">
      <alignment horizontal="center" vertical="top" wrapText="1"/>
    </xf>
    <xf numFmtId="2" fontId="6" fillId="9" borderId="31" xfId="0" applyNumberFormat="1" applyFont="1" applyFill="1" applyBorder="1" applyAlignment="1">
      <alignment horizontal="center" vertical="top" wrapText="1"/>
    </xf>
    <xf numFmtId="41" fontId="5" fillId="9" borderId="31" xfId="0" applyNumberFormat="1" applyFont="1" applyFill="1" applyBorder="1" applyAlignment="1">
      <alignment horizontal="center" vertical="top" wrapText="1"/>
    </xf>
    <xf numFmtId="2" fontId="5" fillId="9" borderId="31" xfId="0" applyNumberFormat="1" applyFont="1" applyFill="1" applyBorder="1" applyAlignment="1">
      <alignment horizontal="center" vertical="top" wrapText="1"/>
    </xf>
    <xf numFmtId="0" fontId="6" fillId="0" borderId="31" xfId="0" applyFont="1" applyBorder="1" applyAlignment="1">
      <alignment horizontal="right" vertical="top" wrapText="1"/>
    </xf>
    <xf numFmtId="41" fontId="6" fillId="0" borderId="31" xfId="2" applyNumberFormat="1" applyFont="1" applyBorder="1" applyAlignment="1">
      <alignment vertical="top" wrapText="1"/>
    </xf>
    <xf numFmtId="0" fontId="11" fillId="0" borderId="31" xfId="0" applyFont="1" applyBorder="1" applyAlignment="1">
      <alignment vertical="top" wrapText="1"/>
    </xf>
    <xf numFmtId="41" fontId="11" fillId="0" borderId="31" xfId="2" applyFont="1" applyBorder="1" applyAlignment="1">
      <alignment vertical="top" wrapText="1"/>
    </xf>
    <xf numFmtId="41" fontId="6" fillId="0" borderId="31" xfId="2" applyFont="1" applyFill="1" applyBorder="1" applyAlignment="1">
      <alignment vertical="top" wrapText="1"/>
    </xf>
    <xf numFmtId="41" fontId="6" fillId="0" borderId="31" xfId="2" applyFont="1" applyBorder="1" applyAlignment="1">
      <alignment vertical="top"/>
    </xf>
    <xf numFmtId="41" fontId="6" fillId="0" borderId="31" xfId="2" applyFont="1" applyBorder="1" applyAlignment="1">
      <alignment horizontal="center" vertical="top"/>
    </xf>
    <xf numFmtId="41" fontId="6" fillId="0" borderId="31" xfId="2" applyFont="1" applyBorder="1" applyAlignment="1">
      <alignment horizontal="center" vertical="top" wrapText="1"/>
    </xf>
    <xf numFmtId="2" fontId="6" fillId="0" borderId="31" xfId="0" applyNumberFormat="1" applyFont="1" applyBorder="1" applyAlignment="1">
      <alignment horizontal="center" vertical="top" wrapText="1"/>
    </xf>
    <xf numFmtId="41" fontId="6" fillId="0" borderId="31" xfId="0" applyNumberFormat="1" applyFont="1" applyBorder="1" applyAlignment="1">
      <alignment horizontal="center" vertical="top" wrapText="1"/>
    </xf>
    <xf numFmtId="0" fontId="6" fillId="0" borderId="31" xfId="0" applyFont="1" applyBorder="1" applyAlignment="1">
      <alignment vertical="top" wrapText="1"/>
    </xf>
    <xf numFmtId="0" fontId="6" fillId="0" borderId="31" xfId="0" applyFont="1" applyFill="1" applyBorder="1" applyAlignment="1">
      <alignment vertical="top" wrapText="1"/>
    </xf>
    <xf numFmtId="0" fontId="6" fillId="0" borderId="31" xfId="0" applyFont="1" applyBorder="1" applyAlignment="1">
      <alignment vertical="top"/>
    </xf>
    <xf numFmtId="166" fontId="6" fillId="0" borderId="31" xfId="2" applyNumberFormat="1" applyFont="1" applyBorder="1" applyAlignment="1">
      <alignment vertical="top" wrapText="1"/>
    </xf>
    <xf numFmtId="41" fontId="6" fillId="0" borderId="31" xfId="0" applyNumberFormat="1" applyFont="1" applyBorder="1" applyAlignment="1">
      <alignment horizontal="right" vertical="top" wrapText="1"/>
    </xf>
    <xf numFmtId="166" fontId="6" fillId="0" borderId="31" xfId="2" applyNumberFormat="1" applyFont="1" applyBorder="1" applyAlignment="1">
      <alignment horizontal="center" vertical="top" wrapText="1"/>
    </xf>
    <xf numFmtId="166" fontId="5" fillId="9" borderId="31" xfId="2" applyNumberFormat="1" applyFont="1" applyFill="1" applyBorder="1" applyAlignment="1">
      <alignment horizontal="right" vertical="top" wrapText="1"/>
    </xf>
    <xf numFmtId="41" fontId="6" fillId="9" borderId="31" xfId="2" applyFont="1" applyFill="1" applyBorder="1" applyAlignment="1">
      <alignment vertical="top" wrapText="1"/>
    </xf>
    <xf numFmtId="166" fontId="5" fillId="9" borderId="31" xfId="2" applyNumberFormat="1" applyFont="1" applyFill="1" applyBorder="1" applyAlignment="1">
      <alignment vertical="top" wrapText="1"/>
    </xf>
    <xf numFmtId="166" fontId="5" fillId="9" borderId="31" xfId="0" applyNumberFormat="1" applyFont="1" applyFill="1" applyBorder="1" applyAlignment="1">
      <alignment horizontal="left" vertical="top" wrapText="1"/>
    </xf>
    <xf numFmtId="41" fontId="5" fillId="9" borderId="31" xfId="2" applyFont="1" applyFill="1" applyBorder="1" applyAlignment="1">
      <alignment vertical="top"/>
    </xf>
    <xf numFmtId="41" fontId="5" fillId="9" borderId="31" xfId="2" applyFont="1" applyFill="1" applyBorder="1" applyAlignment="1">
      <alignment horizontal="left" vertical="top" wrapText="1"/>
    </xf>
    <xf numFmtId="41" fontId="5" fillId="9" borderId="31" xfId="0" applyNumberFormat="1" applyFont="1" applyFill="1" applyBorder="1" applyAlignment="1">
      <alignment horizontal="left" vertical="top" wrapText="1"/>
    </xf>
    <xf numFmtId="41" fontId="5" fillId="9" borderId="31" xfId="2" applyFont="1" applyFill="1" applyBorder="1" applyAlignment="1">
      <alignment horizontal="left" vertical="top"/>
    </xf>
    <xf numFmtId="2" fontId="5" fillId="9" borderId="31" xfId="0" applyNumberFormat="1" applyFont="1" applyFill="1" applyBorder="1" applyAlignment="1">
      <alignment horizontal="left" vertical="top" wrapText="1"/>
    </xf>
    <xf numFmtId="0" fontId="5" fillId="9" borderId="31" xfId="0" applyFont="1" applyFill="1" applyBorder="1" applyAlignment="1">
      <alignment vertical="top"/>
    </xf>
    <xf numFmtId="0" fontId="6" fillId="0" borderId="31" xfId="0" applyFont="1" applyBorder="1" applyAlignment="1">
      <alignment vertical="center"/>
    </xf>
    <xf numFmtId="41" fontId="6" fillId="0" borderId="31" xfId="2" applyFont="1" applyBorder="1" applyAlignment="1">
      <alignment vertical="center"/>
    </xf>
    <xf numFmtId="41" fontId="6" fillId="0" borderId="31" xfId="2" applyFont="1" applyBorder="1" applyAlignment="1"/>
    <xf numFmtId="41" fontId="6" fillId="0" borderId="31" xfId="2" applyFont="1" applyBorder="1" applyAlignment="1">
      <alignment horizontal="center" vertical="center"/>
    </xf>
    <xf numFmtId="41" fontId="6" fillId="0" borderId="31" xfId="2" applyFont="1" applyBorder="1" applyAlignment="1">
      <alignment horizontal="center" vertical="center" wrapText="1"/>
    </xf>
    <xf numFmtId="2" fontId="6" fillId="0" borderId="31" xfId="0" applyNumberFormat="1" applyFont="1" applyBorder="1" applyAlignment="1">
      <alignment horizontal="center" vertical="center" wrapText="1"/>
    </xf>
    <xf numFmtId="41" fontId="6" fillId="0" borderId="31" xfId="0" applyNumberFormat="1" applyFont="1" applyBorder="1" applyAlignment="1">
      <alignment horizontal="center" vertical="center" wrapText="1"/>
    </xf>
    <xf numFmtId="2" fontId="18" fillId="0" borderId="0" xfId="0" applyNumberFormat="1" applyFont="1" applyFill="1" applyBorder="1" applyAlignment="1">
      <alignment vertical="top" wrapText="1"/>
    </xf>
    <xf numFmtId="183" fontId="18" fillId="0" borderId="0" xfId="0" applyNumberFormat="1" applyFont="1" applyFill="1" applyBorder="1" applyAlignment="1">
      <alignment vertical="top" wrapText="1"/>
    </xf>
    <xf numFmtId="0" fontId="0" fillId="0" borderId="0" xfId="0" applyAlignment="1">
      <alignment vertical="center"/>
    </xf>
    <xf numFmtId="0" fontId="5" fillId="3" borderId="1" xfId="0" applyFont="1" applyFill="1" applyBorder="1" applyAlignment="1">
      <alignment horizontal="center" vertical="center"/>
    </xf>
    <xf numFmtId="0" fontId="5" fillId="3" borderId="1" xfId="0" applyFont="1" applyFill="1" applyBorder="1" applyAlignment="1">
      <alignment vertical="center"/>
    </xf>
    <xf numFmtId="0" fontId="5" fillId="3" borderId="1" xfId="0" applyFont="1" applyFill="1" applyBorder="1" applyAlignment="1">
      <alignment horizontal="right" vertical="center"/>
    </xf>
    <xf numFmtId="165" fontId="5" fillId="3" borderId="1" xfId="2" applyNumberFormat="1" applyFont="1" applyFill="1" applyBorder="1" applyAlignment="1">
      <alignment horizontal="right" vertical="center"/>
    </xf>
    <xf numFmtId="0" fontId="5" fillId="3" borderId="10" xfId="0" applyFont="1" applyFill="1" applyBorder="1" applyAlignment="1">
      <alignment horizontal="right" vertical="center"/>
    </xf>
    <xf numFmtId="41" fontId="5" fillId="3" borderId="1" xfId="2" applyNumberFormat="1" applyFont="1" applyFill="1" applyBorder="1" applyAlignment="1">
      <alignment horizontal="right" vertical="center"/>
    </xf>
    <xf numFmtId="0" fontId="5" fillId="3" borderId="11" xfId="0" applyFont="1" applyFill="1" applyBorder="1" applyAlignment="1">
      <alignment horizontal="right" vertical="center"/>
    </xf>
    <xf numFmtId="164" fontId="5" fillId="3" borderId="1" xfId="1" applyNumberFormat="1" applyFont="1" applyFill="1" applyBorder="1" applyAlignment="1">
      <alignment vertical="center"/>
    </xf>
    <xf numFmtId="164" fontId="5" fillId="3" borderId="10" xfId="1" applyNumberFormat="1" applyFont="1" applyFill="1" applyBorder="1" applyAlignment="1">
      <alignment vertical="center"/>
    </xf>
    <xf numFmtId="41" fontId="5" fillId="3" borderId="1" xfId="0" applyNumberFormat="1" applyFont="1" applyFill="1" applyBorder="1" applyAlignment="1">
      <alignment vertical="center"/>
    </xf>
    <xf numFmtId="3" fontId="4" fillId="9" borderId="24" xfId="0" applyNumberFormat="1" applyFont="1" applyFill="1" applyBorder="1" applyAlignment="1">
      <alignment horizontal="right" vertical="top" wrapText="1"/>
    </xf>
    <xf numFmtId="41" fontId="4" fillId="9" borderId="24" xfId="2" applyFont="1" applyFill="1" applyBorder="1" applyAlignment="1">
      <alignment horizontal="right" vertical="top"/>
    </xf>
    <xf numFmtId="41" fontId="4" fillId="9" borderId="24" xfId="2" applyNumberFormat="1" applyFont="1" applyFill="1" applyBorder="1" applyAlignment="1">
      <alignment horizontal="right" vertical="top"/>
    </xf>
    <xf numFmtId="0" fontId="14" fillId="0" borderId="0" xfId="0" applyFont="1" applyFill="1"/>
    <xf numFmtId="0" fontId="5" fillId="0" borderId="0" xfId="0" applyFont="1" applyFill="1" applyBorder="1" applyAlignment="1">
      <alignment vertical="top"/>
    </xf>
    <xf numFmtId="0" fontId="0" fillId="0" borderId="0" xfId="0" applyFill="1" applyAlignment="1">
      <alignment vertical="top"/>
    </xf>
    <xf numFmtId="0" fontId="6" fillId="0" borderId="35" xfId="0" applyFont="1" applyBorder="1" applyAlignment="1">
      <alignment horizontal="center" vertical="top" wrapText="1"/>
    </xf>
    <xf numFmtId="0" fontId="6" fillId="0" borderId="0" xfId="0" applyFont="1" applyFill="1" applyAlignment="1">
      <alignment vertical="top"/>
    </xf>
    <xf numFmtId="0" fontId="5" fillId="3" borderId="10" xfId="0" applyFont="1" applyFill="1" applyBorder="1" applyAlignment="1">
      <alignment vertical="center"/>
    </xf>
    <xf numFmtId="0" fontId="5" fillId="3" borderId="11" xfId="0" applyFont="1" applyFill="1" applyBorder="1" applyAlignment="1">
      <alignment vertical="center"/>
    </xf>
    <xf numFmtId="164" fontId="5" fillId="3" borderId="1" xfId="1" applyNumberFormat="1" applyFont="1" applyFill="1" applyBorder="1" applyAlignment="1">
      <alignment horizontal="center" vertical="center"/>
    </xf>
    <xf numFmtId="0" fontId="6" fillId="0" borderId="0" xfId="0" applyFont="1"/>
    <xf numFmtId="0" fontId="6" fillId="0" borderId="31" xfId="0" applyFont="1" applyFill="1" applyBorder="1" applyAlignment="1">
      <alignment horizontal="right" vertical="top"/>
    </xf>
    <xf numFmtId="0" fontId="5" fillId="9" borderId="31" xfId="0" quotePrefix="1" applyFont="1" applyFill="1" applyBorder="1" applyAlignment="1">
      <alignment horizontal="right" vertical="top" wrapText="1"/>
    </xf>
    <xf numFmtId="0" fontId="10" fillId="9" borderId="41" xfId="0" applyFont="1" applyFill="1" applyBorder="1" applyAlignment="1">
      <alignment vertical="top" wrapText="1"/>
    </xf>
    <xf numFmtId="0" fontId="5" fillId="9" borderId="31" xfId="0" applyFont="1" applyFill="1" applyBorder="1" applyAlignment="1">
      <alignment vertical="top" wrapText="1"/>
    </xf>
    <xf numFmtId="41" fontId="6" fillId="0" borderId="0" xfId="2" applyFont="1" applyFill="1" applyBorder="1" applyAlignment="1">
      <alignment vertical="top"/>
    </xf>
    <xf numFmtId="0" fontId="6" fillId="0" borderId="0" xfId="0" applyFont="1" applyFill="1" applyBorder="1" applyAlignment="1">
      <alignment vertical="top"/>
    </xf>
    <xf numFmtId="0" fontId="6" fillId="0" borderId="31" xfId="0" quotePrefix="1" applyFont="1" applyFill="1" applyBorder="1" applyAlignment="1">
      <alignment horizontal="right" vertical="top" wrapText="1"/>
    </xf>
    <xf numFmtId="0" fontId="9" fillId="0" borderId="41" xfId="0" applyFont="1" applyBorder="1" applyAlignment="1">
      <alignment vertical="top" wrapText="1"/>
    </xf>
    <xf numFmtId="0" fontId="9" fillId="0" borderId="31" xfId="0" applyFont="1" applyBorder="1" applyAlignment="1">
      <alignment vertical="top" wrapText="1"/>
    </xf>
    <xf numFmtId="0" fontId="9" fillId="0" borderId="41" xfId="0" applyFont="1" applyBorder="1" applyAlignment="1">
      <alignment vertical="center" wrapText="1"/>
    </xf>
    <xf numFmtId="0" fontId="5" fillId="9" borderId="31" xfId="0" applyFont="1" applyFill="1" applyBorder="1" applyAlignment="1">
      <alignment horizontal="right" vertical="top"/>
    </xf>
    <xf numFmtId="0" fontId="5" fillId="9" borderId="57" xfId="0" quotePrefix="1" applyFont="1" applyFill="1" applyBorder="1" applyAlignment="1">
      <alignment horizontal="right" vertical="top" wrapText="1"/>
    </xf>
    <xf numFmtId="0" fontId="5" fillId="9" borderId="31" xfId="0" quotePrefix="1" applyFont="1" applyFill="1" applyBorder="1" applyAlignment="1">
      <alignment horizontal="right" vertical="top"/>
    </xf>
    <xf numFmtId="0" fontId="10" fillId="9" borderId="41" xfId="0" applyFont="1" applyFill="1" applyBorder="1" applyAlignment="1">
      <alignment horizontal="left" vertical="top" wrapText="1"/>
    </xf>
    <xf numFmtId="0" fontId="5" fillId="9" borderId="31" xfId="0" applyFont="1" applyFill="1" applyBorder="1" applyAlignment="1">
      <alignment horizontal="left" vertical="top" wrapText="1"/>
    </xf>
    <xf numFmtId="0" fontId="6" fillId="0" borderId="12" xfId="0" applyFont="1" applyFill="1" applyBorder="1" applyAlignment="1">
      <alignment horizontal="right" vertical="top"/>
    </xf>
    <xf numFmtId="0" fontId="6" fillId="0" borderId="31" xfId="0" quotePrefix="1" applyFont="1" applyFill="1" applyBorder="1" applyAlignment="1">
      <alignment horizontal="right" vertical="top"/>
    </xf>
    <xf numFmtId="0" fontId="6" fillId="0" borderId="41" xfId="0" applyFont="1" applyBorder="1" applyAlignment="1">
      <alignment horizontal="left" vertical="top" wrapText="1"/>
    </xf>
    <xf numFmtId="0" fontId="6" fillId="0" borderId="31" xfId="0" applyFont="1" applyBorder="1" applyAlignment="1">
      <alignment horizontal="left" vertical="top" wrapText="1"/>
    </xf>
    <xf numFmtId="0" fontId="5" fillId="9" borderId="12" xfId="0" applyFont="1" applyFill="1" applyBorder="1" applyAlignment="1">
      <alignment horizontal="right" vertical="top"/>
    </xf>
    <xf numFmtId="0" fontId="6" fillId="0" borderId="32" xfId="0" applyFont="1" applyBorder="1" applyAlignment="1">
      <alignment vertical="top" wrapText="1"/>
    </xf>
    <xf numFmtId="41" fontId="5" fillId="9" borderId="24" xfId="2" applyFont="1" applyFill="1" applyBorder="1" applyAlignment="1">
      <alignment horizontal="right" vertical="top"/>
    </xf>
    <xf numFmtId="0" fontId="5" fillId="0" borderId="0" xfId="0" applyFont="1" applyFill="1"/>
    <xf numFmtId="0" fontId="6" fillId="0" borderId="0" xfId="0" applyFont="1" applyAlignment="1">
      <alignment vertical="top"/>
    </xf>
    <xf numFmtId="0" fontId="5" fillId="0" borderId="0" xfId="0" applyFont="1" applyFill="1" applyAlignment="1">
      <alignment vertical="top"/>
    </xf>
    <xf numFmtId="41" fontId="5" fillId="9" borderId="31" xfId="0" applyNumberFormat="1" applyFont="1" applyFill="1" applyBorder="1" applyAlignment="1">
      <alignment vertical="top"/>
    </xf>
    <xf numFmtId="41" fontId="5" fillId="9" borderId="31" xfId="2" applyFont="1" applyFill="1" applyBorder="1" applyAlignment="1">
      <alignment horizontal="center" vertical="top"/>
    </xf>
    <xf numFmtId="41" fontId="5" fillId="9" borderId="31" xfId="2" applyFont="1" applyFill="1" applyBorder="1" applyAlignment="1">
      <alignment horizontal="center" vertical="top" wrapText="1"/>
    </xf>
    <xf numFmtId="41" fontId="5" fillId="0" borderId="0" xfId="2" applyFont="1" applyFill="1" applyBorder="1" applyAlignment="1">
      <alignment vertical="top"/>
    </xf>
    <xf numFmtId="0" fontId="5" fillId="0" borderId="0" xfId="0" applyFont="1"/>
    <xf numFmtId="0" fontId="5" fillId="0" borderId="0" xfId="0" applyFont="1" applyAlignment="1">
      <alignment vertical="top"/>
    </xf>
    <xf numFmtId="0" fontId="5" fillId="9" borderId="41" xfId="0" applyFont="1" applyFill="1" applyBorder="1" applyAlignment="1">
      <alignment horizontal="right" vertical="top" wrapText="1"/>
    </xf>
    <xf numFmtId="0" fontId="10" fillId="9" borderId="56" xfId="0" applyFont="1" applyFill="1" applyBorder="1" applyAlignment="1">
      <alignment horizontal="left" vertical="top" wrapText="1"/>
    </xf>
    <xf numFmtId="166" fontId="5" fillId="9" borderId="31" xfId="0" applyNumberFormat="1" applyFont="1" applyFill="1" applyBorder="1" applyAlignment="1">
      <alignment horizontal="right" vertical="top" wrapText="1"/>
    </xf>
    <xf numFmtId="166" fontId="4" fillId="9" borderId="31" xfId="0" applyNumberFormat="1" applyFont="1" applyFill="1" applyBorder="1" applyAlignment="1">
      <alignment vertical="top" wrapText="1"/>
    </xf>
    <xf numFmtId="166" fontId="5" fillId="9" borderId="31" xfId="0" applyNumberFormat="1" applyFont="1" applyFill="1" applyBorder="1" applyAlignment="1">
      <alignment vertical="top" wrapText="1"/>
    </xf>
    <xf numFmtId="0" fontId="5" fillId="9" borderId="1" xfId="0" applyFont="1" applyFill="1" applyBorder="1" applyAlignment="1">
      <alignment horizontal="right" vertical="top" wrapText="1"/>
    </xf>
    <xf numFmtId="0" fontId="19" fillId="0" borderId="0" xfId="0" applyFont="1" applyFill="1" applyAlignment="1">
      <alignment vertical="center"/>
    </xf>
    <xf numFmtId="0" fontId="19" fillId="0" borderId="0" xfId="0" applyFont="1"/>
    <xf numFmtId="0" fontId="18" fillId="12" borderId="1" xfId="0" applyFont="1" applyFill="1" applyBorder="1" applyAlignment="1">
      <alignment horizontal="center" vertical="center"/>
    </xf>
    <xf numFmtId="0" fontId="18" fillId="12" borderId="1" xfId="0" applyFont="1" applyFill="1" applyBorder="1" applyAlignment="1">
      <alignment vertical="center"/>
    </xf>
    <xf numFmtId="0" fontId="18" fillId="12" borderId="1" xfId="0" applyFont="1" applyFill="1" applyBorder="1" applyAlignment="1">
      <alignment horizontal="right" vertical="center"/>
    </xf>
    <xf numFmtId="164" fontId="18" fillId="12" borderId="1" xfId="0" applyNumberFormat="1" applyFont="1" applyFill="1" applyBorder="1" applyAlignment="1">
      <alignment horizontal="right" vertical="center"/>
    </xf>
    <xf numFmtId="164" fontId="18" fillId="12" borderId="1" xfId="1" applyNumberFormat="1" applyFont="1" applyFill="1" applyBorder="1" applyAlignment="1">
      <alignment horizontal="right" vertical="center"/>
    </xf>
    <xf numFmtId="0" fontId="18" fillId="12" borderId="1" xfId="0" applyFont="1" applyFill="1" applyBorder="1" applyAlignment="1">
      <alignment horizontal="center" vertical="center" wrapText="1"/>
    </xf>
    <xf numFmtId="0" fontId="18" fillId="0" borderId="0" xfId="0" applyFont="1" applyFill="1" applyAlignment="1">
      <alignment vertical="center"/>
    </xf>
    <xf numFmtId="0" fontId="18" fillId="0" borderId="0" xfId="0" applyFont="1" applyAlignment="1">
      <alignment vertical="center"/>
    </xf>
    <xf numFmtId="0" fontId="18" fillId="9" borderId="1" xfId="0" applyFont="1" applyFill="1" applyBorder="1" applyAlignment="1">
      <alignment horizontal="center" vertical="top"/>
    </xf>
    <xf numFmtId="0" fontId="18" fillId="9" borderId="1" xfId="0" applyFont="1" applyFill="1" applyBorder="1" applyAlignment="1">
      <alignment vertical="center" wrapText="1"/>
    </xf>
    <xf numFmtId="0" fontId="18" fillId="9" borderId="1" xfId="0" quotePrefix="1" applyFont="1" applyFill="1" applyBorder="1" applyAlignment="1">
      <alignment horizontal="center" vertical="top"/>
    </xf>
    <xf numFmtId="0" fontId="18" fillId="9" borderId="1" xfId="0" applyFont="1" applyFill="1" applyBorder="1" applyAlignment="1">
      <alignment vertical="top" wrapText="1"/>
    </xf>
    <xf numFmtId="0" fontId="18" fillId="9" borderId="1" xfId="0" applyFont="1" applyFill="1" applyBorder="1" applyAlignment="1">
      <alignment horizontal="right" vertical="top"/>
    </xf>
    <xf numFmtId="41" fontId="18" fillId="9" borderId="1" xfId="2" applyFont="1" applyFill="1" applyBorder="1" applyAlignment="1">
      <alignment horizontal="right" vertical="top"/>
    </xf>
    <xf numFmtId="41" fontId="18" fillId="9" borderId="1" xfId="0" applyNumberFormat="1" applyFont="1" applyFill="1" applyBorder="1" applyAlignment="1">
      <alignment horizontal="right" vertical="top"/>
    </xf>
    <xf numFmtId="2" fontId="18" fillId="9" borderId="1" xfId="0" applyNumberFormat="1" applyFont="1" applyFill="1" applyBorder="1" applyAlignment="1">
      <alignment horizontal="right" vertical="top"/>
    </xf>
    <xf numFmtId="0" fontId="18" fillId="9" borderId="1" xfId="0" applyFont="1" applyFill="1" applyBorder="1" applyAlignment="1">
      <alignment vertical="top"/>
    </xf>
    <xf numFmtId="0" fontId="18" fillId="0" borderId="0" xfId="0" applyFont="1" applyAlignment="1">
      <alignment vertical="top"/>
    </xf>
    <xf numFmtId="0" fontId="19" fillId="0" borderId="1" xfId="0" applyFont="1" applyBorder="1" applyAlignment="1">
      <alignment vertical="center" wrapText="1"/>
    </xf>
    <xf numFmtId="0" fontId="19" fillId="0" borderId="4" xfId="0" quotePrefix="1" applyFont="1" applyBorder="1" applyAlignment="1">
      <alignment horizontal="center" vertical="top"/>
    </xf>
    <xf numFmtId="0" fontId="19" fillId="0" borderId="1" xfId="0" applyFont="1" applyFill="1" applyBorder="1" applyAlignment="1">
      <alignment horizontal="center" vertical="top"/>
    </xf>
    <xf numFmtId="0" fontId="19" fillId="0" borderId="4" xfId="0" applyFont="1" applyBorder="1" applyAlignment="1">
      <alignment vertical="top" wrapText="1"/>
    </xf>
    <xf numFmtId="0" fontId="19" fillId="0" borderId="4" xfId="0" applyFont="1" applyBorder="1" applyAlignment="1">
      <alignment horizontal="right" vertical="top"/>
    </xf>
    <xf numFmtId="41" fontId="19" fillId="0" borderId="4" xfId="2" applyFont="1" applyBorder="1" applyAlignment="1">
      <alignment horizontal="right" vertical="top"/>
    </xf>
    <xf numFmtId="0" fontId="19" fillId="0" borderId="4" xfId="0" quotePrefix="1" applyFont="1" applyBorder="1" applyAlignment="1">
      <alignment horizontal="right" vertical="top"/>
    </xf>
    <xf numFmtId="41" fontId="19" fillId="0" borderId="4" xfId="2" quotePrefix="1" applyFont="1" applyBorder="1" applyAlignment="1">
      <alignment horizontal="right" vertical="top"/>
    </xf>
    <xf numFmtId="41" fontId="19" fillId="0" borderId="4" xfId="0" applyNumberFormat="1" applyFont="1" applyBorder="1" applyAlignment="1">
      <alignment horizontal="right" vertical="top"/>
    </xf>
    <xf numFmtId="0" fontId="19" fillId="4" borderId="4" xfId="0" applyFont="1" applyFill="1" applyBorder="1" applyAlignment="1">
      <alignment horizontal="right" vertical="top"/>
    </xf>
    <xf numFmtId="2" fontId="19" fillId="0" borderId="4" xfId="0" applyNumberFormat="1" applyFont="1" applyBorder="1" applyAlignment="1">
      <alignment horizontal="right" vertical="top"/>
    </xf>
    <xf numFmtId="0" fontId="19" fillId="0" borderId="0" xfId="0" applyFont="1" applyAlignment="1">
      <alignment vertical="top"/>
    </xf>
    <xf numFmtId="0" fontId="19" fillId="0" borderId="1" xfId="0" applyFont="1" applyBorder="1" applyAlignment="1">
      <alignment vertical="top" wrapText="1"/>
    </xf>
    <xf numFmtId="0" fontId="19" fillId="0" borderId="1" xfId="0" applyFont="1" applyBorder="1" applyAlignment="1">
      <alignment wrapText="1"/>
    </xf>
    <xf numFmtId="0" fontId="19" fillId="0" borderId="1" xfId="0" quotePrefix="1" applyFont="1" applyFill="1" applyBorder="1" applyAlignment="1">
      <alignment horizontal="center" vertical="top"/>
    </xf>
    <xf numFmtId="0" fontId="19" fillId="0" borderId="4" xfId="0" applyFont="1" applyBorder="1" applyAlignment="1">
      <alignment horizontal="center" vertical="top"/>
    </xf>
    <xf numFmtId="0" fontId="19" fillId="0" borderId="1" xfId="0" applyFont="1" applyBorder="1" applyAlignment="1">
      <alignment horizontal="right" vertical="top" wrapText="1"/>
    </xf>
    <xf numFmtId="41" fontId="19" fillId="0" borderId="1" xfId="2" applyFont="1" applyBorder="1" applyAlignment="1">
      <alignment horizontal="right" vertical="top" wrapText="1"/>
    </xf>
    <xf numFmtId="2" fontId="19" fillId="0" borderId="1" xfId="2" applyNumberFormat="1" applyFont="1" applyBorder="1" applyAlignment="1">
      <alignment horizontal="right" vertical="top" wrapText="1"/>
    </xf>
    <xf numFmtId="0" fontId="19" fillId="0" borderId="0" xfId="0" applyFont="1" applyAlignment="1">
      <alignment vertical="top" wrapText="1"/>
    </xf>
    <xf numFmtId="2" fontId="19" fillId="0" borderId="1" xfId="0" applyNumberFormat="1" applyFont="1" applyBorder="1" applyAlignment="1">
      <alignment horizontal="right" vertical="top" wrapText="1"/>
    </xf>
    <xf numFmtId="0" fontId="19" fillId="0" borderId="4" xfId="0" applyFont="1" applyFill="1" applyBorder="1" applyAlignment="1">
      <alignment vertical="top" wrapText="1"/>
    </xf>
    <xf numFmtId="0" fontId="19" fillId="4" borderId="4" xfId="0" applyFont="1" applyFill="1" applyBorder="1" applyAlignment="1">
      <alignment horizontal="center" vertical="top"/>
    </xf>
    <xf numFmtId="0" fontId="19" fillId="4" borderId="1" xfId="0" applyFont="1" applyFill="1" applyBorder="1" applyAlignment="1">
      <alignment horizontal="center" vertical="top"/>
    </xf>
    <xf numFmtId="0" fontId="19" fillId="4" borderId="4" xfId="0" applyFont="1" applyFill="1" applyBorder="1" applyAlignment="1">
      <alignment vertical="top" wrapText="1"/>
    </xf>
    <xf numFmtId="41" fontId="19" fillId="4" borderId="4" xfId="2" applyFont="1" applyFill="1" applyBorder="1" applyAlignment="1">
      <alignment horizontal="right" vertical="top"/>
    </xf>
    <xf numFmtId="41" fontId="19" fillId="4" borderId="4" xfId="0" applyNumberFormat="1" applyFont="1" applyFill="1" applyBorder="1" applyAlignment="1">
      <alignment horizontal="right" vertical="top"/>
    </xf>
    <xf numFmtId="0" fontId="19" fillId="4" borderId="1" xfId="0" applyFont="1" applyFill="1" applyBorder="1" applyAlignment="1">
      <alignment horizontal="right" vertical="top"/>
    </xf>
    <xf numFmtId="2" fontId="19" fillId="4" borderId="1" xfId="0" applyNumberFormat="1" applyFont="1" applyFill="1" applyBorder="1" applyAlignment="1">
      <alignment horizontal="right" vertical="top"/>
    </xf>
    <xf numFmtId="0" fontId="20" fillId="0" borderId="1" xfId="0" applyFont="1" applyFill="1" applyBorder="1" applyAlignment="1">
      <alignment horizontal="center" vertical="top"/>
    </xf>
    <xf numFmtId="0" fontId="20" fillId="0" borderId="1" xfId="0" applyFont="1" applyFill="1" applyBorder="1" applyAlignment="1">
      <alignment vertical="top" wrapText="1"/>
    </xf>
    <xf numFmtId="0" fontId="20" fillId="0" borderId="1" xfId="0" quotePrefix="1" applyFont="1" applyFill="1" applyBorder="1" applyAlignment="1">
      <alignment horizontal="center" vertical="top"/>
    </xf>
    <xf numFmtId="0" fontId="20" fillId="0" borderId="1" xfId="0" quotePrefix="1" applyFont="1" applyBorder="1" applyAlignment="1">
      <alignment horizontal="center" vertical="top"/>
    </xf>
    <xf numFmtId="0" fontId="20" fillId="0" borderId="4" xfId="0" applyFont="1" applyFill="1" applyBorder="1" applyAlignment="1">
      <alignment vertical="top" wrapText="1"/>
    </xf>
    <xf numFmtId="0" fontId="20" fillId="0" borderId="4" xfId="0" applyFont="1" applyFill="1" applyBorder="1" applyAlignment="1">
      <alignment horizontal="right" vertical="top"/>
    </xf>
    <xf numFmtId="41" fontId="20" fillId="0" borderId="4" xfId="2" applyFont="1" applyFill="1" applyBorder="1" applyAlignment="1">
      <alignment horizontal="right" vertical="top"/>
    </xf>
    <xf numFmtId="41" fontId="20" fillId="0" borderId="1" xfId="2" applyFont="1" applyFill="1" applyBorder="1" applyAlignment="1">
      <alignment horizontal="right" vertical="top"/>
    </xf>
    <xf numFmtId="41" fontId="20" fillId="0" borderId="4" xfId="0" applyNumberFormat="1" applyFont="1" applyFill="1" applyBorder="1" applyAlignment="1">
      <alignment horizontal="right" vertical="top"/>
    </xf>
    <xf numFmtId="0" fontId="20" fillId="0" borderId="4" xfId="0" applyFont="1" applyBorder="1" applyAlignment="1">
      <alignment horizontal="right" vertical="top"/>
    </xf>
    <xf numFmtId="41" fontId="20" fillId="0" borderId="4" xfId="2" applyFont="1" applyBorder="1" applyAlignment="1">
      <alignment horizontal="right" vertical="top"/>
    </xf>
    <xf numFmtId="2" fontId="20" fillId="0" borderId="4" xfId="0" applyNumberFormat="1" applyFont="1" applyBorder="1" applyAlignment="1">
      <alignment horizontal="right" vertical="top"/>
    </xf>
    <xf numFmtId="41" fontId="15" fillId="9" borderId="1" xfId="2" applyFont="1" applyFill="1" applyBorder="1" applyAlignment="1">
      <alignment horizontal="right" vertical="top"/>
    </xf>
    <xf numFmtId="0" fontId="19" fillId="4" borderId="3" xfId="0" applyFont="1" applyFill="1" applyBorder="1" applyAlignment="1">
      <alignment horizontal="center" vertical="top"/>
    </xf>
    <xf numFmtId="41" fontId="19" fillId="4" borderId="1" xfId="2" applyFont="1" applyFill="1" applyBorder="1" applyAlignment="1">
      <alignment horizontal="right" vertical="top"/>
    </xf>
    <xf numFmtId="0" fontId="18" fillId="9" borderId="1" xfId="0" applyFont="1" applyFill="1" applyBorder="1" applyAlignment="1">
      <alignment horizontal="left" vertical="top" wrapText="1"/>
    </xf>
    <xf numFmtId="1" fontId="18" fillId="9" borderId="1" xfId="0" applyNumberFormat="1" applyFont="1" applyFill="1" applyBorder="1" applyAlignment="1">
      <alignment horizontal="right" vertical="top"/>
    </xf>
    <xf numFmtId="0" fontId="21" fillId="9" borderId="1" xfId="0" applyFont="1" applyFill="1" applyBorder="1" applyAlignment="1">
      <alignment horizontal="center" vertical="top" wrapText="1"/>
    </xf>
    <xf numFmtId="0" fontId="20"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22" fillId="0" borderId="1" xfId="0" applyNumberFormat="1" applyFont="1" applyFill="1" applyBorder="1" applyAlignment="1">
      <alignment horizontal="right" vertical="top" wrapText="1"/>
    </xf>
    <xf numFmtId="164" fontId="22" fillId="0" borderId="1" xfId="1" applyNumberFormat="1" applyFont="1" applyFill="1" applyBorder="1" applyAlignment="1">
      <alignment horizontal="right" vertical="top" wrapText="1"/>
    </xf>
    <xf numFmtId="1" fontId="22" fillId="0" borderId="1" xfId="0" quotePrefix="1" applyNumberFormat="1" applyFont="1" applyFill="1" applyBorder="1" applyAlignment="1">
      <alignment horizontal="right" vertical="top" wrapText="1"/>
    </xf>
    <xf numFmtId="41" fontId="19" fillId="0" borderId="1" xfId="0" applyNumberFormat="1" applyFont="1" applyBorder="1" applyAlignment="1">
      <alignment horizontal="right" vertical="top" wrapText="1"/>
    </xf>
    <xf numFmtId="41" fontId="19" fillId="0" borderId="4" xfId="2" applyFont="1" applyFill="1" applyBorder="1" applyAlignment="1">
      <alignment horizontal="right" vertical="top"/>
    </xf>
    <xf numFmtId="0" fontId="18" fillId="9" borderId="1" xfId="0" applyFont="1" applyFill="1" applyBorder="1" applyAlignment="1">
      <alignment horizontal="center" vertical="top" wrapText="1"/>
    </xf>
    <xf numFmtId="0" fontId="18" fillId="9" borderId="1" xfId="0" quotePrefix="1" applyFont="1" applyFill="1" applyBorder="1" applyAlignment="1">
      <alignment horizontal="center" vertical="top" wrapText="1"/>
    </xf>
    <xf numFmtId="0" fontId="21" fillId="9" borderId="1" xfId="0" applyFont="1" applyFill="1" applyBorder="1" applyAlignment="1">
      <alignment horizontal="left" vertical="top" wrapText="1"/>
    </xf>
    <xf numFmtId="1" fontId="21" fillId="9" borderId="1" xfId="0" applyNumberFormat="1" applyFont="1" applyFill="1" applyBorder="1" applyAlignment="1">
      <alignment horizontal="right" vertical="top" wrapText="1"/>
    </xf>
    <xf numFmtId="164" fontId="21" fillId="9" borderId="1" xfId="1" applyNumberFormat="1" applyFont="1" applyFill="1" applyBorder="1" applyAlignment="1">
      <alignment horizontal="right" vertical="top" wrapText="1"/>
    </xf>
    <xf numFmtId="1" fontId="21" fillId="9" borderId="1" xfId="0" quotePrefix="1" applyNumberFormat="1" applyFont="1" applyFill="1" applyBorder="1" applyAlignment="1">
      <alignment horizontal="right" vertical="top" wrapText="1"/>
    </xf>
    <xf numFmtId="1" fontId="21" fillId="9" borderId="1" xfId="2" applyNumberFormat="1" applyFont="1" applyFill="1" applyBorder="1" applyAlignment="1">
      <alignment horizontal="right" vertical="top" wrapText="1"/>
    </xf>
    <xf numFmtId="1" fontId="21" fillId="9" borderId="1" xfId="2" quotePrefix="1" applyNumberFormat="1" applyFont="1" applyFill="1" applyBorder="1" applyAlignment="1">
      <alignment horizontal="right" vertical="top" wrapText="1"/>
    </xf>
    <xf numFmtId="164" fontId="21" fillId="9" borderId="1" xfId="1" quotePrefix="1" applyNumberFormat="1" applyFont="1" applyFill="1" applyBorder="1" applyAlignment="1">
      <alignment horizontal="right" vertical="top" wrapText="1"/>
    </xf>
    <xf numFmtId="164" fontId="21" fillId="9" borderId="1" xfId="0" applyNumberFormat="1" applyFont="1" applyFill="1" applyBorder="1" applyAlignment="1">
      <alignment horizontal="right" vertical="top" wrapText="1"/>
    </xf>
    <xf numFmtId="2" fontId="21" fillId="9" borderId="1" xfId="0" applyNumberFormat="1" applyFont="1" applyFill="1" applyBorder="1" applyAlignment="1">
      <alignment horizontal="right" vertical="top" wrapText="1"/>
    </xf>
    <xf numFmtId="0" fontId="22" fillId="0" borderId="1" xfId="0" applyFont="1" applyFill="1" applyBorder="1" applyAlignment="1">
      <alignment horizontal="center" vertical="top" wrapText="1"/>
    </xf>
    <xf numFmtId="0" fontId="19" fillId="0" borderId="1" xfId="0" applyFont="1" applyFill="1" applyBorder="1" applyAlignment="1">
      <alignment horizontal="center" vertical="top" wrapText="1"/>
    </xf>
    <xf numFmtId="0" fontId="19" fillId="0" borderId="1" xfId="0" quotePrefix="1" applyFont="1" applyFill="1" applyBorder="1" applyAlignment="1">
      <alignment horizontal="center" vertical="top" wrapText="1"/>
    </xf>
    <xf numFmtId="0" fontId="22" fillId="0" borderId="1" xfId="0" applyFont="1" applyFill="1" applyBorder="1" applyAlignment="1">
      <alignment horizontal="left" vertical="top" wrapText="1"/>
    </xf>
    <xf numFmtId="1" fontId="22" fillId="0" borderId="1" xfId="2" applyNumberFormat="1" applyFont="1" applyFill="1" applyBorder="1" applyAlignment="1">
      <alignment horizontal="right" vertical="top" wrapText="1"/>
    </xf>
    <xf numFmtId="3" fontId="22" fillId="0" borderId="1" xfId="0" quotePrefix="1" applyNumberFormat="1" applyFont="1" applyFill="1" applyBorder="1" applyAlignment="1">
      <alignment horizontal="right" vertical="top" wrapText="1"/>
    </xf>
    <xf numFmtId="1" fontId="21" fillId="0" borderId="1" xfId="2" applyNumberFormat="1" applyFont="1" applyFill="1" applyBorder="1" applyAlignment="1">
      <alignment horizontal="right" vertical="top" wrapText="1"/>
    </xf>
    <xf numFmtId="41" fontId="22" fillId="0" borderId="1" xfId="2" applyFont="1" applyFill="1" applyBorder="1" applyAlignment="1">
      <alignment horizontal="right" vertical="top" wrapText="1"/>
    </xf>
    <xf numFmtId="3" fontId="22" fillId="0" borderId="1" xfId="0" applyNumberFormat="1" applyFont="1" applyFill="1" applyBorder="1" applyAlignment="1">
      <alignment horizontal="right" vertical="top" wrapText="1"/>
    </xf>
    <xf numFmtId="164" fontId="22" fillId="0" borderId="1" xfId="0" applyNumberFormat="1" applyFont="1" applyFill="1" applyBorder="1" applyAlignment="1">
      <alignment horizontal="right" vertical="top" wrapText="1"/>
    </xf>
    <xf numFmtId="2" fontId="21" fillId="0" borderId="1" xfId="0" applyNumberFormat="1" applyFont="1" applyFill="1" applyBorder="1" applyAlignment="1">
      <alignment horizontal="right" vertical="top" wrapText="1"/>
    </xf>
    <xf numFmtId="0" fontId="20" fillId="0" borderId="1" xfId="0" applyFont="1" applyBorder="1" applyAlignment="1">
      <alignment wrapText="1"/>
    </xf>
    <xf numFmtId="0" fontId="20" fillId="0" borderId="4" xfId="0" applyFont="1" applyBorder="1" applyAlignment="1">
      <alignment vertical="top" wrapText="1"/>
    </xf>
    <xf numFmtId="0" fontId="20" fillId="4" borderId="4" xfId="0" applyFont="1" applyFill="1" applyBorder="1" applyAlignment="1">
      <alignment vertical="top" wrapText="1"/>
    </xf>
    <xf numFmtId="0" fontId="20" fillId="0" borderId="4" xfId="0" quotePrefix="1" applyFont="1" applyBorder="1" applyAlignment="1">
      <alignment horizontal="right" vertical="top"/>
    </xf>
    <xf numFmtId="41" fontId="20" fillId="4" borderId="1" xfId="2" applyFont="1" applyFill="1" applyBorder="1" applyAlignment="1">
      <alignment horizontal="right" vertical="top"/>
    </xf>
    <xf numFmtId="41" fontId="20" fillId="0" borderId="4" xfId="0" applyNumberFormat="1" applyFont="1" applyBorder="1" applyAlignment="1">
      <alignment horizontal="right" vertical="top"/>
    </xf>
    <xf numFmtId="0" fontId="19" fillId="4" borderId="4" xfId="0" quotePrefix="1" applyFont="1" applyFill="1" applyBorder="1" applyAlignment="1">
      <alignment horizontal="center" vertical="top"/>
    </xf>
    <xf numFmtId="0" fontId="19" fillId="4" borderId="1" xfId="0" quotePrefix="1" applyFont="1" applyFill="1" applyBorder="1" applyAlignment="1">
      <alignment horizontal="center" vertical="top"/>
    </xf>
    <xf numFmtId="0" fontId="18" fillId="4" borderId="4" xfId="0" applyFont="1" applyFill="1" applyBorder="1" applyAlignment="1">
      <alignment vertical="top" wrapText="1"/>
    </xf>
    <xf numFmtId="0" fontId="18" fillId="4" borderId="4" xfId="0" quotePrefix="1" applyFont="1" applyFill="1" applyBorder="1" applyAlignment="1">
      <alignment horizontal="center" vertical="top" wrapText="1"/>
    </xf>
    <xf numFmtId="0" fontId="23" fillId="4" borderId="4" xfId="0" applyFont="1" applyFill="1" applyBorder="1" applyAlignment="1">
      <alignment horizontal="center" vertical="top"/>
    </xf>
    <xf numFmtId="0" fontId="23" fillId="4" borderId="3" xfId="0" applyFont="1" applyFill="1" applyBorder="1" applyAlignment="1">
      <alignment horizontal="center" vertical="top"/>
    </xf>
    <xf numFmtId="1" fontId="20" fillId="4" borderId="4" xfId="0" applyNumberFormat="1" applyFont="1" applyFill="1" applyBorder="1" applyAlignment="1">
      <alignment horizontal="right" vertical="top"/>
    </xf>
    <xf numFmtId="0" fontId="23" fillId="4" borderId="1" xfId="0" applyFont="1" applyFill="1" applyBorder="1" applyAlignment="1">
      <alignment horizontal="center" vertical="top"/>
    </xf>
    <xf numFmtId="0" fontId="19" fillId="0" borderId="1" xfId="0" applyFont="1" applyFill="1" applyBorder="1" applyAlignment="1">
      <alignment horizontal="right" vertical="top"/>
    </xf>
    <xf numFmtId="41" fontId="19" fillId="0" borderId="1" xfId="2" applyFont="1" applyFill="1" applyBorder="1" applyAlignment="1">
      <alignment horizontal="right" vertical="top"/>
    </xf>
    <xf numFmtId="41" fontId="19" fillId="0" borderId="1" xfId="0" applyNumberFormat="1" applyFont="1" applyFill="1" applyBorder="1" applyAlignment="1">
      <alignment horizontal="right" vertical="top"/>
    </xf>
    <xf numFmtId="2" fontId="19" fillId="0" borderId="1" xfId="0" applyNumberFormat="1" applyFont="1" applyFill="1" applyBorder="1" applyAlignment="1">
      <alignment horizontal="right" vertical="top"/>
    </xf>
    <xf numFmtId="0" fontId="19" fillId="0" borderId="1" xfId="0" quotePrefix="1" applyFont="1" applyBorder="1" applyAlignment="1">
      <alignment horizontal="center" vertical="top"/>
    </xf>
    <xf numFmtId="0" fontId="19" fillId="4" borderId="1" xfId="0" applyFont="1" applyFill="1" applyBorder="1" applyAlignment="1">
      <alignment vertical="top" wrapText="1"/>
    </xf>
    <xf numFmtId="41" fontId="19" fillId="4" borderId="1" xfId="0" applyNumberFormat="1" applyFont="1" applyFill="1" applyBorder="1" applyAlignment="1">
      <alignment horizontal="right" vertical="top"/>
    </xf>
    <xf numFmtId="41" fontId="19" fillId="0" borderId="1" xfId="2" applyFont="1" applyBorder="1" applyAlignment="1">
      <alignment horizontal="right" vertical="top"/>
    </xf>
    <xf numFmtId="2" fontId="19" fillId="0" borderId="1" xfId="0" applyNumberFormat="1" applyFont="1" applyBorder="1" applyAlignment="1">
      <alignment horizontal="right" vertical="top"/>
    </xf>
    <xf numFmtId="2" fontId="18" fillId="0" borderId="1" xfId="0" applyNumberFormat="1" applyFont="1" applyBorder="1" applyAlignment="1">
      <alignment horizontal="right" vertical="top"/>
    </xf>
    <xf numFmtId="0" fontId="15" fillId="4" borderId="1" xfId="0" applyFont="1" applyFill="1" applyBorder="1" applyAlignment="1">
      <alignment horizontal="right" vertical="top"/>
    </xf>
    <xf numFmtId="41" fontId="18" fillId="12" borderId="1" xfId="2" applyFont="1" applyFill="1" applyBorder="1" applyAlignment="1">
      <alignment horizontal="right" vertical="center"/>
    </xf>
    <xf numFmtId="0" fontId="19" fillId="0" borderId="4" xfId="0" applyFont="1" applyFill="1" applyBorder="1" applyAlignment="1">
      <alignment vertical="top"/>
    </xf>
    <xf numFmtId="0" fontId="19" fillId="0" borderId="1" xfId="0" applyFont="1" applyFill="1" applyBorder="1" applyAlignment="1">
      <alignment vertical="center" wrapText="1"/>
    </xf>
    <xf numFmtId="0" fontId="19" fillId="0" borderId="4" xfId="0" quotePrefix="1" applyFont="1" applyFill="1" applyBorder="1" applyAlignment="1">
      <alignment horizontal="center" vertical="top"/>
    </xf>
    <xf numFmtId="0" fontId="19" fillId="0" borderId="4" xfId="0" applyFont="1" applyFill="1" applyBorder="1" applyAlignment="1">
      <alignment horizontal="right" vertical="top"/>
    </xf>
    <xf numFmtId="0" fontId="19" fillId="0" borderId="4" xfId="0" quotePrefix="1" applyFont="1" applyFill="1" applyBorder="1" applyAlignment="1">
      <alignment horizontal="right" vertical="top"/>
    </xf>
    <xf numFmtId="41" fontId="19" fillId="0" borderId="4" xfId="2" quotePrefix="1" applyFont="1" applyFill="1" applyBorder="1" applyAlignment="1">
      <alignment horizontal="right" vertical="top"/>
    </xf>
    <xf numFmtId="41" fontId="19" fillId="0" borderId="4" xfId="0" applyNumberFormat="1" applyFont="1" applyFill="1" applyBorder="1" applyAlignment="1">
      <alignment horizontal="right" vertical="top"/>
    </xf>
    <xf numFmtId="0" fontId="19" fillId="0" borderId="0" xfId="0" applyFont="1" applyFill="1" applyAlignment="1">
      <alignment vertical="top"/>
    </xf>
    <xf numFmtId="0" fontId="19" fillId="0" borderId="1" xfId="0" applyFont="1" applyFill="1" applyBorder="1" applyAlignment="1">
      <alignment vertical="top" wrapText="1"/>
    </xf>
    <xf numFmtId="0" fontId="19" fillId="0" borderId="1" xfId="0" quotePrefix="1" applyFont="1" applyFill="1" applyBorder="1" applyAlignment="1">
      <alignment horizontal="right" vertical="top"/>
    </xf>
    <xf numFmtId="41" fontId="19" fillId="0" borderId="1" xfId="2" quotePrefix="1" applyFont="1" applyFill="1" applyBorder="1" applyAlignment="1">
      <alignment horizontal="right" vertical="top"/>
    </xf>
    <xf numFmtId="0" fontId="19" fillId="0" borderId="4" xfId="0" applyFont="1" applyFill="1" applyBorder="1" applyAlignment="1">
      <alignment vertical="center" wrapText="1"/>
    </xf>
    <xf numFmtId="2" fontId="19" fillId="0" borderId="4" xfId="0" applyNumberFormat="1" applyFont="1" applyFill="1" applyBorder="1" applyAlignment="1">
      <alignment horizontal="right" vertical="top"/>
    </xf>
    <xf numFmtId="0" fontId="19" fillId="0" borderId="1" xfId="0" quotePrefix="1" applyFont="1" applyFill="1" applyBorder="1" applyAlignment="1">
      <alignment vertical="top" wrapText="1"/>
    </xf>
    <xf numFmtId="0" fontId="18" fillId="0" borderId="0" xfId="0" applyFont="1" applyFill="1" applyAlignment="1">
      <alignment vertical="top"/>
    </xf>
    <xf numFmtId="0" fontId="19" fillId="0" borderId="4" xfId="0" applyFont="1" applyFill="1" applyBorder="1" applyAlignment="1">
      <alignment horizontal="center" vertical="top"/>
    </xf>
    <xf numFmtId="3" fontId="19" fillId="0" borderId="1" xfId="0" applyNumberFormat="1" applyFont="1" applyFill="1" applyBorder="1" applyAlignment="1">
      <alignment horizontal="right" vertical="top"/>
    </xf>
    <xf numFmtId="41" fontId="21" fillId="9" borderId="1" xfId="2" applyFont="1" applyFill="1" applyBorder="1" applyAlignment="1">
      <alignment horizontal="right" vertical="top" wrapText="1"/>
    </xf>
    <xf numFmtId="0" fontId="18" fillId="0" borderId="0" xfId="0" applyFont="1" applyAlignment="1">
      <alignment vertical="top" wrapText="1"/>
    </xf>
    <xf numFmtId="0" fontId="19" fillId="0" borderId="1" xfId="0" applyFont="1" applyBorder="1" applyAlignment="1">
      <alignment horizontal="left" vertical="top" wrapText="1"/>
    </xf>
    <xf numFmtId="0" fontId="18" fillId="12" borderId="1" xfId="0" applyFont="1" applyFill="1" applyBorder="1" applyAlignment="1">
      <alignment vertical="center" wrapText="1"/>
    </xf>
    <xf numFmtId="0" fontId="18" fillId="0" borderId="1" xfId="0" quotePrefix="1" applyFont="1" applyFill="1" applyBorder="1" applyAlignment="1">
      <alignment horizontal="center" vertical="top"/>
    </xf>
    <xf numFmtId="0" fontId="18" fillId="0" borderId="0" xfId="0" applyFont="1"/>
    <xf numFmtId="0" fontId="19" fillId="0" borderId="3" xfId="0" applyFont="1" applyBorder="1" applyAlignment="1">
      <alignment vertical="top" wrapText="1"/>
    </xf>
    <xf numFmtId="1" fontId="19" fillId="0" borderId="1" xfId="0" applyNumberFormat="1" applyFont="1" applyBorder="1" applyAlignment="1">
      <alignment horizontal="right" vertical="top" wrapText="1"/>
    </xf>
    <xf numFmtId="0" fontId="18" fillId="9" borderId="1" xfId="0" applyFont="1" applyFill="1" applyBorder="1" applyAlignment="1">
      <alignment horizontal="right" vertical="top" wrapText="1"/>
    </xf>
    <xf numFmtId="41" fontId="19" fillId="0" borderId="1" xfId="2" applyFont="1" applyBorder="1" applyAlignment="1">
      <alignment vertical="top" wrapText="1"/>
    </xf>
    <xf numFmtId="41" fontId="18" fillId="7" borderId="1" xfId="2" applyFont="1" applyFill="1" applyBorder="1" applyAlignment="1">
      <alignment horizontal="right" vertical="top"/>
    </xf>
    <xf numFmtId="41" fontId="0" fillId="0" borderId="4" xfId="0" applyNumberFormat="1" applyFill="1" applyBorder="1" applyAlignment="1">
      <alignment vertical="top"/>
    </xf>
    <xf numFmtId="41" fontId="0" fillId="0" borderId="1" xfId="0" applyNumberFormat="1" applyFill="1" applyBorder="1" applyAlignment="1">
      <alignment vertical="top"/>
    </xf>
    <xf numFmtId="0" fontId="18" fillId="0" borderId="1" xfId="0" applyFont="1" applyFill="1" applyBorder="1" applyAlignment="1">
      <alignment horizontal="right" vertical="top"/>
    </xf>
    <xf numFmtId="41" fontId="2" fillId="0" borderId="1" xfId="0" applyNumberFormat="1" applyFont="1" applyFill="1" applyBorder="1" applyAlignment="1">
      <alignment vertical="top"/>
    </xf>
    <xf numFmtId="0" fontId="18" fillId="0" borderId="1" xfId="0" quotePrefix="1" applyFont="1" applyFill="1" applyBorder="1" applyAlignment="1">
      <alignment horizontal="right" vertical="top"/>
    </xf>
    <xf numFmtId="0" fontId="18" fillId="0" borderId="4" xfId="0" applyFont="1" applyFill="1" applyBorder="1" applyAlignment="1">
      <alignment horizontal="right" vertical="top"/>
    </xf>
    <xf numFmtId="41" fontId="2" fillId="0" borderId="4" xfId="0" applyNumberFormat="1" applyFont="1" applyFill="1" applyBorder="1" applyAlignment="1">
      <alignment vertical="top"/>
    </xf>
    <xf numFmtId="0" fontId="18" fillId="0" borderId="4" xfId="0" quotePrefix="1" applyFont="1" applyFill="1" applyBorder="1" applyAlignment="1">
      <alignment horizontal="right" vertical="top"/>
    </xf>
    <xf numFmtId="41" fontId="14" fillId="0" borderId="4" xfId="0" applyNumberFormat="1" applyFont="1" applyFill="1" applyBorder="1" applyAlignment="1">
      <alignment vertical="top"/>
    </xf>
    <xf numFmtId="41" fontId="2" fillId="0" borderId="1" xfId="2" applyFont="1" applyFill="1" applyBorder="1" applyAlignment="1">
      <alignment horizontal="center" vertical="top"/>
    </xf>
    <xf numFmtId="0" fontId="19" fillId="0" borderId="0" xfId="0" applyFont="1" applyAlignment="1">
      <alignment vertical="center"/>
    </xf>
    <xf numFmtId="0" fontId="21" fillId="9" borderId="4" xfId="0" applyFont="1" applyFill="1" applyBorder="1" applyAlignment="1">
      <alignment horizontal="center" vertical="top" wrapText="1"/>
    </xf>
    <xf numFmtId="0" fontId="18" fillId="9" borderId="4" xfId="0" applyFont="1" applyFill="1" applyBorder="1" applyAlignment="1">
      <alignment horizontal="center" vertical="top" wrapText="1"/>
    </xf>
    <xf numFmtId="0" fontId="18" fillId="9" borderId="4" xfId="0" quotePrefix="1" applyFont="1" applyFill="1" applyBorder="1" applyAlignment="1">
      <alignment horizontal="center" vertical="top" wrapText="1"/>
    </xf>
    <xf numFmtId="164" fontId="15" fillId="9" borderId="1" xfId="0" applyNumberFormat="1" applyFont="1" applyFill="1" applyBorder="1" applyAlignment="1">
      <alignment horizontal="right" vertical="top" wrapText="1"/>
    </xf>
    <xf numFmtId="0" fontId="19" fillId="7" borderId="0" xfId="0" applyFont="1" applyFill="1" applyAlignment="1">
      <alignment vertical="top"/>
    </xf>
    <xf numFmtId="0" fontId="22" fillId="0" borderId="1" xfId="0" applyFont="1" applyBorder="1" applyAlignment="1">
      <alignment horizontal="center" vertical="top" wrapText="1"/>
    </xf>
    <xf numFmtId="0" fontId="19" fillId="0" borderId="1" xfId="5" applyFont="1" applyBorder="1" applyAlignment="1">
      <alignment horizontal="left" vertical="center" wrapText="1"/>
    </xf>
    <xf numFmtId="0" fontId="19" fillId="0" borderId="1" xfId="0" applyFont="1" applyBorder="1" applyAlignment="1">
      <alignment horizontal="center" vertical="center" wrapText="1"/>
    </xf>
    <xf numFmtId="0" fontId="19" fillId="0" borderId="1" xfId="0" quotePrefix="1" applyFont="1" applyBorder="1" applyAlignment="1">
      <alignment horizontal="center" vertical="center" wrapText="1"/>
    </xf>
    <xf numFmtId="0" fontId="22" fillId="0" borderId="1" xfId="0" applyFont="1" applyBorder="1" applyAlignment="1">
      <alignment horizontal="left" vertical="top" wrapText="1"/>
    </xf>
    <xf numFmtId="0" fontId="19" fillId="0" borderId="1" xfId="5" applyFont="1" applyBorder="1" applyAlignment="1">
      <alignment horizontal="left" vertical="top" wrapText="1"/>
    </xf>
    <xf numFmtId="1" fontId="22" fillId="0" borderId="1" xfId="0" applyNumberFormat="1" applyFont="1" applyBorder="1" applyAlignment="1">
      <alignment horizontal="right" vertical="top" wrapText="1"/>
    </xf>
    <xf numFmtId="164" fontId="22" fillId="0" borderId="1" xfId="1" applyNumberFormat="1" applyFont="1" applyBorder="1" applyAlignment="1">
      <alignment horizontal="right" vertical="top" wrapText="1"/>
    </xf>
    <xf numFmtId="1" fontId="22" fillId="0" borderId="1" xfId="0" quotePrefix="1" applyNumberFormat="1" applyFont="1" applyBorder="1" applyAlignment="1">
      <alignment horizontal="right" vertical="top" wrapText="1"/>
    </xf>
    <xf numFmtId="41" fontId="22" fillId="0" borderId="1" xfId="8" applyNumberFormat="1" applyFont="1" applyBorder="1" applyAlignment="1">
      <alignment horizontal="right" vertical="top" wrapText="1"/>
    </xf>
    <xf numFmtId="3" fontId="22" fillId="0" borderId="1" xfId="0" applyNumberFormat="1" applyFont="1" applyBorder="1" applyAlignment="1">
      <alignment horizontal="right" vertical="top" wrapText="1"/>
    </xf>
    <xf numFmtId="164" fontId="22" fillId="0" borderId="1" xfId="0" applyNumberFormat="1" applyFont="1" applyBorder="1" applyAlignment="1">
      <alignment horizontal="right" vertical="top" wrapText="1"/>
    </xf>
    <xf numFmtId="2" fontId="22" fillId="0" borderId="1" xfId="0" applyNumberFormat="1" applyFont="1" applyFill="1" applyBorder="1" applyAlignment="1">
      <alignment horizontal="right" vertical="top" wrapText="1"/>
    </xf>
    <xf numFmtId="41" fontId="22" fillId="0" borderId="1" xfId="2" applyFont="1" applyBorder="1" applyAlignment="1">
      <alignment horizontal="right" vertical="top" wrapText="1"/>
    </xf>
    <xf numFmtId="41" fontId="22" fillId="0" borderId="1" xfId="0" applyNumberFormat="1" applyFont="1" applyBorder="1" applyAlignment="1">
      <alignment horizontal="right" vertical="top" wrapText="1"/>
    </xf>
    <xf numFmtId="3" fontId="19" fillId="0" borderId="1" xfId="0" applyNumberFormat="1" applyFont="1" applyBorder="1" applyAlignment="1">
      <alignment horizontal="right" vertical="top"/>
    </xf>
    <xf numFmtId="0" fontId="18" fillId="9" borderId="1" xfId="5" applyFont="1" applyFill="1" applyBorder="1" applyAlignment="1">
      <alignment horizontal="left" vertical="top" wrapText="1"/>
    </xf>
    <xf numFmtId="3" fontId="21" fillId="9" borderId="1" xfId="0" applyNumberFormat="1" applyFont="1" applyFill="1" applyBorder="1" applyAlignment="1">
      <alignment horizontal="right" vertical="top" wrapText="1"/>
    </xf>
    <xf numFmtId="0" fontId="19" fillId="0" borderId="1" xfId="0" applyFont="1" applyFill="1" applyBorder="1" applyAlignment="1">
      <alignment horizontal="center" vertical="center" wrapText="1"/>
    </xf>
    <xf numFmtId="0" fontId="19" fillId="0" borderId="1" xfId="0" quotePrefix="1" applyFont="1" applyFill="1" applyBorder="1" applyAlignment="1">
      <alignment horizontal="center" vertical="center" wrapText="1"/>
    </xf>
    <xf numFmtId="0" fontId="22" fillId="0" borderId="1" xfId="0" applyFont="1" applyBorder="1" applyAlignment="1">
      <alignment horizontal="left" vertical="center" wrapText="1"/>
    </xf>
    <xf numFmtId="164" fontId="22" fillId="4" borderId="1" xfId="1" applyNumberFormat="1" applyFont="1" applyFill="1" applyBorder="1" applyAlignment="1">
      <alignment horizontal="right" vertical="top" wrapText="1"/>
    </xf>
    <xf numFmtId="3" fontId="22" fillId="0" borderId="1" xfId="0" quotePrefix="1" applyNumberFormat="1" applyFont="1" applyBorder="1" applyAlignment="1">
      <alignment horizontal="right" vertical="top" wrapText="1"/>
    </xf>
    <xf numFmtId="1" fontId="22" fillId="0" borderId="2" xfId="0" applyNumberFormat="1" applyFont="1" applyFill="1" applyBorder="1" applyAlignment="1">
      <alignment horizontal="right" vertical="top" wrapText="1"/>
    </xf>
    <xf numFmtId="1" fontId="22" fillId="0" borderId="2" xfId="2" applyNumberFormat="1" applyFont="1" applyFill="1" applyBorder="1" applyAlignment="1">
      <alignment horizontal="right" vertical="top" wrapText="1"/>
    </xf>
    <xf numFmtId="0" fontId="18" fillId="9" borderId="1" xfId="0" applyFont="1" applyFill="1" applyBorder="1" applyAlignment="1">
      <alignment horizontal="left" vertical="center" wrapText="1"/>
    </xf>
    <xf numFmtId="0" fontId="18" fillId="9" borderId="1" xfId="0" applyFont="1" applyFill="1" applyBorder="1" applyAlignment="1">
      <alignment horizontal="center" vertical="center" wrapText="1"/>
    </xf>
    <xf numFmtId="0" fontId="18" fillId="9" borderId="1" xfId="0" quotePrefix="1" applyFont="1" applyFill="1" applyBorder="1" applyAlignment="1">
      <alignment horizontal="center" vertical="center" wrapText="1"/>
    </xf>
    <xf numFmtId="0" fontId="22" fillId="0" borderId="1" xfId="0" applyFont="1" applyFill="1" applyBorder="1" applyAlignment="1">
      <alignment horizontal="left" vertical="center" wrapText="1"/>
    </xf>
    <xf numFmtId="0" fontId="21" fillId="9" borderId="1" xfId="0" quotePrefix="1" applyFont="1" applyFill="1" applyBorder="1" applyAlignment="1">
      <alignment horizontal="right" vertical="top" wrapText="1"/>
    </xf>
    <xf numFmtId="0" fontId="19" fillId="0" borderId="1" xfId="0" applyFont="1" applyFill="1" applyBorder="1" applyAlignment="1">
      <alignment horizontal="left" vertical="center" wrapText="1"/>
    </xf>
    <xf numFmtId="0" fontId="22" fillId="0" borderId="1" xfId="0" quotePrefix="1" applyFont="1" applyFill="1" applyBorder="1" applyAlignment="1">
      <alignment horizontal="right" vertical="top" wrapText="1"/>
    </xf>
    <xf numFmtId="1" fontId="21" fillId="9" borderId="1" xfId="1" applyNumberFormat="1" applyFont="1" applyFill="1" applyBorder="1" applyAlignment="1">
      <alignment horizontal="right" vertical="top" wrapText="1"/>
    </xf>
    <xf numFmtId="0" fontId="15" fillId="9" borderId="1" xfId="0" applyFont="1" applyFill="1" applyBorder="1" applyAlignment="1">
      <alignment horizontal="left" vertical="top" wrapText="1"/>
    </xf>
    <xf numFmtId="3" fontId="19" fillId="0" borderId="0" xfId="0" applyNumberFormat="1" applyFont="1" applyAlignment="1">
      <alignment horizontal="right" vertical="top"/>
    </xf>
    <xf numFmtId="41" fontId="22" fillId="0" borderId="1" xfId="2" quotePrefix="1" applyFont="1" applyFill="1" applyBorder="1" applyAlignment="1">
      <alignment horizontal="right" vertical="top" wrapText="1"/>
    </xf>
    <xf numFmtId="0" fontId="19" fillId="0" borderId="1" xfId="0" applyFont="1" applyBorder="1" applyAlignment="1">
      <alignment horizontal="left" vertical="center" wrapText="1"/>
    </xf>
    <xf numFmtId="0" fontId="22" fillId="0" borderId="2" xfId="0" applyFont="1" applyBorder="1" applyAlignment="1">
      <alignment horizontal="center" vertical="top" wrapText="1"/>
    </xf>
    <xf numFmtId="0" fontId="19" fillId="0" borderId="2" xfId="0" applyFont="1" applyBorder="1" applyAlignment="1">
      <alignment horizontal="left" vertical="center" wrapText="1"/>
    </xf>
    <xf numFmtId="0" fontId="19" fillId="0" borderId="2" xfId="0" applyFont="1" applyBorder="1" applyAlignment="1">
      <alignment horizontal="center" vertical="center" wrapText="1"/>
    </xf>
    <xf numFmtId="0" fontId="19" fillId="0" borderId="2" xfId="0" quotePrefix="1" applyFont="1" applyBorder="1" applyAlignment="1">
      <alignment horizontal="center" vertical="center" wrapText="1"/>
    </xf>
    <xf numFmtId="0" fontId="19" fillId="0" borderId="2" xfId="0" applyFont="1" applyFill="1" applyBorder="1" applyAlignment="1">
      <alignment horizontal="left" vertical="top" wrapText="1"/>
    </xf>
    <xf numFmtId="1" fontId="22" fillId="0" borderId="2" xfId="0" applyNumberFormat="1" applyFont="1" applyBorder="1" applyAlignment="1">
      <alignment horizontal="right" vertical="top" wrapText="1"/>
    </xf>
    <xf numFmtId="164" fontId="22" fillId="0" borderId="2" xfId="1" applyNumberFormat="1" applyFont="1" applyBorder="1" applyAlignment="1">
      <alignment horizontal="right" vertical="top" wrapText="1"/>
    </xf>
    <xf numFmtId="1" fontId="22" fillId="0" borderId="2" xfId="0" quotePrefix="1" applyNumberFormat="1" applyFont="1" applyBorder="1" applyAlignment="1">
      <alignment horizontal="right" vertical="top" wrapText="1"/>
    </xf>
    <xf numFmtId="164" fontId="22" fillId="0" borderId="2" xfId="1" applyNumberFormat="1" applyFont="1" applyFill="1" applyBorder="1" applyAlignment="1">
      <alignment horizontal="right" vertical="top" wrapText="1"/>
    </xf>
    <xf numFmtId="3" fontId="22" fillId="0" borderId="2" xfId="0" applyNumberFormat="1" applyFont="1" applyFill="1" applyBorder="1" applyAlignment="1">
      <alignment horizontal="right" vertical="top" wrapText="1"/>
    </xf>
    <xf numFmtId="0" fontId="18" fillId="12" borderId="2" xfId="0" applyFont="1" applyFill="1" applyBorder="1" applyAlignment="1">
      <alignment horizontal="center" vertical="center"/>
    </xf>
    <xf numFmtId="0" fontId="18" fillId="12" borderId="2" xfId="0" applyFont="1" applyFill="1" applyBorder="1" applyAlignment="1">
      <alignment vertical="center"/>
    </xf>
    <xf numFmtId="0" fontId="18" fillId="12" borderId="2" xfId="0" applyFont="1" applyFill="1" applyBorder="1" applyAlignment="1">
      <alignment horizontal="right" vertical="center"/>
    </xf>
    <xf numFmtId="164" fontId="18" fillId="12" borderId="2" xfId="0" applyNumberFormat="1" applyFont="1" applyFill="1" applyBorder="1" applyAlignment="1">
      <alignment horizontal="right" vertical="center"/>
    </xf>
    <xf numFmtId="164" fontId="18" fillId="12" borderId="2" xfId="1" applyNumberFormat="1" applyFont="1" applyFill="1" applyBorder="1" applyAlignment="1">
      <alignment horizontal="right" vertical="center"/>
    </xf>
    <xf numFmtId="41" fontId="18" fillId="12" borderId="2" xfId="2" applyFont="1" applyFill="1" applyBorder="1" applyAlignment="1">
      <alignment horizontal="right" vertical="center"/>
    </xf>
    <xf numFmtId="164" fontId="21" fillId="9" borderId="1" xfId="2" applyNumberFormat="1" applyFont="1" applyFill="1" applyBorder="1" applyAlignment="1">
      <alignment horizontal="right" vertical="top" wrapText="1"/>
    </xf>
    <xf numFmtId="164" fontId="21" fillId="9" borderId="1" xfId="2" quotePrefix="1" applyNumberFormat="1" applyFont="1" applyFill="1" applyBorder="1" applyAlignment="1">
      <alignment horizontal="right" vertical="top" wrapText="1"/>
    </xf>
    <xf numFmtId="164" fontId="15" fillId="9" borderId="1" xfId="0" quotePrefix="1" applyNumberFormat="1" applyFont="1" applyFill="1" applyBorder="1" applyAlignment="1">
      <alignment horizontal="right" vertical="top" wrapText="1"/>
    </xf>
    <xf numFmtId="2" fontId="21" fillId="9" borderId="4" xfId="0" applyNumberFormat="1" applyFont="1" applyFill="1" applyBorder="1" applyAlignment="1">
      <alignment horizontal="right" vertical="top" wrapText="1"/>
    </xf>
    <xf numFmtId="0" fontId="19" fillId="0" borderId="0" xfId="0" applyFont="1" applyFill="1"/>
    <xf numFmtId="0" fontId="19" fillId="0" borderId="1" xfId="5" applyFont="1" applyFill="1" applyBorder="1" applyAlignment="1">
      <alignment horizontal="left" vertical="top" wrapText="1"/>
    </xf>
    <xf numFmtId="41" fontId="22" fillId="0" borderId="1" xfId="8" applyNumberFormat="1" applyFont="1" applyFill="1" applyBorder="1" applyAlignment="1">
      <alignment horizontal="right" vertical="top" wrapText="1"/>
    </xf>
    <xf numFmtId="1" fontId="22" fillId="0" borderId="1" xfId="2" quotePrefix="1" applyNumberFormat="1" applyFont="1" applyFill="1" applyBorder="1" applyAlignment="1">
      <alignment horizontal="right" vertical="top" wrapText="1"/>
    </xf>
    <xf numFmtId="164" fontId="22" fillId="0" borderId="1" xfId="1" quotePrefix="1" applyNumberFormat="1" applyFont="1" applyFill="1" applyBorder="1" applyAlignment="1">
      <alignment horizontal="right" vertical="top" wrapText="1"/>
    </xf>
    <xf numFmtId="41" fontId="22" fillId="0" borderId="1" xfId="0" applyNumberFormat="1" applyFont="1" applyFill="1" applyBorder="1" applyAlignment="1">
      <alignment horizontal="right" vertical="top" wrapText="1"/>
    </xf>
    <xf numFmtId="41" fontId="19" fillId="0" borderId="1" xfId="2" applyFont="1" applyFill="1" applyBorder="1" applyAlignment="1">
      <alignment horizontal="right" vertical="top" wrapText="1"/>
    </xf>
    <xf numFmtId="166" fontId="18" fillId="9" borderId="1" xfId="2" applyNumberFormat="1" applyFont="1" applyFill="1" applyBorder="1" applyAlignment="1">
      <alignment horizontal="right" vertical="top"/>
    </xf>
    <xf numFmtId="166" fontId="19" fillId="0" borderId="4" xfId="0" applyNumberFormat="1" applyFont="1" applyFill="1" applyBorder="1" applyAlignment="1">
      <alignment horizontal="right" vertical="top"/>
    </xf>
    <xf numFmtId="0" fontId="21" fillId="0" borderId="1" xfId="0" applyFont="1" applyFill="1" applyBorder="1" applyAlignment="1">
      <alignment horizontal="center" vertical="top" wrapText="1"/>
    </xf>
    <xf numFmtId="43" fontId="22" fillId="0" borderId="1" xfId="0" applyNumberFormat="1" applyFont="1" applyFill="1" applyBorder="1" applyAlignment="1">
      <alignment horizontal="right" vertical="top" wrapText="1"/>
    </xf>
    <xf numFmtId="41" fontId="19" fillId="0" borderId="1" xfId="0" applyNumberFormat="1" applyFont="1" applyBorder="1" applyAlignment="1">
      <alignment horizontal="right" vertical="top"/>
    </xf>
    <xf numFmtId="166" fontId="19" fillId="0" borderId="1" xfId="2" applyNumberFormat="1" applyFont="1" applyBorder="1" applyAlignment="1">
      <alignment horizontal="right" vertical="top" wrapText="1"/>
    </xf>
    <xf numFmtId="37" fontId="19" fillId="0" borderId="4" xfId="2" quotePrefix="1" applyNumberFormat="1" applyFont="1" applyFill="1" applyBorder="1" applyAlignment="1">
      <alignment horizontal="right" vertical="top"/>
    </xf>
    <xf numFmtId="0" fontId="19" fillId="9" borderId="1" xfId="0" applyFont="1" applyFill="1" applyBorder="1" applyAlignment="1">
      <alignment horizontal="center" vertical="top"/>
    </xf>
    <xf numFmtId="0" fontId="19" fillId="9" borderId="1" xfId="0" quotePrefix="1" applyFont="1" applyFill="1" applyBorder="1" applyAlignment="1">
      <alignment horizontal="center" vertical="top"/>
    </xf>
    <xf numFmtId="41" fontId="18" fillId="9" borderId="1" xfId="4" applyFont="1" applyFill="1" applyBorder="1" applyAlignment="1">
      <alignment vertical="top" wrapText="1"/>
    </xf>
    <xf numFmtId="41" fontId="19" fillId="0" borderId="1" xfId="4" applyNumberFormat="1" applyFont="1" applyBorder="1" applyAlignment="1">
      <alignment vertical="top" wrapText="1"/>
    </xf>
    <xf numFmtId="41" fontId="21" fillId="9" borderId="1" xfId="2" quotePrefix="1" applyFont="1" applyFill="1" applyBorder="1" applyAlignment="1">
      <alignment horizontal="right" vertical="top" wrapText="1"/>
    </xf>
    <xf numFmtId="0" fontId="18" fillId="9" borderId="1" xfId="0" quotePrefix="1" applyFont="1" applyFill="1" applyBorder="1" applyAlignment="1">
      <alignment vertical="top" wrapText="1"/>
    </xf>
    <xf numFmtId="41" fontId="18" fillId="9" borderId="1" xfId="2" applyFont="1" applyFill="1" applyBorder="1" applyAlignment="1">
      <alignment vertical="top"/>
    </xf>
    <xf numFmtId="41" fontId="18" fillId="9" borderId="1" xfId="0" applyNumberFormat="1" applyFont="1" applyFill="1" applyBorder="1" applyAlignment="1">
      <alignment vertical="top"/>
    </xf>
    <xf numFmtId="2" fontId="18" fillId="9" borderId="1" xfId="0" applyNumberFormat="1" applyFont="1" applyFill="1" applyBorder="1" applyAlignment="1">
      <alignment vertical="top"/>
    </xf>
    <xf numFmtId="2" fontId="18" fillId="9" borderId="1" xfId="0" applyNumberFormat="1" applyFont="1" applyFill="1" applyBorder="1" applyAlignment="1">
      <alignment horizontal="center" vertical="top"/>
    </xf>
    <xf numFmtId="0" fontId="18" fillId="0" borderId="1" xfId="0" applyFont="1" applyFill="1" applyBorder="1" applyAlignment="1">
      <alignment horizontal="center" vertical="top"/>
    </xf>
    <xf numFmtId="0" fontId="18" fillId="0" borderId="1" xfId="0" applyFont="1" applyFill="1" applyBorder="1" applyAlignment="1">
      <alignment horizontal="left" vertical="top" wrapText="1"/>
    </xf>
    <xf numFmtId="0" fontId="19" fillId="0" borderId="1" xfId="0" applyFont="1" applyBorder="1" applyAlignment="1">
      <alignment horizontal="center" vertical="top"/>
    </xf>
    <xf numFmtId="41" fontId="19" fillId="0" borderId="1" xfId="2" applyFont="1" applyBorder="1" applyAlignment="1">
      <alignment horizontal="center" vertical="top"/>
    </xf>
    <xf numFmtId="41" fontId="19" fillId="0" borderId="1" xfId="2" applyFont="1" applyFill="1" applyBorder="1" applyAlignment="1">
      <alignment vertical="top"/>
    </xf>
    <xf numFmtId="41" fontId="19" fillId="0" borderId="1" xfId="2" applyFont="1" applyFill="1" applyBorder="1" applyAlignment="1">
      <alignment horizontal="center" vertical="top"/>
    </xf>
    <xf numFmtId="41" fontId="19" fillId="0" borderId="1" xfId="0" applyNumberFormat="1" applyFont="1" applyFill="1" applyBorder="1" applyAlignment="1">
      <alignment vertical="top"/>
    </xf>
    <xf numFmtId="41" fontId="19" fillId="0" borderId="4" xfId="2" applyFont="1" applyFill="1" applyBorder="1" applyAlignment="1">
      <alignment vertical="top"/>
    </xf>
    <xf numFmtId="2" fontId="19" fillId="0" borderId="1" xfId="0" applyNumberFormat="1" applyFont="1" applyFill="1" applyBorder="1" applyAlignment="1">
      <alignment vertical="top"/>
    </xf>
    <xf numFmtId="41" fontId="18" fillId="9" borderId="1" xfId="2" applyNumberFormat="1" applyFont="1" applyFill="1" applyBorder="1" applyAlignment="1">
      <alignment horizontal="right" vertical="top"/>
    </xf>
    <xf numFmtId="41" fontId="19" fillId="0" borderId="1" xfId="2" applyNumberFormat="1" applyFont="1" applyBorder="1" applyAlignment="1">
      <alignment horizontal="right" vertical="top" wrapText="1"/>
    </xf>
    <xf numFmtId="41" fontId="5" fillId="9" borderId="1" xfId="2" applyFont="1" applyFill="1" applyBorder="1" applyAlignment="1">
      <alignment horizontal="right" vertical="top"/>
    </xf>
    <xf numFmtId="43" fontId="18" fillId="9" borderId="1" xfId="0" applyNumberFormat="1" applyFont="1" applyFill="1" applyBorder="1" applyAlignment="1">
      <alignment horizontal="right" vertical="top"/>
    </xf>
    <xf numFmtId="0" fontId="18" fillId="4" borderId="1" xfId="0" applyFont="1" applyFill="1" applyBorder="1" applyAlignment="1">
      <alignment horizontal="center" vertical="top"/>
    </xf>
    <xf numFmtId="0" fontId="18" fillId="4" borderId="1" xfId="0" applyFont="1" applyFill="1" applyBorder="1" applyAlignment="1">
      <alignment horizontal="left" vertical="top" wrapText="1"/>
    </xf>
    <xf numFmtId="0" fontId="18" fillId="4" borderId="1" xfId="0" quotePrefix="1" applyFont="1" applyFill="1" applyBorder="1" applyAlignment="1">
      <alignment horizontal="center" vertical="top"/>
    </xf>
    <xf numFmtId="0" fontId="22" fillId="0" borderId="1" xfId="0" applyNumberFormat="1" applyFont="1" applyBorder="1" applyAlignment="1">
      <alignment horizontal="right" vertical="top" wrapText="1"/>
    </xf>
    <xf numFmtId="41" fontId="22" fillId="4" borderId="1" xfId="2" applyNumberFormat="1" applyFont="1" applyFill="1" applyBorder="1" applyAlignment="1">
      <alignment horizontal="right" vertical="top" wrapText="1"/>
    </xf>
    <xf numFmtId="164" fontId="22" fillId="4" borderId="1" xfId="0" applyNumberFormat="1" applyFont="1" applyFill="1" applyBorder="1" applyAlignment="1">
      <alignment horizontal="right" vertical="top" wrapText="1"/>
    </xf>
    <xf numFmtId="41" fontId="22" fillId="0" borderId="1" xfId="2" applyNumberFormat="1" applyFont="1" applyBorder="1" applyAlignment="1">
      <alignment horizontal="right" vertical="top" wrapText="1"/>
    </xf>
    <xf numFmtId="166" fontId="22" fillId="0" borderId="1" xfId="0" applyNumberFormat="1" applyFont="1" applyBorder="1" applyAlignment="1">
      <alignment horizontal="right" vertical="top" wrapText="1"/>
    </xf>
    <xf numFmtId="9" fontId="22" fillId="0" borderId="1" xfId="3" applyFont="1" applyBorder="1" applyAlignment="1">
      <alignment horizontal="right" vertical="top" wrapText="1"/>
    </xf>
    <xf numFmtId="2" fontId="18" fillId="4" borderId="1" xfId="0" applyNumberFormat="1" applyFont="1" applyFill="1" applyBorder="1" applyAlignment="1">
      <alignment horizontal="right" vertical="top"/>
    </xf>
    <xf numFmtId="0" fontId="18" fillId="4" borderId="0" xfId="0" applyFont="1" applyFill="1" applyAlignment="1">
      <alignment vertical="top"/>
    </xf>
    <xf numFmtId="0" fontId="18" fillId="4" borderId="1" xfId="0" applyFont="1" applyFill="1" applyBorder="1" applyAlignment="1">
      <alignment horizontal="center" vertical="top" wrapText="1"/>
    </xf>
    <xf numFmtId="41" fontId="5" fillId="9" borderId="1" xfId="2" applyFont="1" applyFill="1" applyBorder="1" applyAlignment="1">
      <alignment vertical="top"/>
    </xf>
    <xf numFmtId="0" fontId="6" fillId="4" borderId="1" xfId="0" applyFont="1" applyFill="1" applyBorder="1" applyAlignment="1">
      <alignment vertical="top"/>
    </xf>
    <xf numFmtId="41" fontId="6" fillId="4" borderId="1" xfId="2" applyFont="1" applyFill="1" applyBorder="1" applyAlignment="1">
      <alignment vertical="top"/>
    </xf>
    <xf numFmtId="1" fontId="19" fillId="4" borderId="1" xfId="0" applyNumberFormat="1" applyFont="1" applyFill="1" applyBorder="1" applyAlignment="1">
      <alignment horizontal="right" vertical="top"/>
    </xf>
    <xf numFmtId="0" fontId="19" fillId="4" borderId="1" xfId="0" applyNumberFormat="1" applyFont="1" applyFill="1" applyBorder="1" applyAlignment="1">
      <alignment vertical="top"/>
    </xf>
    <xf numFmtId="41" fontId="19" fillId="4" borderId="1" xfId="2" applyFont="1" applyFill="1" applyBorder="1" applyAlignment="1">
      <alignment vertical="top"/>
    </xf>
    <xf numFmtId="2" fontId="19" fillId="4" borderId="1" xfId="0" applyNumberFormat="1" applyFont="1" applyFill="1" applyBorder="1" applyAlignment="1">
      <alignment vertical="top"/>
    </xf>
    <xf numFmtId="0" fontId="19" fillId="0" borderId="1" xfId="0" applyFont="1" applyBorder="1" applyAlignment="1">
      <alignment horizontal="center" vertical="top" wrapText="1"/>
    </xf>
    <xf numFmtId="41" fontId="19" fillId="0" borderId="1" xfId="2" applyFont="1" applyFill="1" applyBorder="1" applyAlignment="1">
      <alignment vertical="top" wrapText="1"/>
    </xf>
    <xf numFmtId="0" fontId="19" fillId="0" borderId="1" xfId="0" applyFont="1" applyFill="1" applyBorder="1" applyAlignment="1">
      <alignment horizontal="right" vertical="top" wrapText="1"/>
    </xf>
    <xf numFmtId="41" fontId="19" fillId="0" borderId="1" xfId="0" applyNumberFormat="1" applyFont="1" applyBorder="1" applyAlignment="1">
      <alignment vertical="top" wrapText="1"/>
    </xf>
    <xf numFmtId="2" fontId="19" fillId="0" borderId="1" xfId="0" applyNumberFormat="1" applyFont="1" applyBorder="1" applyAlignment="1">
      <alignment vertical="top" wrapText="1"/>
    </xf>
    <xf numFmtId="166" fontId="18" fillId="0" borderId="1" xfId="2" applyNumberFormat="1" applyFont="1" applyFill="1" applyBorder="1" applyAlignment="1">
      <alignment horizontal="right" vertical="top"/>
    </xf>
    <xf numFmtId="41" fontId="19" fillId="0" borderId="4" xfId="2" quotePrefix="1" applyFont="1" applyFill="1" applyBorder="1" applyAlignment="1">
      <alignment vertical="top"/>
    </xf>
    <xf numFmtId="41" fontId="19" fillId="0" borderId="4" xfId="2" applyFont="1" applyFill="1" applyBorder="1" applyAlignment="1">
      <alignment horizontal="center" vertical="top"/>
    </xf>
    <xf numFmtId="41" fontId="19" fillId="0" borderId="4" xfId="0" applyNumberFormat="1" applyFont="1" applyFill="1" applyBorder="1" applyAlignment="1">
      <alignment vertical="top"/>
    </xf>
    <xf numFmtId="1" fontId="18" fillId="4" borderId="1" xfId="0" applyNumberFormat="1" applyFont="1" applyFill="1" applyBorder="1" applyAlignment="1">
      <alignment horizontal="right" vertical="top"/>
    </xf>
    <xf numFmtId="0" fontId="19" fillId="0" borderId="2" xfId="0" applyFont="1" applyBorder="1" applyAlignment="1">
      <alignment horizontal="left" vertical="top" wrapText="1"/>
    </xf>
    <xf numFmtId="0" fontId="19" fillId="0" borderId="2" xfId="0" applyFont="1" applyBorder="1" applyAlignment="1">
      <alignment horizontal="center" vertical="top" wrapText="1"/>
    </xf>
    <xf numFmtId="0" fontId="19" fillId="0" borderId="2" xfId="0" quotePrefix="1" applyFont="1" applyBorder="1" applyAlignment="1">
      <alignment horizontal="center" vertical="top" wrapText="1"/>
    </xf>
    <xf numFmtId="164" fontId="4" fillId="12" borderId="1" xfId="1" applyNumberFormat="1" applyFont="1" applyFill="1" applyBorder="1" applyAlignment="1">
      <alignment horizontal="right" vertical="center"/>
    </xf>
    <xf numFmtId="41" fontId="6" fillId="0" borderId="4" xfId="2" applyFont="1" applyFill="1" applyBorder="1" applyAlignment="1">
      <alignment horizontal="right" vertical="top"/>
    </xf>
    <xf numFmtId="41" fontId="6" fillId="0" borderId="4" xfId="0" applyNumberFormat="1" applyFont="1" applyFill="1" applyBorder="1" applyAlignment="1">
      <alignment horizontal="right" vertical="top"/>
    </xf>
    <xf numFmtId="41" fontId="6" fillId="0" borderId="1" xfId="2" applyFont="1" applyFill="1" applyBorder="1" applyAlignment="1">
      <alignment horizontal="right" vertical="top"/>
    </xf>
    <xf numFmtId="165" fontId="19" fillId="0" borderId="4" xfId="0" applyNumberFormat="1" applyFont="1" applyFill="1" applyBorder="1" applyAlignment="1">
      <alignment horizontal="right" vertical="top"/>
    </xf>
    <xf numFmtId="0" fontId="19" fillId="0" borderId="2" xfId="0" applyFont="1" applyFill="1" applyBorder="1" applyAlignment="1">
      <alignment vertical="center" wrapText="1"/>
    </xf>
    <xf numFmtId="0" fontId="19" fillId="0" borderId="2" xfId="0" quotePrefix="1" applyFont="1" applyFill="1" applyBorder="1" applyAlignment="1">
      <alignment horizontal="center" vertical="top"/>
    </xf>
    <xf numFmtId="0" fontId="19" fillId="0" borderId="2" xfId="0" applyFont="1" applyFill="1" applyBorder="1" applyAlignment="1">
      <alignment vertical="top" wrapText="1"/>
    </xf>
    <xf numFmtId="0" fontId="19" fillId="0" borderId="2" xfId="0" quotePrefix="1" applyFont="1" applyFill="1" applyBorder="1" applyAlignment="1">
      <alignment vertical="top" wrapText="1"/>
    </xf>
    <xf numFmtId="0" fontId="19" fillId="0" borderId="2" xfId="0" applyFont="1" applyFill="1" applyBorder="1" applyAlignment="1">
      <alignment horizontal="right" vertical="top"/>
    </xf>
    <xf numFmtId="41" fontId="19" fillId="0" borderId="2" xfId="2" applyFont="1" applyFill="1" applyBorder="1" applyAlignment="1">
      <alignment horizontal="right" vertical="top"/>
    </xf>
    <xf numFmtId="0" fontId="19" fillId="0" borderId="2" xfId="0" quotePrefix="1" applyFont="1" applyFill="1" applyBorder="1" applyAlignment="1">
      <alignment horizontal="right" vertical="top"/>
    </xf>
    <xf numFmtId="41" fontId="19" fillId="0" borderId="2" xfId="2" quotePrefix="1" applyFont="1" applyFill="1" applyBorder="1" applyAlignment="1">
      <alignment horizontal="right" vertical="top"/>
    </xf>
    <xf numFmtId="41" fontId="19" fillId="0" borderId="2" xfId="0" applyNumberFormat="1" applyFont="1" applyFill="1" applyBorder="1" applyAlignment="1">
      <alignment horizontal="right" vertical="top"/>
    </xf>
    <xf numFmtId="41" fontId="6" fillId="0" borderId="2" xfId="2" applyFont="1" applyFill="1" applyBorder="1" applyAlignment="1">
      <alignment horizontal="right" vertical="top"/>
    </xf>
    <xf numFmtId="2" fontId="19" fillId="0" borderId="2" xfId="0" applyNumberFormat="1" applyFont="1" applyFill="1" applyBorder="1" applyAlignment="1">
      <alignment horizontal="right" vertical="top"/>
    </xf>
    <xf numFmtId="2" fontId="19" fillId="0" borderId="4" xfId="0" applyNumberFormat="1" applyFont="1" applyFill="1" applyBorder="1" applyAlignment="1">
      <alignment vertical="top"/>
    </xf>
    <xf numFmtId="0" fontId="19" fillId="0" borderId="2" xfId="0" applyFont="1" applyFill="1" applyBorder="1" applyAlignment="1">
      <alignment horizontal="center" vertical="top"/>
    </xf>
    <xf numFmtId="41" fontId="19" fillId="0" borderId="2" xfId="2" applyFont="1" applyFill="1" applyBorder="1" applyAlignment="1">
      <alignment vertical="top"/>
    </xf>
    <xf numFmtId="2" fontId="19" fillId="0" borderId="2" xfId="0" applyNumberFormat="1" applyFont="1" applyFill="1" applyBorder="1" applyAlignment="1">
      <alignment vertical="top"/>
    </xf>
    <xf numFmtId="0" fontId="19" fillId="0" borderId="4" xfId="0" quotePrefix="1" applyFont="1" applyFill="1" applyBorder="1" applyAlignment="1">
      <alignment vertical="top" wrapText="1"/>
    </xf>
    <xf numFmtId="2" fontId="19" fillId="0" borderId="4" xfId="0" applyNumberFormat="1" applyFont="1" applyBorder="1" applyAlignment="1">
      <alignment vertical="top"/>
    </xf>
    <xf numFmtId="0" fontId="19" fillId="9" borderId="1" xfId="0" applyFont="1" applyFill="1" applyBorder="1" applyAlignment="1">
      <alignment horizontal="left" vertical="top" wrapText="1"/>
    </xf>
    <xf numFmtId="0" fontId="19" fillId="9" borderId="4" xfId="0" quotePrefix="1" applyFont="1" applyFill="1" applyBorder="1" applyAlignment="1">
      <alignment horizontal="center" vertical="top"/>
    </xf>
    <xf numFmtId="0" fontId="19" fillId="0" borderId="58" xfId="0" applyFont="1" applyFill="1" applyBorder="1" applyAlignment="1">
      <alignment vertical="top" wrapText="1"/>
    </xf>
    <xf numFmtId="0" fontId="19" fillId="0" borderId="59" xfId="0" applyFont="1" applyFill="1" applyBorder="1" applyAlignment="1">
      <alignment vertical="top" wrapText="1"/>
    </xf>
    <xf numFmtId="0" fontId="19" fillId="0" borderId="7" xfId="0" applyFont="1" applyFill="1" applyBorder="1" applyAlignment="1">
      <alignment vertical="top" wrapText="1"/>
    </xf>
    <xf numFmtId="0" fontId="19" fillId="0" borderId="12" xfId="0" applyFont="1" applyBorder="1" applyAlignment="1">
      <alignment vertical="top" wrapText="1"/>
    </xf>
    <xf numFmtId="0" fontId="18" fillId="0" borderId="0" xfId="0" applyFont="1" applyFill="1" applyBorder="1" applyAlignment="1">
      <alignment vertical="top"/>
    </xf>
    <xf numFmtId="166" fontId="19" fillId="4" borderId="1" xfId="0" applyNumberFormat="1" applyFont="1" applyFill="1" applyBorder="1" applyAlignment="1">
      <alignment vertical="top" wrapText="1"/>
    </xf>
    <xf numFmtId="41" fontId="19" fillId="4" borderId="1" xfId="0" applyNumberFormat="1" applyFont="1" applyFill="1" applyBorder="1" applyAlignment="1">
      <alignment vertical="top" wrapText="1"/>
    </xf>
    <xf numFmtId="41" fontId="19" fillId="4" borderId="1" xfId="0" applyNumberFormat="1" applyFont="1" applyFill="1" applyBorder="1" applyAlignment="1">
      <alignment horizontal="center" vertical="top" wrapText="1"/>
    </xf>
    <xf numFmtId="41" fontId="19" fillId="4" borderId="1" xfId="0" quotePrefix="1" applyNumberFormat="1" applyFont="1" applyFill="1" applyBorder="1" applyAlignment="1">
      <alignment horizontal="center" vertical="top" wrapText="1"/>
    </xf>
    <xf numFmtId="0" fontId="19" fillId="4" borderId="1" xfId="0" applyFont="1" applyFill="1" applyBorder="1" applyAlignment="1">
      <alignment horizontal="center" vertical="top" wrapText="1"/>
    </xf>
    <xf numFmtId="0" fontId="22" fillId="4" borderId="1" xfId="0" applyFont="1" applyFill="1" applyBorder="1" applyAlignment="1">
      <alignment vertical="top" wrapText="1"/>
    </xf>
    <xf numFmtId="9" fontId="19" fillId="4" borderId="1" xfId="0" quotePrefix="1" applyNumberFormat="1" applyFont="1" applyFill="1" applyBorder="1" applyAlignment="1">
      <alignment horizontal="right" vertical="top" wrapText="1"/>
    </xf>
    <xf numFmtId="41" fontId="19" fillId="4" borderId="1" xfId="2" applyFont="1" applyFill="1" applyBorder="1" applyAlignment="1">
      <alignment vertical="top" wrapText="1"/>
    </xf>
    <xf numFmtId="9" fontId="19" fillId="4" borderId="10" xfId="0" quotePrefix="1" applyNumberFormat="1" applyFont="1" applyFill="1" applyBorder="1" applyAlignment="1">
      <alignment horizontal="right" vertical="top" wrapText="1"/>
    </xf>
    <xf numFmtId="41" fontId="19" fillId="4" borderId="1" xfId="2" applyFont="1" applyFill="1" applyBorder="1" applyAlignment="1">
      <alignment horizontal="center" vertical="top" wrapText="1"/>
    </xf>
    <xf numFmtId="41" fontId="19" fillId="4" borderId="1" xfId="2" quotePrefix="1" applyFont="1" applyFill="1" applyBorder="1" applyAlignment="1">
      <alignment vertical="top" wrapText="1"/>
    </xf>
    <xf numFmtId="9" fontId="18" fillId="0" borderId="1" xfId="3" quotePrefix="1" applyFont="1" applyFill="1" applyBorder="1" applyAlignment="1">
      <alignment horizontal="right" vertical="top" wrapText="1"/>
    </xf>
    <xf numFmtId="41" fontId="19" fillId="0" borderId="1" xfId="0" applyNumberFormat="1" applyFont="1" applyFill="1" applyBorder="1" applyAlignment="1">
      <alignment vertical="top" wrapText="1"/>
    </xf>
    <xf numFmtId="1" fontId="18" fillId="0" borderId="1" xfId="0" applyNumberFormat="1" applyFont="1" applyFill="1" applyBorder="1" applyAlignment="1">
      <alignment vertical="top" wrapText="1"/>
    </xf>
    <xf numFmtId="164" fontId="19" fillId="4" borderId="10" xfId="1" applyNumberFormat="1" applyFont="1" applyFill="1" applyBorder="1" applyAlignment="1">
      <alignment vertical="top" wrapText="1"/>
    </xf>
    <xf numFmtId="1" fontId="19" fillId="4" borderId="1" xfId="0" applyNumberFormat="1" applyFont="1" applyFill="1" applyBorder="1" applyAlignment="1">
      <alignment vertical="top" wrapText="1"/>
    </xf>
    <xf numFmtId="41" fontId="19" fillId="4" borderId="11" xfId="2" applyFont="1" applyFill="1" applyBorder="1" applyAlignment="1">
      <alignment vertical="top" wrapText="1"/>
    </xf>
    <xf numFmtId="166" fontId="19" fillId="4" borderId="1" xfId="2" applyNumberFormat="1" applyFont="1" applyFill="1" applyBorder="1" applyAlignment="1">
      <alignment vertical="top" wrapText="1"/>
    </xf>
    <xf numFmtId="0" fontId="19" fillId="0" borderId="0" xfId="0" applyFont="1" applyFill="1" applyBorder="1" applyAlignment="1">
      <alignment vertical="top"/>
    </xf>
    <xf numFmtId="2" fontId="19" fillId="4" borderId="1" xfId="0" applyNumberFormat="1" applyFont="1" applyFill="1" applyBorder="1" applyAlignment="1">
      <alignment vertical="top" wrapText="1"/>
    </xf>
    <xf numFmtId="9" fontId="18" fillId="0" borderId="1" xfId="0" quotePrefix="1" applyNumberFormat="1" applyFont="1" applyFill="1" applyBorder="1" applyAlignment="1">
      <alignment horizontal="right" vertical="top" wrapText="1"/>
    </xf>
    <xf numFmtId="41" fontId="19" fillId="4" borderId="1" xfId="2" quotePrefix="1" applyFont="1" applyFill="1" applyBorder="1" applyAlignment="1">
      <alignment horizontal="right" vertical="top" wrapText="1"/>
    </xf>
    <xf numFmtId="166" fontId="19" fillId="4" borderId="11" xfId="2" applyNumberFormat="1" applyFont="1" applyFill="1" applyBorder="1" applyAlignment="1">
      <alignment vertical="top" wrapText="1"/>
    </xf>
    <xf numFmtId="41" fontId="19" fillId="0" borderId="0" xfId="0" applyNumberFormat="1" applyFont="1" applyFill="1" applyAlignment="1">
      <alignment vertical="top"/>
    </xf>
    <xf numFmtId="0" fontId="19" fillId="4" borderId="1" xfId="0" quotePrefix="1" applyFont="1" applyFill="1" applyBorder="1" applyAlignment="1">
      <alignment horizontal="center" vertical="top" wrapText="1"/>
    </xf>
    <xf numFmtId="0" fontId="19" fillId="4" borderId="1" xfId="0" applyNumberFormat="1" applyFont="1" applyFill="1" applyBorder="1" applyAlignment="1">
      <alignment vertical="top" wrapText="1"/>
    </xf>
    <xf numFmtId="0" fontId="19" fillId="4" borderId="1" xfId="2" applyNumberFormat="1" applyFont="1" applyFill="1" applyBorder="1" applyAlignment="1">
      <alignment vertical="top" wrapText="1"/>
    </xf>
    <xf numFmtId="0" fontId="19" fillId="4" borderId="10" xfId="0" applyNumberFormat="1" applyFont="1" applyFill="1" applyBorder="1" applyAlignment="1">
      <alignment vertical="top" wrapText="1"/>
    </xf>
    <xf numFmtId="0" fontId="19" fillId="4" borderId="11" xfId="0" applyNumberFormat="1" applyFont="1" applyFill="1" applyBorder="1" applyAlignment="1">
      <alignment vertical="top" wrapText="1"/>
    </xf>
    <xf numFmtId="192" fontId="25" fillId="4" borderId="1" xfId="1" applyNumberFormat="1" applyFont="1" applyFill="1" applyBorder="1" applyAlignment="1">
      <alignment vertical="top"/>
    </xf>
    <xf numFmtId="192" fontId="19" fillId="4" borderId="1" xfId="0" applyNumberFormat="1" applyFont="1" applyFill="1" applyBorder="1" applyAlignment="1">
      <alignment vertical="top" wrapText="1"/>
    </xf>
    <xf numFmtId="0" fontId="19" fillId="4" borderId="11" xfId="3" applyNumberFormat="1" applyFont="1" applyFill="1" applyBorder="1" applyAlignment="1">
      <alignment vertical="top" wrapText="1"/>
    </xf>
    <xf numFmtId="2" fontId="19" fillId="4" borderId="11" xfId="0" applyNumberFormat="1" applyFont="1" applyFill="1" applyBorder="1" applyAlignment="1">
      <alignment vertical="top" wrapText="1"/>
    </xf>
    <xf numFmtId="165" fontId="19" fillId="4" borderId="1" xfId="2" applyNumberFormat="1" applyFont="1" applyFill="1" applyBorder="1" applyAlignment="1">
      <alignment vertical="top" wrapText="1"/>
    </xf>
    <xf numFmtId="0" fontId="19" fillId="4" borderId="10" xfId="2" applyNumberFormat="1" applyFont="1" applyFill="1" applyBorder="1" applyAlignment="1">
      <alignment vertical="top" wrapText="1"/>
    </xf>
    <xf numFmtId="166" fontId="19" fillId="4" borderId="1" xfId="3" applyNumberFormat="1" applyFont="1" applyFill="1" applyBorder="1" applyAlignment="1">
      <alignment vertical="top" wrapText="1"/>
    </xf>
    <xf numFmtId="1" fontId="19" fillId="4" borderId="11" xfId="2" applyNumberFormat="1" applyFont="1" applyFill="1" applyBorder="1" applyAlignment="1">
      <alignment vertical="top" wrapText="1"/>
    </xf>
    <xf numFmtId="2" fontId="19" fillId="4" borderId="11" xfId="3" applyNumberFormat="1" applyFont="1" applyFill="1" applyBorder="1" applyAlignment="1">
      <alignment vertical="top" wrapText="1"/>
    </xf>
    <xf numFmtId="41" fontId="19" fillId="4" borderId="11" xfId="2" applyNumberFormat="1" applyFont="1" applyFill="1" applyBorder="1" applyAlignment="1">
      <alignment vertical="top" wrapText="1"/>
    </xf>
    <xf numFmtId="41" fontId="4" fillId="14" borderId="1" xfId="0" applyNumberFormat="1" applyFont="1" applyFill="1" applyBorder="1" applyAlignment="1">
      <alignment vertical="center"/>
    </xf>
    <xf numFmtId="164" fontId="4" fillId="14" borderId="1" xfId="1" applyNumberFormat="1" applyFont="1" applyFill="1" applyBorder="1" applyAlignment="1">
      <alignment vertical="center"/>
    </xf>
    <xf numFmtId="0" fontId="4" fillId="14" borderId="10" xfId="0" applyFont="1" applyFill="1" applyBorder="1" applyAlignment="1">
      <alignment vertical="center"/>
    </xf>
    <xf numFmtId="164" fontId="15" fillId="14" borderId="1" xfId="1" applyNumberFormat="1" applyFont="1" applyFill="1" applyBorder="1" applyAlignment="1">
      <alignment horizontal="center" vertical="center"/>
    </xf>
    <xf numFmtId="0" fontId="4" fillId="14" borderId="11" xfId="0" applyFont="1" applyFill="1" applyBorder="1" applyAlignment="1">
      <alignment vertical="center"/>
    </xf>
    <xf numFmtId="0" fontId="15" fillId="14" borderId="1" xfId="0" applyFont="1" applyFill="1" applyBorder="1" applyAlignment="1">
      <alignment vertical="center"/>
    </xf>
    <xf numFmtId="164" fontId="15" fillId="14" borderId="1" xfId="1" applyNumberFormat="1" applyFont="1" applyFill="1" applyBorder="1" applyAlignment="1">
      <alignment vertical="center"/>
    </xf>
    <xf numFmtId="164" fontId="4" fillId="14" borderId="10" xfId="1" applyNumberFormat="1" applyFont="1" applyFill="1" applyBorder="1" applyAlignment="1">
      <alignment vertical="center"/>
    </xf>
    <xf numFmtId="0" fontId="21" fillId="9" borderId="1" xfId="0" applyFont="1" applyFill="1" applyBorder="1" applyAlignment="1">
      <alignment vertical="top" wrapText="1"/>
    </xf>
    <xf numFmtId="9" fontId="18" fillId="9" borderId="1" xfId="3" quotePrefix="1" applyNumberFormat="1" applyFont="1" applyFill="1" applyBorder="1" applyAlignment="1">
      <alignment horizontal="right" vertical="top" wrapText="1"/>
    </xf>
    <xf numFmtId="41" fontId="18" fillId="9" borderId="1" xfId="0" applyNumberFormat="1" applyFont="1" applyFill="1" applyBorder="1" applyAlignment="1">
      <alignment vertical="top" wrapText="1"/>
    </xf>
    <xf numFmtId="9" fontId="18" fillId="9" borderId="1" xfId="0" quotePrefix="1" applyNumberFormat="1" applyFont="1" applyFill="1" applyBorder="1" applyAlignment="1">
      <alignment horizontal="right" vertical="top" wrapText="1"/>
    </xf>
    <xf numFmtId="41" fontId="18" fillId="9" borderId="1" xfId="0" applyNumberFormat="1" applyFont="1" applyFill="1" applyBorder="1" applyAlignment="1">
      <alignment horizontal="center" vertical="top" wrapText="1"/>
    </xf>
    <xf numFmtId="9" fontId="18" fillId="9" borderId="11" xfId="3" quotePrefix="1" applyFont="1" applyFill="1" applyBorder="1" applyAlignment="1">
      <alignment horizontal="right" vertical="top" wrapText="1"/>
    </xf>
    <xf numFmtId="9" fontId="18" fillId="9" borderId="1" xfId="3" quotePrefix="1" applyFont="1" applyFill="1" applyBorder="1" applyAlignment="1">
      <alignment horizontal="right" vertical="top" wrapText="1"/>
    </xf>
    <xf numFmtId="41" fontId="18" fillId="9" borderId="1" xfId="2" applyFont="1" applyFill="1" applyBorder="1" applyAlignment="1">
      <alignment vertical="top" wrapText="1"/>
    </xf>
    <xf numFmtId="1" fontId="18" fillId="9" borderId="1" xfId="0" applyNumberFormat="1" applyFont="1" applyFill="1" applyBorder="1" applyAlignment="1">
      <alignment vertical="top" wrapText="1"/>
    </xf>
    <xf numFmtId="164" fontId="18" fillId="9" borderId="10" xfId="1" applyNumberFormat="1" applyFont="1" applyFill="1" applyBorder="1" applyAlignment="1">
      <alignment vertical="top" wrapText="1"/>
    </xf>
    <xf numFmtId="41" fontId="18" fillId="9" borderId="11" xfId="2" applyFont="1" applyFill="1" applyBorder="1" applyAlignment="1">
      <alignment horizontal="right" vertical="top" wrapText="1"/>
    </xf>
    <xf numFmtId="166" fontId="18" fillId="9" borderId="1" xfId="2" applyNumberFormat="1" applyFont="1" applyFill="1" applyBorder="1" applyAlignment="1">
      <alignment vertical="top" wrapText="1"/>
    </xf>
    <xf numFmtId="166" fontId="18" fillId="9" borderId="1" xfId="0" applyNumberFormat="1" applyFont="1" applyFill="1" applyBorder="1" applyAlignment="1">
      <alignment vertical="top" wrapText="1"/>
    </xf>
    <xf numFmtId="41" fontId="18" fillId="9" borderId="1" xfId="2" quotePrefix="1" applyFont="1" applyFill="1" applyBorder="1" applyAlignment="1">
      <alignment horizontal="right" vertical="top" wrapText="1"/>
    </xf>
    <xf numFmtId="41" fontId="18" fillId="0" borderId="1" xfId="2" quotePrefix="1" applyFont="1" applyFill="1" applyBorder="1" applyAlignment="1">
      <alignment horizontal="right" vertical="top" wrapText="1"/>
    </xf>
    <xf numFmtId="41" fontId="18" fillId="4" borderId="1" xfId="2" quotePrefix="1" applyFont="1" applyFill="1" applyBorder="1" applyAlignment="1">
      <alignment horizontal="right" vertical="top" wrapText="1"/>
    </xf>
    <xf numFmtId="41" fontId="18" fillId="9" borderId="10" xfId="2" quotePrefix="1" applyFont="1" applyFill="1" applyBorder="1" applyAlignment="1">
      <alignment vertical="top" wrapText="1"/>
    </xf>
    <xf numFmtId="41" fontId="18" fillId="9" borderId="1" xfId="0" quotePrefix="1" applyNumberFormat="1" applyFont="1" applyFill="1" applyBorder="1" applyAlignment="1">
      <alignment horizontal="center" vertical="top" wrapText="1"/>
    </xf>
    <xf numFmtId="9" fontId="18" fillId="9" borderId="10" xfId="0" quotePrefix="1" applyNumberFormat="1" applyFont="1" applyFill="1" applyBorder="1" applyAlignment="1">
      <alignment horizontal="right" vertical="top" wrapText="1"/>
    </xf>
    <xf numFmtId="41" fontId="18" fillId="9" borderId="11" xfId="2" applyFont="1" applyFill="1" applyBorder="1" applyAlignment="1">
      <alignment vertical="top" wrapText="1"/>
    </xf>
    <xf numFmtId="0" fontId="18" fillId="9" borderId="1" xfId="0" applyNumberFormat="1" applyFont="1" applyFill="1" applyBorder="1" applyAlignment="1">
      <alignment vertical="top" wrapText="1"/>
    </xf>
    <xf numFmtId="0" fontId="18" fillId="9" borderId="10" xfId="0" applyNumberFormat="1" applyFont="1" applyFill="1" applyBorder="1" applyAlignment="1">
      <alignment vertical="top" wrapText="1"/>
    </xf>
    <xf numFmtId="0" fontId="18" fillId="9" borderId="11" xfId="0" applyNumberFormat="1" applyFont="1" applyFill="1" applyBorder="1" applyAlignment="1">
      <alignment vertical="top" wrapText="1"/>
    </xf>
    <xf numFmtId="0" fontId="18" fillId="9" borderId="11" xfId="0" applyFont="1" applyFill="1" applyBorder="1" applyAlignment="1">
      <alignment vertical="top" wrapText="1"/>
    </xf>
    <xf numFmtId="0" fontId="18" fillId="9" borderId="11" xfId="3" applyNumberFormat="1" applyFont="1" applyFill="1" applyBorder="1" applyAlignment="1">
      <alignment vertical="top" wrapText="1"/>
    </xf>
    <xf numFmtId="41" fontId="18" fillId="9" borderId="11" xfId="3" applyNumberFormat="1" applyFont="1" applyFill="1" applyBorder="1" applyAlignment="1">
      <alignment vertical="top" wrapText="1"/>
    </xf>
    <xf numFmtId="43" fontId="18" fillId="9" borderId="1" xfId="1" applyFont="1" applyFill="1" applyBorder="1" applyAlignment="1">
      <alignment vertical="top" wrapText="1"/>
    </xf>
    <xf numFmtId="2" fontId="19" fillId="9" borderId="1" xfId="0" applyNumberFormat="1" applyFont="1" applyFill="1" applyBorder="1" applyAlignment="1">
      <alignment vertical="top" wrapText="1"/>
    </xf>
    <xf numFmtId="41" fontId="19" fillId="9" borderId="1" xfId="0" applyNumberFormat="1" applyFont="1" applyFill="1" applyBorder="1" applyAlignment="1">
      <alignment vertical="top" wrapText="1"/>
    </xf>
    <xf numFmtId="41" fontId="18" fillId="9" borderId="11" xfId="2" applyNumberFormat="1" applyFont="1" applyFill="1" applyBorder="1" applyAlignment="1">
      <alignment vertical="top" wrapText="1"/>
    </xf>
    <xf numFmtId="165" fontId="18" fillId="9" borderId="1" xfId="2" quotePrefix="1" applyNumberFormat="1" applyFont="1" applyFill="1" applyBorder="1" applyAlignment="1">
      <alignment vertical="top" wrapText="1"/>
    </xf>
    <xf numFmtId="166" fontId="18" fillId="9" borderId="1" xfId="3" applyNumberFormat="1" applyFont="1" applyFill="1" applyBorder="1" applyAlignment="1">
      <alignment vertical="top" wrapText="1"/>
    </xf>
    <xf numFmtId="2" fontId="18" fillId="9" borderId="1" xfId="0" applyNumberFormat="1" applyFont="1" applyFill="1" applyBorder="1" applyAlignment="1">
      <alignment vertical="top" wrapText="1"/>
    </xf>
    <xf numFmtId="2" fontId="18" fillId="9" borderId="11" xfId="3" applyNumberFormat="1" applyFont="1" applyFill="1" applyBorder="1" applyAlignment="1">
      <alignment vertical="top" wrapText="1"/>
    </xf>
    <xf numFmtId="1" fontId="18" fillId="9" borderId="1" xfId="0" quotePrefix="1" applyNumberFormat="1" applyFont="1" applyFill="1" applyBorder="1" applyAlignment="1">
      <alignment vertical="top" wrapText="1"/>
    </xf>
    <xf numFmtId="41" fontId="5" fillId="14" borderId="0" xfId="0" applyNumberFormat="1" applyFont="1" applyFill="1" applyAlignment="1">
      <alignment vertical="center" wrapText="1"/>
    </xf>
    <xf numFmtId="0" fontId="5" fillId="9" borderId="24" xfId="0" applyFont="1" applyFill="1" applyBorder="1" applyAlignment="1">
      <alignment horizontal="center" vertical="top" wrapText="1"/>
    </xf>
    <xf numFmtId="0" fontId="6" fillId="0" borderId="31" xfId="0" applyFont="1" applyBorder="1" applyAlignment="1">
      <alignment horizontal="center" vertical="top" wrapText="1"/>
    </xf>
    <xf numFmtId="164" fontId="5" fillId="8" borderId="1" xfId="1" applyNumberFormat="1" applyFont="1" applyFill="1" applyBorder="1" applyAlignment="1">
      <alignment horizontal="right" vertical="center" wrapText="1"/>
    </xf>
    <xf numFmtId="41" fontId="24" fillId="9" borderId="1" xfId="2" applyFont="1" applyFill="1" applyBorder="1" applyAlignment="1">
      <alignment horizontal="center" vertical="top"/>
    </xf>
    <xf numFmtId="0" fontId="8" fillId="0" borderId="1" xfId="5" applyFont="1" applyFill="1" applyBorder="1" applyAlignment="1">
      <alignment horizontal="center" vertical="top" wrapText="1"/>
    </xf>
    <xf numFmtId="0" fontId="5" fillId="9" borderId="2" xfId="0" applyFont="1" applyFill="1" applyBorder="1" applyAlignment="1">
      <alignment horizontal="center" vertical="top" wrapText="1"/>
    </xf>
    <xf numFmtId="0" fontId="5" fillId="9" borderId="4" xfId="0" applyFont="1" applyFill="1" applyBorder="1" applyAlignment="1">
      <alignment horizontal="center" vertical="top" wrapText="1"/>
    </xf>
    <xf numFmtId="41" fontId="5" fillId="9" borderId="2" xfId="0" applyNumberFormat="1" applyFont="1" applyFill="1" applyBorder="1" applyAlignment="1">
      <alignment horizontal="center" vertical="top" wrapText="1"/>
    </xf>
    <xf numFmtId="0" fontId="8" fillId="0" borderId="2" xfId="5" applyFont="1" applyFill="1" applyBorder="1" applyAlignment="1">
      <alignment horizontal="center" vertical="top" wrapText="1"/>
    </xf>
    <xf numFmtId="0" fontId="8" fillId="0" borderId="4" xfId="5" applyFont="1" applyFill="1" applyBorder="1" applyAlignment="1">
      <alignment horizontal="center" vertical="top" wrapText="1"/>
    </xf>
    <xf numFmtId="164" fontId="5" fillId="9" borderId="1" xfId="0" applyNumberFormat="1" applyFont="1" applyFill="1" applyBorder="1" applyAlignment="1">
      <alignment horizontal="right" vertical="top" wrapText="1"/>
    </xf>
    <xf numFmtId="0" fontId="5" fillId="9" borderId="1" xfId="0" applyFont="1" applyFill="1" applyBorder="1" applyAlignment="1">
      <alignment horizontal="right" vertical="top" wrapText="1"/>
    </xf>
    <xf numFmtId="41" fontId="5" fillId="9" borderId="1" xfId="0" applyNumberFormat="1" applyFont="1" applyFill="1" applyBorder="1" applyAlignment="1">
      <alignment horizontal="center" vertical="top" wrapText="1"/>
    </xf>
    <xf numFmtId="41" fontId="5" fillId="9" borderId="1" xfId="2" applyFont="1" applyFill="1" applyBorder="1" applyAlignment="1">
      <alignment horizontal="center" vertical="top" wrapText="1"/>
    </xf>
    <xf numFmtId="2" fontId="8" fillId="0" borderId="2" xfId="5" applyNumberFormat="1" applyFont="1" applyFill="1" applyBorder="1" applyAlignment="1">
      <alignment horizontal="right" vertical="top" wrapText="1"/>
    </xf>
    <xf numFmtId="2" fontId="8" fillId="0" borderId="3" xfId="5" applyNumberFormat="1" applyFont="1" applyFill="1" applyBorder="1" applyAlignment="1">
      <alignment horizontal="right" vertical="top" wrapText="1"/>
    </xf>
    <xf numFmtId="0" fontId="8" fillId="0" borderId="2" xfId="5" quotePrefix="1" applyFont="1" applyFill="1" applyBorder="1" applyAlignment="1">
      <alignment horizontal="center" vertical="top" wrapText="1"/>
    </xf>
    <xf numFmtId="0" fontId="7" fillId="0" borderId="2" xfId="5" applyFont="1" applyFill="1" applyBorder="1" applyAlignment="1">
      <alignment horizontal="center" vertical="top" wrapText="1"/>
    </xf>
    <xf numFmtId="0" fontId="7" fillId="0" borderId="4" xfId="5" applyFont="1" applyFill="1" applyBorder="1" applyAlignment="1">
      <alignment horizontal="center" vertical="top" wrapText="1"/>
    </xf>
    <xf numFmtId="0" fontId="5" fillId="0" borderId="0" xfId="0" applyFont="1" applyBorder="1" applyAlignment="1">
      <alignment horizontal="center" vertical="top" wrapText="1"/>
    </xf>
    <xf numFmtId="0" fontId="4" fillId="9" borderId="1" xfId="0" applyFont="1" applyFill="1" applyBorder="1" applyAlignment="1">
      <alignment horizontal="center" vertical="top" wrapText="1"/>
    </xf>
    <xf numFmtId="0" fontId="7" fillId="0" borderId="1" xfId="5" applyFont="1" applyFill="1" applyBorder="1" applyAlignment="1">
      <alignment horizontal="center" vertical="top" wrapText="1"/>
    </xf>
    <xf numFmtId="0" fontId="6" fillId="0" borderId="0" xfId="0" applyFont="1" applyBorder="1" applyAlignment="1">
      <alignment horizontal="center" vertical="top" wrapText="1"/>
    </xf>
    <xf numFmtId="0" fontId="6" fillId="0" borderId="52" xfId="0" applyFont="1" applyFill="1" applyBorder="1" applyAlignment="1">
      <alignment horizontal="center" vertical="top" wrapText="1"/>
    </xf>
    <xf numFmtId="0" fontId="5" fillId="9" borderId="1" xfId="0" applyFont="1" applyFill="1" applyBorder="1" applyAlignment="1">
      <alignment horizontal="center" vertical="top" wrapText="1"/>
    </xf>
    <xf numFmtId="0" fontId="5" fillId="9" borderId="1" xfId="0" applyFont="1" applyFill="1" applyBorder="1" applyAlignment="1">
      <alignment horizontal="left" vertical="top" wrapText="1"/>
    </xf>
    <xf numFmtId="0" fontId="8" fillId="0" borderId="2" xfId="5" applyFont="1" applyFill="1" applyBorder="1" applyAlignment="1">
      <alignment horizontal="right" vertical="top" wrapText="1"/>
    </xf>
    <xf numFmtId="41" fontId="20" fillId="4" borderId="11" xfId="2" quotePrefix="1" applyFont="1" applyFill="1" applyBorder="1" applyAlignment="1">
      <alignment horizontal="right" vertical="top"/>
    </xf>
    <xf numFmtId="43" fontId="5" fillId="14" borderId="24" xfId="2" applyNumberFormat="1" applyFont="1" applyFill="1" applyBorder="1" applyAlignment="1">
      <alignment horizontal="right" vertical="center" wrapText="1"/>
    </xf>
    <xf numFmtId="0" fontId="5" fillId="3" borderId="1" xfId="0" applyFont="1" applyFill="1" applyBorder="1" applyAlignment="1">
      <alignment horizontal="left" vertical="center" wrapText="1"/>
    </xf>
    <xf numFmtId="0" fontId="6" fillId="3" borderId="1" xfId="0" applyFont="1" applyFill="1" applyBorder="1" applyAlignment="1">
      <alignment horizontal="left" vertical="center" wrapText="1"/>
    </xf>
    <xf numFmtId="3" fontId="5" fillId="3" borderId="1" xfId="0" applyNumberFormat="1" applyFont="1" applyFill="1" applyBorder="1" applyAlignment="1">
      <alignment horizontal="right" vertical="center" wrapText="1"/>
    </xf>
    <xf numFmtId="0" fontId="8" fillId="0" borderId="2" xfId="5" quotePrefix="1" applyFont="1" applyFill="1" applyBorder="1" applyAlignment="1">
      <alignment horizontal="right" vertical="top" wrapText="1"/>
    </xf>
    <xf numFmtId="41" fontId="7" fillId="9" borderId="1" xfId="4" applyFont="1" applyFill="1" applyBorder="1" applyAlignment="1" applyProtection="1">
      <alignment horizontal="center" vertical="top" wrapText="1"/>
    </xf>
    <xf numFmtId="41" fontId="7" fillId="9" borderId="1" xfId="2" applyFont="1" applyFill="1" applyBorder="1" applyAlignment="1">
      <alignment horizontal="center" vertical="top" wrapText="1"/>
    </xf>
    <xf numFmtId="164" fontId="7" fillId="9" borderId="1" xfId="7" applyNumberFormat="1" applyFont="1" applyFill="1" applyBorder="1" applyAlignment="1" applyProtection="1">
      <alignment horizontal="center" vertical="top" wrapText="1"/>
    </xf>
    <xf numFmtId="0" fontId="4" fillId="14" borderId="1" xfId="0" applyFont="1" applyFill="1" applyBorder="1" applyAlignment="1">
      <alignment horizontal="center" vertical="center"/>
    </xf>
    <xf numFmtId="166" fontId="19" fillId="4" borderId="1" xfId="0" applyNumberFormat="1" applyFont="1" applyFill="1" applyBorder="1" applyAlignment="1">
      <alignment horizontal="center" vertical="top" wrapText="1"/>
    </xf>
    <xf numFmtId="2" fontId="19" fillId="4" borderId="1" xfId="0" applyNumberFormat="1" applyFont="1" applyFill="1" applyBorder="1" applyAlignment="1">
      <alignment horizontal="center" vertical="top" wrapText="1"/>
    </xf>
    <xf numFmtId="165" fontId="19" fillId="4" borderId="1" xfId="0" applyNumberFormat="1" applyFont="1" applyFill="1" applyBorder="1" applyAlignment="1">
      <alignment horizontal="center" vertical="top" wrapText="1"/>
    </xf>
    <xf numFmtId="9" fontId="19" fillId="4" borderId="1" xfId="0" applyNumberFormat="1" applyFont="1" applyFill="1" applyBorder="1" applyAlignment="1">
      <alignment horizontal="center" vertical="top" wrapText="1"/>
    </xf>
    <xf numFmtId="0" fontId="6" fillId="4" borderId="10" xfId="0" applyFont="1" applyFill="1" applyBorder="1" applyAlignment="1">
      <alignment horizontal="center" vertical="center" wrapText="1"/>
    </xf>
    <xf numFmtId="0" fontId="5" fillId="0" borderId="1" xfId="0" applyFont="1" applyBorder="1" applyAlignment="1">
      <alignment horizontal="center" vertical="top" wrapText="1"/>
    </xf>
    <xf numFmtId="0" fontId="5" fillId="9" borderId="24" xfId="0" quotePrefix="1" applyFont="1" applyFill="1" applyBorder="1" applyAlignment="1">
      <alignment horizontal="center" vertical="top" wrapText="1"/>
    </xf>
    <xf numFmtId="0" fontId="5" fillId="0" borderId="1" xfId="0" quotePrefix="1" applyFont="1" applyFill="1" applyBorder="1" applyAlignment="1">
      <alignment horizontal="center" vertical="top" wrapText="1"/>
    </xf>
    <xf numFmtId="41" fontId="5" fillId="0" borderId="1" xfId="2" applyNumberFormat="1" applyFont="1" applyBorder="1" applyAlignment="1">
      <alignment horizontal="center" vertical="top" wrapText="1"/>
    </xf>
    <xf numFmtId="0" fontId="4" fillId="4" borderId="10" xfId="0" applyFont="1" applyFill="1" applyBorder="1" applyAlignment="1">
      <alignment horizontal="center" vertical="center" wrapText="1"/>
    </xf>
    <xf numFmtId="0" fontId="20" fillId="0" borderId="1" xfId="0" applyFont="1" applyBorder="1" applyAlignment="1">
      <alignment horizontal="center" vertical="top"/>
    </xf>
    <xf numFmtId="0" fontId="5" fillId="14" borderId="40" xfId="0" applyFont="1" applyFill="1" applyBorder="1" applyAlignment="1">
      <alignment horizontal="center" vertical="center" wrapText="1"/>
    </xf>
    <xf numFmtId="0" fontId="5" fillId="9" borderId="47" xfId="0" applyFont="1" applyFill="1" applyBorder="1" applyAlignment="1">
      <alignment horizontal="center" vertical="top" wrapText="1"/>
    </xf>
    <xf numFmtId="0" fontId="6" fillId="0" borderId="47" xfId="0" applyFont="1" applyBorder="1" applyAlignment="1">
      <alignment horizontal="center" vertical="top" wrapText="1"/>
    </xf>
    <xf numFmtId="0" fontId="6" fillId="4" borderId="47" xfId="0" applyFont="1" applyFill="1" applyBorder="1" applyAlignment="1">
      <alignment horizontal="center" vertical="top" wrapText="1"/>
    </xf>
    <xf numFmtId="164" fontId="6" fillId="4" borderId="47" xfId="0" applyNumberFormat="1" applyFont="1" applyFill="1" applyBorder="1" applyAlignment="1">
      <alignment horizontal="center" vertical="top" wrapText="1"/>
    </xf>
    <xf numFmtId="0" fontId="5" fillId="0" borderId="51" xfId="0" applyFont="1" applyBorder="1" applyAlignment="1">
      <alignment horizontal="center" vertical="top" wrapText="1"/>
    </xf>
    <xf numFmtId="0" fontId="6" fillId="4" borderId="48" xfId="0" applyFont="1" applyFill="1" applyBorder="1" applyAlignment="1">
      <alignment horizontal="center" vertical="top" wrapText="1"/>
    </xf>
    <xf numFmtId="0" fontId="6" fillId="14" borderId="41" xfId="0" applyFont="1" applyFill="1" applyBorder="1" applyAlignment="1">
      <alignment horizontal="center" vertical="center" wrapText="1"/>
    </xf>
    <xf numFmtId="0" fontId="4" fillId="14" borderId="41" xfId="0" applyFont="1" applyFill="1" applyBorder="1" applyAlignment="1">
      <alignment horizontal="center" vertical="center" wrapText="1"/>
    </xf>
    <xf numFmtId="0" fontId="5" fillId="4" borderId="41" xfId="0" applyFont="1" applyFill="1" applyBorder="1" applyAlignment="1">
      <alignment horizontal="center" vertical="center" wrapText="1"/>
    </xf>
    <xf numFmtId="2" fontId="6" fillId="4" borderId="1" xfId="0" applyNumberFormat="1" applyFont="1" applyFill="1" applyBorder="1" applyAlignment="1">
      <alignment horizontal="center" vertical="top" wrapText="1"/>
    </xf>
    <xf numFmtId="0" fontId="5" fillId="0" borderId="1" xfId="0" applyFont="1" applyBorder="1" applyAlignment="1">
      <alignment horizontal="center" vertical="center" wrapText="1"/>
    </xf>
    <xf numFmtId="0" fontId="6" fillId="0" borderId="2" xfId="0" applyFont="1" applyFill="1" applyBorder="1" applyAlignment="1">
      <alignment horizontal="center" vertical="top" wrapText="1"/>
    </xf>
    <xf numFmtId="2" fontId="6" fillId="0" borderId="22" xfId="0" applyNumberFormat="1" applyFont="1" applyBorder="1" applyAlignment="1">
      <alignment horizontal="center" vertical="top" wrapText="1"/>
    </xf>
    <xf numFmtId="41" fontId="6" fillId="0" borderId="31" xfId="2" applyFont="1" applyBorder="1" applyAlignment="1">
      <alignment horizontal="center"/>
    </xf>
    <xf numFmtId="41" fontId="5" fillId="0" borderId="1" xfId="0" applyNumberFormat="1" applyFont="1" applyFill="1" applyBorder="1" applyAlignment="1">
      <alignment horizontal="center" vertical="top" textRotation="255" wrapText="1"/>
    </xf>
    <xf numFmtId="41" fontId="5" fillId="9" borderId="1" xfId="0" applyNumberFormat="1" applyFont="1" applyFill="1" applyBorder="1" applyAlignment="1">
      <alignment horizontal="center" vertical="top" textRotation="255" wrapText="1"/>
    </xf>
    <xf numFmtId="0" fontId="13" fillId="0" borderId="1" xfId="0" applyFont="1" applyFill="1" applyBorder="1" applyAlignment="1">
      <alignment horizontal="center" vertical="top" wrapText="1"/>
    </xf>
    <xf numFmtId="164" fontId="6" fillId="0" borderId="1" xfId="1" applyNumberFormat="1" applyFont="1" applyFill="1" applyBorder="1" applyAlignment="1">
      <alignment horizontal="center" vertical="top" wrapText="1"/>
    </xf>
    <xf numFmtId="0" fontId="11" fillId="0" borderId="42" xfId="0" applyFont="1" applyFill="1" applyBorder="1" applyAlignment="1">
      <alignment horizontal="center" vertical="top" wrapText="1"/>
    </xf>
    <xf numFmtId="0" fontId="11" fillId="0" borderId="43" xfId="0" applyFont="1" applyFill="1" applyBorder="1" applyAlignment="1">
      <alignment horizontal="center" vertical="top" wrapText="1"/>
    </xf>
    <xf numFmtId="0" fontId="11" fillId="0" borderId="14" xfId="0" applyFont="1" applyFill="1" applyBorder="1" applyAlignment="1">
      <alignment horizontal="center" vertical="top" wrapText="1"/>
    </xf>
    <xf numFmtId="0" fontId="11" fillId="0" borderId="44" xfId="0" applyFont="1" applyFill="1" applyBorder="1" applyAlignment="1">
      <alignment horizontal="center" vertical="top" wrapText="1"/>
    </xf>
    <xf numFmtId="0" fontId="19" fillId="0" borderId="4" xfId="0" applyFont="1" applyFill="1" applyBorder="1" applyAlignment="1">
      <alignment horizontal="center" vertical="top" wrapText="1"/>
    </xf>
    <xf numFmtId="164" fontId="5" fillId="9" borderId="1" xfId="2" applyNumberFormat="1" applyFont="1" applyFill="1" applyBorder="1" applyAlignment="1">
      <alignment vertical="top" wrapText="1"/>
    </xf>
    <xf numFmtId="171" fontId="4" fillId="9" borderId="1" xfId="0" applyNumberFormat="1" applyFont="1" applyFill="1" applyBorder="1" applyAlignment="1">
      <alignment vertical="top" wrapText="1"/>
    </xf>
    <xf numFmtId="41" fontId="4" fillId="9" borderId="1" xfId="1" applyNumberFormat="1" applyFont="1" applyFill="1" applyBorder="1" applyAlignment="1">
      <alignment vertical="top" wrapText="1"/>
    </xf>
    <xf numFmtId="3" fontId="6" fillId="9" borderId="1" xfId="0" applyNumberFormat="1" applyFont="1" applyFill="1" applyBorder="1" applyAlignment="1">
      <alignment horizontal="right" vertical="top" wrapText="1"/>
    </xf>
    <xf numFmtId="164" fontId="5" fillId="12" borderId="1" xfId="1" applyNumberFormat="1" applyFont="1" applyFill="1" applyBorder="1" applyAlignment="1">
      <alignment horizontal="center" vertical="center" wrapText="1"/>
    </xf>
    <xf numFmtId="41" fontId="11" fillId="9" borderId="1" xfId="2" applyFont="1" applyFill="1" applyBorder="1" applyAlignment="1">
      <alignment horizontal="center" vertical="top" wrapText="1"/>
    </xf>
    <xf numFmtId="166" fontId="18" fillId="12" borderId="1" xfId="2" applyNumberFormat="1" applyFont="1" applyFill="1" applyBorder="1" applyAlignment="1">
      <alignment horizontal="right" vertical="center"/>
    </xf>
    <xf numFmtId="41" fontId="18" fillId="12" borderId="1" xfId="2" applyNumberFormat="1" applyFont="1" applyFill="1" applyBorder="1" applyAlignment="1">
      <alignment horizontal="right" vertical="center"/>
    </xf>
    <xf numFmtId="2" fontId="18" fillId="0" borderId="1" xfId="0" applyNumberFormat="1" applyFont="1" applyBorder="1" applyAlignment="1">
      <alignment horizontal="right" vertical="center"/>
    </xf>
    <xf numFmtId="0" fontId="19" fillId="0" borderId="1" xfId="0" applyFont="1" applyFill="1" applyBorder="1" applyAlignment="1">
      <alignment horizontal="center" vertical="center"/>
    </xf>
    <xf numFmtId="0" fontId="15" fillId="4" borderId="1" xfId="0" applyFont="1" applyFill="1" applyBorder="1" applyAlignment="1">
      <alignment horizontal="right" vertical="center"/>
    </xf>
    <xf numFmtId="3" fontId="19" fillId="0" borderId="4" xfId="0" applyNumberFormat="1" applyFont="1" applyFill="1" applyBorder="1" applyAlignment="1">
      <alignment horizontal="right" vertical="top"/>
    </xf>
    <xf numFmtId="0" fontId="6" fillId="0" borderId="0" xfId="0" applyFont="1" applyBorder="1" applyAlignment="1">
      <alignment horizontal="left" vertical="top" wrapText="1"/>
    </xf>
    <xf numFmtId="164" fontId="27" fillId="0" borderId="0" xfId="1" applyNumberFormat="1" applyFont="1" applyBorder="1" applyAlignment="1">
      <alignment vertical="top" wrapText="1"/>
    </xf>
    <xf numFmtId="0" fontId="27" fillId="0" borderId="0" xfId="0" applyFont="1" applyBorder="1" applyAlignment="1">
      <alignment horizontal="right" vertical="top" wrapText="1"/>
    </xf>
    <xf numFmtId="0" fontId="27" fillId="0" borderId="0" xfId="0" applyFont="1" applyBorder="1" applyAlignment="1">
      <alignment horizontal="center" vertical="top" wrapText="1"/>
    </xf>
    <xf numFmtId="164" fontId="28" fillId="0" borderId="0" xfId="1" applyNumberFormat="1" applyFont="1" applyBorder="1" applyAlignment="1">
      <alignment vertical="top" wrapText="1"/>
    </xf>
    <xf numFmtId="0" fontId="28" fillId="0" borderId="0" xfId="0" applyFont="1" applyBorder="1" applyAlignment="1">
      <alignment horizontal="right" vertical="top" wrapText="1"/>
    </xf>
    <xf numFmtId="0" fontId="28" fillId="0" borderId="0" xfId="0" applyFont="1" applyBorder="1" applyAlignment="1">
      <alignment horizontal="center" vertical="top" wrapText="1"/>
    </xf>
    <xf numFmtId="164" fontId="28" fillId="0" borderId="0" xfId="1" applyNumberFormat="1" applyFont="1" applyBorder="1" applyAlignment="1">
      <alignment horizontal="center" vertical="top" wrapText="1"/>
    </xf>
    <xf numFmtId="164" fontId="6" fillId="0" borderId="25" xfId="7" applyNumberFormat="1" applyFont="1" applyFill="1" applyBorder="1" applyAlignment="1">
      <alignment vertical="top" wrapText="1"/>
    </xf>
    <xf numFmtId="164" fontId="5" fillId="9" borderId="25" xfId="0" applyNumberFormat="1" applyFont="1" applyFill="1" applyBorder="1" applyAlignment="1">
      <alignment vertical="top" wrapText="1"/>
    </xf>
    <xf numFmtId="164" fontId="5" fillId="9" borderId="25" xfId="0" applyNumberFormat="1" applyFont="1" applyFill="1" applyBorder="1" applyAlignment="1">
      <alignment horizontal="right" vertical="top" wrapText="1"/>
    </xf>
    <xf numFmtId="41" fontId="6" fillId="0" borderId="51" xfId="2" applyFont="1" applyBorder="1" applyAlignment="1">
      <alignment vertical="top" wrapText="1"/>
    </xf>
    <xf numFmtId="41" fontId="6" fillId="4" borderId="51" xfId="2" applyFont="1" applyFill="1" applyBorder="1" applyAlignment="1">
      <alignment vertical="top" wrapText="1"/>
    </xf>
    <xf numFmtId="41" fontId="5" fillId="9" borderId="51" xfId="2" applyFont="1" applyFill="1" applyBorder="1" applyAlignment="1">
      <alignment vertical="top" wrapText="1"/>
    </xf>
    <xf numFmtId="164" fontId="5" fillId="9" borderId="51" xfId="7" applyNumberFormat="1" applyFont="1" applyFill="1" applyBorder="1" applyAlignment="1">
      <alignment horizontal="right" vertical="top" wrapText="1"/>
    </xf>
    <xf numFmtId="164" fontId="6" fillId="0" borderId="51" xfId="7" applyNumberFormat="1" applyFont="1" applyBorder="1" applyAlignment="1">
      <alignment vertical="top" wrapText="1"/>
    </xf>
    <xf numFmtId="174" fontId="30" fillId="0" borderId="61" xfId="0" applyNumberFormat="1" applyFont="1" applyBorder="1" applyAlignment="1">
      <alignment vertical="top" wrapText="1"/>
    </xf>
    <xf numFmtId="174" fontId="30" fillId="0" borderId="20" xfId="0" applyNumberFormat="1" applyFont="1" applyBorder="1" applyAlignment="1">
      <alignment vertical="top" wrapText="1"/>
    </xf>
    <xf numFmtId="174" fontId="30" fillId="4" borderId="20" xfId="0" applyNumberFormat="1" applyFont="1" applyFill="1" applyBorder="1" applyAlignment="1">
      <alignment vertical="top" wrapText="1"/>
    </xf>
    <xf numFmtId="174" fontId="31" fillId="0" borderId="60" xfId="0" applyNumberFormat="1" applyFont="1" applyBorder="1" applyAlignment="1">
      <alignment vertical="top" wrapText="1"/>
    </xf>
    <xf numFmtId="164" fontId="6" fillId="0" borderId="25" xfId="7" applyNumberFormat="1" applyFont="1" applyBorder="1" applyAlignment="1">
      <alignment vertical="top" wrapText="1"/>
    </xf>
    <xf numFmtId="164" fontId="6" fillId="4" borderId="25" xfId="7" applyNumberFormat="1" applyFont="1" applyFill="1" applyBorder="1" applyAlignment="1">
      <alignment vertical="top" wrapText="1"/>
    </xf>
    <xf numFmtId="164" fontId="5" fillId="9" borderId="51" xfId="7" applyNumberFormat="1" applyFont="1" applyFill="1" applyBorder="1" applyAlignment="1">
      <alignment vertical="top" wrapText="1"/>
    </xf>
    <xf numFmtId="164" fontId="6" fillId="4" borderId="51" xfId="7" applyNumberFormat="1" applyFont="1" applyFill="1" applyBorder="1" applyAlignment="1">
      <alignment vertical="top" wrapText="1"/>
    </xf>
    <xf numFmtId="174" fontId="32" fillId="9" borderId="20" xfId="0" applyNumberFormat="1" applyFont="1" applyFill="1" applyBorder="1" applyAlignment="1">
      <alignment vertical="top" wrapText="1"/>
    </xf>
    <xf numFmtId="174" fontId="31" fillId="0" borderId="20" xfId="0" applyNumberFormat="1" applyFont="1" applyBorder="1" applyAlignment="1">
      <alignment vertical="top" wrapText="1"/>
    </xf>
    <xf numFmtId="174" fontId="31" fillId="4" borderId="20" xfId="0" applyNumberFormat="1" applyFont="1" applyFill="1" applyBorder="1" applyAlignment="1">
      <alignment vertical="top" wrapText="1"/>
    </xf>
    <xf numFmtId="174" fontId="31" fillId="4" borderId="62" xfId="0" applyNumberFormat="1" applyFont="1" applyFill="1" applyBorder="1" applyAlignment="1">
      <alignment vertical="top" wrapText="1"/>
    </xf>
    <xf numFmtId="165" fontId="5" fillId="9" borderId="22" xfId="2" applyNumberFormat="1" applyFont="1" applyFill="1" applyBorder="1" applyAlignment="1">
      <alignment vertical="top" wrapText="1"/>
    </xf>
    <xf numFmtId="165" fontId="6" fillId="4" borderId="22" xfId="2" applyNumberFormat="1" applyFont="1" applyFill="1" applyBorder="1" applyAlignment="1">
      <alignment vertical="top" wrapText="1"/>
    </xf>
    <xf numFmtId="165" fontId="6" fillId="4" borderId="28" xfId="2" applyNumberFormat="1" applyFont="1" applyFill="1" applyBorder="1" applyAlignment="1">
      <alignment vertical="top" wrapText="1"/>
    </xf>
    <xf numFmtId="9" fontId="5" fillId="9" borderId="28" xfId="3" applyNumberFormat="1" applyFont="1" applyFill="1" applyBorder="1" applyAlignment="1">
      <alignment horizontal="right" vertical="top" wrapText="1"/>
    </xf>
    <xf numFmtId="0" fontId="6" fillId="15" borderId="1" xfId="0" applyFont="1" applyFill="1" applyBorder="1" applyAlignment="1">
      <alignment horizontal="center" vertical="center" wrapText="1"/>
    </xf>
    <xf numFmtId="0" fontId="6" fillId="15" borderId="1" xfId="0" applyFont="1" applyFill="1" applyBorder="1" applyAlignment="1">
      <alignment vertical="center" wrapText="1"/>
    </xf>
    <xf numFmtId="0" fontId="6" fillId="15" borderId="1" xfId="0" applyFont="1" applyFill="1" applyBorder="1" applyAlignment="1">
      <alignment horizontal="right" vertical="center" wrapText="1"/>
    </xf>
    <xf numFmtId="0" fontId="6" fillId="15" borderId="10" xfId="0" applyFont="1" applyFill="1" applyBorder="1" applyAlignment="1">
      <alignment horizontal="right" vertical="center" wrapText="1"/>
    </xf>
    <xf numFmtId="0" fontId="6" fillId="15" borderId="11" xfId="0" applyFont="1" applyFill="1" applyBorder="1" applyAlignment="1">
      <alignment horizontal="right" vertical="center" wrapText="1"/>
    </xf>
    <xf numFmtId="164" fontId="6" fillId="15" borderId="10" xfId="1" applyNumberFormat="1" applyFont="1" applyFill="1" applyBorder="1" applyAlignment="1">
      <alignment vertical="center" wrapText="1"/>
    </xf>
    <xf numFmtId="164" fontId="6" fillId="15" borderId="1" xfId="1" applyNumberFormat="1" applyFont="1" applyFill="1" applyBorder="1" applyAlignment="1">
      <alignment vertical="center" wrapText="1"/>
    </xf>
    <xf numFmtId="0" fontId="24" fillId="0" borderId="0" xfId="0" applyFont="1"/>
    <xf numFmtId="9" fontId="11" fillId="0" borderId="22" xfId="3" applyFont="1" applyBorder="1" applyAlignment="1">
      <alignment horizontal="center" vertical="top" wrapText="1"/>
    </xf>
    <xf numFmtId="0" fontId="5" fillId="9" borderId="1" xfId="0" applyFont="1" applyFill="1" applyBorder="1" applyAlignment="1">
      <alignment horizontal="left" vertical="top" wrapText="1"/>
    </xf>
    <xf numFmtId="1" fontId="5" fillId="3" borderId="1" xfId="0" applyNumberFormat="1" applyFont="1" applyFill="1" applyBorder="1" applyAlignment="1">
      <alignment horizontal="right" vertical="top" wrapText="1"/>
    </xf>
    <xf numFmtId="3" fontId="33" fillId="5" borderId="1" xfId="0" applyNumberFormat="1" applyFont="1" applyFill="1" applyBorder="1" applyAlignment="1">
      <alignment horizontal="right" vertical="top" wrapText="1"/>
    </xf>
    <xf numFmtId="0" fontId="25" fillId="5" borderId="1" xfId="0" applyFont="1" applyFill="1" applyBorder="1" applyAlignment="1">
      <alignment horizontal="right" vertical="top" wrapText="1"/>
    </xf>
    <xf numFmtId="41" fontId="25" fillId="5" borderId="1" xfId="2" applyFont="1" applyFill="1" applyBorder="1" applyAlignment="1">
      <alignment horizontal="right" vertical="top" wrapText="1"/>
    </xf>
    <xf numFmtId="43" fontId="25" fillId="5" borderId="1" xfId="1" applyFont="1" applyFill="1" applyBorder="1" applyAlignment="1">
      <alignment horizontal="right" vertical="top" wrapText="1"/>
    </xf>
    <xf numFmtId="41" fontId="33" fillId="9" borderId="1" xfId="2" applyFont="1" applyFill="1" applyBorder="1" applyAlignment="1">
      <alignment horizontal="right" vertical="top" wrapText="1"/>
    </xf>
    <xf numFmtId="167" fontId="11" fillId="4" borderId="1" xfId="0" applyNumberFormat="1" applyFont="1" applyFill="1" applyBorder="1" applyAlignment="1">
      <alignment vertical="top" wrapText="1"/>
    </xf>
    <xf numFmtId="167" fontId="4" fillId="9" borderId="1" xfId="0" applyNumberFormat="1" applyFont="1" applyFill="1" applyBorder="1" applyAlignment="1">
      <alignment vertical="top" wrapText="1"/>
    </xf>
    <xf numFmtId="41" fontId="25" fillId="5" borderId="1" xfId="6" applyFont="1" applyFill="1" applyBorder="1" applyAlignment="1">
      <alignment vertical="top"/>
    </xf>
    <xf numFmtId="41" fontId="25" fillId="5" borderId="1" xfId="6" applyFont="1" applyFill="1" applyBorder="1" applyAlignment="1">
      <alignment vertical="top" wrapText="1"/>
    </xf>
    <xf numFmtId="41" fontId="30" fillId="4" borderId="63" xfId="0" applyNumberFormat="1" applyFont="1" applyFill="1" applyBorder="1" applyAlignment="1">
      <alignment vertical="top" wrapText="1"/>
    </xf>
    <xf numFmtId="1" fontId="6" fillId="10" borderId="1" xfId="0" applyNumberFormat="1" applyFont="1" applyFill="1" applyBorder="1" applyAlignment="1">
      <alignment vertical="top" wrapText="1"/>
    </xf>
    <xf numFmtId="41" fontId="11" fillId="4" borderId="1" xfId="2" applyFont="1" applyFill="1" applyBorder="1" applyAlignment="1">
      <alignment wrapText="1"/>
    </xf>
    <xf numFmtId="41" fontId="11" fillId="4" borderId="4" xfId="2" applyFont="1" applyFill="1" applyBorder="1" applyAlignment="1">
      <alignment vertical="top"/>
    </xf>
    <xf numFmtId="41" fontId="11" fillId="4" borderId="4" xfId="2" applyFont="1" applyFill="1" applyBorder="1" applyAlignment="1">
      <alignment vertical="top" wrapText="1"/>
    </xf>
    <xf numFmtId="41" fontId="4" fillId="9" borderId="4" xfId="0" applyNumberFormat="1" applyFont="1" applyFill="1" applyBorder="1" applyAlignment="1">
      <alignment vertical="top" wrapText="1"/>
    </xf>
    <xf numFmtId="41" fontId="4" fillId="4" borderId="4" xfId="2" applyFont="1" applyFill="1" applyBorder="1" applyAlignment="1">
      <alignment vertical="top" wrapText="1"/>
    </xf>
    <xf numFmtId="0" fontId="11" fillId="4" borderId="4" xfId="0" applyFont="1" applyFill="1" applyBorder="1" applyAlignment="1">
      <alignment vertical="top"/>
    </xf>
    <xf numFmtId="39" fontId="11" fillId="0" borderId="4" xfId="5" applyNumberFormat="1" applyFont="1" applyFill="1" applyBorder="1" applyAlignment="1">
      <alignment horizontal="right" vertical="top" wrapText="1"/>
    </xf>
    <xf numFmtId="39" fontId="11" fillId="0" borderId="1" xfId="5" applyNumberFormat="1" applyFont="1" applyFill="1" applyBorder="1" applyAlignment="1">
      <alignment horizontal="right" vertical="top" wrapText="1"/>
    </xf>
    <xf numFmtId="37" fontId="11" fillId="0" borderId="4" xfId="5" applyNumberFormat="1" applyFont="1" applyFill="1" applyBorder="1" applyAlignment="1">
      <alignment horizontal="right" vertical="top" wrapText="1"/>
    </xf>
    <xf numFmtId="37" fontId="6" fillId="0" borderId="1" xfId="1" applyNumberFormat="1" applyFont="1" applyBorder="1" applyAlignment="1">
      <alignment horizontal="right" vertical="center" wrapText="1"/>
    </xf>
    <xf numFmtId="167" fontId="20" fillId="0" borderId="1" xfId="2" applyNumberFormat="1" applyFont="1" applyFill="1" applyBorder="1" applyAlignment="1">
      <alignment vertical="center"/>
    </xf>
    <xf numFmtId="167" fontId="20" fillId="0" borderId="1" xfId="2" applyNumberFormat="1" applyFont="1" applyFill="1" applyBorder="1" applyAlignment="1">
      <alignment vertical="top"/>
    </xf>
    <xf numFmtId="0" fontId="20" fillId="0" borderId="1" xfId="0" applyNumberFormat="1" applyFont="1" applyFill="1" applyBorder="1" applyAlignment="1">
      <alignment horizontal="center" vertical="center"/>
    </xf>
    <xf numFmtId="0" fontId="20" fillId="0" borderId="1" xfId="0" applyNumberFormat="1" applyFont="1" applyFill="1" applyBorder="1" applyAlignment="1">
      <alignment horizontal="center" vertical="top"/>
    </xf>
    <xf numFmtId="193" fontId="11" fillId="0" borderId="1" xfId="2" applyNumberFormat="1" applyFont="1" applyFill="1" applyBorder="1" applyAlignment="1">
      <alignment horizontal="right" vertical="top" wrapText="1"/>
    </xf>
    <xf numFmtId="164" fontId="20" fillId="0" borderId="1" xfId="1" applyNumberFormat="1" applyFont="1" applyFill="1" applyBorder="1" applyAlignment="1">
      <alignment horizontal="right" vertical="top"/>
    </xf>
    <xf numFmtId="173" fontId="6" fillId="0" borderId="1" xfId="1" applyNumberFormat="1" applyFont="1" applyBorder="1" applyAlignment="1">
      <alignment vertical="top" wrapText="1"/>
    </xf>
    <xf numFmtId="41" fontId="6" fillId="0" borderId="1" xfId="2" quotePrefix="1" applyNumberFormat="1" applyFont="1" applyFill="1" applyBorder="1" applyAlignment="1">
      <alignment vertical="top" wrapText="1"/>
    </xf>
    <xf numFmtId="9" fontId="6" fillId="0" borderId="1" xfId="0" quotePrefix="1" applyNumberFormat="1" applyFont="1" applyFill="1" applyBorder="1" applyAlignment="1">
      <alignment horizontal="right" vertical="top" wrapText="1"/>
    </xf>
    <xf numFmtId="0" fontId="4" fillId="9" borderId="1" xfId="0" applyFont="1" applyFill="1" applyBorder="1" applyAlignment="1">
      <alignment horizontal="center" vertical="top" wrapText="1"/>
    </xf>
    <xf numFmtId="41" fontId="19" fillId="0" borderId="1" xfId="0" applyNumberFormat="1" applyFont="1" applyFill="1" applyBorder="1" applyAlignment="1">
      <alignment horizontal="right" vertical="top" wrapText="1"/>
    </xf>
    <xf numFmtId="37" fontId="11" fillId="0" borderId="1" xfId="4" applyNumberFormat="1" applyFont="1" applyBorder="1" applyAlignment="1">
      <alignment horizontal="right" vertical="top" wrapText="1"/>
    </xf>
    <xf numFmtId="164" fontId="11" fillId="5" borderId="1" xfId="1" applyNumberFormat="1" applyFont="1" applyFill="1" applyBorder="1" applyAlignment="1">
      <alignment horizontal="right" vertical="top" wrapText="1"/>
    </xf>
    <xf numFmtId="0" fontId="5" fillId="3" borderId="1" xfId="0" applyNumberFormat="1" applyFont="1" applyFill="1" applyBorder="1" applyAlignment="1">
      <alignment horizontal="right" vertical="center" wrapText="1"/>
    </xf>
    <xf numFmtId="41" fontId="6" fillId="0" borderId="4" xfId="2" applyFont="1" applyBorder="1" applyAlignment="1">
      <alignment horizontal="right" vertical="top" wrapText="1"/>
    </xf>
    <xf numFmtId="41" fontId="5" fillId="9" borderId="3" xfId="2" applyFont="1" applyFill="1" applyBorder="1" applyAlignment="1">
      <alignment vertical="top" wrapText="1"/>
    </xf>
    <xf numFmtId="41" fontId="6" fillId="0" borderId="1" xfId="2" applyFont="1" applyBorder="1" applyAlignment="1">
      <alignment wrapText="1"/>
    </xf>
    <xf numFmtId="0" fontId="5" fillId="9" borderId="1" xfId="0" applyFont="1" applyFill="1" applyBorder="1" applyAlignment="1">
      <alignment horizontal="right" vertical="top" wrapText="1"/>
    </xf>
    <xf numFmtId="0" fontId="19" fillId="0" borderId="1" xfId="0" applyFont="1" applyBorder="1" applyAlignment="1">
      <alignment horizontal="right" vertical="top"/>
    </xf>
    <xf numFmtId="41" fontId="0" fillId="0" borderId="4" xfId="0" applyNumberFormat="1" applyFont="1" applyFill="1" applyBorder="1" applyAlignment="1">
      <alignment vertical="top"/>
    </xf>
    <xf numFmtId="41" fontId="22" fillId="0" borderId="1" xfId="2" quotePrefix="1" applyFont="1" applyBorder="1" applyAlignment="1">
      <alignment horizontal="right" vertical="top" wrapText="1"/>
    </xf>
    <xf numFmtId="1" fontId="22" fillId="0" borderId="1" xfId="2" applyNumberFormat="1" applyFont="1" applyBorder="1" applyAlignment="1">
      <alignment horizontal="right" vertical="top" wrapText="1"/>
    </xf>
    <xf numFmtId="0" fontId="18" fillId="9" borderId="1" xfId="0" applyNumberFormat="1" applyFont="1" applyFill="1" applyBorder="1" applyAlignment="1">
      <alignment vertical="top"/>
    </xf>
    <xf numFmtId="0" fontId="18" fillId="0" borderId="1" xfId="0" applyFont="1" applyBorder="1" applyAlignment="1">
      <alignment horizontal="right" vertical="top"/>
    </xf>
    <xf numFmtId="0" fontId="19" fillId="0" borderId="1" xfId="0" applyFont="1" applyBorder="1" applyAlignment="1">
      <alignment horizontal="right" vertical="top"/>
    </xf>
    <xf numFmtId="0" fontId="18" fillId="12" borderId="10" xfId="0" applyFont="1" applyFill="1" applyBorder="1" applyAlignment="1">
      <alignment horizontal="left" vertical="center" wrapText="1"/>
    </xf>
    <xf numFmtId="0" fontId="18" fillId="12" borderId="11" xfId="0" applyFont="1" applyFill="1" applyBorder="1" applyAlignment="1">
      <alignment horizontal="left" vertical="center" wrapText="1"/>
    </xf>
    <xf numFmtId="0" fontId="18" fillId="0" borderId="10" xfId="0" applyFont="1" applyBorder="1" applyAlignment="1">
      <alignment horizontal="center" vertical="top"/>
    </xf>
    <xf numFmtId="0" fontId="18" fillId="0" borderId="12" xfId="0" applyFont="1" applyBorder="1" applyAlignment="1">
      <alignment horizontal="center" vertical="top"/>
    </xf>
    <xf numFmtId="0" fontId="18" fillId="0" borderId="11" xfId="0" applyFont="1" applyBorder="1" applyAlignment="1">
      <alignment horizontal="center" vertical="top"/>
    </xf>
    <xf numFmtId="0" fontId="4" fillId="14" borderId="10" xfId="0" applyFont="1" applyFill="1" applyBorder="1" applyAlignment="1">
      <alignment horizontal="left" vertical="center"/>
    </xf>
    <xf numFmtId="0" fontId="4" fillId="14" borderId="12" xfId="0" applyFont="1" applyFill="1" applyBorder="1" applyAlignment="1">
      <alignment horizontal="left" vertical="center"/>
    </xf>
    <xf numFmtId="0" fontId="4" fillId="14" borderId="11" xfId="0" applyFont="1" applyFill="1" applyBorder="1" applyAlignment="1">
      <alignment horizontal="left" vertical="center"/>
    </xf>
    <xf numFmtId="0" fontId="18" fillId="0" borderId="1" xfId="0" applyFont="1" applyBorder="1" applyAlignment="1">
      <alignment horizontal="right" vertical="center"/>
    </xf>
    <xf numFmtId="0" fontId="19" fillId="0" borderId="1" xfId="0" applyFont="1" applyBorder="1" applyAlignment="1">
      <alignment horizontal="right" vertical="center"/>
    </xf>
    <xf numFmtId="0" fontId="5" fillId="0" borderId="1" xfId="0" applyFont="1" applyBorder="1" applyAlignment="1">
      <alignment horizontal="right" vertical="top" wrapText="1"/>
    </xf>
    <xf numFmtId="164" fontId="11" fillId="0" borderId="2" xfId="7" applyNumberFormat="1" applyFont="1" applyFill="1" applyBorder="1" applyAlignment="1" applyProtection="1">
      <alignment horizontal="center" vertical="top" wrapText="1"/>
    </xf>
    <xf numFmtId="164" fontId="11" fillId="0" borderId="4" xfId="7" applyNumberFormat="1" applyFont="1" applyFill="1" applyBorder="1" applyAlignment="1" applyProtection="1">
      <alignment horizontal="center" vertical="top" wrapText="1"/>
    </xf>
    <xf numFmtId="0" fontId="8" fillId="0" borderId="1" xfId="5" applyFont="1" applyFill="1" applyBorder="1" applyAlignment="1">
      <alignment horizontal="center" vertical="top" wrapText="1"/>
    </xf>
    <xf numFmtId="0" fontId="8" fillId="0" borderId="1" xfId="5" quotePrefix="1" applyFont="1" applyFill="1" applyBorder="1" applyAlignment="1">
      <alignment horizontal="center" vertical="top" wrapText="1"/>
    </xf>
    <xf numFmtId="41" fontId="8" fillId="0" borderId="1" xfId="4" applyFont="1" applyFill="1" applyBorder="1" applyAlignment="1" applyProtection="1">
      <alignment horizontal="right" vertical="top" wrapText="1"/>
    </xf>
    <xf numFmtId="0" fontId="8" fillId="0" borderId="1" xfId="5" applyFont="1" applyFill="1" applyBorder="1" applyAlignment="1">
      <alignment horizontal="right" vertical="top" wrapText="1"/>
    </xf>
    <xf numFmtId="41" fontId="8" fillId="0" borderId="2" xfId="2" applyFont="1" applyFill="1" applyBorder="1" applyAlignment="1" applyProtection="1">
      <alignment horizontal="center" vertical="top" wrapText="1"/>
    </xf>
    <xf numFmtId="41" fontId="8" fillId="0" borderId="3" xfId="2" applyFont="1" applyFill="1" applyBorder="1" applyAlignment="1" applyProtection="1">
      <alignment horizontal="center" vertical="top" wrapText="1"/>
    </xf>
    <xf numFmtId="41" fontId="8" fillId="0" borderId="4" xfId="2" applyFont="1" applyFill="1" applyBorder="1" applyAlignment="1" applyProtection="1">
      <alignment horizontal="center" vertical="top" wrapText="1"/>
    </xf>
    <xf numFmtId="41" fontId="8" fillId="0" borderId="2" xfId="4" applyFont="1" applyFill="1" applyBorder="1" applyAlignment="1" applyProtection="1">
      <alignment horizontal="center" vertical="top" wrapText="1"/>
    </xf>
    <xf numFmtId="41" fontId="8" fillId="0" borderId="3" xfId="4" applyFont="1" applyFill="1" applyBorder="1" applyAlignment="1" applyProtection="1">
      <alignment horizontal="center" vertical="top" wrapText="1"/>
    </xf>
    <xf numFmtId="41" fontId="8" fillId="0" borderId="4" xfId="4" applyFont="1" applyFill="1" applyBorder="1" applyAlignment="1" applyProtection="1">
      <alignment horizontal="center" vertical="top" wrapText="1"/>
    </xf>
    <xf numFmtId="0" fontId="8" fillId="0" borderId="2" xfId="5" applyFont="1" applyFill="1" applyBorder="1" applyAlignment="1">
      <alignment horizontal="center" vertical="top" wrapText="1"/>
    </xf>
    <xf numFmtId="0" fontId="8" fillId="0" borderId="4" xfId="5" applyFont="1" applyFill="1" applyBorder="1" applyAlignment="1">
      <alignment horizontal="center" vertical="top" wrapText="1"/>
    </xf>
    <xf numFmtId="0" fontId="8" fillId="0" borderId="2" xfId="5" quotePrefix="1" applyFont="1" applyFill="1" applyBorder="1" applyAlignment="1">
      <alignment horizontal="center" vertical="top" wrapText="1"/>
    </xf>
    <xf numFmtId="0" fontId="8" fillId="0" borderId="4" xfId="5" quotePrefix="1" applyFont="1" applyFill="1" applyBorder="1" applyAlignment="1">
      <alignment horizontal="center" vertical="top" wrapText="1"/>
    </xf>
    <xf numFmtId="0" fontId="7" fillId="3" borderId="10" xfId="0" applyFont="1" applyFill="1" applyBorder="1" applyAlignment="1">
      <alignment horizontal="left" vertical="center" wrapText="1"/>
    </xf>
    <xf numFmtId="0" fontId="7" fillId="3" borderId="11" xfId="0" applyFont="1" applyFill="1" applyBorder="1" applyAlignment="1">
      <alignment horizontal="left" vertical="center" wrapText="1"/>
    </xf>
    <xf numFmtId="0" fontId="7" fillId="0" borderId="1" xfId="0" applyFont="1" applyBorder="1" applyAlignment="1">
      <alignment horizontal="right" vertical="center" wrapText="1"/>
    </xf>
    <xf numFmtId="0" fontId="5" fillId="0" borderId="1" xfId="0" applyFont="1" applyBorder="1" applyAlignment="1">
      <alignment horizontal="right" vertical="center" wrapText="1"/>
    </xf>
    <xf numFmtId="0" fontId="5" fillId="12" borderId="10" xfId="0" applyFont="1" applyFill="1" applyBorder="1" applyAlignment="1">
      <alignment horizontal="left" vertical="center" wrapText="1"/>
    </xf>
    <xf numFmtId="0" fontId="5" fillId="12" borderId="12" xfId="0" applyFont="1" applyFill="1" applyBorder="1" applyAlignment="1">
      <alignment horizontal="left" vertical="center" wrapText="1"/>
    </xf>
    <xf numFmtId="0" fontId="5" fillId="12" borderId="11" xfId="0" applyFont="1" applyFill="1" applyBorder="1" applyAlignment="1">
      <alignment horizontal="left" vertical="center" wrapText="1"/>
    </xf>
    <xf numFmtId="0" fontId="6" fillId="0" borderId="1" xfId="0" applyFont="1" applyBorder="1" applyAlignment="1">
      <alignment horizontal="right" vertical="center" wrapText="1"/>
    </xf>
    <xf numFmtId="0" fontId="5" fillId="0" borderId="8" xfId="0" applyFont="1" applyBorder="1" applyAlignment="1">
      <alignment horizontal="right" vertical="center" wrapText="1"/>
    </xf>
    <xf numFmtId="0" fontId="5" fillId="0" borderId="13" xfId="0" applyFont="1" applyBorder="1" applyAlignment="1">
      <alignment horizontal="right" vertical="center" wrapText="1"/>
    </xf>
    <xf numFmtId="0" fontId="6" fillId="0" borderId="13" xfId="0" applyFont="1" applyBorder="1" applyAlignment="1">
      <alignment vertical="center" wrapText="1"/>
    </xf>
    <xf numFmtId="0" fontId="6" fillId="0" borderId="9" xfId="0" applyFont="1" applyBorder="1" applyAlignment="1">
      <alignmen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5" fillId="8" borderId="10" xfId="0" applyFont="1" applyFill="1" applyBorder="1" applyAlignment="1">
      <alignment horizontal="left" vertical="center" wrapText="1"/>
    </xf>
    <xf numFmtId="0" fontId="5" fillId="8" borderId="11" xfId="0" applyFont="1" applyFill="1" applyBorder="1" applyAlignment="1">
      <alignment horizontal="left" vertical="center" wrapText="1"/>
    </xf>
    <xf numFmtId="0" fontId="5" fillId="0" borderId="10" xfId="0" applyFont="1" applyBorder="1" applyAlignment="1">
      <alignment horizontal="right" vertical="center" wrapText="1"/>
    </xf>
    <xf numFmtId="0" fontId="5" fillId="0" borderId="12" xfId="0" applyFont="1" applyBorder="1" applyAlignment="1">
      <alignment horizontal="right" vertical="center" wrapText="1"/>
    </xf>
    <xf numFmtId="0" fontId="5" fillId="0" borderId="11" xfId="0" applyFont="1" applyBorder="1" applyAlignment="1">
      <alignment horizontal="right" vertical="center" wrapText="1"/>
    </xf>
    <xf numFmtId="0" fontId="8" fillId="0" borderId="1" xfId="5" applyFont="1" applyFill="1" applyBorder="1" applyAlignment="1">
      <alignment horizontal="left" vertical="top" wrapText="1"/>
    </xf>
    <xf numFmtId="41" fontId="8" fillId="0" borderId="2" xfId="4" applyFont="1" applyFill="1" applyBorder="1" applyAlignment="1" applyProtection="1">
      <alignment horizontal="right" vertical="top" wrapText="1"/>
    </xf>
    <xf numFmtId="41" fontId="8" fillId="0" borderId="4" xfId="4" applyFont="1" applyFill="1" applyBorder="1" applyAlignment="1" applyProtection="1">
      <alignment horizontal="right" vertical="top" wrapText="1"/>
    </xf>
    <xf numFmtId="0" fontId="6" fillId="0" borderId="4" xfId="0" applyFont="1" applyBorder="1" applyAlignment="1">
      <alignment wrapText="1"/>
    </xf>
    <xf numFmtId="164" fontId="8" fillId="0" borderId="2" xfId="7" applyNumberFormat="1" applyFont="1" applyFill="1" applyBorder="1" applyAlignment="1" applyProtection="1">
      <alignment horizontal="center" vertical="top" wrapText="1"/>
    </xf>
    <xf numFmtId="164" fontId="8" fillId="0" borderId="4" xfId="7" applyNumberFormat="1" applyFont="1" applyFill="1" applyBorder="1" applyAlignment="1" applyProtection="1">
      <alignment horizontal="center" vertical="top" wrapText="1"/>
    </xf>
    <xf numFmtId="164" fontId="8" fillId="0" borderId="1" xfId="7" applyNumberFormat="1" applyFont="1" applyFill="1" applyBorder="1" applyAlignment="1" applyProtection="1">
      <alignment horizontal="right" vertical="top" wrapText="1"/>
    </xf>
    <xf numFmtId="41" fontId="9" fillId="0" borderId="2" xfId="4" applyFont="1" applyBorder="1" applyAlignment="1" applyProtection="1">
      <alignment horizontal="center" vertical="top" wrapText="1"/>
      <protection locked="0"/>
    </xf>
    <xf numFmtId="41" fontId="9" fillId="0" borderId="4" xfId="4" applyFont="1" applyBorder="1" applyAlignment="1" applyProtection="1">
      <alignment horizontal="center" vertical="top" wrapText="1"/>
      <protection locked="0"/>
    </xf>
    <xf numFmtId="41" fontId="8" fillId="0" borderId="2" xfId="5" applyNumberFormat="1" applyFont="1" applyFill="1" applyBorder="1" applyAlignment="1">
      <alignment horizontal="center" vertical="top" wrapText="1"/>
    </xf>
    <xf numFmtId="41" fontId="8" fillId="0" borderId="4" xfId="5" applyNumberFormat="1" applyFont="1" applyFill="1" applyBorder="1" applyAlignment="1">
      <alignment horizontal="center" vertical="top" wrapText="1"/>
    </xf>
    <xf numFmtId="41" fontId="8" fillId="0" borderId="2" xfId="2" applyFont="1" applyFill="1" applyBorder="1" applyAlignment="1">
      <alignment horizontal="center" vertical="top" wrapText="1"/>
    </xf>
    <xf numFmtId="41" fontId="8" fillId="0" borderId="4" xfId="2" applyFont="1" applyFill="1" applyBorder="1" applyAlignment="1">
      <alignment horizontal="center" vertical="top" wrapText="1"/>
    </xf>
    <xf numFmtId="0" fontId="8" fillId="0" borderId="1" xfId="5" quotePrefix="1" applyFont="1" applyFill="1" applyBorder="1" applyAlignment="1">
      <alignment horizontal="right" vertical="top" wrapText="1"/>
    </xf>
    <xf numFmtId="0" fontId="8" fillId="0" borderId="3" xfId="5" quotePrefix="1" applyFont="1" applyFill="1" applyBorder="1" applyAlignment="1">
      <alignment horizontal="center" vertical="top" wrapText="1"/>
    </xf>
    <xf numFmtId="0" fontId="11" fillId="0" borderId="2" xfId="5" applyFont="1" applyFill="1" applyBorder="1" applyAlignment="1">
      <alignment horizontal="left" vertical="top" wrapText="1"/>
    </xf>
    <xf numFmtId="0" fontId="11" fillId="0" borderId="3" xfId="5" applyFont="1" applyFill="1" applyBorder="1" applyAlignment="1">
      <alignment horizontal="left" vertical="top" wrapText="1"/>
    </xf>
    <xf numFmtId="0" fontId="11" fillId="0" borderId="4" xfId="5" applyFont="1" applyFill="1" applyBorder="1" applyAlignment="1">
      <alignment horizontal="left" vertical="top" wrapText="1"/>
    </xf>
    <xf numFmtId="0" fontId="10" fillId="0" borderId="10" xfId="0" applyFont="1" applyBorder="1" applyAlignment="1">
      <alignment horizontal="right" vertical="center" wrapText="1"/>
    </xf>
    <xf numFmtId="0" fontId="10" fillId="0" borderId="12" xfId="0" applyFont="1" applyBorder="1" applyAlignment="1">
      <alignment horizontal="right" vertical="center" wrapText="1"/>
    </xf>
    <xf numFmtId="0" fontId="10" fillId="0" borderId="11" xfId="0" applyFont="1" applyBorder="1" applyAlignment="1">
      <alignment horizontal="right" vertical="center" wrapText="1"/>
    </xf>
    <xf numFmtId="0" fontId="8" fillId="0" borderId="2" xfId="5" applyFont="1" applyFill="1" applyBorder="1" applyAlignment="1">
      <alignment horizontal="left" vertical="top" wrapText="1"/>
    </xf>
    <xf numFmtId="0" fontId="8" fillId="0" borderId="4" xfId="5" applyFont="1" applyFill="1" applyBorder="1" applyAlignment="1">
      <alignment horizontal="left" vertical="top" wrapText="1"/>
    </xf>
    <xf numFmtId="2" fontId="8" fillId="0" borderId="2" xfId="5" applyNumberFormat="1" applyFont="1" applyFill="1" applyBorder="1" applyAlignment="1">
      <alignment horizontal="right" vertical="top" wrapText="1"/>
    </xf>
    <xf numFmtId="2" fontId="8" fillId="0" borderId="3" xfId="5" applyNumberFormat="1" applyFont="1" applyFill="1" applyBorder="1" applyAlignment="1">
      <alignment horizontal="right" vertical="top" wrapText="1"/>
    </xf>
    <xf numFmtId="2" fontId="8" fillId="0" borderId="4" xfId="5" applyNumberFormat="1" applyFont="1" applyFill="1" applyBorder="1" applyAlignment="1">
      <alignment horizontal="right" vertical="top" wrapText="1"/>
    </xf>
    <xf numFmtId="0" fontId="8" fillId="0" borderId="3" xfId="5" applyFont="1" applyFill="1" applyBorder="1" applyAlignment="1">
      <alignment horizontal="center" vertical="top" wrapText="1"/>
    </xf>
    <xf numFmtId="0" fontId="6" fillId="0" borderId="1" xfId="0" applyFont="1" applyBorder="1" applyAlignment="1">
      <alignment horizontal="right" vertical="top" wrapText="1"/>
    </xf>
    <xf numFmtId="0" fontId="4" fillId="9" borderId="2" xfId="0" applyFont="1" applyFill="1" applyBorder="1" applyAlignment="1">
      <alignment horizontal="left" vertical="top" wrapText="1"/>
    </xf>
    <xf numFmtId="0" fontId="4" fillId="9" borderId="3" xfId="0" applyFont="1" applyFill="1" applyBorder="1" applyAlignment="1">
      <alignment horizontal="left" vertical="top" wrapText="1"/>
    </xf>
    <xf numFmtId="0" fontId="11" fillId="0" borderId="2" xfId="5" applyFont="1" applyBorder="1" applyAlignment="1">
      <alignment vertical="top" wrapText="1"/>
    </xf>
    <xf numFmtId="0" fontId="11" fillId="0" borderId="4" xfId="5" applyFont="1" applyBorder="1" applyAlignment="1">
      <alignment vertical="top" wrapText="1"/>
    </xf>
    <xf numFmtId="0" fontId="11" fillId="0" borderId="3" xfId="5" applyFont="1" applyBorder="1" applyAlignment="1">
      <alignment vertical="top" wrapText="1"/>
    </xf>
    <xf numFmtId="0" fontId="8" fillId="0" borderId="3" xfId="5" applyFont="1" applyFill="1" applyBorder="1" applyAlignment="1">
      <alignment horizontal="left" vertical="top" wrapText="1"/>
    </xf>
    <xf numFmtId="0" fontId="11" fillId="0" borderId="2" xfId="5" applyFont="1" applyFill="1" applyBorder="1" applyAlignment="1">
      <alignment horizontal="center" vertical="top" wrapText="1"/>
    </xf>
    <xf numFmtId="0" fontId="11" fillId="0" borderId="4" xfId="5" applyFont="1" applyFill="1" applyBorder="1" applyAlignment="1">
      <alignment horizontal="center" vertical="top" wrapText="1"/>
    </xf>
    <xf numFmtId="0" fontId="4" fillId="0" borderId="4" xfId="5" applyFont="1" applyFill="1" applyBorder="1" applyAlignment="1">
      <alignment horizontal="left" vertical="top" wrapText="1"/>
    </xf>
    <xf numFmtId="41" fontId="11" fillId="0" borderId="2" xfId="4" applyFont="1" applyFill="1" applyBorder="1" applyAlignment="1" applyProtection="1">
      <alignment horizontal="center" vertical="top" wrapText="1"/>
    </xf>
    <xf numFmtId="41" fontId="11" fillId="0" borderId="4" xfId="4" applyFont="1" applyFill="1" applyBorder="1" applyAlignment="1" applyProtection="1">
      <alignment horizontal="center" vertical="top" wrapText="1"/>
    </xf>
    <xf numFmtId="41" fontId="11" fillId="0" borderId="2" xfId="2" applyFont="1" applyFill="1" applyBorder="1" applyAlignment="1" applyProtection="1">
      <alignment horizontal="center" vertical="top" wrapText="1"/>
    </xf>
    <xf numFmtId="41" fontId="11" fillId="0" borderId="4" xfId="2" applyFont="1" applyFill="1" applyBorder="1" applyAlignment="1" applyProtection="1">
      <alignment horizontal="center" vertical="top" wrapText="1"/>
    </xf>
    <xf numFmtId="41" fontId="11" fillId="0" borderId="2" xfId="2" applyFont="1" applyBorder="1" applyAlignment="1" applyProtection="1">
      <alignment horizontal="center" vertical="top" wrapText="1"/>
      <protection locked="0"/>
    </xf>
    <xf numFmtId="41" fontId="11" fillId="0" borderId="4" xfId="2" applyFont="1" applyBorder="1" applyAlignment="1" applyProtection="1">
      <alignment horizontal="center" vertical="top" wrapText="1"/>
      <protection locked="0"/>
    </xf>
    <xf numFmtId="41" fontId="11" fillId="0" borderId="2" xfId="2" applyFont="1" applyFill="1" applyBorder="1" applyAlignment="1">
      <alignment horizontal="center" vertical="top" wrapText="1"/>
    </xf>
    <xf numFmtId="41" fontId="11" fillId="0" borderId="4" xfId="2" applyFont="1" applyFill="1" applyBorder="1" applyAlignment="1">
      <alignment horizontal="center" vertical="top" wrapText="1"/>
    </xf>
    <xf numFmtId="0" fontId="5" fillId="15" borderId="10" xfId="0" applyFont="1" applyFill="1" applyBorder="1" applyAlignment="1">
      <alignment horizontal="left" vertical="center" wrapText="1"/>
    </xf>
    <xf numFmtId="0" fontId="5" fillId="15" borderId="11" xfId="0" applyFont="1" applyFill="1" applyBorder="1" applyAlignment="1">
      <alignment horizontal="left" vertical="center" wrapText="1"/>
    </xf>
    <xf numFmtId="0" fontId="5" fillId="4" borderId="12" xfId="0" applyFont="1" applyFill="1" applyBorder="1" applyAlignment="1">
      <alignment horizontal="right" vertical="center" wrapText="1"/>
    </xf>
    <xf numFmtId="0" fontId="5" fillId="3" borderId="12" xfId="0" applyFont="1" applyFill="1" applyBorder="1" applyAlignment="1">
      <alignment horizontal="left" vertical="center" wrapText="1"/>
    </xf>
    <xf numFmtId="0" fontId="4" fillId="4" borderId="1" xfId="0" applyFont="1" applyFill="1" applyBorder="1" applyAlignment="1">
      <alignment horizontal="right" vertical="top" wrapText="1"/>
    </xf>
    <xf numFmtId="0" fontId="4" fillId="13" borderId="10" xfId="0" applyFont="1" applyFill="1" applyBorder="1" applyAlignment="1">
      <alignment horizontal="left" vertical="center" wrapText="1"/>
    </xf>
    <xf numFmtId="0" fontId="4" fillId="13" borderId="11" xfId="0" applyFont="1" applyFill="1" applyBorder="1" applyAlignment="1">
      <alignment horizontal="left" vertical="center" wrapText="1"/>
    </xf>
    <xf numFmtId="0" fontId="5" fillId="0" borderId="46" xfId="0" applyFont="1" applyBorder="1" applyAlignment="1">
      <alignment horizontal="right" vertical="top" wrapText="1"/>
    </xf>
    <xf numFmtId="0" fontId="5" fillId="0" borderId="51" xfId="0" applyFont="1" applyBorder="1" applyAlignment="1">
      <alignment horizontal="right" vertical="top" wrapText="1"/>
    </xf>
    <xf numFmtId="0" fontId="5" fillId="0" borderId="45" xfId="0" applyFont="1" applyBorder="1" applyAlignment="1">
      <alignment horizontal="right" vertical="top" wrapText="1"/>
    </xf>
    <xf numFmtId="0" fontId="5" fillId="0" borderId="48" xfId="0" applyFont="1" applyBorder="1" applyAlignment="1">
      <alignment horizontal="right" vertical="top" wrapText="1"/>
    </xf>
    <xf numFmtId="0" fontId="5" fillId="14" borderId="10" xfId="0" applyFont="1" applyFill="1" applyBorder="1" applyAlignment="1">
      <alignment horizontal="left" vertical="center" wrapText="1"/>
    </xf>
    <xf numFmtId="0" fontId="5" fillId="14" borderId="12" xfId="0" applyFont="1" applyFill="1" applyBorder="1" applyAlignment="1">
      <alignment horizontal="left" vertical="center" wrapText="1"/>
    </xf>
    <xf numFmtId="0" fontId="5" fillId="14" borderId="11" xfId="0" applyFont="1" applyFill="1" applyBorder="1" applyAlignment="1">
      <alignment horizontal="left" vertical="center" wrapText="1"/>
    </xf>
    <xf numFmtId="0" fontId="4" fillId="9" borderId="28" xfId="0" applyFont="1" applyFill="1" applyBorder="1" applyAlignment="1">
      <alignment horizontal="left" vertical="top" wrapText="1"/>
    </xf>
    <xf numFmtId="0" fontId="4" fillId="9" borderId="29" xfId="0" applyFont="1" applyFill="1" applyBorder="1" applyAlignment="1">
      <alignment horizontal="left" vertical="top" wrapText="1"/>
    </xf>
    <xf numFmtId="0" fontId="4" fillId="14" borderId="10" xfId="0" applyFont="1" applyFill="1" applyBorder="1" applyAlignment="1">
      <alignment horizontal="left" vertical="center" wrapText="1"/>
    </xf>
    <xf numFmtId="0" fontId="4" fillId="14" borderId="12" xfId="0" applyFont="1" applyFill="1" applyBorder="1" applyAlignment="1">
      <alignment horizontal="left" vertical="center" wrapText="1"/>
    </xf>
    <xf numFmtId="0" fontId="4" fillId="14" borderId="11"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5" fillId="9" borderId="1" xfId="0" applyFont="1" applyFill="1" applyBorder="1" applyAlignment="1">
      <alignment horizontal="center" vertical="top" wrapText="1"/>
    </xf>
    <xf numFmtId="0" fontId="5" fillId="9" borderId="1" xfId="0" applyFont="1" applyFill="1" applyBorder="1" applyAlignment="1">
      <alignment horizontal="left" vertical="top" wrapText="1"/>
    </xf>
    <xf numFmtId="0" fontId="8" fillId="0" borderId="2" xfId="5" applyFont="1" applyFill="1" applyBorder="1" applyAlignment="1">
      <alignment horizontal="right" vertical="top" wrapText="1"/>
    </xf>
    <xf numFmtId="0" fontId="8" fillId="0" borderId="3" xfId="5" applyFont="1" applyFill="1" applyBorder="1" applyAlignment="1">
      <alignment horizontal="right" vertical="top" wrapText="1"/>
    </xf>
    <xf numFmtId="0" fontId="8" fillId="0" borderId="4" xfId="5" applyFont="1" applyFill="1" applyBorder="1" applyAlignment="1">
      <alignment horizontal="right" vertical="top"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top" wrapText="1"/>
    </xf>
    <xf numFmtId="0" fontId="10" fillId="9" borderId="28" xfId="0" applyFont="1" applyFill="1" applyBorder="1" applyAlignment="1">
      <alignment horizontal="left" vertical="top" wrapText="1"/>
    </xf>
    <xf numFmtId="0" fontId="10" fillId="9" borderId="16" xfId="0" applyFont="1" applyFill="1" applyBorder="1" applyAlignment="1">
      <alignment horizontal="left" vertical="top" wrapText="1"/>
    </xf>
    <xf numFmtId="0" fontId="10" fillId="9" borderId="29" xfId="0" applyFont="1" applyFill="1" applyBorder="1" applyAlignment="1">
      <alignment horizontal="left" vertical="top" wrapText="1"/>
    </xf>
    <xf numFmtId="0" fontId="11" fillId="0" borderId="2" xfId="5" applyFont="1" applyBorder="1" applyAlignment="1">
      <alignment horizontal="left" vertical="top" wrapText="1"/>
    </xf>
    <xf numFmtId="0" fontId="11" fillId="0" borderId="3" xfId="5" applyFont="1" applyBorder="1" applyAlignment="1">
      <alignment horizontal="left" vertical="top" wrapText="1"/>
    </xf>
    <xf numFmtId="0" fontId="9" fillId="0" borderId="22" xfId="0" applyFont="1" applyBorder="1" applyAlignment="1">
      <alignment horizontal="right" vertical="top" wrapText="1"/>
    </xf>
    <xf numFmtId="2" fontId="4" fillId="4" borderId="10" xfId="0" applyNumberFormat="1" applyFont="1" applyFill="1" applyBorder="1" applyAlignment="1">
      <alignment horizontal="right" vertical="center" wrapText="1"/>
    </xf>
    <xf numFmtId="2" fontId="4" fillId="4" borderId="12" xfId="0" applyNumberFormat="1" applyFont="1" applyFill="1" applyBorder="1" applyAlignment="1">
      <alignment horizontal="right" vertical="center" wrapText="1"/>
    </xf>
    <xf numFmtId="2" fontId="4" fillId="4" borderId="11" xfId="0" applyNumberFormat="1" applyFont="1" applyFill="1" applyBorder="1" applyAlignment="1">
      <alignment horizontal="right" vertical="center" wrapText="1"/>
    </xf>
    <xf numFmtId="0" fontId="6" fillId="0" borderId="12" xfId="0" applyFont="1" applyBorder="1" applyAlignment="1">
      <alignment horizontal="right" vertical="center" wrapText="1"/>
    </xf>
    <xf numFmtId="0" fontId="6" fillId="0" borderId="11" xfId="0" applyFont="1" applyBorder="1" applyAlignment="1">
      <alignment horizontal="right" vertical="center" wrapText="1"/>
    </xf>
    <xf numFmtId="41" fontId="9" fillId="0" borderId="3" xfId="4" applyFont="1" applyBorder="1" applyAlignment="1" applyProtection="1">
      <alignment horizontal="center" vertical="top" wrapText="1"/>
      <protection locked="0"/>
    </xf>
    <xf numFmtId="41" fontId="8" fillId="0" borderId="3" xfId="2" applyFont="1" applyFill="1" applyBorder="1" applyAlignment="1">
      <alignment horizontal="center" vertical="top" wrapText="1"/>
    </xf>
    <xf numFmtId="164" fontId="8" fillId="0" borderId="3" xfId="7" applyNumberFormat="1" applyFont="1" applyFill="1" applyBorder="1" applyAlignment="1" applyProtection="1">
      <alignment horizontal="center" vertical="top" wrapText="1"/>
    </xf>
    <xf numFmtId="41" fontId="11" fillId="0" borderId="3" xfId="4" applyFont="1" applyFill="1" applyBorder="1" applyAlignment="1" applyProtection="1">
      <alignment horizontal="center" vertical="top" wrapText="1"/>
    </xf>
    <xf numFmtId="2" fontId="8" fillId="0" borderId="1" xfId="5" applyNumberFormat="1" applyFont="1" applyFill="1" applyBorder="1" applyAlignment="1">
      <alignment horizontal="right" vertical="top" wrapText="1"/>
    </xf>
    <xf numFmtId="0" fontId="7" fillId="3" borderId="10" xfId="5" applyFont="1" applyFill="1" applyBorder="1" applyAlignment="1">
      <alignment horizontal="left" wrapText="1"/>
    </xf>
    <xf numFmtId="0" fontId="7" fillId="3" borderId="11" xfId="5" applyFont="1" applyFill="1" applyBorder="1" applyAlignment="1">
      <alignment horizontal="left" wrapText="1"/>
    </xf>
    <xf numFmtId="164" fontId="29" fillId="0" borderId="0" xfId="1" applyNumberFormat="1" applyFont="1" applyBorder="1" applyAlignment="1">
      <alignment horizontal="center" vertical="top" wrapText="1"/>
    </xf>
    <xf numFmtId="0" fontId="28" fillId="0" borderId="0" xfId="0" applyFont="1" applyBorder="1" applyAlignment="1">
      <alignment horizontal="center" vertical="top" wrapText="1"/>
    </xf>
    <xf numFmtId="0" fontId="6" fillId="0" borderId="1" xfId="0" applyFont="1" applyBorder="1" applyAlignment="1">
      <alignment horizontal="left" vertical="top" wrapText="1"/>
    </xf>
    <xf numFmtId="0" fontId="6" fillId="0" borderId="52" xfId="0" applyFont="1" applyFill="1" applyBorder="1" applyAlignment="1">
      <alignment horizontal="center" vertical="top" wrapText="1"/>
    </xf>
    <xf numFmtId="0" fontId="4" fillId="0" borderId="10" xfId="0" applyFont="1" applyBorder="1" applyAlignment="1">
      <alignment horizontal="right" vertical="center" wrapText="1"/>
    </xf>
    <xf numFmtId="0" fontId="4" fillId="0" borderId="12" xfId="0" applyFont="1" applyBorder="1" applyAlignment="1">
      <alignment horizontal="right" vertical="center" wrapText="1"/>
    </xf>
    <xf numFmtId="0" fontId="4" fillId="0" borderId="11" xfId="0" applyFont="1" applyBorder="1" applyAlignment="1">
      <alignment horizontal="right" vertical="center" wrapText="1"/>
    </xf>
    <xf numFmtId="0" fontId="7" fillId="0" borderId="1" xfId="5" applyFont="1" applyBorder="1" applyAlignment="1">
      <alignment horizontal="right" vertical="top" wrapText="1"/>
    </xf>
    <xf numFmtId="0" fontId="8" fillId="0" borderId="1" xfId="5" applyFont="1" applyBorder="1" applyAlignment="1">
      <alignment horizontal="right" vertical="top" wrapText="1"/>
    </xf>
    <xf numFmtId="41" fontId="9" fillId="0" borderId="1" xfId="4" applyFont="1" applyBorder="1" applyAlignment="1" applyProtection="1">
      <alignment vertical="top" wrapText="1"/>
      <protection locked="0"/>
    </xf>
    <xf numFmtId="41" fontId="8" fillId="0" borderId="1" xfId="2" applyFont="1" applyFill="1" applyBorder="1" applyAlignment="1">
      <alignment horizontal="right" vertical="top" wrapText="1"/>
    </xf>
    <xf numFmtId="41" fontId="9" fillId="0" borderId="2" xfId="4" applyFont="1" applyBorder="1" applyAlignment="1" applyProtection="1">
      <alignment horizontal="center" wrapText="1"/>
      <protection locked="0"/>
    </xf>
    <xf numFmtId="41" fontId="9" fillId="0" borderId="4" xfId="4" applyFont="1" applyBorder="1" applyAlignment="1" applyProtection="1">
      <alignment horizontal="center" wrapText="1"/>
      <protection locked="0"/>
    </xf>
    <xf numFmtId="0" fontId="4" fillId="4" borderId="1" xfId="0" applyFont="1" applyFill="1" applyBorder="1" applyAlignment="1">
      <alignment horizontal="right" vertical="center" wrapText="1"/>
    </xf>
    <xf numFmtId="164" fontId="28" fillId="0" borderId="0" xfId="1" applyNumberFormat="1" applyFont="1" applyBorder="1" applyAlignment="1">
      <alignment horizontal="center" vertical="top" wrapText="1"/>
    </xf>
    <xf numFmtId="0" fontId="29" fillId="0" borderId="0" xfId="0" applyFont="1" applyBorder="1" applyAlignment="1">
      <alignment horizontal="center" vertical="top" wrapText="1"/>
    </xf>
    <xf numFmtId="0" fontId="5" fillId="10" borderId="10" xfId="0" applyFont="1" applyFill="1" applyBorder="1" applyAlignment="1">
      <alignment horizontal="left" vertical="center" wrapText="1"/>
    </xf>
    <xf numFmtId="0" fontId="5" fillId="10" borderId="11" xfId="0" applyFont="1" applyFill="1" applyBorder="1" applyAlignment="1">
      <alignment horizontal="left" vertical="center" wrapText="1"/>
    </xf>
    <xf numFmtId="0" fontId="7" fillId="0" borderId="1" xfId="5" applyFont="1" applyFill="1" applyBorder="1" applyAlignment="1">
      <alignment horizontal="center" vertical="top" wrapText="1"/>
    </xf>
    <xf numFmtId="0" fontId="26" fillId="0" borderId="0" xfId="0" applyFont="1" applyBorder="1" applyAlignment="1">
      <alignment horizontal="center" vertical="top" wrapText="1"/>
    </xf>
    <xf numFmtId="0" fontId="5" fillId="3" borderId="8" xfId="0" applyFont="1" applyFill="1" applyBorder="1" applyAlignment="1">
      <alignment horizontal="left" vertical="center" wrapText="1"/>
    </xf>
    <xf numFmtId="0" fontId="5" fillId="3" borderId="9" xfId="0" applyFont="1" applyFill="1" applyBorder="1" applyAlignment="1">
      <alignment horizontal="left" vertical="center" wrapText="1"/>
    </xf>
    <xf numFmtId="0" fontId="4" fillId="9" borderId="1" xfId="0" applyFont="1" applyFill="1" applyBorder="1" applyAlignment="1">
      <alignment horizontal="center" vertical="top"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14" borderId="23" xfId="0" applyFont="1" applyFill="1" applyBorder="1" applyAlignment="1">
      <alignment horizontal="left" vertical="center" wrapText="1"/>
    </xf>
    <xf numFmtId="0" fontId="5" fillId="14" borderId="27" xfId="0" applyFont="1" applyFill="1" applyBorder="1" applyAlignment="1">
      <alignment horizontal="left" vertical="center" wrapText="1"/>
    </xf>
    <xf numFmtId="0" fontId="5" fillId="14" borderId="26" xfId="0" applyFont="1" applyFill="1" applyBorder="1" applyAlignment="1">
      <alignment horizontal="left" vertical="center" wrapText="1"/>
    </xf>
    <xf numFmtId="0" fontId="5" fillId="13" borderId="10" xfId="0" applyFont="1" applyFill="1" applyBorder="1" applyAlignment="1">
      <alignment horizontal="left" vertical="center" wrapText="1"/>
    </xf>
    <xf numFmtId="0" fontId="5" fillId="13" borderId="11" xfId="0" applyFont="1" applyFill="1" applyBorder="1" applyAlignment="1">
      <alignment horizontal="left" vertical="center" wrapText="1"/>
    </xf>
    <xf numFmtId="0" fontId="5" fillId="2" borderId="10" xfId="0" applyFont="1" applyFill="1" applyBorder="1" applyAlignment="1">
      <alignment horizontal="center" vertical="top" wrapText="1"/>
    </xf>
    <xf numFmtId="0" fontId="5" fillId="2" borderId="11" xfId="0" applyFont="1" applyFill="1" applyBorder="1" applyAlignment="1">
      <alignment horizontal="center" vertical="top" wrapText="1"/>
    </xf>
    <xf numFmtId="0" fontId="5" fillId="2" borderId="1" xfId="0" quotePrefix="1" applyFont="1" applyFill="1" applyBorder="1" applyAlignment="1">
      <alignment horizontal="center" vertical="top" wrapText="1"/>
    </xf>
    <xf numFmtId="0" fontId="5" fillId="9" borderId="2" xfId="0" applyFont="1" applyFill="1" applyBorder="1" applyAlignment="1">
      <alignment horizontal="left" vertical="top" wrapText="1"/>
    </xf>
    <xf numFmtId="0" fontId="5" fillId="9" borderId="4" xfId="0" applyFont="1" applyFill="1" applyBorder="1" applyAlignment="1">
      <alignment horizontal="left" vertical="top" wrapText="1"/>
    </xf>
    <xf numFmtId="0" fontId="7" fillId="0" borderId="2" xfId="5" applyFont="1" applyFill="1" applyBorder="1" applyAlignment="1">
      <alignment horizontal="center" vertical="top" wrapText="1"/>
    </xf>
    <xf numFmtId="0" fontId="7" fillId="0" borderId="3" xfId="5" applyFont="1" applyFill="1" applyBorder="1" applyAlignment="1">
      <alignment horizontal="center" vertical="top" wrapText="1"/>
    </xf>
    <xf numFmtId="0" fontId="7" fillId="0" borderId="4" xfId="5" applyFont="1" applyFill="1" applyBorder="1" applyAlignment="1">
      <alignment horizontal="center" vertical="top" wrapText="1"/>
    </xf>
    <xf numFmtId="41" fontId="9" fillId="0" borderId="2" xfId="2" applyFont="1" applyBorder="1" applyAlignment="1" applyProtection="1">
      <alignment horizontal="center" vertical="top" wrapText="1"/>
      <protection locked="0"/>
    </xf>
    <xf numFmtId="41" fontId="9" fillId="0" borderId="4" xfId="2" applyFont="1" applyBorder="1" applyAlignment="1" applyProtection="1">
      <alignment horizontal="center" vertical="top" wrapText="1"/>
      <protection locked="0"/>
    </xf>
    <xf numFmtId="0" fontId="4" fillId="0" borderId="2" xfId="5" applyFont="1" applyFill="1" applyBorder="1" applyAlignment="1">
      <alignment horizontal="center" vertical="top" wrapText="1"/>
    </xf>
    <xf numFmtId="0" fontId="4" fillId="0" borderId="4" xfId="5" applyFont="1" applyFill="1" applyBorder="1" applyAlignment="1">
      <alignment horizontal="center" vertical="top" wrapText="1"/>
    </xf>
    <xf numFmtId="0" fontId="6" fillId="0" borderId="2" xfId="5" applyFont="1" applyFill="1" applyBorder="1" applyAlignment="1">
      <alignment horizontal="left" vertical="top" wrapText="1"/>
    </xf>
    <xf numFmtId="0" fontId="6" fillId="0" borderId="4" xfId="5" applyFont="1" applyFill="1" applyBorder="1" applyAlignment="1">
      <alignment horizontal="left" vertical="top" wrapText="1"/>
    </xf>
    <xf numFmtId="164" fontId="8" fillId="0" borderId="2" xfId="7" applyNumberFormat="1" applyFont="1" applyFill="1" applyBorder="1" applyAlignment="1" applyProtection="1">
      <alignment horizontal="right" vertical="top" wrapText="1"/>
    </xf>
    <xf numFmtId="164" fontId="8" fillId="0" borderId="4" xfId="7" applyNumberFormat="1" applyFont="1" applyFill="1" applyBorder="1" applyAlignment="1" applyProtection="1">
      <alignment horizontal="right" vertical="top" wrapText="1"/>
    </xf>
    <xf numFmtId="164" fontId="8" fillId="0" borderId="3" xfId="7" applyNumberFormat="1" applyFont="1" applyFill="1" applyBorder="1" applyAlignment="1" applyProtection="1">
      <alignment horizontal="right" vertical="top" wrapText="1"/>
    </xf>
    <xf numFmtId="43" fontId="5" fillId="9" borderId="1" xfId="0" applyNumberFormat="1" applyFont="1" applyFill="1" applyBorder="1" applyAlignment="1">
      <alignment horizontal="right" vertical="top" wrapText="1"/>
    </xf>
    <xf numFmtId="164" fontId="5" fillId="9" borderId="1" xfId="2" applyNumberFormat="1" applyFont="1" applyFill="1" applyBorder="1" applyAlignment="1">
      <alignment horizontal="center" vertical="top" wrapText="1"/>
    </xf>
    <xf numFmtId="164" fontId="5" fillId="9" borderId="1" xfId="1" applyNumberFormat="1" applyFont="1" applyFill="1" applyBorder="1" applyAlignment="1">
      <alignment horizontal="center" vertical="top" wrapText="1"/>
    </xf>
    <xf numFmtId="164" fontId="5" fillId="9" borderId="1" xfId="0" applyNumberFormat="1" applyFont="1" applyFill="1" applyBorder="1" applyAlignment="1">
      <alignment horizontal="right" vertical="top" wrapText="1"/>
    </xf>
    <xf numFmtId="0" fontId="5" fillId="9" borderId="1" xfId="0" applyFont="1" applyFill="1" applyBorder="1" applyAlignment="1">
      <alignment horizontal="right" vertical="top" wrapText="1"/>
    </xf>
    <xf numFmtId="41" fontId="5" fillId="9" borderId="1" xfId="0" applyNumberFormat="1" applyFont="1" applyFill="1" applyBorder="1" applyAlignment="1">
      <alignment horizontal="center" vertical="top" wrapText="1"/>
    </xf>
    <xf numFmtId="41" fontId="5" fillId="9" borderId="1" xfId="2" applyFont="1" applyFill="1" applyBorder="1" applyAlignment="1">
      <alignment horizontal="center" vertical="top" wrapText="1"/>
    </xf>
    <xf numFmtId="0" fontId="7" fillId="9" borderId="2" xfId="0" applyFont="1" applyFill="1" applyBorder="1" applyAlignment="1">
      <alignment horizontal="left" vertical="top" wrapText="1"/>
    </xf>
    <xf numFmtId="0" fontId="7" fillId="9" borderId="4" xfId="0" applyFont="1" applyFill="1" applyBorder="1" applyAlignment="1">
      <alignment horizontal="left" vertical="top" wrapText="1"/>
    </xf>
    <xf numFmtId="0" fontId="6" fillId="4" borderId="2" xfId="0" applyFont="1" applyFill="1" applyBorder="1" applyAlignment="1">
      <alignment horizontal="left" vertical="top" wrapText="1"/>
    </xf>
    <xf numFmtId="0" fontId="6" fillId="4" borderId="4" xfId="0" applyFont="1" applyFill="1" applyBorder="1" applyAlignment="1">
      <alignment horizontal="left" vertical="top" wrapText="1"/>
    </xf>
    <xf numFmtId="41" fontId="11" fillId="4" borderId="2" xfId="2" applyFont="1" applyFill="1" applyBorder="1" applyAlignment="1">
      <alignment horizontal="center" vertical="top" wrapText="1"/>
    </xf>
    <xf numFmtId="41" fontId="11" fillId="4" borderId="4" xfId="2" applyFont="1" applyFill="1" applyBorder="1" applyAlignment="1">
      <alignment horizontal="center" vertical="top" wrapText="1"/>
    </xf>
    <xf numFmtId="41" fontId="6" fillId="4" borderId="2" xfId="2" applyFont="1" applyFill="1" applyBorder="1" applyAlignment="1">
      <alignment horizontal="center" vertical="top" wrapText="1"/>
    </xf>
    <xf numFmtId="41" fontId="6" fillId="4" borderId="4" xfId="2" applyFont="1" applyFill="1" applyBorder="1" applyAlignment="1">
      <alignment horizontal="center" vertical="top" wrapText="1"/>
    </xf>
    <xf numFmtId="41" fontId="4" fillId="9" borderId="2" xfId="2" applyFont="1" applyFill="1" applyBorder="1" applyAlignment="1">
      <alignment horizontal="center" vertical="top" wrapText="1"/>
    </xf>
    <xf numFmtId="41" fontId="4" fillId="9" borderId="4" xfId="2" applyFont="1" applyFill="1" applyBorder="1" applyAlignment="1">
      <alignment horizontal="center" vertical="top" wrapText="1"/>
    </xf>
    <xf numFmtId="41" fontId="5" fillId="9" borderId="2" xfId="2" applyFont="1" applyFill="1" applyBorder="1" applyAlignment="1">
      <alignment horizontal="center" vertical="top" wrapText="1"/>
    </xf>
    <xf numFmtId="41" fontId="5" fillId="9" borderId="4" xfId="2" applyFont="1" applyFill="1" applyBorder="1" applyAlignment="1">
      <alignment horizontal="center" vertical="top" wrapText="1"/>
    </xf>
    <xf numFmtId="0" fontId="4" fillId="3" borderId="10" xfId="5" applyFont="1" applyFill="1" applyBorder="1" applyAlignment="1">
      <alignment horizontal="left" vertical="center" wrapText="1"/>
    </xf>
    <xf numFmtId="0" fontId="4" fillId="3" borderId="11" xfId="5" applyFont="1" applyFill="1" applyBorder="1" applyAlignment="1">
      <alignment horizontal="left" vertical="center" wrapText="1"/>
    </xf>
    <xf numFmtId="0" fontId="4" fillId="0" borderId="1" xfId="5" applyFont="1" applyBorder="1" applyAlignment="1">
      <alignment horizontal="right" vertical="center" wrapText="1"/>
    </xf>
    <xf numFmtId="0" fontId="11" fillId="0" borderId="1" xfId="5" applyFont="1" applyBorder="1" applyAlignment="1">
      <alignment horizontal="right" vertical="center" wrapText="1"/>
    </xf>
    <xf numFmtId="166" fontId="5" fillId="9" borderId="2" xfId="2" applyNumberFormat="1" applyFont="1" applyFill="1" applyBorder="1" applyAlignment="1">
      <alignment horizontal="center" vertical="top" wrapText="1"/>
    </xf>
    <xf numFmtId="166" fontId="5" fillId="9" borderId="4" xfId="2" applyNumberFormat="1" applyFont="1" applyFill="1" applyBorder="1" applyAlignment="1">
      <alignment horizontal="center" vertical="top" wrapText="1"/>
    </xf>
    <xf numFmtId="164" fontId="5" fillId="9" borderId="2" xfId="1" applyNumberFormat="1" applyFont="1" applyFill="1" applyBorder="1" applyAlignment="1">
      <alignment horizontal="center" vertical="top" wrapText="1"/>
    </xf>
    <xf numFmtId="164" fontId="5" fillId="9" borderId="4" xfId="1" applyNumberFormat="1" applyFont="1" applyFill="1" applyBorder="1" applyAlignment="1">
      <alignment horizontal="center" vertical="top" wrapText="1"/>
    </xf>
    <xf numFmtId="41" fontId="5" fillId="9" borderId="2" xfId="0" applyNumberFormat="1" applyFont="1" applyFill="1" applyBorder="1" applyAlignment="1">
      <alignment horizontal="center" vertical="top" wrapText="1"/>
    </xf>
    <xf numFmtId="41" fontId="5" fillId="9" borderId="4" xfId="0" applyNumberFormat="1" applyFont="1" applyFill="1" applyBorder="1" applyAlignment="1">
      <alignment horizontal="center" vertical="top" wrapText="1"/>
    </xf>
    <xf numFmtId="0" fontId="4" fillId="12" borderId="10" xfId="0" applyFont="1" applyFill="1" applyBorder="1" applyAlignment="1">
      <alignment horizontal="left" vertical="center" wrapText="1"/>
    </xf>
    <xf numFmtId="0" fontId="4" fillId="12" borderId="12" xfId="0" applyFont="1" applyFill="1" applyBorder="1" applyAlignment="1">
      <alignment horizontal="left" vertical="center" wrapText="1"/>
    </xf>
    <xf numFmtId="0" fontId="4" fillId="12" borderId="11" xfId="0" applyFont="1" applyFill="1" applyBorder="1" applyAlignment="1">
      <alignment horizontal="left" vertical="center" wrapText="1"/>
    </xf>
    <xf numFmtId="0" fontId="5" fillId="9" borderId="2" xfId="0" applyFont="1" applyFill="1" applyBorder="1" applyAlignment="1">
      <alignment horizontal="center" vertical="top" wrapText="1"/>
    </xf>
    <xf numFmtId="0" fontId="5" fillId="9" borderId="4" xfId="0" applyFont="1" applyFill="1" applyBorder="1" applyAlignment="1">
      <alignment horizontal="center" vertical="top" wrapText="1"/>
    </xf>
    <xf numFmtId="0" fontId="6" fillId="0" borderId="31" xfId="0" applyFont="1" applyBorder="1" applyAlignment="1">
      <alignment horizontal="left" vertical="top" wrapText="1"/>
    </xf>
    <xf numFmtId="0" fontId="5" fillId="0" borderId="1" xfId="0" applyFont="1" applyBorder="1" applyAlignment="1">
      <alignment horizontal="right" vertical="top"/>
    </xf>
    <xf numFmtId="0" fontId="6" fillId="0" borderId="1" xfId="0" applyFont="1" applyBorder="1" applyAlignment="1">
      <alignment horizontal="right" vertical="top"/>
    </xf>
    <xf numFmtId="0" fontId="10" fillId="9" borderId="2" xfId="0" applyFont="1" applyFill="1" applyBorder="1" applyAlignment="1">
      <alignment horizontal="left" vertical="top" wrapText="1"/>
    </xf>
    <xf numFmtId="0" fontId="10" fillId="9" borderId="4" xfId="0" applyFont="1" applyFill="1" applyBorder="1" applyAlignment="1">
      <alignment horizontal="left" vertical="top" wrapText="1"/>
    </xf>
    <xf numFmtId="0" fontId="10" fillId="9" borderId="3" xfId="0" applyFont="1" applyFill="1" applyBorder="1" applyAlignment="1">
      <alignment horizontal="left" vertical="top" wrapText="1"/>
    </xf>
    <xf numFmtId="0" fontId="5" fillId="9" borderId="10" xfId="0" applyFont="1" applyFill="1" applyBorder="1" applyAlignment="1">
      <alignment horizontal="left" vertical="top" wrapText="1"/>
    </xf>
    <xf numFmtId="0" fontId="5" fillId="9" borderId="11" xfId="0" applyFont="1" applyFill="1" applyBorder="1" applyAlignment="1">
      <alignment horizontal="left" vertical="top" wrapText="1"/>
    </xf>
    <xf numFmtId="164" fontId="6" fillId="4" borderId="2" xfId="1" applyNumberFormat="1" applyFont="1" applyFill="1" applyBorder="1" applyAlignment="1">
      <alignment horizontal="center" vertical="top" wrapText="1"/>
    </xf>
    <xf numFmtId="164" fontId="6" fillId="4" borderId="4" xfId="1" applyNumberFormat="1" applyFont="1" applyFill="1" applyBorder="1" applyAlignment="1">
      <alignment horizontal="center" vertical="top" wrapText="1"/>
    </xf>
    <xf numFmtId="0" fontId="5" fillId="3" borderId="10" xfId="0" applyFont="1" applyFill="1" applyBorder="1" applyAlignment="1">
      <alignment horizontal="left" vertical="top" wrapText="1"/>
    </xf>
    <xf numFmtId="0" fontId="5" fillId="3" borderId="11" xfId="0" applyFont="1" applyFill="1" applyBorder="1" applyAlignment="1">
      <alignment horizontal="left" vertical="top" wrapText="1"/>
    </xf>
  </cellXfs>
  <cellStyles count="9">
    <cellStyle name="Comma" xfId="1" builtinId="3"/>
    <cellStyle name="Comma [0]" xfId="2" builtinId="6"/>
    <cellStyle name="Comma [0] 2" xfId="4"/>
    <cellStyle name="Comma [0] 4" xfId="6"/>
    <cellStyle name="Comma 2" xfId="7"/>
    <cellStyle name="Currency [0]" xfId="8" builtinId="7"/>
    <cellStyle name="Normal" xfId="0" builtinId="0"/>
    <cellStyle name="Normal 2" xfId="5"/>
    <cellStyle name="Percent" xfId="3"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theme" Target="theme/theme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0Kegiatan%20Evaluasi%20RKPD/BAHAN%20OPD%20DAN%20KEC.%20TRI%20I%202019/RKPD%20Dinas%20Kesehatan%20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LAPORAN%20PROGRAM%202017\laporan%20bulan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yek%20basamo/2017/KERJA/EDI%20KUSWANTO/MONEV/BULAN%20DESEMBER%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yek%20basamo/FILE%202018/FILE%20EXCEL/BULAN%20DESEMBER%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0DATA%20MAKRO%202019/1.%20Kegiatan%20EVALUASI%20RKPD/BAHAN%20LAPORAN%20EVALUASI%20RKPD%20TRI%20II%202019/Evalusi%20RKPD%20Triwulan%20I%20(kominfo%202019)%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WILA%20BAPEDA\Downloads\laporan%20fisik%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ED%20PUNYA/eed%20file/KASUBAG%20PERENCANA%20KEUANGAN%20PELAPORAN%202018/LAPORAN%20FISIK%20dan%20KEU%20DPMPTSP%20%202018/laporan%20fisik%20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19/Laporan%20RKPD%20DISPARPORA/Triwulan%20IV/Triwulan%20I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APORAN%20AP/Laporan%20AP%202018/Laporan%20AP%2020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A%20WAHYU\LAPORAN%20PROGRAM%202018\laporan%20bulanan%202018NEW.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RKPD 2017"/>
      <sheetName val="RKPD 2019"/>
      <sheetName val="TW IV 2018"/>
      <sheetName val="Sheet2"/>
    </sheetNames>
    <sheetDataSet>
      <sheetData sheetId="0"/>
      <sheetData sheetId="1">
        <row r="136">
          <cell r="O136">
            <v>0</v>
          </cell>
        </row>
        <row r="137">
          <cell r="O137">
            <v>0</v>
          </cell>
        </row>
        <row r="138">
          <cell r="O138">
            <v>0</v>
          </cell>
        </row>
        <row r="139">
          <cell r="O139">
            <v>0</v>
          </cell>
        </row>
        <row r="140">
          <cell r="O140">
            <v>0</v>
          </cell>
        </row>
        <row r="141">
          <cell r="O141">
            <v>0</v>
          </cell>
        </row>
        <row r="143">
          <cell r="O143">
            <v>0</v>
          </cell>
        </row>
        <row r="144">
          <cell r="O144">
            <v>0</v>
          </cell>
        </row>
        <row r="149">
          <cell r="O149">
            <v>0</v>
          </cell>
        </row>
        <row r="150">
          <cell r="O150">
            <v>0</v>
          </cell>
        </row>
        <row r="155">
          <cell r="O155">
            <v>0</v>
          </cell>
        </row>
        <row r="156">
          <cell r="O156">
            <v>0</v>
          </cell>
        </row>
        <row r="157">
          <cell r="O157">
            <v>0</v>
          </cell>
        </row>
        <row r="158">
          <cell r="O158">
            <v>0</v>
          </cell>
        </row>
        <row r="163">
          <cell r="O163">
            <v>0</v>
          </cell>
        </row>
        <row r="164">
          <cell r="O164">
            <v>0</v>
          </cell>
        </row>
        <row r="166">
          <cell r="O166">
            <v>0</v>
          </cell>
        </row>
        <row r="181">
          <cell r="O181">
            <v>0</v>
          </cell>
        </row>
        <row r="182">
          <cell r="O182">
            <v>0</v>
          </cell>
        </row>
        <row r="183">
          <cell r="O183">
            <v>0</v>
          </cell>
        </row>
        <row r="184">
          <cell r="O184">
            <v>0</v>
          </cell>
        </row>
      </sheetData>
      <sheetData sheetId="2"/>
      <sheetData sheetId="3">
        <row r="130">
          <cell r="N130">
            <v>0</v>
          </cell>
        </row>
      </sheetData>
      <sheetData sheetId="4"/>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Feb 17"/>
      <sheetName val="Januari 17"/>
      <sheetName val="Maret 17 "/>
      <sheetName val="April 17"/>
      <sheetName val="MEI 17"/>
      <sheetName val="juni 17"/>
      <sheetName val="Juli 17"/>
      <sheetName val="Agust 17"/>
      <sheetName val="Sept 17"/>
      <sheetName val="Okt 17"/>
      <sheetName val="NOV 17 "/>
      <sheetName val="DES 17"/>
      <sheetName val="Pembgian Triwulan"/>
      <sheetName val="UP"/>
    </sheetNames>
    <sheetDataSet>
      <sheetData sheetId="0" refreshError="1"/>
      <sheetData sheetId="1" refreshError="1"/>
      <sheetData sheetId="2" refreshError="1">
        <row r="16">
          <cell r="H16">
            <v>12526950</v>
          </cell>
        </row>
        <row r="70">
          <cell r="H70">
            <v>0</v>
          </cell>
        </row>
      </sheetData>
      <sheetData sheetId="3" refreshError="1"/>
      <sheetData sheetId="4" refreshError="1"/>
      <sheetData sheetId="5" refreshError="1">
        <row r="16">
          <cell r="H16">
            <v>26255600</v>
          </cell>
        </row>
        <row r="99">
          <cell r="H99">
            <v>0</v>
          </cell>
        </row>
        <row r="112">
          <cell r="H112">
            <v>0</v>
          </cell>
        </row>
      </sheetData>
      <sheetData sheetId="6" refreshError="1"/>
      <sheetData sheetId="7" refreshError="1"/>
      <sheetData sheetId="8" refreshError="1">
        <row r="16">
          <cell r="H16">
            <v>36781700</v>
          </cell>
        </row>
        <row r="116">
          <cell r="H116">
            <v>0</v>
          </cell>
        </row>
      </sheetData>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ver"/>
      <sheetName val="KEU "/>
      <sheetName val="FISIK"/>
    </sheetNames>
    <sheetDataSet>
      <sheetData sheetId="0" refreshError="1"/>
      <sheetData sheetId="1" refreshError="1">
        <row r="13">
          <cell r="C13" t="str">
            <v>Penyediaan Jasa Komunikasi, Sumber Daya Air dan Listrik</v>
          </cell>
        </row>
        <row r="17">
          <cell r="J17">
            <v>88179500</v>
          </cell>
        </row>
        <row r="21">
          <cell r="J21">
            <v>14822500</v>
          </cell>
        </row>
        <row r="23">
          <cell r="J23">
            <v>78476000</v>
          </cell>
        </row>
        <row r="25">
          <cell r="J25">
            <v>53174200</v>
          </cell>
        </row>
        <row r="27">
          <cell r="J27">
            <v>6580500</v>
          </cell>
        </row>
        <row r="29">
          <cell r="J29">
            <v>12125000</v>
          </cell>
        </row>
        <row r="31">
          <cell r="J31">
            <v>20487500</v>
          </cell>
        </row>
        <row r="33">
          <cell r="J33">
            <v>144478710</v>
          </cell>
        </row>
        <row r="35">
          <cell r="J35">
            <v>93023000</v>
          </cell>
        </row>
        <row r="37">
          <cell r="J37">
            <v>20748250</v>
          </cell>
        </row>
        <row r="41">
          <cell r="J41">
            <v>339025500</v>
          </cell>
        </row>
        <row r="49">
          <cell r="J49">
            <v>21800000</v>
          </cell>
        </row>
        <row r="51">
          <cell r="J51">
            <v>20435000</v>
          </cell>
        </row>
        <row r="54">
          <cell r="J54">
            <v>263642400</v>
          </cell>
        </row>
        <row r="57">
          <cell r="J57">
            <v>219341140</v>
          </cell>
        </row>
        <row r="65">
          <cell r="J65">
            <v>47365000</v>
          </cell>
        </row>
      </sheetData>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ver"/>
      <sheetName val="KEU "/>
      <sheetName val="DATA MONEV"/>
      <sheetName val="FISIK"/>
    </sheetNames>
    <sheetDataSet>
      <sheetData sheetId="0" refreshError="1"/>
      <sheetData sheetId="1" refreshError="1">
        <row r="73">
          <cell r="J73">
            <v>78899500</v>
          </cell>
        </row>
        <row r="131">
          <cell r="J131">
            <v>4449081050</v>
          </cell>
        </row>
        <row r="138">
          <cell r="J138">
            <v>85638650</v>
          </cell>
        </row>
      </sheetData>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ev rkpd"/>
      <sheetName val="ev rkpd trw 2"/>
      <sheetName val="ev rkpd (2)"/>
    </sheetNames>
    <sheetDataSet>
      <sheetData sheetId="0"/>
      <sheetData sheetId="1">
        <row r="1">
          <cell r="A1" t="str">
            <v>EVALUASI TERHADAP HASIL RENCANA KERJA PEMERINTAH DAERAH</v>
          </cell>
        </row>
        <row r="2">
          <cell r="A2" t="str">
            <v>KABUPATEN PESISIR SELATAN</v>
          </cell>
        </row>
        <row r="3">
          <cell r="A3" t="str">
            <v>TRIWULAN II TAHUN 2019</v>
          </cell>
        </row>
        <row r="6">
          <cell r="A6" t="str">
            <v>No</v>
          </cell>
          <cell r="B6" t="str">
            <v>Sasaran</v>
          </cell>
          <cell r="C6" t="str">
            <v>Kode Rekening</v>
          </cell>
          <cell r="I6" t="str">
            <v>Urusan/Bidang Urusan Pemerintahan Daerah Dan Program/Kegiatan</v>
          </cell>
          <cell r="J6" t="str">
            <v>Indikator Kinerja Program (Outcome)/(Output)</v>
          </cell>
          <cell r="K6" t="str">
            <v>Target RPJMD Kabupaten Pesisir Selatan pada Tahun 2021</v>
          </cell>
          <cell r="M6" t="str">
            <v>Capaian Kinerja RPJMD Kabupaten Pesisir Selatan sampai dengan RKPD  Tahun Lalu (2018)</v>
          </cell>
          <cell r="O6" t="str">
            <v>Target Kinerja dan Anggaran RKPD Kabupaten Pesisir Selatan Tahun Berjalan (2019) yang Dievaluasi</v>
          </cell>
          <cell r="Q6" t="str">
            <v>Realisasi Kinerja Pada Triwulan</v>
          </cell>
          <cell r="Y6" t="str">
            <v>Realisasi Capaian 
Kinerja dan Anggaran RKPD  yang Dievaluasi</v>
          </cell>
          <cell r="AA6" t="str">
            <v>Realisasi Kinerja dan Anggaran RPJMD s/d Tahun 2019 (Akhir Tahun Pelaksanaan RKPD tahun 2019)</v>
          </cell>
          <cell r="AC6" t="str">
            <v>Tingkat Capaian Kinerja dan Realisasi Anggaran RPJMD Kabupaten/kota s/d Tahun 2019 
(%)</v>
          </cell>
          <cell r="AE6" t="str">
            <v>SKPD Penanggung Jawab</v>
          </cell>
        </row>
        <row r="7">
          <cell r="Q7" t="str">
            <v>I</v>
          </cell>
          <cell r="S7" t="str">
            <v>II</v>
          </cell>
          <cell r="U7" t="str">
            <v>III</v>
          </cell>
          <cell r="W7" t="str">
            <v>IV</v>
          </cell>
        </row>
        <row r="8">
          <cell r="A8">
            <v>1</v>
          </cell>
          <cell r="B8">
            <v>2</v>
          </cell>
          <cell r="C8">
            <v>3</v>
          </cell>
          <cell r="I8">
            <v>4</v>
          </cell>
          <cell r="J8">
            <v>5</v>
          </cell>
          <cell r="K8">
            <v>6</v>
          </cell>
          <cell r="M8">
            <v>7</v>
          </cell>
          <cell r="O8">
            <v>8</v>
          </cell>
          <cell r="Q8">
            <v>9</v>
          </cell>
          <cell r="S8">
            <v>10</v>
          </cell>
          <cell r="U8">
            <v>11</v>
          </cell>
          <cell r="W8">
            <v>12</v>
          </cell>
          <cell r="Y8">
            <v>13</v>
          </cell>
          <cell r="AA8" t="str">
            <v>14 = 7 +13</v>
          </cell>
          <cell r="AC8" t="str">
            <v>15 = 14/6 X 100 %</v>
          </cell>
          <cell r="AE8">
            <v>16</v>
          </cell>
        </row>
        <row r="9">
          <cell r="K9" t="str">
            <v>K</v>
          </cell>
          <cell r="L9" t="str">
            <v xml:space="preserve">Rp. </v>
          </cell>
          <cell r="M9" t="str">
            <v>K</v>
          </cell>
          <cell r="N9" t="str">
            <v xml:space="preserve">Rp. </v>
          </cell>
          <cell r="O9" t="str">
            <v>K</v>
          </cell>
          <cell r="P9" t="str">
            <v>Rp.</v>
          </cell>
          <cell r="Q9" t="str">
            <v>K</v>
          </cell>
          <cell r="R9" t="str">
            <v xml:space="preserve">Rp. </v>
          </cell>
          <cell r="S9" t="str">
            <v>K</v>
          </cell>
          <cell r="T9" t="str">
            <v>Rp.</v>
          </cell>
          <cell r="U9" t="str">
            <v>K</v>
          </cell>
          <cell r="V9" t="str">
            <v>Rp.</v>
          </cell>
          <cell r="W9" t="str">
            <v>K</v>
          </cell>
          <cell r="X9" t="str">
            <v xml:space="preserve">Rp. </v>
          </cell>
          <cell r="Y9" t="str">
            <v>K</v>
          </cell>
          <cell r="Z9" t="str">
            <v xml:space="preserve">Rp. </v>
          </cell>
          <cell r="AA9" t="str">
            <v>K</v>
          </cell>
          <cell r="AB9" t="str">
            <v xml:space="preserve">Rp. </v>
          </cell>
          <cell r="AC9" t="str">
            <v>K</v>
          </cell>
          <cell r="AD9" t="str">
            <v xml:space="preserve">Rp. </v>
          </cell>
        </row>
        <row r="10">
          <cell r="I10" t="str">
            <v>URUSAN PEMERINTAHAN WAJIB</v>
          </cell>
        </row>
        <row r="11">
          <cell r="I11" t="str">
            <v>URUSAN PEMERINTAHAN WAJIB PELAYANAN DASAR</v>
          </cell>
        </row>
        <row r="12">
          <cell r="A12" t="str">
            <v>I</v>
          </cell>
          <cell r="I12" t="str">
            <v>URUSAN PENDIDIKAN</v>
          </cell>
          <cell r="L12">
            <v>229369342080</v>
          </cell>
          <cell r="N12">
            <v>50448169760</v>
          </cell>
          <cell r="P12">
            <v>42164029930</v>
          </cell>
          <cell r="R12">
            <v>1629105600</v>
          </cell>
          <cell r="T12">
            <v>15209563998</v>
          </cell>
          <cell r="Z12">
            <v>16838669598</v>
          </cell>
          <cell r="AB12">
            <v>47325019108</v>
          </cell>
        </row>
        <row r="13">
          <cell r="A13">
            <v>1</v>
          </cell>
          <cell r="C13" t="str">
            <v>01</v>
          </cell>
          <cell r="D13" t="str">
            <v>01</v>
          </cell>
          <cell r="E13" t="str">
            <v>01</v>
          </cell>
          <cell r="F13" t="str">
            <v>01</v>
          </cell>
          <cell r="G13" t="str">
            <v>01</v>
          </cell>
          <cell r="I13" t="str">
            <v>Program Pelayanan Administrasi Perkantoran</v>
          </cell>
          <cell r="J13" t="str">
            <v>Pemenuhan pelayanan administrasi kantor (bln)</v>
          </cell>
          <cell r="K13">
            <v>72</v>
          </cell>
          <cell r="L13">
            <v>15672819000</v>
          </cell>
          <cell r="M13">
            <v>24</v>
          </cell>
          <cell r="N13">
            <v>5600401000</v>
          </cell>
          <cell r="O13">
            <v>12</v>
          </cell>
          <cell r="P13">
            <v>2573167000</v>
          </cell>
          <cell r="Q13">
            <v>3</v>
          </cell>
          <cell r="R13">
            <v>474602250</v>
          </cell>
          <cell r="S13">
            <v>3</v>
          </cell>
          <cell r="T13">
            <v>1254349487</v>
          </cell>
          <cell r="Y13">
            <v>6</v>
          </cell>
          <cell r="Z13">
            <v>1728951737</v>
          </cell>
          <cell r="AA13">
            <v>30</v>
          </cell>
          <cell r="AB13">
            <v>7329352737</v>
          </cell>
          <cell r="AC13">
            <v>41.666666666666671</v>
          </cell>
          <cell r="AD13">
            <v>46.764737964497641</v>
          </cell>
          <cell r="AE13" t="str">
            <v>Dinas Pendiidkan dan Kebudayaan</v>
          </cell>
        </row>
        <row r="14">
          <cell r="C14" t="str">
            <v>01</v>
          </cell>
          <cell r="D14" t="str">
            <v>01</v>
          </cell>
          <cell r="E14" t="str">
            <v>01</v>
          </cell>
          <cell r="F14" t="str">
            <v>01</v>
          </cell>
          <cell r="G14" t="str">
            <v>01</v>
          </cell>
          <cell r="H14" t="str">
            <v>02</v>
          </cell>
          <cell r="I14" t="str">
            <v>Penyediaan Jasa Komunikasi, Sumber Daya Air dan Listrik</v>
          </cell>
          <cell r="J14" t="str">
            <v>Adanya/Tersedianya Komunikasi, Sumber Daya Air dan Listrik  pada kantor</v>
          </cell>
          <cell r="K14">
            <v>72</v>
          </cell>
          <cell r="L14">
            <v>657600000</v>
          </cell>
          <cell r="M14">
            <v>24</v>
          </cell>
          <cell r="N14">
            <v>273600000</v>
          </cell>
          <cell r="O14">
            <v>12</v>
          </cell>
          <cell r="P14">
            <v>96000000</v>
          </cell>
          <cell r="Q14">
            <v>3</v>
          </cell>
          <cell r="R14">
            <v>15928000</v>
          </cell>
          <cell r="S14">
            <v>6</v>
          </cell>
          <cell r="T14">
            <v>18163000</v>
          </cell>
          <cell r="Y14">
            <v>0</v>
          </cell>
          <cell r="Z14">
            <v>34091000</v>
          </cell>
          <cell r="AA14">
            <v>24</v>
          </cell>
          <cell r="AB14">
            <v>307691000</v>
          </cell>
          <cell r="AC14">
            <v>33.333333333333329</v>
          </cell>
          <cell r="AD14">
            <v>46.789993917274941</v>
          </cell>
        </row>
        <row r="15">
          <cell r="C15" t="str">
            <v>01</v>
          </cell>
          <cell r="D15" t="str">
            <v>01</v>
          </cell>
          <cell r="E15" t="str">
            <v>01</v>
          </cell>
          <cell r="F15" t="str">
            <v>01</v>
          </cell>
          <cell r="G15" t="str">
            <v>01</v>
          </cell>
          <cell r="H15" t="str">
            <v>07</v>
          </cell>
          <cell r="I15" t="str">
            <v>Penyedia Jasa Administrasi Keuangan</v>
          </cell>
          <cell r="J15" t="str">
            <v>Tersedianya Jasa Administras Keuangan</v>
          </cell>
          <cell r="K15">
            <v>100</v>
          </cell>
          <cell r="L15">
            <v>890100000</v>
          </cell>
          <cell r="M15">
            <v>24</v>
          </cell>
          <cell r="N15">
            <v>346996000</v>
          </cell>
          <cell r="O15">
            <v>12</v>
          </cell>
          <cell r="P15">
            <v>148350000</v>
          </cell>
          <cell r="Q15">
            <v>3</v>
          </cell>
          <cell r="R15">
            <v>37087500</v>
          </cell>
          <cell r="S15">
            <v>30</v>
          </cell>
          <cell r="T15">
            <v>92750000</v>
          </cell>
          <cell r="Y15">
            <v>1</v>
          </cell>
          <cell r="Z15">
            <v>129837500</v>
          </cell>
          <cell r="AA15">
            <v>25</v>
          </cell>
          <cell r="AB15">
            <v>476833500</v>
          </cell>
          <cell r="AC15">
            <v>25</v>
          </cell>
          <cell r="AD15">
            <v>53.570778564206265</v>
          </cell>
        </row>
        <row r="16">
          <cell r="C16" t="str">
            <v>01</v>
          </cell>
          <cell r="D16" t="str">
            <v>01</v>
          </cell>
          <cell r="E16" t="str">
            <v>01</v>
          </cell>
          <cell r="F16" t="str">
            <v>01</v>
          </cell>
          <cell r="G16" t="str">
            <v>01</v>
          </cell>
          <cell r="H16" t="str">
            <v>08</v>
          </cell>
          <cell r="I16" t="str">
            <v>Penyedia Jasa Kebersihan Kantor</v>
          </cell>
          <cell r="J16" t="str">
            <v>Tersedianya Jasa kebersihan kantor</v>
          </cell>
          <cell r="K16">
            <v>100</v>
          </cell>
          <cell r="L16">
            <v>193224000</v>
          </cell>
          <cell r="M16">
            <v>24</v>
          </cell>
          <cell r="N16">
            <v>64598000</v>
          </cell>
          <cell r="O16">
            <v>12</v>
          </cell>
          <cell r="P16">
            <v>32204000</v>
          </cell>
          <cell r="Q16">
            <v>3</v>
          </cell>
          <cell r="R16">
            <v>8051000</v>
          </cell>
          <cell r="S16">
            <v>35</v>
          </cell>
          <cell r="T16">
            <v>20864000</v>
          </cell>
          <cell r="Y16">
            <v>2</v>
          </cell>
          <cell r="Z16">
            <v>28915000</v>
          </cell>
          <cell r="AA16">
            <v>26</v>
          </cell>
          <cell r="AB16">
            <v>93513000</v>
          </cell>
          <cell r="AC16">
            <v>26</v>
          </cell>
          <cell r="AD16">
            <v>48.396161967457459</v>
          </cell>
        </row>
        <row r="17">
          <cell r="C17" t="str">
            <v>01</v>
          </cell>
          <cell r="D17" t="str">
            <v>01</v>
          </cell>
          <cell r="E17" t="str">
            <v>01</v>
          </cell>
          <cell r="F17" t="str">
            <v>01</v>
          </cell>
          <cell r="G17" t="str">
            <v>01</v>
          </cell>
          <cell r="H17" t="str">
            <v>10</v>
          </cell>
          <cell r="I17" t="str">
            <v>Penyediaan Alat Tulis Kantor</v>
          </cell>
          <cell r="J17" t="str">
            <v>Tersediannya Alat tulis Kantor Dinas Pendidikan dan Kebudayaan</v>
          </cell>
          <cell r="K17">
            <v>100</v>
          </cell>
          <cell r="L17">
            <v>183258000</v>
          </cell>
          <cell r="M17">
            <v>24</v>
          </cell>
          <cell r="N17">
            <v>156000000</v>
          </cell>
          <cell r="O17">
            <v>12</v>
          </cell>
          <cell r="P17">
            <v>30543000</v>
          </cell>
          <cell r="Q17">
            <v>3</v>
          </cell>
          <cell r="R17">
            <v>7635750</v>
          </cell>
          <cell r="S17">
            <v>50</v>
          </cell>
          <cell r="T17">
            <v>27160800</v>
          </cell>
          <cell r="Y17">
            <v>3</v>
          </cell>
          <cell r="Z17">
            <v>34796550</v>
          </cell>
          <cell r="AA17">
            <v>27</v>
          </cell>
          <cell r="AB17">
            <v>190796550</v>
          </cell>
          <cell r="AC17">
            <v>27</v>
          </cell>
          <cell r="AD17">
            <v>104.11362669023998</v>
          </cell>
        </row>
        <row r="18">
          <cell r="C18" t="str">
            <v>01</v>
          </cell>
          <cell r="D18" t="str">
            <v>01</v>
          </cell>
          <cell r="E18" t="str">
            <v>01</v>
          </cell>
          <cell r="F18" t="str">
            <v>01</v>
          </cell>
          <cell r="G18" t="str">
            <v>01</v>
          </cell>
          <cell r="H18">
            <v>11</v>
          </cell>
          <cell r="I18" t="str">
            <v>Penyediaan Barang Cetak dan Pengadaan</v>
          </cell>
          <cell r="J18" t="str">
            <v>Tesedianya Barang cetakan dan Pengadaan di Dinas Pendidikan dan Kebudayaan</v>
          </cell>
          <cell r="K18">
            <v>100</v>
          </cell>
          <cell r="L18">
            <v>350190000</v>
          </cell>
          <cell r="M18">
            <v>24</v>
          </cell>
          <cell r="N18">
            <v>266970000</v>
          </cell>
          <cell r="O18">
            <v>12</v>
          </cell>
          <cell r="P18">
            <v>58365000</v>
          </cell>
          <cell r="Q18">
            <v>3</v>
          </cell>
          <cell r="R18">
            <v>14591250</v>
          </cell>
          <cell r="S18">
            <v>50</v>
          </cell>
          <cell r="T18">
            <v>49158000</v>
          </cell>
          <cell r="Y18">
            <v>4</v>
          </cell>
          <cell r="Z18">
            <v>63749250</v>
          </cell>
          <cell r="AA18">
            <v>28</v>
          </cell>
          <cell r="AB18">
            <v>330719250</v>
          </cell>
          <cell r="AC18">
            <v>28.000000000000004</v>
          </cell>
          <cell r="AD18">
            <v>94.439946885976184</v>
          </cell>
        </row>
        <row r="19">
          <cell r="C19" t="str">
            <v>01</v>
          </cell>
          <cell r="D19" t="str">
            <v>01</v>
          </cell>
          <cell r="E19" t="str">
            <v>01</v>
          </cell>
          <cell r="F19" t="str">
            <v>01</v>
          </cell>
          <cell r="G19" t="str">
            <v>01</v>
          </cell>
          <cell r="H19">
            <v>12</v>
          </cell>
          <cell r="I19" t="str">
            <v>Penyediaan Komponen Instalasi Listrik/Penerangan Bangunan Kantor</v>
          </cell>
          <cell r="J19" t="str">
            <v>Tersedianya komponen instalasi listrik Dinas Pendidikan dan Kebudayaan</v>
          </cell>
          <cell r="K19">
            <v>100</v>
          </cell>
          <cell r="L19">
            <v>180000000</v>
          </cell>
          <cell r="M19">
            <v>24</v>
          </cell>
          <cell r="N19">
            <v>86000000</v>
          </cell>
          <cell r="O19">
            <v>12</v>
          </cell>
          <cell r="P19">
            <v>30000000</v>
          </cell>
          <cell r="Q19">
            <v>3</v>
          </cell>
          <cell r="R19">
            <v>7500000</v>
          </cell>
          <cell r="S19">
            <v>20</v>
          </cell>
          <cell r="T19">
            <v>7601000</v>
          </cell>
          <cell r="Y19">
            <v>5</v>
          </cell>
          <cell r="Z19">
            <v>15101000</v>
          </cell>
          <cell r="AA19">
            <v>29</v>
          </cell>
          <cell r="AB19">
            <v>101101000</v>
          </cell>
          <cell r="AC19">
            <v>28.999999999999996</v>
          </cell>
          <cell r="AD19">
            <v>56.167222222222222</v>
          </cell>
        </row>
        <row r="20">
          <cell r="C20" t="str">
            <v>01</v>
          </cell>
          <cell r="D20" t="str">
            <v>01</v>
          </cell>
          <cell r="E20" t="str">
            <v>01</v>
          </cell>
          <cell r="F20" t="str">
            <v>01</v>
          </cell>
          <cell r="G20" t="str">
            <v>01</v>
          </cell>
          <cell r="H20">
            <v>13</v>
          </cell>
          <cell r="I20" t="str">
            <v>Penyediaan Peralatan dan Perlengkapan Kantor</v>
          </cell>
          <cell r="J20" t="str">
            <v>Tersedianya fasilitas/peralatan pendukung/penunjang  untuk Kelancaran pelaksanaan pekerjaan aparatur dalam rangka pelayanan administrasi perkantoran</v>
          </cell>
          <cell r="K20">
            <v>6</v>
          </cell>
          <cell r="L20">
            <v>494150000</v>
          </cell>
          <cell r="M20">
            <v>2</v>
          </cell>
          <cell r="N20">
            <v>314150000</v>
          </cell>
          <cell r="O20">
            <v>1</v>
          </cell>
          <cell r="P20">
            <v>30000000</v>
          </cell>
          <cell r="Q20">
            <v>0</v>
          </cell>
          <cell r="R20">
            <v>0</v>
          </cell>
          <cell r="S20">
            <v>0</v>
          </cell>
          <cell r="T20">
            <v>0</v>
          </cell>
          <cell r="Y20">
            <v>6</v>
          </cell>
          <cell r="Z20">
            <v>0</v>
          </cell>
          <cell r="AA20">
            <v>8</v>
          </cell>
          <cell r="AB20">
            <v>314150000</v>
          </cell>
          <cell r="AC20">
            <v>133.33333333333331</v>
          </cell>
          <cell r="AD20">
            <v>63.573813619346353</v>
          </cell>
        </row>
        <row r="21">
          <cell r="C21" t="str">
            <v>01</v>
          </cell>
          <cell r="D21" t="str">
            <v>01</v>
          </cell>
          <cell r="E21" t="str">
            <v>01</v>
          </cell>
          <cell r="F21" t="str">
            <v>01</v>
          </cell>
          <cell r="G21" t="str">
            <v>01</v>
          </cell>
          <cell r="H21">
            <v>15</v>
          </cell>
          <cell r="I21" t="str">
            <v>Penyediaan Bahan Bacaan dan peraturan Perundang-undagan</v>
          </cell>
          <cell r="J21" t="str">
            <v>Tersedianya Bahan Bacaan dan Peratruan Perundang-undangan</v>
          </cell>
          <cell r="K21">
            <v>72</v>
          </cell>
          <cell r="L21">
            <v>83400000</v>
          </cell>
          <cell r="M21">
            <v>24</v>
          </cell>
          <cell r="N21">
            <v>30000000</v>
          </cell>
          <cell r="O21">
            <v>12</v>
          </cell>
          <cell r="P21">
            <v>13900000</v>
          </cell>
          <cell r="Q21">
            <v>3</v>
          </cell>
          <cell r="R21">
            <v>3475000</v>
          </cell>
          <cell r="S21">
            <v>20</v>
          </cell>
          <cell r="T21">
            <v>3900000</v>
          </cell>
          <cell r="Y21">
            <v>7</v>
          </cell>
          <cell r="Z21">
            <v>7375000</v>
          </cell>
          <cell r="AA21">
            <v>31</v>
          </cell>
          <cell r="AB21">
            <v>37375000</v>
          </cell>
          <cell r="AC21">
            <v>43.055555555555557</v>
          </cell>
          <cell r="AD21">
            <v>44.814148681055158</v>
          </cell>
        </row>
        <row r="22">
          <cell r="C22" t="str">
            <v>01</v>
          </cell>
          <cell r="D22" t="str">
            <v>01</v>
          </cell>
          <cell r="E22" t="str">
            <v>01</v>
          </cell>
          <cell r="F22" t="str">
            <v>01</v>
          </cell>
          <cell r="G22" t="str">
            <v>01</v>
          </cell>
          <cell r="H22">
            <v>17</v>
          </cell>
          <cell r="I22" t="str">
            <v xml:space="preserve">Penyediaan Mankanan dan Minuman </v>
          </cell>
          <cell r="J22" t="str">
            <v>Tersedianya Makan Minum Pegawai</v>
          </cell>
          <cell r="K22">
            <v>72</v>
          </cell>
          <cell r="L22">
            <v>483510000</v>
          </cell>
          <cell r="M22">
            <v>24</v>
          </cell>
          <cell r="N22">
            <v>230000000</v>
          </cell>
          <cell r="O22">
            <v>12</v>
          </cell>
          <cell r="P22">
            <v>80585000</v>
          </cell>
          <cell r="Q22">
            <v>3</v>
          </cell>
          <cell r="R22">
            <v>20146250</v>
          </cell>
          <cell r="S22">
            <v>25</v>
          </cell>
          <cell r="T22">
            <v>36204000</v>
          </cell>
          <cell r="Y22">
            <v>8</v>
          </cell>
          <cell r="Z22">
            <v>56350250</v>
          </cell>
          <cell r="AA22">
            <v>32</v>
          </cell>
          <cell r="AB22">
            <v>286350250</v>
          </cell>
          <cell r="AC22">
            <v>44.444444444444443</v>
          </cell>
          <cell r="AD22">
            <v>59.22323219788629</v>
          </cell>
        </row>
        <row r="23">
          <cell r="C23" t="str">
            <v>01</v>
          </cell>
          <cell r="D23" t="str">
            <v>01</v>
          </cell>
          <cell r="E23" t="str">
            <v>01</v>
          </cell>
          <cell r="F23" t="str">
            <v>01</v>
          </cell>
          <cell r="G23" t="str">
            <v>01</v>
          </cell>
          <cell r="H23">
            <v>18</v>
          </cell>
          <cell r="I23" t="str">
            <v>Rapat-Rapat Koordinasi dan Konsultasi Keluar Daerah</v>
          </cell>
          <cell r="J23" t="str">
            <v>Terlaksananya rapat koordinas keluar daerah</v>
          </cell>
          <cell r="K23">
            <v>100</v>
          </cell>
          <cell r="L23">
            <v>1212300000</v>
          </cell>
          <cell r="M23">
            <v>33</v>
          </cell>
          <cell r="N23">
            <v>439100000</v>
          </cell>
          <cell r="O23">
            <v>16.5</v>
          </cell>
          <cell r="P23">
            <v>202050000</v>
          </cell>
          <cell r="Q23">
            <v>4.125</v>
          </cell>
          <cell r="R23">
            <v>50512500</v>
          </cell>
          <cell r="S23">
            <v>25</v>
          </cell>
          <cell r="T23">
            <v>86604323</v>
          </cell>
          <cell r="Y23">
            <v>9</v>
          </cell>
          <cell r="Z23">
            <v>137116823</v>
          </cell>
          <cell r="AA23">
            <v>42</v>
          </cell>
          <cell r="AB23">
            <v>576216823</v>
          </cell>
          <cell r="AC23">
            <v>42</v>
          </cell>
          <cell r="AD23">
            <v>47.530877093128765</v>
          </cell>
        </row>
        <row r="24">
          <cell r="C24" t="str">
            <v>01</v>
          </cell>
          <cell r="D24" t="str">
            <v>01</v>
          </cell>
          <cell r="E24" t="str">
            <v>01</v>
          </cell>
          <cell r="F24" t="str">
            <v>01</v>
          </cell>
          <cell r="G24" t="str">
            <v>01</v>
          </cell>
          <cell r="H24">
            <v>20</v>
          </cell>
          <cell r="I24" t="str">
            <v>Rapat-Rapat Koordinasi dan Konsultasi Dalam Daerah</v>
          </cell>
          <cell r="J24" t="str">
            <v>Terlaksananya rapat koordinasi dalam daerah</v>
          </cell>
          <cell r="K24">
            <v>1</v>
          </cell>
          <cell r="L24">
            <v>612000000</v>
          </cell>
          <cell r="M24">
            <v>33</v>
          </cell>
          <cell r="N24">
            <v>158500000</v>
          </cell>
          <cell r="O24">
            <v>16.5</v>
          </cell>
          <cell r="P24">
            <v>102000000</v>
          </cell>
          <cell r="Q24">
            <v>4.125</v>
          </cell>
          <cell r="R24">
            <v>25500000</v>
          </cell>
          <cell r="S24">
            <v>25</v>
          </cell>
          <cell r="T24">
            <v>44171000</v>
          </cell>
          <cell r="Y24">
            <v>10</v>
          </cell>
          <cell r="Z24">
            <v>69671000</v>
          </cell>
          <cell r="AA24">
            <v>43</v>
          </cell>
          <cell r="AB24">
            <v>228171000</v>
          </cell>
          <cell r="AC24">
            <v>4300</v>
          </cell>
          <cell r="AD24">
            <v>37.282843137254901</v>
          </cell>
        </row>
        <row r="25">
          <cell r="C25" t="str">
            <v>01</v>
          </cell>
          <cell r="D25" t="str">
            <v>01</v>
          </cell>
          <cell r="E25" t="str">
            <v>01</v>
          </cell>
          <cell r="F25" t="str">
            <v>01</v>
          </cell>
          <cell r="G25" t="str">
            <v>01</v>
          </cell>
          <cell r="H25">
            <v>22</v>
          </cell>
          <cell r="I25" t="str">
            <v>Penunjang Operasional Perencanaan dan Pelaporan</v>
          </cell>
          <cell r="J25" t="str">
            <v>Jumlah dokumen perencanaan dan pelaporan</v>
          </cell>
          <cell r="K25">
            <v>90</v>
          </cell>
          <cell r="L25">
            <v>462000000</v>
          </cell>
          <cell r="M25">
            <v>45</v>
          </cell>
          <cell r="N25">
            <v>154000000</v>
          </cell>
          <cell r="O25">
            <v>15</v>
          </cell>
          <cell r="P25">
            <v>77000000</v>
          </cell>
          <cell r="Q25">
            <v>7</v>
          </cell>
          <cell r="R25">
            <v>0</v>
          </cell>
          <cell r="S25">
            <v>35</v>
          </cell>
          <cell r="T25">
            <v>24479000</v>
          </cell>
          <cell r="Y25">
            <v>11</v>
          </cell>
          <cell r="Z25">
            <v>24479000</v>
          </cell>
          <cell r="AA25">
            <v>56</v>
          </cell>
          <cell r="AB25">
            <v>178479000</v>
          </cell>
          <cell r="AC25">
            <v>62.222222222222221</v>
          </cell>
          <cell r="AD25">
            <v>38.631818181818183</v>
          </cell>
        </row>
        <row r="26">
          <cell r="C26" t="str">
            <v>01</v>
          </cell>
          <cell r="D26" t="str">
            <v>01</v>
          </cell>
          <cell r="E26" t="str">
            <v>01</v>
          </cell>
          <cell r="F26" t="str">
            <v>01</v>
          </cell>
          <cell r="G26" t="str">
            <v>01</v>
          </cell>
          <cell r="H26">
            <v>23</v>
          </cell>
          <cell r="I26" t="str">
            <v>Penyediaan Biaya Operasional Unit kerja Bawahan</v>
          </cell>
          <cell r="J26" t="str">
            <v>Tercapainya kegiatan Penyediaan Biaya Operasiaonal Unit Kerja Bawahan</v>
          </cell>
          <cell r="K26">
            <v>100</v>
          </cell>
          <cell r="L26">
            <v>1432200000</v>
          </cell>
          <cell r="M26">
            <v>33</v>
          </cell>
          <cell r="N26">
            <v>435600000</v>
          </cell>
          <cell r="O26">
            <v>16.5</v>
          </cell>
          <cell r="P26">
            <v>238700000</v>
          </cell>
          <cell r="Q26">
            <v>4.125</v>
          </cell>
          <cell r="R26">
            <v>59675000</v>
          </cell>
          <cell r="S26">
            <v>25</v>
          </cell>
          <cell r="T26">
            <v>65844364</v>
          </cell>
          <cell r="Y26">
            <v>12</v>
          </cell>
          <cell r="Z26">
            <v>125519364</v>
          </cell>
          <cell r="AA26">
            <v>45</v>
          </cell>
          <cell r="AB26">
            <v>561119364</v>
          </cell>
          <cell r="AC26">
            <v>45</v>
          </cell>
          <cell r="AD26">
            <v>39.178841223292835</v>
          </cell>
        </row>
        <row r="27">
          <cell r="C27">
            <v>3</v>
          </cell>
          <cell r="D27" t="str">
            <v>00</v>
          </cell>
          <cell r="E27" t="str">
            <v>02</v>
          </cell>
          <cell r="F27" t="str">
            <v>01</v>
          </cell>
          <cell r="G27" t="str">
            <v>21</v>
          </cell>
          <cell r="H27">
            <v>27</v>
          </cell>
          <cell r="I27" t="str">
            <v>Penyediaan Jasa Tenaga Kerja Non PNS</v>
          </cell>
          <cell r="J27" t="str">
            <v>Tersedianya tenaga guru di lingkungan sekolah tingkat  SD dan SMP dalam rangka peningkatan mutu pendidikan di tingkat dasar dan tenaga pegawai 
pada Kantor Dinas Pendidikan dan Kebudayaan dalam rangka pelayanan adminstasi perkantoran</v>
          </cell>
          <cell r="K27">
            <v>6</v>
          </cell>
          <cell r="L27">
            <v>8071387000</v>
          </cell>
          <cell r="M27">
            <v>2</v>
          </cell>
          <cell r="N27">
            <v>2547387000</v>
          </cell>
          <cell r="O27">
            <v>1</v>
          </cell>
          <cell r="P27">
            <v>1381000000</v>
          </cell>
          <cell r="Q27">
            <v>3</v>
          </cell>
          <cell r="R27">
            <v>224500000</v>
          </cell>
          <cell r="S27">
            <v>6</v>
          </cell>
          <cell r="T27">
            <v>774750000</v>
          </cell>
          <cell r="Y27">
            <v>13</v>
          </cell>
          <cell r="Z27">
            <v>999250000</v>
          </cell>
          <cell r="AA27">
            <v>15</v>
          </cell>
          <cell r="AB27">
            <v>3546637000</v>
          </cell>
          <cell r="AC27">
            <v>250</v>
          </cell>
          <cell r="AD27">
            <v>43.94086171311077</v>
          </cell>
        </row>
        <row r="28">
          <cell r="C28" t="str">
            <v>01</v>
          </cell>
          <cell r="D28" t="str">
            <v>01</v>
          </cell>
          <cell r="E28" t="str">
            <v>01</v>
          </cell>
          <cell r="F28" t="str">
            <v>01</v>
          </cell>
          <cell r="G28" t="str">
            <v>01</v>
          </cell>
          <cell r="H28">
            <v>33</v>
          </cell>
          <cell r="I28" t="str">
            <v>Peringatan Hari-Hari Besar Nasional</v>
          </cell>
          <cell r="J28" t="str">
            <v xml:space="preserve">Sebagai perwujudan nyata keikutsertaan Dinas Pendidikan dan Kebudayaan  dalam memperingati  Hari-Hari Besar Nasional </v>
          </cell>
          <cell r="K28">
            <v>50</v>
          </cell>
          <cell r="L28">
            <v>187500000</v>
          </cell>
          <cell r="M28">
            <v>20</v>
          </cell>
          <cell r="N28">
            <v>37500000</v>
          </cell>
          <cell r="O28">
            <v>10</v>
          </cell>
          <cell r="P28">
            <v>22470000</v>
          </cell>
          <cell r="Q28">
            <v>0</v>
          </cell>
          <cell r="R28">
            <v>0</v>
          </cell>
          <cell r="S28">
            <v>1</v>
          </cell>
          <cell r="T28">
            <v>2700000</v>
          </cell>
          <cell r="Y28">
            <v>14</v>
          </cell>
          <cell r="Z28">
            <v>2700000</v>
          </cell>
          <cell r="AA28">
            <v>34</v>
          </cell>
          <cell r="AB28">
            <v>40200000</v>
          </cell>
          <cell r="AC28">
            <v>68</v>
          </cell>
          <cell r="AD28">
            <v>21.44</v>
          </cell>
        </row>
        <row r="29">
          <cell r="C29" t="str">
            <v>01</v>
          </cell>
          <cell r="D29" t="str">
            <v>01</v>
          </cell>
          <cell r="E29" t="str">
            <v>01</v>
          </cell>
          <cell r="F29" t="str">
            <v>01</v>
          </cell>
          <cell r="G29" t="str">
            <v>01</v>
          </cell>
          <cell r="H29">
            <v>37</v>
          </cell>
          <cell r="I29" t="str">
            <v>Operasional UPTD Pendidikan dan Kebuayaan</v>
          </cell>
          <cell r="J29" t="str">
            <v>Tersedianya Operasiaonal UPTD Pendidikan dan Kebudayaan</v>
          </cell>
          <cell r="K29">
            <v>100</v>
          </cell>
          <cell r="L29">
            <v>180000000</v>
          </cell>
          <cell r="M29">
            <v>33</v>
          </cell>
          <cell r="N29">
            <v>60000000</v>
          </cell>
          <cell r="O29">
            <v>16.5</v>
          </cell>
          <cell r="P29">
            <v>30000000</v>
          </cell>
          <cell r="Q29">
            <v>0</v>
          </cell>
          <cell r="R29">
            <v>0</v>
          </cell>
          <cell r="S29">
            <v>0</v>
          </cell>
          <cell r="T29">
            <v>0</v>
          </cell>
          <cell r="Y29">
            <v>15</v>
          </cell>
          <cell r="Z29">
            <v>0</v>
          </cell>
          <cell r="AA29">
            <v>48</v>
          </cell>
          <cell r="AB29">
            <v>60000000</v>
          </cell>
          <cell r="AC29">
            <v>48</v>
          </cell>
          <cell r="AD29">
            <v>33.333333333333329</v>
          </cell>
        </row>
        <row r="30">
          <cell r="A30">
            <v>2</v>
          </cell>
          <cell r="C30" t="str">
            <v>01</v>
          </cell>
          <cell r="D30" t="str">
            <v>01</v>
          </cell>
          <cell r="E30" t="str">
            <v>01</v>
          </cell>
          <cell r="F30" t="str">
            <v>01</v>
          </cell>
          <cell r="G30" t="str">
            <v>02</v>
          </cell>
          <cell r="I30" t="str">
            <v>Program Peningkatan Sarana dan Prasarana Aparatur</v>
          </cell>
          <cell r="J30" t="str">
            <v>Cakupan pemenuhan sarpras aparatur (%)</v>
          </cell>
          <cell r="K30">
            <v>100</v>
          </cell>
          <cell r="L30">
            <v>1287624000</v>
          </cell>
          <cell r="M30">
            <v>33</v>
          </cell>
          <cell r="N30">
            <v>399418000</v>
          </cell>
          <cell r="O30">
            <v>16.5</v>
          </cell>
          <cell r="P30">
            <v>214604000</v>
          </cell>
          <cell r="Q30">
            <v>4</v>
          </cell>
          <cell r="R30">
            <v>44901000</v>
          </cell>
          <cell r="T30">
            <v>89976918</v>
          </cell>
          <cell r="Y30">
            <v>4</v>
          </cell>
          <cell r="Z30">
            <v>134877918</v>
          </cell>
          <cell r="AA30">
            <v>37</v>
          </cell>
          <cell r="AB30">
            <v>534295918</v>
          </cell>
          <cell r="AC30">
            <v>37</v>
          </cell>
          <cell r="AD30">
            <v>41.494715693401183</v>
          </cell>
          <cell r="AE30" t="str">
            <v>Dinas Pendiidkan dan Kebudayaan</v>
          </cell>
        </row>
        <row r="31">
          <cell r="C31" t="str">
            <v>01</v>
          </cell>
          <cell r="D31" t="str">
            <v>01</v>
          </cell>
          <cell r="E31" t="str">
            <v>01</v>
          </cell>
          <cell r="F31" t="str">
            <v>01</v>
          </cell>
          <cell r="G31" t="str">
            <v>02</v>
          </cell>
          <cell r="H31">
            <v>22</v>
          </cell>
          <cell r="I31" t="str">
            <v>Pemeliharaan Rutin/Berkala Gedung Kantor</v>
          </cell>
          <cell r="J31" t="str">
            <v>Tersedianya bangunan yang aman dan nyaman untuk suasana kerja</v>
          </cell>
          <cell r="K31">
            <v>100</v>
          </cell>
          <cell r="L31">
            <v>210000000</v>
          </cell>
          <cell r="M31">
            <v>33</v>
          </cell>
          <cell r="N31">
            <v>100000000</v>
          </cell>
          <cell r="O31">
            <v>16.5</v>
          </cell>
          <cell r="P31">
            <v>35000000</v>
          </cell>
          <cell r="Q31">
            <v>0</v>
          </cell>
          <cell r="R31">
            <v>0</v>
          </cell>
          <cell r="S31">
            <v>10</v>
          </cell>
          <cell r="T31">
            <v>1748000</v>
          </cell>
          <cell r="Y31">
            <v>0</v>
          </cell>
          <cell r="Z31">
            <v>1748000</v>
          </cell>
          <cell r="AA31">
            <v>33</v>
          </cell>
          <cell r="AB31">
            <v>101748000</v>
          </cell>
          <cell r="AC31">
            <v>33</v>
          </cell>
          <cell r="AD31">
            <v>48.451428571428572</v>
          </cell>
        </row>
        <row r="32">
          <cell r="C32" t="str">
            <v>01</v>
          </cell>
          <cell r="D32" t="str">
            <v>01</v>
          </cell>
          <cell r="E32" t="str">
            <v>01</v>
          </cell>
          <cell r="F32" t="str">
            <v>01</v>
          </cell>
          <cell r="G32" t="str">
            <v>02</v>
          </cell>
          <cell r="H32">
            <v>24</v>
          </cell>
          <cell r="I32" t="str">
            <v>Pemeliharaan Rutin / Berkala Kendaraan Dinas/Operasiaonal</v>
          </cell>
          <cell r="J32" t="str">
            <v>Terpeliharanya secara berkala kendaraan dinas untuk operasional</v>
          </cell>
          <cell r="K32">
            <v>100</v>
          </cell>
          <cell r="L32">
            <v>825624000</v>
          </cell>
          <cell r="M32">
            <v>33</v>
          </cell>
          <cell r="N32">
            <v>215418000</v>
          </cell>
          <cell r="O32">
            <v>16.5</v>
          </cell>
          <cell r="P32">
            <v>137604000</v>
          </cell>
          <cell r="Q32">
            <v>4.125</v>
          </cell>
          <cell r="R32">
            <v>34401000</v>
          </cell>
          <cell r="S32">
            <v>25</v>
          </cell>
          <cell r="T32">
            <v>67198918</v>
          </cell>
          <cell r="Y32">
            <v>1</v>
          </cell>
          <cell r="Z32">
            <v>101599918</v>
          </cell>
          <cell r="AA32">
            <v>34</v>
          </cell>
          <cell r="AB32">
            <v>317017918</v>
          </cell>
          <cell r="AC32">
            <v>34</v>
          </cell>
          <cell r="AD32">
            <v>38.397371927172657</v>
          </cell>
        </row>
        <row r="33">
          <cell r="C33" t="str">
            <v>01</v>
          </cell>
          <cell r="D33" t="str">
            <v>01</v>
          </cell>
          <cell r="E33" t="str">
            <v>01</v>
          </cell>
          <cell r="F33" t="str">
            <v>01</v>
          </cell>
          <cell r="G33" t="str">
            <v>02</v>
          </cell>
          <cell r="H33">
            <v>30</v>
          </cell>
          <cell r="I33" t="str">
            <v>Pemeliharan Rutin / berkala Alat - Alat Kantor</v>
          </cell>
          <cell r="J33" t="str">
            <v>Terpeliharanya Alat-alat Kantor</v>
          </cell>
          <cell r="K33">
            <v>100</v>
          </cell>
          <cell r="L33">
            <v>252000000</v>
          </cell>
          <cell r="M33">
            <v>33</v>
          </cell>
          <cell r="N33">
            <v>84000000</v>
          </cell>
          <cell r="O33">
            <v>16.5</v>
          </cell>
          <cell r="P33">
            <v>42000000</v>
          </cell>
          <cell r="Q33">
            <v>4.125</v>
          </cell>
          <cell r="R33">
            <v>10500000</v>
          </cell>
          <cell r="S33">
            <v>30</v>
          </cell>
          <cell r="T33">
            <v>21030000</v>
          </cell>
          <cell r="Y33">
            <v>2</v>
          </cell>
          <cell r="Z33">
            <v>31530000</v>
          </cell>
          <cell r="AA33">
            <v>35</v>
          </cell>
          <cell r="AB33">
            <v>115530000</v>
          </cell>
          <cell r="AC33">
            <v>35</v>
          </cell>
          <cell r="AD33">
            <v>45.845238095238095</v>
          </cell>
        </row>
        <row r="34">
          <cell r="A34">
            <v>3</v>
          </cell>
          <cell r="C34" t="str">
            <v>01</v>
          </cell>
          <cell r="D34" t="str">
            <v>01</v>
          </cell>
          <cell r="E34" t="str">
            <v>01</v>
          </cell>
          <cell r="F34" t="str">
            <v>01</v>
          </cell>
          <cell r="G34" t="str">
            <v>05</v>
          </cell>
          <cell r="I34" t="str">
            <v>Program Peningkatan Kapasitas  Sumber Daya Aparatur</v>
          </cell>
          <cell r="J34" t="str">
            <v>pemenuhan aparatur yang profesional (%)</v>
          </cell>
          <cell r="K34">
            <v>100</v>
          </cell>
          <cell r="L34">
            <v>449211000</v>
          </cell>
          <cell r="M34">
            <v>40</v>
          </cell>
          <cell r="N34">
            <v>149547000</v>
          </cell>
          <cell r="O34">
            <v>20</v>
          </cell>
          <cell r="P34">
            <v>74916000</v>
          </cell>
          <cell r="Q34">
            <v>6.666666666666667</v>
          </cell>
          <cell r="R34">
            <v>59102000</v>
          </cell>
          <cell r="T34">
            <v>189192800</v>
          </cell>
          <cell r="Y34">
            <v>6.666666666666667</v>
          </cell>
          <cell r="Z34">
            <v>248294800</v>
          </cell>
          <cell r="AA34">
            <v>46</v>
          </cell>
          <cell r="AB34">
            <v>269632800</v>
          </cell>
          <cell r="AC34">
            <v>46</v>
          </cell>
          <cell r="AD34">
            <v>60.023641451344687</v>
          </cell>
          <cell r="AE34" t="str">
            <v>Dinas Pendiidkan dan Kebudayaan</v>
          </cell>
        </row>
        <row r="35">
          <cell r="I35" t="str">
            <v>Pendidikan dan Pelatihan Formal</v>
          </cell>
          <cell r="J35" t="str">
            <v>Menghasilan tenaga ASN yang berkualitas</v>
          </cell>
          <cell r="Y35">
            <v>0</v>
          </cell>
          <cell r="Z35">
            <v>0</v>
          </cell>
          <cell r="AA35">
            <v>0</v>
          </cell>
          <cell r="AB35">
            <v>0</v>
          </cell>
          <cell r="AC35" t="e">
            <v>#DIV/0!</v>
          </cell>
          <cell r="AD35" t="e">
            <v>#DIV/0!</v>
          </cell>
        </row>
        <row r="36">
          <cell r="C36" t="str">
            <v>01</v>
          </cell>
          <cell r="D36" t="str">
            <v>01</v>
          </cell>
          <cell r="E36" t="str">
            <v>01</v>
          </cell>
          <cell r="F36" t="str">
            <v>01</v>
          </cell>
          <cell r="G36" t="str">
            <v>05</v>
          </cell>
          <cell r="H36" t="str">
            <v>03</v>
          </cell>
          <cell r="I36" t="str">
            <v>Bimbingan Teknis Implementasi Peraturan Perundang-undangan</v>
          </cell>
          <cell r="J36" t="str">
            <v>Tterlaksananya Bintek Kepegawaian</v>
          </cell>
          <cell r="K36">
            <v>900</v>
          </cell>
          <cell r="L36">
            <v>449211000</v>
          </cell>
          <cell r="M36">
            <v>300</v>
          </cell>
          <cell r="N36">
            <v>149547000</v>
          </cell>
          <cell r="O36">
            <v>150</v>
          </cell>
          <cell r="P36">
            <v>74916000</v>
          </cell>
          <cell r="Q36">
            <v>150</v>
          </cell>
          <cell r="R36">
            <v>59102000</v>
          </cell>
          <cell r="T36">
            <v>60983800</v>
          </cell>
          <cell r="Y36">
            <v>150</v>
          </cell>
          <cell r="Z36">
            <v>120085800</v>
          </cell>
          <cell r="AA36">
            <v>450</v>
          </cell>
          <cell r="AB36">
            <v>269632800</v>
          </cell>
          <cell r="AC36">
            <v>50</v>
          </cell>
          <cell r="AD36">
            <v>60.023641451344687</v>
          </cell>
        </row>
        <row r="37">
          <cell r="I37" t="str">
            <v>Pelatihan Penatausahaan Keuangan</v>
          </cell>
          <cell r="J37" t="str">
            <v>Mengasilkan tenaga keuangan berkualitas</v>
          </cell>
          <cell r="K37">
            <v>1</v>
          </cell>
          <cell r="L37">
            <v>892092000</v>
          </cell>
          <cell r="M37">
            <v>1</v>
          </cell>
          <cell r="N37">
            <v>296952</v>
          </cell>
          <cell r="O37">
            <v>1</v>
          </cell>
          <cell r="P37">
            <v>148682000</v>
          </cell>
          <cell r="Q37" t="str">
            <v>0</v>
          </cell>
          <cell r="R37">
            <v>0</v>
          </cell>
          <cell r="T37">
            <v>128209000</v>
          </cell>
          <cell r="Z37">
            <v>128209000</v>
          </cell>
        </row>
        <row r="38">
          <cell r="A38">
            <v>4</v>
          </cell>
          <cell r="C38" t="str">
            <v>1</v>
          </cell>
          <cell r="D38" t="str">
            <v>01</v>
          </cell>
          <cell r="E38" t="str">
            <v>01</v>
          </cell>
          <cell r="F38" t="str">
            <v>01</v>
          </cell>
          <cell r="G38" t="str">
            <v>16</v>
          </cell>
          <cell r="I38" t="str">
            <v>Program Wajib Belajar Pendidikan Dasar Sembilan Tahun</v>
          </cell>
          <cell r="J38" t="str">
            <v>Persentase Kenaikan APK SD</v>
          </cell>
          <cell r="K38">
            <v>0.78000000000000114</v>
          </cell>
          <cell r="L38">
            <v>111407938000</v>
          </cell>
          <cell r="M38">
            <v>0.26</v>
          </cell>
          <cell r="N38">
            <v>19692321000</v>
          </cell>
          <cell r="O38">
            <v>0.13</v>
          </cell>
          <cell r="P38">
            <v>21913531000</v>
          </cell>
          <cell r="Q38">
            <v>3.2500000000000001E-2</v>
          </cell>
          <cell r="R38">
            <v>384164350</v>
          </cell>
          <cell r="S38">
            <v>0</v>
          </cell>
          <cell r="T38">
            <v>6050843127</v>
          </cell>
          <cell r="Y38">
            <v>3.2500000000000001E-2</v>
          </cell>
          <cell r="Z38">
            <v>6435007477</v>
          </cell>
          <cell r="AA38">
            <v>0.29249999999999998</v>
          </cell>
          <cell r="AB38">
            <v>24397010977</v>
          </cell>
          <cell r="AC38">
            <v>37.499999999999943</v>
          </cell>
          <cell r="AD38">
            <v>21.898808482569706</v>
          </cell>
          <cell r="AE38" t="str">
            <v>Dinas Pendiidkan dan Kebudayaan</v>
          </cell>
        </row>
        <row r="39">
          <cell r="J39" t="str">
            <v>Persentase Kenaikan APM SD</v>
          </cell>
          <cell r="K39">
            <v>0.78000000000000114</v>
          </cell>
          <cell r="M39">
            <v>0.26</v>
          </cell>
          <cell r="O39">
            <v>0.13</v>
          </cell>
          <cell r="Q39">
            <v>3.2500000000000001E-2</v>
          </cell>
          <cell r="S39">
            <v>1</v>
          </cell>
          <cell r="T39">
            <v>74289000</v>
          </cell>
          <cell r="Y39">
            <v>1.0325</v>
          </cell>
          <cell r="AA39">
            <v>1.2925</v>
          </cell>
          <cell r="AC39">
            <v>165.70512820512798</v>
          </cell>
        </row>
        <row r="40">
          <cell r="J40" t="str">
            <v>Persentase Kenaikan APK SMP</v>
          </cell>
          <cell r="K40">
            <v>4.1599999999999966</v>
          </cell>
          <cell r="M40">
            <v>1.4</v>
          </cell>
          <cell r="O40">
            <v>0.7</v>
          </cell>
          <cell r="Q40">
            <v>0.17499999999999999</v>
          </cell>
          <cell r="S40">
            <v>12</v>
          </cell>
          <cell r="T40">
            <v>1408878000</v>
          </cell>
          <cell r="Y40">
            <v>12.175000000000001</v>
          </cell>
          <cell r="AA40">
            <v>13.575000000000001</v>
          </cell>
          <cell r="AC40">
            <v>326.3221153846157</v>
          </cell>
        </row>
        <row r="41">
          <cell r="J41" t="str">
            <v>Persentase Kenaikan APM SMP</v>
          </cell>
          <cell r="K41">
            <v>0.81999999999999318</v>
          </cell>
          <cell r="M41">
            <v>0.2</v>
          </cell>
          <cell r="O41">
            <v>0.1</v>
          </cell>
          <cell r="Q41">
            <v>2.5000000000000001E-2</v>
          </cell>
          <cell r="S41">
            <v>4</v>
          </cell>
          <cell r="T41">
            <v>247150500</v>
          </cell>
          <cell r="Y41">
            <v>4.0250000000000004</v>
          </cell>
          <cell r="AA41">
            <v>4.2250000000000005</v>
          </cell>
          <cell r="AC41">
            <v>515.24390243902872</v>
          </cell>
        </row>
        <row r="42">
          <cell r="C42" t="str">
            <v>1</v>
          </cell>
          <cell r="D42" t="str">
            <v>01</v>
          </cell>
          <cell r="E42" t="str">
            <v>01</v>
          </cell>
          <cell r="F42" t="str">
            <v>01</v>
          </cell>
          <cell r="G42" t="str">
            <v>16</v>
          </cell>
          <cell r="H42" t="str">
            <v>09</v>
          </cell>
          <cell r="I42" t="str">
            <v>Pembangunan Taman, Lapangan Upacara dan Fasilitas Parkir</v>
          </cell>
          <cell r="J42" t="str">
            <v>Terpenuhinya kebutuhan prasarana parkir di sekolah</v>
          </cell>
          <cell r="K42">
            <v>1</v>
          </cell>
          <cell r="L42">
            <v>1000000000</v>
          </cell>
          <cell r="M42">
            <v>0</v>
          </cell>
          <cell r="N42">
            <v>0</v>
          </cell>
          <cell r="O42">
            <v>1</v>
          </cell>
          <cell r="P42">
            <v>75000000</v>
          </cell>
          <cell r="Q42">
            <v>1</v>
          </cell>
          <cell r="R42">
            <v>0</v>
          </cell>
          <cell r="S42">
            <v>1</v>
          </cell>
          <cell r="T42">
            <v>76957627</v>
          </cell>
          <cell r="Y42">
            <v>2</v>
          </cell>
          <cell r="Z42">
            <v>76957627</v>
          </cell>
          <cell r="AA42">
            <v>2</v>
          </cell>
          <cell r="AB42">
            <v>76957627</v>
          </cell>
          <cell r="AC42">
            <v>200</v>
          </cell>
          <cell r="AD42">
            <v>7.6957627000000004</v>
          </cell>
        </row>
        <row r="43">
          <cell r="C43">
            <v>1</v>
          </cell>
          <cell r="D43" t="str">
            <v>01</v>
          </cell>
          <cell r="E43" t="str">
            <v>01</v>
          </cell>
          <cell r="F43" t="str">
            <v>01</v>
          </cell>
          <cell r="G43">
            <v>16</v>
          </cell>
          <cell r="H43" t="str">
            <v>100</v>
          </cell>
          <cell r="I43" t="str">
            <v>Pembangunan / Rehabilitasi Gedung dan Pengadaan Sarana dan Prasarana Sekolah Dasar (DAK Reguler 2018)</v>
          </cell>
          <cell r="J43" t="str">
            <v>Rehabilitasi Ruang Kelas, Pembangunan RKB, Jamban, Koleksi Perpustakaan</v>
          </cell>
          <cell r="K43">
            <v>288</v>
          </cell>
          <cell r="L43">
            <v>37774200000</v>
          </cell>
          <cell r="M43">
            <v>22</v>
          </cell>
          <cell r="N43">
            <v>3767000000</v>
          </cell>
          <cell r="O43">
            <v>48</v>
          </cell>
          <cell r="P43">
            <v>6295700000</v>
          </cell>
          <cell r="Q43">
            <v>1</v>
          </cell>
          <cell r="R43">
            <v>3266000</v>
          </cell>
          <cell r="S43">
            <v>1</v>
          </cell>
          <cell r="T43">
            <v>25808500</v>
          </cell>
          <cell r="Y43">
            <v>2</v>
          </cell>
          <cell r="Z43">
            <v>29074500</v>
          </cell>
          <cell r="AA43">
            <v>24</v>
          </cell>
          <cell r="AB43">
            <v>3796074500</v>
          </cell>
          <cell r="AC43">
            <v>8.3333333333333321</v>
          </cell>
          <cell r="AD43">
            <v>10.049384235801154</v>
          </cell>
        </row>
        <row r="44">
          <cell r="C44">
            <v>1</v>
          </cell>
          <cell r="D44" t="str">
            <v>01</v>
          </cell>
          <cell r="E44" t="str">
            <v>01</v>
          </cell>
          <cell r="F44" t="str">
            <v>01</v>
          </cell>
          <cell r="G44">
            <v>16</v>
          </cell>
          <cell r="H44">
            <v>101</v>
          </cell>
          <cell r="I44" t="str">
            <v>Lomba Peningkatan Pendidikan Sekolah Menengah Pertama</v>
          </cell>
          <cell r="J44" t="str">
            <v>Lomba-lomba bagi siswa SMP yang menghasilkan utusan ke tingkat Propinsi dan Nasional</v>
          </cell>
          <cell r="K44">
            <v>32</v>
          </cell>
          <cell r="L44">
            <v>1942500000</v>
          </cell>
          <cell r="M44">
            <v>7</v>
          </cell>
          <cell r="N44">
            <v>498962000</v>
          </cell>
          <cell r="O44">
            <v>10</v>
          </cell>
          <cell r="P44">
            <v>647500000</v>
          </cell>
          <cell r="Q44">
            <v>1</v>
          </cell>
          <cell r="R44">
            <v>52580000</v>
          </cell>
          <cell r="S44">
            <v>0</v>
          </cell>
          <cell r="T44">
            <v>0</v>
          </cell>
          <cell r="Y44">
            <v>1</v>
          </cell>
          <cell r="Z44">
            <v>52580000</v>
          </cell>
          <cell r="AA44">
            <v>8</v>
          </cell>
          <cell r="AB44">
            <v>551542000</v>
          </cell>
          <cell r="AC44">
            <v>25</v>
          </cell>
          <cell r="AD44">
            <v>28.393410553410554</v>
          </cell>
        </row>
        <row r="45">
          <cell r="C45" t="str">
            <v>01</v>
          </cell>
          <cell r="D45" t="str">
            <v>01</v>
          </cell>
          <cell r="E45" t="str">
            <v>01</v>
          </cell>
          <cell r="F45" t="str">
            <v>01</v>
          </cell>
          <cell r="G45">
            <v>16</v>
          </cell>
          <cell r="H45" t="str">
            <v>104</v>
          </cell>
          <cell r="I45" t="str">
            <v>Operasional Sarana Mobilitas Daerah Terpencil</v>
          </cell>
          <cell r="J45" t="str">
            <v>Operasional Kapal dan Pemeliharaan Kapal SMPN 6 Koto XI Tarusan</v>
          </cell>
          <cell r="K45">
            <v>6</v>
          </cell>
          <cell r="L45">
            <v>1129950000</v>
          </cell>
          <cell r="M45">
            <v>2</v>
          </cell>
          <cell r="N45">
            <v>376650000</v>
          </cell>
          <cell r="O45">
            <v>1</v>
          </cell>
          <cell r="P45">
            <v>188325000</v>
          </cell>
          <cell r="Q45">
            <v>0.1</v>
          </cell>
          <cell r="R45">
            <v>3266000</v>
          </cell>
          <cell r="S45">
            <v>0</v>
          </cell>
          <cell r="T45">
            <v>0</v>
          </cell>
          <cell r="Y45">
            <v>0.1</v>
          </cell>
          <cell r="Z45">
            <v>3266000</v>
          </cell>
          <cell r="AA45">
            <v>2.1</v>
          </cell>
          <cell r="AB45">
            <v>379916000</v>
          </cell>
          <cell r="AC45">
            <v>35</v>
          </cell>
          <cell r="AD45">
            <v>33.622372671357134</v>
          </cell>
        </row>
        <row r="46">
          <cell r="C46" t="str">
            <v>01</v>
          </cell>
          <cell r="D46" t="str">
            <v>01</v>
          </cell>
          <cell r="E46" t="str">
            <v>01</v>
          </cell>
          <cell r="F46" t="str">
            <v>01</v>
          </cell>
          <cell r="G46" t="str">
            <v>16</v>
          </cell>
          <cell r="H46" t="str">
            <v>106</v>
          </cell>
          <cell r="I46" t="str">
            <v>Monitoring, Evaluasi Penggunaan  Dana BOS SMP</v>
          </cell>
          <cell r="J46" t="str">
            <v>Tercapainya Monitoring Evaluasi Penggunaan Dana BOS SMP</v>
          </cell>
          <cell r="K46">
            <v>16</v>
          </cell>
          <cell r="L46">
            <v>160000000</v>
          </cell>
          <cell r="M46">
            <v>0</v>
          </cell>
          <cell r="N46">
            <v>0</v>
          </cell>
          <cell r="O46">
            <v>4</v>
          </cell>
          <cell r="P46">
            <v>40000000</v>
          </cell>
          <cell r="Q46">
            <v>1</v>
          </cell>
          <cell r="R46">
            <v>1205000</v>
          </cell>
          <cell r="S46">
            <v>3</v>
          </cell>
          <cell r="T46">
            <v>530641000</v>
          </cell>
          <cell r="Y46">
            <v>4</v>
          </cell>
          <cell r="Z46">
            <v>531846000</v>
          </cell>
          <cell r="AA46">
            <v>4</v>
          </cell>
          <cell r="AB46">
            <v>531846000</v>
          </cell>
          <cell r="AC46">
            <v>25</v>
          </cell>
          <cell r="AD46">
            <v>332.40375</v>
          </cell>
        </row>
        <row r="47">
          <cell r="C47">
            <v>1</v>
          </cell>
          <cell r="D47" t="str">
            <v>01</v>
          </cell>
          <cell r="E47" t="str">
            <v>01</v>
          </cell>
          <cell r="F47" t="str">
            <v>01</v>
          </cell>
          <cell r="G47" t="str">
            <v>16</v>
          </cell>
          <cell r="H47" t="str">
            <v>117</v>
          </cell>
          <cell r="I47" t="str">
            <v>Pengadaan Mobiler Sekolah SMP</v>
          </cell>
          <cell r="J47" t="str">
            <v>Pengadaan Mobiler Sekolah SMP</v>
          </cell>
          <cell r="K47">
            <v>102</v>
          </cell>
          <cell r="L47">
            <v>4500000000</v>
          </cell>
          <cell r="M47">
            <v>17</v>
          </cell>
          <cell r="N47">
            <v>1467355000</v>
          </cell>
          <cell r="O47">
            <v>17</v>
          </cell>
          <cell r="P47">
            <v>750000000</v>
          </cell>
          <cell r="Q47">
            <v>0</v>
          </cell>
          <cell r="R47">
            <v>0</v>
          </cell>
          <cell r="S47">
            <v>1</v>
          </cell>
          <cell r="T47">
            <v>2100000</v>
          </cell>
          <cell r="Y47">
            <v>1</v>
          </cell>
          <cell r="Z47">
            <v>2100000</v>
          </cell>
          <cell r="AA47">
            <v>18</v>
          </cell>
          <cell r="AB47">
            <v>1469455000</v>
          </cell>
          <cell r="AC47">
            <v>17.647058823529413</v>
          </cell>
          <cell r="AD47">
            <v>32.654555555555554</v>
          </cell>
        </row>
        <row r="48">
          <cell r="C48">
            <v>1</v>
          </cell>
          <cell r="D48" t="str">
            <v>01</v>
          </cell>
          <cell r="E48" t="str">
            <v>01</v>
          </cell>
          <cell r="F48" t="str">
            <v>01</v>
          </cell>
          <cell r="G48">
            <v>16</v>
          </cell>
          <cell r="H48" t="str">
            <v>125</v>
          </cell>
          <cell r="I48" t="str">
            <v>Penyelenggaraan Gebyar Pendidikan Tingkat Provinsi dan Pusat</v>
          </cell>
          <cell r="J48" t="str">
            <v>Perlombaan diBidang Seni</v>
          </cell>
          <cell r="K48">
            <v>6</v>
          </cell>
          <cell r="L48">
            <v>471216000</v>
          </cell>
          <cell r="M48">
            <v>1</v>
          </cell>
          <cell r="N48">
            <v>0</v>
          </cell>
          <cell r="O48">
            <v>1</v>
          </cell>
          <cell r="P48">
            <v>78536000</v>
          </cell>
          <cell r="Q48">
            <v>0</v>
          </cell>
          <cell r="R48">
            <v>0</v>
          </cell>
          <cell r="S48">
            <v>4</v>
          </cell>
          <cell r="T48">
            <v>132228000</v>
          </cell>
          <cell r="Y48">
            <v>4</v>
          </cell>
          <cell r="Z48">
            <v>132228000</v>
          </cell>
          <cell r="AA48">
            <v>5</v>
          </cell>
          <cell r="AB48">
            <v>132228000</v>
          </cell>
          <cell r="AC48">
            <v>83.333333333333343</v>
          </cell>
          <cell r="AD48">
            <v>28.061016603850465</v>
          </cell>
        </row>
        <row r="49">
          <cell r="C49" t="str">
            <v>01</v>
          </cell>
          <cell r="D49" t="str">
            <v>01</v>
          </cell>
          <cell r="E49" t="str">
            <v>01</v>
          </cell>
          <cell r="F49" t="str">
            <v>01</v>
          </cell>
          <cell r="G49">
            <v>16</v>
          </cell>
          <cell r="H49" t="str">
            <v>59</v>
          </cell>
          <cell r="I49" t="str">
            <v>Penyelenggraan Tingkat Satuan Pendidikan Sekolah Menengah Pertama</v>
          </cell>
          <cell r="J49" t="str">
            <v>Tersusun naskah soal Penilaian Tengah Semester, Penilaian Akhir Semester, Pra Un dan Soal USBN tingkat SMP</v>
          </cell>
          <cell r="K49">
            <v>6</v>
          </cell>
          <cell r="L49">
            <v>3760000000</v>
          </cell>
          <cell r="M49">
            <v>2</v>
          </cell>
          <cell r="N49">
            <v>960000000</v>
          </cell>
          <cell r="O49">
            <v>1</v>
          </cell>
          <cell r="P49">
            <v>700000000</v>
          </cell>
          <cell r="Q49">
            <v>1</v>
          </cell>
          <cell r="R49">
            <v>119161000</v>
          </cell>
          <cell r="T49">
            <v>1451163750</v>
          </cell>
          <cell r="Y49">
            <v>1</v>
          </cell>
          <cell r="Z49">
            <v>1570324750</v>
          </cell>
          <cell r="AA49">
            <v>3</v>
          </cell>
          <cell r="AB49">
            <v>2530324750</v>
          </cell>
          <cell r="AC49">
            <v>50</v>
          </cell>
          <cell r="AD49">
            <v>67.295871010638294</v>
          </cell>
        </row>
        <row r="50">
          <cell r="C50" t="str">
            <v>1</v>
          </cell>
          <cell r="D50" t="str">
            <v>01</v>
          </cell>
          <cell r="E50" t="str">
            <v>01</v>
          </cell>
          <cell r="F50" t="str">
            <v>01</v>
          </cell>
          <cell r="G50" t="str">
            <v>16</v>
          </cell>
          <cell r="H50" t="str">
            <v>129</v>
          </cell>
          <cell r="I50" t="str">
            <v>Pengadaan Komputer Ujian Nasional Berbasis Komputer (UNBK) dan Ujian Kompetensi Guru (UKG)</v>
          </cell>
          <cell r="J50" t="str">
            <v>Terpenuhinya prasarana komputer untuk ujian nasional berbasis komputer (UNBK)</v>
          </cell>
          <cell r="K50">
            <v>1</v>
          </cell>
          <cell r="L50">
            <v>9000000000</v>
          </cell>
          <cell r="M50">
            <v>1</v>
          </cell>
          <cell r="N50">
            <v>532800000</v>
          </cell>
          <cell r="O50">
            <v>1</v>
          </cell>
          <cell r="P50">
            <v>1500000000</v>
          </cell>
          <cell r="Q50">
            <v>1</v>
          </cell>
          <cell r="R50">
            <v>2100000</v>
          </cell>
          <cell r="S50">
            <v>1</v>
          </cell>
          <cell r="T50">
            <v>39500000</v>
          </cell>
          <cell r="Y50">
            <v>2</v>
          </cell>
          <cell r="Z50">
            <v>41600000</v>
          </cell>
          <cell r="AA50">
            <v>3</v>
          </cell>
          <cell r="AB50">
            <v>574400000</v>
          </cell>
          <cell r="AC50">
            <v>300</v>
          </cell>
          <cell r="AD50">
            <v>6.3822222222222225</v>
          </cell>
        </row>
        <row r="51">
          <cell r="C51">
            <v>1</v>
          </cell>
          <cell r="D51" t="str">
            <v>01</v>
          </cell>
          <cell r="E51" t="str">
            <v>01</v>
          </cell>
          <cell r="F51" t="str">
            <v>01</v>
          </cell>
          <cell r="G51">
            <v>16</v>
          </cell>
          <cell r="H51" t="str">
            <v>131</v>
          </cell>
          <cell r="I51" t="str">
            <v>Pembangunan / Rehabilitasi Gedung dan Pengadaan Sarana dan Prasarana Sekolah Dasar  (DAK Afirmasi 2018)</v>
          </cell>
          <cell r="J51" t="str">
            <v>Pembangunan Rumah Dinas Guru</v>
          </cell>
          <cell r="K51">
            <v>24</v>
          </cell>
          <cell r="L51">
            <v>3231270000</v>
          </cell>
          <cell r="M51">
            <v>0</v>
          </cell>
          <cell r="N51">
            <v>0</v>
          </cell>
          <cell r="O51">
            <v>4</v>
          </cell>
          <cell r="P51">
            <v>538545000</v>
          </cell>
          <cell r="Q51">
            <v>0</v>
          </cell>
          <cell r="R51">
            <v>0</v>
          </cell>
          <cell r="S51">
            <v>0</v>
          </cell>
          <cell r="T51">
            <v>0</v>
          </cell>
          <cell r="Y51">
            <v>0</v>
          </cell>
          <cell r="Z51">
            <v>0</v>
          </cell>
          <cell r="AA51">
            <v>0</v>
          </cell>
          <cell r="AB51">
            <v>0</v>
          </cell>
          <cell r="AC51">
            <v>0</v>
          </cell>
          <cell r="AD51">
            <v>0</v>
          </cell>
        </row>
        <row r="52">
          <cell r="C52" t="str">
            <v>1</v>
          </cell>
          <cell r="D52" t="str">
            <v>01</v>
          </cell>
          <cell r="E52" t="str">
            <v>01</v>
          </cell>
          <cell r="F52" t="str">
            <v>01</v>
          </cell>
          <cell r="G52" t="str">
            <v>16</v>
          </cell>
          <cell r="H52" t="str">
            <v>132</v>
          </cell>
          <cell r="I52" t="str">
            <v>Pemb./Rehabilitasi Gedung dan Pengadaan Sarpras SMP (DAK Reguler 2018)</v>
          </cell>
          <cell r="J52" t="str">
            <v>Terpenuhinya kebutuhan sarpras dan tersedianya bangunan yang representatif di sekolah</v>
          </cell>
          <cell r="K52">
            <v>7</v>
          </cell>
          <cell r="L52">
            <v>25000000000</v>
          </cell>
          <cell r="M52">
            <v>5</v>
          </cell>
          <cell r="N52">
            <v>6500000000</v>
          </cell>
          <cell r="O52">
            <v>6</v>
          </cell>
          <cell r="P52">
            <v>6338000000</v>
          </cell>
          <cell r="Q52">
            <v>1</v>
          </cell>
          <cell r="R52">
            <v>7220000</v>
          </cell>
          <cell r="S52">
            <v>1</v>
          </cell>
          <cell r="T52">
            <v>54485000</v>
          </cell>
          <cell r="Y52">
            <v>2</v>
          </cell>
          <cell r="Z52">
            <v>61705000</v>
          </cell>
          <cell r="AA52">
            <v>7</v>
          </cell>
          <cell r="AB52">
            <v>6561705000</v>
          </cell>
          <cell r="AC52">
            <v>100</v>
          </cell>
          <cell r="AD52">
            <v>26.24682</v>
          </cell>
        </row>
        <row r="53">
          <cell r="C53" t="str">
            <v>1</v>
          </cell>
          <cell r="D53" t="str">
            <v>01</v>
          </cell>
          <cell r="E53" t="str">
            <v>01</v>
          </cell>
          <cell r="F53" t="str">
            <v>01</v>
          </cell>
          <cell r="G53" t="str">
            <v>16</v>
          </cell>
          <cell r="H53" t="str">
            <v>133</v>
          </cell>
          <cell r="I53" t="str">
            <v>Pemb./Rehabilitasi Gedung dan Pengadaan Sarpras SMP (DAK Afirmasi 2018)</v>
          </cell>
          <cell r="J53" t="str">
            <v>Tersedianya rumah dinas guru di sekolah</v>
          </cell>
          <cell r="K53">
            <v>1</v>
          </cell>
          <cell r="L53">
            <v>700000000</v>
          </cell>
          <cell r="M53">
            <v>0</v>
          </cell>
          <cell r="N53">
            <v>0</v>
          </cell>
          <cell r="O53">
            <v>1</v>
          </cell>
          <cell r="P53">
            <v>158000000</v>
          </cell>
          <cell r="Q53">
            <v>1</v>
          </cell>
          <cell r="R53">
            <v>0</v>
          </cell>
          <cell r="S53">
            <v>2</v>
          </cell>
          <cell r="T53">
            <v>6600000</v>
          </cell>
          <cell r="Y53">
            <v>2</v>
          </cell>
          <cell r="Z53">
            <v>6600000</v>
          </cell>
          <cell r="AA53">
            <v>2</v>
          </cell>
          <cell r="AB53">
            <v>6600000</v>
          </cell>
          <cell r="AC53">
            <v>200</v>
          </cell>
          <cell r="AD53">
            <v>0.94285714285714284</v>
          </cell>
        </row>
        <row r="54">
          <cell r="C54">
            <v>1</v>
          </cell>
          <cell r="D54" t="str">
            <v>01</v>
          </cell>
          <cell r="E54" t="str">
            <v>01</v>
          </cell>
          <cell r="F54" t="str">
            <v>01</v>
          </cell>
          <cell r="G54" t="str">
            <v>16</v>
          </cell>
          <cell r="H54" t="str">
            <v>18</v>
          </cell>
          <cell r="I54" t="str">
            <v xml:space="preserve">Pengadaan Alat Praktik dan Peraga Siswa </v>
          </cell>
          <cell r="J54" t="str">
            <v>Pengadaan Alat Drum Band</v>
          </cell>
          <cell r="K54">
            <v>18</v>
          </cell>
          <cell r="L54">
            <v>750000000</v>
          </cell>
          <cell r="M54">
            <v>0</v>
          </cell>
          <cell r="N54">
            <v>0</v>
          </cell>
          <cell r="O54">
            <v>3</v>
          </cell>
          <cell r="P54">
            <v>125000000</v>
          </cell>
          <cell r="Q54">
            <v>0</v>
          </cell>
          <cell r="R54">
            <v>0</v>
          </cell>
          <cell r="S54">
            <v>1</v>
          </cell>
          <cell r="T54">
            <v>203251500</v>
          </cell>
          <cell r="Y54">
            <v>1</v>
          </cell>
          <cell r="Z54">
            <v>203251500</v>
          </cell>
          <cell r="AA54">
            <v>1</v>
          </cell>
          <cell r="AB54">
            <v>203251500</v>
          </cell>
          <cell r="AC54">
            <v>5.5555555555555554</v>
          </cell>
          <cell r="AD54">
            <v>27.100200000000001</v>
          </cell>
        </row>
        <row r="55">
          <cell r="C55">
            <v>1</v>
          </cell>
          <cell r="D55" t="str">
            <v>01</v>
          </cell>
          <cell r="E55" t="str">
            <v>01</v>
          </cell>
          <cell r="F55" t="str">
            <v>01</v>
          </cell>
          <cell r="G55" t="str">
            <v>16</v>
          </cell>
          <cell r="H55">
            <v>41</v>
          </cell>
          <cell r="I55" t="str">
            <v>Rehabilitasi/sedang berat bangunan sekolah</v>
          </cell>
          <cell r="J55" t="str">
            <v>jumlah sekolah yang direhabilitasi atau diperbaiki</v>
          </cell>
          <cell r="K55">
            <v>6</v>
          </cell>
          <cell r="L55">
            <v>600000000</v>
          </cell>
          <cell r="M55" t="str">
            <v>0</v>
          </cell>
          <cell r="P55">
            <v>100000000</v>
          </cell>
          <cell r="T55" t="str">
            <v>0</v>
          </cell>
          <cell r="Z55">
            <v>0</v>
          </cell>
        </row>
        <row r="56">
          <cell r="C56">
            <v>1</v>
          </cell>
          <cell r="D56" t="str">
            <v>01</v>
          </cell>
          <cell r="E56" t="str">
            <v>01</v>
          </cell>
          <cell r="F56" t="str">
            <v>01</v>
          </cell>
          <cell r="G56" t="str">
            <v>16</v>
          </cell>
          <cell r="H56" t="str">
            <v>51</v>
          </cell>
          <cell r="I56" t="str">
            <v>Rehabilitasi Sedang/Berat Taman, Lapangan Upacara dan Fasilitas Parkir</v>
          </cell>
          <cell r="J56" t="str">
            <v>Pembangunan Lapangan Upacara dan Pagar SD 38 Api-api</v>
          </cell>
          <cell r="K56">
            <v>6</v>
          </cell>
          <cell r="L56">
            <v>600000000</v>
          </cell>
          <cell r="M56">
            <v>0</v>
          </cell>
          <cell r="N56">
            <v>0</v>
          </cell>
          <cell r="O56">
            <v>1</v>
          </cell>
          <cell r="P56">
            <v>100000000</v>
          </cell>
          <cell r="Q56">
            <v>0</v>
          </cell>
          <cell r="R56">
            <v>0</v>
          </cell>
          <cell r="S56">
            <v>0</v>
          </cell>
          <cell r="T56">
            <v>0</v>
          </cell>
          <cell r="Y56">
            <v>0</v>
          </cell>
          <cell r="Z56">
            <v>0</v>
          </cell>
          <cell r="AA56">
            <v>0</v>
          </cell>
          <cell r="AB56">
            <v>0</v>
          </cell>
          <cell r="AC56">
            <v>0</v>
          </cell>
          <cell r="AD56">
            <v>0</v>
          </cell>
        </row>
        <row r="57">
          <cell r="C57" t="str">
            <v>01</v>
          </cell>
          <cell r="D57" t="str">
            <v>01</v>
          </cell>
          <cell r="E57" t="str">
            <v>01</v>
          </cell>
          <cell r="F57" t="str">
            <v>01</v>
          </cell>
          <cell r="G57">
            <v>16</v>
          </cell>
          <cell r="H57" t="str">
            <v>127</v>
          </cell>
          <cell r="I57" t="str">
            <v>Pelatihan Penyusunan Kurikulum</v>
          </cell>
          <cell r="J57" t="str">
            <v>terlaksana pelatihan bagi Tim Pengembang Kurikulum Kabupaten dan dokumen kurikulum SD dan SMP telah diverifikasi dan divalidasi</v>
          </cell>
          <cell r="K57">
            <v>6</v>
          </cell>
          <cell r="L57">
            <v>1379130000</v>
          </cell>
          <cell r="M57">
            <v>2</v>
          </cell>
          <cell r="N57">
            <v>459710000</v>
          </cell>
          <cell r="O57">
            <v>1</v>
          </cell>
          <cell r="P57">
            <v>229855000</v>
          </cell>
          <cell r="Q57">
            <v>0</v>
          </cell>
          <cell r="R57">
            <v>0</v>
          </cell>
          <cell r="S57">
            <v>1</v>
          </cell>
          <cell r="T57">
            <v>672529100</v>
          </cell>
          <cell r="Y57">
            <v>1</v>
          </cell>
          <cell r="Z57">
            <v>672529100</v>
          </cell>
          <cell r="AA57">
            <v>3</v>
          </cell>
          <cell r="AB57">
            <v>1132239100</v>
          </cell>
          <cell r="AC57">
            <v>50</v>
          </cell>
          <cell r="AD57">
            <v>82.098069072531231</v>
          </cell>
        </row>
        <row r="58">
          <cell r="C58">
            <v>1</v>
          </cell>
          <cell r="D58" t="str">
            <v>01</v>
          </cell>
          <cell r="E58" t="str">
            <v>01</v>
          </cell>
          <cell r="F58" t="str">
            <v>01</v>
          </cell>
          <cell r="G58" t="str">
            <v>16</v>
          </cell>
          <cell r="H58" t="str">
            <v>70</v>
          </cell>
          <cell r="I58" t="str">
            <v>Pembinaan Minat, Bakat dan Kreativitas Siswa</v>
          </cell>
          <cell r="J58" t="str">
            <v>Lomba O2SN dan FLS2N</v>
          </cell>
          <cell r="K58">
            <v>6</v>
          </cell>
          <cell r="L58">
            <v>1954202800</v>
          </cell>
          <cell r="M58">
            <v>2</v>
          </cell>
          <cell r="N58">
            <v>630388000</v>
          </cell>
          <cell r="O58">
            <v>1</v>
          </cell>
          <cell r="P58">
            <v>315194000</v>
          </cell>
          <cell r="Q58">
            <v>0</v>
          </cell>
          <cell r="R58">
            <v>0</v>
          </cell>
          <cell r="S58">
            <v>1</v>
          </cell>
          <cell r="T58">
            <v>62443500</v>
          </cell>
          <cell r="Y58">
            <v>1</v>
          </cell>
          <cell r="Z58">
            <v>62443500</v>
          </cell>
          <cell r="AA58">
            <v>3</v>
          </cell>
          <cell r="AB58">
            <v>692831500</v>
          </cell>
          <cell r="AC58">
            <v>50</v>
          </cell>
          <cell r="AD58">
            <v>35.453408418000429</v>
          </cell>
        </row>
        <row r="59">
          <cell r="C59">
            <v>1</v>
          </cell>
          <cell r="D59" t="str">
            <v>01</v>
          </cell>
          <cell r="E59" t="str">
            <v>01</v>
          </cell>
          <cell r="F59" t="str">
            <v>01</v>
          </cell>
          <cell r="G59" t="str">
            <v>16</v>
          </cell>
          <cell r="H59">
            <v>76</v>
          </cell>
          <cell r="I59" t="str">
            <v>Penyelenggaraan Akreditasi Sekolah Dasar</v>
          </cell>
          <cell r="J59" t="str">
            <v>Penilaian Akreditasi SD dan SMP dengan Nilai B</v>
          </cell>
          <cell r="K59">
            <v>75</v>
          </cell>
          <cell r="L59">
            <v>390388000</v>
          </cell>
          <cell r="M59">
            <v>24</v>
          </cell>
          <cell r="N59">
            <v>149963000</v>
          </cell>
          <cell r="O59">
            <v>25</v>
          </cell>
          <cell r="P59">
            <v>130000000</v>
          </cell>
          <cell r="Q59">
            <v>0</v>
          </cell>
          <cell r="R59">
            <v>0</v>
          </cell>
          <cell r="S59">
            <v>1</v>
          </cell>
          <cell r="T59">
            <v>54453350</v>
          </cell>
          <cell r="Y59">
            <v>1</v>
          </cell>
          <cell r="Z59">
            <v>54453350</v>
          </cell>
          <cell r="AA59">
            <v>25</v>
          </cell>
          <cell r="AB59">
            <v>204416350</v>
          </cell>
          <cell r="AC59">
            <v>33.333333333333329</v>
          </cell>
          <cell r="AD59">
            <v>52.362354887957622</v>
          </cell>
        </row>
        <row r="60">
          <cell r="C60">
            <v>1</v>
          </cell>
          <cell r="D60" t="str">
            <v>01</v>
          </cell>
          <cell r="E60" t="str">
            <v>01</v>
          </cell>
          <cell r="F60" t="str">
            <v>01</v>
          </cell>
          <cell r="G60" t="str">
            <v>16</v>
          </cell>
          <cell r="H60" t="str">
            <v>80</v>
          </cell>
          <cell r="I60" t="str">
            <v>Penyelenggara Pendidikan Sekolah Dasar</v>
          </cell>
          <cell r="J60" t="str">
            <v>Persiapan Ujian di Sekolah Dasar (naskah soal)</v>
          </cell>
          <cell r="K60">
            <v>1</v>
          </cell>
          <cell r="L60">
            <v>1067059200</v>
          </cell>
          <cell r="M60">
            <v>1</v>
          </cell>
          <cell r="N60">
            <v>889216000</v>
          </cell>
          <cell r="O60">
            <v>1</v>
          </cell>
          <cell r="P60">
            <v>889216000</v>
          </cell>
          <cell r="Q60">
            <v>0</v>
          </cell>
          <cell r="R60">
            <v>40460000</v>
          </cell>
          <cell r="S60">
            <v>0</v>
          </cell>
          <cell r="T60">
            <v>92601000</v>
          </cell>
          <cell r="Y60">
            <v>0</v>
          </cell>
          <cell r="Z60">
            <v>133061000</v>
          </cell>
          <cell r="AA60">
            <v>1</v>
          </cell>
          <cell r="AB60">
            <v>1022277000</v>
          </cell>
          <cell r="AC60">
            <v>100</v>
          </cell>
          <cell r="AD60">
            <v>95.803213167554333</v>
          </cell>
        </row>
        <row r="61">
          <cell r="C61">
            <v>1</v>
          </cell>
          <cell r="D61" t="str">
            <v>01</v>
          </cell>
          <cell r="E61" t="str">
            <v>01</v>
          </cell>
          <cell r="F61" t="str">
            <v>01</v>
          </cell>
          <cell r="G61" t="str">
            <v>16</v>
          </cell>
          <cell r="H61" t="str">
            <v>81</v>
          </cell>
          <cell r="I61" t="str">
            <v>Lomba Tingkat Pendidikan Sekolah Dasar</v>
          </cell>
          <cell r="J61" t="str">
            <v>Lomba Matematika dan Sains tingkat SD</v>
          </cell>
          <cell r="K61">
            <v>6</v>
          </cell>
          <cell r="L61">
            <v>496000000</v>
          </cell>
          <cell r="M61">
            <v>2</v>
          </cell>
          <cell r="N61">
            <v>160000000</v>
          </cell>
          <cell r="O61">
            <v>1</v>
          </cell>
          <cell r="P61">
            <v>80000000</v>
          </cell>
          <cell r="Q61">
            <v>1</v>
          </cell>
          <cell r="R61">
            <v>35453000</v>
          </cell>
          <cell r="S61">
            <v>0</v>
          </cell>
          <cell r="T61">
            <v>0</v>
          </cell>
          <cell r="Y61">
            <v>1</v>
          </cell>
          <cell r="Z61">
            <v>35453000</v>
          </cell>
          <cell r="AA61">
            <v>3</v>
          </cell>
          <cell r="AB61">
            <v>195453000</v>
          </cell>
          <cell r="AC61">
            <v>50</v>
          </cell>
          <cell r="AD61">
            <v>39.405846774193549</v>
          </cell>
        </row>
        <row r="62">
          <cell r="C62" t="str">
            <v>01</v>
          </cell>
          <cell r="D62" t="str">
            <v>01</v>
          </cell>
          <cell r="E62" t="str">
            <v>01</v>
          </cell>
          <cell r="F62" t="str">
            <v>01</v>
          </cell>
          <cell r="G62" t="str">
            <v>16</v>
          </cell>
          <cell r="H62" t="str">
            <v>83</v>
          </cell>
          <cell r="I62" t="str">
            <v>Monitoring, Evaluasi Penggunaan  Dana BOS SD</v>
          </cell>
          <cell r="J62" t="str">
            <v>Tercapainya Monitoring Evaluasi Penggunaan Dana BOS SD</v>
          </cell>
          <cell r="K62">
            <v>16</v>
          </cell>
          <cell r="L62">
            <v>329600000</v>
          </cell>
          <cell r="M62">
            <v>0</v>
          </cell>
          <cell r="N62">
            <v>0</v>
          </cell>
          <cell r="O62">
            <v>4</v>
          </cell>
          <cell r="P62">
            <v>82400000</v>
          </cell>
          <cell r="Q62">
            <v>1</v>
          </cell>
          <cell r="R62">
            <v>14017000</v>
          </cell>
          <cell r="S62">
            <v>2</v>
          </cell>
          <cell r="T62">
            <v>406713500</v>
          </cell>
          <cell r="Y62">
            <v>3</v>
          </cell>
          <cell r="Z62">
            <v>420730500</v>
          </cell>
          <cell r="AA62">
            <v>3</v>
          </cell>
          <cell r="AB62">
            <v>420730500</v>
          </cell>
          <cell r="AC62">
            <v>18.75</v>
          </cell>
          <cell r="AD62">
            <v>127.64881674757282</v>
          </cell>
        </row>
        <row r="63">
          <cell r="C63" t="str">
            <v>01</v>
          </cell>
          <cell r="D63" t="str">
            <v>01</v>
          </cell>
          <cell r="E63" t="str">
            <v>01</v>
          </cell>
          <cell r="F63" t="str">
            <v>01</v>
          </cell>
          <cell r="G63" t="str">
            <v>16</v>
          </cell>
          <cell r="H63" t="str">
            <v>51</v>
          </cell>
          <cell r="I63" t="str">
            <v>Sosialisasi dan Informasi Pendidikan Dasar</v>
          </cell>
          <cell r="J63" t="str">
            <v>Terlaksananya Sosialisasi dan Informasi Pendidikan Dasar</v>
          </cell>
          <cell r="K63">
            <v>4720</v>
          </cell>
          <cell r="L63">
            <v>937010000</v>
          </cell>
          <cell r="M63">
            <v>944</v>
          </cell>
          <cell r="N63">
            <v>199978000</v>
          </cell>
          <cell r="O63">
            <v>944</v>
          </cell>
          <cell r="P63">
            <v>184258000</v>
          </cell>
          <cell r="Q63">
            <v>465</v>
          </cell>
          <cell r="R63">
            <v>92811000</v>
          </cell>
          <cell r="S63">
            <v>0</v>
          </cell>
          <cell r="T63">
            <v>0</v>
          </cell>
          <cell r="Y63">
            <v>465</v>
          </cell>
          <cell r="Z63">
            <v>92811000</v>
          </cell>
          <cell r="AA63">
            <v>1409</v>
          </cell>
          <cell r="AB63">
            <v>292789000</v>
          </cell>
          <cell r="AC63">
            <v>29.851694915254239</v>
          </cell>
          <cell r="AD63">
            <v>31.247158514850426</v>
          </cell>
        </row>
        <row r="64">
          <cell r="C64">
            <v>1</v>
          </cell>
          <cell r="D64" t="str">
            <v>01</v>
          </cell>
          <cell r="E64" t="str">
            <v>01</v>
          </cell>
          <cell r="F64" t="str">
            <v>01</v>
          </cell>
          <cell r="G64" t="str">
            <v>16</v>
          </cell>
          <cell r="H64" t="str">
            <v>87</v>
          </cell>
          <cell r="I64" t="str">
            <v>Penyelenggaraan Pendidikan Karakter di Pendidikan Dasar</v>
          </cell>
          <cell r="J64" t="str">
            <v>Memberikan Pelatihan kepada guru-guru SD</v>
          </cell>
          <cell r="K64">
            <v>6</v>
          </cell>
          <cell r="L64">
            <v>849400000</v>
          </cell>
          <cell r="M64">
            <v>2</v>
          </cell>
          <cell r="N64">
            <v>274000000</v>
          </cell>
          <cell r="O64">
            <v>1</v>
          </cell>
          <cell r="P64">
            <v>137000000</v>
          </cell>
          <cell r="Q64">
            <v>0</v>
          </cell>
          <cell r="R64">
            <v>0</v>
          </cell>
          <cell r="S64">
            <v>12</v>
          </cell>
          <cell r="T64">
            <v>509049800</v>
          </cell>
          <cell r="Y64">
            <v>12</v>
          </cell>
          <cell r="Z64">
            <v>509049800</v>
          </cell>
          <cell r="AA64">
            <v>14</v>
          </cell>
          <cell r="AB64">
            <v>783049800</v>
          </cell>
          <cell r="AC64">
            <v>233.33333333333334</v>
          </cell>
          <cell r="AD64">
            <v>92.188580174240641</v>
          </cell>
        </row>
        <row r="65">
          <cell r="C65">
            <v>1</v>
          </cell>
          <cell r="D65" t="str">
            <v>01</v>
          </cell>
          <cell r="E65" t="str">
            <v>01</v>
          </cell>
          <cell r="F65" t="str">
            <v>01</v>
          </cell>
          <cell r="G65">
            <v>16</v>
          </cell>
          <cell r="H65" t="str">
            <v>88</v>
          </cell>
          <cell r="I65" t="str">
            <v>Pembangunan Ruang Kelas Baru SD</v>
          </cell>
          <cell r="J65" t="str">
            <v>Pembangunan Ruang Kelas Baru SD</v>
          </cell>
          <cell r="K65">
            <v>18</v>
          </cell>
          <cell r="L65">
            <v>3240000000</v>
          </cell>
          <cell r="M65">
            <v>2</v>
          </cell>
          <cell r="N65">
            <v>300000000</v>
          </cell>
          <cell r="O65">
            <v>3</v>
          </cell>
          <cell r="P65">
            <v>540000000</v>
          </cell>
          <cell r="Q65">
            <v>1</v>
          </cell>
          <cell r="R65">
            <v>12600000</v>
          </cell>
          <cell r="Y65">
            <v>1</v>
          </cell>
          <cell r="Z65">
            <v>12600000</v>
          </cell>
          <cell r="AA65">
            <v>3</v>
          </cell>
          <cell r="AB65">
            <v>312600000</v>
          </cell>
          <cell r="AC65">
            <v>16.666666666666664</v>
          </cell>
          <cell r="AD65">
            <v>9.6481481481481488</v>
          </cell>
        </row>
        <row r="66">
          <cell r="C66">
            <v>1</v>
          </cell>
          <cell r="D66" t="str">
            <v>01</v>
          </cell>
          <cell r="E66" t="str">
            <v>01</v>
          </cell>
          <cell r="F66" t="str">
            <v>01</v>
          </cell>
          <cell r="G66" t="str">
            <v>16</v>
          </cell>
          <cell r="H66" t="str">
            <v>93</v>
          </cell>
          <cell r="I66" t="str">
            <v>Pengadaan Mobiler Sekolah SD</v>
          </cell>
          <cell r="J66" t="str">
            <v>Pengadaan Mobiler Sekolah SD</v>
          </cell>
          <cell r="K66">
            <v>138</v>
          </cell>
          <cell r="L66">
            <v>4500000000</v>
          </cell>
          <cell r="M66">
            <v>20</v>
          </cell>
          <cell r="N66">
            <v>1726299000</v>
          </cell>
          <cell r="O66">
            <v>23</v>
          </cell>
          <cell r="P66">
            <v>750000000</v>
          </cell>
          <cell r="Q66">
            <v>0</v>
          </cell>
          <cell r="R66">
            <v>0</v>
          </cell>
          <cell r="Y66">
            <v>0</v>
          </cell>
          <cell r="Z66">
            <v>0</v>
          </cell>
          <cell r="AA66">
            <v>20</v>
          </cell>
          <cell r="AB66">
            <v>1726299000</v>
          </cell>
          <cell r="AC66">
            <v>14.492753623188406</v>
          </cell>
          <cell r="AD66">
            <v>38.362200000000001</v>
          </cell>
        </row>
        <row r="67">
          <cell r="C67">
            <v>1</v>
          </cell>
          <cell r="D67" t="str">
            <v>01</v>
          </cell>
          <cell r="E67" t="str">
            <v>01</v>
          </cell>
          <cell r="F67" t="str">
            <v>01</v>
          </cell>
          <cell r="G67">
            <v>16</v>
          </cell>
          <cell r="H67" t="str">
            <v>'94</v>
          </cell>
          <cell r="I67" t="str">
            <v>Pembangunan Pagar SD</v>
          </cell>
          <cell r="J67" t="str">
            <v xml:space="preserve">Pembangunan Pagar Sekolah </v>
          </cell>
          <cell r="K67">
            <v>48</v>
          </cell>
          <cell r="L67">
            <v>5646012000</v>
          </cell>
          <cell r="M67">
            <v>5</v>
          </cell>
          <cell r="N67">
            <v>800000000</v>
          </cell>
          <cell r="O67">
            <v>8</v>
          </cell>
          <cell r="P67">
            <v>941002000</v>
          </cell>
          <cell r="Q67">
            <v>1</v>
          </cell>
          <cell r="R67">
            <v>25350</v>
          </cell>
          <cell r="Y67">
            <v>1</v>
          </cell>
          <cell r="Z67">
            <v>25350</v>
          </cell>
          <cell r="AA67">
            <v>6</v>
          </cell>
          <cell r="AB67">
            <v>800025350</v>
          </cell>
          <cell r="AC67">
            <v>12.5</v>
          </cell>
          <cell r="AD67">
            <v>14.169742288893469</v>
          </cell>
        </row>
        <row r="68">
          <cell r="A68">
            <v>5</v>
          </cell>
          <cell r="C68" t="str">
            <v>01</v>
          </cell>
          <cell r="D68" t="str">
            <v>1</v>
          </cell>
          <cell r="E68" t="str">
            <v>01</v>
          </cell>
          <cell r="F68" t="str">
            <v>03</v>
          </cell>
          <cell r="G68" t="str">
            <v>15</v>
          </cell>
          <cell r="I68" t="str">
            <v>Program pendidikan anak usia dini</v>
          </cell>
          <cell r="J68" t="str">
            <v xml:space="preserve">Persentase Kenaikan APK PAUD </v>
          </cell>
          <cell r="K68">
            <v>4437</v>
          </cell>
          <cell r="L68">
            <v>2905899000</v>
          </cell>
          <cell r="M68">
            <v>1235</v>
          </cell>
          <cell r="N68">
            <v>588634000</v>
          </cell>
          <cell r="O68">
            <v>915</v>
          </cell>
          <cell r="P68">
            <v>522875000</v>
          </cell>
          <cell r="Q68">
            <v>480</v>
          </cell>
          <cell r="R68">
            <v>74360000</v>
          </cell>
          <cell r="S68">
            <v>774</v>
          </cell>
          <cell r="T68">
            <v>273565500</v>
          </cell>
          <cell r="Y68">
            <v>1254</v>
          </cell>
          <cell r="Z68">
            <v>347925500</v>
          </cell>
          <cell r="AA68">
            <v>2489</v>
          </cell>
          <cell r="AB68">
            <v>936559500</v>
          </cell>
          <cell r="AC68">
            <v>56.096461573135002</v>
          </cell>
          <cell r="AD68">
            <v>32.229595729239044</v>
          </cell>
          <cell r="AE68" t="str">
            <v>Dinas Pendiidkan dan Kebudayaan</v>
          </cell>
        </row>
        <row r="69">
          <cell r="C69" t="str">
            <v>01</v>
          </cell>
          <cell r="D69" t="str">
            <v>1</v>
          </cell>
          <cell r="E69" t="str">
            <v>01</v>
          </cell>
          <cell r="F69" t="str">
            <v>03</v>
          </cell>
          <cell r="G69" t="str">
            <v>15</v>
          </cell>
          <cell r="H69" t="str">
            <v>45</v>
          </cell>
          <cell r="I69" t="str">
            <v>Lomba Tingkat Pendidikan Anak Usia Dini/Taman Kanak-kanak</v>
          </cell>
          <cell r="J69" t="str">
            <v>Jumlah peserta didik PAUD yang berpartisipasi dalam lomba tingkat kabupaten dan provinsi</v>
          </cell>
          <cell r="K69">
            <v>630</v>
          </cell>
          <cell r="L69">
            <v>1095824000</v>
          </cell>
          <cell r="M69">
            <v>210</v>
          </cell>
          <cell r="N69">
            <v>345824000</v>
          </cell>
          <cell r="O69">
            <v>150</v>
          </cell>
          <cell r="P69">
            <v>180000000</v>
          </cell>
          <cell r="Q69">
            <v>105</v>
          </cell>
          <cell r="R69">
            <v>45555000</v>
          </cell>
          <cell r="S69">
            <v>105</v>
          </cell>
          <cell r="T69">
            <v>45555500</v>
          </cell>
          <cell r="Y69">
            <v>210</v>
          </cell>
          <cell r="Z69">
            <v>91110500</v>
          </cell>
          <cell r="AA69">
            <v>420</v>
          </cell>
          <cell r="AB69">
            <v>436934500</v>
          </cell>
          <cell r="AC69">
            <v>66.666666666666657</v>
          </cell>
          <cell r="AD69">
            <v>39.872689409978243</v>
          </cell>
        </row>
        <row r="70">
          <cell r="B70" t="str">
            <v xml:space="preserve"> </v>
          </cell>
          <cell r="C70" t="str">
            <v>01</v>
          </cell>
          <cell r="D70" t="str">
            <v>1</v>
          </cell>
          <cell r="E70" t="str">
            <v>01</v>
          </cell>
          <cell r="F70" t="str">
            <v>03</v>
          </cell>
          <cell r="G70" t="str">
            <v>15</v>
          </cell>
          <cell r="H70" t="str">
            <v>47</v>
          </cell>
          <cell r="I70" t="str">
            <v>Pelatihan Verifikasi Bantuan Program PTK PAUD</v>
          </cell>
          <cell r="J70" t="str">
            <v>Jumlah pengelola PAUD yang mengikuti pelatihan verifikasi PTK PAUD</v>
          </cell>
          <cell r="K70">
            <v>1657</v>
          </cell>
          <cell r="L70">
            <v>1100000000</v>
          </cell>
          <cell r="M70">
            <v>607</v>
          </cell>
          <cell r="N70">
            <v>162810000</v>
          </cell>
          <cell r="O70">
            <v>332</v>
          </cell>
          <cell r="P70">
            <v>200000000</v>
          </cell>
          <cell r="Q70">
            <v>0</v>
          </cell>
          <cell r="R70">
            <v>0</v>
          </cell>
          <cell r="S70">
            <v>294</v>
          </cell>
          <cell r="T70">
            <v>199205000</v>
          </cell>
          <cell r="Y70">
            <v>294</v>
          </cell>
          <cell r="Z70">
            <v>199205000</v>
          </cell>
          <cell r="AA70">
            <v>901</v>
          </cell>
          <cell r="AB70">
            <v>362015000</v>
          </cell>
          <cell r="AC70">
            <v>54.375377187688592</v>
          </cell>
          <cell r="AD70">
            <v>32.910454545454542</v>
          </cell>
        </row>
        <row r="71">
          <cell r="C71" t="str">
            <v>01</v>
          </cell>
          <cell r="D71" t="str">
            <v>1</v>
          </cell>
          <cell r="E71" t="str">
            <v>01</v>
          </cell>
          <cell r="F71" t="str">
            <v>03</v>
          </cell>
          <cell r="G71" t="str">
            <v>15</v>
          </cell>
          <cell r="H71" t="str">
            <v>48</v>
          </cell>
          <cell r="I71" t="str">
            <v>Pembinaan pada Lembaga PAUD Percontohan</v>
          </cell>
          <cell r="J71" t="str">
            <v>Jumlah PAUD yang dibina</v>
          </cell>
          <cell r="K71">
            <v>60</v>
          </cell>
          <cell r="L71">
            <v>329600000</v>
          </cell>
          <cell r="M71">
            <v>0</v>
          </cell>
          <cell r="N71">
            <v>0</v>
          </cell>
          <cell r="O71">
            <v>15</v>
          </cell>
          <cell r="P71">
            <v>82400000</v>
          </cell>
          <cell r="Q71">
            <v>0</v>
          </cell>
          <cell r="R71">
            <v>0</v>
          </cell>
          <cell r="S71">
            <v>0</v>
          </cell>
          <cell r="T71">
            <v>0</v>
          </cell>
          <cell r="Y71">
            <v>0</v>
          </cell>
          <cell r="Z71">
            <v>0</v>
          </cell>
          <cell r="AA71">
            <v>0</v>
          </cell>
          <cell r="AB71">
            <v>0</v>
          </cell>
          <cell r="AC71">
            <v>0</v>
          </cell>
          <cell r="AD71">
            <v>0</v>
          </cell>
        </row>
        <row r="72">
          <cell r="C72" t="str">
            <v>01</v>
          </cell>
          <cell r="D72" t="str">
            <v>1</v>
          </cell>
          <cell r="E72" t="str">
            <v>01</v>
          </cell>
          <cell r="F72" t="str">
            <v>03</v>
          </cell>
          <cell r="G72" t="str">
            <v>15</v>
          </cell>
          <cell r="H72" t="str">
            <v>58</v>
          </cell>
          <cell r="I72" t="str">
            <v>Penyelenggaraan Koordinasi dan Kerjasama PAUD</v>
          </cell>
          <cell r="J72" t="str">
            <v>Jumlah PAUD yang dikoordinasikan</v>
          </cell>
          <cell r="K72">
            <v>2090</v>
          </cell>
          <cell r="L72">
            <v>380475000</v>
          </cell>
          <cell r="M72">
            <v>418</v>
          </cell>
          <cell r="N72">
            <v>80000000</v>
          </cell>
          <cell r="O72">
            <v>418</v>
          </cell>
          <cell r="P72">
            <v>60475000</v>
          </cell>
          <cell r="Q72">
            <v>375</v>
          </cell>
          <cell r="R72">
            <v>28805000</v>
          </cell>
          <cell r="S72">
            <v>375</v>
          </cell>
          <cell r="T72">
            <v>28805000</v>
          </cell>
          <cell r="Y72">
            <v>750</v>
          </cell>
          <cell r="Z72">
            <v>57610000</v>
          </cell>
          <cell r="AA72">
            <v>1168</v>
          </cell>
          <cell r="AB72">
            <v>137610000</v>
          </cell>
          <cell r="AC72">
            <v>55.885167464114836</v>
          </cell>
          <cell r="AD72">
            <v>36.167947959787107</v>
          </cell>
        </row>
        <row r="73">
          <cell r="A73">
            <v>6</v>
          </cell>
          <cell r="C73">
            <v>1</v>
          </cell>
          <cell r="D73" t="str">
            <v>01</v>
          </cell>
          <cell r="E73" t="str">
            <v>01</v>
          </cell>
          <cell r="F73" t="str">
            <v>01</v>
          </cell>
          <cell r="G73" t="str">
            <v>18</v>
          </cell>
          <cell r="I73" t="str">
            <v>Program Pendidikan Non Formal</v>
          </cell>
          <cell r="J73" t="str">
            <v>Persentase kenaikan angka melek aksara penduduk dewasa usia di atas 15 tahun</v>
          </cell>
          <cell r="K73">
            <v>0.97999999999998977</v>
          </cell>
          <cell r="L73">
            <v>20755617000</v>
          </cell>
          <cell r="M73">
            <v>0.14999999999999147</v>
          </cell>
          <cell r="N73">
            <v>9101282000</v>
          </cell>
          <cell r="O73">
            <v>0.37999999999999545</v>
          </cell>
          <cell r="P73">
            <v>1369800000</v>
          </cell>
          <cell r="Q73">
            <v>9.4999999999998863E-2</v>
          </cell>
          <cell r="R73">
            <v>215870000</v>
          </cell>
          <cell r="S73">
            <v>80</v>
          </cell>
          <cell r="T73">
            <v>422022500</v>
          </cell>
          <cell r="Y73">
            <v>80.094999999999999</v>
          </cell>
          <cell r="Z73">
            <v>637892500</v>
          </cell>
          <cell r="AA73">
            <v>80.24499999999999</v>
          </cell>
          <cell r="AB73">
            <v>9739174500</v>
          </cell>
          <cell r="AC73">
            <v>85</v>
          </cell>
          <cell r="AD73">
            <v>46.92307870202076</v>
          </cell>
          <cell r="AE73" t="str">
            <v>Dinas Pendiidkan dan Kebudayaan</v>
          </cell>
        </row>
        <row r="74">
          <cell r="C74">
            <v>1</v>
          </cell>
          <cell r="D74" t="str">
            <v>01</v>
          </cell>
          <cell r="E74" t="str">
            <v>01</v>
          </cell>
          <cell r="F74" t="str">
            <v>01</v>
          </cell>
          <cell r="G74" t="str">
            <v>j</v>
          </cell>
          <cell r="H74" t="str">
            <v>01</v>
          </cell>
          <cell r="I74" t="str">
            <v>Pemberdayaan Tenaga Pendidik Non Formal</v>
          </cell>
          <cell r="J74" t="str">
            <v>Kelancaran pelaksanaan pelatihan tutor fungsional</v>
          </cell>
          <cell r="K74">
            <v>210</v>
          </cell>
          <cell r="L74">
            <v>300000000</v>
          </cell>
          <cell r="M74">
            <v>30</v>
          </cell>
          <cell r="N74">
            <v>45000000</v>
          </cell>
          <cell r="O74">
            <v>40</v>
          </cell>
          <cell r="P74">
            <v>66000000</v>
          </cell>
          <cell r="Q74">
            <v>0</v>
          </cell>
          <cell r="R74">
            <v>0</v>
          </cell>
          <cell r="S74">
            <v>40</v>
          </cell>
          <cell r="T74">
            <v>40690000</v>
          </cell>
          <cell r="Y74">
            <v>40</v>
          </cell>
          <cell r="Z74">
            <v>40690000</v>
          </cell>
          <cell r="AA74">
            <v>70</v>
          </cell>
          <cell r="AB74">
            <v>85690000</v>
          </cell>
          <cell r="AC74">
            <v>33.333333333333329</v>
          </cell>
          <cell r="AD74">
            <v>28.563333333333336</v>
          </cell>
        </row>
        <row r="75">
          <cell r="C75">
            <v>1</v>
          </cell>
          <cell r="D75" t="str">
            <v>01</v>
          </cell>
          <cell r="E75" t="str">
            <v>01</v>
          </cell>
          <cell r="F75" t="str">
            <v>01</v>
          </cell>
          <cell r="G75" t="str">
            <v>18</v>
          </cell>
          <cell r="H75" t="str">
            <v>19</v>
          </cell>
          <cell r="I75" t="str">
            <v>Pelatihan LKP dan PKBM</v>
          </cell>
          <cell r="J75" t="str">
            <v>Meningkatnya mutu SDM Pengelola LKP dan PKBM</v>
          </cell>
          <cell r="K75">
            <v>336</v>
          </cell>
          <cell r="L75">
            <v>900000000</v>
          </cell>
          <cell r="M75">
            <v>56</v>
          </cell>
          <cell r="N75">
            <v>150000000</v>
          </cell>
          <cell r="O75">
            <v>40</v>
          </cell>
          <cell r="P75">
            <v>155000000</v>
          </cell>
          <cell r="Q75">
            <v>40</v>
          </cell>
          <cell r="R75">
            <v>42805000</v>
          </cell>
          <cell r="S75">
            <v>40</v>
          </cell>
          <cell r="T75">
            <v>54022500</v>
          </cell>
          <cell r="Y75">
            <v>80</v>
          </cell>
          <cell r="Z75">
            <v>96827500</v>
          </cell>
          <cell r="AA75">
            <v>136</v>
          </cell>
          <cell r="AB75">
            <v>246827500</v>
          </cell>
          <cell r="AC75">
            <v>40.476190476190474</v>
          </cell>
          <cell r="AD75">
            <v>27.425277777777779</v>
          </cell>
        </row>
        <row r="76">
          <cell r="C76" t="str">
            <v>01</v>
          </cell>
          <cell r="D76" t="str">
            <v>1</v>
          </cell>
          <cell r="E76" t="str">
            <v>01</v>
          </cell>
          <cell r="F76" t="str">
            <v>03</v>
          </cell>
          <cell r="G76" t="str">
            <v>18</v>
          </cell>
          <cell r="H76" t="str">
            <v>23</v>
          </cell>
          <cell r="I76" t="str">
            <v>Penyelengaraan Paket C Setara SMA</v>
          </cell>
          <cell r="J76" t="str">
            <v>Terlaksananya Pendidikan Non Formal</v>
          </cell>
          <cell r="K76">
            <v>58</v>
          </cell>
          <cell r="L76">
            <v>16009360000</v>
          </cell>
          <cell r="M76">
            <v>29</v>
          </cell>
          <cell r="N76">
            <v>8004681000</v>
          </cell>
          <cell r="O76">
            <v>12</v>
          </cell>
          <cell r="P76">
            <v>470000000</v>
          </cell>
          <cell r="Q76">
            <v>12</v>
          </cell>
          <cell r="R76">
            <v>60000000</v>
          </cell>
          <cell r="S76">
            <v>0</v>
          </cell>
          <cell r="T76">
            <v>90000000</v>
          </cell>
          <cell r="Y76">
            <v>12</v>
          </cell>
          <cell r="Z76">
            <v>150000000</v>
          </cell>
          <cell r="AA76">
            <v>41</v>
          </cell>
          <cell r="AB76">
            <v>8154681000</v>
          </cell>
          <cell r="AC76">
            <v>70.689655172413794</v>
          </cell>
          <cell r="AD76">
            <v>50.936958129494251</v>
          </cell>
        </row>
        <row r="77">
          <cell r="C77">
            <v>1</v>
          </cell>
          <cell r="D77" t="str">
            <v>01</v>
          </cell>
          <cell r="E77" t="str">
            <v>01</v>
          </cell>
          <cell r="F77" t="str">
            <v>01</v>
          </cell>
          <cell r="G77" t="str">
            <v>18</v>
          </cell>
          <cell r="H77" t="str">
            <v>27</v>
          </cell>
          <cell r="I77" t="str">
            <v>Penyelenggaraan Pendidikan keluarga</v>
          </cell>
          <cell r="J77" t="str">
            <v>Terlaksananya sosialisasi pada guru PAUD tentang Pendidikan Keluarga</v>
          </cell>
          <cell r="K77">
            <v>500</v>
          </cell>
          <cell r="L77">
            <v>1048000000</v>
          </cell>
          <cell r="M77">
            <v>80</v>
          </cell>
          <cell r="N77">
            <v>524000000</v>
          </cell>
          <cell r="O77">
            <v>200</v>
          </cell>
          <cell r="P77">
            <v>262000000</v>
          </cell>
          <cell r="Q77">
            <v>0</v>
          </cell>
          <cell r="R77">
            <v>0</v>
          </cell>
          <cell r="S77">
            <v>0</v>
          </cell>
          <cell r="T77">
            <v>0</v>
          </cell>
          <cell r="Y77">
            <v>0</v>
          </cell>
          <cell r="Z77">
            <v>0</v>
          </cell>
          <cell r="AA77">
            <v>80</v>
          </cell>
          <cell r="AB77">
            <v>524000000</v>
          </cell>
          <cell r="AC77">
            <v>16</v>
          </cell>
          <cell r="AD77">
            <v>50</v>
          </cell>
        </row>
        <row r="78">
          <cell r="C78" t="str">
            <v>01</v>
          </cell>
          <cell r="D78" t="str">
            <v>1</v>
          </cell>
          <cell r="E78" t="str">
            <v>01</v>
          </cell>
          <cell r="F78" t="str">
            <v>03</v>
          </cell>
          <cell r="G78" t="str">
            <v>18</v>
          </cell>
          <cell r="H78" t="str">
            <v>28</v>
          </cell>
          <cell r="I78" t="str">
            <v>Pelaksanaan UNPK B</v>
          </cell>
          <cell r="J78" t="str">
            <v>Berkurangnya anak-anak putus sekolah setara SMP</v>
          </cell>
          <cell r="K78">
            <v>617</v>
          </cell>
          <cell r="L78">
            <v>300000000</v>
          </cell>
          <cell r="M78">
            <v>166</v>
          </cell>
          <cell r="N78">
            <v>54975000</v>
          </cell>
          <cell r="P78">
            <v>66400000</v>
          </cell>
          <cell r="Q78">
            <v>0</v>
          </cell>
          <cell r="R78">
            <v>0</v>
          </cell>
          <cell r="S78">
            <v>0</v>
          </cell>
          <cell r="T78">
            <v>51580000</v>
          </cell>
          <cell r="Y78">
            <v>0</v>
          </cell>
          <cell r="Z78">
            <v>51580000</v>
          </cell>
          <cell r="AA78">
            <v>166</v>
          </cell>
          <cell r="AB78">
            <v>106555000</v>
          </cell>
          <cell r="AC78">
            <v>26.904376012965965</v>
          </cell>
          <cell r="AD78">
            <v>35.518333333333338</v>
          </cell>
        </row>
        <row r="79">
          <cell r="C79" t="str">
            <v>01</v>
          </cell>
          <cell r="D79" t="str">
            <v>1</v>
          </cell>
          <cell r="E79" t="str">
            <v>01</v>
          </cell>
          <cell r="F79" t="str">
            <v>03</v>
          </cell>
          <cell r="G79" t="str">
            <v>18</v>
          </cell>
          <cell r="H79" t="str">
            <v>29</v>
          </cell>
          <cell r="I79" t="str">
            <v>Pelaksanaan UNPK C</v>
          </cell>
          <cell r="J79" t="str">
            <v>Berkurangnya anak-anak putus sekolah setara SMA</v>
          </cell>
          <cell r="K79">
            <v>1097</v>
          </cell>
          <cell r="L79">
            <v>350000000</v>
          </cell>
          <cell r="M79">
            <v>507</v>
          </cell>
          <cell r="N79">
            <v>54975000</v>
          </cell>
          <cell r="P79">
            <v>80000000</v>
          </cell>
          <cell r="Q79">
            <v>0</v>
          </cell>
          <cell r="R79">
            <v>0</v>
          </cell>
          <cell r="S79">
            <v>0</v>
          </cell>
          <cell r="T79">
            <v>72665000</v>
          </cell>
          <cell r="Y79">
            <v>0</v>
          </cell>
          <cell r="Z79">
            <v>72665000</v>
          </cell>
          <cell r="AA79">
            <v>507</v>
          </cell>
          <cell r="AB79">
            <v>127640000</v>
          </cell>
          <cell r="AC79">
            <v>46.216955332725618</v>
          </cell>
          <cell r="AD79">
            <v>36.46857142857143</v>
          </cell>
        </row>
        <row r="80">
          <cell r="C80">
            <v>1</v>
          </cell>
          <cell r="D80" t="str">
            <v>01</v>
          </cell>
          <cell r="E80" t="str">
            <v>01</v>
          </cell>
          <cell r="F80" t="str">
            <v>01</v>
          </cell>
          <cell r="G80" t="str">
            <v>18</v>
          </cell>
          <cell r="H80" t="str">
            <v>12</v>
          </cell>
          <cell r="I80" t="str">
            <v>Hari Aksara Internasional (HAI)</v>
          </cell>
          <cell r="J80" t="str">
            <v>Bertambah wawasan dan pengembangan peserta lomba</v>
          </cell>
          <cell r="K80">
            <v>300</v>
          </cell>
          <cell r="L80">
            <v>510000000</v>
          </cell>
          <cell r="M80">
            <v>0</v>
          </cell>
          <cell r="N80">
            <v>0</v>
          </cell>
          <cell r="O80">
            <v>50</v>
          </cell>
          <cell r="P80">
            <v>140000000</v>
          </cell>
          <cell r="Q80">
            <v>0</v>
          </cell>
          <cell r="R80">
            <v>0</v>
          </cell>
          <cell r="S80">
            <v>0</v>
          </cell>
          <cell r="T80">
            <v>0</v>
          </cell>
          <cell r="Y80">
            <v>0</v>
          </cell>
          <cell r="Z80">
            <v>0</v>
          </cell>
          <cell r="AA80">
            <v>0</v>
          </cell>
          <cell r="AB80">
            <v>0</v>
          </cell>
          <cell r="AC80">
            <v>0</v>
          </cell>
          <cell r="AD80">
            <v>0</v>
          </cell>
        </row>
        <row r="81">
          <cell r="C81" t="str">
            <v>01</v>
          </cell>
          <cell r="D81" t="str">
            <v>1</v>
          </cell>
          <cell r="E81" t="str">
            <v>01</v>
          </cell>
          <cell r="F81" t="str">
            <v>03</v>
          </cell>
          <cell r="G81" t="str">
            <v>18</v>
          </cell>
          <cell r="H81" t="str">
            <v>30</v>
          </cell>
          <cell r="I81" t="str">
            <v>Pelatihan Tutor Paket C</v>
          </cell>
          <cell r="J81" t="str">
            <v>Meningkatnya SDM Tutor Paket C</v>
          </cell>
          <cell r="K81">
            <v>648</v>
          </cell>
          <cell r="L81">
            <v>1338257000</v>
          </cell>
          <cell r="M81">
            <v>108</v>
          </cell>
          <cell r="N81">
            <v>267651000</v>
          </cell>
          <cell r="O81">
            <v>108</v>
          </cell>
          <cell r="P81">
            <v>130400000</v>
          </cell>
          <cell r="Q81">
            <v>108</v>
          </cell>
          <cell r="R81">
            <v>113065000</v>
          </cell>
          <cell r="S81">
            <v>0</v>
          </cell>
          <cell r="T81">
            <v>113065000</v>
          </cell>
          <cell r="Y81">
            <v>108</v>
          </cell>
          <cell r="Z81">
            <v>226130000</v>
          </cell>
          <cell r="AA81">
            <v>216</v>
          </cell>
          <cell r="AB81">
            <v>493781000</v>
          </cell>
          <cell r="AC81">
            <v>33.333333333333329</v>
          </cell>
          <cell r="AD81">
            <v>36.89732241266065</v>
          </cell>
        </row>
        <row r="82">
          <cell r="A82">
            <v>7</v>
          </cell>
          <cell r="C82">
            <v>1</v>
          </cell>
          <cell r="D82" t="str">
            <v>01</v>
          </cell>
          <cell r="E82" t="str">
            <v>01</v>
          </cell>
          <cell r="F82" t="str">
            <v>01</v>
          </cell>
          <cell r="G82" t="str">
            <v>20</v>
          </cell>
          <cell r="I82" t="str">
            <v>Program Peningkatan Mutu Pendidik dan Tenaga Kependidikan</v>
          </cell>
          <cell r="J82" t="str">
            <v>Jumlah guru SD dan SMP  Profesional</v>
          </cell>
          <cell r="K82">
            <v>2935</v>
          </cell>
          <cell r="L82">
            <v>70291175000</v>
          </cell>
          <cell r="M82">
            <v>978.33333333333337</v>
          </cell>
          <cell r="N82">
            <v>13078886000</v>
          </cell>
          <cell r="O82">
            <v>489.16666666666669</v>
          </cell>
          <cell r="P82">
            <v>14311192150</v>
          </cell>
          <cell r="Q82">
            <v>122.29166666666667</v>
          </cell>
          <cell r="R82">
            <v>252069000</v>
          </cell>
          <cell r="S82">
            <v>14</v>
          </cell>
          <cell r="T82">
            <v>6525822850</v>
          </cell>
          <cell r="Y82">
            <v>136.29166666666669</v>
          </cell>
          <cell r="Z82">
            <v>6777891850</v>
          </cell>
          <cell r="AA82">
            <v>140</v>
          </cell>
          <cell r="AB82">
            <v>1808284100</v>
          </cell>
          <cell r="AC82">
            <v>4.7700170357751279</v>
          </cell>
          <cell r="AD82">
            <v>2.5725620606000681</v>
          </cell>
          <cell r="AE82" t="str">
            <v>Dinas Pendiidkan dan Kebudayaan</v>
          </cell>
        </row>
        <row r="83">
          <cell r="J83" t="str">
            <v>Jumlah Kepala Sekolah Profesional</v>
          </cell>
          <cell r="K83">
            <v>465</v>
          </cell>
          <cell r="M83">
            <v>465</v>
          </cell>
          <cell r="O83">
            <v>465</v>
          </cell>
          <cell r="Q83">
            <v>0</v>
          </cell>
          <cell r="S83">
            <v>1</v>
          </cell>
          <cell r="T83">
            <v>0</v>
          </cell>
          <cell r="Y83">
            <v>1</v>
          </cell>
          <cell r="Z83">
            <v>0</v>
          </cell>
          <cell r="AA83">
            <v>466</v>
          </cell>
          <cell r="AC83">
            <v>100.21505376344086</v>
          </cell>
        </row>
        <row r="84">
          <cell r="J84" t="str">
            <v>Jumlah Pengawas Sekolah Profesional</v>
          </cell>
          <cell r="K84">
            <v>14</v>
          </cell>
          <cell r="M84">
            <v>14</v>
          </cell>
          <cell r="O84">
            <v>14</v>
          </cell>
          <cell r="Q84">
            <v>0</v>
          </cell>
          <cell r="S84">
            <v>0</v>
          </cell>
          <cell r="T84">
            <v>0</v>
          </cell>
          <cell r="Y84">
            <v>0</v>
          </cell>
          <cell r="Z84">
            <v>0</v>
          </cell>
          <cell r="AA84">
            <v>14</v>
          </cell>
          <cell r="AC84">
            <v>100</v>
          </cell>
        </row>
        <row r="85">
          <cell r="C85">
            <v>1</v>
          </cell>
          <cell r="D85" t="str">
            <v>01</v>
          </cell>
          <cell r="E85" t="str">
            <v>01</v>
          </cell>
          <cell r="F85" t="str">
            <v>01</v>
          </cell>
          <cell r="G85" t="str">
            <v>20</v>
          </cell>
          <cell r="H85" t="str">
            <v>01</v>
          </cell>
          <cell r="I85" t="str">
            <v>Pelaksanaan Sertifikasi Pendidik</v>
          </cell>
          <cell r="J85" t="str">
            <v>Terseleksinya bahan bahan sertifikasi guru sesuai dengan petunjuk teknis aturan sertifikasi</v>
          </cell>
          <cell r="K85">
            <v>24</v>
          </cell>
          <cell r="L85">
            <v>991842000</v>
          </cell>
          <cell r="M85">
            <v>8</v>
          </cell>
          <cell r="N85">
            <v>232122000</v>
          </cell>
          <cell r="O85">
            <v>4</v>
          </cell>
          <cell r="P85">
            <v>189930000</v>
          </cell>
          <cell r="Q85">
            <v>1</v>
          </cell>
          <cell r="R85">
            <v>14325000</v>
          </cell>
          <cell r="S85">
            <v>1</v>
          </cell>
          <cell r="T85">
            <v>49043600</v>
          </cell>
          <cell r="Y85">
            <v>2</v>
          </cell>
          <cell r="Z85">
            <v>63368600</v>
          </cell>
          <cell r="AA85">
            <v>10</v>
          </cell>
          <cell r="AB85">
            <v>295490600</v>
          </cell>
          <cell r="AC85">
            <v>41.666666666666671</v>
          </cell>
          <cell r="AD85">
            <v>29.792103984303953</v>
          </cell>
        </row>
        <row r="86">
          <cell r="C86">
            <v>1</v>
          </cell>
          <cell r="D86" t="str">
            <v>01</v>
          </cell>
          <cell r="E86" t="str">
            <v>01</v>
          </cell>
          <cell r="F86" t="str">
            <v>01</v>
          </cell>
          <cell r="G86" t="str">
            <v>20</v>
          </cell>
          <cell r="H86" t="str">
            <v>06</v>
          </cell>
          <cell r="I86" t="str">
            <v>Pembinaan Pusat Pendidikan dan Pelatihan Guru (PPPPG)</v>
          </cell>
          <cell r="J86" t="str">
            <v>Mengaktifkan Kegiatan Komunitas guru KKG dan MGMP</v>
          </cell>
          <cell r="K86">
            <v>12</v>
          </cell>
          <cell r="L86">
            <v>1913207000</v>
          </cell>
          <cell r="M86">
            <v>4</v>
          </cell>
          <cell r="N86">
            <v>725223000</v>
          </cell>
          <cell r="O86">
            <v>2</v>
          </cell>
          <cell r="P86">
            <v>296996850</v>
          </cell>
          <cell r="Q86">
            <v>0</v>
          </cell>
          <cell r="R86">
            <v>0</v>
          </cell>
          <cell r="S86">
            <v>0</v>
          </cell>
          <cell r="T86">
            <v>0</v>
          </cell>
          <cell r="Y86">
            <v>0</v>
          </cell>
          <cell r="Z86">
            <v>0</v>
          </cell>
          <cell r="AA86">
            <v>4</v>
          </cell>
          <cell r="AB86">
            <v>725223000</v>
          </cell>
          <cell r="AC86">
            <v>33.333333333333329</v>
          </cell>
          <cell r="AD86">
            <v>37.906143977102317</v>
          </cell>
        </row>
        <row r="87">
          <cell r="C87">
            <v>1</v>
          </cell>
          <cell r="D87" t="str">
            <v>01</v>
          </cell>
          <cell r="E87" t="str">
            <v>01</v>
          </cell>
          <cell r="F87" t="str">
            <v>01</v>
          </cell>
          <cell r="G87" t="str">
            <v>20</v>
          </cell>
          <cell r="H87" t="str">
            <v>08</v>
          </cell>
          <cell r="I87" t="str">
            <v>Pengembangan mutu dan kualitas program pendidikan dan pelatihan bagi pendidik dan tenaga kependidikan</v>
          </cell>
          <cell r="J87" t="str">
            <v>Terlaksananya Diklat Manajemen kepala sekolah untuk pelatihan Asesor Penilaian kinerja</v>
          </cell>
          <cell r="K87">
            <v>11</v>
          </cell>
          <cell r="L87">
            <v>1438678000</v>
          </cell>
          <cell r="M87">
            <v>3</v>
          </cell>
          <cell r="N87">
            <v>471438000</v>
          </cell>
          <cell r="O87">
            <v>1</v>
          </cell>
          <cell r="P87">
            <v>241810000</v>
          </cell>
          <cell r="Q87">
            <v>1</v>
          </cell>
          <cell r="R87">
            <v>88565000</v>
          </cell>
          <cell r="S87">
            <v>1</v>
          </cell>
          <cell r="T87">
            <v>96967500</v>
          </cell>
          <cell r="Y87">
            <v>2</v>
          </cell>
          <cell r="Z87">
            <v>185532500</v>
          </cell>
          <cell r="AA87">
            <v>5</v>
          </cell>
          <cell r="AB87">
            <v>656970500</v>
          </cell>
          <cell r="AC87">
            <v>45.454545454545453</v>
          </cell>
          <cell r="AD87">
            <v>45.664874280415766</v>
          </cell>
        </row>
        <row r="88">
          <cell r="C88" t="str">
            <v>01</v>
          </cell>
          <cell r="D88" t="str">
            <v>01</v>
          </cell>
          <cell r="E88" t="str">
            <v>01</v>
          </cell>
          <cell r="F88" t="str">
            <v>01</v>
          </cell>
          <cell r="G88" t="str">
            <v>20</v>
          </cell>
          <cell r="H88" t="str">
            <v>09</v>
          </cell>
          <cell r="I88" t="str">
            <v>Pengembangan sistem pendataan dan pemetaan pendidik dan tenaga kependidikan</v>
          </cell>
          <cell r="J88" t="str">
            <v>Dokumen analisis kebutuhan guru SD dan SMP</v>
          </cell>
          <cell r="K88">
            <v>6</v>
          </cell>
          <cell r="L88">
            <v>390000000</v>
          </cell>
          <cell r="M88">
            <v>2</v>
          </cell>
          <cell r="N88">
            <v>130000000</v>
          </cell>
          <cell r="O88">
            <v>1</v>
          </cell>
          <cell r="P88">
            <v>63200000</v>
          </cell>
          <cell r="Q88">
            <v>0</v>
          </cell>
          <cell r="R88">
            <v>0</v>
          </cell>
          <cell r="S88">
            <v>1</v>
          </cell>
          <cell r="T88">
            <v>600000</v>
          </cell>
          <cell r="Y88">
            <v>1</v>
          </cell>
          <cell r="Z88">
            <v>600000</v>
          </cell>
          <cell r="AA88">
            <v>3</v>
          </cell>
          <cell r="AB88">
            <v>130600000</v>
          </cell>
          <cell r="AC88">
            <v>50</v>
          </cell>
          <cell r="AD88">
            <v>33.487179487179489</v>
          </cell>
        </row>
        <row r="89">
          <cell r="C89">
            <v>1</v>
          </cell>
          <cell r="D89" t="str">
            <v>01</v>
          </cell>
          <cell r="E89" t="str">
            <v>01</v>
          </cell>
          <cell r="F89" t="str">
            <v>01</v>
          </cell>
          <cell r="G89" t="str">
            <v>20</v>
          </cell>
          <cell r="H89" t="str">
            <v>10</v>
          </cell>
          <cell r="I89" t="str">
            <v>Pengembangan Sistem Penghargaan dan Perlindungan terhadap Profesi Pendidik</v>
          </cell>
          <cell r="J89" t="str">
            <v>Terdapatnya guru, kepala sekolah dan pengawas berprestasi jenjang TK, SD dan SMP</v>
          </cell>
          <cell r="K89">
            <v>6</v>
          </cell>
          <cell r="L89">
            <v>1710449000</v>
          </cell>
          <cell r="M89">
            <v>2</v>
          </cell>
          <cell r="N89">
            <v>641753000</v>
          </cell>
          <cell r="O89">
            <v>1</v>
          </cell>
          <cell r="P89">
            <v>267174300</v>
          </cell>
          <cell r="Q89">
            <v>0</v>
          </cell>
          <cell r="R89">
            <v>0</v>
          </cell>
          <cell r="T89">
            <v>1200000</v>
          </cell>
          <cell r="Y89">
            <v>0</v>
          </cell>
          <cell r="Z89">
            <v>1200000</v>
          </cell>
          <cell r="AA89">
            <v>2</v>
          </cell>
          <cell r="AB89">
            <v>642953000</v>
          </cell>
          <cell r="AC89">
            <v>33.333333333333329</v>
          </cell>
          <cell r="AD89">
            <v>37.589720593832382</v>
          </cell>
        </row>
        <row r="90">
          <cell r="C90" t="str">
            <v>01</v>
          </cell>
          <cell r="D90" t="str">
            <v>01</v>
          </cell>
          <cell r="E90" t="str">
            <v>01</v>
          </cell>
          <cell r="F90" t="str">
            <v>01</v>
          </cell>
          <cell r="G90" t="str">
            <v>20</v>
          </cell>
          <cell r="H90" t="str">
            <v>13</v>
          </cell>
          <cell r="I90" t="str">
            <v>Penilaian Angka Kredit Tenaga Pendidik</v>
          </cell>
          <cell r="J90" t="str">
            <v>Terlaksannya Penilaian Angka Kredit Tenaga Pendidik</v>
          </cell>
          <cell r="K90">
            <v>12</v>
          </cell>
          <cell r="L90">
            <v>876975000</v>
          </cell>
          <cell r="M90">
            <v>4</v>
          </cell>
          <cell r="N90">
            <v>476871000</v>
          </cell>
          <cell r="O90">
            <v>2</v>
          </cell>
          <cell r="P90">
            <v>100026000</v>
          </cell>
          <cell r="Q90">
            <v>1</v>
          </cell>
          <cell r="R90">
            <v>37513000</v>
          </cell>
          <cell r="S90">
            <v>1</v>
          </cell>
          <cell r="T90">
            <v>99526000</v>
          </cell>
          <cell r="Y90">
            <v>2</v>
          </cell>
          <cell r="Z90">
            <v>137039000</v>
          </cell>
          <cell r="AA90">
            <v>6</v>
          </cell>
          <cell r="AB90">
            <v>613910000</v>
          </cell>
          <cell r="AC90">
            <v>50</v>
          </cell>
          <cell r="AD90">
            <v>70.003135779241148</v>
          </cell>
        </row>
        <row r="91">
          <cell r="C91" t="str">
            <v>01</v>
          </cell>
          <cell r="D91" t="str">
            <v>01</v>
          </cell>
          <cell r="E91" t="str">
            <v>01</v>
          </cell>
          <cell r="F91" t="str">
            <v>01</v>
          </cell>
          <cell r="G91" t="str">
            <v>20</v>
          </cell>
          <cell r="H91" t="str">
            <v>19</v>
          </cell>
          <cell r="I91" t="str">
            <v>Sosialisasi juknis pelaksanaan jabatan fungsional guru dan angka kredit guru</v>
          </cell>
          <cell r="J91" t="str">
            <v>Terlaksannya Sosialisasi  Juknis</v>
          </cell>
          <cell r="K91">
            <v>360</v>
          </cell>
          <cell r="L91">
            <v>809919000</v>
          </cell>
          <cell r="M91">
            <v>120</v>
          </cell>
          <cell r="N91">
            <v>289919000</v>
          </cell>
          <cell r="O91">
            <v>60</v>
          </cell>
          <cell r="P91">
            <v>130000000</v>
          </cell>
          <cell r="Q91">
            <v>0</v>
          </cell>
          <cell r="R91">
            <v>0</v>
          </cell>
          <cell r="S91" t="str">
            <v>0</v>
          </cell>
          <cell r="T91" t="str">
            <v>0</v>
          </cell>
          <cell r="Y91">
            <v>0</v>
          </cell>
          <cell r="Z91">
            <v>0</v>
          </cell>
          <cell r="AA91">
            <v>120</v>
          </cell>
          <cell r="AB91">
            <v>289919000</v>
          </cell>
          <cell r="AC91">
            <v>33.333333333333329</v>
          </cell>
          <cell r="AD91">
            <v>35.79604874067654</v>
          </cell>
        </row>
        <row r="92">
          <cell r="C92">
            <v>1</v>
          </cell>
          <cell r="D92" t="str">
            <v>01</v>
          </cell>
          <cell r="E92" t="str">
            <v>01</v>
          </cell>
          <cell r="F92" t="str">
            <v>01</v>
          </cell>
          <cell r="G92" t="str">
            <v>20</v>
          </cell>
          <cell r="H92" t="str">
            <v>14</v>
          </cell>
          <cell r="I92" t="str">
            <v>Pelatihan Kompetensi Tenaga Pendidik</v>
          </cell>
          <cell r="J92" t="str">
            <v>Terlaksananya Bimtek guru SMP mapel UN</v>
          </cell>
          <cell r="K92">
            <v>20</v>
          </cell>
          <cell r="L92">
            <v>2244670000</v>
          </cell>
          <cell r="M92">
            <v>4</v>
          </cell>
          <cell r="N92">
            <v>579714000</v>
          </cell>
          <cell r="O92">
            <v>4</v>
          </cell>
          <cell r="P92">
            <v>416239000</v>
          </cell>
          <cell r="Q92">
            <v>0</v>
          </cell>
          <cell r="R92">
            <v>0</v>
          </cell>
          <cell r="S92" t="str">
            <v>0</v>
          </cell>
          <cell r="T92">
            <v>5940300</v>
          </cell>
          <cell r="Y92">
            <v>0</v>
          </cell>
          <cell r="Z92">
            <v>5940300</v>
          </cell>
          <cell r="AA92">
            <v>4</v>
          </cell>
          <cell r="AB92">
            <v>585654300</v>
          </cell>
          <cell r="AC92">
            <v>20</v>
          </cell>
          <cell r="AD92">
            <v>26.090886410920088</v>
          </cell>
        </row>
        <row r="93">
          <cell r="C93">
            <v>1</v>
          </cell>
          <cell r="D93" t="str">
            <v>01</v>
          </cell>
          <cell r="E93" t="str">
            <v>01</v>
          </cell>
          <cell r="F93" t="str">
            <v>01</v>
          </cell>
          <cell r="G93" t="str">
            <v>20</v>
          </cell>
          <cell r="H93" t="str">
            <v>31</v>
          </cell>
          <cell r="I93" t="str">
            <v>Pelatihan Kompetensi Tenaga Pendidik</v>
          </cell>
          <cell r="J93" t="str">
            <v>Meningkatnya kopetensi tenaga pendidik PAUD</v>
          </cell>
          <cell r="K93">
            <v>12</v>
          </cell>
          <cell r="L93">
            <v>758590000</v>
          </cell>
          <cell r="M93">
            <v>4</v>
          </cell>
          <cell r="N93">
            <v>235434000</v>
          </cell>
          <cell r="O93">
            <v>2</v>
          </cell>
          <cell r="P93">
            <v>130789000</v>
          </cell>
          <cell r="Q93">
            <v>0</v>
          </cell>
          <cell r="R93">
            <v>0</v>
          </cell>
          <cell r="S93">
            <v>2</v>
          </cell>
          <cell r="T93">
            <v>125660500</v>
          </cell>
          <cell r="Y93">
            <v>2</v>
          </cell>
          <cell r="Z93">
            <v>125660500</v>
          </cell>
          <cell r="AA93">
            <v>6</v>
          </cell>
          <cell r="AB93">
            <v>361094500</v>
          </cell>
          <cell r="AC93">
            <v>50</v>
          </cell>
          <cell r="AD93">
            <v>47.600746121093081</v>
          </cell>
        </row>
        <row r="94">
          <cell r="C94" t="str">
            <v>01</v>
          </cell>
          <cell r="D94" t="str">
            <v>1</v>
          </cell>
          <cell r="E94" t="str">
            <v>01</v>
          </cell>
          <cell r="F94" t="str">
            <v>03</v>
          </cell>
          <cell r="G94" t="str">
            <v>20</v>
          </cell>
          <cell r="H94" t="str">
            <v>32</v>
          </cell>
          <cell r="I94" t="str">
            <v>Magang Tenaga Pendidik PAUD</v>
          </cell>
          <cell r="J94" t="str">
            <v>Jumlah Tenaga Pendidik yang mengikuti magang</v>
          </cell>
          <cell r="K94">
            <v>150</v>
          </cell>
          <cell r="L94">
            <v>1178225000</v>
          </cell>
          <cell r="M94">
            <v>25</v>
          </cell>
          <cell r="N94">
            <v>25000000</v>
          </cell>
          <cell r="O94">
            <v>25</v>
          </cell>
          <cell r="P94">
            <v>223225000</v>
          </cell>
          <cell r="Q94">
            <v>0</v>
          </cell>
          <cell r="R94">
            <v>0</v>
          </cell>
          <cell r="S94">
            <v>0</v>
          </cell>
          <cell r="T94">
            <v>0</v>
          </cell>
          <cell r="Y94">
            <v>0</v>
          </cell>
          <cell r="Z94">
            <v>0</v>
          </cell>
          <cell r="AA94">
            <v>25</v>
          </cell>
          <cell r="AB94">
            <v>25000000</v>
          </cell>
          <cell r="AC94">
            <v>16.666666666666664</v>
          </cell>
          <cell r="AD94">
            <v>2.1218358123448406</v>
          </cell>
        </row>
        <row r="95">
          <cell r="C95">
            <v>1</v>
          </cell>
          <cell r="D95" t="str">
            <v>01</v>
          </cell>
          <cell r="E95" t="str">
            <v>01</v>
          </cell>
          <cell r="F95" t="str">
            <v>01</v>
          </cell>
          <cell r="G95" t="str">
            <v>20</v>
          </cell>
          <cell r="H95" t="str">
            <v>39</v>
          </cell>
          <cell r="I95" t="str">
            <v>Bimtek Peningkatan Kompetensi Guru SD</v>
          </cell>
          <cell r="J95" t="str">
            <v>Peningkatan mutu pendidikan dengan toreasinya guru kelas SD 1 sampai kelas VI</v>
          </cell>
          <cell r="K95">
            <v>45</v>
          </cell>
          <cell r="L95">
            <v>2567440000</v>
          </cell>
          <cell r="M95">
            <v>17</v>
          </cell>
          <cell r="N95">
            <v>833912000</v>
          </cell>
          <cell r="O95">
            <v>7</v>
          </cell>
          <cell r="P95">
            <v>433382000</v>
          </cell>
          <cell r="Q95">
            <v>1</v>
          </cell>
          <cell r="R95">
            <v>53546000</v>
          </cell>
          <cell r="S95">
            <v>7</v>
          </cell>
          <cell r="T95">
            <v>395584950</v>
          </cell>
          <cell r="Y95">
            <v>8</v>
          </cell>
          <cell r="Z95">
            <v>449130950</v>
          </cell>
          <cell r="AA95">
            <v>25</v>
          </cell>
          <cell r="AB95">
            <v>1283042950</v>
          </cell>
          <cell r="AC95">
            <v>30</v>
          </cell>
          <cell r="AD95">
            <v>49.973629374006798</v>
          </cell>
        </row>
        <row r="96">
          <cell r="C96" t="str">
            <v>01</v>
          </cell>
          <cell r="D96" t="str">
            <v>01</v>
          </cell>
          <cell r="E96" t="str">
            <v>01</v>
          </cell>
          <cell r="F96" t="str">
            <v>01</v>
          </cell>
          <cell r="G96">
            <v>20</v>
          </cell>
          <cell r="H96">
            <v>40</v>
          </cell>
          <cell r="I96" t="str">
            <v>Pembinaan Tim Evaluasi Pembuatan Master Soal SMP</v>
          </cell>
          <cell r="J96" t="str">
            <v>Terlaksana pembinaan bagi tim evaluasi tingkat SMP kabupaten Pesisir Selatan</v>
          </cell>
          <cell r="K96">
            <v>4</v>
          </cell>
          <cell r="L96">
            <v>336880000</v>
          </cell>
          <cell r="M96">
            <v>0</v>
          </cell>
          <cell r="N96">
            <v>0</v>
          </cell>
          <cell r="O96">
            <v>1</v>
          </cell>
          <cell r="P96">
            <v>84220000</v>
          </cell>
          <cell r="Q96">
            <v>1</v>
          </cell>
          <cell r="R96">
            <v>58120000</v>
          </cell>
          <cell r="S96">
            <v>0</v>
          </cell>
          <cell r="T96">
            <v>5751300000</v>
          </cell>
          <cell r="Y96">
            <v>1</v>
          </cell>
          <cell r="Z96">
            <v>5809420000</v>
          </cell>
          <cell r="AA96">
            <v>1</v>
          </cell>
          <cell r="AB96">
            <v>5809420000</v>
          </cell>
          <cell r="AC96">
            <v>25</v>
          </cell>
          <cell r="AD96">
            <v>1724.4775587746378</v>
          </cell>
        </row>
        <row r="97">
          <cell r="C97" t="str">
            <v>01</v>
          </cell>
          <cell r="D97" t="str">
            <v>01</v>
          </cell>
          <cell r="E97" t="str">
            <v>01</v>
          </cell>
          <cell r="F97" t="str">
            <v>01</v>
          </cell>
          <cell r="G97">
            <v>20</v>
          </cell>
          <cell r="H97">
            <v>42</v>
          </cell>
          <cell r="I97" t="str">
            <v>Penilaian Hasil Belajar Tingkat Satuan Pendidikan</v>
          </cell>
          <cell r="J97" t="str">
            <v>Tersedia aplikasi E-rapor siswa SMP</v>
          </cell>
          <cell r="K97">
            <v>2</v>
          </cell>
          <cell r="L97">
            <v>300000000</v>
          </cell>
          <cell r="M97">
            <v>0</v>
          </cell>
          <cell r="N97">
            <v>0</v>
          </cell>
          <cell r="O97">
            <v>1</v>
          </cell>
          <cell r="P97">
            <v>150000000</v>
          </cell>
          <cell r="Q97">
            <v>0</v>
          </cell>
          <cell r="R97">
            <v>0</v>
          </cell>
          <cell r="Y97">
            <v>0</v>
          </cell>
          <cell r="Z97">
            <v>0</v>
          </cell>
          <cell r="AA97">
            <v>0</v>
          </cell>
          <cell r="AB97">
            <v>0</v>
          </cell>
          <cell r="AC97">
            <v>0</v>
          </cell>
          <cell r="AD97">
            <v>0</v>
          </cell>
        </row>
        <row r="98">
          <cell r="C98">
            <v>1</v>
          </cell>
          <cell r="D98" t="str">
            <v>01</v>
          </cell>
          <cell r="E98" t="str">
            <v>01</v>
          </cell>
          <cell r="F98" t="str">
            <v>01</v>
          </cell>
          <cell r="G98" t="str">
            <v>20</v>
          </cell>
          <cell r="H98" t="str">
            <v>14</v>
          </cell>
          <cell r="I98" t="str">
            <v>Penyediaan Jasa Tenaga Pendidik Non PNS</v>
          </cell>
          <cell r="J98" t="str">
            <v>Terlsedianya Jasa Tenaga Kerja Non PNS</v>
          </cell>
          <cell r="K98">
            <v>6382</v>
          </cell>
          <cell r="L98">
            <v>54774300000</v>
          </cell>
          <cell r="M98">
            <v>1250</v>
          </cell>
          <cell r="N98">
            <v>8437500000</v>
          </cell>
          <cell r="O98">
            <v>1283</v>
          </cell>
          <cell r="P98">
            <v>11584200000</v>
          </cell>
          <cell r="Q98">
            <v>0</v>
          </cell>
          <cell r="R98">
            <v>0</v>
          </cell>
          <cell r="T98">
            <v>5751300000</v>
          </cell>
          <cell r="Y98">
            <v>0</v>
          </cell>
          <cell r="Z98">
            <v>5751300000</v>
          </cell>
          <cell r="AA98">
            <v>1250</v>
          </cell>
          <cell r="AB98">
            <v>14188800000</v>
          </cell>
          <cell r="AC98">
            <v>19.586336571607646</v>
          </cell>
          <cell r="AD98">
            <v>25.904119267612728</v>
          </cell>
        </row>
        <row r="99">
          <cell r="A99">
            <v>8</v>
          </cell>
          <cell r="C99" t="str">
            <v>01</v>
          </cell>
          <cell r="D99" t="str">
            <v>01</v>
          </cell>
          <cell r="E99" t="str">
            <v>01</v>
          </cell>
          <cell r="F99" t="str">
            <v>01</v>
          </cell>
          <cell r="G99" t="str">
            <v>22</v>
          </cell>
          <cell r="I99" t="str">
            <v>Program Manajemen Pelayanan Pendidikan</v>
          </cell>
          <cell r="J99" t="str">
            <v>Persentase SD  Berakreditasi B</v>
          </cell>
          <cell r="K99">
            <v>85</v>
          </cell>
          <cell r="L99">
            <v>6599059080</v>
          </cell>
          <cell r="M99">
            <v>70</v>
          </cell>
          <cell r="N99">
            <v>1837680760</v>
          </cell>
          <cell r="O99">
            <v>3</v>
          </cell>
          <cell r="P99">
            <v>1183944780</v>
          </cell>
          <cell r="Q99">
            <v>1</v>
          </cell>
          <cell r="R99">
            <v>124037000</v>
          </cell>
          <cell r="S99">
            <v>56</v>
          </cell>
          <cell r="T99">
            <v>403790816</v>
          </cell>
          <cell r="Y99">
            <v>57</v>
          </cell>
          <cell r="Z99">
            <v>527827816</v>
          </cell>
          <cell r="AA99">
            <v>127</v>
          </cell>
          <cell r="AB99">
            <v>2310708576</v>
          </cell>
          <cell r="AC99">
            <v>85</v>
          </cell>
          <cell r="AD99">
            <v>35.01572796950925</v>
          </cell>
          <cell r="AE99" t="str">
            <v>Dinas Pendiidkan dan Kebudayaan</v>
          </cell>
        </row>
        <row r="100">
          <cell r="J100" t="str">
            <v>Persentase SMP Berakreditasi B</v>
          </cell>
          <cell r="K100">
            <v>85</v>
          </cell>
          <cell r="M100">
            <v>40</v>
          </cell>
          <cell r="O100">
            <v>44</v>
          </cell>
          <cell r="Z100">
            <v>0</v>
          </cell>
        </row>
        <row r="101">
          <cell r="C101" t="str">
            <v>01</v>
          </cell>
          <cell r="D101" t="str">
            <v>01</v>
          </cell>
          <cell r="E101" t="str">
            <v>01</v>
          </cell>
          <cell r="F101" t="str">
            <v>01</v>
          </cell>
          <cell r="G101" t="str">
            <v>22</v>
          </cell>
          <cell r="H101" t="str">
            <v>07</v>
          </cell>
          <cell r="I101" t="str">
            <v>Penerapan Sistem dan Informasi Manajemen Pendidikan</v>
          </cell>
          <cell r="J101" t="str">
            <v>Tersedianya media informasi manajemen pendidikan</v>
          </cell>
          <cell r="K101">
            <v>6</v>
          </cell>
          <cell r="L101">
            <v>389976000</v>
          </cell>
          <cell r="M101">
            <v>2</v>
          </cell>
          <cell r="N101">
            <v>129992000</v>
          </cell>
          <cell r="O101">
            <v>1</v>
          </cell>
          <cell r="P101">
            <v>64996000</v>
          </cell>
          <cell r="Q101">
            <v>0.5</v>
          </cell>
          <cell r="R101">
            <v>20000000</v>
          </cell>
          <cell r="S101">
            <v>25</v>
          </cell>
          <cell r="T101">
            <v>25917000</v>
          </cell>
          <cell r="Y101">
            <v>25.5</v>
          </cell>
          <cell r="Z101">
            <v>45917000</v>
          </cell>
          <cell r="AA101">
            <v>27.5</v>
          </cell>
          <cell r="AB101">
            <v>175909000</v>
          </cell>
          <cell r="AC101">
            <v>45</v>
          </cell>
          <cell r="AD101">
            <v>45.107647650111801</v>
          </cell>
        </row>
        <row r="102">
          <cell r="C102" t="str">
            <v>01</v>
          </cell>
          <cell r="D102" t="str">
            <v>01</v>
          </cell>
          <cell r="E102" t="str">
            <v>01</v>
          </cell>
          <cell r="F102" t="str">
            <v>01</v>
          </cell>
          <cell r="G102" t="str">
            <v>22</v>
          </cell>
          <cell r="H102" t="str">
            <v>11</v>
          </cell>
          <cell r="I102" t="str">
            <v>Sosialisasi dan updating data pokok pendidikan (Dapodik)</v>
          </cell>
          <cell r="J102" t="str">
            <v>Jumlah sekolah yang memahami aplikasi dapodik setiap tahunnya</v>
          </cell>
          <cell r="K102">
            <v>422</v>
          </cell>
          <cell r="L102">
            <v>763548000</v>
          </cell>
          <cell r="M102">
            <v>2</v>
          </cell>
          <cell r="N102">
            <v>254516000</v>
          </cell>
          <cell r="O102">
            <v>1</v>
          </cell>
          <cell r="P102">
            <v>120858200</v>
          </cell>
          <cell r="Q102">
            <v>0</v>
          </cell>
          <cell r="R102">
            <v>0</v>
          </cell>
          <cell r="S102">
            <v>0</v>
          </cell>
          <cell r="T102">
            <v>2600000</v>
          </cell>
          <cell r="Y102">
            <v>0</v>
          </cell>
          <cell r="Z102">
            <v>2600000</v>
          </cell>
          <cell r="AA102">
            <v>2</v>
          </cell>
          <cell r="AB102">
            <v>257116000</v>
          </cell>
          <cell r="AC102">
            <v>0.47393364928909953</v>
          </cell>
          <cell r="AD102">
            <v>33.673848926328141</v>
          </cell>
        </row>
        <row r="103">
          <cell r="C103" t="str">
            <v>01</v>
          </cell>
          <cell r="D103" t="str">
            <v>01</v>
          </cell>
          <cell r="E103" t="str">
            <v>01</v>
          </cell>
          <cell r="F103" t="str">
            <v>01</v>
          </cell>
          <cell r="G103" t="str">
            <v>22</v>
          </cell>
          <cell r="H103" t="str">
            <v>14</v>
          </cell>
          <cell r="I103" t="str">
            <v>Penyelenggaraan Akademi Komunitas</v>
          </cell>
          <cell r="J103" t="str">
            <v>Menyelenggarakan Akademi Komunitas</v>
          </cell>
          <cell r="K103">
            <v>6</v>
          </cell>
          <cell r="L103">
            <v>3231638280</v>
          </cell>
          <cell r="M103">
            <v>2</v>
          </cell>
          <cell r="N103">
            <v>1077212760</v>
          </cell>
          <cell r="O103">
            <v>1</v>
          </cell>
          <cell r="P103">
            <v>538606380</v>
          </cell>
          <cell r="Q103">
            <v>0</v>
          </cell>
          <cell r="R103">
            <v>50762000</v>
          </cell>
          <cell r="S103">
            <v>1</v>
          </cell>
          <cell r="T103">
            <v>135979616</v>
          </cell>
          <cell r="Y103">
            <v>1</v>
          </cell>
          <cell r="Z103">
            <v>186741616</v>
          </cell>
          <cell r="AA103">
            <v>3</v>
          </cell>
          <cell r="AB103">
            <v>1263954376</v>
          </cell>
          <cell r="AC103">
            <v>5</v>
          </cell>
          <cell r="AD103">
            <v>39.111876592822142</v>
          </cell>
        </row>
        <row r="104">
          <cell r="C104" t="str">
            <v>01</v>
          </cell>
          <cell r="D104" t="str">
            <v>01</v>
          </cell>
          <cell r="E104" t="str">
            <v>01</v>
          </cell>
          <cell r="F104" t="str">
            <v>01</v>
          </cell>
          <cell r="G104">
            <v>22</v>
          </cell>
          <cell r="H104">
            <v>18</v>
          </cell>
          <cell r="I104" t="str">
            <v>Monitoring, Evaluasi dan Pelaporan ( Pelaksanaan Ujian Nasional )</v>
          </cell>
          <cell r="J104" t="str">
            <v>Terlaksana kegiatan monitoring dan evaluasi pelaksanaan ujian ujian di SD dan SMP</v>
          </cell>
          <cell r="K104">
            <v>6</v>
          </cell>
          <cell r="L104">
            <v>1127880000</v>
          </cell>
          <cell r="M104">
            <v>2</v>
          </cell>
          <cell r="N104">
            <v>375960000</v>
          </cell>
          <cell r="O104">
            <v>1</v>
          </cell>
          <cell r="P104">
            <v>187980000</v>
          </cell>
          <cell r="Q104">
            <v>1</v>
          </cell>
          <cell r="R104">
            <v>19771000</v>
          </cell>
          <cell r="S104">
            <v>4</v>
          </cell>
          <cell r="T104">
            <v>150990200</v>
          </cell>
          <cell r="Y104">
            <v>5</v>
          </cell>
          <cell r="Z104">
            <v>170761200</v>
          </cell>
          <cell r="AA104">
            <v>7</v>
          </cell>
          <cell r="AB104">
            <v>546721200</v>
          </cell>
          <cell r="AC104">
            <v>10</v>
          </cell>
          <cell r="AD104">
            <v>48.473348228534952</v>
          </cell>
        </row>
        <row r="105">
          <cell r="C105" t="str">
            <v>01</v>
          </cell>
          <cell r="D105" t="str">
            <v>01</v>
          </cell>
          <cell r="E105" t="str">
            <v>01</v>
          </cell>
          <cell r="F105" t="str">
            <v>01</v>
          </cell>
          <cell r="G105">
            <v>22</v>
          </cell>
          <cell r="H105" t="str">
            <v>19</v>
          </cell>
          <cell r="I105" t="str">
            <v>Monitoring dan Evaluasi dan Pelaporan Pembinaan dan Pembelajaran Sekolah</v>
          </cell>
          <cell r="J105" t="str">
            <v>Terlaksananya Kegiatan monitoring dan evaluasi pembelajaran sekolah</v>
          </cell>
          <cell r="K105">
            <v>4</v>
          </cell>
          <cell r="L105">
            <v>291000000</v>
          </cell>
          <cell r="M105" t="str">
            <v>0</v>
          </cell>
          <cell r="N105" t="str">
            <v>-</v>
          </cell>
          <cell r="O105">
            <v>1</v>
          </cell>
          <cell r="P105">
            <v>72750000</v>
          </cell>
          <cell r="Q105" t="str">
            <v>0</v>
          </cell>
          <cell r="R105">
            <v>0</v>
          </cell>
          <cell r="S105">
            <v>1</v>
          </cell>
          <cell r="T105">
            <v>72750000</v>
          </cell>
          <cell r="Y105">
            <v>1</v>
          </cell>
          <cell r="Z105">
            <v>72750000</v>
          </cell>
          <cell r="AA105">
            <v>1</v>
          </cell>
          <cell r="AB105" t="str">
            <v>0</v>
          </cell>
          <cell r="AC105">
            <v>10</v>
          </cell>
          <cell r="AD105">
            <v>0</v>
          </cell>
        </row>
        <row r="106">
          <cell r="C106" t="str">
            <v>01</v>
          </cell>
          <cell r="D106" t="str">
            <v>01</v>
          </cell>
          <cell r="E106" t="str">
            <v>01</v>
          </cell>
          <cell r="F106" t="str">
            <v>01</v>
          </cell>
          <cell r="G106">
            <v>22</v>
          </cell>
          <cell r="H106" t="str">
            <v>20</v>
          </cell>
          <cell r="I106" t="str">
            <v>Pendataan dan Pemetaan Capaian Standar Pelayanan Minimal (SPM) Bidang Pendidikan</v>
          </cell>
          <cell r="J106" t="str">
            <v>Jumlah sekolah yang telah terpetakan SPM</v>
          </cell>
          <cell r="K106">
            <v>422</v>
          </cell>
          <cell r="L106">
            <v>299984000</v>
          </cell>
          <cell r="M106">
            <v>40</v>
          </cell>
          <cell r="N106">
            <v>0</v>
          </cell>
          <cell r="O106">
            <v>42.2</v>
          </cell>
          <cell r="P106">
            <v>74996000</v>
          </cell>
          <cell r="Q106">
            <v>0</v>
          </cell>
          <cell r="R106">
            <v>15554000</v>
          </cell>
          <cell r="S106">
            <v>25</v>
          </cell>
          <cell r="T106">
            <v>15554000</v>
          </cell>
          <cell r="Y106">
            <v>25</v>
          </cell>
          <cell r="Z106">
            <v>31108000</v>
          </cell>
          <cell r="AA106">
            <v>65</v>
          </cell>
          <cell r="AB106">
            <v>31108000</v>
          </cell>
          <cell r="AC106">
            <v>15.402843601895736</v>
          </cell>
          <cell r="AD106">
            <v>10.369886393941011</v>
          </cell>
        </row>
        <row r="107">
          <cell r="C107" t="str">
            <v>01</v>
          </cell>
          <cell r="D107" t="str">
            <v>01</v>
          </cell>
          <cell r="E107" t="str">
            <v>01</v>
          </cell>
          <cell r="F107" t="str">
            <v>01</v>
          </cell>
          <cell r="G107">
            <v>22</v>
          </cell>
          <cell r="H107" t="str">
            <v>21</v>
          </cell>
          <cell r="I107" t="str">
            <v>Pengembangan Sistem Perencanaan Data Penjaminan Mutu Pendidikan</v>
          </cell>
          <cell r="J107" t="str">
            <v>Jumlah sekolah yang telah terpetakan  8 SNP</v>
          </cell>
          <cell r="K107">
            <v>422</v>
          </cell>
          <cell r="L107">
            <v>495032800</v>
          </cell>
          <cell r="M107">
            <v>40</v>
          </cell>
          <cell r="N107">
            <v>0</v>
          </cell>
          <cell r="O107">
            <v>42.2</v>
          </cell>
          <cell r="P107">
            <v>123758200</v>
          </cell>
          <cell r="Q107">
            <v>10</v>
          </cell>
          <cell r="R107">
            <v>17950000</v>
          </cell>
          <cell r="S107">
            <v>50</v>
          </cell>
          <cell r="T107">
            <v>17950000</v>
          </cell>
          <cell r="Y107">
            <v>60</v>
          </cell>
          <cell r="Z107">
            <v>35900000</v>
          </cell>
          <cell r="AA107">
            <v>100</v>
          </cell>
          <cell r="AB107">
            <v>35900000</v>
          </cell>
          <cell r="AC107">
            <v>23.696682464454977</v>
          </cell>
          <cell r="AD107">
            <v>7.2520447129967955</v>
          </cell>
        </row>
        <row r="108">
          <cell r="A108" t="str">
            <v xml:space="preserve">TOTAL RATA-RATA CAPAIAN KINERJA DAN ANGGARAN DARI SELURUH PROGRAM </v>
          </cell>
          <cell r="AC108">
            <v>49.129143159447096</v>
          </cell>
          <cell r="AD108">
            <v>35.865358506647787</v>
          </cell>
        </row>
        <row r="109">
          <cell r="A109" t="str">
            <v>PERINGKAT KINERJA DARI SELURUH PROGRAM</v>
          </cell>
          <cell r="AC109" t="str">
            <v>SR</v>
          </cell>
          <cell r="AD109" t="str">
            <v>SR</v>
          </cell>
        </row>
        <row r="111">
          <cell r="A111" t="str">
            <v>II</v>
          </cell>
          <cell r="I111" t="str">
            <v>URUSAN KESEHATAN</v>
          </cell>
        </row>
        <row r="112">
          <cell r="A112" t="str">
            <v>DINAS KESEHATAN</v>
          </cell>
          <cell r="L112">
            <v>537043514497.59998</v>
          </cell>
          <cell r="N112">
            <v>59563318842</v>
          </cell>
          <cell r="P112">
            <v>70845555155</v>
          </cell>
          <cell r="R112">
            <v>587962704</v>
          </cell>
          <cell r="T112">
            <v>14770984658</v>
          </cell>
          <cell r="Z112">
            <v>15358947362</v>
          </cell>
          <cell r="AB112">
            <v>74896488204</v>
          </cell>
        </row>
        <row r="113">
          <cell r="A113">
            <v>1</v>
          </cell>
          <cell r="C113">
            <v>5</v>
          </cell>
          <cell r="D113" t="str">
            <v>01</v>
          </cell>
          <cell r="E113" t="str">
            <v>01</v>
          </cell>
          <cell r="I113" t="str">
            <v>Program Pelayanan Administrasi Perkantoran</v>
          </cell>
          <cell r="J113" t="str">
            <v>Persentase pemenuhan layanan adminstrasi perkantoran</v>
          </cell>
          <cell r="K113">
            <v>1</v>
          </cell>
          <cell r="L113">
            <v>26459369097.600002</v>
          </cell>
          <cell r="M113">
            <v>0.34</v>
          </cell>
          <cell r="N113">
            <v>1988983765</v>
          </cell>
          <cell r="O113">
            <v>0.17</v>
          </cell>
          <cell r="P113">
            <v>2103540220</v>
          </cell>
          <cell r="Q113">
            <v>2.07E-2</v>
          </cell>
          <cell r="R113">
            <v>151521213</v>
          </cell>
          <cell r="S113">
            <v>5.9312500000000004E-2</v>
          </cell>
          <cell r="T113">
            <v>513510018</v>
          </cell>
          <cell r="Y113">
            <v>8.00125E-2</v>
          </cell>
          <cell r="Z113">
            <v>665031231</v>
          </cell>
          <cell r="AA113">
            <v>0.42001250000000001</v>
          </cell>
          <cell r="AB113">
            <v>2654014996</v>
          </cell>
          <cell r="AC113">
            <v>0.42001250000000001</v>
          </cell>
          <cell r="AD113">
            <v>0.10030530154404674</v>
          </cell>
          <cell r="AE113" t="str">
            <v>Dinas Kesehatan</v>
          </cell>
        </row>
        <row r="114">
          <cell r="C114">
            <v>5</v>
          </cell>
          <cell r="D114" t="str">
            <v>01</v>
          </cell>
          <cell r="E114" t="str">
            <v>01</v>
          </cell>
          <cell r="G114" t="str">
            <v>02</v>
          </cell>
          <cell r="I114" t="str">
            <v>Penyediaan jasa komunikasi, sumber daya air dan listrik</v>
          </cell>
          <cell r="J114" t="str">
            <v>Kebutuhan Air, Listrik dan jasa komunikasi (%)</v>
          </cell>
          <cell r="K114">
            <v>1</v>
          </cell>
          <cell r="L114">
            <v>2851744390.4000001</v>
          </cell>
          <cell r="M114">
            <v>0.34</v>
          </cell>
          <cell r="N114">
            <v>161029021</v>
          </cell>
          <cell r="O114">
            <v>0.17</v>
          </cell>
          <cell r="P114">
            <v>305400000</v>
          </cell>
          <cell r="Q114">
            <v>0.02</v>
          </cell>
          <cell r="R114">
            <v>36829113</v>
          </cell>
          <cell r="S114">
            <v>0.06</v>
          </cell>
          <cell r="T114">
            <v>51974318</v>
          </cell>
          <cell r="Y114">
            <v>0.08</v>
          </cell>
          <cell r="Z114">
            <v>88803431</v>
          </cell>
          <cell r="AA114">
            <v>0.42000000000000004</v>
          </cell>
          <cell r="AB114">
            <v>249832452</v>
          </cell>
          <cell r="AC114">
            <v>0.42000000000000004</v>
          </cell>
          <cell r="AD114">
            <v>8.7606888205347622E-2</v>
          </cell>
        </row>
        <row r="115">
          <cell r="I115" t="str">
            <v>Penyediaan Jasa Pemeliharaan  dan Perizinan Kendaraan</v>
          </cell>
          <cell r="J115" t="str">
            <v>Kebutuhan Jasa Pemeliharaan dan perizinan Kendaraan (%)</v>
          </cell>
          <cell r="K115">
            <v>1</v>
          </cell>
          <cell r="L115">
            <v>6281600470.3999996</v>
          </cell>
          <cell r="M115">
            <v>0.34</v>
          </cell>
          <cell r="N115">
            <v>338436050</v>
          </cell>
          <cell r="O115">
            <v>0.17</v>
          </cell>
          <cell r="P115">
            <v>509340384</v>
          </cell>
          <cell r="Q115">
            <v>0.02</v>
          </cell>
          <cell r="R115">
            <v>17589500</v>
          </cell>
          <cell r="S115">
            <v>0.06</v>
          </cell>
          <cell r="T115">
            <v>86264600</v>
          </cell>
          <cell r="Y115">
            <v>0.08</v>
          </cell>
          <cell r="Z115">
            <v>103854100</v>
          </cell>
          <cell r="AA115">
            <v>0.42000000000000004</v>
          </cell>
          <cell r="AB115">
            <v>442290150</v>
          </cell>
          <cell r="AC115">
            <v>0.42000000000000004</v>
          </cell>
          <cell r="AD115">
            <v>7.0410423598913779E-2</v>
          </cell>
        </row>
        <row r="116">
          <cell r="C116">
            <v>5</v>
          </cell>
          <cell r="D116" t="str">
            <v>01</v>
          </cell>
          <cell r="E116" t="str">
            <v>01</v>
          </cell>
          <cell r="G116" t="str">
            <v>07</v>
          </cell>
          <cell r="I116" t="str">
            <v>Penyediaan jasa administrasi keuangan</v>
          </cell>
          <cell r="J116" t="str">
            <v>Kebutuhan Jasa Administrasi Keuangan (%)</v>
          </cell>
          <cell r="K116">
            <v>1</v>
          </cell>
          <cell r="L116">
            <v>2228926080</v>
          </cell>
          <cell r="M116">
            <v>0.34</v>
          </cell>
          <cell r="N116">
            <v>174972534</v>
          </cell>
          <cell r="O116">
            <v>0.17</v>
          </cell>
          <cell r="P116">
            <v>190293522</v>
          </cell>
          <cell r="Q116">
            <v>0.05</v>
          </cell>
          <cell r="R116">
            <v>14447000</v>
          </cell>
          <cell r="S116">
            <v>0.03</v>
          </cell>
          <cell r="T116">
            <v>59159500</v>
          </cell>
          <cell r="Y116">
            <v>0.08</v>
          </cell>
          <cell r="Z116">
            <v>73606500</v>
          </cell>
          <cell r="AA116">
            <v>0.42000000000000004</v>
          </cell>
          <cell r="AB116">
            <v>248579034</v>
          </cell>
          <cell r="AC116">
            <v>0.42000000000000004</v>
          </cell>
          <cell r="AD116">
            <v>0.1115241264528611</v>
          </cell>
        </row>
        <row r="117">
          <cell r="C117">
            <v>5</v>
          </cell>
          <cell r="D117" t="str">
            <v>01</v>
          </cell>
          <cell r="E117" t="str">
            <v>01</v>
          </cell>
          <cell r="G117" t="str">
            <v>08</v>
          </cell>
          <cell r="I117" t="str">
            <v>Penyediaan jasa kebersihan kantor</v>
          </cell>
          <cell r="J117" t="str">
            <v>kebutuhan jasa Kebersihan kantor (%)</v>
          </cell>
          <cell r="K117">
            <v>1</v>
          </cell>
          <cell r="L117">
            <v>2622831120</v>
          </cell>
          <cell r="M117">
            <v>0.34</v>
          </cell>
          <cell r="N117">
            <v>398000000</v>
          </cell>
          <cell r="O117">
            <v>0.17</v>
          </cell>
          <cell r="P117">
            <v>458259724</v>
          </cell>
          <cell r="Q117">
            <v>1.2E-2</v>
          </cell>
          <cell r="R117">
            <v>46000000</v>
          </cell>
          <cell r="S117">
            <v>6.8000000000000005E-2</v>
          </cell>
          <cell r="T117">
            <v>97000000</v>
          </cell>
          <cell r="Y117">
            <v>0.08</v>
          </cell>
          <cell r="Z117">
            <v>143000000</v>
          </cell>
          <cell r="AA117">
            <v>0.42000000000000004</v>
          </cell>
          <cell r="AB117">
            <v>541000000</v>
          </cell>
          <cell r="AC117">
            <v>0.42000000000000004</v>
          </cell>
          <cell r="AD117">
            <v>0.20626566303666552</v>
          </cell>
        </row>
        <row r="118">
          <cell r="I118" t="str">
            <v>Penyediaan Jasa Perbaikan Peralatan Kerja</v>
          </cell>
          <cell r="J118" t="str">
            <v>Kebutuhan Jasa Perbaikan Peralatan Kerja (%)</v>
          </cell>
          <cell r="K118">
            <v>1</v>
          </cell>
          <cell r="L118">
            <v>178057888</v>
          </cell>
          <cell r="M118">
            <v>0.34</v>
          </cell>
          <cell r="N118">
            <v>10450000</v>
          </cell>
          <cell r="O118">
            <v>0.17</v>
          </cell>
          <cell r="P118">
            <v>18400000</v>
          </cell>
          <cell r="Q118">
            <v>2.3E-2</v>
          </cell>
          <cell r="R118">
            <v>0</v>
          </cell>
          <cell r="S118">
            <v>5.7000000000000002E-2</v>
          </cell>
          <cell r="T118">
            <v>3600000</v>
          </cell>
          <cell r="Y118">
            <v>0.08</v>
          </cell>
          <cell r="Z118">
            <v>3600000</v>
          </cell>
          <cell r="AA118">
            <v>0.42000000000000004</v>
          </cell>
          <cell r="AB118">
            <v>14050000</v>
          </cell>
          <cell r="AC118">
            <v>0.42000000000000004</v>
          </cell>
          <cell r="AD118">
            <v>7.8906922674495616E-2</v>
          </cell>
        </row>
        <row r="119">
          <cell r="C119">
            <v>5</v>
          </cell>
          <cell r="D119" t="str">
            <v>01</v>
          </cell>
          <cell r="E119" t="str">
            <v>01</v>
          </cell>
          <cell r="G119" t="str">
            <v>10</v>
          </cell>
          <cell r="I119" t="str">
            <v>Penyediaan Alat Tulis Kantor</v>
          </cell>
          <cell r="J119" t="str">
            <v>Kebutuhan Alat Tulis Kantor (%)</v>
          </cell>
          <cell r="K119">
            <v>1</v>
          </cell>
          <cell r="L119">
            <v>1427473435.2</v>
          </cell>
          <cell r="M119">
            <v>0.34</v>
          </cell>
          <cell r="N119">
            <v>73062000</v>
          </cell>
          <cell r="O119">
            <v>0.17</v>
          </cell>
          <cell r="P119">
            <v>27631620</v>
          </cell>
          <cell r="Q119">
            <v>1.4999999999999999E-2</v>
          </cell>
          <cell r="R119">
            <v>0</v>
          </cell>
          <cell r="S119">
            <v>6.5000000000000002E-2</v>
          </cell>
          <cell r="T119">
            <v>1990000</v>
          </cell>
          <cell r="Y119">
            <v>0.08</v>
          </cell>
          <cell r="Z119">
            <v>1990000</v>
          </cell>
          <cell r="AA119">
            <v>0.42000000000000004</v>
          </cell>
          <cell r="AB119">
            <v>75052000</v>
          </cell>
          <cell r="AC119">
            <v>0.42000000000000004</v>
          </cell>
          <cell r="AD119">
            <v>5.2576810292434363E-2</v>
          </cell>
        </row>
        <row r="120">
          <cell r="C120">
            <v>5</v>
          </cell>
          <cell r="D120" t="str">
            <v>01</v>
          </cell>
          <cell r="E120" t="str">
            <v>01</v>
          </cell>
          <cell r="G120" t="str">
            <v>11</v>
          </cell>
          <cell r="I120" t="str">
            <v>Penyediaan barang cetakan dan penggandaan</v>
          </cell>
          <cell r="J120" t="str">
            <v>Penyediaan barang cetakan dan pengg andaan (%)</v>
          </cell>
          <cell r="K120">
            <v>1</v>
          </cell>
          <cell r="L120">
            <v>813429920</v>
          </cell>
          <cell r="M120">
            <v>0.34</v>
          </cell>
          <cell r="N120">
            <v>50968650</v>
          </cell>
          <cell r="O120">
            <v>0.17</v>
          </cell>
          <cell r="P120">
            <v>27450685</v>
          </cell>
          <cell r="Q120">
            <v>2.1000000000000001E-2</v>
          </cell>
          <cell r="R120">
            <v>0</v>
          </cell>
          <cell r="S120">
            <v>5.8999999999999997E-2</v>
          </cell>
          <cell r="T120">
            <v>3552000</v>
          </cell>
          <cell r="Y120">
            <v>0.08</v>
          </cell>
          <cell r="Z120">
            <v>3552000</v>
          </cell>
          <cell r="AA120">
            <v>0.42000000000000004</v>
          </cell>
          <cell r="AB120">
            <v>54520650</v>
          </cell>
          <cell r="AC120">
            <v>0.42000000000000004</v>
          </cell>
          <cell r="AD120">
            <v>6.7025626497731972E-2</v>
          </cell>
        </row>
        <row r="121">
          <cell r="C121">
            <v>5</v>
          </cell>
          <cell r="D121" t="str">
            <v>01</v>
          </cell>
          <cell r="E121" t="str">
            <v>01</v>
          </cell>
          <cell r="G121" t="str">
            <v>12</v>
          </cell>
          <cell r="I121" t="str">
            <v>Penyediaan komponen instalasi listrik/penerangan bangunan kantor</v>
          </cell>
          <cell r="J121" t="str">
            <v>Komponen Penerangan Kantor (%)</v>
          </cell>
          <cell r="K121">
            <v>1</v>
          </cell>
          <cell r="L121">
            <v>1379884582.4000001</v>
          </cell>
          <cell r="M121">
            <v>0.34</v>
          </cell>
          <cell r="N121">
            <v>34782535</v>
          </cell>
          <cell r="O121">
            <v>0.17</v>
          </cell>
          <cell r="P121">
            <v>28641250</v>
          </cell>
          <cell r="Q121">
            <v>2.1000000000000001E-2</v>
          </cell>
          <cell r="R121">
            <v>0</v>
          </cell>
          <cell r="S121">
            <v>5.8999999999999997E-2</v>
          </cell>
          <cell r="T121">
            <v>3570500</v>
          </cell>
          <cell r="Y121">
            <v>0.08</v>
          </cell>
          <cell r="Z121">
            <v>3570500</v>
          </cell>
          <cell r="AA121">
            <v>0.42000000000000004</v>
          </cell>
          <cell r="AB121">
            <v>38353035</v>
          </cell>
          <cell r="AC121">
            <v>0.42000000000000004</v>
          </cell>
          <cell r="AD121">
            <v>2.7794378956893257E-2</v>
          </cell>
        </row>
        <row r="122">
          <cell r="C122">
            <v>1</v>
          </cell>
          <cell r="D122" t="str">
            <v>01</v>
          </cell>
          <cell r="E122" t="str">
            <v>02</v>
          </cell>
          <cell r="F122" t="str">
            <v>01</v>
          </cell>
          <cell r="G122">
            <v>13</v>
          </cell>
          <cell r="I122" t="str">
            <v>Penyediaan Peralatan dan Perlengkapan kantor</v>
          </cell>
          <cell r="J122" t="str">
            <v>Jumlah peralatan dan perlengkapan kantor</v>
          </cell>
          <cell r="K122">
            <v>1</v>
          </cell>
          <cell r="L122">
            <v>898808036.79999995</v>
          </cell>
          <cell r="M122">
            <v>0.34</v>
          </cell>
          <cell r="N122">
            <v>309296200</v>
          </cell>
          <cell r="O122">
            <v>0.17</v>
          </cell>
          <cell r="P122">
            <v>103227960</v>
          </cell>
          <cell r="Q122">
            <v>1.84E-2</v>
          </cell>
          <cell r="R122">
            <v>1900000</v>
          </cell>
          <cell r="S122">
            <v>6.2E-2</v>
          </cell>
          <cell r="T122">
            <v>92572000</v>
          </cell>
          <cell r="Y122">
            <v>8.0399999999999999E-2</v>
          </cell>
          <cell r="Z122">
            <v>94472000</v>
          </cell>
          <cell r="AA122">
            <v>0.4204</v>
          </cell>
          <cell r="AB122">
            <v>403768200</v>
          </cell>
          <cell r="AC122">
            <v>0.4204</v>
          </cell>
          <cell r="AD122">
            <v>0.44922629022936217</v>
          </cell>
        </row>
        <row r="123">
          <cell r="C123">
            <v>5</v>
          </cell>
          <cell r="D123" t="str">
            <v>01</v>
          </cell>
          <cell r="E123" t="str">
            <v>01</v>
          </cell>
          <cell r="G123" t="str">
            <v>15</v>
          </cell>
          <cell r="I123" t="str">
            <v>Penyediaan bahan bacaan dan peraturan perundang-undangan</v>
          </cell>
          <cell r="J123" t="str">
            <v xml:space="preserve">Jumlah Pembayaran langganan koran </v>
          </cell>
          <cell r="K123">
            <v>1</v>
          </cell>
          <cell r="L123">
            <v>177289292.80000001</v>
          </cell>
          <cell r="M123">
            <v>0.34</v>
          </cell>
          <cell r="N123">
            <v>11220000</v>
          </cell>
          <cell r="O123">
            <v>0.17</v>
          </cell>
          <cell r="P123">
            <v>13900000</v>
          </cell>
          <cell r="Q123">
            <v>0.04</v>
          </cell>
          <cell r="R123">
            <v>3460000</v>
          </cell>
          <cell r="S123">
            <v>0.04</v>
          </cell>
          <cell r="T123">
            <v>240000</v>
          </cell>
          <cell r="Y123">
            <v>0.08</v>
          </cell>
          <cell r="Z123">
            <v>3700000</v>
          </cell>
          <cell r="AA123">
            <v>0.42000000000000004</v>
          </cell>
          <cell r="AB123">
            <v>14920000</v>
          </cell>
          <cell r="AC123">
            <v>0.42000000000000004</v>
          </cell>
          <cell r="AD123">
            <v>8.4156238452771356E-2</v>
          </cell>
        </row>
        <row r="124">
          <cell r="C124">
            <v>5</v>
          </cell>
          <cell r="D124" t="str">
            <v>01</v>
          </cell>
          <cell r="E124" t="str">
            <v>01</v>
          </cell>
          <cell r="G124" t="str">
            <v>17</v>
          </cell>
          <cell r="I124" t="str">
            <v>Penyediaan makanan dan minuman</v>
          </cell>
          <cell r="J124" t="str">
            <v>Jumlah rapat Dinkes yang dilaksanakan dan makan minum tamu Dinkes dan Puskesmas</v>
          </cell>
          <cell r="K124">
            <v>1</v>
          </cell>
          <cell r="L124">
            <v>2640636908.8000002</v>
          </cell>
          <cell r="M124">
            <v>0.34</v>
          </cell>
          <cell r="N124">
            <v>93064000</v>
          </cell>
          <cell r="O124">
            <v>0.17</v>
          </cell>
          <cell r="P124">
            <v>102107494</v>
          </cell>
          <cell r="Q124">
            <v>9.7999999999999997E-3</v>
          </cell>
          <cell r="R124">
            <v>996000</v>
          </cell>
          <cell r="S124">
            <v>7.0000000000000007E-2</v>
          </cell>
          <cell r="T124">
            <v>18470500</v>
          </cell>
          <cell r="Y124">
            <v>7.980000000000001E-2</v>
          </cell>
          <cell r="Z124">
            <v>19466500</v>
          </cell>
          <cell r="AA124">
            <v>0.41980000000000006</v>
          </cell>
          <cell r="AB124">
            <v>112530500</v>
          </cell>
          <cell r="AC124">
            <v>0.41980000000000006</v>
          </cell>
          <cell r="AD124">
            <v>4.2614908405236934E-2</v>
          </cell>
        </row>
        <row r="125">
          <cell r="C125">
            <v>5</v>
          </cell>
          <cell r="D125" t="str">
            <v>01</v>
          </cell>
          <cell r="E125" t="str">
            <v>01</v>
          </cell>
          <cell r="G125" t="str">
            <v>18</v>
          </cell>
          <cell r="I125" t="str">
            <v>Rapat-rapat kordinasi dan konsultasi ke luar daerah</v>
          </cell>
          <cell r="J125" t="str">
            <v>Persentase Perjalanan dinas ke luar daerah</v>
          </cell>
          <cell r="K125">
            <v>1</v>
          </cell>
          <cell r="L125">
            <v>1441116000</v>
          </cell>
          <cell r="M125">
            <v>0.34</v>
          </cell>
          <cell r="N125">
            <v>117909197</v>
          </cell>
          <cell r="O125">
            <v>0.17</v>
          </cell>
          <cell r="P125">
            <v>66100000</v>
          </cell>
          <cell r="Q125">
            <v>3.7999999999999999E-2</v>
          </cell>
          <cell r="R125">
            <v>15554600</v>
          </cell>
          <cell r="S125">
            <v>4.2000000000000003E-2</v>
          </cell>
          <cell r="T125">
            <v>15799000</v>
          </cell>
          <cell r="Y125">
            <v>0.08</v>
          </cell>
          <cell r="Z125">
            <v>31353600</v>
          </cell>
          <cell r="AA125">
            <v>0.42000000000000004</v>
          </cell>
          <cell r="AB125">
            <v>149262797</v>
          </cell>
          <cell r="AC125">
            <v>0.42000000000000004</v>
          </cell>
          <cell r="AD125">
            <v>0.10357444994018525</v>
          </cell>
        </row>
        <row r="126">
          <cell r="C126">
            <v>1</v>
          </cell>
          <cell r="D126" t="str">
            <v>01</v>
          </cell>
          <cell r="E126" t="str">
            <v>02</v>
          </cell>
          <cell r="F126" t="str">
            <v>01</v>
          </cell>
          <cell r="G126">
            <v>19</v>
          </cell>
          <cell r="I126" t="str">
            <v>Penyediaan Jasa pengamanan kantor</v>
          </cell>
          <cell r="J126" t="str">
            <v xml:space="preserve">Jumlah pembayaran honor satpam </v>
          </cell>
          <cell r="K126">
            <v>1</v>
          </cell>
          <cell r="L126">
            <v>115289280</v>
          </cell>
          <cell r="M126">
            <v>0.34</v>
          </cell>
          <cell r="N126">
            <v>25000000</v>
          </cell>
          <cell r="O126">
            <v>0.17</v>
          </cell>
          <cell r="P126">
            <v>39000000</v>
          </cell>
          <cell r="Q126">
            <v>2.5000000000000001E-2</v>
          </cell>
          <cell r="R126">
            <v>6000000</v>
          </cell>
          <cell r="S126">
            <v>5.5E-2</v>
          </cell>
          <cell r="T126">
            <v>12000000</v>
          </cell>
          <cell r="Y126">
            <v>0.08</v>
          </cell>
          <cell r="Z126">
            <v>18000000</v>
          </cell>
          <cell r="AA126">
            <v>0.42000000000000004</v>
          </cell>
          <cell r="AB126">
            <v>43000000</v>
          </cell>
          <cell r="AC126">
            <v>0.42000000000000004</v>
          </cell>
          <cell r="AD126">
            <v>0.3729748333930093</v>
          </cell>
        </row>
        <row r="127">
          <cell r="C127">
            <v>5</v>
          </cell>
          <cell r="D127" t="str">
            <v>01</v>
          </cell>
          <cell r="E127" t="str">
            <v>02</v>
          </cell>
          <cell r="F127" t="str">
            <v>01</v>
          </cell>
          <cell r="G127" t="str">
            <v>20</v>
          </cell>
          <cell r="I127" t="str">
            <v>Rapat-rapat Koordinasi dan Konsultasi Dalam Daerah</v>
          </cell>
          <cell r="J127" t="str">
            <v>Persentase perjalanan dinas dalam daerah</v>
          </cell>
          <cell r="K127">
            <v>1</v>
          </cell>
          <cell r="L127">
            <v>1769690448</v>
          </cell>
          <cell r="M127">
            <v>0.34</v>
          </cell>
          <cell r="N127">
            <v>21415000</v>
          </cell>
          <cell r="O127">
            <v>0.17</v>
          </cell>
          <cell r="P127">
            <v>61900000</v>
          </cell>
          <cell r="Q127">
            <v>5.0000000000000001E-3</v>
          </cell>
          <cell r="R127">
            <v>2545000</v>
          </cell>
          <cell r="S127">
            <v>7.4999999999999997E-2</v>
          </cell>
          <cell r="T127">
            <v>26740000</v>
          </cell>
          <cell r="Y127">
            <v>0.08</v>
          </cell>
          <cell r="Z127">
            <v>29285000</v>
          </cell>
          <cell r="AA127">
            <v>0.42000000000000004</v>
          </cell>
          <cell r="AB127">
            <v>50700000</v>
          </cell>
          <cell r="AC127">
            <v>0.42000000000000004</v>
          </cell>
          <cell r="AD127">
            <v>2.8649078180479619E-2</v>
          </cell>
        </row>
        <row r="128">
          <cell r="C128">
            <v>1</v>
          </cell>
          <cell r="D128" t="str">
            <v>01</v>
          </cell>
          <cell r="E128" t="str">
            <v>02</v>
          </cell>
          <cell r="F128" t="str">
            <v>01</v>
          </cell>
          <cell r="G128">
            <v>25</v>
          </cell>
          <cell r="I128" t="str">
            <v>Pembinaan dan Pengelolaan Aset</v>
          </cell>
          <cell r="J128" t="str">
            <v>Monev aset Puskesmas</v>
          </cell>
          <cell r="K128">
            <v>1</v>
          </cell>
          <cell r="L128">
            <v>1246661414.4000001</v>
          </cell>
          <cell r="M128">
            <v>0.34</v>
          </cell>
          <cell r="N128">
            <v>88102799</v>
          </cell>
          <cell r="O128">
            <v>0.17</v>
          </cell>
          <cell r="P128">
            <v>101082004</v>
          </cell>
          <cell r="Q128">
            <v>8.0000000000000002E-3</v>
          </cell>
          <cell r="R128">
            <v>4900000</v>
          </cell>
          <cell r="S128">
            <v>7.1999999999999995E-2</v>
          </cell>
          <cell r="T128">
            <v>29025000</v>
          </cell>
          <cell r="Y128">
            <v>7.9999999999999988E-2</v>
          </cell>
          <cell r="Z128">
            <v>33925000</v>
          </cell>
          <cell r="AA128">
            <v>0.42000000000000004</v>
          </cell>
          <cell r="AB128">
            <v>122027799</v>
          </cell>
          <cell r="AC128">
            <v>0.42000000000000004</v>
          </cell>
          <cell r="AD128">
            <v>9.7883673618574446E-2</v>
          </cell>
        </row>
        <row r="129">
          <cell r="C129">
            <v>1</v>
          </cell>
          <cell r="D129" t="str">
            <v>01</v>
          </cell>
          <cell r="E129" t="str">
            <v>02</v>
          </cell>
          <cell r="F129" t="str">
            <v>01</v>
          </cell>
          <cell r="G129">
            <v>22</v>
          </cell>
          <cell r="I129" t="str">
            <v>Penunjang Operasional Perencanaan dan Pelaporan</v>
          </cell>
          <cell r="J129" t="str">
            <v xml:space="preserve">Tersedianya Renstra, LKPJ, LPPD, DPA dan DPPA </v>
          </cell>
          <cell r="K129">
            <v>1</v>
          </cell>
          <cell r="L129">
            <v>1626091244.8</v>
          </cell>
          <cell r="M129">
            <v>0.34</v>
          </cell>
          <cell r="N129">
            <v>81275779</v>
          </cell>
          <cell r="O129">
            <v>0.17</v>
          </cell>
          <cell r="P129">
            <v>50805577</v>
          </cell>
          <cell r="Q129">
            <v>5.0000000000000001E-3</v>
          </cell>
          <cell r="R129">
            <v>1300000</v>
          </cell>
          <cell r="S129">
            <v>7.4999999999999997E-2</v>
          </cell>
          <cell r="T129">
            <v>11552600</v>
          </cell>
          <cell r="Y129">
            <v>0.08</v>
          </cell>
          <cell r="Z129">
            <v>12852600</v>
          </cell>
          <cell r="AA129">
            <v>0.42000000000000004</v>
          </cell>
          <cell r="AB129">
            <v>94128379</v>
          </cell>
          <cell r="AC129">
            <v>0.42000000000000004</v>
          </cell>
          <cell r="AD129">
            <v>5.788628362707731E-2</v>
          </cell>
        </row>
        <row r="130">
          <cell r="A130">
            <v>2</v>
          </cell>
          <cell r="B130" t="str">
            <v>Meningkatkan kualitas pelayanan bagi masyarakat</v>
          </cell>
          <cell r="C130">
            <v>1</v>
          </cell>
          <cell r="D130" t="str">
            <v>01</v>
          </cell>
          <cell r="E130" t="str">
            <v>02</v>
          </cell>
          <cell r="F130" t="str">
            <v>02</v>
          </cell>
          <cell r="I130" t="str">
            <v>Program Peningkatan Sarana dan Prasarana Aparatur</v>
          </cell>
          <cell r="J130" t="str">
            <v>Persentase sarana aparatur berkondisi baik</v>
          </cell>
          <cell r="K130">
            <v>1</v>
          </cell>
          <cell r="L130">
            <v>610000000</v>
          </cell>
          <cell r="M130">
            <v>0.34</v>
          </cell>
          <cell r="N130">
            <v>88782000</v>
          </cell>
          <cell r="O130">
            <v>0.17</v>
          </cell>
          <cell r="P130">
            <v>50000000</v>
          </cell>
          <cell r="Q130">
            <v>2.5000000000000001E-2</v>
          </cell>
          <cell r="R130">
            <v>0</v>
          </cell>
          <cell r="S130">
            <v>0.97499999999999998</v>
          </cell>
          <cell r="T130">
            <v>46213080</v>
          </cell>
          <cell r="U130">
            <v>0</v>
          </cell>
          <cell r="V130">
            <v>0</v>
          </cell>
          <cell r="W130">
            <v>0</v>
          </cell>
          <cell r="X130">
            <v>0</v>
          </cell>
          <cell r="Y130">
            <v>1</v>
          </cell>
          <cell r="Z130">
            <v>46213080</v>
          </cell>
          <cell r="AA130">
            <v>1.34</v>
          </cell>
          <cell r="AB130">
            <v>134995080</v>
          </cell>
          <cell r="AC130">
            <v>1.34</v>
          </cell>
          <cell r="AD130">
            <v>0.22130340983606558</v>
          </cell>
          <cell r="AE130" t="str">
            <v>Dinkes</v>
          </cell>
        </row>
        <row r="131">
          <cell r="C131">
            <v>1</v>
          </cell>
          <cell r="D131" t="str">
            <v>01</v>
          </cell>
          <cell r="E131" t="str">
            <v>02</v>
          </cell>
          <cell r="F131" t="str">
            <v>02</v>
          </cell>
          <cell r="G131">
            <v>22</v>
          </cell>
          <cell r="I131" t="str">
            <v>Pemeliharaan Rutin/Berkala Gedung kantor</v>
          </cell>
          <cell r="J131" t="str">
            <v>Persentase pemeliharaan Gedung Dinkes</v>
          </cell>
          <cell r="K131">
            <v>1</v>
          </cell>
          <cell r="L131">
            <v>610000000</v>
          </cell>
          <cell r="M131">
            <v>0.34</v>
          </cell>
          <cell r="N131">
            <v>88782000</v>
          </cell>
          <cell r="O131">
            <v>0.17</v>
          </cell>
          <cell r="P131">
            <v>50000000</v>
          </cell>
          <cell r="Q131">
            <v>2.5000000000000001E-2</v>
          </cell>
          <cell r="R131">
            <v>0</v>
          </cell>
          <cell r="S131">
            <v>0.97499999999999998</v>
          </cell>
          <cell r="T131">
            <v>46213080</v>
          </cell>
          <cell r="U131">
            <v>0</v>
          </cell>
          <cell r="V131">
            <v>0</v>
          </cell>
          <cell r="W131">
            <v>0</v>
          </cell>
          <cell r="X131">
            <v>0</v>
          </cell>
          <cell r="Y131">
            <v>1</v>
          </cell>
          <cell r="Z131">
            <v>46213080</v>
          </cell>
          <cell r="AA131">
            <v>1.34</v>
          </cell>
          <cell r="AB131">
            <v>134995080</v>
          </cell>
          <cell r="AC131">
            <v>1.34</v>
          </cell>
          <cell r="AD131">
            <v>0.22130340983606558</v>
          </cell>
        </row>
        <row r="132">
          <cell r="A132">
            <v>3</v>
          </cell>
          <cell r="B132" t="str">
            <v>Meningkatkan kualitas pelayanan bagi masyarakat</v>
          </cell>
          <cell r="C132">
            <v>5</v>
          </cell>
          <cell r="D132" t="str">
            <v>01</v>
          </cell>
          <cell r="E132" t="str">
            <v>05</v>
          </cell>
          <cell r="I132" t="str">
            <v> Program Peningkatan Kapasitas Sumber Daya Aparatur</v>
          </cell>
          <cell r="J132" t="str">
            <v>Persentase peningkatan kemampuan aparatur</v>
          </cell>
          <cell r="K132">
            <v>1</v>
          </cell>
          <cell r="L132">
            <v>1025000000</v>
          </cell>
          <cell r="M132">
            <v>0.34</v>
          </cell>
          <cell r="N132">
            <v>26880000</v>
          </cell>
          <cell r="O132">
            <v>0.17</v>
          </cell>
          <cell r="P132">
            <v>70965920</v>
          </cell>
          <cell r="Q132">
            <v>2E-3</v>
          </cell>
          <cell r="R132">
            <v>1102000</v>
          </cell>
          <cell r="S132">
            <v>7.0000000000000007E-2</v>
          </cell>
          <cell r="T132">
            <v>14050500</v>
          </cell>
          <cell r="U132">
            <v>0</v>
          </cell>
          <cell r="V132">
            <v>0</v>
          </cell>
          <cell r="W132">
            <v>0</v>
          </cell>
          <cell r="X132">
            <v>0</v>
          </cell>
          <cell r="Y132">
            <v>7.2000000000000008E-2</v>
          </cell>
          <cell r="Z132">
            <v>15152500</v>
          </cell>
          <cell r="AA132">
            <v>0.41200000000000003</v>
          </cell>
          <cell r="AB132">
            <v>16254500</v>
          </cell>
          <cell r="AC132">
            <v>0.41200000000000003</v>
          </cell>
          <cell r="AD132">
            <v>1.5858048780487806E-2</v>
          </cell>
          <cell r="AE132" t="str">
            <v>Dinkes</v>
          </cell>
        </row>
        <row r="133">
          <cell r="C133">
            <v>5</v>
          </cell>
          <cell r="D133" t="str">
            <v>01</v>
          </cell>
          <cell r="E133" t="str">
            <v>05</v>
          </cell>
          <cell r="G133" t="str">
            <v>01</v>
          </cell>
          <cell r="I133" t="str">
            <v>Pendidikan dan Pelatihan Formal</v>
          </cell>
          <cell r="J133" t="str">
            <v>Jumlah SDM Kesehatan yang mengikuti pelatihan formal</v>
          </cell>
          <cell r="K133">
            <v>1</v>
          </cell>
          <cell r="L133">
            <v>420000000</v>
          </cell>
          <cell r="M133">
            <v>0.34</v>
          </cell>
          <cell r="N133">
            <v>26880000</v>
          </cell>
          <cell r="P133">
            <v>0</v>
          </cell>
          <cell r="Q133">
            <v>0</v>
          </cell>
          <cell r="R133">
            <v>0</v>
          </cell>
          <cell r="S133">
            <v>0</v>
          </cell>
          <cell r="T133">
            <v>0</v>
          </cell>
          <cell r="U133">
            <v>0</v>
          </cell>
          <cell r="V133">
            <v>0</v>
          </cell>
          <cell r="W133">
            <v>0</v>
          </cell>
          <cell r="X133">
            <v>0</v>
          </cell>
          <cell r="Y133">
            <v>0</v>
          </cell>
          <cell r="Z133">
            <v>0</v>
          </cell>
          <cell r="AA133">
            <v>0.34</v>
          </cell>
          <cell r="AB133">
            <v>26880000</v>
          </cell>
          <cell r="AC133">
            <v>0.34</v>
          </cell>
          <cell r="AD133">
            <v>6.4000000000000001E-2</v>
          </cell>
        </row>
        <row r="134">
          <cell r="C134">
            <v>1</v>
          </cell>
          <cell r="D134" t="str">
            <v>01</v>
          </cell>
          <cell r="E134" t="str">
            <v>02</v>
          </cell>
          <cell r="F134" t="str">
            <v>05</v>
          </cell>
          <cell r="G134">
            <v>44</v>
          </cell>
          <cell r="I134" t="str">
            <v>Penunjang Operasional Peningkatan Kapasitas Sumber Daya Aparatur Kesehatan (Pajak Rokok)</v>
          </cell>
          <cell r="J134" t="str">
            <v>Jumlah SDMK Puskesmas dan RS yang memahami tentang registrasi dan perizinan</v>
          </cell>
          <cell r="K134">
            <v>1</v>
          </cell>
          <cell r="L134">
            <v>605000000</v>
          </cell>
          <cell r="M134">
            <v>0</v>
          </cell>
          <cell r="N134">
            <v>0</v>
          </cell>
          <cell r="O134">
            <v>0.17</v>
          </cell>
          <cell r="P134">
            <v>70965920</v>
          </cell>
          <cell r="Q134">
            <v>2E-3</v>
          </cell>
          <cell r="R134">
            <v>1102000</v>
          </cell>
          <cell r="S134">
            <v>7.0000000000000007E-2</v>
          </cell>
          <cell r="T134">
            <v>14050500</v>
          </cell>
          <cell r="Y134">
            <v>7.2000000000000008E-2</v>
          </cell>
          <cell r="Z134">
            <v>15152500</v>
          </cell>
          <cell r="AA134">
            <v>7.2000000000000008E-2</v>
          </cell>
          <cell r="AB134">
            <v>15152500</v>
          </cell>
          <cell r="AC134">
            <v>7.2000000000000008E-2</v>
          </cell>
          <cell r="AD134">
            <v>2.5045454545454544E-2</v>
          </cell>
        </row>
        <row r="135">
          <cell r="A135">
            <v>4</v>
          </cell>
          <cell r="B135" t="str">
            <v>Meningkatkan kualitas pelayanan bagi masyarakat</v>
          </cell>
          <cell r="C135">
            <v>1</v>
          </cell>
          <cell r="D135" t="str">
            <v>01</v>
          </cell>
          <cell r="E135" t="str">
            <v>02</v>
          </cell>
          <cell r="F135" t="str">
            <v>15</v>
          </cell>
          <cell r="I135" t="str">
            <v>Program Obat dan Perbekalan Kesehatan</v>
          </cell>
          <cell r="J135" t="str">
            <v>Persentase Terpenuhi kebutuhan obat- obatan pelayanan kesehatan dasar</v>
          </cell>
          <cell r="K135">
            <v>0.95</v>
          </cell>
          <cell r="L135">
            <v>35672637500</v>
          </cell>
          <cell r="M135">
            <v>0.30416666666666664</v>
          </cell>
          <cell r="N135">
            <v>4207055720</v>
          </cell>
          <cell r="O135">
            <v>0.16</v>
          </cell>
          <cell r="P135">
            <v>4567856042</v>
          </cell>
          <cell r="Q135">
            <v>1.0500000000000001E-2</v>
          </cell>
          <cell r="R135">
            <v>7795250</v>
          </cell>
          <cell r="S135">
            <v>6.6250000000000003E-2</v>
          </cell>
          <cell r="T135">
            <v>30085750</v>
          </cell>
          <cell r="U135">
            <v>0</v>
          </cell>
          <cell r="V135">
            <v>0</v>
          </cell>
          <cell r="W135">
            <v>0</v>
          </cell>
          <cell r="X135">
            <v>0</v>
          </cell>
          <cell r="Y135">
            <v>7.6749999999999999E-2</v>
          </cell>
          <cell r="Z135">
            <v>37881000</v>
          </cell>
          <cell r="AA135">
            <v>0.38091666666666663</v>
          </cell>
          <cell r="AB135">
            <v>4244936720</v>
          </cell>
          <cell r="AC135">
            <v>0.40096491228070175</v>
          </cell>
          <cell r="AD135">
            <v>0.11899699650747719</v>
          </cell>
          <cell r="AE135" t="str">
            <v>Dinkes</v>
          </cell>
        </row>
        <row r="136">
          <cell r="C136">
            <v>1</v>
          </cell>
          <cell r="D136" t="str">
            <v>01</v>
          </cell>
          <cell r="E136" t="str">
            <v>02</v>
          </cell>
          <cell r="F136" t="str">
            <v>15</v>
          </cell>
          <cell r="G136" t="str">
            <v>01</v>
          </cell>
          <cell r="I136" t="str">
            <v>Pengadaaan obat dan perbekalan kesehatan (DAK dan Pendamping)</v>
          </cell>
          <cell r="J136" t="str">
            <v>Jumlah Paket obat dan Perbekalan Kesehatan yang diadakan</v>
          </cell>
          <cell r="K136">
            <v>0.95</v>
          </cell>
          <cell r="L136">
            <v>32991000000</v>
          </cell>
          <cell r="M136">
            <v>0.31666666666666665</v>
          </cell>
          <cell r="N136">
            <v>3866872870</v>
          </cell>
          <cell r="O136">
            <v>0.16</v>
          </cell>
          <cell r="P136">
            <v>4252349000</v>
          </cell>
          <cell r="Q136">
            <v>2.1000000000000001E-2</v>
          </cell>
          <cell r="R136">
            <v>0</v>
          </cell>
          <cell r="S136">
            <v>7.4999999999999997E-2</v>
          </cell>
          <cell r="T136">
            <v>0</v>
          </cell>
          <cell r="U136">
            <v>0</v>
          </cell>
          <cell r="V136">
            <v>0</v>
          </cell>
          <cell r="W136">
            <v>0</v>
          </cell>
          <cell r="X136">
            <v>0</v>
          </cell>
          <cell r="Y136">
            <v>9.6000000000000002E-2</v>
          </cell>
          <cell r="Z136">
            <v>0</v>
          </cell>
          <cell r="AA136">
            <v>0.41266666666666663</v>
          </cell>
          <cell r="AB136">
            <v>3866872870</v>
          </cell>
          <cell r="AC136">
            <v>0.43438596491228065</v>
          </cell>
          <cell r="AD136">
            <v>0.11720993210269467</v>
          </cell>
        </row>
        <row r="137">
          <cell r="C137">
            <v>1</v>
          </cell>
          <cell r="D137" t="str">
            <v>01</v>
          </cell>
          <cell r="E137" t="str">
            <v>02</v>
          </cell>
          <cell r="F137">
            <v>15</v>
          </cell>
          <cell r="G137" t="str">
            <v>02</v>
          </cell>
          <cell r="I137" t="str">
            <v>Peningkatan pemerataan obat dan perbekalan kesehatan</v>
          </cell>
          <cell r="J137" t="str">
            <v>Persentase obat dan Perbekalan kesehatan di Puskesmas</v>
          </cell>
          <cell r="K137">
            <v>0.9</v>
          </cell>
          <cell r="L137">
            <v>2186637500</v>
          </cell>
          <cell r="M137">
            <v>0.3</v>
          </cell>
          <cell r="N137">
            <v>260755750</v>
          </cell>
          <cell r="O137">
            <v>0.15</v>
          </cell>
          <cell r="P137">
            <v>238809892</v>
          </cell>
          <cell r="Q137">
            <v>4.0000000000000001E-3</v>
          </cell>
          <cell r="R137">
            <v>7795250</v>
          </cell>
          <cell r="S137">
            <v>0.04</v>
          </cell>
          <cell r="T137">
            <v>12503300</v>
          </cell>
          <cell r="U137">
            <v>0</v>
          </cell>
          <cell r="V137">
            <v>0</v>
          </cell>
          <cell r="W137">
            <v>0</v>
          </cell>
          <cell r="X137">
            <v>0</v>
          </cell>
          <cell r="Y137">
            <v>4.3999999999999997E-2</v>
          </cell>
          <cell r="Z137">
            <v>20298550</v>
          </cell>
          <cell r="AA137">
            <v>0.34399999999999997</v>
          </cell>
          <cell r="AB137">
            <v>281054300</v>
          </cell>
          <cell r="AC137">
            <v>0.38222222222222219</v>
          </cell>
          <cell r="AD137">
            <v>0.12853264429975247</v>
          </cell>
        </row>
        <row r="138">
          <cell r="C138">
            <v>1</v>
          </cell>
          <cell r="D138" t="str">
            <v>01</v>
          </cell>
          <cell r="E138" t="str">
            <v>02</v>
          </cell>
          <cell r="F138">
            <v>15</v>
          </cell>
          <cell r="G138" t="str">
            <v>07</v>
          </cell>
          <cell r="I138" t="str">
            <v>Pengadaaan obat dan perbekalan kesehatan (DAK dan Pendamping) (penunjang DAK)</v>
          </cell>
          <cell r="J138" t="str">
            <v>Lancarnya Pengadaan obat dan perbekalan kesehatan</v>
          </cell>
          <cell r="K138">
            <v>1</v>
          </cell>
          <cell r="L138">
            <v>495000000</v>
          </cell>
          <cell r="M138">
            <v>0.33333333333333331</v>
          </cell>
          <cell r="N138">
            <v>41149850</v>
          </cell>
          <cell r="O138">
            <v>0.17</v>
          </cell>
          <cell r="P138">
            <v>38697150</v>
          </cell>
          <cell r="Q138">
            <v>5.0000000000000001E-3</v>
          </cell>
          <cell r="R138">
            <v>600000</v>
          </cell>
          <cell r="S138">
            <v>8.5000000000000006E-2</v>
          </cell>
          <cell r="T138">
            <v>1740000</v>
          </cell>
          <cell r="U138">
            <v>0</v>
          </cell>
          <cell r="V138">
            <v>0</v>
          </cell>
          <cell r="W138">
            <v>0</v>
          </cell>
          <cell r="X138">
            <v>0</v>
          </cell>
          <cell r="Y138">
            <v>9.0000000000000011E-2</v>
          </cell>
          <cell r="Z138">
            <v>2340000</v>
          </cell>
          <cell r="AA138">
            <v>0.42333333333333334</v>
          </cell>
          <cell r="AB138">
            <v>43489850</v>
          </cell>
          <cell r="AC138">
            <v>0.42333333333333334</v>
          </cell>
          <cell r="AD138">
            <v>8.7858282828282827E-2</v>
          </cell>
        </row>
        <row r="139">
          <cell r="C139">
            <v>1</v>
          </cell>
          <cell r="D139" t="str">
            <v>01</v>
          </cell>
          <cell r="E139" t="str">
            <v>02</v>
          </cell>
          <cell r="F139">
            <v>15</v>
          </cell>
          <cell r="G139" t="str">
            <v>11</v>
          </cell>
          <cell r="I139" t="str">
            <v>Peningkatan pengawasan keamanan pangan dan bahan berbahaya</v>
          </cell>
          <cell r="J139" t="str">
            <v>Jumlah PIRT, Toko Obat dan Apotik yang diawasi dan dibina</v>
          </cell>
          <cell r="K139">
            <v>0.8</v>
          </cell>
          <cell r="L139">
            <v>1040000000</v>
          </cell>
          <cell r="M139">
            <v>0.26666666666666666</v>
          </cell>
          <cell r="N139">
            <v>38277250</v>
          </cell>
          <cell r="O139">
            <v>0.13</v>
          </cell>
          <cell r="P139">
            <v>38000000</v>
          </cell>
          <cell r="Q139">
            <v>1.2E-2</v>
          </cell>
          <cell r="R139">
            <v>4979800</v>
          </cell>
          <cell r="S139">
            <v>6.5000000000000002E-2</v>
          </cell>
          <cell r="T139">
            <v>15842450</v>
          </cell>
          <cell r="U139">
            <v>0</v>
          </cell>
          <cell r="V139">
            <v>0</v>
          </cell>
          <cell r="W139">
            <v>0</v>
          </cell>
          <cell r="X139">
            <v>0</v>
          </cell>
          <cell r="Y139">
            <v>7.6999999999999999E-2</v>
          </cell>
          <cell r="Z139">
            <v>20822250</v>
          </cell>
          <cell r="AA139">
            <v>0.34366666666666668</v>
          </cell>
          <cell r="AB139">
            <v>59099500</v>
          </cell>
          <cell r="AC139">
            <v>0.42958333333333332</v>
          </cell>
          <cell r="AD139">
            <v>5.6826442307692307E-2</v>
          </cell>
        </row>
        <row r="140">
          <cell r="A140">
            <v>5</v>
          </cell>
          <cell r="B140" t="str">
            <v>Meningkatnya kualitas pelayanan bagi masyarakat</v>
          </cell>
          <cell r="C140">
            <v>1</v>
          </cell>
          <cell r="D140" t="str">
            <v>01</v>
          </cell>
          <cell r="E140" t="str">
            <v>02</v>
          </cell>
          <cell r="F140" t="str">
            <v>16</v>
          </cell>
          <cell r="I140" t="str">
            <v>Program Upaya Kesehatan Masyarakat</v>
          </cell>
          <cell r="J140" t="str">
            <v>Visite Rate</v>
          </cell>
          <cell r="K140">
            <v>0.95</v>
          </cell>
          <cell r="L140">
            <v>28845135000</v>
          </cell>
          <cell r="M140">
            <v>0.31666666666666665</v>
          </cell>
          <cell r="N140">
            <v>6500154822</v>
          </cell>
          <cell r="O140">
            <v>0.16</v>
          </cell>
          <cell r="P140">
            <v>13270953096</v>
          </cell>
          <cell r="Q140">
            <v>2.375E-2</v>
          </cell>
          <cell r="R140">
            <v>80064800</v>
          </cell>
          <cell r="S140">
            <v>4.9799999999999997E-2</v>
          </cell>
          <cell r="T140">
            <v>1716332550</v>
          </cell>
          <cell r="U140">
            <v>0</v>
          </cell>
          <cell r="V140">
            <v>0</v>
          </cell>
          <cell r="W140">
            <v>0</v>
          </cell>
          <cell r="X140">
            <v>0</v>
          </cell>
          <cell r="Y140">
            <v>7.3550000000000004E-2</v>
          </cell>
          <cell r="Z140">
            <v>1796397350</v>
          </cell>
          <cell r="AA140">
            <v>0.39021666666666666</v>
          </cell>
          <cell r="AB140">
            <v>8296552172</v>
          </cell>
          <cell r="AC140">
            <v>0.41075438596491232</v>
          </cell>
          <cell r="AD140">
            <v>0.28762396750786573</v>
          </cell>
          <cell r="AE140" t="str">
            <v>Dinkes</v>
          </cell>
        </row>
        <row r="141">
          <cell r="C141">
            <v>1</v>
          </cell>
          <cell r="D141" t="str">
            <v>01</v>
          </cell>
          <cell r="E141" t="str">
            <v>02</v>
          </cell>
          <cell r="F141">
            <v>16</v>
          </cell>
          <cell r="G141" t="str">
            <v>02</v>
          </cell>
          <cell r="I141" t="str">
            <v>Pemeliharaan dan pemulihan kesehatan</v>
          </cell>
          <cell r="J141" t="str">
            <v>Persentase keluarga Kelompok Resiko tinggi (Resti) yang terlayani di Puskesmas dan jaringannya termasuk pada daerah terpencil</v>
          </cell>
          <cell r="K141">
            <v>0.95</v>
          </cell>
          <cell r="L141">
            <v>1537500000</v>
          </cell>
          <cell r="M141">
            <v>0.31666666666666665</v>
          </cell>
          <cell r="N141">
            <v>125121972</v>
          </cell>
          <cell r="O141">
            <v>0.16</v>
          </cell>
          <cell r="P141">
            <v>182652500</v>
          </cell>
          <cell r="Q141">
            <v>3.2000000000000001E-2</v>
          </cell>
          <cell r="R141">
            <v>6626600</v>
          </cell>
          <cell r="S141">
            <v>8.0000000000000002E-3</v>
          </cell>
          <cell r="T141">
            <v>4784050</v>
          </cell>
          <cell r="U141">
            <v>0</v>
          </cell>
          <cell r="V141">
            <v>0</v>
          </cell>
          <cell r="W141">
            <v>0</v>
          </cell>
          <cell r="X141">
            <v>0</v>
          </cell>
          <cell r="Y141">
            <v>0.04</v>
          </cell>
          <cell r="Z141">
            <v>11410650</v>
          </cell>
          <cell r="AA141">
            <v>0.35666666666666663</v>
          </cell>
          <cell r="AB141">
            <v>136532622</v>
          </cell>
          <cell r="AC141">
            <v>0.37543859649122807</v>
          </cell>
          <cell r="AD141">
            <v>8.8801705365853661E-2</v>
          </cell>
        </row>
        <row r="142">
          <cell r="C142">
            <v>1</v>
          </cell>
          <cell r="D142" t="str">
            <v>01</v>
          </cell>
          <cell r="E142" t="str">
            <v>02</v>
          </cell>
          <cell r="F142">
            <v>16</v>
          </cell>
          <cell r="G142" t="str">
            <v>09</v>
          </cell>
          <cell r="I142" t="str">
            <v>Peningkatan Kesehatan Masyarakat</v>
          </cell>
          <cell r="J142" t="str">
            <v>Persentase fasyankes dan jaringannya yang melayani kesehatan masyarakat perorangan, termasuk posko-posko kesehatan dalam rangka hari raya dan even-even daerah</v>
          </cell>
          <cell r="K142">
            <v>0.95</v>
          </cell>
          <cell r="L142">
            <v>4817385000</v>
          </cell>
          <cell r="M142">
            <v>0.31666666666666665</v>
          </cell>
          <cell r="N142">
            <v>743873200</v>
          </cell>
          <cell r="O142">
            <v>0.16</v>
          </cell>
          <cell r="P142">
            <v>1714157217</v>
          </cell>
          <cell r="Q142">
            <v>2.5000000000000001E-2</v>
          </cell>
          <cell r="R142">
            <v>69748000</v>
          </cell>
          <cell r="S142">
            <v>3.5999999999999997E-2</v>
          </cell>
          <cell r="T142">
            <v>337680100</v>
          </cell>
          <cell r="U142">
            <v>0</v>
          </cell>
          <cell r="V142">
            <v>0</v>
          </cell>
          <cell r="W142">
            <v>0</v>
          </cell>
          <cell r="X142">
            <v>0</v>
          </cell>
          <cell r="Y142">
            <v>6.0999999999999999E-2</v>
          </cell>
          <cell r="Z142">
            <v>407428100</v>
          </cell>
          <cell r="AA142">
            <v>0.37766666666666665</v>
          </cell>
          <cell r="AB142">
            <v>1151301300</v>
          </cell>
          <cell r="AC142">
            <v>0.39754385964912281</v>
          </cell>
          <cell r="AD142">
            <v>0.2389888497597763</v>
          </cell>
        </row>
        <row r="143">
          <cell r="C143">
            <v>1</v>
          </cell>
          <cell r="D143" t="str">
            <v>01</v>
          </cell>
          <cell r="E143" t="str">
            <v>02</v>
          </cell>
          <cell r="F143">
            <v>16</v>
          </cell>
          <cell r="G143" t="str">
            <v>25</v>
          </cell>
          <cell r="I143" t="str">
            <v>Pembinaan upaya kesehatan dasar masyarakat (Bantuan Operasional Kesehatan (BOK)</v>
          </cell>
          <cell r="J143" t="str">
            <v xml:space="preserve">Terlaksananya pelayanan kesehatan pada masyarakat. </v>
          </cell>
          <cell r="K143">
            <v>0.95</v>
          </cell>
          <cell r="L143">
            <v>21750000000</v>
          </cell>
          <cell r="M143">
            <v>0.31666666666666665</v>
          </cell>
          <cell r="N143">
            <v>5562727550</v>
          </cell>
          <cell r="O143">
            <v>0.16</v>
          </cell>
          <cell r="P143">
            <v>11288225000</v>
          </cell>
          <cell r="Q143">
            <v>5.0000000000000001E-3</v>
          </cell>
          <cell r="R143">
            <v>0</v>
          </cell>
          <cell r="S143">
            <v>5.5E-2</v>
          </cell>
          <cell r="T143">
            <v>1356613500</v>
          </cell>
          <cell r="U143">
            <v>0</v>
          </cell>
          <cell r="V143">
            <v>0</v>
          </cell>
          <cell r="W143">
            <v>0</v>
          </cell>
          <cell r="X143">
            <v>0</v>
          </cell>
          <cell r="Y143">
            <v>0.06</v>
          </cell>
          <cell r="Z143">
            <v>1356613500</v>
          </cell>
          <cell r="AA143">
            <v>0.37666666666666665</v>
          </cell>
          <cell r="AB143">
            <v>6919341050</v>
          </cell>
          <cell r="AC143">
            <v>0.39649122807017545</v>
          </cell>
          <cell r="AD143">
            <v>0.31813062298850575</v>
          </cell>
        </row>
        <row r="144">
          <cell r="C144">
            <v>1</v>
          </cell>
          <cell r="D144" t="str">
            <v>01</v>
          </cell>
          <cell r="E144" t="str">
            <v>02</v>
          </cell>
          <cell r="F144">
            <v>16</v>
          </cell>
          <cell r="G144">
            <v>34</v>
          </cell>
          <cell r="I144" t="str">
            <v>Pelayanan Kesehatan Rujukan di Sarana Pelayanan Kesehatan</v>
          </cell>
          <cell r="J144" t="str">
            <v>Tersedianya Pelayanan Kesehatan Rujukan di sarana Pelayanan Kesehatan</v>
          </cell>
          <cell r="K144">
            <v>0.95</v>
          </cell>
          <cell r="L144">
            <v>470000000</v>
          </cell>
          <cell r="M144">
            <v>0.31666666666666665</v>
          </cell>
          <cell r="N144">
            <v>51355550</v>
          </cell>
          <cell r="O144">
            <v>0.16</v>
          </cell>
          <cell r="P144">
            <v>44644179</v>
          </cell>
          <cell r="Q144">
            <v>1.2E-2</v>
          </cell>
          <cell r="R144">
            <v>3038200</v>
          </cell>
          <cell r="S144">
            <v>7.4999999999999997E-2</v>
          </cell>
          <cell r="T144">
            <v>10666000</v>
          </cell>
          <cell r="U144">
            <v>0</v>
          </cell>
          <cell r="V144">
            <v>0</v>
          </cell>
          <cell r="W144">
            <v>0</v>
          </cell>
          <cell r="X144">
            <v>0</v>
          </cell>
          <cell r="Y144">
            <v>8.6999999999999994E-2</v>
          </cell>
          <cell r="Z144">
            <v>13704200</v>
          </cell>
          <cell r="AA144">
            <v>0.40366666666666662</v>
          </cell>
          <cell r="AB144">
            <v>65059750</v>
          </cell>
          <cell r="AC144">
            <v>0.42491228070175435</v>
          </cell>
          <cell r="AD144">
            <v>0.13842499999999999</v>
          </cell>
        </row>
        <row r="145">
          <cell r="C145">
            <v>1</v>
          </cell>
          <cell r="D145" t="str">
            <v>01</v>
          </cell>
          <cell r="E145" t="str">
            <v>02</v>
          </cell>
          <cell r="F145">
            <v>16</v>
          </cell>
          <cell r="G145">
            <v>35</v>
          </cell>
          <cell r="I145" t="str">
            <v>Pelayanan Kesehatan pada Pengobatan Tradisional (BATRA)</v>
          </cell>
          <cell r="J145" t="str">
            <v>Jumlah penyehat tradisional yang dipantau dalam pelayanan kesehatan</v>
          </cell>
          <cell r="K145">
            <v>0.95</v>
          </cell>
          <cell r="L145">
            <v>270250000</v>
          </cell>
          <cell r="M145">
            <v>0.31666666666666665</v>
          </cell>
          <cell r="N145">
            <v>17076550</v>
          </cell>
          <cell r="O145">
            <v>0.16</v>
          </cell>
          <cell r="P145">
            <v>41274200</v>
          </cell>
          <cell r="Q145">
            <v>2.1000000000000001E-2</v>
          </cell>
          <cell r="R145">
            <v>652000</v>
          </cell>
          <cell r="S145">
            <v>7.4999999999999997E-2</v>
          </cell>
          <cell r="T145">
            <v>6588900</v>
          </cell>
          <cell r="U145">
            <v>0</v>
          </cell>
          <cell r="V145">
            <v>0</v>
          </cell>
          <cell r="W145">
            <v>0</v>
          </cell>
          <cell r="X145">
            <v>0</v>
          </cell>
          <cell r="Y145">
            <v>9.6000000000000002E-2</v>
          </cell>
          <cell r="Z145">
            <v>7240900</v>
          </cell>
          <cell r="AA145">
            <v>0.41266666666666663</v>
          </cell>
          <cell r="AB145">
            <v>24317450</v>
          </cell>
          <cell r="AC145">
            <v>0.43438596491228065</v>
          </cell>
          <cell r="AD145">
            <v>8.9981313598519894E-2</v>
          </cell>
        </row>
        <row r="146">
          <cell r="A146">
            <v>6</v>
          </cell>
          <cell r="B146" t="str">
            <v>Meningkatnya peran serta masyarakat untuk hidup sehat</v>
          </cell>
          <cell r="C146">
            <v>1</v>
          </cell>
          <cell r="D146" t="str">
            <v>01</v>
          </cell>
          <cell r="E146" t="str">
            <v>02</v>
          </cell>
          <cell r="F146" t="str">
            <v>19</v>
          </cell>
          <cell r="I146" t="str">
            <v>Program Promosi Kesehatan dan pemberdayaan masyarakat</v>
          </cell>
          <cell r="J146" t="str">
            <v xml:space="preserve">Persentase Nagari Siaga Aktif </v>
          </cell>
          <cell r="K146">
            <v>1</v>
          </cell>
          <cell r="L146">
            <v>9800000000</v>
          </cell>
          <cell r="M146">
            <v>0.33333333333333331</v>
          </cell>
          <cell r="N146">
            <v>568646293</v>
          </cell>
          <cell r="O146">
            <v>0.17</v>
          </cell>
          <cell r="P146">
            <v>548609845</v>
          </cell>
          <cell r="Q146">
            <v>1.3749999999999998E-2</v>
          </cell>
          <cell r="R146">
            <v>30185300</v>
          </cell>
          <cell r="S146">
            <v>5.1999999999999998E-2</v>
          </cell>
          <cell r="T146">
            <v>119895300</v>
          </cell>
          <cell r="U146">
            <v>0</v>
          </cell>
          <cell r="V146">
            <v>0</v>
          </cell>
          <cell r="W146">
            <v>0</v>
          </cell>
          <cell r="X146">
            <v>0</v>
          </cell>
          <cell r="Y146">
            <v>6.5750000000000003E-2</v>
          </cell>
          <cell r="Z146">
            <v>150080600</v>
          </cell>
          <cell r="AA146">
            <v>0.39908333333333335</v>
          </cell>
          <cell r="AB146">
            <v>718726893</v>
          </cell>
          <cell r="AC146">
            <v>0.39908333333333335</v>
          </cell>
          <cell r="AD146">
            <v>7.3339478877551018E-2</v>
          </cell>
          <cell r="AE146" t="str">
            <v>Dinkes</v>
          </cell>
        </row>
        <row r="147">
          <cell r="C147">
            <v>1</v>
          </cell>
          <cell r="D147" t="str">
            <v>01</v>
          </cell>
          <cell r="E147" t="str">
            <v>02</v>
          </cell>
          <cell r="F147">
            <v>19</v>
          </cell>
          <cell r="G147" t="str">
            <v>01</v>
          </cell>
          <cell r="I147" t="str">
            <v>Pengembangan media promosi dan informasi sadar hidup sehat (DBH Pajak Rokok TA. 2015)</v>
          </cell>
          <cell r="J147" t="str">
            <v>Persentase ketersediaan media promosi</v>
          </cell>
          <cell r="K147">
            <v>1</v>
          </cell>
          <cell r="L147">
            <v>2295000000</v>
          </cell>
          <cell r="M147">
            <v>0.33333333333333331</v>
          </cell>
          <cell r="N147">
            <v>156892800</v>
          </cell>
          <cell r="O147">
            <v>0.17</v>
          </cell>
          <cell r="P147">
            <v>183789402</v>
          </cell>
          <cell r="Q147">
            <v>1.4999999999999999E-2</v>
          </cell>
          <cell r="R147">
            <v>13582400</v>
          </cell>
          <cell r="S147">
            <v>6.3E-2</v>
          </cell>
          <cell r="T147">
            <v>29279600</v>
          </cell>
          <cell r="U147">
            <v>0</v>
          </cell>
          <cell r="V147">
            <v>0</v>
          </cell>
          <cell r="W147">
            <v>0</v>
          </cell>
          <cell r="X147">
            <v>0</v>
          </cell>
          <cell r="Y147">
            <v>7.8E-2</v>
          </cell>
          <cell r="Z147">
            <v>42862000</v>
          </cell>
          <cell r="AA147">
            <v>0.41133333333333333</v>
          </cell>
          <cell r="AB147">
            <v>199754800</v>
          </cell>
          <cell r="AC147">
            <v>0.41133333333333333</v>
          </cell>
          <cell r="AD147">
            <v>8.7039128540305016E-2</v>
          </cell>
        </row>
        <row r="148">
          <cell r="C148">
            <v>1</v>
          </cell>
          <cell r="D148" t="str">
            <v>01</v>
          </cell>
          <cell r="E148" t="str">
            <v>02</v>
          </cell>
          <cell r="F148">
            <v>19</v>
          </cell>
          <cell r="G148" t="str">
            <v>06</v>
          </cell>
          <cell r="I148" t="str">
            <v>Usaha kesehatan institusi dan peran serta masyarakat</v>
          </cell>
          <cell r="J148" t="str">
            <v>Jumlah Posyandu Mandiri</v>
          </cell>
          <cell r="K148">
            <v>1</v>
          </cell>
          <cell r="L148">
            <v>2020000000</v>
          </cell>
          <cell r="M148">
            <v>0.33333333333333331</v>
          </cell>
          <cell r="N148">
            <v>177333050</v>
          </cell>
          <cell r="O148">
            <v>0.17</v>
          </cell>
          <cell r="P148">
            <v>132783626</v>
          </cell>
          <cell r="Q148">
            <v>1.2999999999999999E-2</v>
          </cell>
          <cell r="R148">
            <v>5497700</v>
          </cell>
          <cell r="S148">
            <v>6.7000000000000004E-2</v>
          </cell>
          <cell r="T148">
            <v>34141300</v>
          </cell>
          <cell r="U148">
            <v>0</v>
          </cell>
          <cell r="V148">
            <v>0</v>
          </cell>
          <cell r="W148">
            <v>0</v>
          </cell>
          <cell r="X148">
            <v>0</v>
          </cell>
          <cell r="Y148">
            <v>0.08</v>
          </cell>
          <cell r="Z148">
            <v>39639000</v>
          </cell>
          <cell r="AA148">
            <v>0.41333333333333333</v>
          </cell>
          <cell r="AB148">
            <v>216972050</v>
          </cell>
          <cell r="AC148">
            <v>0.41333333333333333</v>
          </cell>
          <cell r="AD148">
            <v>0.10741190594059406</v>
          </cell>
        </row>
        <row r="149">
          <cell r="C149">
            <v>1</v>
          </cell>
          <cell r="D149" t="str">
            <v>01</v>
          </cell>
          <cell r="E149" t="str">
            <v>02</v>
          </cell>
          <cell r="F149">
            <v>19</v>
          </cell>
          <cell r="G149" t="str">
            <v>07</v>
          </cell>
          <cell r="I149" t="str">
            <v>Pembinaan dan Pembentukan Nagari Siaga</v>
          </cell>
          <cell r="J149" t="str">
            <v>- Jumlah Nagari Siaga Aktif yang dibina</v>
          </cell>
          <cell r="K149">
            <v>1</v>
          </cell>
          <cell r="L149">
            <v>710000000</v>
          </cell>
          <cell r="M149">
            <v>0.33333333333333331</v>
          </cell>
          <cell r="N149">
            <v>138379050</v>
          </cell>
          <cell r="O149">
            <v>0.17</v>
          </cell>
          <cell r="P149">
            <v>99195000</v>
          </cell>
          <cell r="Q149">
            <v>2.1999999999999999E-2</v>
          </cell>
          <cell r="R149">
            <v>11105200</v>
          </cell>
          <cell r="S149">
            <v>5.8000000000000003E-2</v>
          </cell>
          <cell r="T149">
            <v>44032400</v>
          </cell>
          <cell r="U149">
            <v>0</v>
          </cell>
          <cell r="V149">
            <v>0</v>
          </cell>
          <cell r="W149">
            <v>0</v>
          </cell>
          <cell r="X149">
            <v>0</v>
          </cell>
          <cell r="Y149">
            <v>0.08</v>
          </cell>
          <cell r="Z149">
            <v>55137600</v>
          </cell>
          <cell r="AA149">
            <v>0.41333333333333333</v>
          </cell>
          <cell r="AB149">
            <v>193516650</v>
          </cell>
          <cell r="AC149">
            <v>0.41333333333333333</v>
          </cell>
          <cell r="AD149">
            <v>0.27255866197183098</v>
          </cell>
        </row>
        <row r="150">
          <cell r="J150" t="str">
            <v>- Jumlah Sertifikasi Nagari Siaga Aktif mandiri</v>
          </cell>
          <cell r="Y150">
            <v>0</v>
          </cell>
          <cell r="Z150">
            <v>0</v>
          </cell>
        </row>
        <row r="151">
          <cell r="C151">
            <v>1</v>
          </cell>
          <cell r="D151" t="str">
            <v>01</v>
          </cell>
          <cell r="E151" t="str">
            <v>02</v>
          </cell>
          <cell r="F151">
            <v>19</v>
          </cell>
          <cell r="G151" t="str">
            <v>08</v>
          </cell>
          <cell r="I151" t="str">
            <v>Pengembangan Sistem Informasi Kesehatan Kabupaten</v>
          </cell>
          <cell r="J151" t="str">
            <v>terpenuhinya data dan profil kesehatan dan program SIKDA dan komunikasi data kesehatan</v>
          </cell>
          <cell r="K151">
            <v>1</v>
          </cell>
          <cell r="L151">
            <v>4775000000</v>
          </cell>
          <cell r="M151">
            <v>0.33333333333333331</v>
          </cell>
          <cell r="N151">
            <v>96041393</v>
          </cell>
          <cell r="O151">
            <v>0.17</v>
          </cell>
          <cell r="P151">
            <v>132841817</v>
          </cell>
          <cell r="Q151">
            <v>5.0000000000000001E-3</v>
          </cell>
          <cell r="R151">
            <v>0</v>
          </cell>
          <cell r="S151">
            <v>0.02</v>
          </cell>
          <cell r="T151">
            <v>12442000</v>
          </cell>
          <cell r="U151">
            <v>0</v>
          </cell>
          <cell r="V151">
            <v>0</v>
          </cell>
          <cell r="W151">
            <v>0</v>
          </cell>
          <cell r="X151">
            <v>0</v>
          </cell>
          <cell r="Y151">
            <v>2.5000000000000001E-2</v>
          </cell>
          <cell r="Z151">
            <v>12442000</v>
          </cell>
          <cell r="AA151">
            <v>0.35833333333333334</v>
          </cell>
          <cell r="AB151">
            <v>108483393</v>
          </cell>
          <cell r="AC151">
            <v>0.35833333333333334</v>
          </cell>
          <cell r="AD151">
            <v>2.2719035183246073E-2</v>
          </cell>
        </row>
        <row r="152">
          <cell r="A152">
            <v>7</v>
          </cell>
          <cell r="B152" t="str">
            <v>Meningkatnya kesehatan keluarga</v>
          </cell>
          <cell r="C152">
            <v>1</v>
          </cell>
          <cell r="D152" t="str">
            <v>01</v>
          </cell>
          <cell r="E152" t="str">
            <v>02</v>
          </cell>
          <cell r="F152" t="str">
            <v>20</v>
          </cell>
          <cell r="I152" t="str">
            <v>Program Perbaikan Gizi Masyarakat</v>
          </cell>
          <cell r="J152" t="str">
            <v>Persentase balita gizi buruk yang mendapat perawatan</v>
          </cell>
          <cell r="K152">
            <v>1</v>
          </cell>
          <cell r="L152">
            <v>2207259000</v>
          </cell>
          <cell r="M152">
            <v>0.33333333333333331</v>
          </cell>
          <cell r="N152">
            <v>292015450</v>
          </cell>
          <cell r="O152">
            <v>0.17</v>
          </cell>
          <cell r="P152">
            <v>724814214</v>
          </cell>
          <cell r="Q152">
            <v>3.5999999999999997E-2</v>
          </cell>
          <cell r="R152">
            <v>67155000</v>
          </cell>
          <cell r="S152">
            <v>3.9E-2</v>
          </cell>
          <cell r="T152">
            <v>301879620</v>
          </cell>
          <cell r="U152">
            <v>0</v>
          </cell>
          <cell r="V152">
            <v>0</v>
          </cell>
          <cell r="W152">
            <v>0</v>
          </cell>
          <cell r="X152">
            <v>0</v>
          </cell>
          <cell r="Y152">
            <v>7.4999999999999997E-2</v>
          </cell>
          <cell r="Z152">
            <v>369034620</v>
          </cell>
          <cell r="AA152">
            <v>0.40833333333333333</v>
          </cell>
          <cell r="AB152">
            <v>661050070</v>
          </cell>
          <cell r="AC152">
            <v>0.40833333333333333</v>
          </cell>
          <cell r="AD152">
            <v>0.29948912655923027</v>
          </cell>
          <cell r="AE152" t="str">
            <v>Dinkes</v>
          </cell>
        </row>
        <row r="153">
          <cell r="C153">
            <v>1</v>
          </cell>
          <cell r="D153" t="str">
            <v>01</v>
          </cell>
          <cell r="E153" t="str">
            <v>02</v>
          </cell>
          <cell r="F153" t="str">
            <v>20</v>
          </cell>
          <cell r="G153" t="str">
            <v>02</v>
          </cell>
          <cell r="I153" t="str">
            <v>pemberian tambahan makanan dan vitamin</v>
          </cell>
          <cell r="J153" t="str">
            <v>Persentase pemberian makanan tambahan bagi balita kurang gizi dan ibu hamil Kurang Energi Koronis (KEK)</v>
          </cell>
          <cell r="K153">
            <v>1</v>
          </cell>
          <cell r="L153">
            <v>756100000</v>
          </cell>
          <cell r="M153">
            <v>0.33333333333333331</v>
          </cell>
          <cell r="N153">
            <v>115425000</v>
          </cell>
          <cell r="O153">
            <v>0.17</v>
          </cell>
          <cell r="P153">
            <v>431052365</v>
          </cell>
          <cell r="Q153">
            <v>0.04</v>
          </cell>
          <cell r="R153">
            <v>4215000</v>
          </cell>
          <cell r="S153">
            <v>4.4999999999999998E-2</v>
          </cell>
          <cell r="T153">
            <v>243706320</v>
          </cell>
          <cell r="U153">
            <v>0</v>
          </cell>
          <cell r="V153">
            <v>0</v>
          </cell>
          <cell r="W153">
            <v>0</v>
          </cell>
          <cell r="X153">
            <v>0</v>
          </cell>
          <cell r="Y153">
            <v>8.4999999999999992E-2</v>
          </cell>
          <cell r="Z153">
            <v>247921320</v>
          </cell>
          <cell r="AA153">
            <v>0.41833333333333333</v>
          </cell>
          <cell r="AB153">
            <v>363346320</v>
          </cell>
          <cell r="AC153">
            <v>0.41833333333333333</v>
          </cell>
          <cell r="AD153">
            <v>0.48055326015077371</v>
          </cell>
        </row>
        <row r="154">
          <cell r="C154">
            <v>1</v>
          </cell>
          <cell r="D154" t="str">
            <v>01</v>
          </cell>
          <cell r="E154" t="str">
            <v>02</v>
          </cell>
          <cell r="F154" t="str">
            <v>20</v>
          </cell>
          <cell r="G154" t="str">
            <v>08</v>
          </cell>
          <cell r="I154" t="str">
            <v>Pemantauan status gizi masyarakat</v>
          </cell>
          <cell r="J154" t="str">
            <v>Persentase balita Gizi buruk</v>
          </cell>
          <cell r="K154">
            <v>0.9</v>
          </cell>
          <cell r="L154">
            <v>724452000</v>
          </cell>
          <cell r="M154">
            <v>0.3</v>
          </cell>
          <cell r="N154">
            <v>71383750</v>
          </cell>
          <cell r="O154">
            <v>0.15</v>
          </cell>
          <cell r="P154">
            <v>182403327</v>
          </cell>
          <cell r="Q154">
            <v>0.05</v>
          </cell>
          <cell r="R154">
            <v>60440000</v>
          </cell>
          <cell r="S154">
            <v>4.4999999999999998E-2</v>
          </cell>
          <cell r="T154">
            <v>40476700</v>
          </cell>
          <cell r="U154">
            <v>0</v>
          </cell>
          <cell r="V154">
            <v>0</v>
          </cell>
          <cell r="W154">
            <v>0</v>
          </cell>
          <cell r="X154">
            <v>0</v>
          </cell>
          <cell r="Y154">
            <v>9.5000000000000001E-2</v>
          </cell>
          <cell r="Z154">
            <v>100916700</v>
          </cell>
          <cell r="AA154">
            <v>0.39500000000000002</v>
          </cell>
          <cell r="AB154">
            <v>172300450</v>
          </cell>
          <cell r="AC154">
            <v>0.43888888888888888</v>
          </cell>
          <cell r="AD154">
            <v>0.23783556398491548</v>
          </cell>
        </row>
        <row r="155">
          <cell r="C155">
            <v>1</v>
          </cell>
          <cell r="D155" t="str">
            <v>01</v>
          </cell>
          <cell r="E155" t="str">
            <v>02</v>
          </cell>
          <cell r="F155" t="str">
            <v>20</v>
          </cell>
          <cell r="G155" t="str">
            <v>09</v>
          </cell>
          <cell r="I155" t="str">
            <v>Pembinaan dan monitoring program gizi masyarakat</v>
          </cell>
          <cell r="J155" t="str">
            <v>Jumlah Puskesmas yang dilakukan monev gizi</v>
          </cell>
          <cell r="K155">
            <v>0.95</v>
          </cell>
          <cell r="L155">
            <v>726707000</v>
          </cell>
          <cell r="M155">
            <v>0.31666666666666665</v>
          </cell>
          <cell r="N155">
            <v>105206700</v>
          </cell>
          <cell r="O155">
            <v>0.158</v>
          </cell>
          <cell r="P155">
            <v>111358522</v>
          </cell>
          <cell r="Q155">
            <v>1.7999999999999999E-2</v>
          </cell>
          <cell r="R155">
            <v>2500000</v>
          </cell>
          <cell r="S155">
            <v>2.7E-2</v>
          </cell>
          <cell r="T155">
            <v>17696600</v>
          </cell>
          <cell r="U155">
            <v>0</v>
          </cell>
          <cell r="V155">
            <v>0</v>
          </cell>
          <cell r="W155">
            <v>0</v>
          </cell>
          <cell r="X155">
            <v>0</v>
          </cell>
          <cell r="Y155">
            <v>4.4999999999999998E-2</v>
          </cell>
          <cell r="Z155">
            <v>20196600</v>
          </cell>
          <cell r="AA155">
            <v>0.36166666666666664</v>
          </cell>
          <cell r="AB155">
            <v>125403300</v>
          </cell>
          <cell r="AC155">
            <v>0.38070175438596487</v>
          </cell>
          <cell r="AD155">
            <v>0.17256377054301114</v>
          </cell>
        </row>
        <row r="156">
          <cell r="A156">
            <v>8</v>
          </cell>
          <cell r="B156" t="str">
            <v>Meningkatnya peran serta masyarakat untuk hidup sehat</v>
          </cell>
          <cell r="C156">
            <v>1</v>
          </cell>
          <cell r="D156" t="str">
            <v>01</v>
          </cell>
          <cell r="E156" t="str">
            <v>02</v>
          </cell>
          <cell r="F156" t="str">
            <v>21</v>
          </cell>
          <cell r="I156" t="str">
            <v>Program Pengembangan Lingkungan Sehat</v>
          </cell>
          <cell r="J156" t="str">
            <v>Persentase Nagari ODF (Open Defication Free)</v>
          </cell>
          <cell r="K156">
            <v>1</v>
          </cell>
          <cell r="L156">
            <v>7067548100</v>
          </cell>
          <cell r="M156">
            <v>0.33333333333333331</v>
          </cell>
          <cell r="N156">
            <v>761992008</v>
          </cell>
          <cell r="O156">
            <v>0.16666666666666666</v>
          </cell>
          <cell r="P156">
            <v>968668679</v>
          </cell>
          <cell r="Q156">
            <v>3.6285714285714289E-2</v>
          </cell>
          <cell r="R156">
            <v>19261125</v>
          </cell>
          <cell r="S156">
            <v>3.1285714285714285E-2</v>
          </cell>
          <cell r="T156">
            <v>134133088</v>
          </cell>
          <cell r="U156">
            <v>0</v>
          </cell>
          <cell r="V156">
            <v>0</v>
          </cell>
          <cell r="W156">
            <v>0</v>
          </cell>
          <cell r="X156">
            <v>0</v>
          </cell>
          <cell r="Y156">
            <v>6.7571428571428574E-2</v>
          </cell>
          <cell r="Z156">
            <v>153394213</v>
          </cell>
          <cell r="AA156">
            <v>0.40090476190476187</v>
          </cell>
          <cell r="AB156">
            <v>915386221</v>
          </cell>
          <cell r="AC156">
            <v>0.40090476190476187</v>
          </cell>
          <cell r="AD156">
            <v>0.12951963086038282</v>
          </cell>
          <cell r="AE156" t="str">
            <v>Dinkes</v>
          </cell>
        </row>
        <row r="157">
          <cell r="C157">
            <v>1</v>
          </cell>
          <cell r="D157" t="str">
            <v>01</v>
          </cell>
          <cell r="E157" t="str">
            <v>02</v>
          </cell>
          <cell r="F157" t="str">
            <v>21</v>
          </cell>
          <cell r="G157" t="str">
            <v>01</v>
          </cell>
          <cell r="I157" t="str">
            <v>Pengkajian pengembangan lingkungan sehat</v>
          </cell>
          <cell r="J157" t="str">
            <v>Jumlah pengawasan, pembinaan, Sanitasi dasar, TTU dan TPM</v>
          </cell>
          <cell r="K157">
            <v>0.97</v>
          </cell>
          <cell r="L157">
            <v>2098352500</v>
          </cell>
          <cell r="M157">
            <v>0.32333333333333331</v>
          </cell>
          <cell r="N157">
            <v>422605586</v>
          </cell>
          <cell r="O157">
            <v>0.16166666666666665</v>
          </cell>
          <cell r="P157">
            <v>459436316</v>
          </cell>
          <cell r="Q157">
            <v>4.1000000000000002E-2</v>
          </cell>
          <cell r="R157">
            <v>4702000</v>
          </cell>
          <cell r="S157">
            <v>1.2E-2</v>
          </cell>
          <cell r="T157">
            <v>7963000</v>
          </cell>
          <cell r="U157">
            <v>0</v>
          </cell>
          <cell r="V157">
            <v>0</v>
          </cell>
          <cell r="W157">
            <v>0</v>
          </cell>
          <cell r="X157">
            <v>0</v>
          </cell>
          <cell r="Y157">
            <v>5.3000000000000005E-2</v>
          </cell>
          <cell r="Z157">
            <v>12665000</v>
          </cell>
          <cell r="AA157">
            <v>0.3763333333333333</v>
          </cell>
          <cell r="AB157">
            <v>435270586</v>
          </cell>
          <cell r="AC157">
            <v>0.38797250859106525</v>
          </cell>
          <cell r="AD157">
            <v>0.20743444487997131</v>
          </cell>
        </row>
        <row r="158">
          <cell r="C158">
            <v>1</v>
          </cell>
          <cell r="D158" t="str">
            <v>01</v>
          </cell>
          <cell r="E158" t="str">
            <v>02</v>
          </cell>
          <cell r="F158" t="str">
            <v>21</v>
          </cell>
          <cell r="G158" t="str">
            <v>08</v>
          </cell>
          <cell r="I158" t="str">
            <v>Pendamping PAMSIMAS</v>
          </cell>
          <cell r="J158" t="str">
            <v>Jumlah Pelatihan Sanitasi Total Berbasis Masyarakat</v>
          </cell>
          <cell r="K158">
            <v>0.85</v>
          </cell>
          <cell r="L158">
            <v>504948000</v>
          </cell>
          <cell r="M158">
            <v>0.28333333333333333</v>
          </cell>
          <cell r="N158">
            <v>36850060</v>
          </cell>
          <cell r="O158">
            <v>0.14166666666666666</v>
          </cell>
          <cell r="P158">
            <v>43019960</v>
          </cell>
          <cell r="Q158">
            <v>4.2000000000000003E-2</v>
          </cell>
          <cell r="R158">
            <v>3018000</v>
          </cell>
          <cell r="S158">
            <v>8.9999999999999993E-3</v>
          </cell>
          <cell r="T158">
            <v>1722500</v>
          </cell>
          <cell r="U158">
            <v>0</v>
          </cell>
          <cell r="V158">
            <v>0</v>
          </cell>
          <cell r="W158">
            <v>0</v>
          </cell>
          <cell r="X158">
            <v>0</v>
          </cell>
          <cell r="Y158">
            <v>5.1000000000000004E-2</v>
          </cell>
          <cell r="Z158">
            <v>4740500</v>
          </cell>
          <cell r="AA158">
            <v>0.33433333333333332</v>
          </cell>
          <cell r="AB158">
            <v>41590560</v>
          </cell>
          <cell r="AC158">
            <v>0.39333333333333331</v>
          </cell>
          <cell r="AD158">
            <v>8.2366025808598115E-2</v>
          </cell>
        </row>
        <row r="159">
          <cell r="C159">
            <v>1</v>
          </cell>
          <cell r="D159" t="str">
            <v>01</v>
          </cell>
          <cell r="E159" t="str">
            <v>02</v>
          </cell>
          <cell r="F159" t="str">
            <v>21</v>
          </cell>
          <cell r="G159" t="str">
            <v>09</v>
          </cell>
          <cell r="I159" t="str">
            <v>Penunjang Program Percepatan Pembangunan Sanitasi Pemukiman (PPSP)</v>
          </cell>
          <cell r="J159" t="str">
            <v>- Jumlah Rumah Sehat yang dipantau dan dibina</v>
          </cell>
          <cell r="K159">
            <v>1</v>
          </cell>
          <cell r="L159">
            <v>448869500</v>
          </cell>
          <cell r="M159">
            <v>0.33333333333333331</v>
          </cell>
          <cell r="N159">
            <v>22881700</v>
          </cell>
          <cell r="O159">
            <v>0.16666666666666666</v>
          </cell>
          <cell r="P159">
            <v>28353434</v>
          </cell>
          <cell r="Q159">
            <v>3.4000000000000002E-2</v>
          </cell>
          <cell r="R159">
            <v>1524000</v>
          </cell>
          <cell r="S159">
            <v>5.0999999999999997E-2</v>
          </cell>
          <cell r="T159">
            <v>11230000</v>
          </cell>
          <cell r="U159">
            <v>0</v>
          </cell>
          <cell r="V159">
            <v>0</v>
          </cell>
          <cell r="W159">
            <v>0</v>
          </cell>
          <cell r="X159">
            <v>0</v>
          </cell>
          <cell r="Y159">
            <v>8.4999999999999992E-2</v>
          </cell>
          <cell r="Z159">
            <v>12754000</v>
          </cell>
          <cell r="AA159">
            <v>0.41833333333333333</v>
          </cell>
          <cell r="AB159">
            <v>35635700</v>
          </cell>
          <cell r="AC159">
            <v>0.41833333333333333</v>
          </cell>
          <cell r="AD159">
            <v>7.9389889489038579E-2</v>
          </cell>
        </row>
        <row r="160">
          <cell r="C160">
            <v>1</v>
          </cell>
          <cell r="D160" t="str">
            <v>01</v>
          </cell>
          <cell r="E160" t="str">
            <v>02</v>
          </cell>
          <cell r="F160" t="str">
            <v>21</v>
          </cell>
          <cell r="G160" t="str">
            <v>10</v>
          </cell>
          <cell r="I160" t="str">
            <v>Pengelolaan dan pengembangan pemeriksaan sanitasi dasar masyarakat</v>
          </cell>
          <cell r="J160" t="str">
            <v>- Jumlah Depot yang diperiksa</v>
          </cell>
          <cell r="K160">
            <v>0.85</v>
          </cell>
          <cell r="L160">
            <v>1227135200</v>
          </cell>
          <cell r="M160">
            <v>0.28333333333333333</v>
          </cell>
          <cell r="N160">
            <v>113720236</v>
          </cell>
          <cell r="O160">
            <v>0.14166666666666666</v>
          </cell>
          <cell r="P160">
            <v>116335379</v>
          </cell>
          <cell r="Q160">
            <v>3.1E-2</v>
          </cell>
          <cell r="R160">
            <v>0</v>
          </cell>
          <cell r="S160">
            <v>5.0000000000000001E-3</v>
          </cell>
          <cell r="T160">
            <v>3211150</v>
          </cell>
          <cell r="U160">
            <v>0</v>
          </cell>
          <cell r="V160">
            <v>0</v>
          </cell>
          <cell r="W160">
            <v>0</v>
          </cell>
          <cell r="X160">
            <v>0</v>
          </cell>
          <cell r="Y160">
            <v>3.5999999999999997E-2</v>
          </cell>
          <cell r="Z160">
            <v>3211150</v>
          </cell>
          <cell r="AA160">
            <v>0.3193333333333333</v>
          </cell>
          <cell r="AB160">
            <v>116931386</v>
          </cell>
          <cell r="AC160">
            <v>0.37568627450980391</v>
          </cell>
          <cell r="AD160">
            <v>9.5288103543928984E-2</v>
          </cell>
        </row>
        <row r="161">
          <cell r="C161">
            <v>1</v>
          </cell>
          <cell r="D161" t="str">
            <v>01</v>
          </cell>
          <cell r="E161" t="str">
            <v>02</v>
          </cell>
          <cell r="F161" t="str">
            <v>21</v>
          </cell>
          <cell r="G161" t="str">
            <v>11</v>
          </cell>
          <cell r="I161" t="str">
            <v>Pelaksanaan Forum Kecamatan dan Kabupaten Sehat dan Kabupaten Sehat</v>
          </cell>
          <cell r="J161" t="str">
            <v>Jumlah Forum Kabupaten Sehat dan Kelompok Kerja Nagari yang dibina</v>
          </cell>
          <cell r="K161">
            <v>0.89</v>
          </cell>
          <cell r="L161">
            <v>812478900</v>
          </cell>
          <cell r="M161">
            <v>0.29666666666666669</v>
          </cell>
          <cell r="N161">
            <v>165934426</v>
          </cell>
          <cell r="O161">
            <v>0.14833333333333334</v>
          </cell>
          <cell r="P161">
            <v>249971767</v>
          </cell>
          <cell r="Q161">
            <v>3.2000000000000001E-2</v>
          </cell>
          <cell r="R161">
            <v>7178125</v>
          </cell>
          <cell r="S161">
            <v>6.8000000000000005E-2</v>
          </cell>
          <cell r="T161">
            <v>102403438</v>
          </cell>
          <cell r="U161">
            <v>0</v>
          </cell>
          <cell r="V161">
            <v>0</v>
          </cell>
          <cell r="W161">
            <v>0</v>
          </cell>
          <cell r="X161">
            <v>0</v>
          </cell>
          <cell r="Y161">
            <v>0.1</v>
          </cell>
          <cell r="Z161">
            <v>109581563</v>
          </cell>
          <cell r="AB161">
            <v>275515989</v>
          </cell>
          <cell r="AC161">
            <v>0</v>
          </cell>
          <cell r="AD161">
            <v>0.33910540815275325</v>
          </cell>
        </row>
        <row r="162">
          <cell r="C162">
            <v>1</v>
          </cell>
          <cell r="D162" t="str">
            <v>01</v>
          </cell>
          <cell r="E162" t="str">
            <v>02</v>
          </cell>
          <cell r="F162">
            <v>21</v>
          </cell>
          <cell r="G162">
            <v>12</v>
          </cell>
          <cell r="I162" t="str">
            <v>Pelayanan Kesehatan Kerja</v>
          </cell>
          <cell r="J162" t="str">
            <v>Jumlah Kelompok UKK yang dibina</v>
          </cell>
          <cell r="K162">
            <v>0.9</v>
          </cell>
          <cell r="L162">
            <v>1032245000</v>
          </cell>
          <cell r="M162">
            <v>0.3</v>
          </cell>
          <cell r="N162">
            <v>0</v>
          </cell>
          <cell r="O162">
            <v>0.15</v>
          </cell>
          <cell r="P162">
            <v>35280582</v>
          </cell>
          <cell r="Q162">
            <v>4.2000000000000003E-2</v>
          </cell>
          <cell r="R162">
            <v>1574000</v>
          </cell>
          <cell r="S162">
            <v>5.6000000000000001E-2</v>
          </cell>
          <cell r="T162">
            <v>2754000</v>
          </cell>
          <cell r="Y162">
            <v>9.8000000000000004E-2</v>
          </cell>
          <cell r="Z162">
            <v>4328000</v>
          </cell>
          <cell r="AA162">
            <v>0.39666666666666672</v>
          </cell>
          <cell r="AB162">
            <v>4328000</v>
          </cell>
          <cell r="AC162">
            <v>0.44074074074074077</v>
          </cell>
          <cell r="AD162">
            <v>4.1928030651637938E-3</v>
          </cell>
        </row>
        <row r="163">
          <cell r="C163">
            <v>1</v>
          </cell>
          <cell r="D163" t="str">
            <v>01</v>
          </cell>
          <cell r="E163" t="str">
            <v>02</v>
          </cell>
          <cell r="F163">
            <v>21</v>
          </cell>
          <cell r="G163">
            <v>13</v>
          </cell>
          <cell r="I163" t="str">
            <v>Pelayanan Kesehatan Olah Raga</v>
          </cell>
          <cell r="J163" t="str">
            <v>Jumlah Pertemuan Kesehatan Olah raga</v>
          </cell>
          <cell r="K163">
            <v>0.9</v>
          </cell>
          <cell r="L163">
            <v>943519000</v>
          </cell>
          <cell r="M163">
            <v>0.3</v>
          </cell>
          <cell r="N163">
            <v>0</v>
          </cell>
          <cell r="O163">
            <v>0.15</v>
          </cell>
          <cell r="P163">
            <v>36271241</v>
          </cell>
          <cell r="Q163">
            <v>3.2000000000000001E-2</v>
          </cell>
          <cell r="R163">
            <v>1265000</v>
          </cell>
          <cell r="S163">
            <v>1.7999999999999999E-2</v>
          </cell>
          <cell r="T163">
            <v>4849000</v>
          </cell>
          <cell r="Y163">
            <v>0.05</v>
          </cell>
          <cell r="Z163">
            <v>6114000</v>
          </cell>
          <cell r="AA163">
            <v>0.39800000000000002</v>
          </cell>
          <cell r="AB163">
            <v>6114000</v>
          </cell>
          <cell r="AC163">
            <v>0.44222222222222224</v>
          </cell>
          <cell r="AD163">
            <v>6.4799966932303429E-3</v>
          </cell>
        </row>
        <row r="164">
          <cell r="A164">
            <v>9</v>
          </cell>
          <cell r="B164" t="str">
            <v>Meningkatnya kesehatan keluarga</v>
          </cell>
          <cell r="C164">
            <v>1</v>
          </cell>
          <cell r="D164" t="str">
            <v>01</v>
          </cell>
          <cell r="E164" t="str">
            <v>02</v>
          </cell>
          <cell r="F164" t="str">
            <v>22</v>
          </cell>
          <cell r="I164" t="str">
            <v>Program Pencegahan dan Penanggulangan Penyakit Menular</v>
          </cell>
          <cell r="J164" t="str">
            <v>Succes Rate TB</v>
          </cell>
          <cell r="K164">
            <v>0.98142857142857143</v>
          </cell>
          <cell r="L164">
            <v>10450960000</v>
          </cell>
          <cell r="M164">
            <v>0.32714285714285712</v>
          </cell>
          <cell r="N164">
            <v>577449879</v>
          </cell>
          <cell r="O164">
            <v>0.16357142857142856</v>
          </cell>
          <cell r="P164">
            <v>902370112</v>
          </cell>
          <cell r="Q164">
            <v>1.7142857142857144E-2</v>
          </cell>
          <cell r="R164">
            <v>49471100</v>
          </cell>
          <cell r="S164">
            <v>3.1857142857142855E-2</v>
          </cell>
          <cell r="T164">
            <v>82971521</v>
          </cell>
          <cell r="U164">
            <v>0</v>
          </cell>
          <cell r="V164">
            <v>0</v>
          </cell>
          <cell r="W164">
            <v>0</v>
          </cell>
          <cell r="X164">
            <v>0</v>
          </cell>
          <cell r="Y164">
            <v>4.9000000000000002E-2</v>
          </cell>
          <cell r="Z164">
            <v>132442621</v>
          </cell>
          <cell r="AA164">
            <v>0.37614285714285711</v>
          </cell>
          <cell r="AB164">
            <v>709892500</v>
          </cell>
          <cell r="AC164">
            <v>0.38326055312954871</v>
          </cell>
          <cell r="AD164">
            <v>6.7926056553656314E-2</v>
          </cell>
          <cell r="AE164" t="str">
            <v>Dinkes</v>
          </cell>
        </row>
        <row r="165">
          <cell r="C165">
            <v>1</v>
          </cell>
          <cell r="D165" t="str">
            <v>01</v>
          </cell>
          <cell r="E165" t="str">
            <v>02</v>
          </cell>
          <cell r="F165" t="str">
            <v>22</v>
          </cell>
          <cell r="G165" t="str">
            <v>01</v>
          </cell>
          <cell r="I165" t="str">
            <v>Penyemprotan/fogging sarang nyamuk</v>
          </cell>
          <cell r="J165" t="str">
            <v xml:space="preserve">terlaksananya fogging focus </v>
          </cell>
          <cell r="K165">
            <v>0.98</v>
          </cell>
          <cell r="L165">
            <v>1875000000</v>
          </cell>
          <cell r="M165">
            <v>0.32666666666666666</v>
          </cell>
          <cell r="N165">
            <v>159828000</v>
          </cell>
          <cell r="O165">
            <v>0.16333333333333333</v>
          </cell>
          <cell r="P165">
            <v>259322423</v>
          </cell>
          <cell r="Q165">
            <v>1.2E-2</v>
          </cell>
          <cell r="R165">
            <v>0</v>
          </cell>
          <cell r="S165">
            <v>2.8000000000000001E-2</v>
          </cell>
          <cell r="T165">
            <v>159000</v>
          </cell>
          <cell r="U165">
            <v>0</v>
          </cell>
          <cell r="V165">
            <v>0</v>
          </cell>
          <cell r="W165">
            <v>0</v>
          </cell>
          <cell r="X165">
            <v>0</v>
          </cell>
          <cell r="Y165">
            <v>0.04</v>
          </cell>
          <cell r="Z165">
            <v>159000</v>
          </cell>
          <cell r="AA165">
            <v>0.36666666666666664</v>
          </cell>
          <cell r="AB165">
            <v>159987000</v>
          </cell>
          <cell r="AC165">
            <v>0.37414965986394555</v>
          </cell>
          <cell r="AD165">
            <v>8.5326399999999997E-2</v>
          </cell>
        </row>
        <row r="166">
          <cell r="C166">
            <v>1</v>
          </cell>
          <cell r="D166" t="str">
            <v>01</v>
          </cell>
          <cell r="E166" t="str">
            <v>02</v>
          </cell>
          <cell r="F166" t="str">
            <v>22</v>
          </cell>
          <cell r="G166" t="str">
            <v>05</v>
          </cell>
          <cell r="I166" t="str">
            <v>Pelayanan pencegahan dan penanggulangan penyakit menular</v>
          </cell>
          <cell r="J166" t="str">
            <v xml:space="preserve">tercegah dan tertanggulanginya penyakit menular pada masyarakat </v>
          </cell>
          <cell r="K166">
            <v>0.98</v>
          </cell>
          <cell r="L166">
            <v>1850000000</v>
          </cell>
          <cell r="M166">
            <v>0.32666666666666666</v>
          </cell>
          <cell r="N166">
            <v>127722364</v>
          </cell>
          <cell r="O166">
            <v>0.16333333333333333</v>
          </cell>
          <cell r="P166">
            <v>167466565</v>
          </cell>
          <cell r="Q166">
            <v>2.5000000000000001E-2</v>
          </cell>
          <cell r="R166">
            <v>17249400</v>
          </cell>
          <cell r="S166">
            <v>1.4999999999999999E-2</v>
          </cell>
          <cell r="T166">
            <v>28731800</v>
          </cell>
          <cell r="U166">
            <v>0</v>
          </cell>
          <cell r="V166">
            <v>0</v>
          </cell>
          <cell r="W166">
            <v>0</v>
          </cell>
          <cell r="X166">
            <v>0</v>
          </cell>
          <cell r="Y166">
            <v>0.04</v>
          </cell>
          <cell r="Z166">
            <v>45981200</v>
          </cell>
          <cell r="AA166">
            <v>0.36666666666666664</v>
          </cell>
          <cell r="AB166">
            <v>173703564</v>
          </cell>
          <cell r="AC166">
            <v>0.37414965986394555</v>
          </cell>
          <cell r="AD166">
            <v>9.3893818378378374E-2</v>
          </cell>
        </row>
        <row r="167">
          <cell r="C167">
            <v>1</v>
          </cell>
          <cell r="D167" t="str">
            <v>01</v>
          </cell>
          <cell r="E167" t="str">
            <v>02</v>
          </cell>
          <cell r="F167" t="str">
            <v>22</v>
          </cell>
          <cell r="G167" t="str">
            <v>06</v>
          </cell>
          <cell r="I167" t="str">
            <v>Pencegahan penularan penyakit endemik/epidemik</v>
          </cell>
          <cell r="J167" t="str">
            <v xml:space="preserve">terlaksananya surveilens aktif dan pengawasan filariasis </v>
          </cell>
          <cell r="K167">
            <v>0.98</v>
          </cell>
          <cell r="L167">
            <v>2295000000</v>
          </cell>
          <cell r="M167">
            <v>0.32666666666666666</v>
          </cell>
          <cell r="N167">
            <v>24368400</v>
          </cell>
          <cell r="O167">
            <v>0.16333333333333333</v>
          </cell>
          <cell r="P167">
            <v>54539451</v>
          </cell>
          <cell r="Q167">
            <v>2.1000000000000001E-2</v>
          </cell>
          <cell r="R167">
            <v>615000</v>
          </cell>
          <cell r="S167">
            <v>5.0000000000000001E-3</v>
          </cell>
          <cell r="T167">
            <v>4653200</v>
          </cell>
          <cell r="U167">
            <v>0</v>
          </cell>
          <cell r="V167">
            <v>0</v>
          </cell>
          <cell r="W167">
            <v>0</v>
          </cell>
          <cell r="X167">
            <v>0</v>
          </cell>
          <cell r="Y167">
            <v>2.6000000000000002E-2</v>
          </cell>
          <cell r="Z167">
            <v>5268200</v>
          </cell>
          <cell r="AA167">
            <v>0.35266666666666668</v>
          </cell>
          <cell r="AB167">
            <v>29636600</v>
          </cell>
          <cell r="AC167">
            <v>0.35986394557823131</v>
          </cell>
          <cell r="AD167">
            <v>1.2913551198257081E-2</v>
          </cell>
        </row>
        <row r="168">
          <cell r="C168">
            <v>1</v>
          </cell>
          <cell r="D168" t="str">
            <v>01</v>
          </cell>
          <cell r="E168" t="str">
            <v>02</v>
          </cell>
          <cell r="F168" t="str">
            <v>22</v>
          </cell>
          <cell r="G168" t="str">
            <v>08</v>
          </cell>
          <cell r="I168" t="str">
            <v>Peningkatan Imunisasi</v>
          </cell>
          <cell r="J168" t="str">
            <v xml:space="preserve">tercegah dan tertanggulanginya penyakit menular pada masyarakat </v>
          </cell>
          <cell r="K168">
            <v>0.98</v>
          </cell>
          <cell r="L168">
            <v>2560960000</v>
          </cell>
          <cell r="M168">
            <v>0.32666666666666666</v>
          </cell>
          <cell r="N168">
            <v>128061415</v>
          </cell>
          <cell r="O168">
            <v>0.16333333333333333</v>
          </cell>
          <cell r="P168">
            <v>175577115</v>
          </cell>
          <cell r="Q168">
            <v>1.2E-2</v>
          </cell>
          <cell r="R168">
            <v>11044700</v>
          </cell>
          <cell r="S168">
            <v>3.0000000000000001E-3</v>
          </cell>
          <cell r="T168">
            <v>8014800</v>
          </cell>
          <cell r="U168">
            <v>0</v>
          </cell>
          <cell r="V168">
            <v>0</v>
          </cell>
          <cell r="W168">
            <v>0</v>
          </cell>
          <cell r="X168">
            <v>0</v>
          </cell>
          <cell r="Y168">
            <v>1.4999999999999999E-2</v>
          </cell>
          <cell r="Z168">
            <v>19059500</v>
          </cell>
          <cell r="AA168">
            <v>0.34166666666666667</v>
          </cell>
          <cell r="AB168">
            <v>147120915</v>
          </cell>
          <cell r="AC168">
            <v>0.34863945578231292</v>
          </cell>
          <cell r="AD168">
            <v>5.7447564585155569E-2</v>
          </cell>
        </row>
        <row r="169">
          <cell r="C169">
            <v>1</v>
          </cell>
          <cell r="D169" t="str">
            <v>01</v>
          </cell>
          <cell r="E169" t="str">
            <v>02</v>
          </cell>
          <cell r="F169" t="str">
            <v>22</v>
          </cell>
          <cell r="G169" t="str">
            <v>09</v>
          </cell>
          <cell r="I169" t="str">
            <v>Peningkatan surveillance epideminologi dan penaggulangan wabah</v>
          </cell>
          <cell r="J169" t="str">
            <v xml:space="preserve">surveillans epidemiologi penyakit menular &amp; penanggulangan wabah di masyarakat </v>
          </cell>
          <cell r="K169">
            <v>1</v>
          </cell>
          <cell r="L169">
            <v>570000000</v>
          </cell>
          <cell r="M169">
            <v>0.33333333333333331</v>
          </cell>
          <cell r="N169">
            <v>62793500</v>
          </cell>
          <cell r="O169">
            <v>0.16666666666666666</v>
          </cell>
          <cell r="P169">
            <v>95056696</v>
          </cell>
          <cell r="Q169">
            <v>1.4E-2</v>
          </cell>
          <cell r="R169">
            <v>7760000</v>
          </cell>
          <cell r="S169">
            <v>5.8000000000000003E-2</v>
          </cell>
          <cell r="T169">
            <v>19937000</v>
          </cell>
          <cell r="U169">
            <v>0</v>
          </cell>
          <cell r="V169">
            <v>0</v>
          </cell>
          <cell r="W169">
            <v>0</v>
          </cell>
          <cell r="X169">
            <v>0</v>
          </cell>
          <cell r="Y169">
            <v>7.2000000000000008E-2</v>
          </cell>
          <cell r="Z169">
            <v>27697000</v>
          </cell>
          <cell r="AA169">
            <v>0.40533333333333332</v>
          </cell>
          <cell r="AB169">
            <v>90490500</v>
          </cell>
          <cell r="AC169">
            <v>0.40533333333333332</v>
          </cell>
          <cell r="AD169">
            <v>0.15875526315789473</v>
          </cell>
        </row>
        <row r="170">
          <cell r="C170">
            <v>1</v>
          </cell>
          <cell r="D170" t="str">
            <v>01</v>
          </cell>
          <cell r="E170" t="str">
            <v>02</v>
          </cell>
          <cell r="F170" t="str">
            <v>22</v>
          </cell>
          <cell r="G170" t="str">
            <v>15</v>
          </cell>
          <cell r="I170" t="str">
            <v>Pemantauan &amp; Penanggulangan Masalah Kesehatan Akibat Bencana/KLB</v>
          </cell>
          <cell r="J170" t="str">
            <v>terpantaunya jumlah kasus penyakit sebelum, saat terjadi KLB/Bencana dan pasca KLB/Bencana</v>
          </cell>
          <cell r="K170">
            <v>0.95</v>
          </cell>
          <cell r="L170">
            <v>725000000</v>
          </cell>
          <cell r="M170">
            <v>0.31666666666666665</v>
          </cell>
          <cell r="N170">
            <v>74676200</v>
          </cell>
          <cell r="O170">
            <v>0.15833333333333333</v>
          </cell>
          <cell r="P170">
            <v>83838651</v>
          </cell>
          <cell r="Q170">
            <v>1.2999999999999999E-2</v>
          </cell>
          <cell r="R170">
            <v>5956000</v>
          </cell>
          <cell r="S170">
            <v>6.2E-2</v>
          </cell>
          <cell r="T170">
            <v>21475721</v>
          </cell>
          <cell r="U170">
            <v>0</v>
          </cell>
          <cell r="V170">
            <v>0</v>
          </cell>
          <cell r="W170">
            <v>0</v>
          </cell>
          <cell r="X170">
            <v>0</v>
          </cell>
          <cell r="Y170">
            <v>7.4999999999999997E-2</v>
          </cell>
          <cell r="Z170">
            <v>27431721</v>
          </cell>
          <cell r="AA170">
            <v>0.39166666666666666</v>
          </cell>
          <cell r="AB170">
            <v>102107921</v>
          </cell>
          <cell r="AC170">
            <v>0.41228070175438597</v>
          </cell>
          <cell r="AD170">
            <v>0.14083851172413794</v>
          </cell>
        </row>
        <row r="171">
          <cell r="C171">
            <v>1</v>
          </cell>
          <cell r="D171" t="str">
            <v>01</v>
          </cell>
          <cell r="E171" t="str">
            <v>02</v>
          </cell>
          <cell r="F171">
            <v>22</v>
          </cell>
          <cell r="G171">
            <v>13</v>
          </cell>
          <cell r="I171" t="str">
            <v xml:space="preserve">Sistem Kewaspadaan dini KLB / Wabah / Bencana </v>
          </cell>
          <cell r="J171" t="str">
            <v xml:space="preserve">- Persentase Sinyal kewaspadaan dini yang direspon                                 '- Persentase Kelengkapan dan ketepatan laporan W2 SKDR </v>
          </cell>
          <cell r="K171">
            <v>1</v>
          </cell>
          <cell r="L171">
            <v>575000000</v>
          </cell>
          <cell r="M171">
            <v>0.33333333333333331</v>
          </cell>
          <cell r="N171">
            <v>0</v>
          </cell>
          <cell r="O171">
            <v>0.16666666666666666</v>
          </cell>
          <cell r="P171">
            <v>66569211</v>
          </cell>
          <cell r="Q171">
            <v>2.3E-2</v>
          </cell>
          <cell r="R171">
            <v>6846000</v>
          </cell>
          <cell r="S171">
            <v>5.1999999999999998E-2</v>
          </cell>
          <cell r="T171">
            <v>11212000</v>
          </cell>
          <cell r="Y171">
            <v>7.4999999999999997E-2</v>
          </cell>
          <cell r="Z171">
            <v>18058000</v>
          </cell>
          <cell r="AC171">
            <v>0</v>
          </cell>
          <cell r="AD171">
            <v>0</v>
          </cell>
        </row>
        <row r="172">
          <cell r="A172">
            <v>10</v>
          </cell>
          <cell r="B172" t="str">
            <v>Meningkatkan kualitas pelayanan bagi masyarakat</v>
          </cell>
          <cell r="C172">
            <v>1</v>
          </cell>
          <cell r="D172" t="str">
            <v>01</v>
          </cell>
          <cell r="E172" t="str">
            <v>02</v>
          </cell>
          <cell r="F172" t="str">
            <v>23</v>
          </cell>
          <cell r="I172" t="str">
            <v>Program Standarisasi Pelayanan Kesehatan</v>
          </cell>
          <cell r="J172" t="str">
            <v>Persentase puskesmas yang terakreditasi (%)</v>
          </cell>
          <cell r="K172">
            <v>1</v>
          </cell>
          <cell r="L172">
            <v>14783911700</v>
          </cell>
          <cell r="M172">
            <v>0.33333333333333331</v>
          </cell>
          <cell r="N172">
            <v>1499238280</v>
          </cell>
          <cell r="O172">
            <v>0.16666666666666666</v>
          </cell>
          <cell r="P172">
            <v>2286918814</v>
          </cell>
          <cell r="Q172">
            <v>3.8699999999999998E-2</v>
          </cell>
          <cell r="R172">
            <v>88610116</v>
          </cell>
          <cell r="S172">
            <v>1.26E-2</v>
          </cell>
          <cell r="T172">
            <v>470813796</v>
          </cell>
          <cell r="U172">
            <v>0</v>
          </cell>
          <cell r="V172">
            <v>0</v>
          </cell>
          <cell r="W172">
            <v>0</v>
          </cell>
          <cell r="X172">
            <v>0</v>
          </cell>
          <cell r="Y172">
            <v>5.1299999999999998E-2</v>
          </cell>
          <cell r="Z172">
            <v>559423912</v>
          </cell>
          <cell r="AA172">
            <v>0.38463333333333333</v>
          </cell>
          <cell r="AB172">
            <v>2058662192</v>
          </cell>
          <cell r="AC172">
            <v>0.38463333333333333</v>
          </cell>
          <cell r="AD172">
            <v>0.1392501682758292</v>
          </cell>
          <cell r="AE172" t="str">
            <v>Dinkes</v>
          </cell>
        </row>
        <row r="173">
          <cell r="C173">
            <v>1</v>
          </cell>
          <cell r="D173" t="str">
            <v>01</v>
          </cell>
          <cell r="E173" t="str">
            <v>02</v>
          </cell>
          <cell r="F173" t="str">
            <v>23</v>
          </cell>
          <cell r="G173" t="str">
            <v>07</v>
          </cell>
          <cell r="I173" t="str">
            <v>Akreditasi, registrasi dan sertifikasi kesehatan</v>
          </cell>
          <cell r="J173" t="str">
            <v>meningkatnya kualitas pelayanan kesehatan dan honorarium penunjang pelaksana kegiatan</v>
          </cell>
          <cell r="K173">
            <v>1</v>
          </cell>
          <cell r="L173">
            <v>3919555000</v>
          </cell>
          <cell r="M173">
            <v>0.33333333333333331</v>
          </cell>
          <cell r="N173">
            <v>450762438</v>
          </cell>
          <cell r="O173">
            <v>0.16666666666666666</v>
          </cell>
          <cell r="P173">
            <v>519246807</v>
          </cell>
          <cell r="Q173">
            <v>3.7999999999999999E-2</v>
          </cell>
          <cell r="R173">
            <v>19733200</v>
          </cell>
          <cell r="S173">
            <v>2E-3</v>
          </cell>
          <cell r="T173">
            <v>170641600</v>
          </cell>
          <cell r="U173">
            <v>0</v>
          </cell>
          <cell r="V173">
            <v>0</v>
          </cell>
          <cell r="W173">
            <v>0</v>
          </cell>
          <cell r="X173">
            <v>0</v>
          </cell>
          <cell r="Y173">
            <v>0.04</v>
          </cell>
          <cell r="Z173">
            <v>190374800</v>
          </cell>
          <cell r="AA173">
            <v>0.37333333333333329</v>
          </cell>
          <cell r="AB173">
            <v>641137238</v>
          </cell>
          <cell r="AC173">
            <v>0.37333333333333329</v>
          </cell>
          <cell r="AD173">
            <v>0.16357398684289415</v>
          </cell>
        </row>
        <row r="174">
          <cell r="C174">
            <v>1</v>
          </cell>
          <cell r="D174" t="str">
            <v>01</v>
          </cell>
          <cell r="E174" t="str">
            <v>02</v>
          </cell>
          <cell r="F174" t="str">
            <v>23</v>
          </cell>
          <cell r="G174" t="str">
            <v>08</v>
          </cell>
          <cell r="I174" t="str">
            <v>Pembinaan dan Evaluasi Monitoring dr/drg/bidan PTT</v>
          </cell>
          <cell r="J174" t="str">
            <v xml:space="preserve">meningkatnya kopetensi tenaga kesehatan </v>
          </cell>
          <cell r="K174">
            <v>1</v>
          </cell>
          <cell r="L174">
            <v>485000000</v>
          </cell>
          <cell r="M174">
            <v>0.33333333333333331</v>
          </cell>
          <cell r="N174">
            <v>55314008</v>
          </cell>
          <cell r="O174">
            <v>0.16666666666666666</v>
          </cell>
          <cell r="P174">
            <v>40091304</v>
          </cell>
          <cell r="Q174">
            <v>4.5400000000000003E-2</v>
          </cell>
          <cell r="R174">
            <v>1819200</v>
          </cell>
          <cell r="S174">
            <v>5.0000000000000001E-3</v>
          </cell>
          <cell r="T174">
            <v>871600</v>
          </cell>
          <cell r="U174">
            <v>0</v>
          </cell>
          <cell r="V174">
            <v>0</v>
          </cell>
          <cell r="W174">
            <v>0</v>
          </cell>
          <cell r="X174">
            <v>0</v>
          </cell>
          <cell r="Y174">
            <v>5.04E-2</v>
          </cell>
          <cell r="Z174">
            <v>2690800</v>
          </cell>
          <cell r="AA174">
            <v>0.38373333333333332</v>
          </cell>
          <cell r="AB174">
            <v>58004808</v>
          </cell>
          <cell r="AC174">
            <v>0.38373333333333332</v>
          </cell>
          <cell r="AD174">
            <v>0.11959754226804124</v>
          </cell>
        </row>
        <row r="175">
          <cell r="C175">
            <v>1</v>
          </cell>
          <cell r="D175" t="str">
            <v>01</v>
          </cell>
          <cell r="E175" t="str">
            <v>02</v>
          </cell>
          <cell r="F175" t="str">
            <v>23</v>
          </cell>
          <cell r="G175" t="str">
            <v>09</v>
          </cell>
          <cell r="I175" t="str">
            <v>Upaya peningkatan kinerja petugas dan institusi kesehatan</v>
          </cell>
          <cell r="J175" t="str">
            <v>kualitas kinerja pelayanan kesehatan masyarakat dan administrasi pelayanan kesehatan masyarakat</v>
          </cell>
          <cell r="K175">
            <v>0.95</v>
          </cell>
          <cell r="L175">
            <v>757321500</v>
          </cell>
          <cell r="M175">
            <v>0.31666666666666665</v>
          </cell>
          <cell r="N175">
            <v>65831950</v>
          </cell>
          <cell r="O175">
            <v>0.15833333333333333</v>
          </cell>
          <cell r="P175">
            <v>71402500</v>
          </cell>
          <cell r="Q175">
            <v>5.0999999999999997E-2</v>
          </cell>
          <cell r="R175">
            <v>3643100</v>
          </cell>
          <cell r="S175">
            <v>5.0000000000000001E-3</v>
          </cell>
          <cell r="T175">
            <v>9952750</v>
          </cell>
          <cell r="U175">
            <v>0</v>
          </cell>
          <cell r="V175">
            <v>0</v>
          </cell>
          <cell r="W175">
            <v>0</v>
          </cell>
          <cell r="X175">
            <v>0</v>
          </cell>
          <cell r="Y175">
            <v>5.5999999999999994E-2</v>
          </cell>
          <cell r="Z175">
            <v>13595850</v>
          </cell>
          <cell r="AA175">
            <v>0.37266666666666665</v>
          </cell>
          <cell r="AB175">
            <v>79427800</v>
          </cell>
          <cell r="AC175">
            <v>0.39228070175438595</v>
          </cell>
          <cell r="AD175">
            <v>0.10487989579062525</v>
          </cell>
        </row>
        <row r="176">
          <cell r="C176">
            <v>1</v>
          </cell>
          <cell r="D176" t="str">
            <v>01</v>
          </cell>
          <cell r="E176" t="str">
            <v>02</v>
          </cell>
          <cell r="F176" t="str">
            <v>23</v>
          </cell>
          <cell r="G176" t="str">
            <v>10</v>
          </cell>
          <cell r="I176" t="str">
            <v>Pengelolaan dan pembinaan tenaga fungsional</v>
          </cell>
          <cell r="J176" t="str">
            <v xml:space="preserve">meningkatnya kinerja fungsional tenaga kesehatan di puskesmas </v>
          </cell>
          <cell r="K176">
            <v>1</v>
          </cell>
          <cell r="L176">
            <v>595000000</v>
          </cell>
          <cell r="M176">
            <v>0.33333333333333331</v>
          </cell>
          <cell r="N176">
            <v>41456000</v>
          </cell>
          <cell r="O176">
            <v>0.16666666666666666</v>
          </cell>
          <cell r="P176">
            <v>32178203</v>
          </cell>
          <cell r="Q176">
            <v>0.1024</v>
          </cell>
          <cell r="R176">
            <v>3294000</v>
          </cell>
          <cell r="S176">
            <v>3.7999999999999999E-2</v>
          </cell>
          <cell r="T176">
            <v>1405800</v>
          </cell>
          <cell r="U176">
            <v>0</v>
          </cell>
          <cell r="V176">
            <v>0</v>
          </cell>
          <cell r="W176">
            <v>0</v>
          </cell>
          <cell r="X176">
            <v>0</v>
          </cell>
          <cell r="Y176">
            <v>0.1404</v>
          </cell>
          <cell r="Z176">
            <v>4699800</v>
          </cell>
          <cell r="AA176">
            <v>0.47373333333333334</v>
          </cell>
          <cell r="AB176">
            <v>46155800</v>
          </cell>
          <cell r="AC176">
            <v>0.47373333333333334</v>
          </cell>
          <cell r="AD176">
            <v>7.7572773109243695E-2</v>
          </cell>
        </row>
        <row r="177">
          <cell r="C177">
            <v>1</v>
          </cell>
          <cell r="D177" t="str">
            <v>01</v>
          </cell>
          <cell r="E177" t="str">
            <v>02</v>
          </cell>
          <cell r="F177" t="str">
            <v>23</v>
          </cell>
          <cell r="G177" t="str">
            <v>11</v>
          </cell>
          <cell r="I177" t="str">
            <v>Akreditasi, Registrasi dan Sertifikasi Kesehatan (DAK non Fisik) Tahun 2016</v>
          </cell>
          <cell r="J177" t="str">
            <v>meningkatnya kualitas pelayanan kesehatan</v>
          </cell>
          <cell r="K177">
            <v>1</v>
          </cell>
          <cell r="L177">
            <v>6027035200</v>
          </cell>
          <cell r="M177">
            <v>0.33333333333333331</v>
          </cell>
          <cell r="N177">
            <v>885873884</v>
          </cell>
          <cell r="O177">
            <v>0.16666666666666666</v>
          </cell>
          <cell r="P177">
            <v>1624000000</v>
          </cell>
          <cell r="Q177">
            <v>3.6999999999999998E-2</v>
          </cell>
          <cell r="R177">
            <v>60120616</v>
          </cell>
          <cell r="S177">
            <v>1.2999999999999999E-2</v>
          </cell>
          <cell r="T177">
            <v>287942046</v>
          </cell>
          <cell r="U177">
            <v>0</v>
          </cell>
          <cell r="V177">
            <v>0</v>
          </cell>
          <cell r="W177">
            <v>0</v>
          </cell>
          <cell r="X177">
            <v>0</v>
          </cell>
          <cell r="Y177">
            <v>4.9999999999999996E-2</v>
          </cell>
          <cell r="Z177">
            <v>348062662</v>
          </cell>
          <cell r="AA177">
            <v>0.3833333333333333</v>
          </cell>
          <cell r="AB177">
            <v>1233936546</v>
          </cell>
          <cell r="AC177">
            <v>0.3833333333333333</v>
          </cell>
          <cell r="AD177">
            <v>0.20473358874691822</v>
          </cell>
        </row>
        <row r="178">
          <cell r="A178">
            <v>11</v>
          </cell>
          <cell r="B178" t="str">
            <v>Meningkatkan kualitas pelayanan bagi masyarakat</v>
          </cell>
          <cell r="C178">
            <v>1</v>
          </cell>
          <cell r="D178" t="str">
            <v>01</v>
          </cell>
          <cell r="E178" t="str">
            <v>02</v>
          </cell>
          <cell r="F178" t="str">
            <v>25</v>
          </cell>
          <cell r="I178" t="str">
            <v>Program pengadaan, peningkatan dan perbaikan sarana dan prasarana puskesmas/ puskesmas pembantu dan jaringannya</v>
          </cell>
          <cell r="J178" t="str">
            <v>Persentase Puskesmas dan Pustu yang memiliki sarana prasarana sesuai standar</v>
          </cell>
          <cell r="K178">
            <v>1</v>
          </cell>
          <cell r="L178">
            <v>107046500000</v>
          </cell>
          <cell r="M178">
            <v>0.33333333333333331</v>
          </cell>
          <cell r="N178">
            <v>10009119676</v>
          </cell>
          <cell r="O178">
            <v>0.16666666666666666</v>
          </cell>
          <cell r="P178">
            <v>12242512030</v>
          </cell>
          <cell r="Q178">
            <v>1.2750000000000001E-2</v>
          </cell>
          <cell r="R178">
            <v>25362900</v>
          </cell>
          <cell r="S178">
            <v>3.6833333333333336E-2</v>
          </cell>
          <cell r="T178">
            <v>1838854650</v>
          </cell>
          <cell r="U178">
            <v>0</v>
          </cell>
          <cell r="V178">
            <v>0</v>
          </cell>
          <cell r="W178">
            <v>0</v>
          </cell>
          <cell r="X178">
            <v>0</v>
          </cell>
          <cell r="Y178">
            <v>4.958333333333334E-2</v>
          </cell>
          <cell r="Z178">
            <v>1864217550</v>
          </cell>
          <cell r="AA178">
            <v>0.38291666666666668</v>
          </cell>
          <cell r="AB178">
            <v>11873337226</v>
          </cell>
          <cell r="AC178">
            <v>0.38291666666666668</v>
          </cell>
          <cell r="AD178">
            <v>0.11091756597366564</v>
          </cell>
          <cell r="AE178" t="str">
            <v>Dinkes</v>
          </cell>
        </row>
        <row r="179">
          <cell r="C179">
            <v>1</v>
          </cell>
          <cell r="D179" t="str">
            <v>01</v>
          </cell>
          <cell r="E179" t="str">
            <v>02</v>
          </cell>
          <cell r="F179" t="str">
            <v>25</v>
          </cell>
          <cell r="G179" t="str">
            <v>04</v>
          </cell>
          <cell r="I179" t="str">
            <v>Pengadaaan puskesmas keliling</v>
          </cell>
          <cell r="J179" t="str">
            <v>Jumlah Pengadaan Puskesmas keliling</v>
          </cell>
          <cell r="K179">
            <v>1</v>
          </cell>
          <cell r="L179">
            <v>4000000000</v>
          </cell>
          <cell r="M179">
            <v>0.33333333333333331</v>
          </cell>
          <cell r="N179">
            <v>806600750</v>
          </cell>
          <cell r="O179">
            <v>0.16666666666666666</v>
          </cell>
          <cell r="P179">
            <v>0</v>
          </cell>
          <cell r="Q179">
            <v>1.2999999999999999E-2</v>
          </cell>
          <cell r="R179">
            <v>0</v>
          </cell>
          <cell r="S179">
            <v>1.4999999999999999E-2</v>
          </cell>
          <cell r="T179">
            <v>0</v>
          </cell>
          <cell r="U179">
            <v>0</v>
          </cell>
          <cell r="W179">
            <v>0</v>
          </cell>
          <cell r="X179">
            <v>0</v>
          </cell>
          <cell r="Y179">
            <v>2.7999999999999997E-2</v>
          </cell>
          <cell r="Z179">
            <v>0</v>
          </cell>
          <cell r="AA179">
            <v>0.36133333333333328</v>
          </cell>
          <cell r="AB179">
            <v>806600750</v>
          </cell>
          <cell r="AC179">
            <v>0.36133333333333328</v>
          </cell>
          <cell r="AD179">
            <v>0.20165018749999999</v>
          </cell>
        </row>
        <row r="180">
          <cell r="C180">
            <v>1</v>
          </cell>
          <cell r="D180" t="str">
            <v>01</v>
          </cell>
          <cell r="E180" t="str">
            <v>02</v>
          </cell>
          <cell r="F180" t="str">
            <v>25</v>
          </cell>
          <cell r="G180" t="str">
            <v>06</v>
          </cell>
          <cell r="I180" t="str">
            <v>Pengadaaan sarana dan prasarana puskesmas (DAK dan Pendamping)</v>
          </cell>
          <cell r="J180" t="str">
            <v>Jumlah Puskesmas yang direhab</v>
          </cell>
          <cell r="K180">
            <v>1</v>
          </cell>
          <cell r="L180">
            <v>30346500000</v>
          </cell>
          <cell r="M180">
            <v>0.33333333333333331</v>
          </cell>
          <cell r="N180">
            <v>1230110000</v>
          </cell>
          <cell r="O180">
            <v>0.16666666666666666</v>
          </cell>
          <cell r="P180">
            <v>6810266000</v>
          </cell>
          <cell r="Q180">
            <v>1.2E-2</v>
          </cell>
          <cell r="R180">
            <v>0</v>
          </cell>
          <cell r="S180">
            <v>5.1999999999999998E-2</v>
          </cell>
          <cell r="T180">
            <v>1083267500</v>
          </cell>
          <cell r="U180">
            <v>0</v>
          </cell>
          <cell r="V180">
            <v>0</v>
          </cell>
          <cell r="W180">
            <v>0</v>
          </cell>
          <cell r="X180">
            <v>0</v>
          </cell>
          <cell r="Y180">
            <v>6.4000000000000001E-2</v>
          </cell>
          <cell r="Z180">
            <v>1083267500</v>
          </cell>
          <cell r="AA180">
            <v>0.39733333333333332</v>
          </cell>
          <cell r="AB180">
            <v>2313377500</v>
          </cell>
          <cell r="AC180">
            <v>0.39733333333333332</v>
          </cell>
          <cell r="AD180">
            <v>7.6232102548893607E-2</v>
          </cell>
        </row>
        <row r="181">
          <cell r="C181">
            <v>1</v>
          </cell>
          <cell r="D181" t="str">
            <v>01</v>
          </cell>
          <cell r="E181" t="str">
            <v>02</v>
          </cell>
          <cell r="F181" t="str">
            <v>25</v>
          </cell>
          <cell r="G181" t="str">
            <v>13</v>
          </cell>
          <cell r="I181" t="str">
            <v>Pemeliharaan rutin/berkala sarana dan prasarana puskesmas</v>
          </cell>
          <cell r="J181" t="str">
            <v>Jumlah Pemeliharaan dan rehabilitasi Sarana dan Prasarana Kesehatan</v>
          </cell>
          <cell r="K181">
            <v>1</v>
          </cell>
          <cell r="L181">
            <v>34000000000</v>
          </cell>
          <cell r="M181">
            <v>0.33333333333333331</v>
          </cell>
          <cell r="N181">
            <v>4517922476</v>
          </cell>
          <cell r="O181">
            <v>0.16666666666666666</v>
          </cell>
          <cell r="P181">
            <v>1583042185</v>
          </cell>
          <cell r="Q181">
            <v>3.0000000000000001E-3</v>
          </cell>
          <cell r="R181">
            <v>4960000</v>
          </cell>
          <cell r="S181">
            <v>3.5000000000000003E-2</v>
          </cell>
          <cell r="T181">
            <v>236573750</v>
          </cell>
          <cell r="U181">
            <v>0</v>
          </cell>
          <cell r="V181">
            <v>0</v>
          </cell>
          <cell r="W181">
            <v>0</v>
          </cell>
          <cell r="X181">
            <v>0</v>
          </cell>
          <cell r="Y181">
            <v>3.8000000000000006E-2</v>
          </cell>
          <cell r="Z181">
            <v>241533750</v>
          </cell>
          <cell r="AA181">
            <v>0.37133333333333329</v>
          </cell>
          <cell r="AB181">
            <v>4759456226</v>
          </cell>
          <cell r="AC181">
            <v>0.37133333333333329</v>
          </cell>
          <cell r="AD181">
            <v>0.13998400664705882</v>
          </cell>
        </row>
        <row r="182">
          <cell r="C182">
            <v>1</v>
          </cell>
          <cell r="D182" t="str">
            <v>01</v>
          </cell>
          <cell r="E182" t="str">
            <v>02</v>
          </cell>
          <cell r="F182" t="str">
            <v>25</v>
          </cell>
          <cell r="G182" t="str">
            <v>26</v>
          </cell>
          <cell r="I182" t="str">
            <v>Pembangunan sarana dan prasarana puskesmas dan jaringannya (Penunjang DAK)</v>
          </cell>
          <cell r="J182" t="str">
            <v>Jumlah Puskesmas yang direhab</v>
          </cell>
          <cell r="K182">
            <v>1</v>
          </cell>
          <cell r="L182">
            <v>4150000000</v>
          </cell>
          <cell r="M182">
            <v>0.33333333333333331</v>
          </cell>
          <cell r="N182">
            <v>461938750</v>
          </cell>
          <cell r="O182">
            <v>0.16666666666666666</v>
          </cell>
          <cell r="P182">
            <v>287956502</v>
          </cell>
          <cell r="Q182">
            <v>2.3E-2</v>
          </cell>
          <cell r="R182">
            <v>20402900</v>
          </cell>
          <cell r="S182">
            <v>2E-3</v>
          </cell>
          <cell r="T182">
            <v>31350000</v>
          </cell>
          <cell r="U182">
            <v>0</v>
          </cell>
          <cell r="V182">
            <v>0</v>
          </cell>
          <cell r="W182">
            <v>0</v>
          </cell>
          <cell r="X182">
            <v>0</v>
          </cell>
          <cell r="Y182">
            <v>2.5000000000000001E-2</v>
          </cell>
          <cell r="Z182">
            <v>51752900</v>
          </cell>
          <cell r="AA182">
            <v>0.35833333333333334</v>
          </cell>
          <cell r="AB182">
            <v>513691650</v>
          </cell>
          <cell r="AC182">
            <v>0.35833333333333334</v>
          </cell>
          <cell r="AD182">
            <v>0.12378112048192771</v>
          </cell>
        </row>
        <row r="183">
          <cell r="C183">
            <v>1</v>
          </cell>
          <cell r="D183" t="str">
            <v>01</v>
          </cell>
          <cell r="E183" t="str">
            <v>02</v>
          </cell>
          <cell r="F183" t="str">
            <v>25</v>
          </cell>
          <cell r="G183" t="str">
            <v>27</v>
          </cell>
          <cell r="I183" t="str">
            <v>Pembangunan Sarana dan Prasarana Puskesmas dan jaringannya (luncuran)</v>
          </cell>
          <cell r="J183" t="str">
            <v>tersedianya sarana dan prasarana pelayanan kesehatan dalam rangka meningkatkan kualitas dan optimalisasi pelkes dan honorarium penunjang pelaksana kegiatan</v>
          </cell>
          <cell r="K183">
            <v>1</v>
          </cell>
          <cell r="L183">
            <v>9850000000</v>
          </cell>
          <cell r="M183">
            <v>0.33333333333333331</v>
          </cell>
          <cell r="N183">
            <v>1251868700</v>
          </cell>
          <cell r="O183">
            <v>0.16666666666666666</v>
          </cell>
          <cell r="P183">
            <v>2728247343</v>
          </cell>
          <cell r="Q183">
            <v>1.4999999999999999E-2</v>
          </cell>
          <cell r="R183">
            <v>0</v>
          </cell>
          <cell r="S183">
            <v>4.2000000000000003E-2</v>
          </cell>
          <cell r="T183">
            <v>487663400</v>
          </cell>
          <cell r="Y183">
            <v>5.7000000000000002E-2</v>
          </cell>
          <cell r="Z183">
            <v>487663400</v>
          </cell>
          <cell r="AA183">
            <v>0.39033333333333331</v>
          </cell>
          <cell r="AB183">
            <v>1739532100</v>
          </cell>
          <cell r="AC183">
            <v>0.39033333333333331</v>
          </cell>
          <cell r="AD183">
            <v>0.17660224365482233</v>
          </cell>
        </row>
        <row r="184">
          <cell r="C184">
            <v>1</v>
          </cell>
          <cell r="D184" t="str">
            <v>01</v>
          </cell>
          <cell r="E184" t="str">
            <v>02</v>
          </cell>
          <cell r="F184" t="str">
            <v>25</v>
          </cell>
          <cell r="G184" t="str">
            <v>30</v>
          </cell>
          <cell r="I184" t="str">
            <v>Pengadaan Alat Kesehatan Puskesmas (DAK)</v>
          </cell>
          <cell r="J184" t="str">
            <v>terpenuhinya kebutuhan pelayanan kesehatan masyarakat</v>
          </cell>
          <cell r="K184">
            <v>1</v>
          </cell>
          <cell r="L184">
            <v>7400000000</v>
          </cell>
          <cell r="M184">
            <v>0.33333333333333331</v>
          </cell>
          <cell r="N184">
            <v>679375000</v>
          </cell>
          <cell r="O184">
            <v>0.16666666666666666</v>
          </cell>
          <cell r="P184">
            <v>833000000</v>
          </cell>
          <cell r="Q184">
            <v>1.4999999999999999E-2</v>
          </cell>
          <cell r="R184">
            <v>0</v>
          </cell>
          <cell r="S184">
            <v>7.4999999999999997E-2</v>
          </cell>
          <cell r="T184">
            <v>0</v>
          </cell>
          <cell r="Y184">
            <v>0.09</v>
          </cell>
          <cell r="Z184">
            <v>0</v>
          </cell>
          <cell r="AA184">
            <v>0.42333333333333334</v>
          </cell>
          <cell r="AB184">
            <v>679375000</v>
          </cell>
          <cell r="AC184">
            <v>0.42333333333333334</v>
          </cell>
          <cell r="AD184">
            <v>9.1807432432432431E-2</v>
          </cell>
        </row>
        <row r="185">
          <cell r="C185">
            <v>1</v>
          </cell>
          <cell r="D185" t="str">
            <v>01</v>
          </cell>
          <cell r="E185" t="str">
            <v>02</v>
          </cell>
          <cell r="F185" t="str">
            <v>25</v>
          </cell>
          <cell r="G185" t="str">
            <v>35</v>
          </cell>
          <cell r="I185" t="str">
            <v>Pengadaaan Instalasi Pengolahan Air Limbah (DAK)</v>
          </cell>
          <cell r="J185" t="str">
            <v>terpenuhinya kebutuhan pelayanan kesehatan masyarakat</v>
          </cell>
          <cell r="K185">
            <v>1</v>
          </cell>
          <cell r="L185">
            <v>13800000000</v>
          </cell>
          <cell r="M185">
            <v>0.33333333333333331</v>
          </cell>
          <cell r="N185">
            <v>1061304000</v>
          </cell>
          <cell r="P185">
            <v>0</v>
          </cell>
          <cell r="Q185">
            <v>0</v>
          </cell>
          <cell r="R185">
            <v>0</v>
          </cell>
          <cell r="S185">
            <v>0</v>
          </cell>
          <cell r="T185">
            <v>0</v>
          </cell>
          <cell r="Y185">
            <v>0</v>
          </cell>
          <cell r="Z185">
            <v>0</v>
          </cell>
          <cell r="AA185">
            <v>0.33333333333333331</v>
          </cell>
          <cell r="AB185">
            <v>1061304000</v>
          </cell>
          <cell r="AC185">
            <v>0.33333333333333331</v>
          </cell>
          <cell r="AD185">
            <v>7.6906086956521735E-2</v>
          </cell>
        </row>
        <row r="186">
          <cell r="A186">
            <v>12</v>
          </cell>
          <cell r="B186" t="str">
            <v>Meningkatkan kualitas pelayanan bagi masyarakat</v>
          </cell>
          <cell r="C186">
            <v>1</v>
          </cell>
          <cell r="D186" t="str">
            <v>01</v>
          </cell>
          <cell r="E186" t="str">
            <v>02</v>
          </cell>
          <cell r="F186" t="str">
            <v>28</v>
          </cell>
          <cell r="I186" t="str">
            <v>Program kemitraan peningkatan pelayanan kesehatan</v>
          </cell>
          <cell r="J186" t="str">
            <v>Persentase penduduk yang memiliki JKN</v>
          </cell>
          <cell r="K186">
            <v>1</v>
          </cell>
          <cell r="L186">
            <v>180684091900</v>
          </cell>
          <cell r="M186">
            <v>0.33333333333333331</v>
          </cell>
          <cell r="N186">
            <v>27794258803</v>
          </cell>
          <cell r="O186">
            <v>0.16600000000000001</v>
          </cell>
          <cell r="P186">
            <v>26319071043</v>
          </cell>
          <cell r="Q186">
            <v>2.0900000000000002E-2</v>
          </cell>
          <cell r="R186">
            <v>31308800</v>
          </cell>
          <cell r="S186">
            <v>4.9500000000000002E-2</v>
          </cell>
          <cell r="T186">
            <v>8851927344</v>
          </cell>
          <cell r="Y186">
            <v>7.0400000000000004E-2</v>
          </cell>
          <cell r="Z186">
            <v>8883236144</v>
          </cell>
          <cell r="AA186">
            <v>0.40373333333333333</v>
          </cell>
          <cell r="AB186">
            <v>36677494947</v>
          </cell>
          <cell r="AC186">
            <v>0.40373333333333333</v>
          </cell>
          <cell r="AD186">
            <v>0.20299238611055609</v>
          </cell>
          <cell r="AE186" t="str">
            <v>Dinkes</v>
          </cell>
        </row>
        <row r="187">
          <cell r="C187">
            <v>1</v>
          </cell>
          <cell r="D187" t="str">
            <v>01</v>
          </cell>
          <cell r="E187" t="str">
            <v>02</v>
          </cell>
          <cell r="F187" t="str">
            <v>28</v>
          </cell>
          <cell r="G187" t="str">
            <v>01</v>
          </cell>
          <cell r="I187" t="str">
            <v>Kemitraan asuransi kesehatan masyarakat</v>
          </cell>
          <cell r="J187" t="str">
            <v xml:space="preserve">terciptanya jaminan  pemeliharaan kesehatan masyarakat </v>
          </cell>
          <cell r="K187">
            <v>1</v>
          </cell>
          <cell r="L187">
            <v>38975000000</v>
          </cell>
          <cell r="M187">
            <v>0.33333333333333331</v>
          </cell>
          <cell r="N187">
            <v>5976329650</v>
          </cell>
          <cell r="O187">
            <v>0.16600000000000001</v>
          </cell>
          <cell r="P187">
            <v>6239263375</v>
          </cell>
          <cell r="Q187">
            <v>2.3E-2</v>
          </cell>
          <cell r="R187">
            <v>9022000</v>
          </cell>
          <cell r="S187">
            <v>5.7000000000000002E-2</v>
          </cell>
          <cell r="T187">
            <v>3072266220</v>
          </cell>
          <cell r="Y187">
            <v>0.08</v>
          </cell>
          <cell r="Z187">
            <v>3081288220</v>
          </cell>
          <cell r="AA187">
            <v>0.41333333333333333</v>
          </cell>
          <cell r="AB187">
            <v>9057617870</v>
          </cell>
          <cell r="AC187">
            <v>0.41333333333333333</v>
          </cell>
          <cell r="AD187">
            <v>0.23239558357921744</v>
          </cell>
        </row>
        <row r="188">
          <cell r="C188">
            <v>1</v>
          </cell>
          <cell r="D188" t="str">
            <v>01</v>
          </cell>
          <cell r="E188" t="str">
            <v>02</v>
          </cell>
          <cell r="F188">
            <v>28</v>
          </cell>
          <cell r="G188" t="str">
            <v>09</v>
          </cell>
          <cell r="I188" t="str">
            <v>Pelayanan gratis di puskesmas dan jaringannya</v>
          </cell>
          <cell r="J188" t="str">
            <v xml:space="preserve">terjaminnya pemeliharaan kesehatan bagi masyarakat </v>
          </cell>
          <cell r="K188">
            <v>0.9</v>
          </cell>
          <cell r="L188">
            <v>4029091900</v>
          </cell>
          <cell r="M188">
            <v>0.3</v>
          </cell>
          <cell r="N188">
            <v>542088528</v>
          </cell>
          <cell r="O188">
            <v>0.15</v>
          </cell>
          <cell r="P188">
            <v>1029807668</v>
          </cell>
          <cell r="Q188">
            <v>2.1600000000000001E-2</v>
          </cell>
          <cell r="R188">
            <v>22286800</v>
          </cell>
          <cell r="S188">
            <v>3.5000000000000003E-2</v>
          </cell>
          <cell r="T188">
            <v>147347450</v>
          </cell>
          <cell r="Y188">
            <v>5.6600000000000004E-2</v>
          </cell>
          <cell r="Z188">
            <v>169634250</v>
          </cell>
          <cell r="AA188">
            <v>0.35659999999999997</v>
          </cell>
          <cell r="AB188">
            <v>711722778</v>
          </cell>
          <cell r="AC188">
            <v>0.3962222222222222</v>
          </cell>
          <cell r="AD188">
            <v>0.17664595290070201</v>
          </cell>
        </row>
        <row r="189">
          <cell r="C189">
            <v>1</v>
          </cell>
          <cell r="D189" t="str">
            <v>01</v>
          </cell>
          <cell r="E189" t="str">
            <v>02</v>
          </cell>
          <cell r="F189">
            <v>28</v>
          </cell>
          <cell r="G189" t="str">
            <v>11</v>
          </cell>
          <cell r="I189" t="str">
            <v>Pelayanan Kesehatan (Kapitasi) Jaminan Kesehatan Nasional (JKN) di Puskesmas</v>
          </cell>
          <cell r="J189" t="str">
            <v xml:space="preserve">terjaminnya pemeliharaan kesehatan bagi masyarakat </v>
          </cell>
          <cell r="K189">
            <v>1</v>
          </cell>
          <cell r="L189">
            <v>123500000000</v>
          </cell>
          <cell r="M189">
            <v>0.33333333333333331</v>
          </cell>
          <cell r="N189">
            <v>20165085838</v>
          </cell>
          <cell r="O189">
            <v>0.16666666666666666</v>
          </cell>
          <cell r="P189">
            <v>17500000000</v>
          </cell>
          <cell r="Q189">
            <v>1.4999999999999999E-2</v>
          </cell>
          <cell r="R189">
            <v>0</v>
          </cell>
          <cell r="S189">
            <v>0.05</v>
          </cell>
          <cell r="T189">
            <v>5104708571</v>
          </cell>
          <cell r="Y189">
            <v>6.5000000000000002E-2</v>
          </cell>
          <cell r="Z189">
            <v>5104708571</v>
          </cell>
          <cell r="AA189">
            <v>0.39833333333333332</v>
          </cell>
          <cell r="AB189">
            <v>25269794409</v>
          </cell>
          <cell r="AC189">
            <v>0.39833333333333332</v>
          </cell>
          <cell r="AD189">
            <v>0.20461371991093116</v>
          </cell>
        </row>
        <row r="190">
          <cell r="C190">
            <v>1</v>
          </cell>
          <cell r="D190" t="str">
            <v>01</v>
          </cell>
          <cell r="E190" t="str">
            <v>02</v>
          </cell>
          <cell r="F190">
            <v>28</v>
          </cell>
          <cell r="G190" t="str">
            <v>12</v>
          </cell>
          <cell r="I190" t="str">
            <v>Pelayanan Kesehatan (Non Kapitasi) Jaminan Kesehatan Nasional (JKN) di Puskesmas</v>
          </cell>
          <cell r="J190" t="str">
            <v xml:space="preserve">terjaminnya pemeliharaan kesehatan bagi masyarakat </v>
          </cell>
          <cell r="K190">
            <v>0.9</v>
          </cell>
          <cell r="L190">
            <v>13580000000</v>
          </cell>
          <cell r="M190">
            <v>0.3</v>
          </cell>
          <cell r="N190">
            <v>1110754787</v>
          </cell>
          <cell r="O190">
            <v>0.15</v>
          </cell>
          <cell r="P190">
            <v>1550000000</v>
          </cell>
          <cell r="Q190">
            <v>2.4E-2</v>
          </cell>
          <cell r="R190">
            <v>0</v>
          </cell>
          <cell r="S190">
            <v>5.6000000000000001E-2</v>
          </cell>
          <cell r="T190">
            <v>527605103</v>
          </cell>
          <cell r="Y190">
            <v>0.08</v>
          </cell>
          <cell r="Z190">
            <v>527605103</v>
          </cell>
          <cell r="AA190">
            <v>0.38</v>
          </cell>
          <cell r="AB190">
            <v>1638359890</v>
          </cell>
          <cell r="AC190">
            <v>0.42222222222222222</v>
          </cell>
          <cell r="AD190">
            <v>0.12064505817378497</v>
          </cell>
        </row>
        <row r="191">
          <cell r="A191">
            <v>13</v>
          </cell>
          <cell r="B191" t="str">
            <v>Meningkatnya Kesehatan Keluarga</v>
          </cell>
          <cell r="C191">
            <v>1</v>
          </cell>
          <cell r="D191" t="str">
            <v>01</v>
          </cell>
          <cell r="E191" t="str">
            <v>02</v>
          </cell>
          <cell r="F191">
            <v>30</v>
          </cell>
          <cell r="I191" t="str">
            <v>Program peningkatan pelayanan kesehatan lansia</v>
          </cell>
          <cell r="J191" t="str">
            <v>Persentase Lansia yang mendapat pelayanan kesehatan</v>
          </cell>
          <cell r="K191">
            <v>0.8</v>
          </cell>
          <cell r="L191">
            <v>535000000</v>
          </cell>
          <cell r="M191">
            <v>0.26666666666666666</v>
          </cell>
          <cell r="N191">
            <v>42569250</v>
          </cell>
          <cell r="O191">
            <v>0.13333333333333333</v>
          </cell>
          <cell r="P191">
            <v>175619042</v>
          </cell>
          <cell r="Q191">
            <v>1.4999999999999999E-2</v>
          </cell>
          <cell r="R191">
            <v>800000</v>
          </cell>
          <cell r="S191">
            <v>6.3E-2</v>
          </cell>
          <cell r="T191">
            <v>14700000</v>
          </cell>
          <cell r="Y191">
            <v>7.8E-2</v>
          </cell>
          <cell r="Z191">
            <v>15500000</v>
          </cell>
          <cell r="AA191">
            <v>0.34466666666666668</v>
          </cell>
          <cell r="AB191">
            <v>58069250</v>
          </cell>
          <cell r="AC191">
            <v>0.43083333333333335</v>
          </cell>
          <cell r="AD191">
            <v>0.10854065420560748</v>
          </cell>
          <cell r="AE191" t="str">
            <v>Dinkes</v>
          </cell>
        </row>
        <row r="192">
          <cell r="C192">
            <v>1</v>
          </cell>
          <cell r="D192" t="str">
            <v>01</v>
          </cell>
          <cell r="E192" t="str">
            <v>02</v>
          </cell>
          <cell r="F192" t="str">
            <v>30</v>
          </cell>
          <cell r="G192" t="str">
            <v>01</v>
          </cell>
          <cell r="I192" t="str">
            <v>Pelayanan pemeliharaan kesehatan</v>
          </cell>
          <cell r="J192" t="str">
            <v>Persentase Lansia yang mendapat pelayanan kesehatan</v>
          </cell>
          <cell r="K192">
            <v>0.8</v>
          </cell>
          <cell r="L192">
            <v>535000000</v>
          </cell>
          <cell r="M192">
            <v>0.26666666666666666</v>
          </cell>
          <cell r="N192">
            <v>42569250</v>
          </cell>
          <cell r="O192">
            <v>0.13333333333333333</v>
          </cell>
          <cell r="P192">
            <v>175619042</v>
          </cell>
          <cell r="Q192">
            <v>1.4999999999999999E-2</v>
          </cell>
          <cell r="R192">
            <v>800000</v>
          </cell>
          <cell r="S192">
            <v>6.3E-2</v>
          </cell>
          <cell r="T192">
            <v>14700000</v>
          </cell>
          <cell r="Y192">
            <v>7.8E-2</v>
          </cell>
          <cell r="Z192">
            <v>15500000</v>
          </cell>
          <cell r="AA192">
            <v>0.34466666666666668</v>
          </cell>
          <cell r="AB192">
            <v>58069250</v>
          </cell>
          <cell r="AC192">
            <v>0.43083333333333335</v>
          </cell>
          <cell r="AD192">
            <v>0.10854065420560748</v>
          </cell>
        </row>
        <row r="193">
          <cell r="A193">
            <v>14</v>
          </cell>
          <cell r="B193" t="str">
            <v>Meningkatnya Kesehatan Keluarga</v>
          </cell>
          <cell r="C193">
            <v>1</v>
          </cell>
          <cell r="D193" t="str">
            <v>01</v>
          </cell>
          <cell r="E193" t="str">
            <v>02</v>
          </cell>
          <cell r="F193" t="str">
            <v>32</v>
          </cell>
          <cell r="I193" t="str">
            <v>Program peningkatan keselamatan ibu melahirkan dan anak</v>
          </cell>
          <cell r="J193" t="str">
            <v>Angka Kematian Ibu dan Angka Kematian Bayi</v>
          </cell>
          <cell r="K193">
            <v>0.91666666666666663</v>
          </cell>
          <cell r="L193">
            <v>21607915700</v>
          </cell>
          <cell r="M193">
            <v>0.30555555555555558</v>
          </cell>
          <cell r="N193">
            <v>452445365</v>
          </cell>
          <cell r="O193">
            <v>0.15277777777777779</v>
          </cell>
          <cell r="P193">
            <v>3258002611</v>
          </cell>
          <cell r="Q193">
            <v>3.5999999999999997E-2</v>
          </cell>
          <cell r="R193">
            <v>12770000</v>
          </cell>
          <cell r="S193">
            <v>0.03</v>
          </cell>
          <cell r="T193">
            <v>82370507</v>
          </cell>
          <cell r="Y193">
            <v>6.6000000000000003E-2</v>
          </cell>
          <cell r="Z193">
            <v>95140507</v>
          </cell>
          <cell r="AA193">
            <v>0.37155555555555558</v>
          </cell>
          <cell r="AB193">
            <v>547585872</v>
          </cell>
          <cell r="AC193">
            <v>0.40533333333333338</v>
          </cell>
          <cell r="AD193">
            <v>2.5341910788739333E-2</v>
          </cell>
          <cell r="AE193" t="str">
            <v>Dinkes</v>
          </cell>
        </row>
        <row r="194">
          <cell r="C194">
            <v>1</v>
          </cell>
          <cell r="D194" t="str">
            <v>01</v>
          </cell>
          <cell r="E194" t="str">
            <v>04</v>
          </cell>
          <cell r="F194" t="str">
            <v>32</v>
          </cell>
          <cell r="G194" t="str">
            <v>04</v>
          </cell>
          <cell r="I194" t="str">
            <v>Usaha Kesehatan Ibu dan Anak</v>
          </cell>
          <cell r="J194" t="str">
            <v>Persentase Pelayanan Kesehatan pada Ibu dan Anak</v>
          </cell>
          <cell r="K194">
            <v>0.9</v>
          </cell>
          <cell r="L194">
            <v>3587915700</v>
          </cell>
          <cell r="M194">
            <v>0.3</v>
          </cell>
          <cell r="N194">
            <v>339707787</v>
          </cell>
          <cell r="O194">
            <v>0.15</v>
          </cell>
          <cell r="P194">
            <v>126036522</v>
          </cell>
          <cell r="Q194">
            <v>3.5999999999999997E-2</v>
          </cell>
          <cell r="R194">
            <v>3525000</v>
          </cell>
          <cell r="S194">
            <v>1.9E-2</v>
          </cell>
          <cell r="T194">
            <v>35818007</v>
          </cell>
          <cell r="Y194">
            <v>5.4999999999999993E-2</v>
          </cell>
          <cell r="Z194">
            <v>39343007</v>
          </cell>
          <cell r="AA194">
            <v>0.35499999999999998</v>
          </cell>
          <cell r="AB194">
            <v>379050794</v>
          </cell>
          <cell r="AC194">
            <v>0.39444444444444443</v>
          </cell>
          <cell r="AD194">
            <v>0.10564651616536029</v>
          </cell>
        </row>
        <row r="195">
          <cell r="C195">
            <v>1</v>
          </cell>
          <cell r="D195" t="str">
            <v>01</v>
          </cell>
          <cell r="E195" t="str">
            <v>04</v>
          </cell>
          <cell r="F195" t="str">
            <v>32</v>
          </cell>
          <cell r="G195" t="str">
            <v>05</v>
          </cell>
          <cell r="I195" t="str">
            <v>Pelayanan kesehatan anak prasekolah dan usia sekolah (Prasekdam Usek)</v>
          </cell>
          <cell r="J195" t="str">
            <v>Jumlah Pelayanan Kesehatan Kelompok Anak Sekolah UKS dan UKGS dan Peduli remaja (PKPR) Kekerasan Terhadap Anak</v>
          </cell>
          <cell r="K195">
            <v>0.95</v>
          </cell>
          <cell r="L195">
            <v>520000000</v>
          </cell>
          <cell r="M195">
            <v>0.31666666666666665</v>
          </cell>
          <cell r="N195">
            <v>66437800</v>
          </cell>
          <cell r="O195">
            <v>0.15833333333333333</v>
          </cell>
          <cell r="P195">
            <v>33086089</v>
          </cell>
          <cell r="Q195">
            <v>2.3E-2</v>
          </cell>
          <cell r="R195">
            <v>0</v>
          </cell>
          <cell r="S195">
            <v>2.8000000000000001E-2</v>
          </cell>
          <cell r="T195">
            <v>0</v>
          </cell>
          <cell r="Y195">
            <v>5.1000000000000004E-2</v>
          </cell>
          <cell r="Z195">
            <v>0</v>
          </cell>
          <cell r="AA195">
            <v>0.36766666666666664</v>
          </cell>
          <cell r="AB195">
            <v>66437800</v>
          </cell>
          <cell r="AC195">
            <v>0.38701754385964909</v>
          </cell>
          <cell r="AD195">
            <v>0.12776499999999999</v>
          </cell>
        </row>
        <row r="196">
          <cell r="C196">
            <v>1</v>
          </cell>
          <cell r="D196" t="str">
            <v>01</v>
          </cell>
          <cell r="E196" t="str">
            <v>04</v>
          </cell>
          <cell r="F196" t="str">
            <v>32</v>
          </cell>
          <cell r="G196" t="str">
            <v>06</v>
          </cell>
          <cell r="I196" t="str">
            <v>Usaha Kesehatan Ibu dan Anak (Jaminan Persalinan) DAK Non Fisik</v>
          </cell>
          <cell r="J196" t="str">
            <v xml:space="preserve">menurunnya angka kematian ibu maternal dan bayi serta anak balita melalui peningkatan upaya kesehatan ibu dan anak </v>
          </cell>
          <cell r="K196">
            <v>0.9</v>
          </cell>
          <cell r="L196">
            <v>17500000000</v>
          </cell>
          <cell r="M196">
            <v>0.3</v>
          </cell>
          <cell r="N196">
            <v>46299778</v>
          </cell>
          <cell r="O196">
            <v>0.15</v>
          </cell>
          <cell r="P196">
            <v>3098880000</v>
          </cell>
          <cell r="Q196">
            <v>1.2999999999999999E-2</v>
          </cell>
          <cell r="R196">
            <v>9245000</v>
          </cell>
          <cell r="S196">
            <v>4.2999999999999997E-2</v>
          </cell>
          <cell r="T196">
            <v>46552500</v>
          </cell>
          <cell r="Y196">
            <v>5.5999999999999994E-2</v>
          </cell>
          <cell r="Z196">
            <v>55797500</v>
          </cell>
          <cell r="AA196">
            <v>0.35599999999999998</v>
          </cell>
          <cell r="AB196">
            <v>102097278</v>
          </cell>
          <cell r="AC196">
            <v>0.39555555555555555</v>
          </cell>
          <cell r="AD196">
            <v>5.8341301714285717E-3</v>
          </cell>
        </row>
        <row r="197">
          <cell r="A197">
            <v>15</v>
          </cell>
          <cell r="B197" t="str">
            <v>Meningkatnya kesehatan keluarga</v>
          </cell>
          <cell r="C197">
            <v>1</v>
          </cell>
          <cell r="D197" t="str">
            <v>01</v>
          </cell>
          <cell r="E197" t="str">
            <v>02</v>
          </cell>
          <cell r="F197" t="str">
            <v>33</v>
          </cell>
          <cell r="I197" t="str">
            <v>Program Pencegahan dan Penanggulangan Penyakit Tidak Menular</v>
          </cell>
          <cell r="J197" t="str">
            <v>Persentase Nagari dengan Posbindu PTM</v>
          </cell>
          <cell r="K197">
            <v>0.7</v>
          </cell>
          <cell r="L197">
            <v>3748186500</v>
          </cell>
          <cell r="M197">
            <v>0.21666666666666665</v>
          </cell>
          <cell r="N197">
            <v>323701947</v>
          </cell>
          <cell r="O197">
            <v>0.13124999999999998</v>
          </cell>
          <cell r="P197">
            <v>355653487</v>
          </cell>
          <cell r="Q197">
            <v>2.325E-2</v>
          </cell>
          <cell r="R197">
            <v>22555100</v>
          </cell>
          <cell r="S197">
            <v>1.7750000000000002E-2</v>
          </cell>
          <cell r="T197">
            <v>25601600</v>
          </cell>
          <cell r="Y197">
            <v>4.1000000000000002E-2</v>
          </cell>
          <cell r="Z197">
            <v>48156700</v>
          </cell>
          <cell r="AA197">
            <v>0.25766666666666665</v>
          </cell>
          <cell r="AB197">
            <v>371858647</v>
          </cell>
          <cell r="AC197">
            <v>0.36809523809523809</v>
          </cell>
          <cell r="AD197">
            <v>9.9210283959989723E-2</v>
          </cell>
          <cell r="AE197" t="str">
            <v>Dinkes</v>
          </cell>
        </row>
        <row r="198">
          <cell r="C198">
            <v>1</v>
          </cell>
          <cell r="D198" t="str">
            <v>01</v>
          </cell>
          <cell r="E198" t="str">
            <v>02</v>
          </cell>
          <cell r="F198" t="str">
            <v>33</v>
          </cell>
          <cell r="G198" t="str">
            <v>01</v>
          </cell>
          <cell r="I198" t="str">
            <v>Pengendalian dan Pencegahan Penyakit Tidak Menular (PTM) (DBH Pajak Rokok TA. 2015)</v>
          </cell>
          <cell r="J198" t="str">
            <v>Jumlah pencegahan dan pengendalian Penyakit tidak menular</v>
          </cell>
          <cell r="K198">
            <v>0.6</v>
          </cell>
          <cell r="L198">
            <v>1160902500</v>
          </cell>
          <cell r="M198">
            <v>0.19999999999999998</v>
          </cell>
          <cell r="N198">
            <v>87380250</v>
          </cell>
          <cell r="O198">
            <v>9.9999999999999992E-2</v>
          </cell>
          <cell r="P198">
            <v>135522627</v>
          </cell>
          <cell r="Q198">
            <v>2.1000000000000001E-2</v>
          </cell>
          <cell r="R198">
            <v>3410200</v>
          </cell>
          <cell r="S198">
            <v>5.0000000000000001E-3</v>
          </cell>
          <cell r="T198">
            <v>11494000</v>
          </cell>
          <cell r="Y198">
            <v>2.6000000000000002E-2</v>
          </cell>
          <cell r="Z198">
            <v>14904200</v>
          </cell>
          <cell r="AA198">
            <v>0.22599999999999998</v>
          </cell>
          <cell r="AB198">
            <v>102284450</v>
          </cell>
          <cell r="AC198">
            <v>0.37666666666666665</v>
          </cell>
          <cell r="AD198">
            <v>8.8107700689765076E-2</v>
          </cell>
        </row>
        <row r="199">
          <cell r="C199">
            <v>1</v>
          </cell>
          <cell r="D199" t="str">
            <v>01</v>
          </cell>
          <cell r="E199" t="str">
            <v>02</v>
          </cell>
          <cell r="F199" t="str">
            <v>33</v>
          </cell>
          <cell r="G199" t="str">
            <v>03</v>
          </cell>
          <cell r="I199" t="str">
            <v>Pemantauan dan Penanggulangan Masalah Kesehatan Matra</v>
          </cell>
          <cell r="J199" t="str">
            <v>Jumlah Puskesmas yang melaksanakan pelayanan kesehatan Matra</v>
          </cell>
          <cell r="K199">
            <v>0.6</v>
          </cell>
          <cell r="L199">
            <v>1475000000</v>
          </cell>
          <cell r="M199">
            <v>0.19999999999999998</v>
          </cell>
          <cell r="N199">
            <v>67584500</v>
          </cell>
          <cell r="O199">
            <v>9.9999999999999992E-2</v>
          </cell>
          <cell r="P199">
            <v>50893076</v>
          </cell>
          <cell r="Q199">
            <v>2.5000000000000001E-2</v>
          </cell>
          <cell r="R199">
            <v>7004700</v>
          </cell>
          <cell r="S199">
            <v>3.5000000000000003E-2</v>
          </cell>
          <cell r="T199">
            <v>3507300</v>
          </cell>
          <cell r="Y199">
            <v>6.0000000000000005E-2</v>
          </cell>
          <cell r="Z199">
            <v>10512000</v>
          </cell>
          <cell r="AA199">
            <v>0.26</v>
          </cell>
          <cell r="AB199">
            <v>78096500</v>
          </cell>
          <cell r="AC199">
            <v>0.43333333333333335</v>
          </cell>
          <cell r="AD199">
            <v>5.2946779661016949E-2</v>
          </cell>
        </row>
        <row r="200">
          <cell r="C200">
            <v>1</v>
          </cell>
          <cell r="D200" t="str">
            <v>01</v>
          </cell>
          <cell r="E200" t="str">
            <v>02</v>
          </cell>
          <cell r="F200">
            <v>33</v>
          </cell>
          <cell r="G200" t="str">
            <v>02</v>
          </cell>
          <cell r="I200" t="str">
            <v>Deteksi Dini dan Pengendalian Penyakit akibat Rokok (DBH Pajak Rokok)</v>
          </cell>
          <cell r="J200" t="str">
            <v>Terlaksananya deteksi dini dan Pengendalian akibat Rokok (DBH Pajak Rokok)</v>
          </cell>
          <cell r="K200">
            <v>0.75</v>
          </cell>
          <cell r="L200">
            <v>647284000</v>
          </cell>
          <cell r="M200">
            <v>0.25</v>
          </cell>
          <cell r="N200">
            <v>168737197</v>
          </cell>
          <cell r="O200">
            <v>0.125</v>
          </cell>
          <cell r="P200">
            <v>96378306</v>
          </cell>
          <cell r="Q200">
            <v>2.3E-2</v>
          </cell>
          <cell r="R200">
            <v>3649000</v>
          </cell>
          <cell r="S200">
            <v>2E-3</v>
          </cell>
          <cell r="T200">
            <v>10600300</v>
          </cell>
          <cell r="Y200">
            <v>2.5000000000000001E-2</v>
          </cell>
          <cell r="Z200">
            <v>14249300</v>
          </cell>
          <cell r="AA200">
            <v>0.27500000000000002</v>
          </cell>
          <cell r="AB200">
            <v>182986497</v>
          </cell>
          <cell r="AC200">
            <v>0.3666666666666667</v>
          </cell>
          <cell r="AD200">
            <v>0.28269893431631249</v>
          </cell>
        </row>
        <row r="201">
          <cell r="C201">
            <v>1</v>
          </cell>
          <cell r="D201" t="str">
            <v>01</v>
          </cell>
          <cell r="E201" t="str">
            <v>02</v>
          </cell>
          <cell r="F201">
            <v>33</v>
          </cell>
          <cell r="G201" t="str">
            <v>04</v>
          </cell>
          <cell r="I201" t="str">
            <v>Pelayanan Kesehatan Orang Dengan Gangguan Jiwa (ODGJ) Berat</v>
          </cell>
          <cell r="J201" t="str">
            <v>Jumlah ODGJ yang dilayani</v>
          </cell>
          <cell r="K201">
            <v>1</v>
          </cell>
          <cell r="L201">
            <v>465000000</v>
          </cell>
          <cell r="O201">
            <v>0.2</v>
          </cell>
          <cell r="P201">
            <v>72859478</v>
          </cell>
          <cell r="Q201">
            <v>2.4E-2</v>
          </cell>
          <cell r="R201">
            <v>8491200</v>
          </cell>
          <cell r="S201">
            <v>2.9000000000000001E-2</v>
          </cell>
          <cell r="T201">
            <v>3772000</v>
          </cell>
          <cell r="Y201">
            <v>5.3000000000000005E-2</v>
          </cell>
          <cell r="Z201">
            <v>12263200</v>
          </cell>
          <cell r="AA201">
            <v>5.3000000000000005E-2</v>
          </cell>
          <cell r="AB201">
            <v>12263200</v>
          </cell>
          <cell r="AC201">
            <v>5.3000000000000005E-2</v>
          </cell>
          <cell r="AD201">
            <v>2.6372473118279571E-2</v>
          </cell>
        </row>
        <row r="202">
          <cell r="A202">
            <v>16</v>
          </cell>
          <cell r="B202" t="str">
            <v>Meningkatkan kualitas pelayanan bagi masyarakat</v>
          </cell>
          <cell r="C202" t="str">
            <v>02</v>
          </cell>
          <cell r="D202">
            <v>1</v>
          </cell>
          <cell r="E202" t="str">
            <v>01</v>
          </cell>
          <cell r="F202" t="str">
            <v>02</v>
          </cell>
          <cell r="G202">
            <v>38</v>
          </cell>
          <cell r="I202" t="str">
            <v>Program Peningkatan Sarana pelayanan Kesehatan Rumah Sakit</v>
          </cell>
          <cell r="J202" t="str">
            <v>Persentase pelayanan kesehatan masyarakat rawat jalan dan inap (%)</v>
          </cell>
          <cell r="K202">
            <v>0.9</v>
          </cell>
          <cell r="L202">
            <v>86500000000</v>
          </cell>
          <cell r="M202">
            <v>0.3</v>
          </cell>
          <cell r="N202">
            <v>4430025584</v>
          </cell>
          <cell r="O202">
            <v>0.15</v>
          </cell>
          <cell r="P202">
            <v>3000000000</v>
          </cell>
          <cell r="Q202">
            <v>2.5000000000000001E-2</v>
          </cell>
          <cell r="R202">
            <v>0</v>
          </cell>
          <cell r="S202">
            <v>6.0999999999999999E-2</v>
          </cell>
          <cell r="T202">
            <v>527645334</v>
          </cell>
          <cell r="Y202">
            <v>8.5999999999999993E-2</v>
          </cell>
          <cell r="Z202">
            <v>527645334</v>
          </cell>
          <cell r="AA202">
            <v>0.38600000000000001</v>
          </cell>
          <cell r="AB202">
            <v>4957670918</v>
          </cell>
          <cell r="AC202">
            <v>0.42888888888888888</v>
          </cell>
          <cell r="AD202">
            <v>5.7314114658959539E-2</v>
          </cell>
          <cell r="AE202" t="str">
            <v>Dinkes</v>
          </cell>
        </row>
        <row r="203">
          <cell r="C203">
            <v>1</v>
          </cell>
          <cell r="D203" t="str">
            <v>01</v>
          </cell>
          <cell r="E203" t="str">
            <v>02</v>
          </cell>
          <cell r="F203">
            <v>16</v>
          </cell>
          <cell r="G203" t="str">
            <v>33</v>
          </cell>
          <cell r="I203" t="str">
            <v>Biaya operasional RSU Pratama Tapan</v>
          </cell>
          <cell r="J203" t="str">
            <v>Persentase Rujukan dari Pelayanan Primer ke Pelayanan Sekunder</v>
          </cell>
          <cell r="K203">
            <v>0.9</v>
          </cell>
          <cell r="L203">
            <v>86500000000</v>
          </cell>
          <cell r="M203">
            <v>0.3</v>
          </cell>
          <cell r="N203">
            <v>4430025584</v>
          </cell>
          <cell r="O203">
            <v>0.15</v>
          </cell>
          <cell r="P203">
            <v>3000000000</v>
          </cell>
          <cell r="Q203">
            <v>2.5000000000000001E-2</v>
          </cell>
          <cell r="R203">
            <v>0</v>
          </cell>
          <cell r="S203">
            <v>6.0999999999999999E-2</v>
          </cell>
          <cell r="T203">
            <v>527645334</v>
          </cell>
          <cell r="Y203">
            <v>8.5999999999999993E-2</v>
          </cell>
          <cell r="Z203">
            <v>527645334</v>
          </cell>
          <cell r="AA203">
            <v>0.38600000000000001</v>
          </cell>
          <cell r="AB203">
            <v>4957670918</v>
          </cell>
          <cell r="AC203">
            <v>0.42888888888888888</v>
          </cell>
          <cell r="AD203">
            <v>5.7314114658959539E-2</v>
          </cell>
        </row>
        <row r="204">
          <cell r="A204" t="str">
            <v xml:space="preserve">TOTAL RATA-RATA CAPAIAN KINERJA DAN ANGGARAN DARI SELURUH PROGRAM </v>
          </cell>
          <cell r="AC204">
            <v>0.46123424418316983</v>
          </cell>
          <cell r="AD204">
            <v>0.12862056881250689</v>
          </cell>
        </row>
        <row r="205">
          <cell r="A205" t="str">
            <v>PERINGKAT KINERJA DARI SELURUH PROGRAM</v>
          </cell>
          <cell r="AC205" t="str">
            <v>SR</v>
          </cell>
          <cell r="AD205" t="str">
            <v>SR</v>
          </cell>
        </row>
        <row r="206">
          <cell r="A206" t="str">
            <v>RSUD M. ZEIN PAINAN</v>
          </cell>
          <cell r="L206">
            <v>409800898000</v>
          </cell>
          <cell r="N206">
            <v>60928788000</v>
          </cell>
          <cell r="P206">
            <v>54649435000</v>
          </cell>
          <cell r="R206">
            <v>9802086000</v>
          </cell>
          <cell r="T206">
            <v>17374518</v>
          </cell>
          <cell r="Z206">
            <v>9819460518</v>
          </cell>
          <cell r="AB206">
            <v>70748248518</v>
          </cell>
        </row>
        <row r="207">
          <cell r="A207">
            <v>1</v>
          </cell>
          <cell r="C207">
            <v>1</v>
          </cell>
          <cell r="D207" t="str">
            <v>01</v>
          </cell>
          <cell r="E207" t="str">
            <v>02</v>
          </cell>
          <cell r="F207">
            <v>2</v>
          </cell>
          <cell r="G207">
            <v>34</v>
          </cell>
          <cell r="I207" t="str">
            <v>Program Peningkatan Mutu Pelayanan Kesehatan BLUD</v>
          </cell>
          <cell r="J207" t="str">
            <v>Persentase kemampuan rumah sakit dalam pemenuhan kebutuhan operasional (%)</v>
          </cell>
          <cell r="K207">
            <v>1</v>
          </cell>
          <cell r="L207">
            <v>364250898000</v>
          </cell>
          <cell r="M207">
            <v>0.83330000000000004</v>
          </cell>
          <cell r="N207">
            <v>48114193000</v>
          </cell>
          <cell r="O207">
            <v>0.1</v>
          </cell>
          <cell r="P207">
            <v>50270900000</v>
          </cell>
          <cell r="Q207">
            <v>0.15</v>
          </cell>
          <cell r="R207">
            <v>9802086000</v>
          </cell>
          <cell r="S207">
            <v>0.2</v>
          </cell>
          <cell r="T207">
            <v>17374518</v>
          </cell>
          <cell r="Y207">
            <v>0.35</v>
          </cell>
          <cell r="Z207">
            <v>9819460518</v>
          </cell>
          <cell r="AA207">
            <v>1.1833</v>
          </cell>
          <cell r="AB207">
            <v>57933653518</v>
          </cell>
          <cell r="AC207">
            <v>1.1833</v>
          </cell>
          <cell r="AD207">
            <v>0.15904875962172646</v>
          </cell>
          <cell r="AE207" t="str">
            <v>RSUD Dr. M. Zein Painan</v>
          </cell>
        </row>
        <row r="208">
          <cell r="B208" t="str">
            <v>Capaian Akreditasi</v>
          </cell>
          <cell r="C208">
            <v>1</v>
          </cell>
          <cell r="D208" t="str">
            <v>01</v>
          </cell>
          <cell r="E208" t="str">
            <v>02</v>
          </cell>
          <cell r="F208" t="str">
            <v>02</v>
          </cell>
          <cell r="G208">
            <v>34</v>
          </cell>
          <cell r="H208" t="str">
            <v>01</v>
          </cell>
          <cell r="I208" t="str">
            <v>Kegiatan penyediaan Kebutuhan Pelayanan BLUD</v>
          </cell>
          <cell r="J208" t="str">
            <v>% Penyediaan Kebutuhan BLUD</v>
          </cell>
          <cell r="K208">
            <v>1</v>
          </cell>
          <cell r="L208">
            <v>364250898000</v>
          </cell>
          <cell r="M208">
            <v>0.83330000000000004</v>
          </cell>
          <cell r="N208">
            <v>48114193000</v>
          </cell>
          <cell r="O208">
            <v>0.1</v>
          </cell>
          <cell r="P208">
            <v>50270900000</v>
          </cell>
          <cell r="Q208">
            <v>0.15</v>
          </cell>
          <cell r="R208">
            <v>9802086000</v>
          </cell>
          <cell r="S208">
            <v>0.2</v>
          </cell>
          <cell r="T208">
            <v>17374518</v>
          </cell>
          <cell r="Y208">
            <v>0.35</v>
          </cell>
          <cell r="Z208">
            <v>9819460518</v>
          </cell>
          <cell r="AA208">
            <v>1.1833</v>
          </cell>
          <cell r="AB208">
            <v>57933653518</v>
          </cell>
          <cell r="AC208">
            <v>1.1833</v>
          </cell>
          <cell r="AD208">
            <v>0.15904875962172646</v>
          </cell>
        </row>
        <row r="209">
          <cell r="A209">
            <v>2</v>
          </cell>
          <cell r="C209">
            <v>1</v>
          </cell>
          <cell r="D209" t="str">
            <v>01</v>
          </cell>
          <cell r="E209" t="str">
            <v>02</v>
          </cell>
          <cell r="F209" t="str">
            <v>02</v>
          </cell>
          <cell r="G209">
            <v>16</v>
          </cell>
          <cell r="I209" t="str">
            <v>Program Upaya Kesehatan Masyarakat</v>
          </cell>
          <cell r="J209" t="str">
            <v>Jumlah Masyarakat / Pasien bermasalah yanng mendapatkan pelayanan</v>
          </cell>
          <cell r="K209">
            <v>180</v>
          </cell>
          <cell r="L209">
            <v>1000000000</v>
          </cell>
          <cell r="M209">
            <v>42.05</v>
          </cell>
          <cell r="N209">
            <v>125315000</v>
          </cell>
          <cell r="O209">
            <v>30</v>
          </cell>
          <cell r="P209">
            <v>150000000</v>
          </cell>
          <cell r="Q209">
            <v>18</v>
          </cell>
          <cell r="S209">
            <v>35</v>
          </cell>
          <cell r="Y209">
            <v>53</v>
          </cell>
          <cell r="Z209">
            <v>0</v>
          </cell>
          <cell r="AA209">
            <v>95.05</v>
          </cell>
          <cell r="AB209">
            <v>125315000</v>
          </cell>
          <cell r="AC209">
            <v>0.5280555555555555</v>
          </cell>
          <cell r="AD209">
            <v>0.12531500000000001</v>
          </cell>
          <cell r="AE209" t="str">
            <v>RSUD Dr. M. Zein Painan</v>
          </cell>
        </row>
        <row r="210">
          <cell r="C210">
            <v>1</v>
          </cell>
          <cell r="D210" t="str">
            <v>01</v>
          </cell>
          <cell r="E210" t="str">
            <v>02</v>
          </cell>
          <cell r="F210" t="str">
            <v>02</v>
          </cell>
          <cell r="G210">
            <v>16</v>
          </cell>
          <cell r="H210">
            <v>11</v>
          </cell>
          <cell r="I210" t="str">
            <v>Kegiatan Peningkatan dan Penanggulangan Masalah Kesehatan</v>
          </cell>
          <cell r="J210" t="str">
            <v>Jumlah pasien Miskin / Bermasalah yang terlayani</v>
          </cell>
          <cell r="K210">
            <v>180</v>
          </cell>
          <cell r="L210">
            <v>1000000000</v>
          </cell>
          <cell r="M210">
            <v>42.05</v>
          </cell>
          <cell r="N210">
            <v>125315000</v>
          </cell>
          <cell r="O210">
            <v>30</v>
          </cell>
          <cell r="P210">
            <v>150000000</v>
          </cell>
          <cell r="Q210">
            <v>18</v>
          </cell>
          <cell r="S210">
            <v>35</v>
          </cell>
          <cell r="Y210">
            <v>53</v>
          </cell>
          <cell r="Z210">
            <v>0</v>
          </cell>
          <cell r="AA210">
            <v>95.05</v>
          </cell>
          <cell r="AB210">
            <v>125315000</v>
          </cell>
          <cell r="AC210">
            <v>0.5280555555555555</v>
          </cell>
          <cell r="AD210">
            <v>0.12531500000000001</v>
          </cell>
        </row>
        <row r="211">
          <cell r="A211">
            <v>3</v>
          </cell>
          <cell r="C211">
            <v>1</v>
          </cell>
          <cell r="D211" t="str">
            <v>02</v>
          </cell>
          <cell r="E211" t="str">
            <v>02</v>
          </cell>
          <cell r="F211" t="str">
            <v>01</v>
          </cell>
          <cell r="G211">
            <v>26</v>
          </cell>
          <cell r="I211" t="str">
            <v>Program Pengadaan, Peningkatan sarana dan prasarana rumah sakit/Rumah sakit jiwa/Rumah sakit Paru-paru/rumah sakit Mata</v>
          </cell>
          <cell r="J211" t="str">
            <v>Persentase pemenuhan cakupan layanan RSUD (%)</v>
          </cell>
          <cell r="K211">
            <v>1</v>
          </cell>
          <cell r="L211">
            <v>44550000000</v>
          </cell>
          <cell r="M211">
            <v>0.78280000000000005</v>
          </cell>
          <cell r="N211">
            <v>12689280000</v>
          </cell>
          <cell r="O211">
            <v>0.21719999999999998</v>
          </cell>
          <cell r="P211">
            <v>4228535000</v>
          </cell>
          <cell r="Q211">
            <v>5.4299999999999994E-2</v>
          </cell>
          <cell r="R211">
            <v>0</v>
          </cell>
          <cell r="Y211">
            <v>5.4299999999999994E-2</v>
          </cell>
          <cell r="Z211">
            <v>0</v>
          </cell>
          <cell r="AA211">
            <v>0.83710000000000007</v>
          </cell>
          <cell r="AB211">
            <v>12689280000</v>
          </cell>
          <cell r="AC211">
            <v>0.83710000000000007</v>
          </cell>
          <cell r="AD211">
            <v>0.28483232323232321</v>
          </cell>
          <cell r="AE211" t="str">
            <v>RSUD Dr. M. Zein Painan</v>
          </cell>
        </row>
        <row r="212">
          <cell r="I212" t="str">
            <v>Pengadaann alat kesehatan (Penunjang DAK)</v>
          </cell>
          <cell r="K212">
            <v>1</v>
          </cell>
          <cell r="L212">
            <v>6300000000</v>
          </cell>
          <cell r="P212">
            <v>87350000</v>
          </cell>
          <cell r="Q212">
            <v>0</v>
          </cell>
          <cell r="R212">
            <v>0</v>
          </cell>
          <cell r="Y212">
            <v>0</v>
          </cell>
          <cell r="Z212">
            <v>0</v>
          </cell>
          <cell r="AA212">
            <v>0</v>
          </cell>
          <cell r="AB212">
            <v>0</v>
          </cell>
          <cell r="AC212">
            <v>0</v>
          </cell>
          <cell r="AD212">
            <v>0</v>
          </cell>
        </row>
        <row r="213">
          <cell r="I213" t="str">
            <v>Pengadaan Alat Kesehatan  (DAK 2018)</v>
          </cell>
          <cell r="J213" t="str">
            <v xml:space="preserve">Pesentase alat kesehatan </v>
          </cell>
          <cell r="P213">
            <v>4141185000</v>
          </cell>
        </row>
        <row r="214">
          <cell r="I214" t="str">
            <v>Kegiatan penyusunan DED RSUD dan Site plan</v>
          </cell>
          <cell r="J214" t="str">
            <v xml:space="preserve">Dokumen </v>
          </cell>
          <cell r="K214">
            <v>1</v>
          </cell>
          <cell r="L214">
            <v>400000000</v>
          </cell>
          <cell r="Y214">
            <v>0</v>
          </cell>
          <cell r="Z214">
            <v>0</v>
          </cell>
          <cell r="AA214">
            <v>0</v>
          </cell>
          <cell r="AB214">
            <v>0</v>
          </cell>
          <cell r="AC214">
            <v>0</v>
          </cell>
          <cell r="AD214">
            <v>0</v>
          </cell>
        </row>
        <row r="215">
          <cell r="I215" t="str">
            <v>Kegiatan pengelolaan gas medis</v>
          </cell>
          <cell r="J215" t="str">
            <v>% pengelolaan gas medis</v>
          </cell>
          <cell r="K215">
            <v>1</v>
          </cell>
          <cell r="L215">
            <v>3500000000</v>
          </cell>
          <cell r="Y215">
            <v>0</v>
          </cell>
          <cell r="Z215">
            <v>0</v>
          </cell>
          <cell r="AA215">
            <v>0</v>
          </cell>
          <cell r="AB215">
            <v>0</v>
          </cell>
          <cell r="AC215">
            <v>0</v>
          </cell>
          <cell r="AD215">
            <v>0</v>
          </cell>
        </row>
        <row r="216">
          <cell r="I216" t="str">
            <v>Kegiatan pengadaan alat kesehatan</v>
          </cell>
          <cell r="J216" t="str">
            <v>%  pengadaan alat kesehatan</v>
          </cell>
          <cell r="K216">
            <v>1</v>
          </cell>
          <cell r="L216">
            <v>25000000000</v>
          </cell>
          <cell r="M216">
            <v>0.78</v>
          </cell>
          <cell r="N216">
            <v>9632753000</v>
          </cell>
          <cell r="Y216">
            <v>0</v>
          </cell>
          <cell r="Z216">
            <v>0</v>
          </cell>
        </row>
        <row r="217">
          <cell r="I217" t="str">
            <v>Kegiatan pengadaan alat CSSD</v>
          </cell>
          <cell r="J217" t="str">
            <v>% pengadaan alat CSSD</v>
          </cell>
          <cell r="K217">
            <v>1</v>
          </cell>
          <cell r="L217">
            <v>6000000000</v>
          </cell>
          <cell r="M217">
            <v>1</v>
          </cell>
          <cell r="N217">
            <v>1700000000</v>
          </cell>
          <cell r="Y217">
            <v>0</v>
          </cell>
          <cell r="Z217">
            <v>0</v>
          </cell>
          <cell r="AA217">
            <v>0</v>
          </cell>
        </row>
        <row r="218">
          <cell r="I218" t="str">
            <v>Kegiatan pengadaan Radiologi</v>
          </cell>
          <cell r="J218" t="str">
            <v>% Alat Radiologi</v>
          </cell>
          <cell r="K218">
            <v>1</v>
          </cell>
          <cell r="L218">
            <v>3350000000</v>
          </cell>
          <cell r="M218">
            <v>1</v>
          </cell>
          <cell r="N218">
            <v>1356527000</v>
          </cell>
          <cell r="Y218">
            <v>0</v>
          </cell>
          <cell r="Z218">
            <v>0</v>
          </cell>
          <cell r="AA218">
            <v>0</v>
          </cell>
        </row>
        <row r="219">
          <cell r="A219" t="str">
            <v xml:space="preserve">TOTAL RATA-RATA CAPAIAN KINERJA DAN ANGGARAN DARI SELURUH PROGRAM </v>
          </cell>
          <cell r="AC219">
            <v>0.84948518518518512</v>
          </cell>
          <cell r="AD219">
            <v>0.18973202761801655</v>
          </cell>
        </row>
        <row r="220">
          <cell r="A220" t="str">
            <v>PERINGKAT KINERJA DARI SELURUH PROGRAM</v>
          </cell>
          <cell r="AC220" t="str">
            <v>T</v>
          </cell>
          <cell r="AD220" t="str">
            <v>SR</v>
          </cell>
        </row>
        <row r="221">
          <cell r="A221" t="str">
            <v>III</v>
          </cell>
          <cell r="I221" t="str">
            <v>URUSAN PEKERJAAN UMUM DAN PENATAAN RUANG</v>
          </cell>
          <cell r="L221">
            <v>3509886067113</v>
          </cell>
          <cell r="N221">
            <v>402201174896</v>
          </cell>
          <cell r="P221">
            <v>217337776876.75</v>
          </cell>
          <cell r="R221">
            <v>11929055446</v>
          </cell>
          <cell r="T221">
            <v>49913171531</v>
          </cell>
          <cell r="Z221">
            <v>61842226977</v>
          </cell>
          <cell r="AB221">
            <v>457519682109</v>
          </cell>
        </row>
        <row r="222">
          <cell r="A222" t="str">
            <v>DINAS PEKERJAAN UMUM DAN PENATAAN RUANG</v>
          </cell>
          <cell r="L222">
            <v>3211437610498</v>
          </cell>
          <cell r="N222">
            <v>104202718281</v>
          </cell>
          <cell r="P222">
            <v>193166540328.75</v>
          </cell>
          <cell r="R222">
            <v>11494751717</v>
          </cell>
          <cell r="T222">
            <v>43823755496</v>
          </cell>
          <cell r="Z222">
            <v>55318507213</v>
          </cell>
          <cell r="AB222">
            <v>159521225494</v>
          </cell>
        </row>
        <row r="223">
          <cell r="A223">
            <v>1</v>
          </cell>
          <cell r="C223" t="str">
            <v>03</v>
          </cell>
          <cell r="D223" t="str">
            <v>01</v>
          </cell>
          <cell r="E223" t="str">
            <v>01</v>
          </cell>
          <cell r="I223" t="str">
            <v>Program Pelayanan Administrasi Perkantoran</v>
          </cell>
          <cell r="J223" t="str">
            <v>pemenuhan layanan adminstrasi perkantoran (bln)</v>
          </cell>
          <cell r="K223">
            <v>72</v>
          </cell>
          <cell r="L223">
            <v>2410969494</v>
          </cell>
          <cell r="M223">
            <v>24</v>
          </cell>
          <cell r="N223">
            <v>1418629948</v>
          </cell>
          <cell r="O223">
            <v>12</v>
          </cell>
          <cell r="P223">
            <v>1489764570.5</v>
          </cell>
          <cell r="Q223">
            <v>3</v>
          </cell>
          <cell r="R223">
            <v>197781177</v>
          </cell>
          <cell r="S223" t="str">
            <v>3</v>
          </cell>
          <cell r="T223">
            <v>659570556</v>
          </cell>
          <cell r="Y223">
            <v>6</v>
          </cell>
          <cell r="Z223">
            <v>857351733</v>
          </cell>
          <cell r="AA223">
            <v>30</v>
          </cell>
          <cell r="AB223">
            <v>2275981681</v>
          </cell>
          <cell r="AC223">
            <v>41.666666666666671</v>
          </cell>
          <cell r="AD223">
            <v>94.401098257944199</v>
          </cell>
          <cell r="AE223" t="str">
            <v>PUTR</v>
          </cell>
        </row>
        <row r="224">
          <cell r="C224" t="str">
            <v>03</v>
          </cell>
          <cell r="D224" t="str">
            <v>01</v>
          </cell>
          <cell r="E224" t="str">
            <v>01</v>
          </cell>
          <cell r="F224" t="str">
            <v>02</v>
          </cell>
          <cell r="I224" t="str">
            <v>Penyediaan jasa komunikasi, sumber daya air dan listrik</v>
          </cell>
          <cell r="J224" t="str">
            <v>kebutuhan air, listrik dan jasa komunikasi</v>
          </cell>
          <cell r="K224">
            <v>72</v>
          </cell>
          <cell r="L224">
            <v>423636480</v>
          </cell>
          <cell r="M224">
            <v>24</v>
          </cell>
          <cell r="N224">
            <v>269145011</v>
          </cell>
          <cell r="O224">
            <v>12</v>
          </cell>
          <cell r="P224">
            <v>303100000</v>
          </cell>
          <cell r="Q224">
            <v>3</v>
          </cell>
          <cell r="R224">
            <v>23844293</v>
          </cell>
          <cell r="S224" t="str">
            <v>3</v>
          </cell>
          <cell r="T224">
            <v>101274051</v>
          </cell>
          <cell r="Y224">
            <v>6</v>
          </cell>
          <cell r="Z224">
            <v>125118344</v>
          </cell>
          <cell r="AA224">
            <v>30</v>
          </cell>
          <cell r="AB224">
            <v>394263355</v>
          </cell>
          <cell r="AC224">
            <v>41.666666666666671</v>
          </cell>
          <cell r="AD224">
            <v>93.066431625529518</v>
          </cell>
        </row>
        <row r="225">
          <cell r="C225" t="str">
            <v>03</v>
          </cell>
          <cell r="D225" t="str">
            <v>01</v>
          </cell>
          <cell r="E225" t="str">
            <v>01</v>
          </cell>
          <cell r="F225" t="str">
            <v>05</v>
          </cell>
          <cell r="I225" t="str">
            <v>Penyediaan Jasa Jaminan Barang Milik Daerah</v>
          </cell>
          <cell r="J225" t="str">
            <v>terlaksananya inventarisasi aset (bln)</v>
          </cell>
          <cell r="K225">
            <v>72</v>
          </cell>
          <cell r="L225">
            <v>54033736</v>
          </cell>
          <cell r="M225">
            <v>24</v>
          </cell>
          <cell r="N225" t="str">
            <v>j</v>
          </cell>
          <cell r="O225">
            <v>12</v>
          </cell>
          <cell r="P225">
            <v>11513211.5</v>
          </cell>
          <cell r="Q225">
            <v>3</v>
          </cell>
          <cell r="R225">
            <v>0</v>
          </cell>
          <cell r="S225" t="str">
            <v>3</v>
          </cell>
          <cell r="T225">
            <v>2518957</v>
          </cell>
          <cell r="Y225">
            <v>6</v>
          </cell>
          <cell r="Z225">
            <v>2518957</v>
          </cell>
          <cell r="AA225">
            <v>30</v>
          </cell>
          <cell r="AB225">
            <v>2518957</v>
          </cell>
          <cell r="AC225">
            <v>41.666666666666671</v>
          </cell>
          <cell r="AD225">
            <v>4.6618227545842839</v>
          </cell>
        </row>
        <row r="226">
          <cell r="C226" t="str">
            <v>03</v>
          </cell>
          <cell r="D226" t="str">
            <v>01</v>
          </cell>
          <cell r="E226" t="str">
            <v>01</v>
          </cell>
          <cell r="F226" t="str">
            <v>07</v>
          </cell>
          <cell r="I226" t="str">
            <v>Penyediaan jasa administrasi keuangan</v>
          </cell>
          <cell r="J226" t="str">
            <v>kebutuhan jasa administrasi keuangan (% )</v>
          </cell>
          <cell r="K226">
            <v>72</v>
          </cell>
          <cell r="L226">
            <v>534055680</v>
          </cell>
          <cell r="M226">
            <v>24</v>
          </cell>
          <cell r="N226">
            <v>299800000</v>
          </cell>
          <cell r="O226">
            <v>12</v>
          </cell>
          <cell r="P226">
            <v>366250000</v>
          </cell>
          <cell r="Q226">
            <v>3</v>
          </cell>
          <cell r="R226">
            <v>62800000</v>
          </cell>
          <cell r="S226" t="str">
            <v>3</v>
          </cell>
          <cell r="T226">
            <v>202950000</v>
          </cell>
          <cell r="Y226">
            <v>6</v>
          </cell>
          <cell r="Z226">
            <v>265750000</v>
          </cell>
          <cell r="AA226">
            <v>30</v>
          </cell>
          <cell r="AB226">
            <v>565550000</v>
          </cell>
          <cell r="AC226">
            <v>41.666666666666671</v>
          </cell>
          <cell r="AD226">
            <v>105.89719783525193</v>
          </cell>
        </row>
        <row r="227">
          <cell r="C227" t="str">
            <v>03</v>
          </cell>
          <cell r="D227" t="str">
            <v>01</v>
          </cell>
          <cell r="E227" t="str">
            <v>01</v>
          </cell>
          <cell r="F227" t="str">
            <v>08</v>
          </cell>
          <cell r="I227" t="str">
            <v>Penyediaan jasa kebersihan kantor</v>
          </cell>
          <cell r="J227" t="str">
            <v>kebutuhan jasa kebersihan kantor (bln)</v>
          </cell>
          <cell r="K227">
            <v>72</v>
          </cell>
          <cell r="L227">
            <v>305916134</v>
          </cell>
          <cell r="M227">
            <v>24</v>
          </cell>
          <cell r="N227">
            <v>216429000</v>
          </cell>
          <cell r="O227">
            <v>12</v>
          </cell>
          <cell r="P227">
            <v>204750000</v>
          </cell>
          <cell r="Q227">
            <v>3</v>
          </cell>
          <cell r="R227">
            <v>0</v>
          </cell>
          <cell r="S227" t="str">
            <v>3</v>
          </cell>
          <cell r="T227">
            <v>95950151</v>
          </cell>
          <cell r="Y227">
            <v>6</v>
          </cell>
          <cell r="Z227">
            <v>95950151</v>
          </cell>
          <cell r="AA227">
            <v>30</v>
          </cell>
          <cell r="AB227">
            <v>312379151</v>
          </cell>
          <cell r="AC227">
            <v>41.666666666666671</v>
          </cell>
          <cell r="AD227">
            <v>102.11267608396228</v>
          </cell>
        </row>
        <row r="228">
          <cell r="C228" t="str">
            <v>03</v>
          </cell>
          <cell r="D228" t="str">
            <v>01</v>
          </cell>
          <cell r="E228" t="str">
            <v>01</v>
          </cell>
          <cell r="F228">
            <v>10</v>
          </cell>
          <cell r="I228" t="str">
            <v>Penyediaan Alat Tulis Kantor</v>
          </cell>
          <cell r="J228" t="str">
            <v>terpenuhinya Kebutuhan alat tulis kantor (bln)</v>
          </cell>
          <cell r="K228">
            <v>72</v>
          </cell>
          <cell r="L228">
            <v>72572981</v>
          </cell>
          <cell r="M228">
            <v>24</v>
          </cell>
          <cell r="N228">
            <v>34993344</v>
          </cell>
          <cell r="O228">
            <v>12</v>
          </cell>
          <cell r="P228">
            <v>23653236</v>
          </cell>
          <cell r="Q228">
            <v>3</v>
          </cell>
          <cell r="R228">
            <v>12255644</v>
          </cell>
          <cell r="S228" t="str">
            <v>3</v>
          </cell>
          <cell r="T228">
            <v>12255644</v>
          </cell>
          <cell r="Y228">
            <v>6</v>
          </cell>
          <cell r="Z228">
            <v>24511288</v>
          </cell>
          <cell r="AA228">
            <v>30</v>
          </cell>
          <cell r="AB228">
            <v>59504632</v>
          </cell>
          <cell r="AC228">
            <v>41.666666666666671</v>
          </cell>
          <cell r="AD228">
            <v>81.99281768513822</v>
          </cell>
        </row>
        <row r="229">
          <cell r="C229" t="str">
            <v>03</v>
          </cell>
          <cell r="D229" t="str">
            <v>01</v>
          </cell>
          <cell r="E229" t="str">
            <v>01</v>
          </cell>
          <cell r="F229">
            <v>11</v>
          </cell>
          <cell r="I229" t="str">
            <v>Penyediaan barang cetakan dan penggandaan</v>
          </cell>
          <cell r="J229" t="str">
            <v>Barang cetakan dan penggandaan untuk kantor ( % )</v>
          </cell>
          <cell r="K229">
            <v>72</v>
          </cell>
          <cell r="L229">
            <v>89202125</v>
          </cell>
          <cell r="M229">
            <v>24</v>
          </cell>
          <cell r="N229">
            <v>32225200</v>
          </cell>
          <cell r="O229">
            <v>12</v>
          </cell>
          <cell r="P229">
            <v>42404123</v>
          </cell>
          <cell r="Q229">
            <v>3</v>
          </cell>
          <cell r="R229">
            <v>11773365</v>
          </cell>
          <cell r="S229" t="str">
            <v>3</v>
          </cell>
          <cell r="T229">
            <v>17123365</v>
          </cell>
          <cell r="Y229">
            <v>6</v>
          </cell>
          <cell r="Z229">
            <v>28896730</v>
          </cell>
          <cell r="AA229">
            <v>30</v>
          </cell>
          <cell r="AB229">
            <v>61121930</v>
          </cell>
          <cell r="AC229">
            <v>41.666666666666671</v>
          </cell>
          <cell r="AD229">
            <v>68.520710689347368</v>
          </cell>
        </row>
        <row r="230">
          <cell r="C230" t="str">
            <v>03</v>
          </cell>
          <cell r="D230" t="str">
            <v>01</v>
          </cell>
          <cell r="E230" t="str">
            <v>01</v>
          </cell>
          <cell r="F230">
            <v>12</v>
          </cell>
          <cell r="I230" t="str">
            <v>Penyediaan komponen instalasi listrik/penerangan bangunan kantor</v>
          </cell>
          <cell r="J230" t="str">
            <v>Komponen penerangan bangunan kantor (bln)</v>
          </cell>
          <cell r="K230">
            <v>72</v>
          </cell>
          <cell r="L230">
            <v>10355558</v>
          </cell>
          <cell r="M230">
            <v>24</v>
          </cell>
          <cell r="N230">
            <v>4953000</v>
          </cell>
          <cell r="O230">
            <v>12</v>
          </cell>
          <cell r="P230">
            <v>4994000</v>
          </cell>
          <cell r="Q230">
            <v>3</v>
          </cell>
          <cell r="R230">
            <v>0</v>
          </cell>
          <cell r="S230" t="str">
            <v>3</v>
          </cell>
          <cell r="Y230">
            <v>6</v>
          </cell>
          <cell r="Z230">
            <v>0</v>
          </cell>
          <cell r="AA230">
            <v>30</v>
          </cell>
          <cell r="AB230">
            <v>4953000</v>
          </cell>
          <cell r="AC230">
            <v>41.666666666666671</v>
          </cell>
          <cell r="AD230">
            <v>47.829387851432053</v>
          </cell>
        </row>
        <row r="231">
          <cell r="C231" t="str">
            <v>03</v>
          </cell>
          <cell r="D231" t="str">
            <v>01</v>
          </cell>
          <cell r="E231" t="str">
            <v>01</v>
          </cell>
          <cell r="F231">
            <v>13</v>
          </cell>
          <cell r="I231" t="str">
            <v>Penyediaan Peralatan dan Perlengkapan kantor</v>
          </cell>
          <cell r="J231" t="str">
            <v>Jumlah peralatan dan perlengkapan kantor (bln)</v>
          </cell>
          <cell r="K231">
            <v>72</v>
          </cell>
          <cell r="L231">
            <v>107827200</v>
          </cell>
          <cell r="M231">
            <v>24</v>
          </cell>
          <cell r="N231">
            <v>135820000</v>
          </cell>
          <cell r="O231">
            <v>12</v>
          </cell>
          <cell r="P231">
            <v>91250000</v>
          </cell>
          <cell r="Q231">
            <v>3</v>
          </cell>
          <cell r="R231">
            <v>0</v>
          </cell>
          <cell r="S231" t="str">
            <v>3</v>
          </cell>
          <cell r="T231">
            <v>27876400</v>
          </cell>
          <cell r="Y231">
            <v>6</v>
          </cell>
          <cell r="Z231">
            <v>27876400</v>
          </cell>
          <cell r="AA231">
            <v>30</v>
          </cell>
          <cell r="AB231">
            <v>163696400</v>
          </cell>
          <cell r="AC231">
            <v>41.666666666666671</v>
          </cell>
          <cell r="AD231">
            <v>151.8136425688509</v>
          </cell>
        </row>
        <row r="232">
          <cell r="C232" t="str">
            <v>03</v>
          </cell>
          <cell r="D232" t="str">
            <v>01</v>
          </cell>
          <cell r="E232" t="str">
            <v>01</v>
          </cell>
          <cell r="F232">
            <v>17</v>
          </cell>
          <cell r="I232" t="str">
            <v>Penyediaan makanan dan minuman</v>
          </cell>
          <cell r="J232" t="str">
            <v>makan minum rapat dan tamu (bln)</v>
          </cell>
          <cell r="K232">
            <v>72</v>
          </cell>
          <cell r="L232">
            <v>146748672</v>
          </cell>
          <cell r="M232">
            <v>24</v>
          </cell>
          <cell r="N232">
            <v>63825500</v>
          </cell>
          <cell r="O232">
            <v>12</v>
          </cell>
          <cell r="P232">
            <v>78750000</v>
          </cell>
          <cell r="Q232">
            <v>3</v>
          </cell>
          <cell r="R232">
            <v>19277500</v>
          </cell>
          <cell r="S232" t="str">
            <v>3</v>
          </cell>
          <cell r="T232">
            <v>29805000</v>
          </cell>
          <cell r="Y232">
            <v>6</v>
          </cell>
          <cell r="Z232">
            <v>49082500</v>
          </cell>
          <cell r="AA232">
            <v>30</v>
          </cell>
          <cell r="AB232">
            <v>112908000</v>
          </cell>
          <cell r="AC232">
            <v>41.666666666666671</v>
          </cell>
          <cell r="AD232">
            <v>76.939708183526193</v>
          </cell>
        </row>
        <row r="233">
          <cell r="C233" t="str">
            <v>03</v>
          </cell>
          <cell r="D233" t="str">
            <v>01</v>
          </cell>
          <cell r="E233" t="str">
            <v>01</v>
          </cell>
          <cell r="F233">
            <v>18</v>
          </cell>
          <cell r="I233" t="str">
            <v>Rapat-rapat kordinasi dan konsultasi ke luar daerah</v>
          </cell>
          <cell r="J233" t="str">
            <v>Pelaksanaan rapat - rapat koordinasi luar daerah (bln )</v>
          </cell>
          <cell r="K233">
            <v>72</v>
          </cell>
          <cell r="L233">
            <v>442112256</v>
          </cell>
          <cell r="M233">
            <v>24</v>
          </cell>
          <cell r="N233">
            <v>258513643</v>
          </cell>
          <cell r="O233">
            <v>12</v>
          </cell>
          <cell r="P233">
            <v>285500000</v>
          </cell>
          <cell r="Q233">
            <v>3</v>
          </cell>
          <cell r="R233">
            <v>44671375</v>
          </cell>
          <cell r="S233" t="str">
            <v>3</v>
          </cell>
          <cell r="T233">
            <v>122787988</v>
          </cell>
          <cell r="Y233">
            <v>6</v>
          </cell>
          <cell r="Z233">
            <v>167459363</v>
          </cell>
          <cell r="AA233">
            <v>30</v>
          </cell>
          <cell r="AB233">
            <v>425973006</v>
          </cell>
          <cell r="AC233">
            <v>41.666666666666671</v>
          </cell>
          <cell r="AD233">
            <v>96.349513097415695</v>
          </cell>
        </row>
        <row r="234">
          <cell r="C234" t="str">
            <v>03</v>
          </cell>
          <cell r="D234" t="str">
            <v>01</v>
          </cell>
          <cell r="E234" t="str">
            <v>01</v>
          </cell>
          <cell r="F234">
            <v>20</v>
          </cell>
          <cell r="I234" t="str">
            <v>Rapat-rapat Koordinasi dan Konsultasi Dalam Daerah</v>
          </cell>
          <cell r="J234" t="str">
            <v>Pelaksanaan rapat - rapat koordinasi dalam daerah (bln )</v>
          </cell>
          <cell r="K234">
            <v>72</v>
          </cell>
          <cell r="L234">
            <v>224508672</v>
          </cell>
          <cell r="M234">
            <v>24</v>
          </cell>
          <cell r="N234">
            <v>102925250</v>
          </cell>
          <cell r="O234">
            <v>12</v>
          </cell>
          <cell r="P234">
            <v>77600000</v>
          </cell>
          <cell r="Q234">
            <v>3</v>
          </cell>
          <cell r="R234">
            <v>23159000</v>
          </cell>
          <cell r="S234" t="str">
            <v>3</v>
          </cell>
          <cell r="T234">
            <v>47029000</v>
          </cell>
          <cell r="Y234">
            <v>6</v>
          </cell>
          <cell r="Z234">
            <v>70188000</v>
          </cell>
          <cell r="AA234">
            <v>30</v>
          </cell>
          <cell r="AB234">
            <v>173113250</v>
          </cell>
          <cell r="AC234">
            <v>41.666666666666671</v>
          </cell>
          <cell r="AD234">
            <v>77.10760054738553</v>
          </cell>
        </row>
        <row r="235">
          <cell r="A235">
            <v>2</v>
          </cell>
          <cell r="B235" t="str">
            <v>Meningkatnya sarana dan prasarana pelayanan publik</v>
          </cell>
          <cell r="C235" t="str">
            <v>03</v>
          </cell>
          <cell r="D235" t="str">
            <v>01</v>
          </cell>
          <cell r="E235" t="str">
            <v>02</v>
          </cell>
          <cell r="I235" t="str">
            <v>Program Peningkatan Sarana dan Prasarana Aparatur</v>
          </cell>
          <cell r="J235" t="str">
            <v>pemunuhan sarana dan prasarana aparatur (bln)</v>
          </cell>
          <cell r="K235">
            <v>72</v>
          </cell>
          <cell r="L235">
            <v>305421555277</v>
          </cell>
          <cell r="M235">
            <v>24</v>
          </cell>
          <cell r="N235">
            <v>14978225273</v>
          </cell>
          <cell r="O235">
            <v>12</v>
          </cell>
          <cell r="P235">
            <v>30190456641.5</v>
          </cell>
          <cell r="Q235">
            <v>3</v>
          </cell>
          <cell r="R235">
            <v>7282475546</v>
          </cell>
          <cell r="S235">
            <v>3</v>
          </cell>
          <cell r="T235">
            <v>13826461958</v>
          </cell>
          <cell r="Y235">
            <v>6</v>
          </cell>
          <cell r="Z235">
            <v>21108937504</v>
          </cell>
          <cell r="AA235">
            <v>30</v>
          </cell>
          <cell r="AB235">
            <v>36087162777</v>
          </cell>
          <cell r="AC235">
            <v>41.666666666666671</v>
          </cell>
          <cell r="AD235">
            <v>11.815525837484191</v>
          </cell>
          <cell r="AE235" t="str">
            <v>Dinas PUTR</v>
          </cell>
        </row>
        <row r="236">
          <cell r="C236" t="str">
            <v>03</v>
          </cell>
          <cell r="D236" t="str">
            <v>01</v>
          </cell>
          <cell r="E236" t="str">
            <v>02</v>
          </cell>
          <cell r="F236" t="str">
            <v>03</v>
          </cell>
          <cell r="I236" t="str">
            <v>Pembangunan Gedung Kantor</v>
          </cell>
          <cell r="J236" t="str">
            <v>Jumlah pembangunan gedung pemerintah (unit)</v>
          </cell>
          <cell r="K236">
            <v>23</v>
          </cell>
          <cell r="L236">
            <v>300000000000</v>
          </cell>
          <cell r="M236">
            <v>1</v>
          </cell>
          <cell r="N236">
            <v>14247940816</v>
          </cell>
          <cell r="O236">
            <v>3</v>
          </cell>
          <cell r="P236">
            <v>25683396269</v>
          </cell>
          <cell r="Q236">
            <v>0.3</v>
          </cell>
          <cell r="R236">
            <v>7218230143</v>
          </cell>
          <cell r="S236">
            <v>0.04</v>
          </cell>
          <cell r="T236">
            <v>13822895013</v>
          </cell>
          <cell r="Y236">
            <v>0.33999999999999997</v>
          </cell>
          <cell r="Z236">
            <v>21041125156</v>
          </cell>
          <cell r="AA236">
            <v>1.3399999999999999</v>
          </cell>
          <cell r="AB236">
            <v>35289065972</v>
          </cell>
          <cell r="AC236">
            <v>5.8260869565217384</v>
          </cell>
          <cell r="AD236">
            <v>11.763021990666667</v>
          </cell>
          <cell r="AE236" t="str">
            <v>ada pekerjaan yg multiyears smpi tahun2018</v>
          </cell>
        </row>
        <row r="237">
          <cell r="C237" t="str">
            <v>03</v>
          </cell>
          <cell r="D237" t="str">
            <v>01</v>
          </cell>
          <cell r="E237" t="str">
            <v>02</v>
          </cell>
          <cell r="F237">
            <v>120</v>
          </cell>
          <cell r="I237" t="str">
            <v>Perencanaan Prasarana Gedung Kantor</v>
          </cell>
          <cell r="J237" t="str">
            <v>jumlah dokumen perencanaan</v>
          </cell>
          <cell r="K237">
            <v>30</v>
          </cell>
          <cell r="L237">
            <v>700000000</v>
          </cell>
          <cell r="M237">
            <v>10</v>
          </cell>
          <cell r="N237">
            <v>533629460</v>
          </cell>
          <cell r="O237">
            <v>3</v>
          </cell>
          <cell r="P237">
            <v>310032879</v>
          </cell>
          <cell r="Q237">
            <v>0</v>
          </cell>
          <cell r="R237">
            <v>1515928</v>
          </cell>
          <cell r="T237">
            <v>3566945</v>
          </cell>
          <cell r="Y237">
            <v>0</v>
          </cell>
          <cell r="Z237">
            <v>5082873</v>
          </cell>
          <cell r="AA237">
            <v>10</v>
          </cell>
          <cell r="AB237">
            <v>538712333</v>
          </cell>
          <cell r="AC237">
            <v>33.333333333333329</v>
          </cell>
          <cell r="AD237">
            <v>76.958904714285708</v>
          </cell>
        </row>
        <row r="238">
          <cell r="C238" t="str">
            <v>03</v>
          </cell>
          <cell r="D238" t="str">
            <v>01</v>
          </cell>
          <cell r="E238" t="str">
            <v>02</v>
          </cell>
          <cell r="F238">
            <v>24</v>
          </cell>
          <cell r="I238" t="str">
            <v>Pemeliharaan Rutin / Berkala Kendaraan Dinas Operasional</v>
          </cell>
          <cell r="J238" t="str">
            <v>Pemeliharaan/ operasional kendaraan dinas (bln)</v>
          </cell>
          <cell r="K238">
            <v>72</v>
          </cell>
          <cell r="L238">
            <v>162436608</v>
          </cell>
          <cell r="M238">
            <v>24</v>
          </cell>
          <cell r="N238">
            <v>129297327</v>
          </cell>
          <cell r="O238">
            <v>12</v>
          </cell>
          <cell r="P238">
            <v>139192000.5</v>
          </cell>
          <cell r="Q238">
            <v>3</v>
          </cell>
          <cell r="R238">
            <v>22242136</v>
          </cell>
          <cell r="Y238">
            <v>3</v>
          </cell>
          <cell r="Z238">
            <v>22242136</v>
          </cell>
          <cell r="AA238">
            <v>27</v>
          </cell>
          <cell r="AB238">
            <v>151539463</v>
          </cell>
          <cell r="AC238">
            <v>37.5</v>
          </cell>
          <cell r="AD238">
            <v>93.291447578122288</v>
          </cell>
        </row>
        <row r="239">
          <cell r="C239" t="str">
            <v>03</v>
          </cell>
          <cell r="D239" t="str">
            <v>01</v>
          </cell>
          <cell r="E239" t="str">
            <v>02</v>
          </cell>
          <cell r="F239">
            <v>28</v>
          </cell>
          <cell r="I239" t="str">
            <v>Pemeliharaan Rutin / Berkala Peralatan Gedung Kantor</v>
          </cell>
          <cell r="J239" t="str">
            <v>Pemeliharaan peralatan gedung kantor</v>
          </cell>
          <cell r="K239">
            <v>72</v>
          </cell>
          <cell r="L239">
            <v>36403379</v>
          </cell>
          <cell r="M239">
            <v>24</v>
          </cell>
          <cell r="N239">
            <v>17660000</v>
          </cell>
          <cell r="O239">
            <v>12</v>
          </cell>
          <cell r="P239">
            <v>25600000</v>
          </cell>
          <cell r="Q239">
            <v>3</v>
          </cell>
          <cell r="R239">
            <v>1940000</v>
          </cell>
          <cell r="Y239">
            <v>3</v>
          </cell>
          <cell r="Z239">
            <v>1940000</v>
          </cell>
          <cell r="AA239">
            <v>27</v>
          </cell>
          <cell r="AB239">
            <v>19600000</v>
          </cell>
          <cell r="AC239">
            <v>37.5</v>
          </cell>
          <cell r="AD239">
            <v>53.841155789411744</v>
          </cell>
        </row>
        <row r="240">
          <cell r="C240" t="str">
            <v>03</v>
          </cell>
          <cell r="D240" t="str">
            <v>01</v>
          </cell>
          <cell r="E240" t="str">
            <v>02</v>
          </cell>
          <cell r="F240">
            <v>22</v>
          </cell>
          <cell r="I240" t="str">
            <v>Pemeliharaan Rutin / Berkala Gedung kantor</v>
          </cell>
          <cell r="J240" t="str">
            <v>Pemeliharaan  gedung kantor</v>
          </cell>
          <cell r="K240">
            <v>72</v>
          </cell>
          <cell r="L240">
            <v>60775312</v>
          </cell>
          <cell r="M240">
            <v>24</v>
          </cell>
          <cell r="N240">
            <v>49697670</v>
          </cell>
          <cell r="O240">
            <v>12</v>
          </cell>
          <cell r="P240">
            <v>48389770</v>
          </cell>
          <cell r="Q240">
            <v>3</v>
          </cell>
          <cell r="R240">
            <v>24693000</v>
          </cell>
          <cell r="Y240">
            <v>3</v>
          </cell>
          <cell r="Z240">
            <v>24693000</v>
          </cell>
          <cell r="AA240">
            <v>27</v>
          </cell>
          <cell r="AB240">
            <v>74390670</v>
          </cell>
          <cell r="AC240">
            <v>37.5</v>
          </cell>
          <cell r="AD240">
            <v>122.40277762786312</v>
          </cell>
        </row>
        <row r="241">
          <cell r="C241" t="str">
            <v>03</v>
          </cell>
          <cell r="D241" t="str">
            <v>01</v>
          </cell>
          <cell r="E241" t="str">
            <v>02</v>
          </cell>
          <cell r="F241">
            <v>21</v>
          </cell>
          <cell r="I241" t="str">
            <v>Pemeliharaan Rutin / Berkala Rumah Dinas</v>
          </cell>
          <cell r="J241" t="str">
            <v>Pemeliharaan  rumah dinas kantor</v>
          </cell>
          <cell r="K241">
            <v>1</v>
          </cell>
          <cell r="L241">
            <v>261939978</v>
          </cell>
          <cell r="M241">
            <v>0</v>
          </cell>
          <cell r="N241">
            <v>0</v>
          </cell>
          <cell r="O241">
            <v>1</v>
          </cell>
          <cell r="P241">
            <v>261939978</v>
          </cell>
          <cell r="Q241">
            <v>0.4</v>
          </cell>
          <cell r="R241">
            <v>839978</v>
          </cell>
          <cell r="Y241">
            <v>0.4</v>
          </cell>
          <cell r="Z241">
            <v>839978</v>
          </cell>
          <cell r="AA241">
            <v>0.4</v>
          </cell>
          <cell r="AB241">
            <v>839978</v>
          </cell>
          <cell r="AC241">
            <v>40</v>
          </cell>
          <cell r="AD241">
            <v>0.32067575419892569</v>
          </cell>
        </row>
        <row r="242">
          <cell r="C242" t="str">
            <v>03</v>
          </cell>
          <cell r="D242" t="str">
            <v>01</v>
          </cell>
          <cell r="E242" t="str">
            <v>02</v>
          </cell>
          <cell r="F242">
            <v>42</v>
          </cell>
          <cell r="I242" t="str">
            <v>Rehabilitasi Sedang / Berat Gedung Kantor</v>
          </cell>
          <cell r="J242" t="str">
            <v>gedung kantor yang direhab berat</v>
          </cell>
          <cell r="K242">
            <v>1</v>
          </cell>
          <cell r="L242">
            <v>4200000000</v>
          </cell>
          <cell r="M242">
            <v>0</v>
          </cell>
          <cell r="N242">
            <v>0</v>
          </cell>
          <cell r="O242">
            <v>1</v>
          </cell>
          <cell r="P242">
            <v>3721905745</v>
          </cell>
          <cell r="Q242">
            <v>0</v>
          </cell>
          <cell r="R242">
            <v>13014361</v>
          </cell>
          <cell r="Y242">
            <v>0</v>
          </cell>
          <cell r="Z242">
            <v>13014361</v>
          </cell>
          <cell r="AA242">
            <v>0</v>
          </cell>
          <cell r="AB242">
            <v>13014361</v>
          </cell>
          <cell r="AC242">
            <v>0</v>
          </cell>
          <cell r="AD242">
            <v>0.3098657380952381</v>
          </cell>
        </row>
        <row r="243">
          <cell r="A243">
            <v>3</v>
          </cell>
          <cell r="C243" t="str">
            <v>03</v>
          </cell>
          <cell r="D243" t="str">
            <v>01</v>
          </cell>
          <cell r="E243" t="str">
            <v>03</v>
          </cell>
          <cell r="I243" t="str">
            <v>Program Peningkatan Disiplin Aparatur</v>
          </cell>
          <cell r="J243" t="str">
            <v>Persentase peningkatan Displin aparatiur</v>
          </cell>
          <cell r="K243">
            <v>100</v>
          </cell>
          <cell r="L243">
            <v>200000000</v>
          </cell>
          <cell r="M243">
            <v>85</v>
          </cell>
          <cell r="N243">
            <v>38998000</v>
          </cell>
          <cell r="O243">
            <v>10</v>
          </cell>
          <cell r="P243">
            <v>55600000</v>
          </cell>
          <cell r="Q243">
            <v>4</v>
          </cell>
          <cell r="R243">
            <v>35600000</v>
          </cell>
          <cell r="T243">
            <v>35600000</v>
          </cell>
          <cell r="Y243">
            <v>4</v>
          </cell>
          <cell r="Z243">
            <v>71200000</v>
          </cell>
          <cell r="AA243">
            <v>89</v>
          </cell>
          <cell r="AB243">
            <v>110198000</v>
          </cell>
          <cell r="AC243">
            <v>89</v>
          </cell>
          <cell r="AD243">
            <v>55.098999999999997</v>
          </cell>
          <cell r="AE243" t="str">
            <v>Dinas PUTR</v>
          </cell>
        </row>
        <row r="244">
          <cell r="C244" t="str">
            <v>03</v>
          </cell>
          <cell r="D244" t="str">
            <v>01</v>
          </cell>
          <cell r="E244" t="str">
            <v>03</v>
          </cell>
          <cell r="F244" t="str">
            <v>03</v>
          </cell>
          <cell r="I244" t="str">
            <v>Pengadaan Pakaian Kerja Lapangan</v>
          </cell>
          <cell r="J244" t="str">
            <v>Jumlah pakaian kerja lapangan (paket)</v>
          </cell>
          <cell r="K244">
            <v>6</v>
          </cell>
          <cell r="L244">
            <v>200000000</v>
          </cell>
          <cell r="M244">
            <v>2</v>
          </cell>
          <cell r="N244">
            <v>38998000</v>
          </cell>
          <cell r="O244">
            <v>1</v>
          </cell>
          <cell r="P244">
            <v>55600000</v>
          </cell>
          <cell r="Q244">
            <v>0.5</v>
          </cell>
          <cell r="R244">
            <v>35600000</v>
          </cell>
          <cell r="T244">
            <v>35600000</v>
          </cell>
          <cell r="Y244">
            <v>0.5</v>
          </cell>
          <cell r="Z244">
            <v>71200000</v>
          </cell>
          <cell r="AA244">
            <v>2.5</v>
          </cell>
          <cell r="AB244">
            <v>110198000</v>
          </cell>
          <cell r="AC244">
            <v>41.666666666666671</v>
          </cell>
          <cell r="AD244">
            <v>55.098999999999997</v>
          </cell>
        </row>
        <row r="245">
          <cell r="A245">
            <v>4</v>
          </cell>
          <cell r="B245" t="str">
            <v>Meningkatnya sarana dan prasarana pelayanan publik</v>
          </cell>
          <cell r="C245" t="str">
            <v>01</v>
          </cell>
          <cell r="D245" t="str">
            <v>03</v>
          </cell>
          <cell r="E245" t="str">
            <v>01</v>
          </cell>
          <cell r="F245">
            <v>26</v>
          </cell>
          <cell r="I245" t="str">
            <v>Program Pengadaan, Peningkatan Sarana dan Prasarana  Rumah Sakit / Rumah Sakit Jiwa / Rumah Sakit Paru- Paru / Rumah Sakit Mata</v>
          </cell>
          <cell r="J245" t="str">
            <v>Persentase penyelesaian Relokasi RSUD</v>
          </cell>
          <cell r="K245">
            <v>100</v>
          </cell>
          <cell r="L245">
            <v>63646800305</v>
          </cell>
          <cell r="M245">
            <v>0</v>
          </cell>
          <cell r="N245">
            <v>0</v>
          </cell>
          <cell r="O245">
            <v>100</v>
          </cell>
          <cell r="P245">
            <v>63646800305</v>
          </cell>
          <cell r="Q245">
            <v>0</v>
          </cell>
          <cell r="R245">
            <v>0</v>
          </cell>
          <cell r="Y245">
            <v>0</v>
          </cell>
          <cell r="Z245">
            <v>0</v>
          </cell>
          <cell r="AA245">
            <v>0</v>
          </cell>
          <cell r="AB245">
            <v>0</v>
          </cell>
          <cell r="AC245">
            <v>0</v>
          </cell>
          <cell r="AD245">
            <v>0</v>
          </cell>
          <cell r="AE245" t="str">
            <v>Dinas PUTR</v>
          </cell>
        </row>
        <row r="246">
          <cell r="C246" t="str">
            <v>01</v>
          </cell>
          <cell r="D246" t="str">
            <v>03</v>
          </cell>
          <cell r="E246" t="str">
            <v>01</v>
          </cell>
          <cell r="F246">
            <v>26</v>
          </cell>
          <cell r="G246">
            <v>78</v>
          </cell>
          <cell r="I246" t="str">
            <v>Manajemen Konstruksi RSUD Baru ( Lanjutan 2016 )</v>
          </cell>
          <cell r="J246" t="str">
            <v>Manajemen Konstruksi RSUD (paket)</v>
          </cell>
          <cell r="K246">
            <v>1</v>
          </cell>
          <cell r="L246">
            <v>226293805</v>
          </cell>
          <cell r="M246">
            <v>0</v>
          </cell>
          <cell r="O246">
            <v>1</v>
          </cell>
          <cell r="P246">
            <v>226293805</v>
          </cell>
          <cell r="Q246">
            <v>0</v>
          </cell>
          <cell r="R246">
            <v>0</v>
          </cell>
          <cell r="Y246">
            <v>0</v>
          </cell>
          <cell r="Z246">
            <v>0</v>
          </cell>
          <cell r="AA246">
            <v>0</v>
          </cell>
          <cell r="AB246">
            <v>0</v>
          </cell>
          <cell r="AC246">
            <v>0</v>
          </cell>
          <cell r="AD246">
            <v>0</v>
          </cell>
          <cell r="AE246" t="str">
            <v>Lanjutan keg.2016</v>
          </cell>
        </row>
        <row r="247">
          <cell r="C247" t="str">
            <v>01</v>
          </cell>
          <cell r="D247" t="str">
            <v>03</v>
          </cell>
          <cell r="E247" t="str">
            <v>01</v>
          </cell>
          <cell r="F247">
            <v>26</v>
          </cell>
          <cell r="G247">
            <v>80</v>
          </cell>
          <cell r="I247" t="str">
            <v>Penyusunan Master Plan dan Perencanaan Teknis RSUD Baru (lanjutan2015)</v>
          </cell>
          <cell r="J247" t="str">
            <v>Master Plan RSUD (paket)</v>
          </cell>
          <cell r="K247">
            <v>1</v>
          </cell>
          <cell r="L247">
            <v>383121500</v>
          </cell>
          <cell r="M247">
            <v>0</v>
          </cell>
          <cell r="O247">
            <v>1</v>
          </cell>
          <cell r="P247">
            <v>383121500</v>
          </cell>
          <cell r="Q247">
            <v>0</v>
          </cell>
          <cell r="R247">
            <v>0</v>
          </cell>
          <cell r="Y247">
            <v>0</v>
          </cell>
          <cell r="Z247">
            <v>0</v>
          </cell>
          <cell r="AA247">
            <v>0</v>
          </cell>
          <cell r="AB247">
            <v>0</v>
          </cell>
          <cell r="AC247">
            <v>0</v>
          </cell>
          <cell r="AD247">
            <v>0</v>
          </cell>
          <cell r="AE247" t="str">
            <v>Lanjutan keg.2015</v>
          </cell>
        </row>
        <row r="248">
          <cell r="C248" t="str">
            <v>01</v>
          </cell>
          <cell r="D248" t="str">
            <v>03</v>
          </cell>
          <cell r="E248" t="str">
            <v>01</v>
          </cell>
          <cell r="F248">
            <v>26</v>
          </cell>
          <cell r="G248">
            <v>56</v>
          </cell>
          <cell r="I248" t="str">
            <v>Pembangunan Relokasi RSUD dr. M.Zein Painan /PIP (lanjutan 2015)</v>
          </cell>
          <cell r="J248" t="str">
            <v>Pembangunan Relokasi RSUD (paket)</v>
          </cell>
          <cell r="K248">
            <v>1</v>
          </cell>
          <cell r="L248">
            <v>63037385000</v>
          </cell>
          <cell r="M248">
            <v>0</v>
          </cell>
          <cell r="O248">
            <v>1</v>
          </cell>
          <cell r="P248">
            <v>63037385000</v>
          </cell>
          <cell r="Q248">
            <v>0</v>
          </cell>
          <cell r="R248">
            <v>0</v>
          </cell>
          <cell r="Y248">
            <v>0</v>
          </cell>
          <cell r="Z248">
            <v>0</v>
          </cell>
          <cell r="AA248">
            <v>0</v>
          </cell>
          <cell r="AB248">
            <v>0</v>
          </cell>
          <cell r="AC248">
            <v>0</v>
          </cell>
          <cell r="AD248">
            <v>0</v>
          </cell>
          <cell r="AE248" t="str">
            <v>Lanjutan keg.2015</v>
          </cell>
        </row>
        <row r="249">
          <cell r="A249">
            <v>5</v>
          </cell>
          <cell r="C249" t="str">
            <v>01</v>
          </cell>
          <cell r="D249" t="str">
            <v>03</v>
          </cell>
          <cell r="E249" t="str">
            <v>01</v>
          </cell>
          <cell r="F249">
            <v>16</v>
          </cell>
          <cell r="I249" t="str">
            <v>Program Pembangunan Saluran Drainase/Gorong-Gorong</v>
          </cell>
          <cell r="J249" t="str">
            <v>Persentase drainase jalan kondisi baik (%)</v>
          </cell>
          <cell r="K249">
            <v>60</v>
          </cell>
          <cell r="L249">
            <v>7870000000</v>
          </cell>
          <cell r="M249">
            <v>42</v>
          </cell>
          <cell r="N249">
            <v>288895980</v>
          </cell>
          <cell r="O249">
            <v>4</v>
          </cell>
          <cell r="P249">
            <v>2240132605</v>
          </cell>
          <cell r="Q249">
            <v>0.2</v>
          </cell>
          <cell r="R249">
            <v>7944921</v>
          </cell>
          <cell r="S249">
            <v>41</v>
          </cell>
          <cell r="T249">
            <v>2322438596</v>
          </cell>
          <cell r="Y249">
            <v>41.2</v>
          </cell>
          <cell r="Z249">
            <v>2330383517</v>
          </cell>
          <cell r="AA249">
            <v>83.2</v>
          </cell>
          <cell r="AB249">
            <v>2619279497</v>
          </cell>
          <cell r="AC249">
            <v>138.66666666666669</v>
          </cell>
          <cell r="AD249">
            <v>33.281823341804319</v>
          </cell>
          <cell r="AE249" t="str">
            <v>Dinas PUTR</v>
          </cell>
        </row>
        <row r="250">
          <cell r="C250" t="str">
            <v>01</v>
          </cell>
          <cell r="D250" t="str">
            <v>03</v>
          </cell>
          <cell r="E250" t="str">
            <v>01</v>
          </cell>
          <cell r="F250">
            <v>16</v>
          </cell>
          <cell r="G250">
            <v>29</v>
          </cell>
          <cell r="I250" t="str">
            <v>Pemeliharaan rutin drainase kota</v>
          </cell>
          <cell r="J250" t="str">
            <v>terlaksanaya Pemeliharaan  drainase (bln)</v>
          </cell>
          <cell r="K250">
            <v>72</v>
          </cell>
          <cell r="L250">
            <v>550000000</v>
          </cell>
          <cell r="M250">
            <v>24</v>
          </cell>
          <cell r="N250">
            <v>288895980</v>
          </cell>
          <cell r="O250">
            <v>12</v>
          </cell>
          <cell r="P250">
            <v>397250297</v>
          </cell>
          <cell r="Q250">
            <v>3</v>
          </cell>
          <cell r="R250">
            <v>3914172</v>
          </cell>
          <cell r="S250">
            <v>3</v>
          </cell>
          <cell r="T250">
            <v>180533792</v>
          </cell>
          <cell r="Y250">
            <v>6</v>
          </cell>
          <cell r="Z250">
            <v>184447964</v>
          </cell>
          <cell r="AA250">
            <v>30</v>
          </cell>
          <cell r="AB250">
            <v>473343944</v>
          </cell>
          <cell r="AC250">
            <v>41.666666666666671</v>
          </cell>
          <cell r="AD250">
            <v>86.062535272727274</v>
          </cell>
        </row>
        <row r="251">
          <cell r="C251" t="str">
            <v>01</v>
          </cell>
          <cell r="D251" t="str">
            <v>03</v>
          </cell>
          <cell r="E251" t="str">
            <v>01</v>
          </cell>
          <cell r="F251">
            <v>16</v>
          </cell>
          <cell r="G251" t="str">
            <v>03</v>
          </cell>
          <cell r="I251" t="str">
            <v>Pembangunan Saluran Drainase dan trotoar</v>
          </cell>
          <cell r="J251" t="str">
            <v>Panjang drainase dan trotoar yang dibangun (m)</v>
          </cell>
          <cell r="K251">
            <v>720</v>
          </cell>
          <cell r="L251">
            <v>7200000000</v>
          </cell>
          <cell r="M251">
            <v>0</v>
          </cell>
          <cell r="N251">
            <v>0</v>
          </cell>
          <cell r="O251">
            <v>175</v>
          </cell>
          <cell r="P251">
            <v>1731404675</v>
          </cell>
          <cell r="Q251">
            <v>0</v>
          </cell>
          <cell r="R251">
            <v>4030749</v>
          </cell>
          <cell r="T251">
            <v>24238181</v>
          </cell>
          <cell r="Y251">
            <v>0</v>
          </cell>
          <cell r="Z251">
            <v>28268930</v>
          </cell>
          <cell r="AA251">
            <v>0</v>
          </cell>
          <cell r="AB251">
            <v>28268930</v>
          </cell>
          <cell r="AC251">
            <v>0</v>
          </cell>
          <cell r="AD251">
            <v>0.39262402777777772</v>
          </cell>
        </row>
        <row r="252">
          <cell r="C252" t="str">
            <v>01</v>
          </cell>
          <cell r="D252" t="str">
            <v>03</v>
          </cell>
          <cell r="E252" t="str">
            <v>01</v>
          </cell>
          <cell r="F252">
            <v>16</v>
          </cell>
          <cell r="G252" t="str">
            <v>01</v>
          </cell>
          <cell r="I252" t="str">
            <v>Perencanaan Pembangunan Saluran Drainase dan trotoar</v>
          </cell>
          <cell r="J252" t="str">
            <v>Jumlah dokumen perencanaan</v>
          </cell>
          <cell r="K252">
            <v>1</v>
          </cell>
          <cell r="L252">
            <v>120000000</v>
          </cell>
          <cell r="M252">
            <v>0</v>
          </cell>
          <cell r="N252">
            <v>0</v>
          </cell>
          <cell r="O252">
            <v>1</v>
          </cell>
          <cell r="P252">
            <v>111477633</v>
          </cell>
          <cell r="Q252">
            <v>0</v>
          </cell>
          <cell r="R252">
            <v>0</v>
          </cell>
          <cell r="T252">
            <v>727631</v>
          </cell>
          <cell r="Y252">
            <v>0</v>
          </cell>
          <cell r="Z252">
            <v>727631</v>
          </cell>
          <cell r="AA252">
            <v>0</v>
          </cell>
          <cell r="AB252">
            <v>727631</v>
          </cell>
          <cell r="AC252">
            <v>0</v>
          </cell>
          <cell r="AD252">
            <v>0.60635916666666667</v>
          </cell>
        </row>
        <row r="253">
          <cell r="A253">
            <v>7</v>
          </cell>
          <cell r="B253" t="str">
            <v>Meningkatnya kualitas infrastruktur jalan dan jembatan</v>
          </cell>
          <cell r="C253" t="str">
            <v>01</v>
          </cell>
          <cell r="D253" t="str">
            <v>03</v>
          </cell>
          <cell r="E253" t="str">
            <v>01</v>
          </cell>
          <cell r="F253">
            <v>18</v>
          </cell>
          <cell r="I253" t="str">
            <v>Program Rehabilitasi/ Pemeliharaan Jalan dan Jembatan</v>
          </cell>
          <cell r="J253" t="str">
            <v>Panjang jalan kabupaten yang terpelihara</v>
          </cell>
          <cell r="K253">
            <v>1730</v>
          </cell>
          <cell r="L253">
            <v>54900000000</v>
          </cell>
          <cell r="M253">
            <v>250</v>
          </cell>
          <cell r="N253">
            <v>10914611897</v>
          </cell>
          <cell r="O253">
            <v>150</v>
          </cell>
          <cell r="P253">
            <v>8450847422</v>
          </cell>
          <cell r="Q253">
            <v>19.5</v>
          </cell>
          <cell r="R253">
            <v>837903000</v>
          </cell>
          <cell r="S253">
            <v>120</v>
          </cell>
          <cell r="T253">
            <v>2298200415</v>
          </cell>
          <cell r="Y253">
            <v>139.5</v>
          </cell>
          <cell r="Z253">
            <v>3136103415</v>
          </cell>
          <cell r="AA253">
            <v>389.5</v>
          </cell>
          <cell r="AB253">
            <v>14050715312</v>
          </cell>
          <cell r="AC253">
            <v>22.514450867052023</v>
          </cell>
          <cell r="AD253">
            <v>25.593288364298729</v>
          </cell>
          <cell r="AE253" t="str">
            <v>Dinas PUTR</v>
          </cell>
        </row>
        <row r="254">
          <cell r="J254" t="str">
            <v>Persentase jembatan kabupaten terpelihara</v>
          </cell>
          <cell r="K254">
            <v>82.2</v>
          </cell>
          <cell r="M254">
            <v>68.5</v>
          </cell>
          <cell r="O254">
            <v>3.4099999999999966</v>
          </cell>
          <cell r="Q254">
            <v>0</v>
          </cell>
          <cell r="Y254">
            <v>0</v>
          </cell>
          <cell r="Z254">
            <v>0</v>
          </cell>
          <cell r="AA254">
            <v>68.5</v>
          </cell>
          <cell r="AB254">
            <v>0</v>
          </cell>
          <cell r="AC254">
            <v>83.333333333333329</v>
          </cell>
        </row>
        <row r="255">
          <cell r="C255" t="str">
            <v>01</v>
          </cell>
          <cell r="D255" t="str">
            <v>03</v>
          </cell>
          <cell r="E255" t="str">
            <v>01</v>
          </cell>
          <cell r="F255">
            <v>18</v>
          </cell>
          <cell r="G255">
            <v>56</v>
          </cell>
          <cell r="I255" t="str">
            <v>Pemeliharaan Jalan Kabupaten</v>
          </cell>
          <cell r="J255" t="str">
            <v>Pemeliharaan Jalan (bln)</v>
          </cell>
          <cell r="K255">
            <v>72</v>
          </cell>
          <cell r="L255">
            <v>11700000000</v>
          </cell>
          <cell r="M255">
            <v>24</v>
          </cell>
          <cell r="N255">
            <v>4150050750</v>
          </cell>
          <cell r="O255">
            <v>12</v>
          </cell>
          <cell r="P255">
            <v>3112168967</v>
          </cell>
          <cell r="Q255">
            <v>3</v>
          </cell>
          <cell r="R255">
            <v>745070000</v>
          </cell>
          <cell r="S255">
            <v>3</v>
          </cell>
          <cell r="T255">
            <v>2163179248</v>
          </cell>
          <cell r="Y255">
            <v>6</v>
          </cell>
          <cell r="Z255">
            <v>2908249248</v>
          </cell>
          <cell r="AA255">
            <v>30</v>
          </cell>
          <cell r="AB255">
            <v>7058299998</v>
          </cell>
          <cell r="AC255">
            <v>41.666666666666671</v>
          </cell>
          <cell r="AD255">
            <v>60.327350410256408</v>
          </cell>
        </row>
        <row r="256">
          <cell r="I256" t="str">
            <v>Rehabilitasi peningkatan jembatan</v>
          </cell>
          <cell r="J256" t="str">
            <v>Rehabiltasi peningkatan  jembatan</v>
          </cell>
          <cell r="K256">
            <v>72</v>
          </cell>
          <cell r="L256">
            <v>30450000000</v>
          </cell>
          <cell r="M256">
            <v>24</v>
          </cell>
          <cell r="N256">
            <v>5368676747</v>
          </cell>
          <cell r="O256">
            <v>12</v>
          </cell>
          <cell r="P256">
            <v>4600863502</v>
          </cell>
          <cell r="Q256">
            <v>0</v>
          </cell>
          <cell r="S256">
            <v>2</v>
          </cell>
          <cell r="T256">
            <v>264595200</v>
          </cell>
          <cell r="Y256">
            <v>2</v>
          </cell>
          <cell r="Z256">
            <v>264595200</v>
          </cell>
          <cell r="AA256">
            <v>26</v>
          </cell>
          <cell r="AB256">
            <v>5633271947</v>
          </cell>
          <cell r="AC256">
            <v>36.111111111111107</v>
          </cell>
          <cell r="AD256">
            <v>18.500072075533662</v>
          </cell>
        </row>
        <row r="257">
          <cell r="C257" t="str">
            <v>01</v>
          </cell>
          <cell r="D257" t="str">
            <v>03</v>
          </cell>
          <cell r="E257" t="str">
            <v>01</v>
          </cell>
          <cell r="F257">
            <v>18</v>
          </cell>
          <cell r="G257">
            <v>69</v>
          </cell>
          <cell r="I257" t="str">
            <v>Pemeliharaan Jembatan Kabupaten</v>
          </cell>
          <cell r="J257" t="str">
            <v>Pemeliharaan Jembatan (bln)</v>
          </cell>
          <cell r="K257">
            <v>72</v>
          </cell>
          <cell r="L257">
            <v>12750000000</v>
          </cell>
          <cell r="M257">
            <v>24</v>
          </cell>
          <cell r="N257">
            <v>1395884400</v>
          </cell>
          <cell r="O257">
            <v>12</v>
          </cell>
          <cell r="P257">
            <v>737814953</v>
          </cell>
          <cell r="Q257">
            <v>3</v>
          </cell>
          <cell r="R257">
            <v>92833000</v>
          </cell>
          <cell r="S257">
            <v>3</v>
          </cell>
          <cell r="T257">
            <v>502863000</v>
          </cell>
          <cell r="Y257">
            <v>6</v>
          </cell>
          <cell r="Z257">
            <v>595696000</v>
          </cell>
          <cell r="AA257">
            <v>30</v>
          </cell>
          <cell r="AB257">
            <v>1991580400</v>
          </cell>
          <cell r="AC257">
            <v>41.666666666666671</v>
          </cell>
          <cell r="AD257">
            <v>15.620238431372549</v>
          </cell>
        </row>
        <row r="258">
          <cell r="A258">
            <v>8</v>
          </cell>
          <cell r="B258" t="str">
            <v>Meningkatnya sarana dan prasarana pelayanan publik</v>
          </cell>
          <cell r="C258" t="str">
            <v>01</v>
          </cell>
          <cell r="D258" t="str">
            <v>03</v>
          </cell>
          <cell r="E258" t="str">
            <v>01</v>
          </cell>
          <cell r="F258">
            <v>29</v>
          </cell>
          <cell r="I258" t="str">
            <v>Program Pengembangan Wilayah Strategis dan Cepat Tumbuh</v>
          </cell>
          <cell r="J258" t="str">
            <v>Persentase Pengembangan Wilayah Strategis </v>
          </cell>
          <cell r="K258">
            <v>100</v>
          </cell>
          <cell r="L258">
            <v>17662213211</v>
          </cell>
          <cell r="M258">
            <v>60</v>
          </cell>
          <cell r="N258">
            <v>1354426400</v>
          </cell>
          <cell r="O258">
            <v>10</v>
          </cell>
          <cell r="P258">
            <v>7098702294</v>
          </cell>
          <cell r="Q258">
            <v>1</v>
          </cell>
          <cell r="R258">
            <v>13526996</v>
          </cell>
          <cell r="S258">
            <v>5</v>
          </cell>
          <cell r="T258">
            <v>530216110</v>
          </cell>
          <cell r="Y258">
            <v>6</v>
          </cell>
          <cell r="Z258">
            <v>543743106</v>
          </cell>
          <cell r="AA258">
            <v>66</v>
          </cell>
          <cell r="AB258">
            <v>1898169506</v>
          </cell>
          <cell r="AC258">
            <v>66</v>
          </cell>
          <cell r="AD258">
            <v>10.747064840196941</v>
          </cell>
          <cell r="AE258" t="str">
            <v>Dinas PUTR</v>
          </cell>
        </row>
        <row r="259">
          <cell r="C259" t="str">
            <v>01</v>
          </cell>
          <cell r="D259" t="str">
            <v>03</v>
          </cell>
          <cell r="E259" t="str">
            <v>01</v>
          </cell>
          <cell r="F259">
            <v>29</v>
          </cell>
          <cell r="G259" t="str">
            <v>02</v>
          </cell>
          <cell r="I259" t="str">
            <v>Pembangunan/Peningkatan Infrastruktur</v>
          </cell>
          <cell r="J259" t="str">
            <v>Persentase Pembangunan/ Peningkatan Infrastruktur (paket)</v>
          </cell>
          <cell r="K259">
            <v>25</v>
          </cell>
          <cell r="L259">
            <v>8662213211</v>
          </cell>
          <cell r="M259">
            <v>1</v>
          </cell>
          <cell r="N259">
            <v>462102200</v>
          </cell>
          <cell r="O259">
            <v>5</v>
          </cell>
          <cell r="P259">
            <v>3662213211</v>
          </cell>
          <cell r="Q259">
            <v>0</v>
          </cell>
          <cell r="R259">
            <v>9594622</v>
          </cell>
          <cell r="S259">
            <v>0.03</v>
          </cell>
          <cell r="T259">
            <v>135021167</v>
          </cell>
          <cell r="Y259">
            <v>0.03</v>
          </cell>
          <cell r="Z259">
            <v>144615789</v>
          </cell>
          <cell r="AA259">
            <v>1.03</v>
          </cell>
          <cell r="AB259">
            <v>606717989</v>
          </cell>
          <cell r="AC259">
            <v>4.12</v>
          </cell>
          <cell r="AD259">
            <v>7.0041913564253875</v>
          </cell>
        </row>
        <row r="260">
          <cell r="C260" t="str">
            <v>01</v>
          </cell>
          <cell r="D260" t="str">
            <v>03</v>
          </cell>
          <cell r="E260" t="str">
            <v>01</v>
          </cell>
          <cell r="F260">
            <v>29</v>
          </cell>
          <cell r="G260">
            <v>12</v>
          </cell>
          <cell r="I260" t="str">
            <v>Pembangunan Infrastruktur kawasan Destinasi wisata</v>
          </cell>
          <cell r="J260" t="str">
            <v>pembangunan infrastruktur kawasan pariwisata (paket)</v>
          </cell>
          <cell r="K260">
            <v>20</v>
          </cell>
          <cell r="L260">
            <v>9000000000</v>
          </cell>
          <cell r="M260">
            <v>2</v>
          </cell>
          <cell r="N260">
            <v>892324200</v>
          </cell>
          <cell r="O260">
            <v>5</v>
          </cell>
          <cell r="P260">
            <v>3436489083</v>
          </cell>
          <cell r="Q260">
            <v>0</v>
          </cell>
          <cell r="R260">
            <v>3932374</v>
          </cell>
          <cell r="S260">
            <v>0.05</v>
          </cell>
          <cell r="T260">
            <v>395194943</v>
          </cell>
          <cell r="Y260">
            <v>0.05</v>
          </cell>
          <cell r="Z260">
            <v>399127317</v>
          </cell>
          <cell r="AA260">
            <v>2.0499999999999998</v>
          </cell>
          <cell r="AB260">
            <v>1291451517</v>
          </cell>
          <cell r="AC260">
            <v>10.25</v>
          </cell>
          <cell r="AD260">
            <v>14.3494613</v>
          </cell>
        </row>
        <row r="261">
          <cell r="A261">
            <v>9</v>
          </cell>
          <cell r="B261" t="str">
            <v>Meningkatnya pemenuhan kebutuhan sarana dan prasarana layanan sosial berupa air bersih dan layanan sanitasi</v>
          </cell>
          <cell r="C261" t="str">
            <v>01</v>
          </cell>
          <cell r="D261" t="str">
            <v>03</v>
          </cell>
          <cell r="E261" t="str">
            <v>01</v>
          </cell>
          <cell r="F261">
            <v>30</v>
          </cell>
          <cell r="I261" t="str">
            <v>Program Pembangunan Infrastruktur Perdesaan</v>
          </cell>
          <cell r="J261" t="str">
            <v xml:space="preserve">Pembangunan Sarana Air Bersih Perdesaan (unit) </v>
          </cell>
          <cell r="K261">
            <v>24</v>
          </cell>
          <cell r="L261">
            <v>18880000000</v>
          </cell>
          <cell r="M261">
            <v>5</v>
          </cell>
          <cell r="N261">
            <v>2582262450</v>
          </cell>
          <cell r="O261">
            <v>4</v>
          </cell>
          <cell r="P261">
            <v>3599747762</v>
          </cell>
          <cell r="Q261">
            <v>3</v>
          </cell>
          <cell r="R261">
            <v>9372230</v>
          </cell>
          <cell r="S261">
            <v>0</v>
          </cell>
          <cell r="T261">
            <v>152701506</v>
          </cell>
          <cell r="Y261">
            <v>3</v>
          </cell>
          <cell r="Z261">
            <v>162073736</v>
          </cell>
          <cell r="AA261">
            <v>8</v>
          </cell>
          <cell r="AB261">
            <v>2744336186</v>
          </cell>
          <cell r="AC261">
            <v>33.333333333333329</v>
          </cell>
          <cell r="AD261">
            <v>14.535678951271185</v>
          </cell>
          <cell r="AE261" t="str">
            <v>Dinas PUTR</v>
          </cell>
        </row>
        <row r="262">
          <cell r="C262" t="str">
            <v>01</v>
          </cell>
          <cell r="D262" t="str">
            <v>03</v>
          </cell>
          <cell r="E262" t="str">
            <v>01</v>
          </cell>
          <cell r="F262">
            <v>30</v>
          </cell>
          <cell r="G262">
            <v>50</v>
          </cell>
          <cell r="I262" t="str">
            <v>Optimalisasi Peningkatan Program Pamsimas ( DDUB )</v>
          </cell>
          <cell r="J262" t="str">
            <v>Jumlah pamsimas yang terbangun</v>
          </cell>
          <cell r="K262">
            <v>8</v>
          </cell>
          <cell r="L262">
            <v>5500000000</v>
          </cell>
          <cell r="M262">
            <v>1</v>
          </cell>
          <cell r="N262">
            <v>1050000000</v>
          </cell>
          <cell r="O262">
            <v>1</v>
          </cell>
          <cell r="P262">
            <v>500000000</v>
          </cell>
          <cell r="Q262">
            <v>0</v>
          </cell>
          <cell r="R262">
            <v>0</v>
          </cell>
          <cell r="Y262">
            <v>0</v>
          </cell>
          <cell r="Z262">
            <v>0</v>
          </cell>
          <cell r="AA262">
            <v>1</v>
          </cell>
          <cell r="AB262">
            <v>1050000000</v>
          </cell>
          <cell r="AC262">
            <v>12.5</v>
          </cell>
          <cell r="AD262">
            <v>19.090909090909093</v>
          </cell>
        </row>
        <row r="263">
          <cell r="C263" t="str">
            <v>01</v>
          </cell>
          <cell r="D263" t="str">
            <v>03</v>
          </cell>
          <cell r="E263" t="str">
            <v>01</v>
          </cell>
          <cell r="F263">
            <v>30</v>
          </cell>
          <cell r="G263">
            <v>51</v>
          </cell>
          <cell r="I263" t="str">
            <v>Penunjang Kegiatan Pamsimas</v>
          </cell>
          <cell r="J263" t="str">
            <v>Penunjang  Pamsimas</v>
          </cell>
          <cell r="K263">
            <v>72</v>
          </cell>
          <cell r="L263">
            <v>1500000000</v>
          </cell>
          <cell r="M263">
            <v>24</v>
          </cell>
          <cell r="N263">
            <v>215912450</v>
          </cell>
          <cell r="O263">
            <v>12</v>
          </cell>
          <cell r="P263">
            <v>169747762</v>
          </cell>
          <cell r="Q263">
            <v>3</v>
          </cell>
          <cell r="R263">
            <v>8094594</v>
          </cell>
          <cell r="S263">
            <v>3</v>
          </cell>
          <cell r="T263">
            <v>16363694</v>
          </cell>
          <cell r="Y263">
            <v>6</v>
          </cell>
          <cell r="Z263">
            <v>24458288</v>
          </cell>
          <cell r="AA263">
            <v>30</v>
          </cell>
          <cell r="AB263">
            <v>240370738</v>
          </cell>
          <cell r="AC263">
            <v>41.666666666666671</v>
          </cell>
          <cell r="AD263">
            <v>16.024715866666668</v>
          </cell>
        </row>
        <row r="264">
          <cell r="C264" t="str">
            <v>01</v>
          </cell>
          <cell r="D264" t="str">
            <v>03</v>
          </cell>
          <cell r="E264" t="str">
            <v>01</v>
          </cell>
          <cell r="F264">
            <v>30</v>
          </cell>
          <cell r="G264">
            <v>55</v>
          </cell>
          <cell r="I264" t="str">
            <v>Pengembangan Program Hibah Air Minum</v>
          </cell>
          <cell r="J264" t="str">
            <v>jumlah pamsimas yang diobangun</v>
          </cell>
          <cell r="K264">
            <v>8</v>
          </cell>
          <cell r="L264">
            <v>6000000000</v>
          </cell>
          <cell r="M264">
            <v>1</v>
          </cell>
          <cell r="N264">
            <v>336359000</v>
          </cell>
          <cell r="O264">
            <v>1</v>
          </cell>
          <cell r="P264">
            <v>1950000000</v>
          </cell>
          <cell r="Q264">
            <v>0</v>
          </cell>
          <cell r="R264">
            <v>1277636</v>
          </cell>
          <cell r="S264">
            <v>0</v>
          </cell>
          <cell r="T264">
            <v>34034489</v>
          </cell>
          <cell r="Y264">
            <v>0</v>
          </cell>
          <cell r="Z264">
            <v>35312125</v>
          </cell>
          <cell r="AA264">
            <v>1</v>
          </cell>
          <cell r="AB264">
            <v>371671125</v>
          </cell>
          <cell r="AC264">
            <v>12.5</v>
          </cell>
          <cell r="AD264">
            <v>6.1945187500000003</v>
          </cell>
        </row>
        <row r="265">
          <cell r="C265" t="str">
            <v>01</v>
          </cell>
          <cell r="D265" t="str">
            <v>03</v>
          </cell>
          <cell r="E265" t="str">
            <v>01</v>
          </cell>
          <cell r="F265">
            <v>30</v>
          </cell>
          <cell r="G265">
            <v>56</v>
          </cell>
          <cell r="I265" t="str">
            <v>Pembangunan Pamsimas Reguler APBD</v>
          </cell>
          <cell r="J265" t="str">
            <v>Jumlah pamsimas yang terbangun</v>
          </cell>
          <cell r="K265">
            <v>8</v>
          </cell>
          <cell r="L265">
            <v>5880000000</v>
          </cell>
          <cell r="M265">
            <v>1</v>
          </cell>
          <cell r="N265">
            <v>979991000</v>
          </cell>
          <cell r="O265">
            <v>1</v>
          </cell>
          <cell r="P265">
            <v>980000000</v>
          </cell>
          <cell r="Q265">
            <v>0</v>
          </cell>
          <cell r="R265">
            <v>0</v>
          </cell>
          <cell r="Y265">
            <v>0</v>
          </cell>
          <cell r="Z265">
            <v>0</v>
          </cell>
          <cell r="AA265">
            <v>1</v>
          </cell>
          <cell r="AB265">
            <v>979991000</v>
          </cell>
          <cell r="AC265">
            <v>12.5</v>
          </cell>
          <cell r="AD265">
            <v>16.666513605442177</v>
          </cell>
        </row>
        <row r="266">
          <cell r="A266">
            <v>10</v>
          </cell>
          <cell r="C266" t="str">
            <v>01</v>
          </cell>
          <cell r="D266" t="str">
            <v>03</v>
          </cell>
          <cell r="E266" t="str">
            <v>01</v>
          </cell>
          <cell r="F266">
            <v>33</v>
          </cell>
          <cell r="I266" t="str">
            <v>PROGRAM MONITORING, EVALUASI DAN PELAPORAN</v>
          </cell>
          <cell r="J266" t="str">
            <v>Persentase efektifitas monoev</v>
          </cell>
          <cell r="K266">
            <v>100</v>
          </cell>
          <cell r="L266">
            <v>643552248</v>
          </cell>
          <cell r="M266">
            <v>65</v>
          </cell>
          <cell r="N266">
            <v>373601401</v>
          </cell>
          <cell r="O266">
            <v>8</v>
          </cell>
          <cell r="P266">
            <v>382456336.75</v>
          </cell>
          <cell r="Q266">
            <v>1</v>
          </cell>
          <cell r="R266">
            <v>53205612</v>
          </cell>
          <cell r="S266">
            <v>15</v>
          </cell>
          <cell r="T266">
            <v>110909186</v>
          </cell>
          <cell r="Y266">
            <v>16</v>
          </cell>
          <cell r="Z266">
            <v>164114798</v>
          </cell>
          <cell r="AA266">
            <v>81</v>
          </cell>
          <cell r="AB266">
            <v>537716199</v>
          </cell>
          <cell r="AC266">
            <v>0.81</v>
          </cell>
          <cell r="AD266">
            <v>0.8355439681410296</v>
          </cell>
          <cell r="AE266" t="str">
            <v>Dinas PUTR</v>
          </cell>
        </row>
        <row r="267">
          <cell r="C267" t="str">
            <v>01</v>
          </cell>
          <cell r="D267" t="str">
            <v>03</v>
          </cell>
          <cell r="E267" t="str">
            <v>01</v>
          </cell>
          <cell r="F267">
            <v>33</v>
          </cell>
          <cell r="G267" t="str">
            <v>01</v>
          </cell>
          <cell r="I267" t="str">
            <v>Monitoring Evaluasi dan Pelaporan</v>
          </cell>
          <cell r="J267" t="str">
            <v>Monitoring kegiatan fisik dan pembuatan laporan</v>
          </cell>
          <cell r="K267">
            <v>72</v>
          </cell>
          <cell r="L267">
            <v>174293474</v>
          </cell>
          <cell r="M267">
            <v>24</v>
          </cell>
          <cell r="N267">
            <v>102410516</v>
          </cell>
          <cell r="O267">
            <v>12</v>
          </cell>
          <cell r="P267">
            <v>128172575.75</v>
          </cell>
          <cell r="Q267">
            <v>3</v>
          </cell>
          <cell r="R267">
            <v>6969459</v>
          </cell>
          <cell r="S267">
            <v>3</v>
          </cell>
          <cell r="T267">
            <v>39214459</v>
          </cell>
          <cell r="Y267">
            <v>6</v>
          </cell>
          <cell r="Z267">
            <v>46183918</v>
          </cell>
          <cell r="AA267">
            <v>30</v>
          </cell>
          <cell r="AB267">
            <v>148594434</v>
          </cell>
          <cell r="AC267">
            <v>41.666666666666671</v>
          </cell>
          <cell r="AD267">
            <v>85.255305657628924</v>
          </cell>
        </row>
        <row r="268">
          <cell r="C268" t="str">
            <v>01</v>
          </cell>
          <cell r="D268" t="str">
            <v>03</v>
          </cell>
          <cell r="E268" t="str">
            <v>01</v>
          </cell>
          <cell r="F268">
            <v>33</v>
          </cell>
          <cell r="G268" t="str">
            <v>04</v>
          </cell>
          <cell r="I268" t="str">
            <v>Sinkronisasi Program DAK dan APBN</v>
          </cell>
          <cell r="J268" t="str">
            <v>Koordinasi kegiatan DAK dan APBN</v>
          </cell>
          <cell r="K268">
            <v>72</v>
          </cell>
          <cell r="L268">
            <v>269115499</v>
          </cell>
          <cell r="M268">
            <v>24</v>
          </cell>
          <cell r="N268">
            <v>226809873</v>
          </cell>
          <cell r="O268">
            <v>12</v>
          </cell>
          <cell r="P268">
            <v>210153120.25</v>
          </cell>
          <cell r="Q268">
            <v>3</v>
          </cell>
          <cell r="R268">
            <v>41640600</v>
          </cell>
          <cell r="S268">
            <v>3</v>
          </cell>
          <cell r="T268">
            <v>63088864</v>
          </cell>
          <cell r="Y268">
            <v>6</v>
          </cell>
          <cell r="Z268">
            <v>104729464</v>
          </cell>
          <cell r="AA268">
            <v>30</v>
          </cell>
          <cell r="AB268">
            <v>331539337</v>
          </cell>
          <cell r="AC268">
            <v>41.666666666666671</v>
          </cell>
          <cell r="AD268">
            <v>123.19592822857072</v>
          </cell>
        </row>
        <row r="269">
          <cell r="C269" t="str">
            <v>01</v>
          </cell>
          <cell r="D269" t="str">
            <v>03</v>
          </cell>
          <cell r="E269" t="str">
            <v>01</v>
          </cell>
          <cell r="F269">
            <v>33</v>
          </cell>
          <cell r="G269">
            <v>16</v>
          </cell>
          <cell r="I269" t="str">
            <v>Rencana Program dan Sinkronisasi RPI2JM- CIPTA KARYA</v>
          </cell>
          <cell r="J269" t="str">
            <v>Penyusunan Dokumen RPI2JM- CIPTA KARYA</v>
          </cell>
          <cell r="K269">
            <v>6</v>
          </cell>
          <cell r="L269">
            <v>165862644</v>
          </cell>
          <cell r="M269">
            <v>2</v>
          </cell>
          <cell r="N269">
            <v>35289072</v>
          </cell>
          <cell r="O269">
            <v>1</v>
          </cell>
          <cell r="P269">
            <v>33948116.75</v>
          </cell>
          <cell r="Q269">
            <v>0</v>
          </cell>
          <cell r="R269">
            <v>2518029</v>
          </cell>
          <cell r="S269">
            <v>0</v>
          </cell>
          <cell r="T269">
            <v>5022339</v>
          </cell>
          <cell r="Y269">
            <v>0</v>
          </cell>
          <cell r="Z269">
            <v>7540368</v>
          </cell>
          <cell r="AA269">
            <v>2</v>
          </cell>
          <cell r="AB269">
            <v>42829440</v>
          </cell>
          <cell r="AC269">
            <v>33.333333333333329</v>
          </cell>
          <cell r="AD269">
            <v>25.822233968487808</v>
          </cell>
        </row>
        <row r="270">
          <cell r="C270" t="str">
            <v>01</v>
          </cell>
          <cell r="D270" t="str">
            <v>03</v>
          </cell>
          <cell r="E270" t="str">
            <v>01</v>
          </cell>
          <cell r="F270">
            <v>33</v>
          </cell>
          <cell r="G270">
            <v>18</v>
          </cell>
          <cell r="I270" t="str">
            <v>Penyusunan Dokumen HSBGN</v>
          </cell>
          <cell r="J270" t="str">
            <v>Penyusunan Dokumen HSBGN</v>
          </cell>
          <cell r="K270">
            <v>6</v>
          </cell>
          <cell r="L270">
            <v>34280631</v>
          </cell>
          <cell r="M270">
            <v>2</v>
          </cell>
          <cell r="N270">
            <v>9091940</v>
          </cell>
          <cell r="O270">
            <v>1</v>
          </cell>
          <cell r="P270">
            <v>10182524</v>
          </cell>
          <cell r="Q270">
            <v>0</v>
          </cell>
          <cell r="R270">
            <v>2077524</v>
          </cell>
          <cell r="S270">
            <v>0</v>
          </cell>
          <cell r="T270">
            <v>3583524</v>
          </cell>
          <cell r="Y270">
            <v>0</v>
          </cell>
          <cell r="Z270">
            <v>5661048</v>
          </cell>
          <cell r="AA270">
            <v>2</v>
          </cell>
          <cell r="AB270">
            <v>14752988</v>
          </cell>
          <cell r="AC270">
            <v>33.333333333333329</v>
          </cell>
          <cell r="AD270">
            <v>43.03592894774895</v>
          </cell>
        </row>
        <row r="271">
          <cell r="A271">
            <v>11</v>
          </cell>
          <cell r="B271" t="str">
            <v>Meningkatnya kualitas lingkungan dan kawasan ruang terbuka hijau</v>
          </cell>
          <cell r="C271" t="str">
            <v>01</v>
          </cell>
          <cell r="D271" t="str">
            <v>03</v>
          </cell>
          <cell r="E271" t="str">
            <v>01</v>
          </cell>
          <cell r="F271">
            <v>35</v>
          </cell>
          <cell r="I271" t="str">
            <v>Program Pemeliharaan Sarana dan Prasarana Petamanan</v>
          </cell>
          <cell r="J271" t="str">
            <v>persentase taman kota kondisi baik</v>
          </cell>
          <cell r="K271">
            <v>100</v>
          </cell>
          <cell r="L271">
            <v>3715575840</v>
          </cell>
          <cell r="M271">
            <v>70</v>
          </cell>
          <cell r="N271">
            <v>920595496</v>
          </cell>
          <cell r="O271">
            <v>10</v>
          </cell>
          <cell r="P271">
            <v>693208691</v>
          </cell>
          <cell r="Q271">
            <v>2</v>
          </cell>
          <cell r="R271">
            <v>142539510</v>
          </cell>
          <cell r="S271">
            <v>5</v>
          </cell>
          <cell r="T271">
            <v>377065560</v>
          </cell>
          <cell r="Y271">
            <v>7</v>
          </cell>
          <cell r="Z271">
            <v>519605070</v>
          </cell>
          <cell r="AA271">
            <v>77</v>
          </cell>
          <cell r="AB271">
            <v>1440200566</v>
          </cell>
          <cell r="AC271">
            <v>77</v>
          </cell>
          <cell r="AD271">
            <v>38.761167259608406</v>
          </cell>
          <cell r="AE271" t="str">
            <v>Dinas PUTR</v>
          </cell>
        </row>
        <row r="272">
          <cell r="C272" t="str">
            <v>01</v>
          </cell>
          <cell r="D272" t="str">
            <v>03</v>
          </cell>
          <cell r="E272" t="str">
            <v>01</v>
          </cell>
          <cell r="F272">
            <v>35</v>
          </cell>
          <cell r="G272" t="str">
            <v>02</v>
          </cell>
          <cell r="I272" t="str">
            <v>Pemeliharaan dan Operasional Pertamanan</v>
          </cell>
          <cell r="J272" t="str">
            <v>Pemeliharaan taman (bln)</v>
          </cell>
          <cell r="K272">
            <v>72</v>
          </cell>
          <cell r="L272">
            <v>3715575840</v>
          </cell>
          <cell r="M272">
            <v>24</v>
          </cell>
          <cell r="N272">
            <v>920595496</v>
          </cell>
          <cell r="O272">
            <v>12</v>
          </cell>
          <cell r="P272">
            <v>693208691</v>
          </cell>
          <cell r="Q272">
            <v>1</v>
          </cell>
          <cell r="R272">
            <v>142539510</v>
          </cell>
          <cell r="S272">
            <v>5</v>
          </cell>
          <cell r="T272">
            <v>377065560</v>
          </cell>
          <cell r="Y272">
            <v>6</v>
          </cell>
          <cell r="Z272">
            <v>519605070</v>
          </cell>
          <cell r="AA272">
            <v>30</v>
          </cell>
          <cell r="AB272">
            <v>1440200566</v>
          </cell>
          <cell r="AC272">
            <v>41.666666666666671</v>
          </cell>
          <cell r="AD272">
            <v>38.761167259608406</v>
          </cell>
        </row>
        <row r="273">
          <cell r="A273">
            <v>12</v>
          </cell>
          <cell r="B273" t="str">
            <v>Meningkatnya kualitas infrastruktur jalan dan jembatan</v>
          </cell>
          <cell r="C273" t="str">
            <v>01</v>
          </cell>
          <cell r="D273" t="str">
            <v>03</v>
          </cell>
          <cell r="E273" t="str">
            <v>01</v>
          </cell>
          <cell r="F273">
            <v>15</v>
          </cell>
          <cell r="I273" t="str">
            <v>Program Pembangunan dan Peningkatan Jalan dan Jembatan</v>
          </cell>
          <cell r="J273" t="str">
            <v>Persentase kondisi jalan mantap (baik+sedang)</v>
          </cell>
          <cell r="K273">
            <v>40.43</v>
          </cell>
          <cell r="L273">
            <v>2688824510380</v>
          </cell>
          <cell r="M273">
            <v>37</v>
          </cell>
          <cell r="N273">
            <v>66607064576</v>
          </cell>
          <cell r="O273">
            <v>0.86</v>
          </cell>
          <cell r="P273">
            <v>52840683342.5</v>
          </cell>
          <cell r="Q273">
            <v>0</v>
          </cell>
          <cell r="R273">
            <v>1970670656</v>
          </cell>
          <cell r="T273">
            <v>19349891543</v>
          </cell>
          <cell r="Y273">
            <v>0</v>
          </cell>
          <cell r="Z273">
            <v>21320562199</v>
          </cell>
          <cell r="AA273">
            <v>37</v>
          </cell>
          <cell r="AB273">
            <v>87927626775</v>
          </cell>
          <cell r="AC273">
            <v>91.516200840959684</v>
          </cell>
          <cell r="AD273">
            <v>3.270114000953285</v>
          </cell>
          <cell r="AE273" t="str">
            <v>Dinas PUTR</v>
          </cell>
        </row>
        <row r="274">
          <cell r="I274" t="str">
            <v>Pembangunan jalan kabupaten</v>
          </cell>
          <cell r="J274" t="str">
            <v>panjang jalan yang dibangun</v>
          </cell>
          <cell r="K274">
            <v>60</v>
          </cell>
          <cell r="L274">
            <v>3400000000</v>
          </cell>
          <cell r="O274">
            <v>20</v>
          </cell>
          <cell r="P274">
            <v>690207163.5</v>
          </cell>
          <cell r="S274">
            <v>0.05</v>
          </cell>
          <cell r="T274">
            <v>187500000</v>
          </cell>
          <cell r="Y274">
            <v>0.05</v>
          </cell>
          <cell r="Z274">
            <v>187500000</v>
          </cell>
        </row>
        <row r="275">
          <cell r="C275" t="str">
            <v>01</v>
          </cell>
          <cell r="D275" t="str">
            <v>03</v>
          </cell>
          <cell r="E275" t="str">
            <v>01</v>
          </cell>
          <cell r="F275">
            <v>15</v>
          </cell>
          <cell r="G275">
            <v>25</v>
          </cell>
          <cell r="I275" t="str">
            <v>Peningkatan Jalan Kabupaten ( DAK 2018 )</v>
          </cell>
          <cell r="J275" t="str">
            <v>ruas jalan yang ditingkatkan (ruas)</v>
          </cell>
          <cell r="K275">
            <v>60</v>
          </cell>
          <cell r="L275">
            <v>2500000000000</v>
          </cell>
          <cell r="M275">
            <v>20</v>
          </cell>
          <cell r="N275">
            <v>34209300500</v>
          </cell>
          <cell r="O275">
            <v>6</v>
          </cell>
          <cell r="P275">
            <v>26001887000</v>
          </cell>
          <cell r="Q275">
            <v>0</v>
          </cell>
          <cell r="R275">
            <v>6419064</v>
          </cell>
          <cell r="S275">
            <v>0</v>
          </cell>
          <cell r="T275">
            <v>9989461109</v>
          </cell>
          <cell r="Y275">
            <v>0</v>
          </cell>
          <cell r="Z275">
            <v>9995880173</v>
          </cell>
          <cell r="AA275">
            <v>20</v>
          </cell>
          <cell r="AB275">
            <v>44205180673</v>
          </cell>
          <cell r="AC275">
            <v>33.333333333333329</v>
          </cell>
          <cell r="AD275">
            <v>1.76820722692</v>
          </cell>
        </row>
        <row r="276">
          <cell r="C276" t="str">
            <v>01</v>
          </cell>
          <cell r="D276" t="str">
            <v>03</v>
          </cell>
          <cell r="E276" t="str">
            <v>01</v>
          </cell>
          <cell r="F276">
            <v>15</v>
          </cell>
          <cell r="G276">
            <v>26</v>
          </cell>
          <cell r="I276" t="str">
            <v>Peningkatan Jalan (DAU )</v>
          </cell>
          <cell r="J276" t="str">
            <v>Persentase jalan kondisi baik</v>
          </cell>
          <cell r="K276">
            <v>20</v>
          </cell>
          <cell r="L276">
            <v>44074510380</v>
          </cell>
          <cell r="M276">
            <v>8</v>
          </cell>
          <cell r="N276">
            <v>15075057494</v>
          </cell>
          <cell r="O276">
            <v>4</v>
          </cell>
          <cell r="P276">
            <v>8814902076</v>
          </cell>
          <cell r="Q276">
            <v>0</v>
          </cell>
          <cell r="R276">
            <v>35102546</v>
          </cell>
          <cell r="S276">
            <v>2</v>
          </cell>
          <cell r="T276">
            <v>3668723982</v>
          </cell>
          <cell r="Y276">
            <v>2</v>
          </cell>
          <cell r="Z276">
            <v>3703826528</v>
          </cell>
          <cell r="AA276">
            <v>10</v>
          </cell>
          <cell r="AB276">
            <v>18778884022</v>
          </cell>
          <cell r="AC276">
            <v>50</v>
          </cell>
          <cell r="AD276">
            <v>42.6071301985953</v>
          </cell>
        </row>
        <row r="277">
          <cell r="C277" t="str">
            <v>01</v>
          </cell>
          <cell r="D277" t="str">
            <v>03</v>
          </cell>
          <cell r="E277" t="str">
            <v>01</v>
          </cell>
          <cell r="F277">
            <v>15</v>
          </cell>
          <cell r="G277" t="str">
            <v>05</v>
          </cell>
          <cell r="I277" t="str">
            <v>Pembangunan Jembatan Kabupaten</v>
          </cell>
          <cell r="J277" t="str">
            <v>Jembatan yang ditingkatlkan</v>
          </cell>
          <cell r="K277">
            <v>10</v>
          </cell>
          <cell r="L277">
            <v>26500000000</v>
          </cell>
          <cell r="M277">
            <v>1</v>
          </cell>
          <cell r="N277">
            <v>951976100</v>
          </cell>
          <cell r="O277">
            <v>3</v>
          </cell>
          <cell r="P277">
            <v>5840771180</v>
          </cell>
          <cell r="Q277">
            <v>0</v>
          </cell>
          <cell r="R277">
            <v>1795216465</v>
          </cell>
          <cell r="S277">
            <v>0</v>
          </cell>
          <cell r="T277">
            <v>3611216702</v>
          </cell>
          <cell r="Y277">
            <v>0</v>
          </cell>
          <cell r="Z277">
            <v>5406433167</v>
          </cell>
          <cell r="AA277">
            <v>1</v>
          </cell>
          <cell r="AB277">
            <v>6358409267</v>
          </cell>
          <cell r="AC277">
            <v>10</v>
          </cell>
          <cell r="AD277">
            <v>23.993997233962265</v>
          </cell>
          <cell r="AE277" t="str">
            <v xml:space="preserve">ada pekerjaan yg multiyears smpi tahun 2018 </v>
          </cell>
        </row>
        <row r="278">
          <cell r="C278" t="str">
            <v>01</v>
          </cell>
          <cell r="D278" t="str">
            <v>03</v>
          </cell>
          <cell r="E278" t="str">
            <v>01</v>
          </cell>
          <cell r="F278">
            <v>15</v>
          </cell>
          <cell r="G278">
            <v>24</v>
          </cell>
          <cell r="I278" t="str">
            <v xml:space="preserve">Perencanaan Pembangunan dan peningkatan Jalan </v>
          </cell>
          <cell r="J278" t="str">
            <v>Dokumen perencanaan jalan</v>
          </cell>
          <cell r="K278">
            <v>6</v>
          </cell>
          <cell r="L278">
            <v>2000000000</v>
          </cell>
          <cell r="O278">
            <v>1</v>
          </cell>
          <cell r="P278">
            <v>474461332.75</v>
          </cell>
          <cell r="Q278">
            <v>0</v>
          </cell>
          <cell r="R278">
            <v>7906022</v>
          </cell>
          <cell r="Y278">
            <v>0</v>
          </cell>
          <cell r="Z278">
            <v>7906022</v>
          </cell>
          <cell r="AA278">
            <v>0</v>
          </cell>
          <cell r="AB278">
            <v>7906022</v>
          </cell>
          <cell r="AC278">
            <v>0</v>
          </cell>
          <cell r="AD278">
            <v>0.39530110000000002</v>
          </cell>
        </row>
        <row r="279">
          <cell r="C279" t="str">
            <v>01</v>
          </cell>
          <cell r="D279" t="str">
            <v>03</v>
          </cell>
          <cell r="E279" t="str">
            <v>01</v>
          </cell>
          <cell r="F279">
            <v>15</v>
          </cell>
          <cell r="G279" t="str">
            <v>04</v>
          </cell>
          <cell r="I279" t="str">
            <v xml:space="preserve">Perencanaan Pembangunan Jembatan </v>
          </cell>
          <cell r="J279" t="str">
            <v>Dokumen perencanaan jembatan</v>
          </cell>
          <cell r="K279">
            <v>60</v>
          </cell>
          <cell r="L279">
            <v>1550000000</v>
          </cell>
          <cell r="M279">
            <v>20</v>
          </cell>
          <cell r="N279">
            <v>333278266</v>
          </cell>
          <cell r="O279">
            <v>10</v>
          </cell>
          <cell r="P279">
            <v>175192152</v>
          </cell>
          <cell r="R279">
            <v>0</v>
          </cell>
          <cell r="S279">
            <v>0.17</v>
          </cell>
          <cell r="T279">
            <v>95477500</v>
          </cell>
          <cell r="Y279">
            <v>0.17</v>
          </cell>
          <cell r="Z279">
            <v>95477500</v>
          </cell>
          <cell r="AA279">
            <v>20.170000000000002</v>
          </cell>
          <cell r="AB279">
            <v>428755766</v>
          </cell>
          <cell r="AC279">
            <v>33.616666666666667</v>
          </cell>
          <cell r="AD279">
            <v>27.661662322580643</v>
          </cell>
        </row>
        <row r="280">
          <cell r="C280" t="str">
            <v>01</v>
          </cell>
          <cell r="D280" t="str">
            <v>03</v>
          </cell>
          <cell r="E280" t="str">
            <v>01</v>
          </cell>
          <cell r="F280">
            <v>15</v>
          </cell>
          <cell r="G280" t="str">
            <v>07</v>
          </cell>
          <cell r="I280" t="str">
            <v>Pembangunan dan Peningkatan Jalan Kecamatan Tarusan</v>
          </cell>
          <cell r="J280" t="str">
            <v>ruas jalan kondisi baik</v>
          </cell>
          <cell r="K280">
            <v>20</v>
          </cell>
          <cell r="L280">
            <v>8000000000</v>
          </cell>
          <cell r="M280">
            <v>5</v>
          </cell>
          <cell r="N280">
            <v>1838862920</v>
          </cell>
          <cell r="O280">
            <v>3</v>
          </cell>
          <cell r="P280">
            <v>634214550</v>
          </cell>
          <cell r="R280">
            <v>2687500</v>
          </cell>
          <cell r="S280">
            <v>0.05</v>
          </cell>
          <cell r="T280">
            <v>47339624</v>
          </cell>
          <cell r="Y280">
            <v>0.05</v>
          </cell>
          <cell r="Z280">
            <v>50027124</v>
          </cell>
          <cell r="AA280">
            <v>5.05</v>
          </cell>
          <cell r="AB280">
            <v>1888890044</v>
          </cell>
          <cell r="AC280">
            <v>25.25</v>
          </cell>
          <cell r="AD280">
            <v>23.611125550000001</v>
          </cell>
        </row>
        <row r="281">
          <cell r="C281" t="str">
            <v>01</v>
          </cell>
          <cell r="D281" t="str">
            <v>03</v>
          </cell>
          <cell r="E281" t="str">
            <v>01</v>
          </cell>
          <cell r="F281">
            <v>15</v>
          </cell>
          <cell r="G281" t="str">
            <v>08</v>
          </cell>
          <cell r="I281" t="str">
            <v>Pembangunan dan Peningkatan Jalan Kecamatan Bayang</v>
          </cell>
          <cell r="J281" t="str">
            <v>Persentase jalan kondisi baik</v>
          </cell>
          <cell r="K281">
            <v>20</v>
          </cell>
          <cell r="L281">
            <v>8000000000</v>
          </cell>
          <cell r="M281">
            <v>5</v>
          </cell>
          <cell r="N281">
            <v>1588811520</v>
          </cell>
          <cell r="O281">
            <v>3</v>
          </cell>
          <cell r="P281">
            <v>2190500000</v>
          </cell>
          <cell r="R281">
            <v>0</v>
          </cell>
          <cell r="T281">
            <v>99512124</v>
          </cell>
          <cell r="Y281">
            <v>0</v>
          </cell>
          <cell r="Z281">
            <v>99512124</v>
          </cell>
          <cell r="AA281">
            <v>5</v>
          </cell>
          <cell r="AB281">
            <v>1688323644</v>
          </cell>
          <cell r="AC281">
            <v>25</v>
          </cell>
          <cell r="AD281">
            <v>21.104045549999999</v>
          </cell>
        </row>
        <row r="282">
          <cell r="C282" t="str">
            <v>01</v>
          </cell>
          <cell r="D282" t="str">
            <v>03</v>
          </cell>
          <cell r="E282" t="str">
            <v>01</v>
          </cell>
          <cell r="F282">
            <v>15</v>
          </cell>
          <cell r="G282" t="str">
            <v>09</v>
          </cell>
          <cell r="I282" t="str">
            <v>Pembangunan dan Peningkatan Jalan Kecamatan Bayang Utara</v>
          </cell>
          <cell r="J282" t="str">
            <v>Persentase jalan kondisi baik</v>
          </cell>
          <cell r="K282">
            <v>20</v>
          </cell>
          <cell r="L282">
            <v>8000000000</v>
          </cell>
          <cell r="M282">
            <v>5</v>
          </cell>
          <cell r="N282">
            <v>776689000</v>
          </cell>
          <cell r="O282">
            <v>3</v>
          </cell>
          <cell r="P282">
            <v>361500000</v>
          </cell>
          <cell r="R282">
            <v>0</v>
          </cell>
          <cell r="T282">
            <v>57760724</v>
          </cell>
          <cell r="Y282">
            <v>0</v>
          </cell>
          <cell r="Z282">
            <v>57760724</v>
          </cell>
          <cell r="AA282">
            <v>5</v>
          </cell>
          <cell r="AB282">
            <v>834449724</v>
          </cell>
          <cell r="AC282">
            <v>25</v>
          </cell>
          <cell r="AD282">
            <v>10.43062155</v>
          </cell>
        </row>
        <row r="283">
          <cell r="C283" t="str">
            <v>01</v>
          </cell>
          <cell r="D283" t="str">
            <v>03</v>
          </cell>
          <cell r="E283" t="str">
            <v>01</v>
          </cell>
          <cell r="F283">
            <v>15</v>
          </cell>
          <cell r="G283">
            <v>10</v>
          </cell>
          <cell r="I283" t="str">
            <v>Pembangunan dan Peningkatan Jalan Kecamatan IV Jurai</v>
          </cell>
          <cell r="J283" t="str">
            <v>Persentase jalan kondisi baik</v>
          </cell>
          <cell r="K283">
            <v>30</v>
          </cell>
          <cell r="L283">
            <v>8000000000</v>
          </cell>
          <cell r="M283">
            <v>5</v>
          </cell>
          <cell r="N283">
            <v>2230839976</v>
          </cell>
          <cell r="O283">
            <v>3</v>
          </cell>
          <cell r="P283">
            <v>1707973702.5</v>
          </cell>
          <cell r="Q283">
            <v>0</v>
          </cell>
          <cell r="R283">
            <v>630000</v>
          </cell>
          <cell r="S283">
            <v>0</v>
          </cell>
          <cell r="T283">
            <v>47339624</v>
          </cell>
          <cell r="Y283">
            <v>0</v>
          </cell>
          <cell r="Z283">
            <v>47969624</v>
          </cell>
          <cell r="AA283">
            <v>5</v>
          </cell>
          <cell r="AB283">
            <v>2278809600</v>
          </cell>
          <cell r="AC283">
            <v>16.666666666666664</v>
          </cell>
          <cell r="AD283">
            <v>28.485120000000002</v>
          </cell>
        </row>
        <row r="284">
          <cell r="C284" t="str">
            <v>01</v>
          </cell>
          <cell r="D284" t="str">
            <v>03</v>
          </cell>
          <cell r="E284" t="str">
            <v>01</v>
          </cell>
          <cell r="F284">
            <v>15</v>
          </cell>
          <cell r="G284">
            <v>11</v>
          </cell>
          <cell r="I284" t="str">
            <v>Pembangunan dan Peningkatan Jalan Kecamatan Batang Kapas</v>
          </cell>
          <cell r="J284" t="str">
            <v>Persentase jalan kondisi baik</v>
          </cell>
          <cell r="K284">
            <v>20</v>
          </cell>
          <cell r="L284">
            <v>8000000000</v>
          </cell>
          <cell r="M284">
            <v>5</v>
          </cell>
          <cell r="N284">
            <v>875367460</v>
          </cell>
          <cell r="O284">
            <v>3</v>
          </cell>
          <cell r="P284">
            <v>1221500000</v>
          </cell>
          <cell r="Q284">
            <v>0</v>
          </cell>
          <cell r="R284">
            <v>1675000</v>
          </cell>
          <cell r="S284">
            <v>0</v>
          </cell>
          <cell r="T284">
            <v>99512124</v>
          </cell>
          <cell r="Y284">
            <v>0</v>
          </cell>
          <cell r="Z284">
            <v>101187124</v>
          </cell>
          <cell r="AA284">
            <v>5</v>
          </cell>
          <cell r="AB284">
            <v>976554584</v>
          </cell>
          <cell r="AC284">
            <v>25</v>
          </cell>
          <cell r="AD284">
            <v>12.2069323</v>
          </cell>
        </row>
        <row r="285">
          <cell r="C285" t="str">
            <v>01</v>
          </cell>
          <cell r="D285" t="str">
            <v>03</v>
          </cell>
          <cell r="E285" t="str">
            <v>01</v>
          </cell>
          <cell r="F285">
            <v>15</v>
          </cell>
          <cell r="G285">
            <v>12</v>
          </cell>
          <cell r="I285" t="str">
            <v>Pembangunan dan Peningkatan Jalan Kecamatan Sutera</v>
          </cell>
          <cell r="J285" t="str">
            <v>Persentase jalan kondisi baik</v>
          </cell>
          <cell r="K285">
            <v>20</v>
          </cell>
          <cell r="L285">
            <v>8000000000</v>
          </cell>
          <cell r="M285">
            <v>5</v>
          </cell>
          <cell r="N285">
            <v>1892245120</v>
          </cell>
          <cell r="O285">
            <v>3</v>
          </cell>
          <cell r="P285">
            <v>246452744</v>
          </cell>
          <cell r="R285">
            <v>610000</v>
          </cell>
          <cell r="S285">
            <v>0</v>
          </cell>
          <cell r="T285">
            <v>57760724</v>
          </cell>
          <cell r="Y285">
            <v>0</v>
          </cell>
          <cell r="Z285">
            <v>58370724</v>
          </cell>
          <cell r="AA285">
            <v>5</v>
          </cell>
          <cell r="AB285">
            <v>1950615844</v>
          </cell>
          <cell r="AC285">
            <v>25</v>
          </cell>
          <cell r="AD285">
            <v>24.382698050000002</v>
          </cell>
        </row>
        <row r="286">
          <cell r="C286" t="str">
            <v>01</v>
          </cell>
          <cell r="D286" t="str">
            <v>03</v>
          </cell>
          <cell r="E286" t="str">
            <v>01</v>
          </cell>
          <cell r="F286">
            <v>15</v>
          </cell>
          <cell r="G286">
            <v>13</v>
          </cell>
          <cell r="I286" t="str">
            <v>Pembangunan dan Peningkatan Jalan Kecamatan Lengayang</v>
          </cell>
          <cell r="J286" t="str">
            <v>Persentase jalan kondisi baik</v>
          </cell>
          <cell r="K286">
            <v>20</v>
          </cell>
          <cell r="L286">
            <v>8000000000</v>
          </cell>
          <cell r="M286">
            <v>5</v>
          </cell>
          <cell r="N286">
            <v>2613216772</v>
          </cell>
          <cell r="O286">
            <v>3</v>
          </cell>
          <cell r="P286">
            <v>898555629.5</v>
          </cell>
          <cell r="Q286">
            <v>0</v>
          </cell>
          <cell r="R286">
            <v>875000</v>
          </cell>
          <cell r="S286">
            <v>3</v>
          </cell>
          <cell r="T286">
            <v>739893724</v>
          </cell>
          <cell r="Y286">
            <v>3</v>
          </cell>
          <cell r="Z286">
            <v>740768724</v>
          </cell>
          <cell r="AA286">
            <v>8</v>
          </cell>
          <cell r="AB286">
            <v>3353985496</v>
          </cell>
          <cell r="AC286">
            <v>40</v>
          </cell>
          <cell r="AD286">
            <v>41.924818700000003</v>
          </cell>
        </row>
        <row r="287">
          <cell r="C287" t="str">
            <v>01</v>
          </cell>
          <cell r="D287" t="str">
            <v>03</v>
          </cell>
          <cell r="E287" t="str">
            <v>01</v>
          </cell>
          <cell r="F287">
            <v>15</v>
          </cell>
          <cell r="G287">
            <v>14</v>
          </cell>
          <cell r="I287" t="str">
            <v>Pembangunan dan Peningkatan Jalan Kecamatan Ranah Pesisir</v>
          </cell>
          <cell r="J287" t="str">
            <v>Persentase jalan kondisi baik</v>
          </cell>
          <cell r="K287">
            <v>20</v>
          </cell>
          <cell r="L287">
            <v>8000000000</v>
          </cell>
          <cell r="M287">
            <v>5</v>
          </cell>
          <cell r="N287">
            <v>1094605048</v>
          </cell>
          <cell r="O287">
            <v>3</v>
          </cell>
          <cell r="P287">
            <v>295462438</v>
          </cell>
          <cell r="R287">
            <v>987500</v>
          </cell>
          <cell r="S287">
            <v>3</v>
          </cell>
          <cell r="T287">
            <v>294474938</v>
          </cell>
          <cell r="Y287">
            <v>3</v>
          </cell>
          <cell r="Z287">
            <v>295462438</v>
          </cell>
          <cell r="AA287">
            <v>8</v>
          </cell>
          <cell r="AB287">
            <v>1390067486</v>
          </cell>
          <cell r="AC287">
            <v>40</v>
          </cell>
          <cell r="AD287">
            <v>17.375843575000001</v>
          </cell>
        </row>
        <row r="288">
          <cell r="C288" t="str">
            <v>01</v>
          </cell>
          <cell r="D288" t="str">
            <v>03</v>
          </cell>
          <cell r="E288" t="str">
            <v>01</v>
          </cell>
          <cell r="F288">
            <v>15</v>
          </cell>
          <cell r="G288">
            <v>15</v>
          </cell>
          <cell r="I288" t="str">
            <v>Pembangunan dan Peningkatan Jalan Kecamatan Linggo Sari Baganti</v>
          </cell>
          <cell r="J288" t="str">
            <v>Persentase jalan kondisi baik</v>
          </cell>
          <cell r="K288">
            <v>20</v>
          </cell>
          <cell r="L288">
            <v>8000000000</v>
          </cell>
          <cell r="M288">
            <v>5</v>
          </cell>
          <cell r="N288">
            <v>879674500</v>
          </cell>
          <cell r="O288">
            <v>3</v>
          </cell>
          <cell r="P288">
            <v>744000000</v>
          </cell>
          <cell r="R288">
            <v>1037500</v>
          </cell>
          <cell r="S288">
            <v>0</v>
          </cell>
          <cell r="T288">
            <v>97391462</v>
          </cell>
          <cell r="Y288">
            <v>0</v>
          </cell>
          <cell r="Z288">
            <v>98428962</v>
          </cell>
          <cell r="AA288">
            <v>5</v>
          </cell>
          <cell r="AB288">
            <v>978103462</v>
          </cell>
          <cell r="AC288">
            <v>25</v>
          </cell>
          <cell r="AD288">
            <v>12.226293275</v>
          </cell>
        </row>
        <row r="289">
          <cell r="C289" t="str">
            <v>01</v>
          </cell>
          <cell r="D289" t="str">
            <v>03</v>
          </cell>
          <cell r="E289" t="str">
            <v>01</v>
          </cell>
          <cell r="F289">
            <v>15</v>
          </cell>
          <cell r="G289">
            <v>16</v>
          </cell>
          <cell r="I289" t="str">
            <v>Pembangunan dan Peningkatan Jalan Kecamatan Air Pura</v>
          </cell>
          <cell r="J289" t="str">
            <v>Persentase jalan kondisi baik</v>
          </cell>
          <cell r="K289">
            <v>10</v>
          </cell>
          <cell r="L289">
            <v>6000000000</v>
          </cell>
          <cell r="M289">
            <v>5</v>
          </cell>
          <cell r="N289">
            <v>142410000</v>
          </cell>
          <cell r="O289">
            <v>3</v>
          </cell>
          <cell r="P289">
            <v>147000000</v>
          </cell>
          <cell r="R289">
            <v>0</v>
          </cell>
          <cell r="S289">
            <v>3</v>
          </cell>
          <cell r="T289">
            <v>147000000</v>
          </cell>
          <cell r="Y289">
            <v>3</v>
          </cell>
          <cell r="Z289">
            <v>147000000</v>
          </cell>
          <cell r="AA289">
            <v>8</v>
          </cell>
          <cell r="AB289">
            <v>289410000</v>
          </cell>
          <cell r="AC289">
            <v>80</v>
          </cell>
          <cell r="AD289">
            <v>4.8235000000000001</v>
          </cell>
        </row>
        <row r="290">
          <cell r="C290" t="str">
            <v>01</v>
          </cell>
          <cell r="D290" t="str">
            <v>03</v>
          </cell>
          <cell r="E290" t="str">
            <v>01</v>
          </cell>
          <cell r="F290">
            <v>15</v>
          </cell>
          <cell r="G290">
            <v>17</v>
          </cell>
          <cell r="I290" t="str">
            <v>Pembangunan dan Peningkatan Jalan Kecamatan Pancung Soal</v>
          </cell>
          <cell r="J290" t="str">
            <v>Persentase jalan kondisi baik</v>
          </cell>
          <cell r="K290">
            <v>15</v>
          </cell>
          <cell r="L290">
            <v>6000000000</v>
          </cell>
          <cell r="M290">
            <v>5</v>
          </cell>
          <cell r="N290">
            <v>228741000</v>
          </cell>
          <cell r="O290">
            <v>3</v>
          </cell>
          <cell r="P290">
            <v>490308938</v>
          </cell>
          <cell r="R290">
            <v>0</v>
          </cell>
          <cell r="S290">
            <v>0</v>
          </cell>
          <cell r="T290">
            <v>1239624</v>
          </cell>
          <cell r="Y290">
            <v>0</v>
          </cell>
          <cell r="Z290">
            <v>1239624</v>
          </cell>
          <cell r="AA290">
            <v>5</v>
          </cell>
          <cell r="AB290">
            <v>229980624</v>
          </cell>
          <cell r="AC290">
            <v>33.333333333333329</v>
          </cell>
          <cell r="AD290">
            <v>3.8330103999999996</v>
          </cell>
        </row>
        <row r="291">
          <cell r="C291" t="str">
            <v>01</v>
          </cell>
          <cell r="D291" t="str">
            <v>03</v>
          </cell>
          <cell r="E291" t="str">
            <v>01</v>
          </cell>
          <cell r="F291">
            <v>15</v>
          </cell>
          <cell r="G291">
            <v>18</v>
          </cell>
          <cell r="I291" t="str">
            <v>Pembangunan dan Peningkatan Jalan Kecamatan Basa Ampek Balai Tapan</v>
          </cell>
          <cell r="J291" t="str">
            <v>Persentase jalan kondisi baik</v>
          </cell>
          <cell r="K291">
            <v>15</v>
          </cell>
          <cell r="L291">
            <v>6000000000</v>
          </cell>
          <cell r="M291">
            <v>5</v>
          </cell>
          <cell r="N291">
            <v>96477000</v>
          </cell>
          <cell r="O291">
            <v>3</v>
          </cell>
          <cell r="P291">
            <v>199127579.5</v>
          </cell>
          <cell r="R291">
            <v>1212500</v>
          </cell>
          <cell r="S291">
            <v>2</v>
          </cell>
          <cell r="T291">
            <v>100439624</v>
          </cell>
          <cell r="Y291">
            <v>2</v>
          </cell>
          <cell r="Z291">
            <v>101652124</v>
          </cell>
          <cell r="AA291">
            <v>7</v>
          </cell>
          <cell r="AB291">
            <v>198129124</v>
          </cell>
          <cell r="AC291">
            <v>46.666666666666664</v>
          </cell>
          <cell r="AD291">
            <v>3.3021520666666664</v>
          </cell>
        </row>
        <row r="292">
          <cell r="C292" t="str">
            <v>01</v>
          </cell>
          <cell r="D292" t="str">
            <v>03</v>
          </cell>
          <cell r="E292" t="str">
            <v>01</v>
          </cell>
          <cell r="F292">
            <v>15</v>
          </cell>
          <cell r="G292">
            <v>19</v>
          </cell>
          <cell r="I292" t="str">
            <v>Pembangunan dan Peningkatan Jalan Kecamatan Ranah Ampek Hulu Tapan</v>
          </cell>
          <cell r="J292" t="str">
            <v>Persentase jalan kondisi baik</v>
          </cell>
          <cell r="K292">
            <v>10</v>
          </cell>
          <cell r="L292">
            <v>6000000000</v>
          </cell>
          <cell r="M292">
            <v>5</v>
          </cell>
          <cell r="N292">
            <v>149656500</v>
          </cell>
          <cell r="O292">
            <v>3</v>
          </cell>
          <cell r="P292">
            <v>195000000</v>
          </cell>
          <cell r="R292">
            <v>0</v>
          </cell>
          <cell r="S292">
            <v>0</v>
          </cell>
          <cell r="T292">
            <v>1116062</v>
          </cell>
          <cell r="Y292">
            <v>0</v>
          </cell>
          <cell r="Z292">
            <v>1116062</v>
          </cell>
          <cell r="AA292">
            <v>5</v>
          </cell>
          <cell r="AB292">
            <v>150772562</v>
          </cell>
          <cell r="AC292">
            <v>50</v>
          </cell>
          <cell r="AD292">
            <v>2.5128760333333333</v>
          </cell>
        </row>
        <row r="293">
          <cell r="C293" t="str">
            <v>01</v>
          </cell>
          <cell r="D293" t="str">
            <v>03</v>
          </cell>
          <cell r="E293" t="str">
            <v>01</v>
          </cell>
          <cell r="F293">
            <v>15</v>
          </cell>
          <cell r="G293">
            <v>20</v>
          </cell>
          <cell r="I293" t="str">
            <v>Pembangunan dan Peningkatan Jalan Kecamatan Lunang</v>
          </cell>
          <cell r="J293" t="str">
            <v>Persentase jalan kondisi baik</v>
          </cell>
          <cell r="K293">
            <v>10</v>
          </cell>
          <cell r="L293">
            <v>6000000000</v>
          </cell>
          <cell r="M293">
            <v>5</v>
          </cell>
          <cell r="N293">
            <v>831746000</v>
          </cell>
          <cell r="O293">
            <v>3</v>
          </cell>
          <cell r="P293">
            <v>292500000</v>
          </cell>
          <cell r="R293">
            <v>1250000</v>
          </cell>
          <cell r="S293">
            <v>0</v>
          </cell>
          <cell r="T293">
            <v>2532124</v>
          </cell>
          <cell r="Y293">
            <v>0</v>
          </cell>
          <cell r="Z293">
            <v>3782124</v>
          </cell>
          <cell r="AA293">
            <v>5</v>
          </cell>
          <cell r="AB293">
            <v>835528124</v>
          </cell>
          <cell r="AC293">
            <v>50</v>
          </cell>
          <cell r="AD293">
            <v>13.925468733333332</v>
          </cell>
        </row>
        <row r="294">
          <cell r="C294" t="str">
            <v>01</v>
          </cell>
          <cell r="D294" t="str">
            <v>03</v>
          </cell>
          <cell r="E294" t="str">
            <v>01</v>
          </cell>
          <cell r="F294">
            <v>43</v>
          </cell>
          <cell r="G294">
            <v>82</v>
          </cell>
          <cell r="I294" t="str">
            <v>Pembangunan dan Peningkatan Jalan Kecamatan Silaut</v>
          </cell>
          <cell r="J294" t="str">
            <v>Persentase jalan kondisi baik</v>
          </cell>
          <cell r="K294">
            <v>15</v>
          </cell>
          <cell r="L294">
            <v>6000000000</v>
          </cell>
          <cell r="M294">
            <v>5</v>
          </cell>
          <cell r="N294">
            <v>479965800</v>
          </cell>
          <cell r="O294">
            <v>3</v>
          </cell>
          <cell r="P294">
            <v>0</v>
          </cell>
          <cell r="T294">
            <v>2797624</v>
          </cell>
          <cell r="Y294">
            <v>0</v>
          </cell>
          <cell r="Z294">
            <v>2797624</v>
          </cell>
          <cell r="AA294">
            <v>5</v>
          </cell>
          <cell r="AB294">
            <v>482763424</v>
          </cell>
          <cell r="AC294">
            <v>33.333333333333329</v>
          </cell>
          <cell r="AD294">
            <v>8.0460570666666662</v>
          </cell>
        </row>
        <row r="295">
          <cell r="C295" t="str">
            <v>01</v>
          </cell>
          <cell r="D295" t="str">
            <v>03</v>
          </cell>
          <cell r="E295" t="str">
            <v>01</v>
          </cell>
          <cell r="F295">
            <v>15</v>
          </cell>
          <cell r="G295">
            <v>29</v>
          </cell>
          <cell r="I295" t="str">
            <v>Penunjang DAK Peningkatan Jalan Kabupaten</v>
          </cell>
          <cell r="J295" t="str">
            <v>Persentase penunjang</v>
          </cell>
          <cell r="K295">
            <v>72</v>
          </cell>
          <cell r="L295">
            <v>900000000</v>
          </cell>
          <cell r="M295">
            <v>24</v>
          </cell>
          <cell r="N295">
            <v>173095500</v>
          </cell>
          <cell r="O295">
            <v>12</v>
          </cell>
          <cell r="P295">
            <v>169087804</v>
          </cell>
          <cell r="Q295">
            <v>3</v>
          </cell>
          <cell r="R295">
            <v>15619059</v>
          </cell>
          <cell r="Y295">
            <v>3</v>
          </cell>
          <cell r="Z295">
            <v>15619059</v>
          </cell>
          <cell r="AA295">
            <v>27</v>
          </cell>
          <cell r="AB295">
            <v>188714559</v>
          </cell>
          <cell r="AC295">
            <v>37.5</v>
          </cell>
          <cell r="AD295">
            <v>20.968284333333333</v>
          </cell>
        </row>
        <row r="296">
          <cell r="C296" t="str">
            <v>01</v>
          </cell>
          <cell r="D296" t="str">
            <v>03</v>
          </cell>
          <cell r="E296" t="str">
            <v>01</v>
          </cell>
          <cell r="F296">
            <v>15</v>
          </cell>
          <cell r="G296">
            <v>31</v>
          </cell>
          <cell r="I296" t="str">
            <v>Penguatan Data Base dan Survey Kondisi ( DAK )</v>
          </cell>
          <cell r="J296" t="str">
            <v>Database jalan</v>
          </cell>
          <cell r="K296">
            <v>6</v>
          </cell>
          <cell r="L296">
            <v>900000000</v>
          </cell>
          <cell r="M296">
            <v>1</v>
          </cell>
          <cell r="N296">
            <v>145048100</v>
          </cell>
          <cell r="O296">
            <v>1</v>
          </cell>
          <cell r="P296">
            <v>150000000</v>
          </cell>
          <cell r="Q296">
            <v>0</v>
          </cell>
          <cell r="R296">
            <v>99442500</v>
          </cell>
          <cell r="S296">
            <v>0.5</v>
          </cell>
          <cell r="T296">
            <v>1402124</v>
          </cell>
          <cell r="Y296">
            <v>0.5</v>
          </cell>
          <cell r="Z296">
            <v>100844624</v>
          </cell>
          <cell r="AA296">
            <v>1.5</v>
          </cell>
          <cell r="AB296">
            <v>245892724</v>
          </cell>
          <cell r="AC296">
            <v>25</v>
          </cell>
          <cell r="AD296">
            <v>27.321413777777774</v>
          </cell>
        </row>
        <row r="297">
          <cell r="C297" t="str">
            <v>01</v>
          </cell>
          <cell r="D297" t="str">
            <v>03</v>
          </cell>
          <cell r="E297" t="str">
            <v>01</v>
          </cell>
          <cell r="F297">
            <v>15</v>
          </cell>
          <cell r="G297">
            <v>30</v>
          </cell>
          <cell r="I297" t="str">
            <v xml:space="preserve">Penguatan Data Base dan Survey Kondisi </v>
          </cell>
          <cell r="J297" t="str">
            <v>Database jalan</v>
          </cell>
          <cell r="K297">
            <v>6</v>
          </cell>
          <cell r="L297">
            <v>900000000</v>
          </cell>
          <cell r="N297">
            <v>0</v>
          </cell>
          <cell r="O297">
            <v>1</v>
          </cell>
          <cell r="P297">
            <v>100079052.75</v>
          </cell>
          <cell r="Q297">
            <v>0.6</v>
          </cell>
          <cell r="R297">
            <v>0</v>
          </cell>
          <cell r="Y297">
            <v>0.6</v>
          </cell>
          <cell r="Z297">
            <v>0</v>
          </cell>
          <cell r="AA297">
            <v>0.6</v>
          </cell>
          <cell r="AB297">
            <v>0</v>
          </cell>
          <cell r="AC297">
            <v>10</v>
          </cell>
          <cell r="AD297">
            <v>0</v>
          </cell>
        </row>
        <row r="298">
          <cell r="C298" t="str">
            <v>01</v>
          </cell>
          <cell r="D298" t="str">
            <v>03</v>
          </cell>
          <cell r="E298" t="str">
            <v>01</v>
          </cell>
          <cell r="F298">
            <v>15</v>
          </cell>
          <cell r="G298">
            <v>32</v>
          </cell>
          <cell r="I298" t="str">
            <v>Pembangunan Jalan ( TMMD )</v>
          </cell>
          <cell r="J298" t="str">
            <v>Persentase jalan kondisi baik</v>
          </cell>
          <cell r="K298">
            <v>5</v>
          </cell>
          <cell r="L298">
            <v>4000000000</v>
          </cell>
          <cell r="O298">
            <v>1</v>
          </cell>
          <cell r="P298">
            <v>800000000</v>
          </cell>
          <cell r="Q298">
            <v>0</v>
          </cell>
          <cell r="R298">
            <v>0</v>
          </cell>
          <cell r="Y298">
            <v>0</v>
          </cell>
          <cell r="Z298">
            <v>0</v>
          </cell>
          <cell r="AA298">
            <v>0</v>
          </cell>
          <cell r="AB298">
            <v>0</v>
          </cell>
          <cell r="AC298">
            <v>0</v>
          </cell>
          <cell r="AD298">
            <v>0</v>
          </cell>
        </row>
        <row r="299">
          <cell r="A299">
            <v>13</v>
          </cell>
          <cell r="B299" t="str">
            <v>Meningkatnya kualitas penataan ruang dan penataan bangunan</v>
          </cell>
          <cell r="C299" t="str">
            <v>01</v>
          </cell>
          <cell r="D299" t="str">
            <v>03</v>
          </cell>
          <cell r="E299" t="str">
            <v>01</v>
          </cell>
          <cell r="F299">
            <v>36</v>
          </cell>
          <cell r="I299" t="str">
            <v>Program Pengendalian dan Pemanfaatan Ruang</v>
          </cell>
          <cell r="J299" t="str">
            <v>Persentase Pengendalian dan Pemanfaatan Ruang</v>
          </cell>
          <cell r="K299">
            <v>95</v>
          </cell>
          <cell r="L299">
            <v>1257174568</v>
          </cell>
          <cell r="M299">
            <v>80</v>
          </cell>
          <cell r="N299">
            <v>0</v>
          </cell>
          <cell r="O299">
            <v>5</v>
          </cell>
          <cell r="P299">
            <v>895466687.25</v>
          </cell>
          <cell r="Q299">
            <v>0</v>
          </cell>
          <cell r="R299">
            <v>20056000</v>
          </cell>
          <cell r="S299">
            <v>1</v>
          </cell>
          <cell r="T299">
            <v>197516250</v>
          </cell>
          <cell r="Y299">
            <v>1</v>
          </cell>
          <cell r="Z299">
            <v>217572250</v>
          </cell>
          <cell r="AA299">
            <v>81</v>
          </cell>
          <cell r="AB299">
            <v>217572250</v>
          </cell>
          <cell r="AC299">
            <v>85.263157894736835</v>
          </cell>
          <cell r="AD299">
            <v>17.306446975468884</v>
          </cell>
          <cell r="AE299" t="str">
            <v>Dinas PUTR</v>
          </cell>
        </row>
        <row r="300">
          <cell r="C300" t="str">
            <v>01</v>
          </cell>
          <cell r="D300" t="str">
            <v>03</v>
          </cell>
          <cell r="E300" t="str">
            <v>01</v>
          </cell>
          <cell r="F300">
            <v>36</v>
          </cell>
          <cell r="G300" t="str">
            <v>02</v>
          </cell>
          <cell r="I300" t="str">
            <v>Rencana Detail Tata Ruang Kota Kambang Kec. Lengayang</v>
          </cell>
          <cell r="J300" t="str">
            <v>Tersusunnya RDTR</v>
          </cell>
          <cell r="K300">
            <v>1</v>
          </cell>
          <cell r="L300">
            <v>800000000</v>
          </cell>
          <cell r="O300">
            <v>1</v>
          </cell>
          <cell r="P300">
            <v>790846771</v>
          </cell>
          <cell r="Q300">
            <v>0</v>
          </cell>
          <cell r="S300">
            <v>0.35</v>
          </cell>
          <cell r="T300">
            <v>150333000</v>
          </cell>
          <cell r="Y300">
            <v>0.35</v>
          </cell>
          <cell r="Z300">
            <v>150333000</v>
          </cell>
          <cell r="AA300">
            <v>0.35</v>
          </cell>
          <cell r="AB300">
            <v>150333000</v>
          </cell>
          <cell r="AC300">
            <v>35</v>
          </cell>
          <cell r="AD300">
            <v>18.791625</v>
          </cell>
        </row>
        <row r="301">
          <cell r="C301" t="str">
            <v>01</v>
          </cell>
          <cell r="D301" t="str">
            <v>03</v>
          </cell>
          <cell r="E301" t="str">
            <v>01</v>
          </cell>
          <cell r="F301">
            <v>36</v>
          </cell>
          <cell r="G301" t="str">
            <v>06</v>
          </cell>
          <cell r="I301" t="str">
            <v>Koordinasi BKPRD</v>
          </cell>
          <cell r="J301" t="str">
            <v>Terselengaranya TPKRD (bln)</v>
          </cell>
          <cell r="K301">
            <v>48</v>
          </cell>
          <cell r="L301">
            <v>457174568</v>
          </cell>
          <cell r="O301">
            <v>12</v>
          </cell>
          <cell r="P301">
            <v>104619916.25</v>
          </cell>
          <cell r="Q301">
            <v>3</v>
          </cell>
          <cell r="R301">
            <v>20056000</v>
          </cell>
          <cell r="S301">
            <v>3</v>
          </cell>
          <cell r="T301">
            <v>47183250</v>
          </cell>
          <cell r="Y301">
            <v>6</v>
          </cell>
          <cell r="Z301">
            <v>67239250</v>
          </cell>
          <cell r="AA301">
            <v>6</v>
          </cell>
          <cell r="AB301">
            <v>67239250</v>
          </cell>
          <cell r="AC301">
            <v>12.5</v>
          </cell>
          <cell r="AD301">
            <v>14.707565710435579</v>
          </cell>
        </row>
        <row r="302">
          <cell r="A302">
            <v>15</v>
          </cell>
          <cell r="C302" t="str">
            <v>01</v>
          </cell>
          <cell r="D302" t="str">
            <v>03</v>
          </cell>
          <cell r="E302" t="str">
            <v>01</v>
          </cell>
          <cell r="F302">
            <v>32</v>
          </cell>
          <cell r="I302" t="str">
            <v>Program Pengaturan Jasa Konstruksi</v>
          </cell>
          <cell r="J302" t="str">
            <v>Persentase Pengaturan Jasa Konstruksi</v>
          </cell>
          <cell r="K302">
            <v>100</v>
          </cell>
          <cell r="L302">
            <v>31944000</v>
          </cell>
          <cell r="M302">
            <v>50</v>
          </cell>
          <cell r="N302">
            <v>24706300</v>
          </cell>
          <cell r="O302">
            <v>10</v>
          </cell>
          <cell r="P302">
            <v>35889602.5</v>
          </cell>
          <cell r="Q302">
            <v>0</v>
          </cell>
          <cell r="R302">
            <v>2667100</v>
          </cell>
          <cell r="S302">
            <v>0</v>
          </cell>
          <cell r="T302">
            <v>25280145</v>
          </cell>
          <cell r="Y302">
            <v>0</v>
          </cell>
          <cell r="Z302">
            <v>27947245</v>
          </cell>
          <cell r="AA302">
            <v>50</v>
          </cell>
          <cell r="AB302">
            <v>52653545</v>
          </cell>
          <cell r="AC302">
            <v>50</v>
          </cell>
          <cell r="AD302">
            <v>164.83078199348859</v>
          </cell>
          <cell r="AE302" t="str">
            <v>Dinas PUTR</v>
          </cell>
        </row>
        <row r="303">
          <cell r="C303" t="str">
            <v>01</v>
          </cell>
          <cell r="D303" t="str">
            <v>03</v>
          </cell>
          <cell r="E303" t="str">
            <v>01</v>
          </cell>
          <cell r="F303">
            <v>32</v>
          </cell>
          <cell r="G303" t="str">
            <v>01</v>
          </cell>
          <cell r="I303" t="str">
            <v>Pengaturan dan Penyelenggaraan Izin Usaha Jasa Konstruksi</v>
          </cell>
          <cell r="J303" t="str">
            <v>terlaksanaya proses  rekomendasi IUJK (bln)</v>
          </cell>
          <cell r="K303">
            <v>72</v>
          </cell>
          <cell r="L303">
            <v>31944000</v>
          </cell>
          <cell r="M303">
            <v>24</v>
          </cell>
          <cell r="N303">
            <v>24706300</v>
          </cell>
          <cell r="O303">
            <v>12</v>
          </cell>
          <cell r="P303">
            <v>35889602.5</v>
          </cell>
          <cell r="Q303">
            <v>3</v>
          </cell>
          <cell r="R303">
            <v>2667100</v>
          </cell>
          <cell r="S303">
            <v>3</v>
          </cell>
          <cell r="T303">
            <v>25280145</v>
          </cell>
          <cell r="Y303">
            <v>6</v>
          </cell>
          <cell r="Z303">
            <v>27947245</v>
          </cell>
          <cell r="AA303">
            <v>30</v>
          </cell>
          <cell r="AB303">
            <v>52653545</v>
          </cell>
          <cell r="AC303">
            <v>41.666666666666671</v>
          </cell>
          <cell r="AD303">
            <v>164.83078199348859</v>
          </cell>
        </row>
        <row r="304">
          <cell r="A304">
            <v>16</v>
          </cell>
          <cell r="C304" t="str">
            <v>01</v>
          </cell>
          <cell r="D304" t="str">
            <v>03</v>
          </cell>
          <cell r="E304" t="str">
            <v>01</v>
          </cell>
          <cell r="F304">
            <v>23</v>
          </cell>
          <cell r="I304" t="str">
            <v>Program Peningkatan Sarana dan Prasarana Kebimargaan</v>
          </cell>
          <cell r="J304" t="str">
            <v>Beroperasionalnya Alat berat dan laoratorium (bln)</v>
          </cell>
          <cell r="K304">
            <v>72</v>
          </cell>
          <cell r="L304">
            <v>2150000000</v>
          </cell>
          <cell r="M304">
            <v>24</v>
          </cell>
          <cell r="N304">
            <v>170241640</v>
          </cell>
          <cell r="O304">
            <v>12</v>
          </cell>
          <cell r="P304">
            <v>1189623593.5</v>
          </cell>
          <cell r="Q304">
            <v>3</v>
          </cell>
          <cell r="R304">
            <v>6882295</v>
          </cell>
          <cell r="S304">
            <v>3</v>
          </cell>
          <cell r="T304">
            <v>1044541043</v>
          </cell>
          <cell r="Y304">
            <v>6</v>
          </cell>
          <cell r="Z304">
            <v>1051423338</v>
          </cell>
          <cell r="AA304">
            <v>30</v>
          </cell>
          <cell r="AB304">
            <v>1221664978</v>
          </cell>
          <cell r="AC304">
            <v>41.666666666666671</v>
          </cell>
          <cell r="AD304">
            <v>56.821626883720931</v>
          </cell>
          <cell r="AE304" t="str">
            <v>Dinas PUTR</v>
          </cell>
        </row>
        <row r="305">
          <cell r="C305" t="str">
            <v>01</v>
          </cell>
          <cell r="D305" t="str">
            <v>03</v>
          </cell>
          <cell r="E305" t="str">
            <v>01</v>
          </cell>
          <cell r="F305">
            <v>23</v>
          </cell>
          <cell r="G305">
            <v>12</v>
          </cell>
          <cell r="I305" t="str">
            <v>Rehabilitasi/pemeliharaan alat-alat ukur dan bahan laboratorium kebinamargaan</v>
          </cell>
          <cell r="J305" t="str">
            <v xml:space="preserve">pemeliharaan alat-alat ukur dan bahan laboratorium </v>
          </cell>
          <cell r="K305">
            <v>72</v>
          </cell>
          <cell r="L305">
            <v>800000000</v>
          </cell>
          <cell r="M305">
            <v>24</v>
          </cell>
          <cell r="N305">
            <v>10000000</v>
          </cell>
          <cell r="O305">
            <v>12</v>
          </cell>
          <cell r="P305">
            <v>10000000</v>
          </cell>
          <cell r="Q305">
            <v>3</v>
          </cell>
          <cell r="R305">
            <v>0</v>
          </cell>
          <cell r="T305">
            <v>0</v>
          </cell>
          <cell r="Y305">
            <v>3</v>
          </cell>
          <cell r="Z305">
            <v>0</v>
          </cell>
          <cell r="AA305">
            <v>27</v>
          </cell>
          <cell r="AB305">
            <v>10000000</v>
          </cell>
          <cell r="AC305">
            <v>37.5</v>
          </cell>
          <cell r="AD305">
            <v>1.25</v>
          </cell>
        </row>
        <row r="306">
          <cell r="C306" t="str">
            <v>01</v>
          </cell>
          <cell r="D306" t="str">
            <v>03</v>
          </cell>
          <cell r="E306" t="str">
            <v>01</v>
          </cell>
          <cell r="F306">
            <v>23</v>
          </cell>
          <cell r="G306" t="str">
            <v>06</v>
          </cell>
          <cell r="I306" t="str">
            <v>Pengadaan Alat ukur dan bahan laboratorium kebinamargaan</v>
          </cell>
          <cell r="J306" t="str">
            <v>Jumlah Alat ukur dan bahan laboratorium kebinamargaan (paket)</v>
          </cell>
          <cell r="K306">
            <v>12</v>
          </cell>
          <cell r="L306">
            <v>320000000</v>
          </cell>
          <cell r="M306">
            <v>2</v>
          </cell>
          <cell r="N306">
            <v>70675000</v>
          </cell>
          <cell r="O306">
            <v>4</v>
          </cell>
          <cell r="P306">
            <v>161210772</v>
          </cell>
          <cell r="Q306">
            <v>0</v>
          </cell>
          <cell r="R306">
            <v>0</v>
          </cell>
          <cell r="S306">
            <v>3</v>
          </cell>
          <cell r="T306">
            <v>122595000</v>
          </cell>
          <cell r="Y306">
            <v>3</v>
          </cell>
          <cell r="Z306">
            <v>122595000</v>
          </cell>
          <cell r="AA306">
            <v>5</v>
          </cell>
          <cell r="AB306">
            <v>193270000</v>
          </cell>
          <cell r="AC306">
            <v>41.666666666666671</v>
          </cell>
          <cell r="AD306">
            <v>60.396875000000009</v>
          </cell>
        </row>
        <row r="307">
          <cell r="C307" t="str">
            <v>01</v>
          </cell>
          <cell r="D307" t="str">
            <v>03</v>
          </cell>
          <cell r="E307" t="str">
            <v>01</v>
          </cell>
          <cell r="F307">
            <v>23</v>
          </cell>
          <cell r="G307">
            <v>15</v>
          </cell>
          <cell r="I307" t="str">
            <v>Operasional laboratorium</v>
          </cell>
          <cell r="K307">
            <v>72</v>
          </cell>
          <cell r="L307">
            <v>130000000</v>
          </cell>
          <cell r="M307">
            <v>24</v>
          </cell>
          <cell r="N307">
            <v>89566640</v>
          </cell>
          <cell r="O307">
            <v>12</v>
          </cell>
          <cell r="P307">
            <v>127512821.5</v>
          </cell>
          <cell r="Q307">
            <v>3</v>
          </cell>
          <cell r="R307">
            <v>6882295</v>
          </cell>
          <cell r="S307">
            <v>3.5999999999999997E-2</v>
          </cell>
          <cell r="T307">
            <v>38886543</v>
          </cell>
          <cell r="Y307">
            <v>3.036</v>
          </cell>
          <cell r="Z307">
            <v>45768838</v>
          </cell>
          <cell r="AA307">
            <v>27.036000000000001</v>
          </cell>
          <cell r="AB307">
            <v>135335478</v>
          </cell>
          <cell r="AC307">
            <v>37.549999999999997</v>
          </cell>
          <cell r="AD307">
            <v>104.10421384615385</v>
          </cell>
        </row>
        <row r="308">
          <cell r="C308" t="str">
            <v>01</v>
          </cell>
          <cell r="D308" t="str">
            <v>03</v>
          </cell>
          <cell r="E308" t="str">
            <v>01</v>
          </cell>
          <cell r="F308">
            <v>23</v>
          </cell>
          <cell r="G308" t="str">
            <v>04</v>
          </cell>
          <cell r="I308" t="str">
            <v>Pengadaan Alat - alat berat</v>
          </cell>
          <cell r="J308" t="str">
            <v>Jumlah Pengadaan Alat - alat berat</v>
          </cell>
          <cell r="K308">
            <v>1</v>
          </cell>
          <cell r="L308">
            <v>900000000</v>
          </cell>
          <cell r="O308">
            <v>1</v>
          </cell>
          <cell r="P308">
            <v>890900000</v>
          </cell>
          <cell r="S308">
            <v>1</v>
          </cell>
          <cell r="T308">
            <v>883059500</v>
          </cell>
          <cell r="Y308">
            <v>1</v>
          </cell>
          <cell r="Z308">
            <v>883059500</v>
          </cell>
          <cell r="AA308">
            <v>1</v>
          </cell>
          <cell r="AB308">
            <v>883059500</v>
          </cell>
          <cell r="AC308">
            <v>100</v>
          </cell>
          <cell r="AD308">
            <v>98.117722222222227</v>
          </cell>
        </row>
        <row r="309">
          <cell r="A309">
            <v>17</v>
          </cell>
          <cell r="B309" t="str">
            <v>Meningkatnya pemenuhan kebutuhan sarana dan prasarana layanan sosial berupa air bersih dan layanan sanitasi</v>
          </cell>
          <cell r="C309" t="str">
            <v>01</v>
          </cell>
          <cell r="D309" t="str">
            <v>03</v>
          </cell>
          <cell r="E309" t="str">
            <v>01</v>
          </cell>
          <cell r="F309">
            <v>27</v>
          </cell>
          <cell r="I309" t="str">
            <v>Program Pengembangan Kinerja Pengelolaan Air Minum dan Air Limbah</v>
          </cell>
          <cell r="J309" t="str">
            <v>Persentase penduduk berakses air minum/bersih</v>
          </cell>
          <cell r="K309">
            <v>100</v>
          </cell>
          <cell r="L309">
            <v>15950000000</v>
          </cell>
          <cell r="M309">
            <v>70</v>
          </cell>
          <cell r="N309">
            <v>134775480</v>
          </cell>
          <cell r="O309">
            <v>15</v>
          </cell>
          <cell r="P309">
            <v>15430433263.75</v>
          </cell>
          <cell r="Q309">
            <v>0</v>
          </cell>
          <cell r="R309">
            <v>24745374</v>
          </cell>
          <cell r="S309">
            <v>4.24</v>
          </cell>
          <cell r="T309">
            <v>833615978</v>
          </cell>
          <cell r="Y309">
            <v>4.24</v>
          </cell>
          <cell r="Z309">
            <v>858361352</v>
          </cell>
          <cell r="AA309">
            <v>74.239999999999995</v>
          </cell>
          <cell r="AB309">
            <v>993136832</v>
          </cell>
          <cell r="AC309">
            <v>74.239999999999995</v>
          </cell>
          <cell r="AD309">
            <v>6.2265632100313484</v>
          </cell>
          <cell r="AE309" t="str">
            <v>Dinas PUTR</v>
          </cell>
        </row>
        <row r="310">
          <cell r="C310" t="str">
            <v>01</v>
          </cell>
          <cell r="D310" t="str">
            <v>03</v>
          </cell>
          <cell r="E310" t="str">
            <v>01</v>
          </cell>
          <cell r="F310">
            <v>27</v>
          </cell>
          <cell r="G310">
            <v>13</v>
          </cell>
          <cell r="I310" t="str">
            <v xml:space="preserve">Pemeliharaan Sarana Prasarana Air Bersih </v>
          </cell>
          <cell r="J310" t="str">
            <v>Pemeliharaan Sarana Prasarana Air Bersih Kab. Pesisir Selatan (bln)</v>
          </cell>
          <cell r="K310">
            <v>72</v>
          </cell>
          <cell r="L310">
            <v>250000000</v>
          </cell>
          <cell r="M310">
            <v>24</v>
          </cell>
          <cell r="N310">
            <v>95760780</v>
          </cell>
          <cell r="O310">
            <v>12</v>
          </cell>
          <cell r="P310">
            <v>479650012.5</v>
          </cell>
          <cell r="Q310">
            <v>3</v>
          </cell>
          <cell r="R310">
            <v>1669149</v>
          </cell>
          <cell r="S310">
            <v>0</v>
          </cell>
          <cell r="T310">
            <v>1669149</v>
          </cell>
          <cell r="Y310">
            <v>3</v>
          </cell>
          <cell r="Z310">
            <v>3338298</v>
          </cell>
          <cell r="AA310">
            <v>27</v>
          </cell>
          <cell r="AB310">
            <v>99099078</v>
          </cell>
          <cell r="AC310">
            <v>37.5</v>
          </cell>
          <cell r="AD310">
            <v>39.639631199999997</v>
          </cell>
        </row>
        <row r="311">
          <cell r="C311" t="str">
            <v>01</v>
          </cell>
          <cell r="D311" t="str">
            <v>03</v>
          </cell>
          <cell r="E311" t="str">
            <v>01</v>
          </cell>
          <cell r="F311">
            <v>27</v>
          </cell>
          <cell r="G311">
            <v>19</v>
          </cell>
          <cell r="I311" t="str">
            <v>Penunjang Kegiatan AMPL (Air minum dan penyehatan lingkungan )</v>
          </cell>
          <cell r="J311" t="str">
            <v xml:space="preserve"> penunjang AMPL (bln)</v>
          </cell>
          <cell r="K311">
            <v>72</v>
          </cell>
          <cell r="L311">
            <v>200000000</v>
          </cell>
          <cell r="M311">
            <v>24</v>
          </cell>
          <cell r="N311">
            <v>39014700</v>
          </cell>
          <cell r="O311">
            <v>12</v>
          </cell>
          <cell r="P311">
            <v>168125251.25</v>
          </cell>
          <cell r="Q311">
            <v>3</v>
          </cell>
          <cell r="R311">
            <v>18638539</v>
          </cell>
          <cell r="Y311">
            <v>3</v>
          </cell>
          <cell r="Z311">
            <v>18638539</v>
          </cell>
          <cell r="AA311">
            <v>27</v>
          </cell>
          <cell r="AB311">
            <v>57653239</v>
          </cell>
          <cell r="AC311">
            <v>37.5</v>
          </cell>
          <cell r="AD311">
            <v>28.8266195</v>
          </cell>
        </row>
        <row r="312">
          <cell r="C312" t="str">
            <v>01</v>
          </cell>
          <cell r="D312" t="str">
            <v>03</v>
          </cell>
          <cell r="E312" t="str">
            <v>01</v>
          </cell>
          <cell r="F312">
            <v>27</v>
          </cell>
          <cell r="G312">
            <v>23</v>
          </cell>
          <cell r="I312" t="str">
            <v>Pembangunan Infrastruktur Air Minum ( DAK Afirmasi 2018 )</v>
          </cell>
          <cell r="J312" t="str">
            <v>Persentase penduduk berakses air minum/bersih</v>
          </cell>
          <cell r="K312">
            <v>100</v>
          </cell>
          <cell r="L312">
            <v>5500000000</v>
          </cell>
          <cell r="M312">
            <v>0</v>
          </cell>
          <cell r="N312">
            <v>0</v>
          </cell>
          <cell r="O312">
            <v>100</v>
          </cell>
          <cell r="P312">
            <v>5471761000</v>
          </cell>
          <cell r="Q312">
            <v>0</v>
          </cell>
          <cell r="R312">
            <v>2523350</v>
          </cell>
          <cell r="S312">
            <v>0</v>
          </cell>
          <cell r="T312">
            <v>71594839</v>
          </cell>
          <cell r="Y312">
            <v>0</v>
          </cell>
          <cell r="Z312">
            <v>74118189</v>
          </cell>
          <cell r="AA312">
            <v>0</v>
          </cell>
          <cell r="AB312">
            <v>74118189</v>
          </cell>
          <cell r="AC312">
            <v>0</v>
          </cell>
          <cell r="AD312">
            <v>1.3476034363636364</v>
          </cell>
        </row>
        <row r="313">
          <cell r="C313" t="str">
            <v>01</v>
          </cell>
          <cell r="D313" t="str">
            <v>03</v>
          </cell>
          <cell r="E313" t="str">
            <v>01</v>
          </cell>
          <cell r="F313">
            <v>27</v>
          </cell>
          <cell r="G313">
            <v>24</v>
          </cell>
          <cell r="I313" t="str">
            <v>Pembangunan Infrastruktur Air Minum ( DAK Reguler 2018 )</v>
          </cell>
          <cell r="J313" t="str">
            <v>Persentase penduduk berakses air minum/bersih</v>
          </cell>
          <cell r="K313">
            <v>100</v>
          </cell>
          <cell r="L313">
            <v>2000000000</v>
          </cell>
          <cell r="M313">
            <v>0</v>
          </cell>
          <cell r="N313">
            <v>0</v>
          </cell>
          <cell r="O313">
            <v>100</v>
          </cell>
          <cell r="P313">
            <v>1592651000</v>
          </cell>
          <cell r="Q313">
            <v>0</v>
          </cell>
          <cell r="R313">
            <v>1189336</v>
          </cell>
          <cell r="Y313">
            <v>0</v>
          </cell>
          <cell r="Z313">
            <v>1189336</v>
          </cell>
          <cell r="AA313">
            <v>0</v>
          </cell>
          <cell r="AB313">
            <v>1189336</v>
          </cell>
          <cell r="AC313">
            <v>0</v>
          </cell>
          <cell r="AD313">
            <v>5.94668E-2</v>
          </cell>
        </row>
        <row r="314">
          <cell r="C314" t="str">
            <v>01</v>
          </cell>
          <cell r="D314" t="str">
            <v>03</v>
          </cell>
          <cell r="E314" t="str">
            <v>01</v>
          </cell>
          <cell r="F314">
            <v>27</v>
          </cell>
          <cell r="G314">
            <v>25</v>
          </cell>
          <cell r="I314" t="str">
            <v>Pembangunan Prasarana Sanitasi ( DAK Reguler 2018 )</v>
          </cell>
          <cell r="J314" t="str">
            <v>Akses sanitasi layak</v>
          </cell>
          <cell r="K314">
            <v>100</v>
          </cell>
          <cell r="L314">
            <v>2000000000</v>
          </cell>
          <cell r="M314">
            <v>0</v>
          </cell>
          <cell r="N314">
            <v>0</v>
          </cell>
          <cell r="O314">
            <v>100</v>
          </cell>
          <cell r="P314">
            <v>1785376000</v>
          </cell>
          <cell r="Q314">
            <v>0</v>
          </cell>
          <cell r="R314">
            <v>725000</v>
          </cell>
          <cell r="Y314">
            <v>0</v>
          </cell>
          <cell r="Z314">
            <v>725000</v>
          </cell>
          <cell r="AA314">
            <v>0</v>
          </cell>
          <cell r="AB314">
            <v>725000</v>
          </cell>
          <cell r="AC314">
            <v>0</v>
          </cell>
          <cell r="AD314">
            <v>3.6249999999999998E-2</v>
          </cell>
        </row>
        <row r="315">
          <cell r="C315" t="str">
            <v>01</v>
          </cell>
          <cell r="D315" t="str">
            <v>03</v>
          </cell>
          <cell r="E315" t="str">
            <v>01</v>
          </cell>
          <cell r="F315">
            <v>27</v>
          </cell>
          <cell r="G315">
            <v>26</v>
          </cell>
          <cell r="I315" t="str">
            <v>Pembangunan Prasarana Sanitasi ( DAK Penugasan2018 )</v>
          </cell>
          <cell r="J315" t="str">
            <v>Akses sanitasi layak</v>
          </cell>
          <cell r="K315">
            <v>100</v>
          </cell>
          <cell r="L315">
            <v>6000000000</v>
          </cell>
          <cell r="M315">
            <v>0</v>
          </cell>
          <cell r="N315">
            <v>0</v>
          </cell>
          <cell r="O315">
            <v>100</v>
          </cell>
          <cell r="P315">
            <v>5932870000</v>
          </cell>
          <cell r="Q315">
            <v>0</v>
          </cell>
          <cell r="S315">
            <v>3.0000000000000001E-3</v>
          </cell>
          <cell r="T315">
            <v>469709650</v>
          </cell>
          <cell r="Y315">
            <v>3.0000000000000001E-3</v>
          </cell>
          <cell r="Z315">
            <v>469709650</v>
          </cell>
          <cell r="AA315">
            <v>3.0000000000000001E-3</v>
          </cell>
          <cell r="AB315">
            <v>469709650</v>
          </cell>
          <cell r="AC315">
            <v>3.0000000000000001E-3</v>
          </cell>
          <cell r="AD315">
            <v>7.8284941666666663</v>
          </cell>
        </row>
        <row r="316">
          <cell r="A316">
            <v>18</v>
          </cell>
          <cell r="C316" t="str">
            <v>01</v>
          </cell>
          <cell r="D316" t="str">
            <v>03</v>
          </cell>
          <cell r="E316" t="str">
            <v>01</v>
          </cell>
          <cell r="F316">
            <v>16</v>
          </cell>
          <cell r="I316" t="str">
            <v>Program Pengendalian Pencemaran dan Pengrusakan Lingkungan Hidup</v>
          </cell>
          <cell r="J316" t="str">
            <v>Persentase pengendalian Pencemaran dan Pengrusakan Lingkungan Hidup</v>
          </cell>
          <cell r="K316">
            <v>100</v>
          </cell>
          <cell r="L316">
            <v>1557212470</v>
          </cell>
          <cell r="M316">
            <v>13.33</v>
          </cell>
          <cell r="N316">
            <v>238729830</v>
          </cell>
          <cell r="O316">
            <v>20</v>
          </cell>
          <cell r="P316">
            <v>258267823.75</v>
          </cell>
          <cell r="Q316">
            <v>5</v>
          </cell>
          <cell r="R316">
            <v>37004420</v>
          </cell>
          <cell r="S316">
            <v>3</v>
          </cell>
          <cell r="T316">
            <v>115408670</v>
          </cell>
          <cell r="Y316">
            <v>8</v>
          </cell>
          <cell r="Z316">
            <v>152413090</v>
          </cell>
          <cell r="AA316">
            <v>21.33</v>
          </cell>
          <cell r="AB316">
            <v>391142920</v>
          </cell>
          <cell r="AC316">
            <v>21.33</v>
          </cell>
          <cell r="AD316">
            <v>25.118147172299487</v>
          </cell>
          <cell r="AE316" t="str">
            <v>Dinas PUTR</v>
          </cell>
        </row>
        <row r="317">
          <cell r="C317" t="str">
            <v>01</v>
          </cell>
          <cell r="D317" t="str">
            <v>03</v>
          </cell>
          <cell r="E317" t="str">
            <v>01</v>
          </cell>
          <cell r="F317">
            <v>16</v>
          </cell>
          <cell r="G317">
            <v>59</v>
          </cell>
          <cell r="I317" t="str">
            <v>Operasional IPLT</v>
          </cell>
          <cell r="J317" t="str">
            <v>Operasional IPLT (bln)</v>
          </cell>
          <cell r="K317">
            <v>72</v>
          </cell>
          <cell r="L317">
            <v>1557212470</v>
          </cell>
          <cell r="M317">
            <v>24</v>
          </cell>
          <cell r="N317">
            <v>237510830</v>
          </cell>
          <cell r="O317">
            <v>12</v>
          </cell>
          <cell r="P317">
            <v>258267823.75</v>
          </cell>
          <cell r="Q317">
            <v>3</v>
          </cell>
          <cell r="R317">
            <v>37004420</v>
          </cell>
          <cell r="S317">
            <v>3</v>
          </cell>
          <cell r="T317">
            <v>115408670</v>
          </cell>
          <cell r="Y317">
            <v>6</v>
          </cell>
          <cell r="Z317">
            <v>152413090</v>
          </cell>
          <cell r="AA317">
            <v>30</v>
          </cell>
          <cell r="AB317">
            <v>389923920</v>
          </cell>
          <cell r="AC317">
            <v>41.666666666666671</v>
          </cell>
          <cell r="AD317">
            <v>25.039866268217082</v>
          </cell>
        </row>
        <row r="318">
          <cell r="A318">
            <v>19</v>
          </cell>
          <cell r="C318" t="str">
            <v>1</v>
          </cell>
          <cell r="D318" t="str">
            <v>01</v>
          </cell>
          <cell r="E318" t="str">
            <v>03</v>
          </cell>
          <cell r="F318" t="str">
            <v>01</v>
          </cell>
          <cell r="G318">
            <v>15</v>
          </cell>
          <cell r="I318" t="str">
            <v>Program pengembangan Pariwisata</v>
          </cell>
          <cell r="J318" t="str">
            <v>Terwujudnya dukungan terhadap sektor pariwisata (%)</v>
          </cell>
          <cell r="K318">
            <v>100</v>
          </cell>
          <cell r="L318">
            <v>105000000</v>
          </cell>
          <cell r="M318">
            <v>44.67</v>
          </cell>
          <cell r="N318">
            <v>39999840</v>
          </cell>
          <cell r="O318">
            <v>21</v>
          </cell>
          <cell r="P318">
            <v>67129157</v>
          </cell>
          <cell r="Q318">
            <v>0</v>
          </cell>
          <cell r="R318">
            <v>0</v>
          </cell>
          <cell r="S318">
            <v>18</v>
          </cell>
          <cell r="T318">
            <v>59825000</v>
          </cell>
          <cell r="Y318">
            <v>18</v>
          </cell>
          <cell r="Z318">
            <v>59825000</v>
          </cell>
          <cell r="AA318">
            <v>62.67</v>
          </cell>
          <cell r="AB318">
            <v>99824840</v>
          </cell>
          <cell r="AC318">
            <v>62.67</v>
          </cell>
          <cell r="AD318">
            <v>95.071276190476198</v>
          </cell>
          <cell r="AE318" t="str">
            <v>Dinas PUTR</v>
          </cell>
        </row>
        <row r="319">
          <cell r="C319" t="str">
            <v>1</v>
          </cell>
          <cell r="D319" t="str">
            <v>01</v>
          </cell>
          <cell r="E319" t="str">
            <v>03</v>
          </cell>
          <cell r="F319" t="str">
            <v>01</v>
          </cell>
          <cell r="G319">
            <v>15</v>
          </cell>
          <cell r="H319">
            <v>14</v>
          </cell>
          <cell r="I319" t="str">
            <v>Pelaksanaan Promosi Wisata</v>
          </cell>
          <cell r="J319" t="str">
            <v>promosi wisata</v>
          </cell>
          <cell r="K319">
            <v>100</v>
          </cell>
          <cell r="L319">
            <v>50000000</v>
          </cell>
          <cell r="M319">
            <v>34</v>
          </cell>
          <cell r="N319">
            <v>39999840</v>
          </cell>
          <cell r="O319">
            <v>17</v>
          </cell>
          <cell r="P319">
            <v>16810000</v>
          </cell>
          <cell r="Q319">
            <v>0</v>
          </cell>
          <cell r="R319">
            <v>0</v>
          </cell>
          <cell r="S319">
            <v>9</v>
          </cell>
          <cell r="T319">
            <v>9900000</v>
          </cell>
          <cell r="Y319">
            <v>9</v>
          </cell>
          <cell r="Z319">
            <v>9900000</v>
          </cell>
          <cell r="AA319">
            <v>43</v>
          </cell>
          <cell r="AB319">
            <v>49899840</v>
          </cell>
          <cell r="AC319">
            <v>43</v>
          </cell>
          <cell r="AD319">
            <v>99.799679999999995</v>
          </cell>
        </row>
        <row r="320">
          <cell r="C320" t="str">
            <v>1</v>
          </cell>
          <cell r="D320" t="str">
            <v>01</v>
          </cell>
          <cell r="E320" t="str">
            <v>03</v>
          </cell>
          <cell r="F320" t="str">
            <v>01</v>
          </cell>
          <cell r="G320">
            <v>15</v>
          </cell>
          <cell r="H320">
            <v>37</v>
          </cell>
          <cell r="I320" t="str">
            <v>Pemeliharaan pentas dan Tenda promosi wisata</v>
          </cell>
          <cell r="J320" t="str">
            <v>pemeliharaan tenda (bln)</v>
          </cell>
          <cell r="K320">
            <v>48</v>
          </cell>
          <cell r="L320">
            <v>55000000</v>
          </cell>
          <cell r="M320">
            <v>0</v>
          </cell>
          <cell r="N320">
            <v>0</v>
          </cell>
          <cell r="O320">
            <v>12</v>
          </cell>
          <cell r="P320">
            <v>50319157</v>
          </cell>
          <cell r="Q320">
            <v>0</v>
          </cell>
          <cell r="R320">
            <v>0</v>
          </cell>
          <cell r="S320">
            <v>6</v>
          </cell>
          <cell r="T320">
            <v>49925000</v>
          </cell>
          <cell r="Y320">
            <v>6</v>
          </cell>
          <cell r="Z320">
            <v>49925000</v>
          </cell>
          <cell r="AA320">
            <v>6</v>
          </cell>
          <cell r="AB320">
            <v>49925000</v>
          </cell>
          <cell r="AC320">
            <v>12.5</v>
          </cell>
          <cell r="AD320">
            <v>90.772727272727266</v>
          </cell>
        </row>
        <row r="321">
          <cell r="A321">
            <v>20</v>
          </cell>
          <cell r="C321" t="str">
            <v>1</v>
          </cell>
          <cell r="D321" t="str">
            <v>01</v>
          </cell>
          <cell r="E321" t="str">
            <v>03</v>
          </cell>
          <cell r="F321" t="str">
            <v>01</v>
          </cell>
          <cell r="G321">
            <v>15</v>
          </cell>
          <cell r="I321" t="str">
            <v>Program Pembangunan Sarana dan Prasarana Peribatan</v>
          </cell>
          <cell r="J321" t="str">
            <v>Pertanse Pembangunansarana dan prasarana ibadah</v>
          </cell>
          <cell r="K321">
            <v>1</v>
          </cell>
          <cell r="L321">
            <v>350000000</v>
          </cell>
          <cell r="N321">
            <v>0</v>
          </cell>
          <cell r="O321">
            <v>1</v>
          </cell>
          <cell r="P321">
            <v>349027569</v>
          </cell>
          <cell r="R321">
            <v>1183494</v>
          </cell>
          <cell r="T321">
            <v>5150484</v>
          </cell>
          <cell r="Z321">
            <v>6333978</v>
          </cell>
          <cell r="AA321">
            <v>0</v>
          </cell>
          <cell r="AB321">
            <v>6333978</v>
          </cell>
          <cell r="AC321">
            <v>0</v>
          </cell>
          <cell r="AD321">
            <v>1.8097080000000001</v>
          </cell>
        </row>
        <row r="322">
          <cell r="I322" t="str">
            <v>Perencanaan Pembangunan Sarana dan Prasarana Ibadah</v>
          </cell>
          <cell r="J322" t="str">
            <v>Dokumen Perencanaan</v>
          </cell>
          <cell r="K322">
            <v>1</v>
          </cell>
          <cell r="L322">
            <v>350000000</v>
          </cell>
          <cell r="N322">
            <v>0</v>
          </cell>
          <cell r="O322">
            <v>1</v>
          </cell>
          <cell r="P322">
            <v>349027569</v>
          </cell>
          <cell r="Q322">
            <v>0</v>
          </cell>
          <cell r="R322">
            <v>1183494</v>
          </cell>
          <cell r="S322">
            <v>0</v>
          </cell>
          <cell r="T322">
            <v>5150484</v>
          </cell>
          <cell r="Z322">
            <v>6333978</v>
          </cell>
          <cell r="AA322">
            <v>0</v>
          </cell>
          <cell r="AB322">
            <v>6333978</v>
          </cell>
          <cell r="AC322">
            <v>0</v>
          </cell>
          <cell r="AD322">
            <v>1.8097080000000001</v>
          </cell>
        </row>
        <row r="323">
          <cell r="A323">
            <v>21</v>
          </cell>
          <cell r="B323" t="str">
            <v>Meningkatnya kualitas lingkungan dan kawasan ruang terbuka hijau</v>
          </cell>
          <cell r="C323" t="str">
            <v>01</v>
          </cell>
          <cell r="D323" t="str">
            <v>03</v>
          </cell>
          <cell r="E323" t="str">
            <v>01</v>
          </cell>
          <cell r="F323">
            <v>15</v>
          </cell>
          <cell r="I323" t="str">
            <v>Program Pengembangan Kinerja Pengelolaan Persampahan</v>
          </cell>
          <cell r="J323" t="str">
            <v>Terwujudnya ;ingkungan bersih dan bebas sampah (%)</v>
          </cell>
          <cell r="K323">
            <v>80</v>
          </cell>
          <cell r="L323">
            <v>26211102705</v>
          </cell>
          <cell r="M323">
            <v>50</v>
          </cell>
          <cell r="N323">
            <v>4116953770</v>
          </cell>
          <cell r="O323">
            <v>10</v>
          </cell>
          <cell r="P323">
            <v>4252302661.75</v>
          </cell>
          <cell r="Q323">
            <v>2</v>
          </cell>
          <cell r="R323">
            <v>852376880</v>
          </cell>
          <cell r="S323">
            <v>3</v>
          </cell>
          <cell r="T323">
            <v>1884512980</v>
          </cell>
          <cell r="Y323">
            <v>5</v>
          </cell>
          <cell r="Z323">
            <v>2736889860</v>
          </cell>
          <cell r="AA323">
            <v>55</v>
          </cell>
          <cell r="AB323">
            <v>6853843630</v>
          </cell>
          <cell r="AC323">
            <v>68.75</v>
          </cell>
          <cell r="AD323">
            <v>26.148627576407037</v>
          </cell>
          <cell r="AE323" t="str">
            <v>Dinas PUTR</v>
          </cell>
        </row>
        <row r="324">
          <cell r="C324" t="str">
            <v>01</v>
          </cell>
          <cell r="D324" t="str">
            <v>03</v>
          </cell>
          <cell r="E324" t="str">
            <v>01</v>
          </cell>
          <cell r="F324">
            <v>15</v>
          </cell>
          <cell r="G324">
            <v>35</v>
          </cell>
          <cell r="I324" t="str">
            <v>Operasioanal Tempat pembuangan Akhir</v>
          </cell>
          <cell r="J324" t="str">
            <v xml:space="preserve"> Operasioanal TPA (bln)</v>
          </cell>
          <cell r="K324">
            <v>72</v>
          </cell>
          <cell r="L324">
            <v>3186079274</v>
          </cell>
          <cell r="M324">
            <v>24</v>
          </cell>
          <cell r="N324">
            <v>490204900</v>
          </cell>
          <cell r="O324">
            <v>12</v>
          </cell>
          <cell r="P324">
            <v>647923854</v>
          </cell>
          <cell r="Q324">
            <v>3</v>
          </cell>
          <cell r="R324">
            <v>113175550</v>
          </cell>
          <cell r="S324">
            <v>3</v>
          </cell>
          <cell r="T324">
            <v>225145550</v>
          </cell>
          <cell r="Y324">
            <v>6</v>
          </cell>
          <cell r="Z324">
            <v>338321100</v>
          </cell>
          <cell r="AA324">
            <v>30</v>
          </cell>
          <cell r="AB324">
            <v>828526000</v>
          </cell>
          <cell r="AC324">
            <v>41.666666666666671</v>
          </cell>
          <cell r="AD324">
            <v>26.004563249922452</v>
          </cell>
        </row>
        <row r="325">
          <cell r="C325" t="str">
            <v>01</v>
          </cell>
          <cell r="D325" t="str">
            <v>03</v>
          </cell>
          <cell r="E325" t="str">
            <v>01</v>
          </cell>
          <cell r="F325">
            <v>15</v>
          </cell>
          <cell r="G325">
            <v>36</v>
          </cell>
          <cell r="I325" t="str">
            <v>Operasional Kebersihan dan persampahan</v>
          </cell>
          <cell r="J325" t="str">
            <v xml:space="preserve"> Operasioanal tenaga Kebersihan (bln)</v>
          </cell>
          <cell r="K325">
            <v>72</v>
          </cell>
          <cell r="L325">
            <v>15998146631</v>
          </cell>
          <cell r="M325">
            <v>24</v>
          </cell>
          <cell r="N325">
            <v>2541615820</v>
          </cell>
          <cell r="O325">
            <v>12</v>
          </cell>
          <cell r="P325">
            <v>2576752907.75</v>
          </cell>
          <cell r="Q325">
            <v>3</v>
          </cell>
          <cell r="R325">
            <v>554488280</v>
          </cell>
          <cell r="S325">
            <v>3</v>
          </cell>
          <cell r="T325">
            <v>1262636280</v>
          </cell>
          <cell r="Y325">
            <v>6</v>
          </cell>
          <cell r="Z325">
            <v>1817124560</v>
          </cell>
          <cell r="AA325">
            <v>30</v>
          </cell>
          <cell r="AB325">
            <v>4358740380</v>
          </cell>
          <cell r="AC325">
            <v>41.666666666666671</v>
          </cell>
          <cell r="AD325">
            <v>27.245283347722054</v>
          </cell>
        </row>
        <row r="326">
          <cell r="C326" t="str">
            <v>01</v>
          </cell>
          <cell r="D326" t="str">
            <v>03</v>
          </cell>
          <cell r="E326" t="str">
            <v>01</v>
          </cell>
          <cell r="F326">
            <v>15</v>
          </cell>
          <cell r="G326">
            <v>37</v>
          </cell>
          <cell r="I326" t="str">
            <v>Pemeliharaan Rutin dan Operasional Kendaraan Kebersihan</v>
          </cell>
          <cell r="J326" t="str">
            <v>Pemeliharaan Kendaraan Kebersihan (bln)</v>
          </cell>
          <cell r="K326">
            <v>72</v>
          </cell>
          <cell r="L326">
            <v>7026876800</v>
          </cell>
          <cell r="M326">
            <v>24</v>
          </cell>
          <cell r="N326">
            <v>1085133050</v>
          </cell>
          <cell r="O326">
            <v>12</v>
          </cell>
          <cell r="P326">
            <v>1027625900</v>
          </cell>
          <cell r="Q326">
            <v>3</v>
          </cell>
          <cell r="R326">
            <v>184713050</v>
          </cell>
          <cell r="S326">
            <v>3</v>
          </cell>
          <cell r="T326">
            <v>396731150</v>
          </cell>
          <cell r="Y326">
            <v>6</v>
          </cell>
          <cell r="Z326">
            <v>581444200</v>
          </cell>
          <cell r="AA326">
            <v>30</v>
          </cell>
          <cell r="AB326">
            <v>1666577250</v>
          </cell>
          <cell r="AC326">
            <v>41.666666666666671</v>
          </cell>
          <cell r="AD326">
            <v>23.717183286890702</v>
          </cell>
        </row>
        <row r="327">
          <cell r="A327" t="str">
            <v xml:space="preserve">TOTAL RATA-RATA CAPAIAN KINERJA DAN ANGGARAN DARI SELURUH PROGRAM </v>
          </cell>
          <cell r="AC327">
            <v>55.894100533486025</v>
          </cell>
          <cell r="AD327">
            <v>37.770209712421931</v>
          </cell>
        </row>
        <row r="328">
          <cell r="A328" t="str">
            <v>PERINGKAT KINERJA DARI SELURUH PROGRAM</v>
          </cell>
          <cell r="AC328" t="str">
            <v>R</v>
          </cell>
          <cell r="AD328" t="str">
            <v>SR</v>
          </cell>
        </row>
        <row r="330">
          <cell r="A330" t="str">
            <v>DINAS PENGELOLAAN SUMBER DAYA AIR</v>
          </cell>
          <cell r="L330">
            <v>298448456615</v>
          </cell>
          <cell r="N330">
            <v>297998456615</v>
          </cell>
          <cell r="P330">
            <v>24171236548</v>
          </cell>
          <cell r="R330">
            <v>434303729</v>
          </cell>
          <cell r="T330">
            <v>6089416035</v>
          </cell>
          <cell r="Z330">
            <v>6523719764</v>
          </cell>
          <cell r="AB330">
            <v>297998456615</v>
          </cell>
        </row>
        <row r="331">
          <cell r="A331">
            <v>1</v>
          </cell>
          <cell r="C331" t="str">
            <v>1</v>
          </cell>
          <cell r="D331" t="str">
            <v>01</v>
          </cell>
          <cell r="E331" t="str">
            <v>03</v>
          </cell>
          <cell r="F331" t="str">
            <v>02</v>
          </cell>
          <cell r="G331" t="str">
            <v>01</v>
          </cell>
          <cell r="I331" t="str">
            <v>Program Pelayanan Administrasi Perkantoran</v>
          </cell>
          <cell r="J331" t="str">
            <v>Terlaksananya pelayanan adminstrasi perkantoran (bulan)</v>
          </cell>
          <cell r="K331">
            <v>60</v>
          </cell>
          <cell r="L331">
            <v>5156306115</v>
          </cell>
          <cell r="M331">
            <v>12</v>
          </cell>
          <cell r="N331">
            <v>1419950134</v>
          </cell>
          <cell r="O331">
            <v>12</v>
          </cell>
          <cell r="P331">
            <v>623928400</v>
          </cell>
          <cell r="Q331">
            <v>3</v>
          </cell>
          <cell r="R331">
            <v>138525008</v>
          </cell>
          <cell r="S331">
            <v>3</v>
          </cell>
          <cell r="T331">
            <v>315714705</v>
          </cell>
          <cell r="Y331">
            <v>6</v>
          </cell>
          <cell r="Z331">
            <v>454239713</v>
          </cell>
          <cell r="AA331">
            <v>18</v>
          </cell>
          <cell r="AB331">
            <v>1853441597</v>
          </cell>
          <cell r="AC331">
            <v>30</v>
          </cell>
          <cell r="AD331">
            <v>35.945142814702727</v>
          </cell>
          <cell r="AE331" t="str">
            <v>Dinas PSDA</v>
          </cell>
        </row>
        <row r="332">
          <cell r="C332" t="str">
            <v>1</v>
          </cell>
          <cell r="D332" t="str">
            <v>01</v>
          </cell>
          <cell r="E332" t="str">
            <v>03</v>
          </cell>
          <cell r="F332" t="str">
            <v>02</v>
          </cell>
          <cell r="G332" t="str">
            <v>01</v>
          </cell>
          <cell r="H332" t="str">
            <v>02</v>
          </cell>
          <cell r="I332" t="str">
            <v>Penyediaan Jasa Komunikasi, Sumber Daya Air dan Listrik</v>
          </cell>
          <cell r="J332" t="str">
            <v>Tersedianya jasa komunikasi, sumber daya air dan listrik (bln)</v>
          </cell>
          <cell r="K332">
            <v>60</v>
          </cell>
          <cell r="L332">
            <v>440621015</v>
          </cell>
          <cell r="M332">
            <v>12</v>
          </cell>
          <cell r="N332">
            <v>118806064</v>
          </cell>
          <cell r="O332">
            <v>12</v>
          </cell>
          <cell r="P332">
            <v>65700000</v>
          </cell>
          <cell r="Q332">
            <v>3</v>
          </cell>
          <cell r="R332">
            <v>12271784</v>
          </cell>
          <cell r="S332">
            <v>3</v>
          </cell>
          <cell r="T332">
            <v>25401870</v>
          </cell>
          <cell r="Y332">
            <v>6</v>
          </cell>
          <cell r="Z332">
            <v>37673654</v>
          </cell>
          <cell r="AA332">
            <v>18</v>
          </cell>
          <cell r="AB332">
            <v>156479718</v>
          </cell>
          <cell r="AC332">
            <v>30</v>
          </cell>
          <cell r="AD332">
            <v>35.513448671984015</v>
          </cell>
        </row>
        <row r="333">
          <cell r="C333" t="str">
            <v>1</v>
          </cell>
          <cell r="D333" t="str">
            <v>01</v>
          </cell>
          <cell r="E333" t="str">
            <v>03</v>
          </cell>
          <cell r="F333" t="str">
            <v>02</v>
          </cell>
          <cell r="G333" t="str">
            <v>01</v>
          </cell>
          <cell r="H333" t="str">
            <v>07</v>
          </cell>
          <cell r="I333" t="str">
            <v>Penyediaan Jasa Administrasi Keuangan</v>
          </cell>
          <cell r="J333" t="str">
            <v>Tersedianya jasa administrasi keuangan (bln)</v>
          </cell>
          <cell r="K333">
            <v>60</v>
          </cell>
          <cell r="L333">
            <v>1056882685</v>
          </cell>
          <cell r="M333">
            <v>12</v>
          </cell>
          <cell r="N333">
            <v>336178000</v>
          </cell>
          <cell r="O333">
            <v>12</v>
          </cell>
          <cell r="P333">
            <v>97650000</v>
          </cell>
          <cell r="Q333">
            <v>3</v>
          </cell>
          <cell r="R333">
            <v>16100000</v>
          </cell>
          <cell r="S333">
            <v>3</v>
          </cell>
          <cell r="T333">
            <v>39200000</v>
          </cell>
          <cell r="Y333">
            <v>6</v>
          </cell>
          <cell r="Z333">
            <v>55300000</v>
          </cell>
          <cell r="AA333">
            <v>18</v>
          </cell>
          <cell r="AB333">
            <v>391478000</v>
          </cell>
          <cell r="AC333">
            <v>30</v>
          </cell>
          <cell r="AD333">
            <v>37.040818773561419</v>
          </cell>
        </row>
        <row r="334">
          <cell r="C334" t="str">
            <v>1</v>
          </cell>
          <cell r="D334" t="str">
            <v>01</v>
          </cell>
          <cell r="E334" t="str">
            <v>03</v>
          </cell>
          <cell r="F334" t="str">
            <v>02</v>
          </cell>
          <cell r="G334" t="str">
            <v>01</v>
          </cell>
          <cell r="H334" t="str">
            <v>08</v>
          </cell>
          <cell r="I334" t="str">
            <v>Penyediaan Jasa Kebersihan Kantor</v>
          </cell>
          <cell r="J334" t="str">
            <v>Tersedianya jasa kebersihan kantor (bln)</v>
          </cell>
          <cell r="K334">
            <v>60</v>
          </cell>
          <cell r="L334">
            <v>546309285</v>
          </cell>
          <cell r="M334">
            <v>12</v>
          </cell>
          <cell r="N334">
            <v>176359000</v>
          </cell>
          <cell r="O334">
            <v>12</v>
          </cell>
          <cell r="P334">
            <v>86244000</v>
          </cell>
          <cell r="Q334">
            <v>3</v>
          </cell>
          <cell r="R334">
            <v>12000000</v>
          </cell>
          <cell r="S334">
            <v>3</v>
          </cell>
          <cell r="T334">
            <v>37818000</v>
          </cell>
          <cell r="Y334">
            <v>6</v>
          </cell>
          <cell r="Z334">
            <v>49818000</v>
          </cell>
          <cell r="AA334">
            <v>18</v>
          </cell>
          <cell r="AB334">
            <v>226177000</v>
          </cell>
          <cell r="AC334">
            <v>30</v>
          </cell>
          <cell r="AD334">
            <v>41.400907180261456</v>
          </cell>
        </row>
        <row r="335">
          <cell r="C335" t="str">
            <v>1</v>
          </cell>
          <cell r="D335" t="str">
            <v>01</v>
          </cell>
          <cell r="E335" t="str">
            <v>03</v>
          </cell>
          <cell r="F335" t="str">
            <v>02</v>
          </cell>
          <cell r="G335" t="str">
            <v>01</v>
          </cell>
          <cell r="H335" t="str">
            <v>09</v>
          </cell>
          <cell r="I335" t="str">
            <v>Penyediaan Jasa Perbaikan Peralatan Kerja</v>
          </cell>
          <cell r="J335" t="str">
            <v>Tersedianya jasa perbaikan peralatan kerja (bln)</v>
          </cell>
          <cell r="K335">
            <v>60</v>
          </cell>
          <cell r="L335">
            <v>78750000</v>
          </cell>
          <cell r="M335">
            <v>12</v>
          </cell>
          <cell r="N335">
            <v>29645000</v>
          </cell>
          <cell r="O335">
            <v>12</v>
          </cell>
          <cell r="P335">
            <v>15250000</v>
          </cell>
          <cell r="Q335">
            <v>3</v>
          </cell>
          <cell r="R335">
            <v>0</v>
          </cell>
          <cell r="S335">
            <v>3</v>
          </cell>
          <cell r="T335">
            <v>1800000</v>
          </cell>
          <cell r="Y335">
            <v>6</v>
          </cell>
          <cell r="Z335">
            <v>1800000</v>
          </cell>
          <cell r="AA335">
            <v>18</v>
          </cell>
          <cell r="AB335">
            <v>31445000</v>
          </cell>
          <cell r="AC335">
            <v>30</v>
          </cell>
          <cell r="AD335">
            <v>39.93015873015873</v>
          </cell>
        </row>
        <row r="336">
          <cell r="C336" t="str">
            <v>1</v>
          </cell>
          <cell r="D336" t="str">
            <v>01</v>
          </cell>
          <cell r="E336" t="str">
            <v>03</v>
          </cell>
          <cell r="F336" t="str">
            <v>02</v>
          </cell>
          <cell r="G336" t="str">
            <v>01</v>
          </cell>
          <cell r="H336" t="str">
            <v>10</v>
          </cell>
          <cell r="I336" t="str">
            <v>Penyediaan Alat Tulis Kantor</v>
          </cell>
          <cell r="J336" t="str">
            <v>Tersedianya alat tulis kantor (bln)</v>
          </cell>
          <cell r="K336">
            <v>60</v>
          </cell>
          <cell r="L336">
            <v>477294055</v>
          </cell>
          <cell r="M336">
            <v>12</v>
          </cell>
          <cell r="N336">
            <v>78476000</v>
          </cell>
          <cell r="O336">
            <v>12</v>
          </cell>
          <cell r="P336">
            <v>67861900</v>
          </cell>
          <cell r="Q336">
            <v>3</v>
          </cell>
          <cell r="R336">
            <v>18765000</v>
          </cell>
          <cell r="S336">
            <v>3</v>
          </cell>
          <cell r="T336">
            <v>31895500</v>
          </cell>
          <cell r="Y336">
            <v>6</v>
          </cell>
          <cell r="Z336">
            <v>50660500</v>
          </cell>
          <cell r="AA336">
            <v>18</v>
          </cell>
          <cell r="AB336">
            <v>129136500</v>
          </cell>
          <cell r="AC336">
            <v>30</v>
          </cell>
          <cell r="AD336">
            <v>27.055962387798861</v>
          </cell>
        </row>
        <row r="337">
          <cell r="C337" t="str">
            <v>1</v>
          </cell>
          <cell r="D337" t="str">
            <v>01</v>
          </cell>
          <cell r="E337" t="str">
            <v>03</v>
          </cell>
          <cell r="F337" t="str">
            <v>02</v>
          </cell>
          <cell r="G337" t="str">
            <v>01</v>
          </cell>
          <cell r="H337" t="str">
            <v>11</v>
          </cell>
          <cell r="I337" t="str">
            <v>Penyediaan Barang Cetakan dan Penggandaan</v>
          </cell>
          <cell r="J337" t="str">
            <v>Tersedianya barang cetakan dan penggandaan (bln)</v>
          </cell>
          <cell r="K337">
            <v>60</v>
          </cell>
          <cell r="L337">
            <v>325426275</v>
          </cell>
          <cell r="M337">
            <v>12</v>
          </cell>
          <cell r="N337">
            <v>106348400</v>
          </cell>
          <cell r="O337">
            <v>12</v>
          </cell>
          <cell r="P337">
            <v>28160000</v>
          </cell>
          <cell r="Q337">
            <v>3</v>
          </cell>
          <cell r="R337">
            <v>4200000</v>
          </cell>
          <cell r="S337">
            <v>3</v>
          </cell>
          <cell r="T337">
            <v>16993000</v>
          </cell>
          <cell r="Y337">
            <v>6</v>
          </cell>
          <cell r="Z337">
            <v>21193000</v>
          </cell>
          <cell r="AA337">
            <v>18</v>
          </cell>
          <cell r="AB337">
            <v>127541400</v>
          </cell>
          <cell r="AC337">
            <v>30</v>
          </cell>
          <cell r="AD337">
            <v>39.192102727414991</v>
          </cell>
        </row>
        <row r="338">
          <cell r="C338" t="str">
            <v>1</v>
          </cell>
          <cell r="D338" t="str">
            <v>01</v>
          </cell>
          <cell r="E338" t="str">
            <v>03</v>
          </cell>
          <cell r="F338" t="str">
            <v>02</v>
          </cell>
          <cell r="G338" t="str">
            <v>01</v>
          </cell>
          <cell r="H338">
            <v>12</v>
          </cell>
          <cell r="I338" t="str">
            <v>Penyediaan Komponen Instalasi Listrik/Penerangan Bangunan Kantor</v>
          </cell>
          <cell r="J338" t="str">
            <v>Tersedianya komponen instalasi listrik/ penerangan bangunan kantor (bln)</v>
          </cell>
          <cell r="K338">
            <v>60</v>
          </cell>
          <cell r="L338">
            <v>40263645</v>
          </cell>
          <cell r="M338">
            <v>12</v>
          </cell>
          <cell r="N338">
            <v>13161000</v>
          </cell>
          <cell r="O338">
            <v>12</v>
          </cell>
          <cell r="P338">
            <v>6400000</v>
          </cell>
          <cell r="Q338">
            <v>3</v>
          </cell>
          <cell r="R338">
            <v>146000</v>
          </cell>
          <cell r="S338">
            <v>3</v>
          </cell>
          <cell r="T338">
            <v>246000</v>
          </cell>
          <cell r="Y338">
            <v>6</v>
          </cell>
          <cell r="Z338">
            <v>392000</v>
          </cell>
          <cell r="AA338">
            <v>18</v>
          </cell>
          <cell r="AB338">
            <v>13553000</v>
          </cell>
          <cell r="AC338">
            <v>30</v>
          </cell>
          <cell r="AD338">
            <v>33.6606385239091</v>
          </cell>
        </row>
        <row r="339">
          <cell r="C339" t="str">
            <v>1</v>
          </cell>
          <cell r="D339" t="str">
            <v>01</v>
          </cell>
          <cell r="E339" t="str">
            <v>03</v>
          </cell>
          <cell r="F339" t="str">
            <v>02</v>
          </cell>
          <cell r="G339" t="str">
            <v>01</v>
          </cell>
          <cell r="H339">
            <v>15</v>
          </cell>
          <cell r="I339" t="str">
            <v>Penyediaan Bahan Bacaan dan Peraturan Perundang-undangan</v>
          </cell>
          <cell r="J339" t="str">
            <v>Tersedianya Bahan Bacaan dan Peraturan Perundang-undangan (bln)</v>
          </cell>
          <cell r="K339">
            <v>60</v>
          </cell>
          <cell r="L339">
            <v>80454940</v>
          </cell>
          <cell r="M339">
            <v>12</v>
          </cell>
          <cell r="N339">
            <v>24250000</v>
          </cell>
          <cell r="O339">
            <v>12</v>
          </cell>
          <cell r="P339">
            <v>13900000</v>
          </cell>
          <cell r="Q339">
            <v>3</v>
          </cell>
          <cell r="R339">
            <v>870000</v>
          </cell>
          <cell r="S339">
            <v>3</v>
          </cell>
          <cell r="T339">
            <v>9645000</v>
          </cell>
          <cell r="Y339">
            <v>6</v>
          </cell>
          <cell r="Z339">
            <v>10515000</v>
          </cell>
          <cell r="AA339">
            <v>18</v>
          </cell>
          <cell r="AB339">
            <v>34765000</v>
          </cell>
          <cell r="AC339">
            <v>30</v>
          </cell>
          <cell r="AD339">
            <v>43.210522560827215</v>
          </cell>
        </row>
        <row r="340">
          <cell r="C340" t="str">
            <v>1</v>
          </cell>
          <cell r="D340" t="str">
            <v>01</v>
          </cell>
          <cell r="E340" t="str">
            <v>03</v>
          </cell>
          <cell r="F340" t="str">
            <v>02</v>
          </cell>
          <cell r="G340" t="str">
            <v>01</v>
          </cell>
          <cell r="H340">
            <v>17</v>
          </cell>
          <cell r="I340" t="str">
            <v>Penyediaan Makanan dan Minuman</v>
          </cell>
          <cell r="J340" t="str">
            <v>Tersedianya makanan dan minuman (bln)</v>
          </cell>
          <cell r="K340">
            <v>60</v>
          </cell>
          <cell r="L340">
            <v>329402195</v>
          </cell>
          <cell r="M340">
            <v>12</v>
          </cell>
          <cell r="N340">
            <v>40975000</v>
          </cell>
          <cell r="O340">
            <v>12</v>
          </cell>
          <cell r="P340">
            <v>70122500</v>
          </cell>
          <cell r="Q340">
            <v>3</v>
          </cell>
          <cell r="R340">
            <v>10040000</v>
          </cell>
          <cell r="S340">
            <v>3</v>
          </cell>
          <cell r="T340">
            <v>14992500</v>
          </cell>
          <cell r="Y340">
            <v>6</v>
          </cell>
          <cell r="Z340">
            <v>25032500</v>
          </cell>
          <cell r="AA340">
            <v>18</v>
          </cell>
          <cell r="AB340">
            <v>66007500</v>
          </cell>
          <cell r="AC340">
            <v>30</v>
          </cell>
          <cell r="AD340">
            <v>20.038573209871902</v>
          </cell>
        </row>
        <row r="341">
          <cell r="C341" t="str">
            <v>1</v>
          </cell>
          <cell r="D341" t="str">
            <v>01</v>
          </cell>
          <cell r="E341" t="str">
            <v>03</v>
          </cell>
          <cell r="F341" t="str">
            <v>02</v>
          </cell>
          <cell r="G341" t="str">
            <v>01</v>
          </cell>
          <cell r="H341">
            <v>18</v>
          </cell>
          <cell r="I341" t="str">
            <v>Rapat-rapat Koordinasi dan Konsultasi ke Luar Daerah</v>
          </cell>
          <cell r="J341" t="str">
            <v>Tersedianya biaya rapat koordinasi dan konsultasi keluar daerah (bln)</v>
          </cell>
          <cell r="K341">
            <v>60</v>
          </cell>
          <cell r="L341">
            <v>957211170</v>
          </cell>
          <cell r="M341">
            <v>12</v>
          </cell>
          <cell r="N341">
            <v>288957420</v>
          </cell>
          <cell r="O341">
            <v>12</v>
          </cell>
          <cell r="P341">
            <v>112050000</v>
          </cell>
          <cell r="Q341">
            <v>3</v>
          </cell>
          <cell r="R341">
            <v>33847224</v>
          </cell>
          <cell r="S341">
            <v>3</v>
          </cell>
          <cell r="T341">
            <v>82817835</v>
          </cell>
          <cell r="Y341">
            <v>6</v>
          </cell>
          <cell r="Z341">
            <v>116665059</v>
          </cell>
          <cell r="AA341">
            <v>18</v>
          </cell>
          <cell r="AB341">
            <v>405622479</v>
          </cell>
          <cell r="AC341">
            <v>30</v>
          </cell>
          <cell r="AD341">
            <v>42.375443550246075</v>
          </cell>
        </row>
        <row r="342">
          <cell r="C342" t="str">
            <v>1</v>
          </cell>
          <cell r="D342" t="str">
            <v>01</v>
          </cell>
          <cell r="E342" t="str">
            <v>03</v>
          </cell>
          <cell r="F342" t="str">
            <v>02</v>
          </cell>
          <cell r="G342" t="str">
            <v>01</v>
          </cell>
          <cell r="H342">
            <v>20</v>
          </cell>
          <cell r="I342" t="str">
            <v>Rapat-rapat Koordinasi dan Konsultasi Dalam Daerah</v>
          </cell>
          <cell r="J342" t="str">
            <v>Tersedianya biaya rapat koordinasi dan konsultasi dalam daerah (bln)</v>
          </cell>
          <cell r="K342">
            <v>60</v>
          </cell>
          <cell r="L342">
            <v>619178885</v>
          </cell>
          <cell r="M342">
            <v>12</v>
          </cell>
          <cell r="N342">
            <v>186046000</v>
          </cell>
          <cell r="O342">
            <v>12</v>
          </cell>
          <cell r="P342">
            <v>60590000</v>
          </cell>
          <cell r="Q342">
            <v>3</v>
          </cell>
          <cell r="R342">
            <v>30285000</v>
          </cell>
          <cell r="S342">
            <v>3</v>
          </cell>
          <cell r="T342">
            <v>54905000</v>
          </cell>
          <cell r="Y342">
            <v>6</v>
          </cell>
          <cell r="Z342">
            <v>85190000</v>
          </cell>
          <cell r="AA342">
            <v>18</v>
          </cell>
          <cell r="AB342">
            <v>271236000</v>
          </cell>
          <cell r="AC342">
            <v>30</v>
          </cell>
          <cell r="AD342">
            <v>43.80575736202632</v>
          </cell>
        </row>
        <row r="343">
          <cell r="C343" t="str">
            <v>1</v>
          </cell>
          <cell r="D343" t="str">
            <v>01</v>
          </cell>
          <cell r="E343" t="str">
            <v>03</v>
          </cell>
          <cell r="F343" t="str">
            <v>02</v>
          </cell>
          <cell r="G343" t="str">
            <v>01</v>
          </cell>
          <cell r="H343">
            <v>25</v>
          </cell>
          <cell r="I343" t="str">
            <v>Pembinaan dan Pengelolaan Aset</v>
          </cell>
          <cell r="J343" t="str">
            <v>Terlaksananya Pembinaan dan Pengelolaan Aset (bln)</v>
          </cell>
          <cell r="K343">
            <v>60</v>
          </cell>
          <cell r="L343">
            <v>204511965</v>
          </cell>
          <cell r="M343">
            <v>12</v>
          </cell>
          <cell r="N343">
            <v>20748250</v>
          </cell>
          <cell r="O343">
            <v>12</v>
          </cell>
          <cell r="Q343">
            <v>0</v>
          </cell>
          <cell r="S343">
            <v>0</v>
          </cell>
          <cell r="T343" t="str">
            <v>0</v>
          </cell>
          <cell r="Y343">
            <v>0</v>
          </cell>
          <cell r="Z343">
            <v>0</v>
          </cell>
        </row>
        <row r="344">
          <cell r="A344">
            <v>2</v>
          </cell>
          <cell r="C344">
            <v>1</v>
          </cell>
          <cell r="D344" t="str">
            <v>01</v>
          </cell>
          <cell r="E344" t="str">
            <v>03</v>
          </cell>
          <cell r="F344" t="str">
            <v>02</v>
          </cell>
          <cell r="G344" t="str">
            <v>02</v>
          </cell>
          <cell r="I344" t="str">
            <v>Program Peningkatan Sarana dan Prasarana Aparatur</v>
          </cell>
          <cell r="J344" t="str">
            <v>Terlaksananya program peningkatan sarana dan prasarana aparatur (bln)</v>
          </cell>
          <cell r="K344">
            <v>60</v>
          </cell>
          <cell r="L344">
            <v>3145825500</v>
          </cell>
          <cell r="M344">
            <v>60</v>
          </cell>
          <cell r="N344">
            <v>864244040</v>
          </cell>
          <cell r="O344">
            <v>24</v>
          </cell>
          <cell r="P344">
            <v>698637350</v>
          </cell>
          <cell r="Q344">
            <v>3</v>
          </cell>
          <cell r="R344">
            <v>90636550</v>
          </cell>
          <cell r="S344">
            <v>3</v>
          </cell>
          <cell r="T344">
            <v>308260883</v>
          </cell>
          <cell r="Y344">
            <v>6</v>
          </cell>
          <cell r="Z344">
            <v>398897433</v>
          </cell>
          <cell r="AA344">
            <v>30</v>
          </cell>
          <cell r="AB344">
            <v>1097534783</v>
          </cell>
          <cell r="AC344">
            <v>50</v>
          </cell>
          <cell r="AD344">
            <v>34.888609778260111</v>
          </cell>
          <cell r="AE344" t="str">
            <v>Dinas PSDA</v>
          </cell>
        </row>
        <row r="345">
          <cell r="C345">
            <v>1</v>
          </cell>
          <cell r="D345" t="str">
            <v>01</v>
          </cell>
          <cell r="E345" t="str">
            <v>03</v>
          </cell>
          <cell r="F345" t="str">
            <v>02</v>
          </cell>
          <cell r="G345" t="str">
            <v>02</v>
          </cell>
          <cell r="H345" t="str">
            <v>09</v>
          </cell>
          <cell r="I345" t="str">
            <v>Pengadaan Peralatan Gedung Kantor</v>
          </cell>
          <cell r="J345" t="str">
            <v>Terlaksananya pengadaan peralatan gedung kantor (bln)</v>
          </cell>
          <cell r="K345">
            <v>12</v>
          </cell>
          <cell r="L345">
            <v>339025500</v>
          </cell>
          <cell r="M345">
            <v>12</v>
          </cell>
          <cell r="N345">
            <v>339025500</v>
          </cell>
          <cell r="S345" t="str">
            <v>0</v>
          </cell>
          <cell r="T345">
            <v>0</v>
          </cell>
          <cell r="Y345">
            <v>0</v>
          </cell>
          <cell r="Z345">
            <v>0</v>
          </cell>
        </row>
        <row r="346">
          <cell r="C346">
            <v>1</v>
          </cell>
          <cell r="D346" t="str">
            <v>01</v>
          </cell>
          <cell r="E346" t="str">
            <v>03</v>
          </cell>
          <cell r="F346" t="str">
            <v>02</v>
          </cell>
          <cell r="G346" t="str">
            <v>02</v>
          </cell>
          <cell r="H346">
            <v>10</v>
          </cell>
          <cell r="I346" t="str">
            <v>Pengadaan Meubilier</v>
          </cell>
          <cell r="J346" t="str">
            <v>Terlaksananya pengadaan mebeleur (bln)</v>
          </cell>
          <cell r="K346">
            <v>12</v>
          </cell>
          <cell r="L346">
            <v>21800000</v>
          </cell>
          <cell r="M346">
            <v>12</v>
          </cell>
          <cell r="N346">
            <v>21800000</v>
          </cell>
          <cell r="S346">
            <v>0</v>
          </cell>
          <cell r="T346">
            <v>0</v>
          </cell>
          <cell r="Y346">
            <v>0</v>
          </cell>
          <cell r="Z346">
            <v>0</v>
          </cell>
        </row>
        <row r="347">
          <cell r="C347">
            <v>1</v>
          </cell>
          <cell r="D347" t="str">
            <v>01</v>
          </cell>
          <cell r="E347" t="str">
            <v>03</v>
          </cell>
          <cell r="F347" t="str">
            <v>02</v>
          </cell>
          <cell r="G347" t="str">
            <v>02</v>
          </cell>
          <cell r="H347">
            <v>12</v>
          </cell>
          <cell r="I347" t="str">
            <v>Pemeliharaan Rutin/Berkala Alat Berat</v>
          </cell>
          <cell r="J347" t="str">
            <v>Terlaksananya pemeliharaan alat berat (bln)</v>
          </cell>
          <cell r="K347">
            <v>60</v>
          </cell>
          <cell r="L347">
            <v>45000000</v>
          </cell>
          <cell r="M347">
            <v>12</v>
          </cell>
          <cell r="N347">
            <v>20435000</v>
          </cell>
          <cell r="S347" t="str">
            <v>0</v>
          </cell>
          <cell r="T347">
            <v>0</v>
          </cell>
          <cell r="Y347">
            <v>0</v>
          </cell>
          <cell r="Z347">
            <v>0</v>
          </cell>
        </row>
        <row r="348">
          <cell r="C348">
            <v>1</v>
          </cell>
          <cell r="D348" t="str">
            <v>01</v>
          </cell>
          <cell r="E348" t="str">
            <v>03</v>
          </cell>
          <cell r="F348" t="str">
            <v>02</v>
          </cell>
          <cell r="G348" t="str">
            <v>02</v>
          </cell>
          <cell r="H348">
            <v>22</v>
          </cell>
          <cell r="I348" t="str">
            <v>Pemeliharaan Rutin/Berkala Gedung Kantor</v>
          </cell>
          <cell r="J348" t="str">
            <v>Terlaksananya pemeliharaan rutin/ berkala gedung kantor (bln)</v>
          </cell>
          <cell r="K348">
            <v>60</v>
          </cell>
          <cell r="L348">
            <v>1140000000</v>
          </cell>
          <cell r="M348">
            <v>12</v>
          </cell>
          <cell r="N348">
            <v>263642400</v>
          </cell>
          <cell r="O348">
            <v>12</v>
          </cell>
          <cell r="P348">
            <v>334832100</v>
          </cell>
          <cell r="Q348">
            <v>3</v>
          </cell>
          <cell r="R348">
            <v>32400000</v>
          </cell>
          <cell r="S348">
            <v>3</v>
          </cell>
          <cell r="T348">
            <v>151589000</v>
          </cell>
          <cell r="Y348">
            <v>6</v>
          </cell>
          <cell r="Z348">
            <v>183989000</v>
          </cell>
          <cell r="AA348">
            <v>18</v>
          </cell>
          <cell r="AB348">
            <v>447631400</v>
          </cell>
          <cell r="AC348">
            <v>30</v>
          </cell>
          <cell r="AD348">
            <v>39.265912280701755</v>
          </cell>
        </row>
        <row r="349">
          <cell r="C349">
            <v>1</v>
          </cell>
          <cell r="D349" t="str">
            <v>01</v>
          </cell>
          <cell r="E349" t="str">
            <v>03</v>
          </cell>
          <cell r="F349" t="str">
            <v>02</v>
          </cell>
          <cell r="G349" t="str">
            <v>02</v>
          </cell>
          <cell r="H349">
            <v>24</v>
          </cell>
          <cell r="I349" t="str">
            <v>Pemeliharaan Rutin/Berkala Kendaraan Dinas/Operasional</v>
          </cell>
          <cell r="J349" t="str">
            <v>Terlaksananya pemeliharaan rutin/ berkala kendaraan dinas/ operasional (bln)</v>
          </cell>
          <cell r="K349">
            <v>60</v>
          </cell>
          <cell r="L349">
            <v>1600000000</v>
          </cell>
          <cell r="M349">
            <v>12</v>
          </cell>
          <cell r="N349">
            <v>219341140</v>
          </cell>
          <cell r="O349">
            <v>12</v>
          </cell>
          <cell r="P349">
            <v>363805250</v>
          </cell>
          <cell r="Q349">
            <v>3</v>
          </cell>
          <cell r="R349">
            <v>58236550</v>
          </cell>
          <cell r="S349">
            <v>3</v>
          </cell>
          <cell r="T349">
            <v>156671883</v>
          </cell>
          <cell r="Y349">
            <v>6</v>
          </cell>
          <cell r="Z349">
            <v>214908433</v>
          </cell>
          <cell r="AA349">
            <v>18</v>
          </cell>
          <cell r="AB349">
            <v>434249573</v>
          </cell>
          <cell r="AC349">
            <v>30</v>
          </cell>
          <cell r="AD349">
            <v>27.140598312500003</v>
          </cell>
        </row>
        <row r="350">
          <cell r="A350">
            <v>3</v>
          </cell>
          <cell r="C350">
            <v>1</v>
          </cell>
          <cell r="D350" t="str">
            <v>01</v>
          </cell>
          <cell r="E350" t="str">
            <v>03</v>
          </cell>
          <cell r="F350" t="str">
            <v>02</v>
          </cell>
          <cell r="G350" t="str">
            <v>05</v>
          </cell>
          <cell r="I350" t="str">
            <v>Program Peningkatan Kapasitas Sumber Daya Aparatur</v>
          </cell>
          <cell r="J350" t="str">
            <v>Persentase peningkatan kapasitas aparatur</v>
          </cell>
          <cell r="K350">
            <v>14</v>
          </cell>
          <cell r="L350">
            <v>50000000</v>
          </cell>
          <cell r="M350">
            <v>14</v>
          </cell>
          <cell r="N350">
            <v>47365000</v>
          </cell>
          <cell r="S350">
            <v>0</v>
          </cell>
          <cell r="Y350">
            <v>0</v>
          </cell>
          <cell r="Z350">
            <v>0</v>
          </cell>
          <cell r="AA350">
            <v>0</v>
          </cell>
          <cell r="AB350">
            <v>0</v>
          </cell>
          <cell r="AC350">
            <v>0</v>
          </cell>
          <cell r="AD350">
            <v>0</v>
          </cell>
        </row>
        <row r="351">
          <cell r="C351">
            <v>1</v>
          </cell>
          <cell r="D351" t="str">
            <v>01</v>
          </cell>
          <cell r="E351" t="str">
            <v>03</v>
          </cell>
          <cell r="F351" t="str">
            <v>02</v>
          </cell>
          <cell r="G351" t="str">
            <v>05</v>
          </cell>
          <cell r="H351" t="str">
            <v>01</v>
          </cell>
          <cell r="I351" t="str">
            <v>Pendidikan dan Pelatihan Formal</v>
          </cell>
          <cell r="J351" t="str">
            <v>Jumlah aparatur yang mengikuti pelatihan (org)</v>
          </cell>
          <cell r="K351">
            <v>14</v>
          </cell>
          <cell r="L351">
            <v>50000000</v>
          </cell>
          <cell r="M351">
            <v>14</v>
          </cell>
          <cell r="N351">
            <v>47365000</v>
          </cell>
          <cell r="Y351">
            <v>0</v>
          </cell>
          <cell r="Z351">
            <v>0</v>
          </cell>
        </row>
        <row r="352">
          <cell r="A352">
            <v>4</v>
          </cell>
          <cell r="C352">
            <v>1</v>
          </cell>
          <cell r="D352" t="str">
            <v>01</v>
          </cell>
          <cell r="E352" t="str">
            <v>03</v>
          </cell>
          <cell r="F352" t="str">
            <v>02</v>
          </cell>
          <cell r="G352" t="str">
            <v>16</v>
          </cell>
          <cell r="I352" t="str">
            <v>Program Saluran Drainase/Gorong-Gorong</v>
          </cell>
          <cell r="J352" t="str">
            <v>Persentase Saluran Drainase/ Gorong - Gorong kondisi baik (%)</v>
          </cell>
          <cell r="K352">
            <v>80</v>
          </cell>
          <cell r="L352">
            <v>11700000000</v>
          </cell>
          <cell r="M352">
            <v>58</v>
          </cell>
          <cell r="N352">
            <v>2714491450</v>
          </cell>
          <cell r="O352">
            <v>9</v>
          </cell>
          <cell r="P352">
            <v>1784789535</v>
          </cell>
          <cell r="Q352">
            <v>0.5</v>
          </cell>
          <cell r="R352">
            <v>58204800</v>
          </cell>
          <cell r="S352">
            <v>4</v>
          </cell>
          <cell r="T352">
            <v>533830550</v>
          </cell>
          <cell r="Y352">
            <v>4.5</v>
          </cell>
          <cell r="Z352">
            <v>592035350</v>
          </cell>
          <cell r="AA352">
            <v>62.5</v>
          </cell>
          <cell r="AB352">
            <v>3306526800</v>
          </cell>
          <cell r="AC352">
            <v>78.125</v>
          </cell>
          <cell r="AD352">
            <v>28.260912820512818</v>
          </cell>
          <cell r="AE352" t="str">
            <v>Dinas PSDA</v>
          </cell>
        </row>
        <row r="353">
          <cell r="B353" t="str">
            <v>Berkurangnya Daya Rusak Air</v>
          </cell>
          <cell r="C353">
            <v>1</v>
          </cell>
          <cell r="D353" t="str">
            <v>01</v>
          </cell>
          <cell r="E353" t="str">
            <v>03</v>
          </cell>
          <cell r="F353" t="str">
            <v>02</v>
          </cell>
          <cell r="G353" t="str">
            <v>16</v>
          </cell>
          <cell r="H353" t="str">
            <v>01</v>
          </cell>
          <cell r="I353" t="str">
            <v>Perencanaan Pembangunan Saluran Drainase dan Trotoar</v>
          </cell>
          <cell r="J353" t="str">
            <v>Tersedianya Perencanaan Saluran Drainase / Gorong-Gorong (Dok)</v>
          </cell>
          <cell r="K353">
            <v>6</v>
          </cell>
          <cell r="L353">
            <v>200000000</v>
          </cell>
          <cell r="M353">
            <v>1</v>
          </cell>
          <cell r="N353">
            <v>49588000</v>
          </cell>
          <cell r="O353">
            <v>1</v>
          </cell>
          <cell r="P353">
            <v>59300000</v>
          </cell>
          <cell r="Q353">
            <v>0</v>
          </cell>
          <cell r="R353">
            <v>0</v>
          </cell>
          <cell r="S353">
            <v>1</v>
          </cell>
          <cell r="T353">
            <v>55471400</v>
          </cell>
          <cell r="Y353">
            <v>1</v>
          </cell>
          <cell r="Z353">
            <v>55471400</v>
          </cell>
          <cell r="AA353">
            <v>2</v>
          </cell>
          <cell r="AB353">
            <v>105059400</v>
          </cell>
          <cell r="AC353">
            <v>33.333333333333329</v>
          </cell>
          <cell r="AD353">
            <v>52.529699999999998</v>
          </cell>
        </row>
        <row r="354">
          <cell r="B354" t="str">
            <v>Berkurangnya Daya Rusak Air</v>
          </cell>
          <cell r="C354">
            <v>1</v>
          </cell>
          <cell r="D354" t="str">
            <v>01</v>
          </cell>
          <cell r="E354" t="str">
            <v>03</v>
          </cell>
          <cell r="F354" t="str">
            <v>02</v>
          </cell>
          <cell r="G354" t="str">
            <v>16</v>
          </cell>
          <cell r="H354" t="str">
            <v>03</v>
          </cell>
          <cell r="I354" t="str">
            <v>Pembangunan Saluran Drainase dan Trotoar</v>
          </cell>
          <cell r="J354" t="str">
            <v xml:space="preserve"> </v>
          </cell>
          <cell r="K354">
            <v>140</v>
          </cell>
          <cell r="L354">
            <v>11000000000</v>
          </cell>
          <cell r="M354">
            <v>56</v>
          </cell>
          <cell r="N354">
            <v>2586003950</v>
          </cell>
          <cell r="O354">
            <v>7</v>
          </cell>
          <cell r="P354">
            <v>1500000000</v>
          </cell>
          <cell r="Q354">
            <v>0</v>
          </cell>
          <cell r="R354">
            <v>22876000</v>
          </cell>
          <cell r="S354" t="str">
            <v>0</v>
          </cell>
          <cell r="T354">
            <v>426263350</v>
          </cell>
          <cell r="Y354">
            <v>0</v>
          </cell>
          <cell r="Z354">
            <v>449139350</v>
          </cell>
          <cell r="AA354">
            <v>56</v>
          </cell>
          <cell r="AB354">
            <v>3035143300</v>
          </cell>
          <cell r="AC354">
            <v>40</v>
          </cell>
          <cell r="AD354">
            <v>27.592211818181816</v>
          </cell>
        </row>
        <row r="355">
          <cell r="B355" t="str">
            <v>Berkurangnya Daya Rusak Air</v>
          </cell>
          <cell r="C355">
            <v>1</v>
          </cell>
          <cell r="D355" t="str">
            <v>01</v>
          </cell>
          <cell r="E355" t="str">
            <v>03</v>
          </cell>
          <cell r="F355" t="str">
            <v>02</v>
          </cell>
          <cell r="G355" t="str">
            <v>16</v>
          </cell>
          <cell r="H355">
            <v>31</v>
          </cell>
          <cell r="I355" t="str">
            <v>Pembuatan Database Saluran Drainase/Gorong-gorong</v>
          </cell>
          <cell r="J355" t="str">
            <v>Terlaksananya Pembuatan Database Saluran
Drainase/Gorong-gorong (Dokumen)</v>
          </cell>
          <cell r="K355">
            <v>5</v>
          </cell>
          <cell r="L355">
            <v>500000000</v>
          </cell>
          <cell r="M355">
            <v>1</v>
          </cell>
          <cell r="N355">
            <v>78899500</v>
          </cell>
          <cell r="O355">
            <v>1</v>
          </cell>
          <cell r="P355">
            <v>88700000</v>
          </cell>
          <cell r="Q355">
            <v>0.5</v>
          </cell>
          <cell r="R355">
            <v>35328800</v>
          </cell>
          <cell r="S355">
            <v>1</v>
          </cell>
          <cell r="T355">
            <v>52095800</v>
          </cell>
          <cell r="Y355">
            <v>1.5</v>
          </cell>
          <cell r="Z355">
            <v>87424600</v>
          </cell>
          <cell r="AA355">
            <v>2.5</v>
          </cell>
          <cell r="AB355">
            <v>166324100</v>
          </cell>
          <cell r="AC355">
            <v>50</v>
          </cell>
          <cell r="AD355">
            <v>33.26482</v>
          </cell>
        </row>
        <row r="356">
          <cell r="C356">
            <v>1</v>
          </cell>
          <cell r="D356" t="str">
            <v>01</v>
          </cell>
          <cell r="E356" t="str">
            <v>03</v>
          </cell>
          <cell r="F356" t="str">
            <v>02</v>
          </cell>
          <cell r="G356" t="str">
            <v>16</v>
          </cell>
          <cell r="I356" t="str">
            <v>Program Pengembangan dan Pengelolaan Jaringan Irigasi, Rawa dan Jaringan Pengairan Lainnya</v>
          </cell>
          <cell r="J356" t="str">
            <v>Terlaksananya Program pengembangan dan pengelolaan jaringan
irigasi, rawa dan jaringan pengairan lainnya</v>
          </cell>
          <cell r="P356">
            <v>136789535</v>
          </cell>
        </row>
        <row r="357">
          <cell r="A357">
            <v>5</v>
          </cell>
          <cell r="C357">
            <v>1</v>
          </cell>
          <cell r="D357" t="str">
            <v>01</v>
          </cell>
          <cell r="E357" t="str">
            <v>03</v>
          </cell>
          <cell r="F357" t="str">
            <v>02</v>
          </cell>
          <cell r="G357">
            <v>24</v>
          </cell>
          <cell r="I357" t="str">
            <v>Program Pengembangan dan Pengelolaan Jaringan Irigasi, Rawa dan Jaringan Pengairan Lainnya</v>
          </cell>
          <cell r="J357" t="str">
            <v>Terlaksananya Program pengembangan dan pengelolaan jaringan
irigasi, rawa dan jaringan pengairan lainnya</v>
          </cell>
          <cell r="K357">
            <v>691</v>
          </cell>
          <cell r="L357">
            <v>248746325000</v>
          </cell>
          <cell r="M357">
            <v>158</v>
          </cell>
          <cell r="N357">
            <v>24305515826</v>
          </cell>
          <cell r="O357">
            <v>36</v>
          </cell>
          <cell r="P357">
            <v>12508492409</v>
          </cell>
          <cell r="Q357">
            <v>0</v>
          </cell>
          <cell r="R357">
            <v>48790321</v>
          </cell>
          <cell r="S357" t="str">
            <v>0</v>
          </cell>
          <cell r="T357">
            <v>3009789672</v>
          </cell>
          <cell r="Y357">
            <v>0</v>
          </cell>
          <cell r="Z357">
            <v>3058579993</v>
          </cell>
          <cell r="AA357">
            <v>149</v>
          </cell>
          <cell r="AB357">
            <v>26831770368</v>
          </cell>
          <cell r="AC357">
            <v>21.562952243125906</v>
          </cell>
          <cell r="AD357">
            <v>10.786800716754307</v>
          </cell>
          <cell r="AE357" t="str">
            <v>DINAS PSDA</v>
          </cell>
        </row>
        <row r="358">
          <cell r="B358" t="str">
            <v>Berkurangnya Daya Rusak Air</v>
          </cell>
          <cell r="C358">
            <v>1</v>
          </cell>
          <cell r="D358" t="str">
            <v>01</v>
          </cell>
          <cell r="E358" t="str">
            <v>03</v>
          </cell>
          <cell r="F358" t="str">
            <v>02</v>
          </cell>
          <cell r="G358">
            <v>24</v>
          </cell>
          <cell r="H358">
            <v>72</v>
          </cell>
          <cell r="I358" t="str">
            <v>Perencanaan Normalisasi Saluran Sungai</v>
          </cell>
          <cell r="J358" t="str">
            <v>Jumlah dokumen Perencanaan Normalisasi Saluran Sungai (Dokumen)</v>
          </cell>
          <cell r="K358">
            <v>9</v>
          </cell>
          <cell r="L358">
            <v>800000000</v>
          </cell>
          <cell r="M358">
            <v>9</v>
          </cell>
          <cell r="N358">
            <v>512985250</v>
          </cell>
          <cell r="O358">
            <v>0</v>
          </cell>
          <cell r="P358">
            <v>0</v>
          </cell>
          <cell r="Q358">
            <v>0</v>
          </cell>
          <cell r="S358" t="str">
            <v>0</v>
          </cell>
          <cell r="T358">
            <v>0</v>
          </cell>
          <cell r="Y358">
            <v>0</v>
          </cell>
          <cell r="Z358">
            <v>0</v>
          </cell>
        </row>
        <row r="359">
          <cell r="B359" t="str">
            <v>Berkurangnya Daya Rusak Air</v>
          </cell>
          <cell r="C359">
            <v>1</v>
          </cell>
          <cell r="D359" t="str">
            <v>01</v>
          </cell>
          <cell r="E359" t="str">
            <v>03</v>
          </cell>
          <cell r="F359" t="str">
            <v>02</v>
          </cell>
          <cell r="G359">
            <v>24</v>
          </cell>
          <cell r="H359" t="str">
            <v>09</v>
          </cell>
          <cell r="I359" t="str">
            <v>Pelaksanaan Normalisasi saluran sungai</v>
          </cell>
          <cell r="J359" t="str">
            <v>Jumlah paket Normalisasi Saluran Sungai (Paket)</v>
          </cell>
          <cell r="K359">
            <v>76</v>
          </cell>
          <cell r="L359">
            <v>43171250000</v>
          </cell>
          <cell r="M359">
            <v>23</v>
          </cell>
          <cell r="N359">
            <v>2988020750</v>
          </cell>
          <cell r="O359">
            <v>12</v>
          </cell>
          <cell r="P359">
            <v>1599989409</v>
          </cell>
          <cell r="Q359">
            <v>0</v>
          </cell>
          <cell r="R359">
            <v>11600000</v>
          </cell>
          <cell r="S359" t="str">
            <v>0</v>
          </cell>
          <cell r="T359">
            <v>441506700</v>
          </cell>
          <cell r="Y359">
            <v>0</v>
          </cell>
          <cell r="Z359">
            <v>453106700</v>
          </cell>
          <cell r="AA359">
            <v>23</v>
          </cell>
          <cell r="AB359">
            <v>3441127450</v>
          </cell>
          <cell r="AC359">
            <v>30.263157894736842</v>
          </cell>
          <cell r="AD359">
            <v>7.9708774937024067</v>
          </cell>
        </row>
        <row r="360">
          <cell r="B360" t="str">
            <v>Meningkatnya Layanan Irigasi</v>
          </cell>
          <cell r="C360">
            <v>1</v>
          </cell>
          <cell r="D360" t="str">
            <v>01</v>
          </cell>
          <cell r="E360" t="str">
            <v>03</v>
          </cell>
          <cell r="F360" t="str">
            <v>02</v>
          </cell>
          <cell r="G360">
            <v>24</v>
          </cell>
          <cell r="H360">
            <v>10</v>
          </cell>
          <cell r="I360" t="str">
            <v>Rehabilitasi/pemeliharaan jaringan irigasi</v>
          </cell>
          <cell r="J360" t="str">
            <v>Jumlah paket pekerjaan Rehabilitasi / pemeliharaan jaringan irigasi  (Paket)</v>
          </cell>
          <cell r="K360">
            <v>204</v>
          </cell>
          <cell r="L360">
            <v>37424500000</v>
          </cell>
          <cell r="M360">
            <v>68</v>
          </cell>
          <cell r="N360">
            <v>5731671500</v>
          </cell>
          <cell r="O360">
            <v>17</v>
          </cell>
          <cell r="P360">
            <v>2140000000</v>
          </cell>
          <cell r="Q360">
            <v>0</v>
          </cell>
          <cell r="R360">
            <v>11132300</v>
          </cell>
          <cell r="S360" t="str">
            <v>0</v>
          </cell>
          <cell r="T360">
            <v>379328700</v>
          </cell>
          <cell r="Y360">
            <v>0</v>
          </cell>
          <cell r="Z360">
            <v>390461000</v>
          </cell>
          <cell r="AA360">
            <v>68</v>
          </cell>
          <cell r="AB360">
            <v>6122132500</v>
          </cell>
          <cell r="AC360">
            <v>33.333333333333329</v>
          </cell>
          <cell r="AD360">
            <v>16.358622025678365</v>
          </cell>
        </row>
        <row r="361">
          <cell r="B361" t="str">
            <v>Meningkatnya Layanan Irigasi</v>
          </cell>
          <cell r="C361">
            <v>1</v>
          </cell>
          <cell r="D361" t="str">
            <v>01</v>
          </cell>
          <cell r="E361" t="str">
            <v>03</v>
          </cell>
          <cell r="F361" t="str">
            <v>02</v>
          </cell>
          <cell r="G361">
            <v>24</v>
          </cell>
          <cell r="H361">
            <v>56</v>
          </cell>
          <cell r="I361" t="str">
            <v>Perencanaan Peningkatan dan Rehabilitasi Jaringan Irigasi</v>
          </cell>
          <cell r="J361" t="str">
            <v>Jumlah Dokumen Perencanaan Irigasi yang dibuat (Dok)</v>
          </cell>
          <cell r="K361">
            <v>9</v>
          </cell>
          <cell r="L361">
            <v>5022000000</v>
          </cell>
          <cell r="M361">
            <v>6</v>
          </cell>
          <cell r="N361">
            <v>106498500</v>
          </cell>
          <cell r="O361">
            <v>1</v>
          </cell>
          <cell r="P361">
            <v>53675000</v>
          </cell>
          <cell r="Q361">
            <v>0</v>
          </cell>
          <cell r="R361">
            <v>0</v>
          </cell>
          <cell r="S361" t="str">
            <v>0</v>
          </cell>
          <cell r="Y361">
            <v>0</v>
          </cell>
          <cell r="Z361">
            <v>0</v>
          </cell>
          <cell r="AA361">
            <v>6</v>
          </cell>
          <cell r="AB361">
            <v>106498500</v>
          </cell>
          <cell r="AC361">
            <v>66.666666666666657</v>
          </cell>
          <cell r="AD361">
            <v>2.1206391875746711</v>
          </cell>
        </row>
        <row r="362">
          <cell r="B362" t="str">
            <v>Meningkatnya Layanan Irigasi</v>
          </cell>
          <cell r="C362">
            <v>1</v>
          </cell>
          <cell r="D362" t="str">
            <v>01</v>
          </cell>
          <cell r="E362" t="str">
            <v>03</v>
          </cell>
          <cell r="F362" t="str">
            <v>02</v>
          </cell>
          <cell r="G362">
            <v>24</v>
          </cell>
          <cell r="H362">
            <v>15</v>
          </cell>
          <cell r="I362" t="str">
            <v>Optimalisasi Fungsi Jaringan Irigasi yang Telah Dibangun</v>
          </cell>
          <cell r="J362" t="str">
            <v>Jumlah paket pekerjaan optimalisasi fungsi jaringan irigasi (Paket)</v>
          </cell>
          <cell r="K362">
            <v>5</v>
          </cell>
          <cell r="L362">
            <v>12500000000</v>
          </cell>
          <cell r="M362">
            <v>1</v>
          </cell>
          <cell r="N362">
            <v>705134100</v>
          </cell>
          <cell r="O362">
            <v>1</v>
          </cell>
          <cell r="P362">
            <v>700000000</v>
          </cell>
          <cell r="Q362">
            <v>0</v>
          </cell>
          <cell r="R362">
            <v>0</v>
          </cell>
          <cell r="S362" t="str">
            <v>0</v>
          </cell>
          <cell r="T362">
            <v>179682350</v>
          </cell>
          <cell r="Y362">
            <v>0</v>
          </cell>
          <cell r="Z362">
            <v>179682350</v>
          </cell>
          <cell r="AA362">
            <v>1</v>
          </cell>
          <cell r="AB362">
            <v>884816450</v>
          </cell>
          <cell r="AC362">
            <v>20</v>
          </cell>
          <cell r="AD362">
            <v>7.0785315999999998</v>
          </cell>
        </row>
        <row r="363">
          <cell r="B363" t="str">
            <v>Meningkatnya Layanan Irigasi</v>
          </cell>
          <cell r="C363">
            <v>1</v>
          </cell>
          <cell r="D363" t="str">
            <v>01</v>
          </cell>
          <cell r="E363" t="str">
            <v>03</v>
          </cell>
          <cell r="F363" t="str">
            <v>02</v>
          </cell>
          <cell r="G363">
            <v>24</v>
          </cell>
          <cell r="H363">
            <v>54</v>
          </cell>
          <cell r="I363" t="str">
            <v>Peningkatan dan Rehabilitasi Jaringan Irigasi ( DAK )</v>
          </cell>
          <cell r="J363" t="str">
            <v>Jumlah paket pekerjaan peningkatan dan rehabilitasi jaringan irigasi (Paket)</v>
          </cell>
          <cell r="K363">
            <v>375</v>
          </cell>
          <cell r="L363">
            <v>145296800000</v>
          </cell>
          <cell r="M363">
            <v>48</v>
          </cell>
          <cell r="N363">
            <v>13571833976</v>
          </cell>
          <cell r="O363">
            <v>1</v>
          </cell>
          <cell r="P363">
            <v>7043753000</v>
          </cell>
          <cell r="Q363">
            <v>0</v>
          </cell>
          <cell r="R363">
            <v>26058021</v>
          </cell>
          <cell r="S363" t="str">
            <v>0</v>
          </cell>
          <cell r="T363">
            <v>1748651921</v>
          </cell>
          <cell r="Y363">
            <v>0</v>
          </cell>
          <cell r="Z363">
            <v>1774709942</v>
          </cell>
          <cell r="AA363">
            <v>48</v>
          </cell>
          <cell r="AB363">
            <v>15346543918</v>
          </cell>
          <cell r="AC363">
            <v>12.8</v>
          </cell>
          <cell r="AD363">
            <v>10.562203653487206</v>
          </cell>
        </row>
        <row r="364">
          <cell r="B364" t="str">
            <v>Meningkatnya Layanan Irigasi</v>
          </cell>
          <cell r="C364">
            <v>1</v>
          </cell>
          <cell r="D364" t="str">
            <v>01</v>
          </cell>
          <cell r="E364" t="str">
            <v>03</v>
          </cell>
          <cell r="F364" t="str">
            <v>02</v>
          </cell>
          <cell r="G364">
            <v>24</v>
          </cell>
          <cell r="H364">
            <v>74</v>
          </cell>
          <cell r="I364" t="str">
            <v>Pembaruan Database Irigasi</v>
          </cell>
          <cell r="J364" t="str">
            <v>dokumen database irigasi (Dokumen)</v>
          </cell>
          <cell r="K364">
            <v>5</v>
          </cell>
          <cell r="L364">
            <v>250000000</v>
          </cell>
          <cell r="M364">
            <v>1</v>
          </cell>
          <cell r="N364">
            <v>42891750</v>
          </cell>
          <cell r="O364">
            <v>1</v>
          </cell>
          <cell r="P364">
            <v>88700000</v>
          </cell>
          <cell r="Q364">
            <v>0</v>
          </cell>
          <cell r="R364">
            <v>0</v>
          </cell>
          <cell r="S364" t="str">
            <v>0</v>
          </cell>
          <cell r="T364">
            <v>193279800</v>
          </cell>
          <cell r="Y364">
            <v>0</v>
          </cell>
          <cell r="Z364">
            <v>193279800</v>
          </cell>
          <cell r="AA364">
            <v>1</v>
          </cell>
          <cell r="AB364">
            <v>236171550</v>
          </cell>
          <cell r="AC364">
            <v>20</v>
          </cell>
          <cell r="AD364">
            <v>94.468620000000001</v>
          </cell>
        </row>
        <row r="365">
          <cell r="B365" t="str">
            <v>Meningkatnya Layanan Irigasi</v>
          </cell>
          <cell r="C365">
            <v>1</v>
          </cell>
          <cell r="D365" t="str">
            <v>01</v>
          </cell>
          <cell r="E365" t="str">
            <v>03</v>
          </cell>
          <cell r="F365" t="str">
            <v>02</v>
          </cell>
          <cell r="G365">
            <v>24</v>
          </cell>
          <cell r="H365">
            <v>73</v>
          </cell>
          <cell r="I365" t="str">
            <v>Operasional Irigasi</v>
          </cell>
          <cell r="J365" t="str">
            <v xml:space="preserve"> </v>
          </cell>
          <cell r="K365">
            <v>6</v>
          </cell>
          <cell r="L365">
            <v>3919200000</v>
          </cell>
          <cell r="M365">
            <v>2</v>
          </cell>
          <cell r="N365">
            <v>646480000</v>
          </cell>
          <cell r="O365">
            <v>1</v>
          </cell>
          <cell r="P365">
            <v>852000000</v>
          </cell>
          <cell r="Q365">
            <v>0</v>
          </cell>
          <cell r="R365">
            <v>0</v>
          </cell>
          <cell r="S365" t="str">
            <v>0</v>
          </cell>
          <cell r="T365">
            <v>48000000</v>
          </cell>
          <cell r="Y365">
            <v>0</v>
          </cell>
          <cell r="Z365">
            <v>48000000</v>
          </cell>
          <cell r="AA365">
            <v>2</v>
          </cell>
          <cell r="AB365">
            <v>694480000</v>
          </cell>
          <cell r="AC365">
            <v>33.333333333333329</v>
          </cell>
          <cell r="AD365">
            <v>17.71994284547867</v>
          </cell>
        </row>
        <row r="366">
          <cell r="B366" t="str">
            <v>Meningkatnya Layanan Irigasi</v>
          </cell>
          <cell r="C366">
            <v>1</v>
          </cell>
          <cell r="D366" t="str">
            <v>01</v>
          </cell>
          <cell r="E366" t="str">
            <v>03</v>
          </cell>
          <cell r="F366" t="str">
            <v>02</v>
          </cell>
          <cell r="G366">
            <v>24</v>
          </cell>
          <cell r="I366" t="str">
            <v>Operasional Komisi Irigasi</v>
          </cell>
          <cell r="J366" t="str">
            <v>Terlaksananya Operasional Komisi Irigasi (Dokumen)</v>
          </cell>
          <cell r="K366">
            <v>1</v>
          </cell>
          <cell r="L366">
            <v>30375000</v>
          </cell>
          <cell r="O366">
            <v>1</v>
          </cell>
          <cell r="P366">
            <v>30375000</v>
          </cell>
          <cell r="Q366">
            <v>0</v>
          </cell>
          <cell r="R366">
            <v>0</v>
          </cell>
          <cell r="S366" t="str">
            <v>0</v>
          </cell>
          <cell r="T366">
            <v>0</v>
          </cell>
          <cell r="Y366">
            <v>0</v>
          </cell>
          <cell r="Z366">
            <v>0</v>
          </cell>
          <cell r="AA366">
            <v>0</v>
          </cell>
          <cell r="AB366">
            <v>0</v>
          </cell>
          <cell r="AC366">
            <v>0</v>
          </cell>
          <cell r="AD366">
            <v>0</v>
          </cell>
        </row>
        <row r="367">
          <cell r="B367" t="str">
            <v>Meningkatnya Layanan Irigasi</v>
          </cell>
          <cell r="C367">
            <v>1</v>
          </cell>
          <cell r="D367" t="str">
            <v>01</v>
          </cell>
          <cell r="E367" t="str">
            <v>03</v>
          </cell>
          <cell r="F367" t="str">
            <v>02</v>
          </cell>
          <cell r="G367">
            <v>24</v>
          </cell>
          <cell r="I367" t="str">
            <v>Integrated Participatory Development and Management of Irrigation Project (IPDMIP) (LOAN)</v>
          </cell>
          <cell r="J367" t="str">
            <v>Terlaksananya Integrated Participatory Development and Management of Irrigation Project (IPDMIP) (LOAN) (Paket)</v>
          </cell>
          <cell r="K367">
            <v>1</v>
          </cell>
          <cell r="L367">
            <v>332200000</v>
          </cell>
          <cell r="M367">
            <v>0</v>
          </cell>
          <cell r="N367">
            <v>0</v>
          </cell>
          <cell r="O367">
            <v>1</v>
          </cell>
          <cell r="Q367">
            <v>0</v>
          </cell>
          <cell r="R367">
            <v>0</v>
          </cell>
          <cell r="S367" t="str">
            <v>0</v>
          </cell>
          <cell r="T367">
            <v>19340201</v>
          </cell>
          <cell r="Y367">
            <v>0</v>
          </cell>
          <cell r="Z367">
            <v>19340201</v>
          </cell>
        </row>
        <row r="368">
          <cell r="A368">
            <v>5</v>
          </cell>
          <cell r="C368">
            <v>1</v>
          </cell>
          <cell r="D368" t="str">
            <v>01</v>
          </cell>
          <cell r="E368" t="str">
            <v>03</v>
          </cell>
          <cell r="F368" t="str">
            <v>02</v>
          </cell>
          <cell r="G368">
            <v>26</v>
          </cell>
          <cell r="I368" t="str">
            <v>Program Pengembangan, Pengelolaan, Konservasi Sungai, Danau dan Sumber Daya Air</v>
          </cell>
          <cell r="J368" t="str">
            <v xml:space="preserve">Tercapainya program pengembangan, pengelolaan dan
konservasi sungai, danau dan sumber daya air </v>
          </cell>
          <cell r="K368">
            <v>90</v>
          </cell>
          <cell r="L368">
            <v>6255213000</v>
          </cell>
          <cell r="M368">
            <v>12</v>
          </cell>
          <cell r="N368">
            <v>68328500</v>
          </cell>
          <cell r="O368">
            <v>100.15</v>
          </cell>
          <cell r="P368">
            <v>859060000</v>
          </cell>
          <cell r="Q368">
            <v>0</v>
          </cell>
          <cell r="R368">
            <v>18402000</v>
          </cell>
          <cell r="S368" t="str">
            <v>0</v>
          </cell>
          <cell r="T368">
            <v>151254800</v>
          </cell>
          <cell r="Y368">
            <v>0</v>
          </cell>
          <cell r="Z368">
            <v>169656800</v>
          </cell>
          <cell r="AA368">
            <v>12</v>
          </cell>
          <cell r="AB368">
            <v>237985300</v>
          </cell>
          <cell r="AC368">
            <v>13.333333333333334</v>
          </cell>
          <cell r="AD368">
            <v>3.8045914663497471</v>
          </cell>
        </row>
        <row r="369">
          <cell r="B369" t="str">
            <v>Berkurangnya Daya Rusak Air dan Meningkatnya Layanan Irigasi</v>
          </cell>
          <cell r="C369">
            <v>1</v>
          </cell>
          <cell r="D369" t="str">
            <v>01</v>
          </cell>
          <cell r="E369" t="str">
            <v>03</v>
          </cell>
          <cell r="F369" t="str">
            <v>02</v>
          </cell>
          <cell r="G369">
            <v>26</v>
          </cell>
          <cell r="H369" t="str">
            <v>07</v>
          </cell>
          <cell r="I369" t="str">
            <v>Monitoring, Evaluasi dan Pelaporan</v>
          </cell>
          <cell r="J369" t="str">
            <v>Laporan triwulan Monitoring Pembangunan Irigasi, Sungai, Rawa dan Embung (Dokumen)</v>
          </cell>
          <cell r="K369">
            <v>24</v>
          </cell>
          <cell r="L369">
            <v>260213000</v>
          </cell>
          <cell r="M369">
            <v>8</v>
          </cell>
          <cell r="N369">
            <v>31688000</v>
          </cell>
          <cell r="O369">
            <v>4</v>
          </cell>
          <cell r="P369">
            <v>50055000</v>
          </cell>
          <cell r="R369">
            <v>0</v>
          </cell>
          <cell r="S369" t="str">
            <v>0</v>
          </cell>
          <cell r="T369">
            <v>2087000</v>
          </cell>
          <cell r="Y369">
            <v>0</v>
          </cell>
          <cell r="Z369">
            <v>2087000</v>
          </cell>
          <cell r="AA369">
            <v>8</v>
          </cell>
          <cell r="AB369">
            <v>33775000</v>
          </cell>
          <cell r="AC369">
            <v>33.333333333333329</v>
          </cell>
          <cell r="AD369">
            <v>12.979751203821484</v>
          </cell>
        </row>
        <row r="370">
          <cell r="B370" t="str">
            <v>Berkurangnya Daya Rusak Air dan Meningkatnya Layanan Irigasi</v>
          </cell>
          <cell r="C370">
            <v>1</v>
          </cell>
          <cell r="D370" t="str">
            <v>01</v>
          </cell>
          <cell r="E370" t="str">
            <v>03</v>
          </cell>
          <cell r="F370" t="str">
            <v>02</v>
          </cell>
          <cell r="G370">
            <v>26</v>
          </cell>
          <cell r="H370" t="str">
            <v>08</v>
          </cell>
          <cell r="I370" t="str">
            <v>Laporan Pelaksanaan AMDAL</v>
          </cell>
          <cell r="J370" t="str">
            <v>Laporan Pelaksanaan AMDAL (Dokumen)</v>
          </cell>
          <cell r="K370">
            <v>48</v>
          </cell>
          <cell r="L370">
            <v>2850000000</v>
          </cell>
          <cell r="M370">
            <v>2</v>
          </cell>
          <cell r="O370">
            <v>1</v>
          </cell>
          <cell r="P370">
            <v>0</v>
          </cell>
          <cell r="R370">
            <v>0</v>
          </cell>
          <cell r="S370">
            <v>0</v>
          </cell>
          <cell r="T370">
            <v>0</v>
          </cell>
          <cell r="Y370">
            <v>0</v>
          </cell>
          <cell r="Z370">
            <v>0</v>
          </cell>
          <cell r="AA370">
            <v>2</v>
          </cell>
          <cell r="AB370">
            <v>0</v>
          </cell>
          <cell r="AC370">
            <v>4.1666666666666661</v>
          </cell>
          <cell r="AD370">
            <v>0</v>
          </cell>
        </row>
        <row r="371">
          <cell r="B371" t="str">
            <v>Berkurangnya Daya Rusak Air dan Meningkatnya Layanan Irigasi</v>
          </cell>
          <cell r="C371">
            <v>1</v>
          </cell>
          <cell r="D371" t="str">
            <v>01</v>
          </cell>
          <cell r="E371" t="str">
            <v>03</v>
          </cell>
          <cell r="F371" t="str">
            <v>02</v>
          </cell>
          <cell r="G371">
            <v>26</v>
          </cell>
          <cell r="H371" t="str">
            <v>09</v>
          </cell>
          <cell r="I371" t="str">
            <v>Dukumen lingkungan</v>
          </cell>
          <cell r="J371" t="str">
            <v xml:space="preserve"> Dokumen UKL-UPL (Dokumen)</v>
          </cell>
          <cell r="K371">
            <v>10</v>
          </cell>
          <cell r="L371">
            <v>675000000</v>
          </cell>
          <cell r="M371">
            <v>1</v>
          </cell>
          <cell r="O371">
            <v>4</v>
          </cell>
          <cell r="P371">
            <v>664525000</v>
          </cell>
          <cell r="R371">
            <v>1202000</v>
          </cell>
          <cell r="S371">
            <v>0</v>
          </cell>
          <cell r="T371">
            <v>118171800</v>
          </cell>
          <cell r="Y371">
            <v>0</v>
          </cell>
          <cell r="Z371">
            <v>119373800</v>
          </cell>
          <cell r="AA371">
            <v>1</v>
          </cell>
          <cell r="AB371">
            <v>119373800</v>
          </cell>
          <cell r="AC371">
            <v>10</v>
          </cell>
          <cell r="AD371">
            <v>17.685007407407408</v>
          </cell>
        </row>
        <row r="372">
          <cell r="B372" t="str">
            <v>Berkurangnya Daya Rusak Air dan Meningkatnya Layanan Irigasi</v>
          </cell>
          <cell r="C372">
            <v>1</v>
          </cell>
          <cell r="D372" t="str">
            <v>01</v>
          </cell>
          <cell r="E372" t="str">
            <v>03</v>
          </cell>
          <cell r="F372" t="str">
            <v>02</v>
          </cell>
          <cell r="G372">
            <v>26</v>
          </cell>
          <cell r="H372">
            <v>18</v>
          </cell>
          <cell r="I372" t="str">
            <v>Pengawasan dan Konservasi Sumber Daya Air</v>
          </cell>
          <cell r="J372" t="str">
            <v>laporan Pengawasan dan Konservasi Sumber Daya Air (Dokumen)</v>
          </cell>
          <cell r="K372">
            <v>4</v>
          </cell>
          <cell r="L372">
            <v>2000000000</v>
          </cell>
          <cell r="M372">
            <v>1</v>
          </cell>
          <cell r="N372">
            <v>36640500</v>
          </cell>
          <cell r="O372">
            <v>1</v>
          </cell>
          <cell r="P372">
            <v>93680000</v>
          </cell>
          <cell r="R372">
            <v>17200000</v>
          </cell>
          <cell r="T372">
            <v>30996000</v>
          </cell>
          <cell r="Y372">
            <v>0</v>
          </cell>
          <cell r="Z372">
            <v>48196000</v>
          </cell>
          <cell r="AA372">
            <v>1</v>
          </cell>
          <cell r="AB372">
            <v>84836500</v>
          </cell>
          <cell r="AC372">
            <v>25</v>
          </cell>
          <cell r="AD372">
            <v>4.2418249999999995</v>
          </cell>
        </row>
        <row r="373">
          <cell r="B373" t="str">
            <v>Berkurangnya Daya Rusak Air dan Meningkatnya Layanan Irigasi</v>
          </cell>
          <cell r="C373">
            <v>1</v>
          </cell>
          <cell r="D373" t="str">
            <v>01</v>
          </cell>
          <cell r="E373" t="str">
            <v>03</v>
          </cell>
          <cell r="F373" t="str">
            <v>02</v>
          </cell>
          <cell r="G373">
            <v>26</v>
          </cell>
          <cell r="I373" t="str">
            <v>Perencanaan Embung dan Bangunan Penampungan Air Lainnya</v>
          </cell>
          <cell r="J373" t="str">
            <v>Jumlah dokumen Perencanaan Embung dan Bangunan Penampungan Air Lainnya (Paket)</v>
          </cell>
          <cell r="K373">
            <v>4</v>
          </cell>
          <cell r="L373">
            <v>470000000</v>
          </cell>
          <cell r="O373">
            <v>1</v>
          </cell>
          <cell r="P373">
            <v>50800000</v>
          </cell>
          <cell r="R373">
            <v>0</v>
          </cell>
          <cell r="Y373">
            <v>0</v>
          </cell>
          <cell r="Z373">
            <v>0</v>
          </cell>
          <cell r="AA373">
            <v>0</v>
          </cell>
          <cell r="AB373">
            <v>0</v>
          </cell>
          <cell r="AC373">
            <v>0</v>
          </cell>
          <cell r="AD373">
            <v>0</v>
          </cell>
        </row>
        <row r="374">
          <cell r="A374">
            <v>6</v>
          </cell>
          <cell r="C374">
            <v>1</v>
          </cell>
          <cell r="D374" t="str">
            <v>01</v>
          </cell>
          <cell r="E374" t="str">
            <v>03</v>
          </cell>
          <cell r="F374" t="str">
            <v>02</v>
          </cell>
          <cell r="G374">
            <v>28</v>
          </cell>
          <cell r="I374" t="str">
            <v>Program Pengendalian Banjir</v>
          </cell>
          <cell r="J374" t="str">
            <v>Luas genangan yang dikeringkan (Ha)</v>
          </cell>
          <cell r="K374">
            <v>459.26</v>
          </cell>
          <cell r="L374">
            <v>29650000000</v>
          </cell>
          <cell r="M374">
            <v>200</v>
          </cell>
          <cell r="N374">
            <v>12571396150</v>
          </cell>
          <cell r="O374">
            <v>72.150000000000006</v>
          </cell>
          <cell r="P374">
            <v>6977127500</v>
          </cell>
          <cell r="Q374">
            <v>0</v>
          </cell>
          <cell r="R374">
            <v>79745050</v>
          </cell>
          <cell r="S374">
            <v>18.037500000000001</v>
          </cell>
          <cell r="T374">
            <v>1770565425</v>
          </cell>
          <cell r="Y374">
            <v>18.037500000000001</v>
          </cell>
          <cell r="Z374">
            <v>1850310475</v>
          </cell>
          <cell r="AA374">
            <v>39</v>
          </cell>
          <cell r="AB374">
            <v>14421706625</v>
          </cell>
          <cell r="AC374">
            <v>8.4919217872229247</v>
          </cell>
          <cell r="AD374">
            <v>48.639819983136597</v>
          </cell>
          <cell r="AE374" t="str">
            <v>DINAS PSDA</v>
          </cell>
        </row>
        <row r="375">
          <cell r="C375">
            <v>1</v>
          </cell>
          <cell r="D375" t="str">
            <v>01</v>
          </cell>
          <cell r="E375" t="str">
            <v>03</v>
          </cell>
          <cell r="F375" t="str">
            <v>02</v>
          </cell>
          <cell r="G375">
            <v>28</v>
          </cell>
          <cell r="H375" t="str">
            <v>03</v>
          </cell>
          <cell r="I375" t="str">
            <v>Rehabilitasi dan Pemeliharaan Bantaran dan Tanggul Sungai</v>
          </cell>
          <cell r="J375" t="str">
            <v>Jumlah paket Rehabilitasi dan Pemeliharaan Bantaran Tanggul Sungai</v>
          </cell>
          <cell r="K375">
            <v>40</v>
          </cell>
          <cell r="L375">
            <v>15850000000</v>
          </cell>
          <cell r="M375">
            <v>16</v>
          </cell>
          <cell r="N375">
            <v>8036676450</v>
          </cell>
          <cell r="O375">
            <v>8</v>
          </cell>
          <cell r="P375">
            <v>4413141000</v>
          </cell>
          <cell r="Q375">
            <v>0</v>
          </cell>
          <cell r="R375">
            <v>52230250</v>
          </cell>
          <cell r="S375">
            <v>3</v>
          </cell>
          <cell r="T375">
            <v>1545340550</v>
          </cell>
          <cell r="Y375">
            <v>3</v>
          </cell>
          <cell r="Z375">
            <v>1597570800</v>
          </cell>
          <cell r="AA375">
            <v>19</v>
          </cell>
          <cell r="AB375">
            <v>9634247250</v>
          </cell>
          <cell r="AC375">
            <v>47.5</v>
          </cell>
          <cell r="AD375">
            <v>60.78389432176656</v>
          </cell>
        </row>
        <row r="376">
          <cell r="C376">
            <v>1</v>
          </cell>
          <cell r="D376" t="str">
            <v>01</v>
          </cell>
          <cell r="E376" t="str">
            <v>03</v>
          </cell>
          <cell r="F376" t="str">
            <v>02</v>
          </cell>
          <cell r="G376">
            <v>28</v>
          </cell>
          <cell r="H376" t="str">
            <v>04</v>
          </cell>
          <cell r="I376" t="str">
            <v>Pengembangan Pengelolaan Daerah Rawa Dalam Rangka Pengendalian Banjir</v>
          </cell>
          <cell r="J376" t="str">
            <v>Jumlah paket Pengeringan dan Pengurangan Banjir Pada Daerah Rawa</v>
          </cell>
          <cell r="K376">
            <v>46</v>
          </cell>
          <cell r="L376">
            <v>11200000000</v>
          </cell>
          <cell r="M376">
            <v>16</v>
          </cell>
          <cell r="N376">
            <v>4449081050</v>
          </cell>
          <cell r="O376">
            <v>8</v>
          </cell>
          <cell r="P376">
            <v>2300000000</v>
          </cell>
          <cell r="Q376">
            <v>0</v>
          </cell>
          <cell r="S376">
            <v>0</v>
          </cell>
          <cell r="T376">
            <v>52877000</v>
          </cell>
          <cell r="Y376">
            <v>0</v>
          </cell>
          <cell r="Z376">
            <v>52877000</v>
          </cell>
          <cell r="AA376">
            <v>16</v>
          </cell>
          <cell r="AB376">
            <v>4501958050</v>
          </cell>
          <cell r="AC376">
            <v>34.782608695652172</v>
          </cell>
          <cell r="AD376">
            <v>40.196054017857143</v>
          </cell>
        </row>
        <row r="377">
          <cell r="C377">
            <v>1</v>
          </cell>
          <cell r="D377" t="str">
            <v>01</v>
          </cell>
          <cell r="E377" t="str">
            <v>03</v>
          </cell>
          <cell r="F377" t="str">
            <v>02</v>
          </cell>
          <cell r="G377">
            <v>28</v>
          </cell>
          <cell r="H377" t="str">
            <v>07</v>
          </cell>
          <cell r="I377" t="str">
            <v>Peningkatan Pembersihan dan Pengerukan Sungai / Kali</v>
          </cell>
          <cell r="J377" t="str">
            <v>Jumlah Pembersihan dan Pengerukan Sungai yang dilakukan (kegiatan)</v>
          </cell>
          <cell r="K377">
            <v>30</v>
          </cell>
          <cell r="L377">
            <v>2000000000</v>
          </cell>
          <cell r="M377">
            <v>0</v>
          </cell>
          <cell r="N377">
            <v>0</v>
          </cell>
          <cell r="O377">
            <v>4</v>
          </cell>
          <cell r="P377">
            <v>175286500</v>
          </cell>
          <cell r="S377">
            <v>3</v>
          </cell>
          <cell r="T377">
            <v>120593875</v>
          </cell>
          <cell r="Y377">
            <v>3</v>
          </cell>
          <cell r="Z377">
            <v>120593875</v>
          </cell>
          <cell r="AA377">
            <v>3</v>
          </cell>
          <cell r="AB377">
            <v>120593875</v>
          </cell>
          <cell r="AC377">
            <v>10</v>
          </cell>
          <cell r="AD377">
            <v>6.0296937499999999</v>
          </cell>
        </row>
        <row r="378">
          <cell r="C378">
            <v>1</v>
          </cell>
          <cell r="D378" t="str">
            <v>01</v>
          </cell>
          <cell r="E378" t="str">
            <v>03</v>
          </cell>
          <cell r="F378" t="str">
            <v>02</v>
          </cell>
          <cell r="G378">
            <v>28</v>
          </cell>
          <cell r="H378">
            <v>13</v>
          </cell>
          <cell r="I378" t="str">
            <v>Pembuatan Database Sungai dan Pantai</v>
          </cell>
          <cell r="J378" t="str">
            <v xml:space="preserve"> Database Sungai dan Pantai</v>
          </cell>
          <cell r="K378">
            <v>5</v>
          </cell>
          <cell r="L378">
            <v>600000000</v>
          </cell>
          <cell r="M378">
            <v>1</v>
          </cell>
          <cell r="N378">
            <v>85638650</v>
          </cell>
          <cell r="O378">
            <v>1</v>
          </cell>
          <cell r="P378">
            <v>88700000</v>
          </cell>
          <cell r="Q378">
            <v>0</v>
          </cell>
          <cell r="R378">
            <v>27514800</v>
          </cell>
          <cell r="S378">
            <v>0</v>
          </cell>
          <cell r="T378">
            <v>51754000</v>
          </cell>
          <cell r="Y378">
            <v>0</v>
          </cell>
          <cell r="Z378">
            <v>79268800</v>
          </cell>
          <cell r="AA378">
            <v>1</v>
          </cell>
          <cell r="AB378">
            <v>164907450</v>
          </cell>
          <cell r="AC378">
            <v>20</v>
          </cell>
          <cell r="AD378">
            <v>27.484575</v>
          </cell>
        </row>
        <row r="379">
          <cell r="A379" t="str">
            <v>Rata-Rata Capaian Kinerja</v>
          </cell>
          <cell r="AC379">
            <v>37.635974806069768</v>
          </cell>
          <cell r="AD379">
            <v>31.704257222673313</v>
          </cell>
        </row>
        <row r="380">
          <cell r="A380" t="str">
            <v>Peringkat  Kinerja</v>
          </cell>
          <cell r="AC380" t="str">
            <v>SR</v>
          </cell>
          <cell r="AD380" t="str">
            <v>SR</v>
          </cell>
        </row>
        <row r="382">
          <cell r="A382" t="str">
            <v>IV</v>
          </cell>
          <cell r="I382" t="str">
            <v>URUSAN PERUMAHAN RAKYAT DAN KAWASAN PEMUKIMAN</v>
          </cell>
          <cell r="L382">
            <v>153821112850</v>
          </cell>
          <cell r="N382">
            <v>15394326825</v>
          </cell>
          <cell r="P382">
            <v>23746817700</v>
          </cell>
          <cell r="R382">
            <v>660554157</v>
          </cell>
          <cell r="T382">
            <v>5502487780</v>
          </cell>
          <cell r="Z382">
            <v>6163041937</v>
          </cell>
          <cell r="AB382">
            <v>21557368762</v>
          </cell>
        </row>
        <row r="383">
          <cell r="A383">
            <v>1</v>
          </cell>
          <cell r="C383">
            <v>5</v>
          </cell>
          <cell r="E383" t="str">
            <v>01</v>
          </cell>
          <cell r="F383" t="str">
            <v>01</v>
          </cell>
          <cell r="H383">
            <v>1</v>
          </cell>
          <cell r="I383" t="str">
            <v>Program Pelayanan Administrasi Perkantoran</v>
          </cell>
          <cell r="J383" t="str">
            <v>Pemenuhan layanan adminstrasi perkantoran (bln)</v>
          </cell>
          <cell r="K383">
            <v>60</v>
          </cell>
          <cell r="L383">
            <v>4774280600</v>
          </cell>
          <cell r="M383">
            <v>12</v>
          </cell>
          <cell r="N383">
            <v>1406262646</v>
          </cell>
          <cell r="O383">
            <v>12</v>
          </cell>
          <cell r="P383">
            <v>930280600</v>
          </cell>
          <cell r="Q383">
            <v>3</v>
          </cell>
          <cell r="R383">
            <v>148187126</v>
          </cell>
          <cell r="S383">
            <v>3</v>
          </cell>
          <cell r="T383">
            <v>424082406</v>
          </cell>
          <cell r="Y383">
            <v>6</v>
          </cell>
          <cell r="Z383">
            <v>572269532</v>
          </cell>
          <cell r="AA383">
            <v>18</v>
          </cell>
          <cell r="AB383">
            <v>1978532178</v>
          </cell>
          <cell r="AC383">
            <v>30</v>
          </cell>
          <cell r="AD383">
            <v>41.441472417854953</v>
          </cell>
          <cell r="AE383" t="str">
            <v>Dinas PERKIMTAN</v>
          </cell>
        </row>
        <row r="384">
          <cell r="C384">
            <v>5</v>
          </cell>
          <cell r="E384" t="str">
            <v>01</v>
          </cell>
          <cell r="F384" t="str">
            <v>01</v>
          </cell>
          <cell r="I384" t="str">
            <v>Penyediaan jasa komunikasi, sumber daya air dan listrik</v>
          </cell>
          <cell r="J384" t="str">
            <v xml:space="preserve">Terlaksananya pembayaran rekening Listrik, Air, dan Koran bln </v>
          </cell>
          <cell r="K384">
            <v>60</v>
          </cell>
          <cell r="L384">
            <v>416900000</v>
          </cell>
          <cell r="M384">
            <v>12</v>
          </cell>
          <cell r="N384">
            <v>33264416</v>
          </cell>
          <cell r="O384">
            <v>12</v>
          </cell>
          <cell r="P384">
            <v>76900000</v>
          </cell>
          <cell r="Q384">
            <v>3</v>
          </cell>
          <cell r="R384">
            <v>11957025</v>
          </cell>
          <cell r="S384">
            <v>3</v>
          </cell>
          <cell r="T384">
            <v>124150000</v>
          </cell>
          <cell r="Y384">
            <v>6</v>
          </cell>
          <cell r="Z384">
            <v>136107025</v>
          </cell>
          <cell r="AA384">
            <v>18</v>
          </cell>
          <cell r="AB384">
            <v>169371441</v>
          </cell>
          <cell r="AC384">
            <v>30</v>
          </cell>
          <cell r="AD384">
            <v>40.626395058767088</v>
          </cell>
        </row>
        <row r="385">
          <cell r="C385">
            <v>5</v>
          </cell>
          <cell r="E385" t="str">
            <v>01</v>
          </cell>
          <cell r="F385" t="str">
            <v>01</v>
          </cell>
          <cell r="I385" t="str">
            <v>Penyediaan jasa administrasi keuangan</v>
          </cell>
          <cell r="J385" t="str">
            <v>Terpenuhinya pembayaran jasa administrasi keuangan (bln)</v>
          </cell>
          <cell r="K385">
            <v>60</v>
          </cell>
          <cell r="L385">
            <v>1221600000</v>
          </cell>
          <cell r="M385">
            <v>12</v>
          </cell>
          <cell r="N385">
            <v>206350000</v>
          </cell>
          <cell r="O385">
            <v>12</v>
          </cell>
          <cell r="P385">
            <v>281600000</v>
          </cell>
          <cell r="Q385">
            <v>2</v>
          </cell>
          <cell r="R385">
            <v>41000000</v>
          </cell>
          <cell r="S385">
            <v>3</v>
          </cell>
          <cell r="T385">
            <v>37742630</v>
          </cell>
          <cell r="Y385">
            <v>5</v>
          </cell>
          <cell r="Z385">
            <v>78742630</v>
          </cell>
          <cell r="AA385">
            <v>17</v>
          </cell>
          <cell r="AB385">
            <v>285092630</v>
          </cell>
          <cell r="AC385">
            <v>28.333333333333332</v>
          </cell>
          <cell r="AD385">
            <v>23.337641617550752</v>
          </cell>
        </row>
        <row r="386">
          <cell r="C386">
            <v>5</v>
          </cell>
          <cell r="E386" t="str">
            <v>01</v>
          </cell>
          <cell r="F386" t="str">
            <v>01</v>
          </cell>
          <cell r="I386" t="str">
            <v>Penyediaan jasa kebersihan kantor</v>
          </cell>
          <cell r="J386" t="str">
            <v>Terlaksananya pembayaran jasa kebersihan kantor dan tersedianya alat kebersihan kantor  (bln)</v>
          </cell>
          <cell r="K386">
            <v>60</v>
          </cell>
          <cell r="L386">
            <v>403688800</v>
          </cell>
          <cell r="M386">
            <v>12</v>
          </cell>
          <cell r="N386">
            <v>76954000</v>
          </cell>
          <cell r="O386">
            <v>12</v>
          </cell>
          <cell r="P386">
            <v>75688800</v>
          </cell>
          <cell r="Q386">
            <v>3</v>
          </cell>
          <cell r="R386">
            <v>4788800</v>
          </cell>
          <cell r="S386">
            <v>3</v>
          </cell>
          <cell r="T386">
            <v>14584900</v>
          </cell>
          <cell r="Y386">
            <v>6</v>
          </cell>
          <cell r="Z386">
            <v>19373700</v>
          </cell>
          <cell r="AA386">
            <v>18</v>
          </cell>
          <cell r="AB386">
            <v>96327700</v>
          </cell>
          <cell r="AC386">
            <v>30</v>
          </cell>
          <cell r="AD386">
            <v>23.861870827231275</v>
          </cell>
        </row>
        <row r="387">
          <cell r="C387">
            <v>5</v>
          </cell>
          <cell r="E387" t="str">
            <v>01</v>
          </cell>
          <cell r="F387" t="str">
            <v>01</v>
          </cell>
          <cell r="I387" t="str">
            <v>Penyediaan Alat Tulis Kantor</v>
          </cell>
          <cell r="J387" t="str">
            <v>Tersedianya alat tulis kantor (bln)</v>
          </cell>
          <cell r="K387">
            <v>60</v>
          </cell>
          <cell r="L387">
            <v>153703600</v>
          </cell>
          <cell r="M387">
            <v>12</v>
          </cell>
          <cell r="N387">
            <v>33135800</v>
          </cell>
          <cell r="O387">
            <v>12</v>
          </cell>
          <cell r="P387">
            <v>28703600</v>
          </cell>
          <cell r="Q387">
            <v>3</v>
          </cell>
          <cell r="R387">
            <v>7167700</v>
          </cell>
          <cell r="S387">
            <v>3</v>
          </cell>
          <cell r="T387">
            <v>11628500</v>
          </cell>
          <cell r="Y387">
            <v>6</v>
          </cell>
          <cell r="Z387">
            <v>18796200</v>
          </cell>
          <cell r="AA387">
            <v>18</v>
          </cell>
          <cell r="AB387">
            <v>51932000</v>
          </cell>
          <cell r="AC387">
            <v>30</v>
          </cell>
          <cell r="AD387">
            <v>33.787107133469874</v>
          </cell>
        </row>
        <row r="388">
          <cell r="C388">
            <v>5</v>
          </cell>
          <cell r="E388" t="str">
            <v>01</v>
          </cell>
          <cell r="F388" t="str">
            <v>01</v>
          </cell>
          <cell r="I388" t="str">
            <v>Penyediaan barang cetakan dan penggandaan</v>
          </cell>
          <cell r="J388" t="str">
            <v>Tersedianya barang cetakan dan tersedianya penggandaan dokumen (bln)</v>
          </cell>
          <cell r="K388">
            <v>60</v>
          </cell>
          <cell r="L388">
            <v>202157700</v>
          </cell>
          <cell r="M388">
            <v>12</v>
          </cell>
          <cell r="N388">
            <v>20085900</v>
          </cell>
          <cell r="O388">
            <v>12</v>
          </cell>
          <cell r="P388">
            <v>37157700</v>
          </cell>
          <cell r="Q388">
            <v>3</v>
          </cell>
          <cell r="R388">
            <v>8847700</v>
          </cell>
          <cell r="S388">
            <v>3</v>
          </cell>
          <cell r="T388">
            <v>5961500</v>
          </cell>
          <cell r="Y388">
            <v>6</v>
          </cell>
          <cell r="Z388">
            <v>14809200</v>
          </cell>
          <cell r="AA388">
            <v>18</v>
          </cell>
          <cell r="AB388">
            <v>34895100</v>
          </cell>
          <cell r="AC388">
            <v>30</v>
          </cell>
          <cell r="AD388">
            <v>17.26132618248031</v>
          </cell>
        </row>
        <row r="389">
          <cell r="C389">
            <v>5</v>
          </cell>
          <cell r="E389" t="str">
            <v>01</v>
          </cell>
          <cell r="F389" t="str">
            <v>01</v>
          </cell>
          <cell r="I389" t="str">
            <v>Penyediaan komponen instalasi listrik/penerangan bangunan kantor</v>
          </cell>
          <cell r="J389" t="str">
            <v>Tersedianya komponen instalasi listrik/penerangan bangunan (bln)</v>
          </cell>
          <cell r="K389">
            <v>60</v>
          </cell>
          <cell r="L389">
            <v>57690500</v>
          </cell>
          <cell r="M389">
            <v>12</v>
          </cell>
          <cell r="N389">
            <v>52789080</v>
          </cell>
          <cell r="O389">
            <v>12</v>
          </cell>
          <cell r="P389">
            <v>11690500</v>
          </cell>
          <cell r="Q389">
            <v>3</v>
          </cell>
          <cell r="R389">
            <v>3091700</v>
          </cell>
          <cell r="S389">
            <v>3</v>
          </cell>
          <cell r="T389">
            <v>104279725</v>
          </cell>
          <cell r="Y389">
            <v>6</v>
          </cell>
          <cell r="Z389">
            <v>107371425</v>
          </cell>
          <cell r="AA389">
            <v>18</v>
          </cell>
          <cell r="AB389">
            <v>160160505</v>
          </cell>
          <cell r="AC389">
            <v>30</v>
          </cell>
          <cell r="AD389">
            <v>277.62024076754403</v>
          </cell>
        </row>
        <row r="390">
          <cell r="C390">
            <v>5</v>
          </cell>
          <cell r="E390" t="str">
            <v>01</v>
          </cell>
          <cell r="F390" t="str">
            <v>01</v>
          </cell>
          <cell r="I390" t="str">
            <v>Penyediaan Peralatan dan Perlengkapan Kantor</v>
          </cell>
          <cell r="J390" t="str">
            <v>Tersedianya Peralatan dan Perlengkapan Kantor (bln)</v>
          </cell>
          <cell r="K390">
            <v>114</v>
          </cell>
          <cell r="L390">
            <v>872240000</v>
          </cell>
          <cell r="M390">
            <v>78</v>
          </cell>
          <cell r="N390">
            <v>626821000</v>
          </cell>
          <cell r="O390">
            <v>36</v>
          </cell>
          <cell r="P390">
            <v>172240000</v>
          </cell>
          <cell r="Q390">
            <v>3</v>
          </cell>
          <cell r="R390">
            <v>1200000</v>
          </cell>
          <cell r="S390">
            <v>3</v>
          </cell>
          <cell r="T390">
            <v>11820000</v>
          </cell>
          <cell r="Y390">
            <v>6</v>
          </cell>
          <cell r="Z390">
            <v>13020000</v>
          </cell>
          <cell r="AA390">
            <v>84</v>
          </cell>
          <cell r="AB390">
            <v>639841000</v>
          </cell>
          <cell r="AC390">
            <v>73.68421052631578</v>
          </cell>
          <cell r="AD390">
            <v>73.356071723378889</v>
          </cell>
        </row>
        <row r="391">
          <cell r="C391">
            <v>5</v>
          </cell>
          <cell r="E391" t="str">
            <v>01</v>
          </cell>
          <cell r="F391" t="str">
            <v>01</v>
          </cell>
          <cell r="I391" t="str">
            <v>Penyediaan makanan dan minuman</v>
          </cell>
          <cell r="J391" t="str">
            <v>Tersedianya makan minum rapat, makan minum tamu, makan minum harian (bln)</v>
          </cell>
          <cell r="K391">
            <v>60</v>
          </cell>
          <cell r="L391">
            <v>195000000</v>
          </cell>
          <cell r="M391">
            <v>12</v>
          </cell>
          <cell r="N391">
            <v>45027500</v>
          </cell>
          <cell r="O391">
            <v>12</v>
          </cell>
          <cell r="P391">
            <v>35000000</v>
          </cell>
          <cell r="Q391">
            <v>3</v>
          </cell>
          <cell r="R391">
            <v>8595000</v>
          </cell>
          <cell r="S391">
            <v>6</v>
          </cell>
          <cell r="T391">
            <v>88307401</v>
          </cell>
          <cell r="Y391">
            <v>9</v>
          </cell>
          <cell r="Z391">
            <v>96902401</v>
          </cell>
          <cell r="AA391">
            <v>21</v>
          </cell>
          <cell r="AB391">
            <v>141929901</v>
          </cell>
          <cell r="AC391">
            <v>35</v>
          </cell>
          <cell r="AD391">
            <v>72.78456461538461</v>
          </cell>
        </row>
        <row r="392">
          <cell r="C392">
            <v>5</v>
          </cell>
          <cell r="E392" t="str">
            <v>01</v>
          </cell>
          <cell r="F392" t="str">
            <v>01</v>
          </cell>
          <cell r="I392" t="str">
            <v>Rapat-rapat kordinasi dan konsultasi ke luar daerah</v>
          </cell>
          <cell r="J392" t="str">
            <v>Tersedianyan biaya rapat-rapat  keluar daerah (bln)</v>
          </cell>
          <cell r="K392">
            <v>60</v>
          </cell>
          <cell r="L392">
            <v>787600000</v>
          </cell>
          <cell r="M392">
            <v>12</v>
          </cell>
          <cell r="N392">
            <v>217811950</v>
          </cell>
          <cell r="O392">
            <v>12</v>
          </cell>
          <cell r="P392">
            <v>137600000</v>
          </cell>
          <cell r="Q392">
            <v>3</v>
          </cell>
          <cell r="R392">
            <v>52323201</v>
          </cell>
          <cell r="S392">
            <v>3</v>
          </cell>
          <cell r="T392">
            <v>25607750</v>
          </cell>
          <cell r="Y392">
            <v>6</v>
          </cell>
          <cell r="Z392">
            <v>77930951</v>
          </cell>
          <cell r="AA392">
            <v>18</v>
          </cell>
          <cell r="AB392">
            <v>295742901</v>
          </cell>
          <cell r="AC392">
            <v>30</v>
          </cell>
          <cell r="AD392">
            <v>37.549885855764344</v>
          </cell>
        </row>
        <row r="393">
          <cell r="C393">
            <v>5</v>
          </cell>
          <cell r="E393" t="str">
            <v>01</v>
          </cell>
          <cell r="F393" t="str">
            <v>01</v>
          </cell>
          <cell r="I393" t="str">
            <v>Rapat-rapat Koordinasi dan Konsultasi Dalam Daerah</v>
          </cell>
          <cell r="J393" t="str">
            <v>Tersedianyan biaya rapat-rapat  keluar daerah (bln)</v>
          </cell>
          <cell r="K393">
            <v>60</v>
          </cell>
          <cell r="L393">
            <v>463700000</v>
          </cell>
          <cell r="M393">
            <v>12</v>
          </cell>
          <cell r="N393">
            <v>94023000</v>
          </cell>
          <cell r="O393">
            <v>12</v>
          </cell>
          <cell r="P393">
            <v>73700000</v>
          </cell>
          <cell r="Q393">
            <v>3</v>
          </cell>
          <cell r="R393">
            <v>9216000</v>
          </cell>
          <cell r="S393">
            <v>3</v>
          </cell>
          <cell r="Y393">
            <v>6</v>
          </cell>
          <cell r="Z393">
            <v>9216000</v>
          </cell>
          <cell r="AA393">
            <v>18</v>
          </cell>
          <cell r="AB393">
            <v>103239000</v>
          </cell>
          <cell r="AC393">
            <v>30</v>
          </cell>
          <cell r="AD393">
            <v>22.264179426353245</v>
          </cell>
        </row>
        <row r="394">
          <cell r="A394">
            <v>2</v>
          </cell>
          <cell r="C394">
            <v>5</v>
          </cell>
          <cell r="E394" t="str">
            <v>01</v>
          </cell>
          <cell r="F394" t="str">
            <v>02</v>
          </cell>
          <cell r="I394" t="str">
            <v>Program Peningkatan Sarana dan Prasarana Aparatur</v>
          </cell>
          <cell r="J394" t="str">
            <v>Pemenuhan sarana dan prasarana aparatur dalam kondisi baik</v>
          </cell>
          <cell r="K394">
            <v>60</v>
          </cell>
          <cell r="L394">
            <v>17878712500</v>
          </cell>
          <cell r="M394">
            <v>12</v>
          </cell>
          <cell r="N394">
            <v>1914085043</v>
          </cell>
          <cell r="O394">
            <v>12</v>
          </cell>
          <cell r="P394">
            <v>1941712500</v>
          </cell>
          <cell r="Q394">
            <v>3</v>
          </cell>
          <cell r="R394">
            <v>50263731</v>
          </cell>
          <cell r="S394">
            <v>3</v>
          </cell>
          <cell r="T394">
            <v>721362562</v>
          </cell>
          <cell r="Y394">
            <v>6</v>
          </cell>
          <cell r="Z394">
            <v>771626293</v>
          </cell>
          <cell r="AA394">
            <v>18</v>
          </cell>
          <cell r="AB394">
            <v>2685711336</v>
          </cell>
          <cell r="AC394">
            <v>30</v>
          </cell>
          <cell r="AD394">
            <v>15.021838602751735</v>
          </cell>
          <cell r="AE394" t="str">
            <v>Dinas PERKIMTAN</v>
          </cell>
        </row>
        <row r="395">
          <cell r="C395">
            <v>5</v>
          </cell>
          <cell r="E395" t="str">
            <v>01</v>
          </cell>
          <cell r="F395" t="str">
            <v>02</v>
          </cell>
          <cell r="H395" t="str">
            <v>02</v>
          </cell>
          <cell r="I395" t="str">
            <v xml:space="preserve">Pembangunan Rumah Dinas </v>
          </cell>
          <cell r="J395" t="str">
            <v>Jumlah rumah dinas yang dibangun (unit)</v>
          </cell>
          <cell r="K395">
            <v>12</v>
          </cell>
          <cell r="L395">
            <v>12409087500</v>
          </cell>
          <cell r="M395">
            <v>4</v>
          </cell>
          <cell r="N395">
            <v>1443584500</v>
          </cell>
          <cell r="O395">
            <v>1</v>
          </cell>
          <cell r="P395">
            <v>807087500</v>
          </cell>
          <cell r="R395">
            <v>631900</v>
          </cell>
          <cell r="S395">
            <v>0</v>
          </cell>
          <cell r="T395">
            <v>150026900</v>
          </cell>
          <cell r="Y395">
            <v>0</v>
          </cell>
          <cell r="Z395">
            <v>150658800</v>
          </cell>
          <cell r="AA395">
            <v>4</v>
          </cell>
          <cell r="AB395">
            <v>1594243300</v>
          </cell>
          <cell r="AC395">
            <v>33.333333333333329</v>
          </cell>
          <cell r="AD395">
            <v>12.847385434263398</v>
          </cell>
        </row>
        <row r="396">
          <cell r="C396">
            <v>5</v>
          </cell>
          <cell r="E396" t="str">
            <v>01</v>
          </cell>
          <cell r="F396" t="str">
            <v>02</v>
          </cell>
          <cell r="H396" t="str">
            <v>03</v>
          </cell>
          <cell r="I396" t="str">
            <v>Pembangunan Gedung Kantor</v>
          </cell>
          <cell r="J396" t="str">
            <v>Jumlah gedungkantor yang direhab berat (unit)</v>
          </cell>
          <cell r="K396">
            <v>5</v>
          </cell>
          <cell r="L396">
            <v>950000000</v>
          </cell>
          <cell r="O396">
            <v>2</v>
          </cell>
          <cell r="P396">
            <v>450000000</v>
          </cell>
          <cell r="Q396">
            <v>0</v>
          </cell>
          <cell r="R396">
            <v>372100</v>
          </cell>
          <cell r="S396">
            <v>0</v>
          </cell>
          <cell r="T396">
            <v>11294500</v>
          </cell>
          <cell r="Y396">
            <v>0</v>
          </cell>
          <cell r="Z396">
            <v>11666600</v>
          </cell>
          <cell r="AA396">
            <v>0</v>
          </cell>
          <cell r="AB396">
            <v>11666600</v>
          </cell>
          <cell r="AC396">
            <v>0</v>
          </cell>
          <cell r="AD396">
            <v>1.2280631578947367</v>
          </cell>
        </row>
        <row r="397">
          <cell r="C397">
            <v>5</v>
          </cell>
          <cell r="E397" t="str">
            <v>01</v>
          </cell>
          <cell r="F397" t="str">
            <v>02</v>
          </cell>
          <cell r="H397" t="str">
            <v>10</v>
          </cell>
          <cell r="I397" t="str">
            <v>Pengadaan Meubiler</v>
          </cell>
          <cell r="J397" t="str">
            <v>Tersedianya Meubiler (unit)</v>
          </cell>
          <cell r="K397">
            <v>150</v>
          </cell>
          <cell r="L397">
            <v>374080000</v>
          </cell>
          <cell r="M397">
            <v>86</v>
          </cell>
          <cell r="N397">
            <v>150436000</v>
          </cell>
          <cell r="O397">
            <v>37</v>
          </cell>
          <cell r="P397">
            <v>54080000</v>
          </cell>
          <cell r="Q397">
            <v>20</v>
          </cell>
          <cell r="R397">
            <v>33775500</v>
          </cell>
          <cell r="S397">
            <v>17</v>
          </cell>
          <cell r="T397">
            <v>50589000</v>
          </cell>
          <cell r="Y397">
            <v>37</v>
          </cell>
          <cell r="Z397">
            <v>84364500</v>
          </cell>
          <cell r="AA397">
            <v>123</v>
          </cell>
          <cell r="AB397">
            <v>234800500</v>
          </cell>
          <cell r="AC397">
            <v>82</v>
          </cell>
          <cell r="AD397">
            <v>62.767456159110345</v>
          </cell>
        </row>
        <row r="398">
          <cell r="C398">
            <v>5</v>
          </cell>
          <cell r="E398" t="str">
            <v>01</v>
          </cell>
          <cell r="F398" t="str">
            <v>02</v>
          </cell>
          <cell r="H398" t="str">
            <v>24</v>
          </cell>
          <cell r="I398" t="str">
            <v>Pemeliharaan Rutin/ Berkala Kendaraan Dinas Operasional</v>
          </cell>
          <cell r="J398" t="str">
            <v>Terlaksananya Pemeliharaan Rutin/ Berkala Kendaraan Dinas Operasional (bln)</v>
          </cell>
          <cell r="K398">
            <v>60</v>
          </cell>
          <cell r="L398">
            <v>419770000</v>
          </cell>
          <cell r="M398">
            <v>12</v>
          </cell>
          <cell r="N398">
            <v>113786803</v>
          </cell>
          <cell r="O398">
            <v>12</v>
          </cell>
          <cell r="P398">
            <v>84770000</v>
          </cell>
          <cell r="Q398">
            <v>3</v>
          </cell>
          <cell r="R398">
            <v>11754831</v>
          </cell>
          <cell r="S398">
            <v>3</v>
          </cell>
          <cell r="T398">
            <v>15330362</v>
          </cell>
          <cell r="Y398">
            <v>6</v>
          </cell>
          <cell r="Z398">
            <v>27085193</v>
          </cell>
          <cell r="AA398">
            <v>18</v>
          </cell>
          <cell r="AB398">
            <v>140871996</v>
          </cell>
          <cell r="AC398">
            <v>30</v>
          </cell>
          <cell r="AD398">
            <v>33.559329156442814</v>
          </cell>
        </row>
        <row r="399">
          <cell r="C399">
            <v>5</v>
          </cell>
          <cell r="E399" t="str">
            <v>01</v>
          </cell>
          <cell r="F399" t="str">
            <v>02</v>
          </cell>
          <cell r="H399" t="str">
            <v>28</v>
          </cell>
          <cell r="I399" t="str">
            <v>Pemeliharaan Rutin/ Berkala Peralatan Gedung Kantor</v>
          </cell>
          <cell r="J399" t="str">
            <v>Terlaksananya Pemeliharaan Rutin/ Berkala Peralatan Gedung Kantor (bln)</v>
          </cell>
          <cell r="K399">
            <v>60</v>
          </cell>
          <cell r="L399">
            <v>125775000</v>
          </cell>
          <cell r="M399">
            <v>12</v>
          </cell>
          <cell r="N399">
            <v>7737390</v>
          </cell>
          <cell r="O399">
            <v>12</v>
          </cell>
          <cell r="P399">
            <v>18775000</v>
          </cell>
          <cell r="Q399">
            <v>3</v>
          </cell>
          <cell r="R399">
            <v>3500000</v>
          </cell>
          <cell r="S399">
            <v>3</v>
          </cell>
          <cell r="T399">
            <v>4250000</v>
          </cell>
          <cell r="Y399">
            <v>6</v>
          </cell>
          <cell r="Z399">
            <v>7750000</v>
          </cell>
          <cell r="AA399">
            <v>18</v>
          </cell>
          <cell r="AB399">
            <v>15487390</v>
          </cell>
          <cell r="AC399">
            <v>30</v>
          </cell>
          <cell r="AD399">
            <v>12.313567879149275</v>
          </cell>
        </row>
        <row r="400">
          <cell r="C400">
            <v>5</v>
          </cell>
          <cell r="E400" t="str">
            <v>01</v>
          </cell>
          <cell r="F400" t="str">
            <v>02</v>
          </cell>
          <cell r="H400" t="str">
            <v>41</v>
          </cell>
          <cell r="I400" t="str">
            <v>Rehabilitasi Sedang/Berat Rumah Dinas</v>
          </cell>
          <cell r="J400" t="str">
            <v>Jumlah rumah dinas yang direhab (unit)</v>
          </cell>
          <cell r="K400">
            <v>10</v>
          </cell>
          <cell r="L400">
            <v>3600000000</v>
          </cell>
          <cell r="M400">
            <v>1</v>
          </cell>
          <cell r="N400">
            <v>198540350</v>
          </cell>
          <cell r="O400">
            <v>3</v>
          </cell>
          <cell r="P400">
            <v>527000000</v>
          </cell>
          <cell r="R400">
            <v>229400</v>
          </cell>
          <cell r="S400">
            <v>3</v>
          </cell>
          <cell r="T400">
            <v>489871800</v>
          </cell>
          <cell r="Y400">
            <v>3</v>
          </cell>
          <cell r="Z400">
            <v>490101200</v>
          </cell>
          <cell r="AA400">
            <v>4</v>
          </cell>
          <cell r="AB400">
            <v>688641550</v>
          </cell>
          <cell r="AC400">
            <v>40</v>
          </cell>
          <cell r="AD400">
            <v>19.128931944444442</v>
          </cell>
        </row>
        <row r="401">
          <cell r="A401">
            <v>3</v>
          </cell>
          <cell r="C401" t="str">
            <v>1</v>
          </cell>
          <cell r="E401" t="str">
            <v>01</v>
          </cell>
          <cell r="F401" t="str">
            <v>06</v>
          </cell>
          <cell r="I401" t="str">
            <v>Program Peningkatan Pengembangan Sistem Pelaporan</v>
          </cell>
          <cell r="J401" t="str">
            <v>Ketersediaan Sistem Pelaporan dan keuangan</v>
          </cell>
          <cell r="K401">
            <v>60</v>
          </cell>
          <cell r="L401">
            <v>1491673900</v>
          </cell>
          <cell r="M401">
            <v>12</v>
          </cell>
          <cell r="N401">
            <v>105344650</v>
          </cell>
          <cell r="O401">
            <v>12</v>
          </cell>
          <cell r="P401">
            <v>301673900</v>
          </cell>
          <cell r="Q401">
            <v>3</v>
          </cell>
          <cell r="R401">
            <v>52492600</v>
          </cell>
          <cell r="S401">
            <v>3</v>
          </cell>
          <cell r="T401">
            <v>90582850</v>
          </cell>
          <cell r="Y401">
            <v>6</v>
          </cell>
          <cell r="Z401">
            <v>143075450</v>
          </cell>
          <cell r="AA401">
            <v>18</v>
          </cell>
          <cell r="AB401">
            <v>248420100</v>
          </cell>
          <cell r="AC401">
            <v>30</v>
          </cell>
          <cell r="AD401">
            <v>16.653780695633273</v>
          </cell>
          <cell r="AE401" t="str">
            <v>Dinas Perkimtan</v>
          </cell>
        </row>
        <row r="402">
          <cell r="C402" t="str">
            <v>1</v>
          </cell>
          <cell r="E402" t="str">
            <v>01</v>
          </cell>
          <cell r="F402" t="str">
            <v>06</v>
          </cell>
          <cell r="H402" t="str">
            <v>09</v>
          </cell>
          <cell r="I402" t="str">
            <v>Monitoring Evaluasi dan Pelaporan</v>
          </cell>
          <cell r="J402" t="str">
            <v>laporan Monitoring Evaluasi dan Pelaporan (dokumen)</v>
          </cell>
          <cell r="K402">
            <v>24</v>
          </cell>
          <cell r="L402">
            <v>469449500</v>
          </cell>
          <cell r="M402">
            <v>8</v>
          </cell>
          <cell r="N402">
            <v>64125400</v>
          </cell>
          <cell r="O402">
            <v>4</v>
          </cell>
          <cell r="P402">
            <v>94449500</v>
          </cell>
          <cell r="Q402">
            <v>0</v>
          </cell>
          <cell r="R402">
            <v>13502300</v>
          </cell>
          <cell r="S402">
            <v>0</v>
          </cell>
          <cell r="T402">
            <v>24569550</v>
          </cell>
          <cell r="Y402">
            <v>0</v>
          </cell>
          <cell r="Z402">
            <v>38071850</v>
          </cell>
          <cell r="AA402">
            <v>8</v>
          </cell>
          <cell r="AB402">
            <v>102197250</v>
          </cell>
          <cell r="AC402">
            <v>33.333333333333329</v>
          </cell>
          <cell r="AD402">
            <v>21.769593960585752</v>
          </cell>
        </row>
        <row r="403">
          <cell r="C403" t="str">
            <v>1</v>
          </cell>
          <cell r="E403" t="str">
            <v>01</v>
          </cell>
          <cell r="F403" t="str">
            <v>06</v>
          </cell>
          <cell r="H403" t="str">
            <v>10</v>
          </cell>
          <cell r="I403" t="str">
            <v>Penyusunan Perencanaan Anggaran</v>
          </cell>
          <cell r="J403" t="str">
            <v>dokumen perencanaan dan anggaran SKPD (dokumen)</v>
          </cell>
          <cell r="K403">
            <v>24</v>
          </cell>
          <cell r="L403">
            <v>270000000</v>
          </cell>
          <cell r="M403">
            <v>8</v>
          </cell>
          <cell r="N403">
            <v>41219250</v>
          </cell>
          <cell r="O403">
            <v>4</v>
          </cell>
          <cell r="P403">
            <v>60000000</v>
          </cell>
          <cell r="Q403">
            <v>0</v>
          </cell>
          <cell r="R403">
            <v>18240000</v>
          </cell>
          <cell r="S403">
            <v>1</v>
          </cell>
          <cell r="T403">
            <v>23864900</v>
          </cell>
          <cell r="Y403">
            <v>1</v>
          </cell>
          <cell r="Z403">
            <v>42104900</v>
          </cell>
          <cell r="AA403">
            <v>9</v>
          </cell>
          <cell r="AB403">
            <v>83324150</v>
          </cell>
          <cell r="AC403">
            <v>37.5</v>
          </cell>
          <cell r="AD403">
            <v>30.860796296296293</v>
          </cell>
        </row>
        <row r="404">
          <cell r="C404" t="str">
            <v>1</v>
          </cell>
          <cell r="E404" t="str">
            <v>01</v>
          </cell>
          <cell r="F404" t="str">
            <v>06</v>
          </cell>
          <cell r="H404" t="str">
            <v>14</v>
          </cell>
          <cell r="I404" t="str">
            <v>Monitoring dan Evaluasi Penataan Kawasan Permukiman</v>
          </cell>
          <cell r="J404" t="str">
            <v>Laporan Monitoring dan Evaluasi Penataan Kawasan Permukiman (dokumen)</v>
          </cell>
          <cell r="K404">
            <v>16</v>
          </cell>
          <cell r="L404">
            <v>288547800</v>
          </cell>
          <cell r="O404">
            <v>4</v>
          </cell>
          <cell r="P404">
            <v>43547800</v>
          </cell>
          <cell r="Q404">
            <v>0</v>
          </cell>
          <cell r="R404">
            <v>12693100</v>
          </cell>
          <cell r="S404">
            <v>0</v>
          </cell>
          <cell r="T404">
            <v>26023100</v>
          </cell>
          <cell r="Y404">
            <v>0</v>
          </cell>
          <cell r="Z404">
            <v>38716200</v>
          </cell>
          <cell r="AA404">
            <v>0</v>
          </cell>
          <cell r="AB404">
            <v>38716200</v>
          </cell>
          <cell r="AC404">
            <v>0</v>
          </cell>
          <cell r="AD404">
            <v>13.417603599819511</v>
          </cell>
        </row>
        <row r="405">
          <cell r="C405" t="str">
            <v>1</v>
          </cell>
          <cell r="E405" t="str">
            <v>01</v>
          </cell>
          <cell r="F405" t="str">
            <v>06</v>
          </cell>
          <cell r="H405" t="str">
            <v>15</v>
          </cell>
          <cell r="I405" t="str">
            <v>Monitoring dan Evaluasi Penataan Kegiatan Perumahan</v>
          </cell>
          <cell r="J405" t="str">
            <v>Laporan Monitoring dan Evaluasi Penataan Kegiatan Perumahan (dok)</v>
          </cell>
          <cell r="K405">
            <v>16</v>
          </cell>
          <cell r="L405">
            <v>150297800</v>
          </cell>
          <cell r="O405">
            <v>4</v>
          </cell>
          <cell r="P405">
            <v>50297800</v>
          </cell>
          <cell r="Q405">
            <v>0</v>
          </cell>
          <cell r="R405">
            <v>4051200</v>
          </cell>
          <cell r="S405">
            <v>0</v>
          </cell>
          <cell r="T405">
            <v>4953700</v>
          </cell>
          <cell r="Y405">
            <v>0</v>
          </cell>
          <cell r="Z405">
            <v>9004900</v>
          </cell>
          <cell r="AA405">
            <v>0</v>
          </cell>
          <cell r="AB405">
            <v>9004900</v>
          </cell>
          <cell r="AC405">
            <v>0</v>
          </cell>
          <cell r="AD405">
            <v>5.9913717965266287</v>
          </cell>
        </row>
        <row r="406">
          <cell r="C406" t="str">
            <v>1</v>
          </cell>
          <cell r="E406" t="str">
            <v>01</v>
          </cell>
          <cell r="F406" t="str">
            <v>06</v>
          </cell>
          <cell r="H406" t="str">
            <v>16</v>
          </cell>
          <cell r="I406" t="str">
            <v>Sinkronisasi Program RPIJM Cipta Karya</v>
          </cell>
          <cell r="J406" t="str">
            <v>Tersedianyan biaya rapat-rapat  keluar daerah (bln)</v>
          </cell>
          <cell r="K406">
            <v>60</v>
          </cell>
          <cell r="L406">
            <v>313378800</v>
          </cell>
          <cell r="O406">
            <v>12</v>
          </cell>
          <cell r="P406">
            <v>53378800</v>
          </cell>
          <cell r="Q406">
            <v>3</v>
          </cell>
          <cell r="R406">
            <v>4006000</v>
          </cell>
          <cell r="S406">
            <v>3</v>
          </cell>
          <cell r="T406">
            <v>11171600</v>
          </cell>
          <cell r="Y406">
            <v>6</v>
          </cell>
          <cell r="Z406">
            <v>15177600</v>
          </cell>
          <cell r="AA406">
            <v>6</v>
          </cell>
          <cell r="AB406">
            <v>15177600</v>
          </cell>
          <cell r="AC406">
            <v>10</v>
          </cell>
          <cell r="AD406">
            <v>4.8432121126253591</v>
          </cell>
        </row>
        <row r="407">
          <cell r="A407">
            <v>4</v>
          </cell>
          <cell r="C407" t="str">
            <v>1</v>
          </cell>
          <cell r="E407" t="str">
            <v>01</v>
          </cell>
          <cell r="F407" t="str">
            <v>03</v>
          </cell>
          <cell r="G407" t="str">
            <v>16</v>
          </cell>
          <cell r="I407" t="str">
            <v>Program Saluran Drainase/Gorong-Gorong</v>
          </cell>
          <cell r="J407" t="str">
            <v>Panjang Saluran drainase lingkungan kondisi baik (km)</v>
          </cell>
          <cell r="K407">
            <v>96.17</v>
          </cell>
          <cell r="L407">
            <v>82134600000</v>
          </cell>
          <cell r="M407">
            <v>10</v>
          </cell>
          <cell r="N407">
            <v>9776696000</v>
          </cell>
          <cell r="O407">
            <v>8</v>
          </cell>
          <cell r="P407">
            <v>7935000000</v>
          </cell>
          <cell r="R407">
            <v>40632300</v>
          </cell>
          <cell r="T407">
            <v>2869493650</v>
          </cell>
          <cell r="Y407">
            <v>0</v>
          </cell>
          <cell r="Z407">
            <v>2910125950</v>
          </cell>
          <cell r="AA407">
            <v>10</v>
          </cell>
          <cell r="AB407">
            <v>12686821950</v>
          </cell>
          <cell r="AC407">
            <v>10.398253093480294</v>
          </cell>
          <cell r="AD407">
            <v>15.446379418661563</v>
          </cell>
          <cell r="AE407" t="str">
            <v>Dinas Perkimtan</v>
          </cell>
        </row>
        <row r="408">
          <cell r="C408" t="str">
            <v>1</v>
          </cell>
          <cell r="E408" t="str">
            <v>01</v>
          </cell>
          <cell r="F408" t="str">
            <v>03</v>
          </cell>
          <cell r="G408" t="str">
            <v>16</v>
          </cell>
          <cell r="H408" t="str">
            <v>33</v>
          </cell>
          <cell r="I408" t="str">
            <v>Pembangunan dan Pemeliharaan Drainase Kawasan Permukiman</v>
          </cell>
          <cell r="J408" t="str">
            <v>Terlaksananya Pembangunan dan Pemeliharaan Drainase Kawasan Permukiman</v>
          </cell>
          <cell r="K408">
            <v>96.17</v>
          </cell>
          <cell r="L408">
            <v>82134600000</v>
          </cell>
          <cell r="M408">
            <v>10</v>
          </cell>
          <cell r="N408">
            <v>9776696000</v>
          </cell>
          <cell r="O408">
            <v>8</v>
          </cell>
          <cell r="P408">
            <v>7935000000</v>
          </cell>
          <cell r="R408">
            <v>40632300</v>
          </cell>
          <cell r="S408">
            <v>58</v>
          </cell>
          <cell r="T408">
            <v>2869493650</v>
          </cell>
          <cell r="Y408">
            <v>58</v>
          </cell>
          <cell r="Z408">
            <v>2910125950</v>
          </cell>
          <cell r="AA408">
            <v>68</v>
          </cell>
          <cell r="AB408">
            <v>12686821950</v>
          </cell>
          <cell r="AC408">
            <v>70.708121035666011</v>
          </cell>
          <cell r="AD408">
            <v>15.446379418661563</v>
          </cell>
        </row>
        <row r="409">
          <cell r="A409">
            <v>5</v>
          </cell>
          <cell r="C409" t="str">
            <v>1</v>
          </cell>
          <cell r="E409" t="str">
            <v>01</v>
          </cell>
          <cell r="F409" t="str">
            <v>03</v>
          </cell>
          <cell r="G409" t="str">
            <v>29</v>
          </cell>
          <cell r="I409" t="str">
            <v>Program Pengembangan Wilayah Strategis dan cepat Tumbuh</v>
          </cell>
          <cell r="J409" t="str">
            <v>Ketersediaan data perencanaan (database)</v>
          </cell>
          <cell r="K409">
            <v>1</v>
          </cell>
          <cell r="L409">
            <v>500000000</v>
          </cell>
          <cell r="M409">
            <v>0</v>
          </cell>
          <cell r="O409">
            <v>1</v>
          </cell>
          <cell r="P409">
            <v>500000000</v>
          </cell>
          <cell r="Q409">
            <v>0</v>
          </cell>
          <cell r="R409">
            <v>0</v>
          </cell>
          <cell r="T409">
            <v>142701000</v>
          </cell>
          <cell r="Y409">
            <v>0</v>
          </cell>
          <cell r="Z409">
            <v>142701000</v>
          </cell>
          <cell r="AA409">
            <v>0</v>
          </cell>
          <cell r="AB409">
            <v>142701000</v>
          </cell>
          <cell r="AC409">
            <v>0</v>
          </cell>
          <cell r="AD409">
            <v>28.540199999999999</v>
          </cell>
          <cell r="AE409" t="str">
            <v>Dinas Perkimtan</v>
          </cell>
        </row>
        <row r="410">
          <cell r="C410" t="str">
            <v>1</v>
          </cell>
          <cell r="E410" t="str">
            <v>01</v>
          </cell>
          <cell r="F410" t="str">
            <v>03</v>
          </cell>
          <cell r="G410" t="str">
            <v>29</v>
          </cell>
          <cell r="H410" t="str">
            <v>30</v>
          </cell>
          <cell r="I410" t="str">
            <v>Penyusunan Data Base Kawasan Permukiman</v>
          </cell>
          <cell r="J410" t="str">
            <v>Jumlah Dokumen Data Base Kawasan Permukiman yang disusun (dok)</v>
          </cell>
          <cell r="K410">
            <v>1</v>
          </cell>
          <cell r="L410">
            <v>500000000</v>
          </cell>
          <cell r="O410">
            <v>1</v>
          </cell>
          <cell r="P410">
            <v>500000000</v>
          </cell>
          <cell r="T410">
            <v>142701000</v>
          </cell>
          <cell r="Y410">
            <v>0</v>
          </cell>
          <cell r="Z410">
            <v>142701000</v>
          </cell>
          <cell r="AB410">
            <v>142701000</v>
          </cell>
          <cell r="AC410">
            <v>0</v>
          </cell>
          <cell r="AD410">
            <v>28.540199999999999</v>
          </cell>
        </row>
        <row r="411">
          <cell r="A411">
            <v>6</v>
          </cell>
          <cell r="C411" t="str">
            <v>1</v>
          </cell>
          <cell r="E411" t="str">
            <v>01</v>
          </cell>
          <cell r="F411" t="str">
            <v>03</v>
          </cell>
          <cell r="G411" t="str">
            <v>30</v>
          </cell>
          <cell r="I411" t="str">
            <v>Program Pembangunan Infrastruktur Perdesaan</v>
          </cell>
          <cell r="J411" t="str">
            <v>Pembangunan Jalan Desa (km)</v>
          </cell>
          <cell r="K411">
            <v>120</v>
          </cell>
          <cell r="L411">
            <v>700000000</v>
          </cell>
          <cell r="M411">
            <v>30</v>
          </cell>
          <cell r="N411">
            <v>300000000</v>
          </cell>
          <cell r="O411">
            <v>20</v>
          </cell>
          <cell r="P411">
            <v>289437500</v>
          </cell>
          <cell r="R411">
            <v>300000000</v>
          </cell>
          <cell r="T411">
            <v>300000000</v>
          </cell>
          <cell r="Y411">
            <v>0</v>
          </cell>
          <cell r="Z411">
            <v>600000000</v>
          </cell>
          <cell r="AA411">
            <v>30</v>
          </cell>
          <cell r="AB411">
            <v>900000000</v>
          </cell>
          <cell r="AC411">
            <v>25</v>
          </cell>
          <cell r="AD411">
            <v>128.57142857142858</v>
          </cell>
          <cell r="AE411" t="str">
            <v>Dinas Perkimtan</v>
          </cell>
        </row>
        <row r="412">
          <cell r="C412" t="str">
            <v>1</v>
          </cell>
          <cell r="E412" t="str">
            <v>01</v>
          </cell>
          <cell r="F412" t="str">
            <v>03</v>
          </cell>
          <cell r="G412" t="str">
            <v>30</v>
          </cell>
          <cell r="H412" t="str">
            <v>02</v>
          </cell>
          <cell r="I412" t="str">
            <v>Pembangunan jalan dan jembatan perdesaan</v>
          </cell>
          <cell r="J412" t="str">
            <v>Panjang jalan dan jembatan yang dibangun</v>
          </cell>
          <cell r="K412">
            <v>1</v>
          </cell>
          <cell r="L412">
            <v>200000000</v>
          </cell>
          <cell r="O412">
            <v>1</v>
          </cell>
          <cell r="P412">
            <v>200000000</v>
          </cell>
          <cell r="R412">
            <v>1803000</v>
          </cell>
          <cell r="T412">
            <v>66674100</v>
          </cell>
          <cell r="Y412">
            <v>0</v>
          </cell>
          <cell r="Z412">
            <v>68477100</v>
          </cell>
          <cell r="AB412">
            <v>68477100</v>
          </cell>
          <cell r="AC412">
            <v>0</v>
          </cell>
          <cell r="AD412">
            <v>34.238550000000004</v>
          </cell>
        </row>
        <row r="413">
          <cell r="C413" t="str">
            <v>1</v>
          </cell>
          <cell r="E413" t="str">
            <v>01</v>
          </cell>
          <cell r="F413" t="str">
            <v>03</v>
          </cell>
          <cell r="G413" t="str">
            <v>30</v>
          </cell>
          <cell r="H413" t="str">
            <v>63</v>
          </cell>
          <cell r="I413" t="str">
            <v>Koordinasi Pengawasan dan Pengendalian Pelaksanaan Kebijakan Tentang Pembangunan Kawasan Permukiman</v>
          </cell>
          <cell r="J413" t="str">
            <v>Terlaksananya rapat-rapat tentang pembangunan kawasan permukiman (bln)</v>
          </cell>
          <cell r="K413">
            <v>48</v>
          </cell>
          <cell r="L413">
            <v>250000000</v>
          </cell>
          <cell r="O413">
            <v>12</v>
          </cell>
          <cell r="P413">
            <v>46037500</v>
          </cell>
          <cell r="Q413">
            <v>3</v>
          </cell>
          <cell r="R413">
            <v>4958000</v>
          </cell>
          <cell r="S413">
            <v>3</v>
          </cell>
          <cell r="T413">
            <v>11326000</v>
          </cell>
          <cell r="Y413">
            <v>6</v>
          </cell>
          <cell r="Z413">
            <v>16284000</v>
          </cell>
          <cell r="AA413">
            <v>6</v>
          </cell>
          <cell r="AB413">
            <v>16284000</v>
          </cell>
          <cell r="AC413">
            <v>12.5</v>
          </cell>
          <cell r="AD413">
            <v>6.5136000000000003</v>
          </cell>
        </row>
        <row r="414">
          <cell r="C414" t="str">
            <v>1</v>
          </cell>
          <cell r="E414" t="str">
            <v>01</v>
          </cell>
          <cell r="F414" t="str">
            <v>03</v>
          </cell>
          <cell r="G414" t="str">
            <v>30</v>
          </cell>
          <cell r="H414" t="str">
            <v>65</v>
          </cell>
          <cell r="I414" t="str">
            <v>Sosialisasi Pencegahan dan Peningkatan Kualitas Kawasan</v>
          </cell>
          <cell r="J414" t="str">
            <v>Jumlah peserta sosialisasi (org)</v>
          </cell>
          <cell r="K414">
            <v>300</v>
          </cell>
          <cell r="L414">
            <v>250000000</v>
          </cell>
          <cell r="O414">
            <v>50</v>
          </cell>
          <cell r="P414">
            <v>43400000</v>
          </cell>
          <cell r="R414">
            <v>1102000</v>
          </cell>
          <cell r="T414">
            <v>1102000</v>
          </cell>
          <cell r="Y414">
            <v>0</v>
          </cell>
          <cell r="Z414">
            <v>2204000</v>
          </cell>
          <cell r="AB414">
            <v>2204000</v>
          </cell>
          <cell r="AC414">
            <v>0</v>
          </cell>
          <cell r="AD414">
            <v>0.88159999999999994</v>
          </cell>
        </row>
        <row r="415">
          <cell r="A415">
            <v>7</v>
          </cell>
          <cell r="C415" t="str">
            <v>1</v>
          </cell>
          <cell r="E415" t="str">
            <v>01</v>
          </cell>
          <cell r="F415" t="str">
            <v>04</v>
          </cell>
          <cell r="G415">
            <v>15</v>
          </cell>
          <cell r="I415" t="str">
            <v>Program Pengembangan Perumahan</v>
          </cell>
          <cell r="J415" t="str">
            <v>Persentase penurunan rumah tidak layak huni</v>
          </cell>
          <cell r="K415">
            <v>71.430000000000007</v>
          </cell>
          <cell r="L415">
            <v>33207695850</v>
          </cell>
          <cell r="M415">
            <v>16.66</v>
          </cell>
          <cell r="N415">
            <v>1891938486</v>
          </cell>
          <cell r="O415">
            <v>10</v>
          </cell>
          <cell r="P415">
            <v>7898363200</v>
          </cell>
          <cell r="Q415">
            <v>0</v>
          </cell>
          <cell r="R415">
            <v>62848500</v>
          </cell>
          <cell r="S415">
            <v>0</v>
          </cell>
          <cell r="T415">
            <v>954265312</v>
          </cell>
          <cell r="Y415">
            <v>0</v>
          </cell>
          <cell r="Z415">
            <v>1017113812</v>
          </cell>
          <cell r="AA415">
            <v>16.66</v>
          </cell>
          <cell r="AB415">
            <v>2909052298</v>
          </cell>
          <cell r="AC415">
            <v>23.323533529329413</v>
          </cell>
          <cell r="AD415">
            <v>8.7601750845354118</v>
          </cell>
          <cell r="AE415" t="str">
            <v>Dinas Perkimtan</v>
          </cell>
        </row>
        <row r="416">
          <cell r="C416" t="str">
            <v>1</v>
          </cell>
          <cell r="E416" t="str">
            <v>01</v>
          </cell>
          <cell r="F416" t="str">
            <v>04</v>
          </cell>
          <cell r="G416">
            <v>15</v>
          </cell>
          <cell r="H416" t="str">
            <v>11</v>
          </cell>
          <cell r="I416" t="str">
            <v>Penunjang Perumahan Permukiman dan BSPS</v>
          </cell>
          <cell r="J416" t="str">
            <v>Tersedianya Penunjang Permukiman dan BSPS (bln)</v>
          </cell>
          <cell r="K416">
            <v>60</v>
          </cell>
          <cell r="L416">
            <v>848816400</v>
          </cell>
          <cell r="M416">
            <v>12</v>
          </cell>
          <cell r="N416">
            <v>152523536</v>
          </cell>
          <cell r="O416">
            <v>12</v>
          </cell>
          <cell r="P416">
            <v>168816400</v>
          </cell>
          <cell r="Q416">
            <v>3</v>
          </cell>
          <cell r="R416">
            <v>13954000</v>
          </cell>
          <cell r="S416">
            <v>3</v>
          </cell>
          <cell r="T416">
            <v>31155600</v>
          </cell>
          <cell r="Y416">
            <v>6</v>
          </cell>
          <cell r="Z416">
            <v>45109600</v>
          </cell>
          <cell r="AA416">
            <v>18</v>
          </cell>
          <cell r="AB416">
            <v>197633136</v>
          </cell>
          <cell r="AC416">
            <v>30</v>
          </cell>
          <cell r="AD416">
            <v>23.28337859636077</v>
          </cell>
        </row>
        <row r="417">
          <cell r="C417" t="str">
            <v>1</v>
          </cell>
          <cell r="E417" t="str">
            <v>01</v>
          </cell>
          <cell r="F417" t="str">
            <v>04</v>
          </cell>
          <cell r="G417">
            <v>15</v>
          </cell>
          <cell r="H417" t="str">
            <v>13</v>
          </cell>
          <cell r="I417" t="str">
            <v>Pematangan Lahan Lokasi Rumah Tapak</v>
          </cell>
          <cell r="J417" t="str">
            <v>Jumlah lokasi rumah tapak yang dimatangkan (buah)</v>
          </cell>
          <cell r="K417">
            <v>20</v>
          </cell>
          <cell r="L417">
            <v>4000000000</v>
          </cell>
          <cell r="M417">
            <v>3</v>
          </cell>
          <cell r="N417">
            <v>679676550</v>
          </cell>
          <cell r="O417">
            <v>4</v>
          </cell>
          <cell r="P417">
            <v>650000000</v>
          </cell>
          <cell r="R417">
            <v>8620100</v>
          </cell>
          <cell r="S417">
            <v>4</v>
          </cell>
          <cell r="T417">
            <v>533198207</v>
          </cell>
          <cell r="Y417">
            <v>4</v>
          </cell>
          <cell r="Z417">
            <v>541818307</v>
          </cell>
          <cell r="AA417">
            <v>7</v>
          </cell>
          <cell r="AB417">
            <v>1221494857</v>
          </cell>
          <cell r="AC417">
            <v>35</v>
          </cell>
          <cell r="AD417">
            <v>30.537371425</v>
          </cell>
        </row>
        <row r="418">
          <cell r="C418" t="str">
            <v>1</v>
          </cell>
          <cell r="E418" t="str">
            <v>01</v>
          </cell>
          <cell r="F418" t="str">
            <v>04</v>
          </cell>
          <cell r="G418">
            <v>15</v>
          </cell>
          <cell r="H418" t="str">
            <v>14</v>
          </cell>
          <cell r="I418" t="str">
            <v>Penyusunan Data Base Perumahan Permukiman</v>
          </cell>
          <cell r="J418" t="str">
            <v>Tersedianya Dokumen Data Base Perumahan Permukiman (dok)</v>
          </cell>
          <cell r="K418">
            <v>1</v>
          </cell>
          <cell r="L418">
            <v>500000000</v>
          </cell>
          <cell r="O418">
            <v>1</v>
          </cell>
          <cell r="P418">
            <v>500000000</v>
          </cell>
          <cell r="R418">
            <v>229400</v>
          </cell>
          <cell r="T418">
            <v>96837800</v>
          </cell>
          <cell r="Y418">
            <v>0</v>
          </cell>
          <cell r="Z418">
            <v>97067200</v>
          </cell>
          <cell r="AB418">
            <v>97067200</v>
          </cell>
          <cell r="AC418">
            <v>0</v>
          </cell>
          <cell r="AD418">
            <v>19.413440000000001</v>
          </cell>
        </row>
        <row r="419">
          <cell r="C419" t="str">
            <v>1</v>
          </cell>
          <cell r="E419" t="str">
            <v>01</v>
          </cell>
          <cell r="F419" t="str">
            <v>04</v>
          </cell>
          <cell r="G419">
            <v>15</v>
          </cell>
          <cell r="H419" t="str">
            <v>15</v>
          </cell>
          <cell r="I419" t="str">
            <v>Pendataan dan Validasi Data Rumah Tidak Layak Huni</v>
          </cell>
          <cell r="J419" t="str">
            <v>Database Rumah Tidak Layak Huni (dok)</v>
          </cell>
          <cell r="K419">
            <v>6</v>
          </cell>
          <cell r="L419">
            <v>1621658550</v>
          </cell>
          <cell r="M419">
            <v>1</v>
          </cell>
          <cell r="N419">
            <v>118436150</v>
          </cell>
          <cell r="O419">
            <v>1</v>
          </cell>
          <cell r="P419">
            <v>61007900</v>
          </cell>
          <cell r="Q419">
            <v>0</v>
          </cell>
          <cell r="R419">
            <v>11123500</v>
          </cell>
          <cell r="T419">
            <v>24483500</v>
          </cell>
          <cell r="Y419">
            <v>0</v>
          </cell>
          <cell r="Z419">
            <v>35607000</v>
          </cell>
          <cell r="AA419">
            <v>1</v>
          </cell>
          <cell r="AB419">
            <v>154043150</v>
          </cell>
          <cell r="AC419">
            <v>16.666666666666664</v>
          </cell>
          <cell r="AD419">
            <v>9.499111264822055</v>
          </cell>
        </row>
        <row r="420">
          <cell r="C420" t="str">
            <v>1</v>
          </cell>
          <cell r="E420" t="str">
            <v>01</v>
          </cell>
          <cell r="F420" t="str">
            <v>04</v>
          </cell>
          <cell r="G420">
            <v>15</v>
          </cell>
          <cell r="H420" t="str">
            <v>16</v>
          </cell>
          <cell r="I420" t="str">
            <v>Pembangunan Jalan Minapolitan Mandeh (Lanjutan)</v>
          </cell>
          <cell r="J420" t="str">
            <v>Terlaksananhya pembangunan jalan minapolitan mandeh (km)</v>
          </cell>
          <cell r="K420">
            <v>2</v>
          </cell>
          <cell r="L420">
            <v>420000000</v>
          </cell>
          <cell r="M420">
            <v>1</v>
          </cell>
          <cell r="N420">
            <v>217659750</v>
          </cell>
          <cell r="O420">
            <v>1</v>
          </cell>
          <cell r="P420">
            <v>200000000</v>
          </cell>
          <cell r="R420">
            <v>1903000</v>
          </cell>
          <cell r="T420">
            <v>9669700</v>
          </cell>
          <cell r="Y420">
            <v>0</v>
          </cell>
          <cell r="Z420">
            <v>11572700</v>
          </cell>
          <cell r="AA420">
            <v>1</v>
          </cell>
          <cell r="AB420">
            <v>229232450</v>
          </cell>
          <cell r="AC420">
            <v>50</v>
          </cell>
          <cell r="AD420">
            <v>54.579154761904761</v>
          </cell>
        </row>
        <row r="421">
          <cell r="C421" t="str">
            <v>1</v>
          </cell>
          <cell r="E421" t="str">
            <v>01</v>
          </cell>
          <cell r="F421" t="str">
            <v>04</v>
          </cell>
          <cell r="G421">
            <v>15</v>
          </cell>
          <cell r="H421" t="str">
            <v>17</v>
          </cell>
          <cell r="I421" t="str">
            <v>Rehab Rumah Tidak Layak Huni</v>
          </cell>
          <cell r="J421" t="str">
            <v>Jumlah Rumah Tidak Layak Huni yang direhabilitasi</v>
          </cell>
          <cell r="K421">
            <v>828</v>
          </cell>
          <cell r="L421">
            <v>19846674500</v>
          </cell>
          <cell r="M421">
            <v>28</v>
          </cell>
          <cell r="N421">
            <v>723642500</v>
          </cell>
          <cell r="O421">
            <v>200</v>
          </cell>
          <cell r="P421">
            <v>4246674500</v>
          </cell>
          <cell r="R421">
            <v>1727500</v>
          </cell>
          <cell r="T421">
            <v>34212205</v>
          </cell>
          <cell r="Y421">
            <v>0</v>
          </cell>
          <cell r="Z421">
            <v>35939705</v>
          </cell>
          <cell r="AA421">
            <v>28</v>
          </cell>
          <cell r="AB421">
            <v>759582205</v>
          </cell>
          <cell r="AC421">
            <v>3.3816425120772946</v>
          </cell>
          <cell r="AD421">
            <v>3.8272517897141909</v>
          </cell>
        </row>
        <row r="422">
          <cell r="C422" t="str">
            <v>1</v>
          </cell>
          <cell r="E422" t="str">
            <v>01</v>
          </cell>
          <cell r="F422" t="str">
            <v>04</v>
          </cell>
          <cell r="G422">
            <v>15</v>
          </cell>
          <cell r="H422" t="str">
            <v>21</v>
          </cell>
          <cell r="I422" t="str">
            <v>Penyusunan Rencana Pembangunan Pengembangan Perumahan dan Kawasan Permukiman (RP3KP) Pesisir Selatan</v>
          </cell>
          <cell r="J422" t="str">
            <v xml:space="preserve"> Dokumen RP3KP (dok)</v>
          </cell>
          <cell r="K422">
            <v>1</v>
          </cell>
          <cell r="L422">
            <v>880000000</v>
          </cell>
          <cell r="O422">
            <v>1</v>
          </cell>
          <cell r="P422">
            <v>862150000</v>
          </cell>
          <cell r="R422">
            <v>2694400</v>
          </cell>
          <cell r="T422">
            <v>172491500</v>
          </cell>
          <cell r="Y422">
            <v>0</v>
          </cell>
          <cell r="Z422">
            <v>175185900</v>
          </cell>
          <cell r="AB422">
            <v>175185900</v>
          </cell>
          <cell r="AC422">
            <v>0</v>
          </cell>
          <cell r="AD422">
            <v>19.907488636363638</v>
          </cell>
        </row>
        <row r="423">
          <cell r="C423" t="str">
            <v>1</v>
          </cell>
          <cell r="E423" t="str">
            <v>01</v>
          </cell>
          <cell r="F423" t="str">
            <v>04</v>
          </cell>
          <cell r="G423">
            <v>15</v>
          </cell>
          <cell r="H423" t="str">
            <v>22</v>
          </cell>
          <cell r="I423" t="str">
            <v>Penunjang Kegiatan Pendataan dan Perencanaan Perumahan</v>
          </cell>
          <cell r="J423" t="str">
            <v xml:space="preserve">Tersedianya Penunjang Pendataan dan Perencanaan </v>
          </cell>
          <cell r="K423">
            <v>48</v>
          </cell>
          <cell r="L423">
            <v>302098400</v>
          </cell>
          <cell r="O423">
            <v>12</v>
          </cell>
          <cell r="P423">
            <v>62098400</v>
          </cell>
          <cell r="Q423">
            <v>3</v>
          </cell>
          <cell r="R423">
            <v>3307000</v>
          </cell>
          <cell r="S423">
            <v>3</v>
          </cell>
          <cell r="T423">
            <v>22873100</v>
          </cell>
          <cell r="Y423">
            <v>6</v>
          </cell>
          <cell r="Z423">
            <v>26180100</v>
          </cell>
          <cell r="AA423">
            <v>6</v>
          </cell>
          <cell r="AB423">
            <v>26180100</v>
          </cell>
          <cell r="AC423">
            <v>12.5</v>
          </cell>
          <cell r="AD423">
            <v>8.6660836336769744</v>
          </cell>
        </row>
        <row r="424">
          <cell r="C424" t="str">
            <v>1</v>
          </cell>
          <cell r="E424" t="str">
            <v>01</v>
          </cell>
          <cell r="F424" t="str">
            <v>04</v>
          </cell>
          <cell r="G424">
            <v>15</v>
          </cell>
          <cell r="H424" t="str">
            <v>23</v>
          </cell>
          <cell r="I424" t="str">
            <v>Penunjang Kegiatan Penyediaan dan Pelaksanaan Perumahan</v>
          </cell>
          <cell r="J424" t="str">
            <v>Tersedianya Penunjang kegiatan Penyediaan dan Pelaksanaan (bln)</v>
          </cell>
          <cell r="K424">
            <v>48</v>
          </cell>
          <cell r="L424">
            <v>320672000</v>
          </cell>
          <cell r="O424">
            <v>12</v>
          </cell>
          <cell r="P424">
            <v>80672000</v>
          </cell>
          <cell r="Q424">
            <v>3</v>
          </cell>
          <cell r="R424">
            <v>19289600</v>
          </cell>
          <cell r="S424">
            <v>3</v>
          </cell>
          <cell r="T424">
            <v>23343700</v>
          </cell>
          <cell r="Y424">
            <v>6</v>
          </cell>
          <cell r="Z424">
            <v>42633300</v>
          </cell>
          <cell r="AA424">
            <v>6</v>
          </cell>
          <cell r="AB424">
            <v>42633300</v>
          </cell>
          <cell r="AC424">
            <v>12.5</v>
          </cell>
          <cell r="AD424">
            <v>13.29498677776669</v>
          </cell>
        </row>
        <row r="425">
          <cell r="I425" t="str">
            <v>Sosialisasi program kegiatan bantuan perumahan</v>
          </cell>
          <cell r="J425" t="str">
            <v>Jumlah masyarakat yang mengikuti sosialisasi (org)</v>
          </cell>
          <cell r="K425">
            <v>2000</v>
          </cell>
          <cell r="L425">
            <v>400000000</v>
          </cell>
          <cell r="M425">
            <v>0</v>
          </cell>
          <cell r="N425">
            <v>0</v>
          </cell>
          <cell r="O425">
            <v>250</v>
          </cell>
          <cell r="P425">
            <v>50000000</v>
          </cell>
          <cell r="Q425">
            <v>0</v>
          </cell>
          <cell r="R425">
            <v>0</v>
          </cell>
          <cell r="S425">
            <v>0</v>
          </cell>
          <cell r="T425">
            <v>0</v>
          </cell>
          <cell r="Y425">
            <v>0</v>
          </cell>
          <cell r="Z425">
            <v>0</v>
          </cell>
          <cell r="AA425">
            <v>0</v>
          </cell>
          <cell r="AB425">
            <v>0</v>
          </cell>
          <cell r="AC425">
            <v>0</v>
          </cell>
          <cell r="AD425">
            <v>0</v>
          </cell>
        </row>
        <row r="426">
          <cell r="C426" t="str">
            <v>1</v>
          </cell>
          <cell r="E426" t="str">
            <v>01</v>
          </cell>
          <cell r="F426" t="str">
            <v>04</v>
          </cell>
          <cell r="G426">
            <v>15</v>
          </cell>
          <cell r="H426" t="str">
            <v>27</v>
          </cell>
          <cell r="I426" t="str">
            <v>DAK Perumahan</v>
          </cell>
          <cell r="J426" t="str">
            <v>Jumlah RTLH yang dibedah (unit)</v>
          </cell>
          <cell r="K426">
            <v>260</v>
          </cell>
          <cell r="L426">
            <v>4067776000</v>
          </cell>
          <cell r="O426">
            <v>65</v>
          </cell>
          <cell r="P426">
            <v>1016944000</v>
          </cell>
          <cell r="T426">
            <v>6000000</v>
          </cell>
          <cell r="Y426">
            <v>0</v>
          </cell>
          <cell r="Z426">
            <v>6000000</v>
          </cell>
          <cell r="AB426">
            <v>6000000</v>
          </cell>
          <cell r="AC426">
            <v>0</v>
          </cell>
          <cell r="AD426">
            <v>0.14750074733711982</v>
          </cell>
        </row>
        <row r="427">
          <cell r="A427">
            <v>8</v>
          </cell>
          <cell r="C427" t="str">
            <v>1</v>
          </cell>
          <cell r="E427" t="str">
            <v>01</v>
          </cell>
          <cell r="F427" t="str">
            <v>04</v>
          </cell>
          <cell r="G427">
            <v>16</v>
          </cell>
          <cell r="I427" t="str">
            <v>Program Lingkungan sehat Perumahan</v>
          </cell>
          <cell r="J427" t="str">
            <v>jumlah rumah yang memiliki air bersih dan sanitasi layak</v>
          </cell>
          <cell r="K427">
            <v>2000</v>
          </cell>
          <cell r="L427">
            <v>13134150000</v>
          </cell>
          <cell r="O427">
            <v>573</v>
          </cell>
          <cell r="P427">
            <v>3950350000</v>
          </cell>
          <cell r="R427">
            <v>6129900</v>
          </cell>
          <cell r="Y427">
            <v>0</v>
          </cell>
          <cell r="Z427">
            <v>6129900</v>
          </cell>
          <cell r="AA427">
            <v>0</v>
          </cell>
          <cell r="AB427">
            <v>6129900</v>
          </cell>
          <cell r="AC427">
            <v>0</v>
          </cell>
          <cell r="AD427">
            <v>4.6671463322712166E-2</v>
          </cell>
          <cell r="AE427" t="str">
            <v>Dinas Perkimtan</v>
          </cell>
        </row>
        <row r="428">
          <cell r="C428" t="str">
            <v>1</v>
          </cell>
          <cell r="E428" t="str">
            <v>01</v>
          </cell>
          <cell r="F428" t="str">
            <v>04</v>
          </cell>
          <cell r="G428">
            <v>16</v>
          </cell>
          <cell r="H428" t="str">
            <v>08</v>
          </cell>
          <cell r="I428" t="str">
            <v>Pembangunan Infrastruktur Sanitasi</v>
          </cell>
          <cell r="J428" t="str">
            <v>jumlah Tangki Septik yang dibangun (unit)</v>
          </cell>
          <cell r="K428">
            <v>2000</v>
          </cell>
          <cell r="L428">
            <v>11460000000</v>
          </cell>
          <cell r="O428">
            <v>573</v>
          </cell>
          <cell r="P428">
            <v>2865000000</v>
          </cell>
          <cell r="Y428">
            <v>0</v>
          </cell>
          <cell r="Z428">
            <v>0</v>
          </cell>
          <cell r="AB428">
            <v>0</v>
          </cell>
          <cell r="AC428">
            <v>0</v>
          </cell>
          <cell r="AD428">
            <v>0</v>
          </cell>
        </row>
        <row r="429">
          <cell r="C429" t="str">
            <v>1</v>
          </cell>
          <cell r="E429" t="str">
            <v>01</v>
          </cell>
          <cell r="F429" t="str">
            <v>04</v>
          </cell>
          <cell r="G429">
            <v>16</v>
          </cell>
          <cell r="H429" t="str">
            <v>09</v>
          </cell>
          <cell r="I429" t="str">
            <v>Penunjang Pembangunan Infrastruktur Sanitasi</v>
          </cell>
          <cell r="J429" t="str">
            <v>Terlaksananya Penunjang Pembangunan Infrastruktur Sanitasi (bln)</v>
          </cell>
          <cell r="K429">
            <v>48</v>
          </cell>
          <cell r="L429">
            <v>818400000</v>
          </cell>
          <cell r="O429">
            <v>12</v>
          </cell>
          <cell r="P429">
            <v>229600000</v>
          </cell>
          <cell r="Q429">
            <v>3</v>
          </cell>
          <cell r="R429">
            <v>3053100</v>
          </cell>
          <cell r="Y429">
            <v>3</v>
          </cell>
          <cell r="Z429">
            <v>3053100</v>
          </cell>
          <cell r="AA429">
            <v>3</v>
          </cell>
          <cell r="AB429">
            <v>3053100</v>
          </cell>
          <cell r="AC429">
            <v>6.25</v>
          </cell>
          <cell r="AD429">
            <v>0.37305718475073313</v>
          </cell>
        </row>
        <row r="430">
          <cell r="C430" t="str">
            <v>1</v>
          </cell>
          <cell r="E430" t="str">
            <v>01</v>
          </cell>
          <cell r="F430" t="str">
            <v>04</v>
          </cell>
          <cell r="G430">
            <v>16</v>
          </cell>
          <cell r="I430" t="str">
            <v>Rencana Pencegahan dan Peningkatan Kualitas Permukiman Kumuh Perkotaan (RP2KPKP)</v>
          </cell>
          <cell r="J430" t="str">
            <v>Tersedianya Dokumen RP2KPKP</v>
          </cell>
          <cell r="K430">
            <v>1</v>
          </cell>
          <cell r="L430">
            <v>855750000</v>
          </cell>
          <cell r="O430">
            <v>1</v>
          </cell>
          <cell r="P430">
            <v>855750000</v>
          </cell>
          <cell r="R430">
            <v>3076800</v>
          </cell>
          <cell r="Y430">
            <v>0</v>
          </cell>
          <cell r="Z430">
            <v>3076800</v>
          </cell>
          <cell r="AB430">
            <v>3076800</v>
          </cell>
          <cell r="AD430">
            <v>0.35954425942156004</v>
          </cell>
        </row>
        <row r="431">
          <cell r="A431" t="str">
            <v>Rata-Rata Capaian Kinerja</v>
          </cell>
          <cell r="AC431">
            <v>24.423556661184545</v>
          </cell>
          <cell r="AD431">
            <v>34.665137098122756</v>
          </cell>
        </row>
        <row r="432">
          <cell r="A432" t="str">
            <v>Peringkat  Kinerja</v>
          </cell>
          <cell r="AC432" t="str">
            <v>SR</v>
          </cell>
          <cell r="AD432" t="str">
            <v>SR</v>
          </cell>
        </row>
        <row r="434">
          <cell r="A434" t="str">
            <v>V</v>
          </cell>
          <cell r="I434" t="str">
            <v>URUSAN KETENTRAMAN, KETERTIBAN UMUM, DAN PERLINDUNGAN MASYARAKAT</v>
          </cell>
          <cell r="L434">
            <v>46791895802</v>
          </cell>
          <cell r="N434">
            <v>9805156664</v>
          </cell>
          <cell r="P434">
            <v>5663014741</v>
          </cell>
          <cell r="R434">
            <v>474717485</v>
          </cell>
          <cell r="T434">
            <v>2259336328</v>
          </cell>
          <cell r="Z434">
            <v>2734053813</v>
          </cell>
          <cell r="AB434">
            <v>12539210477</v>
          </cell>
        </row>
        <row r="435">
          <cell r="A435" t="str">
            <v>BADAN PENANGGULANGAN BENCANA DAERAH</v>
          </cell>
          <cell r="L435">
            <v>13130298210</v>
          </cell>
          <cell r="N435">
            <v>3915146974</v>
          </cell>
          <cell r="P435">
            <v>1850000000</v>
          </cell>
          <cell r="R435">
            <v>325488865</v>
          </cell>
          <cell r="T435">
            <v>446515697</v>
          </cell>
          <cell r="Z435">
            <v>772004562</v>
          </cell>
          <cell r="AB435">
            <v>4687151536</v>
          </cell>
        </row>
        <row r="436">
          <cell r="A436">
            <v>1</v>
          </cell>
          <cell r="B436" t="str">
            <v>Meningkatnya masyarakat yang tangguh bencana.</v>
          </cell>
          <cell r="C436">
            <v>2</v>
          </cell>
          <cell r="D436" t="str">
            <v>00</v>
          </cell>
          <cell r="E436" t="str">
            <v>02</v>
          </cell>
          <cell r="F436">
            <v>15</v>
          </cell>
          <cell r="I436" t="str">
            <v>Program Pengembangan Pemasaran Pariwisata</v>
          </cell>
          <cell r="J436" t="str">
            <v>Persentase Meningkatnya pengetahuan  kebencanaan  masyarakat melalui promosi</v>
          </cell>
          <cell r="K436">
            <v>100</v>
          </cell>
          <cell r="L436">
            <v>95000000</v>
          </cell>
          <cell r="M436">
            <v>33</v>
          </cell>
          <cell r="N436">
            <v>35439854</v>
          </cell>
          <cell r="O436">
            <v>17</v>
          </cell>
          <cell r="P436">
            <v>15000000</v>
          </cell>
          <cell r="Q436">
            <v>0</v>
          </cell>
          <cell r="R436">
            <v>0</v>
          </cell>
          <cell r="S436">
            <v>17</v>
          </cell>
          <cell r="T436">
            <v>13834900</v>
          </cell>
          <cell r="U436">
            <v>0</v>
          </cell>
          <cell r="V436">
            <v>0</v>
          </cell>
          <cell r="W436">
            <v>0</v>
          </cell>
          <cell r="X436">
            <v>0</v>
          </cell>
          <cell r="Y436">
            <v>17</v>
          </cell>
          <cell r="Z436">
            <v>13834900</v>
          </cell>
          <cell r="AA436">
            <v>50</v>
          </cell>
          <cell r="AB436">
            <v>49274754</v>
          </cell>
          <cell r="AC436">
            <v>50</v>
          </cell>
          <cell r="AD436">
            <v>51.86816210526316</v>
          </cell>
          <cell r="AE436" t="str">
            <v>BPBD</v>
          </cell>
        </row>
        <row r="437">
          <cell r="C437">
            <v>2</v>
          </cell>
          <cell r="D437" t="str">
            <v>00</v>
          </cell>
          <cell r="E437" t="str">
            <v>02</v>
          </cell>
          <cell r="F437">
            <v>15</v>
          </cell>
          <cell r="G437">
            <v>10</v>
          </cell>
          <cell r="I437" t="str">
            <v>Pelaksanaan Festival Langkisau</v>
          </cell>
          <cell r="J437" t="str">
            <v>jumlah event yang diikuti</v>
          </cell>
          <cell r="K437">
            <v>5</v>
          </cell>
          <cell r="L437">
            <v>95000000</v>
          </cell>
          <cell r="M437">
            <v>1</v>
          </cell>
          <cell r="N437">
            <v>35439854</v>
          </cell>
          <cell r="O437">
            <v>1</v>
          </cell>
          <cell r="P437">
            <v>15000000</v>
          </cell>
          <cell r="Q437">
            <v>0</v>
          </cell>
          <cell r="R437">
            <v>0</v>
          </cell>
          <cell r="S437">
            <v>1</v>
          </cell>
          <cell r="T437">
            <v>13834900</v>
          </cell>
          <cell r="U437">
            <v>0</v>
          </cell>
          <cell r="V437">
            <v>0</v>
          </cell>
          <cell r="W437">
            <v>0</v>
          </cell>
          <cell r="X437">
            <v>0</v>
          </cell>
          <cell r="Y437">
            <v>1</v>
          </cell>
          <cell r="Z437">
            <v>13834900</v>
          </cell>
          <cell r="AA437">
            <v>2</v>
          </cell>
          <cell r="AB437">
            <v>49274754</v>
          </cell>
          <cell r="AC437">
            <v>40</v>
          </cell>
          <cell r="AD437">
            <v>51.86816210526316</v>
          </cell>
        </row>
        <row r="438">
          <cell r="A438">
            <v>2</v>
          </cell>
          <cell r="B438" t="str">
            <v>Meningkatnya penanganan Rehabilitasi dan Rekonstruksi.</v>
          </cell>
          <cell r="C438">
            <v>1</v>
          </cell>
          <cell r="D438" t="str">
            <v>01</v>
          </cell>
          <cell r="E438" t="str">
            <v>03</v>
          </cell>
          <cell r="F438">
            <v>23</v>
          </cell>
          <cell r="I438" t="str">
            <v>Program Peningkatan Sarana dan Prasarana Kebina margaan</v>
          </cell>
          <cell r="J438" t="str">
            <v>Berfungsinya sarana-prasara kebencanaan (%)</v>
          </cell>
          <cell r="K438">
            <v>100</v>
          </cell>
          <cell r="L438">
            <v>571800000</v>
          </cell>
          <cell r="M438">
            <v>12</v>
          </cell>
          <cell r="N438">
            <v>97198000</v>
          </cell>
          <cell r="O438">
            <v>17</v>
          </cell>
          <cell r="P438">
            <v>45400000</v>
          </cell>
          <cell r="Q438">
            <v>2.6</v>
          </cell>
          <cell r="R438">
            <v>1200000</v>
          </cell>
          <cell r="S438">
            <v>8</v>
          </cell>
          <cell r="T438">
            <v>19273400</v>
          </cell>
          <cell r="U438">
            <v>0</v>
          </cell>
          <cell r="V438">
            <v>0</v>
          </cell>
          <cell r="W438">
            <v>0</v>
          </cell>
          <cell r="X438">
            <v>0</v>
          </cell>
          <cell r="Y438">
            <v>10.6</v>
          </cell>
          <cell r="Z438">
            <v>20473400</v>
          </cell>
          <cell r="AA438">
            <v>22.6</v>
          </cell>
          <cell r="AB438">
            <v>117671400</v>
          </cell>
          <cell r="AC438">
            <v>22.6</v>
          </cell>
          <cell r="AD438">
            <v>20.579118572927594</v>
          </cell>
          <cell r="AE438" t="str">
            <v>BPBD</v>
          </cell>
        </row>
        <row r="439">
          <cell r="C439">
            <v>1</v>
          </cell>
          <cell r="D439" t="str">
            <v>01</v>
          </cell>
          <cell r="E439" t="str">
            <v>03</v>
          </cell>
          <cell r="F439">
            <v>23</v>
          </cell>
          <cell r="G439">
            <v>20</v>
          </cell>
          <cell r="I439" t="str">
            <v>Operasional dan Pemeliharaan alat-alat berat.</v>
          </cell>
          <cell r="J439" t="str">
            <v>Terlaksananya operasional dan pemeliharaan alat-alat berat (bln)</v>
          </cell>
          <cell r="K439">
            <v>60</v>
          </cell>
          <cell r="L439">
            <v>571800000</v>
          </cell>
          <cell r="M439">
            <v>12</v>
          </cell>
          <cell r="N439">
            <v>97198000</v>
          </cell>
          <cell r="O439">
            <v>12</v>
          </cell>
          <cell r="P439">
            <v>45400000</v>
          </cell>
          <cell r="Q439">
            <v>3</v>
          </cell>
          <cell r="R439">
            <v>1200000</v>
          </cell>
          <cell r="S439">
            <v>3</v>
          </cell>
          <cell r="T439">
            <v>19273400</v>
          </cell>
          <cell r="U439">
            <v>0</v>
          </cell>
          <cell r="V439">
            <v>0</v>
          </cell>
          <cell r="W439">
            <v>0</v>
          </cell>
          <cell r="X439">
            <v>0</v>
          </cell>
          <cell r="Y439">
            <v>6</v>
          </cell>
          <cell r="Z439">
            <v>20473400</v>
          </cell>
          <cell r="AA439">
            <v>18</v>
          </cell>
          <cell r="AB439">
            <v>117671400</v>
          </cell>
          <cell r="AC439">
            <v>30</v>
          </cell>
          <cell r="AD439">
            <v>20.579118572927594</v>
          </cell>
        </row>
        <row r="440">
          <cell r="A440">
            <v>3</v>
          </cell>
          <cell r="B440" t="str">
            <v>Meningkatnya masyarakat yang tangguh bencana.</v>
          </cell>
          <cell r="C440">
            <v>1</v>
          </cell>
          <cell r="D440" t="str">
            <v>01</v>
          </cell>
          <cell r="E440" t="str">
            <v>05</v>
          </cell>
          <cell r="F440">
            <v>23</v>
          </cell>
          <cell r="I440" t="str">
            <v>Program Kesiapsiagaan</v>
          </cell>
          <cell r="J440" t="str">
            <v>Persentase masyarakat yang siap siaga menghadapi bencana</v>
          </cell>
          <cell r="K440">
            <v>100</v>
          </cell>
          <cell r="L440">
            <v>717375320</v>
          </cell>
          <cell r="M440">
            <v>60</v>
          </cell>
          <cell r="N440">
            <v>249779070</v>
          </cell>
          <cell r="O440">
            <v>20</v>
          </cell>
          <cell r="P440">
            <v>36383000</v>
          </cell>
          <cell r="Q440">
            <v>0</v>
          </cell>
          <cell r="R440">
            <v>0</v>
          </cell>
          <cell r="U440">
            <v>0</v>
          </cell>
          <cell r="V440">
            <v>0</v>
          </cell>
          <cell r="W440">
            <v>0</v>
          </cell>
          <cell r="X440">
            <v>0</v>
          </cell>
          <cell r="Y440">
            <v>0</v>
          </cell>
          <cell r="Z440">
            <v>0</v>
          </cell>
          <cell r="AA440">
            <v>60</v>
          </cell>
          <cell r="AB440">
            <v>249779070</v>
          </cell>
          <cell r="AC440">
            <v>60</v>
          </cell>
          <cell r="AD440">
            <v>34.818464343044312</v>
          </cell>
          <cell r="AE440" t="str">
            <v>BPBD</v>
          </cell>
        </row>
        <row r="441">
          <cell r="C441">
            <v>1</v>
          </cell>
          <cell r="D441" t="str">
            <v>01</v>
          </cell>
          <cell r="E441" t="str">
            <v>05</v>
          </cell>
          <cell r="F441">
            <v>23</v>
          </cell>
          <cell r="G441">
            <v>13</v>
          </cell>
          <cell r="I441" t="str">
            <v>Jambore dan Bulan Pengurangan Resiko Bencana</v>
          </cell>
          <cell r="J441" t="str">
            <v>jumlah event jambore yang diikuti (kegiatan)</v>
          </cell>
          <cell r="K441">
            <v>5</v>
          </cell>
          <cell r="L441">
            <v>717375320</v>
          </cell>
          <cell r="M441">
            <v>1</v>
          </cell>
          <cell r="N441">
            <v>249779070</v>
          </cell>
          <cell r="O441">
            <v>1</v>
          </cell>
          <cell r="P441">
            <v>36383000</v>
          </cell>
          <cell r="Q441">
            <v>0</v>
          </cell>
          <cell r="R441">
            <v>0</v>
          </cell>
          <cell r="U441">
            <v>0</v>
          </cell>
          <cell r="V441">
            <v>0</v>
          </cell>
          <cell r="W441">
            <v>0</v>
          </cell>
          <cell r="X441">
            <v>0</v>
          </cell>
          <cell r="Y441">
            <v>0</v>
          </cell>
          <cell r="Z441">
            <v>0</v>
          </cell>
          <cell r="AA441">
            <v>1</v>
          </cell>
          <cell r="AB441">
            <v>249779070</v>
          </cell>
          <cell r="AC441">
            <v>20</v>
          </cell>
          <cell r="AD441">
            <v>34.818464343044312</v>
          </cell>
        </row>
        <row r="442">
          <cell r="A442">
            <v>4</v>
          </cell>
          <cell r="B442" t="str">
            <v>Meningkatnya penanganan darurat bencana yang cepat dan tepat.</v>
          </cell>
          <cell r="C442">
            <v>1</v>
          </cell>
          <cell r="D442" t="str">
            <v>01</v>
          </cell>
          <cell r="E442" t="str">
            <v>05</v>
          </cell>
          <cell r="F442">
            <v>26</v>
          </cell>
          <cell r="I442" t="str">
            <v>Program Penanganan Tanggap Darurat</v>
          </cell>
          <cell r="J442" t="str">
            <v>Persentase Penanganan Bencana Tanggap Darurat.</v>
          </cell>
          <cell r="K442">
            <v>100</v>
          </cell>
          <cell r="L442">
            <v>2164210800</v>
          </cell>
          <cell r="M442">
            <v>33</v>
          </cell>
          <cell r="N442">
            <v>671498250</v>
          </cell>
          <cell r="O442">
            <v>17</v>
          </cell>
          <cell r="P442">
            <v>387817000</v>
          </cell>
          <cell r="Q442">
            <v>2</v>
          </cell>
          <cell r="R442">
            <v>65301600</v>
          </cell>
          <cell r="S442">
            <v>1</v>
          </cell>
          <cell r="T442">
            <v>23012500</v>
          </cell>
          <cell r="U442">
            <v>0</v>
          </cell>
          <cell r="V442">
            <v>0</v>
          </cell>
          <cell r="W442">
            <v>0</v>
          </cell>
          <cell r="X442">
            <v>0</v>
          </cell>
          <cell r="Y442">
            <v>3</v>
          </cell>
          <cell r="Z442">
            <v>88314100</v>
          </cell>
          <cell r="AA442">
            <v>36</v>
          </cell>
          <cell r="AB442">
            <v>759812350</v>
          </cell>
          <cell r="AC442">
            <v>36</v>
          </cell>
          <cell r="AD442">
            <v>35.108056479525935</v>
          </cell>
          <cell r="AE442" t="str">
            <v>BPBD</v>
          </cell>
        </row>
        <row r="443">
          <cell r="C443">
            <v>1</v>
          </cell>
          <cell r="D443" t="str">
            <v>01</v>
          </cell>
          <cell r="E443" t="str">
            <v>05</v>
          </cell>
          <cell r="F443">
            <v>26</v>
          </cell>
          <cell r="G443" t="str">
            <v>02</v>
          </cell>
          <cell r="I443" t="str">
            <v>Operasional SAR dan Tim Reaksi Cepat (TRC)</v>
          </cell>
          <cell r="J443" t="str">
            <v>Terlaksananya Operasional SAR dan Tim Reaksi Cepat (bln).</v>
          </cell>
          <cell r="K443">
            <v>60</v>
          </cell>
          <cell r="L443">
            <v>1205008500</v>
          </cell>
          <cell r="M443">
            <v>12</v>
          </cell>
          <cell r="N443">
            <v>499850900</v>
          </cell>
          <cell r="O443">
            <v>12</v>
          </cell>
          <cell r="P443">
            <v>335812306</v>
          </cell>
          <cell r="Q443">
            <v>3</v>
          </cell>
          <cell r="R443">
            <v>48708500</v>
          </cell>
          <cell r="S443">
            <v>3</v>
          </cell>
          <cell r="T443">
            <v>21962250</v>
          </cell>
          <cell r="U443">
            <v>0</v>
          </cell>
          <cell r="V443">
            <v>0</v>
          </cell>
          <cell r="W443">
            <v>0</v>
          </cell>
          <cell r="X443">
            <v>0</v>
          </cell>
          <cell r="Y443">
            <v>6</v>
          </cell>
          <cell r="Z443">
            <v>70670750</v>
          </cell>
          <cell r="AA443">
            <v>18</v>
          </cell>
          <cell r="AB443">
            <v>570521650</v>
          </cell>
          <cell r="AC443">
            <v>30</v>
          </cell>
          <cell r="AD443">
            <v>47.345861045793455</v>
          </cell>
        </row>
        <row r="444">
          <cell r="C444">
            <v>1</v>
          </cell>
          <cell r="D444" t="str">
            <v>01</v>
          </cell>
          <cell r="E444" t="str">
            <v>05</v>
          </cell>
          <cell r="F444">
            <v>26</v>
          </cell>
          <cell r="G444" t="str">
            <v>03</v>
          </cell>
          <cell r="I444" t="str">
            <v>Operasional Logistik dan Perlengkapan Gudang Logistik</v>
          </cell>
          <cell r="J444" t="str">
            <v>Terlaksananya operasional logistik dan perlengkapan gudang logistik. (bln)</v>
          </cell>
          <cell r="K444">
            <v>60</v>
          </cell>
          <cell r="L444">
            <v>959202300</v>
          </cell>
          <cell r="M444">
            <v>12</v>
          </cell>
          <cell r="N444">
            <v>171647350</v>
          </cell>
          <cell r="O444">
            <v>12</v>
          </cell>
          <cell r="P444">
            <v>52004694</v>
          </cell>
          <cell r="Q444">
            <v>3</v>
          </cell>
          <cell r="R444">
            <v>16593100</v>
          </cell>
          <cell r="U444">
            <v>0</v>
          </cell>
          <cell r="V444">
            <v>0</v>
          </cell>
          <cell r="W444">
            <v>0</v>
          </cell>
          <cell r="X444">
            <v>0</v>
          </cell>
          <cell r="Y444">
            <v>3</v>
          </cell>
          <cell r="Z444">
            <v>16593100</v>
          </cell>
          <cell r="AA444">
            <v>15</v>
          </cell>
          <cell r="AB444">
            <v>188240450</v>
          </cell>
          <cell r="AC444">
            <v>25</v>
          </cell>
          <cell r="AD444">
            <v>19.624687096767804</v>
          </cell>
        </row>
        <row r="445">
          <cell r="A445">
            <v>5</v>
          </cell>
          <cell r="B445" t="str">
            <v>Meningkatnya penanganan Rehabilitasi dan Rekonstruksi.</v>
          </cell>
          <cell r="C445">
            <v>1</v>
          </cell>
          <cell r="D445" t="str">
            <v>01</v>
          </cell>
          <cell r="E445" t="str">
            <v>05</v>
          </cell>
          <cell r="F445">
            <v>27</v>
          </cell>
          <cell r="I445" t="str">
            <v>Program Pengelolaan dan Penanganan Dampak Bencana</v>
          </cell>
          <cell r="J445" t="str">
            <v>Persentase kejadian bencana yang terdata</v>
          </cell>
          <cell r="K445">
            <v>80</v>
          </cell>
          <cell r="L445">
            <v>1229144600</v>
          </cell>
          <cell r="M445">
            <v>60</v>
          </cell>
          <cell r="N445">
            <v>179614160</v>
          </cell>
          <cell r="O445">
            <v>10</v>
          </cell>
          <cell r="P445">
            <v>109906000</v>
          </cell>
          <cell r="Q445">
            <v>2</v>
          </cell>
          <cell r="R445">
            <v>31773300</v>
          </cell>
          <cell r="S445">
            <v>51.444461630848181</v>
          </cell>
          <cell r="T445">
            <v>56540550</v>
          </cell>
          <cell r="U445">
            <v>0</v>
          </cell>
          <cell r="V445">
            <v>0</v>
          </cell>
          <cell r="W445">
            <v>0</v>
          </cell>
          <cell r="X445">
            <v>0</v>
          </cell>
          <cell r="Y445">
            <v>53.444461630848181</v>
          </cell>
          <cell r="Z445">
            <v>88313850</v>
          </cell>
          <cell r="AA445">
            <v>113.44446163084818</v>
          </cell>
          <cell r="AB445">
            <v>267928010</v>
          </cell>
          <cell r="AC445">
            <v>141.80557703856022</v>
          </cell>
          <cell r="AD445">
            <v>21.7979243451096</v>
          </cell>
          <cell r="AE445" t="str">
            <v>BPBD</v>
          </cell>
        </row>
        <row r="446">
          <cell r="C446">
            <v>1</v>
          </cell>
          <cell r="D446" t="str">
            <v>01</v>
          </cell>
          <cell r="E446" t="str">
            <v>05</v>
          </cell>
          <cell r="F446">
            <v>27</v>
          </cell>
          <cell r="G446" t="str">
            <v>01</v>
          </cell>
          <cell r="I446" t="str">
            <v>Inventarisasi dan Identifikasi Kerusakan/Kerugian</v>
          </cell>
          <cell r="J446" t="str">
            <v>Jumlah data dan laporan triwulan yang dihasilkan (dokumen)</v>
          </cell>
          <cell r="K446">
            <v>20</v>
          </cell>
          <cell r="L446">
            <v>564113600</v>
          </cell>
          <cell r="M446">
            <v>4</v>
          </cell>
          <cell r="N446">
            <v>73413560</v>
          </cell>
          <cell r="O446">
            <v>4</v>
          </cell>
          <cell r="P446">
            <v>58193000</v>
          </cell>
          <cell r="Q446">
            <v>1</v>
          </cell>
          <cell r="R446">
            <v>21404700</v>
          </cell>
          <cell r="S446">
            <v>1</v>
          </cell>
          <cell r="T446">
            <v>49266050</v>
          </cell>
          <cell r="U446">
            <v>0</v>
          </cell>
          <cell r="V446">
            <v>0</v>
          </cell>
          <cell r="W446">
            <v>0</v>
          </cell>
          <cell r="X446">
            <v>0</v>
          </cell>
          <cell r="Y446">
            <v>2</v>
          </cell>
          <cell r="Z446">
            <v>70670750</v>
          </cell>
          <cell r="AA446">
            <v>6</v>
          </cell>
          <cell r="AB446">
            <v>144084310</v>
          </cell>
          <cell r="AC446">
            <v>30</v>
          </cell>
          <cell r="AD446">
            <v>25.541718902008391</v>
          </cell>
        </row>
        <row r="447">
          <cell r="C447">
            <v>1</v>
          </cell>
          <cell r="D447" t="str">
            <v>01</v>
          </cell>
          <cell r="E447" t="str">
            <v>05</v>
          </cell>
          <cell r="F447">
            <v>27</v>
          </cell>
          <cell r="G447" t="str">
            <v>02</v>
          </cell>
          <cell r="I447" t="str">
            <v>Monitoring dan Evaluasi Kebencanaan</v>
          </cell>
          <cell r="J447" t="str">
            <v>jumlah laporan hasin monitoring dan evaluasi triwulannan (dok)</v>
          </cell>
          <cell r="K447">
            <v>20</v>
          </cell>
          <cell r="L447">
            <v>665031000</v>
          </cell>
          <cell r="M447">
            <v>4</v>
          </cell>
          <cell r="N447">
            <v>106200600</v>
          </cell>
          <cell r="O447">
            <v>4</v>
          </cell>
          <cell r="P447">
            <v>51713000</v>
          </cell>
          <cell r="Q447">
            <v>1</v>
          </cell>
          <cell r="R447">
            <v>10368600</v>
          </cell>
          <cell r="S447">
            <v>1</v>
          </cell>
          <cell r="T447">
            <v>7274500</v>
          </cell>
          <cell r="U447">
            <v>0</v>
          </cell>
          <cell r="V447">
            <v>0</v>
          </cell>
          <cell r="W447">
            <v>0</v>
          </cell>
          <cell r="X447">
            <v>0</v>
          </cell>
          <cell r="Y447">
            <v>2</v>
          </cell>
          <cell r="Z447">
            <v>17643100</v>
          </cell>
          <cell r="AA447">
            <v>6</v>
          </cell>
          <cell r="AB447">
            <v>123843700</v>
          </cell>
          <cell r="AC447">
            <v>30</v>
          </cell>
          <cell r="AD447">
            <v>18.622244677315795</v>
          </cell>
        </row>
        <row r="448">
          <cell r="A448">
            <v>6</v>
          </cell>
          <cell r="B448" t="str">
            <v>Meningkatnya masyarakat yang tangguh bencana.</v>
          </cell>
          <cell r="C448">
            <v>1</v>
          </cell>
          <cell r="D448" t="str">
            <v>01</v>
          </cell>
          <cell r="E448" t="str">
            <v>05</v>
          </cell>
          <cell r="F448">
            <v>28</v>
          </cell>
          <cell r="I448" t="str">
            <v>Program Pencegahan dan Mitigasi Bencana</v>
          </cell>
          <cell r="J448" t="str">
            <v>Persentase perangkat daerah yang memahami tupoksi dalam penanggulangan bencana (%)</v>
          </cell>
          <cell r="K448">
            <v>90</v>
          </cell>
          <cell r="L448">
            <v>1457053950</v>
          </cell>
          <cell r="M448">
            <v>50</v>
          </cell>
          <cell r="N448">
            <v>433872060</v>
          </cell>
          <cell r="O448">
            <v>15</v>
          </cell>
          <cell r="P448">
            <v>101870644</v>
          </cell>
          <cell r="Q448">
            <v>2</v>
          </cell>
          <cell r="R448">
            <v>6152250</v>
          </cell>
          <cell r="S448">
            <v>5</v>
          </cell>
          <cell r="T448">
            <v>22117200</v>
          </cell>
          <cell r="U448">
            <v>0</v>
          </cell>
          <cell r="V448">
            <v>0</v>
          </cell>
          <cell r="W448">
            <v>0</v>
          </cell>
          <cell r="X448">
            <v>0</v>
          </cell>
          <cell r="Y448">
            <v>7</v>
          </cell>
          <cell r="Z448">
            <v>28269450</v>
          </cell>
          <cell r="AA448">
            <v>57</v>
          </cell>
          <cell r="AB448">
            <v>462141510</v>
          </cell>
          <cell r="AC448">
            <v>63.333333333333329</v>
          </cell>
          <cell r="AD448">
            <v>31.717529059236277</v>
          </cell>
          <cell r="AE448" t="str">
            <v>BPBD</v>
          </cell>
        </row>
        <row r="449">
          <cell r="C449">
            <v>1</v>
          </cell>
          <cell r="D449" t="str">
            <v>01</v>
          </cell>
          <cell r="E449" t="str">
            <v>05</v>
          </cell>
          <cell r="F449">
            <v>28</v>
          </cell>
          <cell r="G449" t="str">
            <v>07</v>
          </cell>
          <cell r="I449" t="str">
            <v>Operasional dan Perawatan Pusdaltin</v>
          </cell>
          <cell r="J449" t="str">
            <v>berfungsinya Early Warning System (EWS) (bln)</v>
          </cell>
          <cell r="K449">
            <v>60</v>
          </cell>
          <cell r="L449">
            <v>1457053950</v>
          </cell>
          <cell r="M449">
            <v>12</v>
          </cell>
          <cell r="N449">
            <v>433872060</v>
          </cell>
          <cell r="O449">
            <v>12</v>
          </cell>
          <cell r="P449">
            <v>101870644</v>
          </cell>
          <cell r="Q449">
            <v>3</v>
          </cell>
          <cell r="R449">
            <v>6152250</v>
          </cell>
          <cell r="S449">
            <v>3</v>
          </cell>
          <cell r="T449">
            <v>22117200</v>
          </cell>
          <cell r="U449">
            <v>0</v>
          </cell>
          <cell r="V449">
            <v>0</v>
          </cell>
          <cell r="W449">
            <v>0</v>
          </cell>
          <cell r="X449">
            <v>0</v>
          </cell>
          <cell r="Y449">
            <v>6</v>
          </cell>
          <cell r="Z449">
            <v>28269450</v>
          </cell>
          <cell r="AA449">
            <v>18</v>
          </cell>
          <cell r="AB449">
            <v>462141510</v>
          </cell>
          <cell r="AC449">
            <v>30</v>
          </cell>
          <cell r="AD449">
            <v>31.717529059236277</v>
          </cell>
        </row>
        <row r="450">
          <cell r="A450">
            <v>7</v>
          </cell>
          <cell r="B450" t="str">
            <v>Meningkatnya penataanusahaan keuangan dan pelaporan yang berkualitas.</v>
          </cell>
          <cell r="C450">
            <v>1</v>
          </cell>
          <cell r="D450" t="str">
            <v>01</v>
          </cell>
          <cell r="E450">
            <v>1</v>
          </cell>
          <cell r="F450" t="str">
            <v>01</v>
          </cell>
          <cell r="I450" t="str">
            <v>Program Pelayanan Administrasi Perkantoran</v>
          </cell>
          <cell r="J450" t="str">
            <v>Cakupan pelayanan administrasi perkantoran.</v>
          </cell>
          <cell r="K450">
            <v>1</v>
          </cell>
          <cell r="L450">
            <v>5943002400</v>
          </cell>
          <cell r="M450">
            <v>0.33</v>
          </cell>
          <cell r="N450">
            <v>1868728950</v>
          </cell>
          <cell r="O450">
            <v>0.17</v>
          </cell>
          <cell r="P450">
            <v>1039873475</v>
          </cell>
          <cell r="Q450">
            <v>4.2500000000000003E-2</v>
          </cell>
          <cell r="R450">
            <v>207219265</v>
          </cell>
          <cell r="S450">
            <v>0.04</v>
          </cell>
          <cell r="T450">
            <v>289201766</v>
          </cell>
          <cell r="U450">
            <v>0</v>
          </cell>
          <cell r="V450">
            <v>0</v>
          </cell>
          <cell r="W450">
            <v>0</v>
          </cell>
          <cell r="X450">
            <v>0</v>
          </cell>
          <cell r="Y450">
            <v>8.2500000000000004E-2</v>
          </cell>
          <cell r="Z450">
            <v>496421031</v>
          </cell>
          <cell r="AA450">
            <v>0.41250000000000003</v>
          </cell>
          <cell r="AB450">
            <v>2365149981</v>
          </cell>
          <cell r="AC450">
            <v>41.25</v>
          </cell>
          <cell r="AD450">
            <v>39.797224059677312</v>
          </cell>
          <cell r="AE450" t="str">
            <v>BPBD</v>
          </cell>
        </row>
        <row r="451">
          <cell r="C451">
            <v>1</v>
          </cell>
          <cell r="D451" t="str">
            <v>01</v>
          </cell>
          <cell r="E451">
            <v>1</v>
          </cell>
          <cell r="F451" t="str">
            <v>01</v>
          </cell>
          <cell r="G451" t="str">
            <v>02</v>
          </cell>
          <cell r="I451" t="str">
            <v>Penyediaan Jasa Komunikasi, Sumber Daya Air dan Listrik.</v>
          </cell>
          <cell r="J451" t="str">
            <v>Persentase pelayanan jasa komunikasi,sumber daya air dan listrik.</v>
          </cell>
          <cell r="K451">
            <v>1</v>
          </cell>
          <cell r="L451">
            <v>639828000</v>
          </cell>
          <cell r="M451">
            <v>0.33</v>
          </cell>
          <cell r="N451">
            <v>250740000</v>
          </cell>
          <cell r="O451">
            <v>0.17</v>
          </cell>
          <cell r="P451">
            <v>63140000</v>
          </cell>
          <cell r="Q451">
            <v>4.2500000000000003E-2</v>
          </cell>
          <cell r="R451">
            <v>13107101</v>
          </cell>
          <cell r="S451">
            <v>0.04</v>
          </cell>
          <cell r="T451">
            <v>7520686</v>
          </cell>
          <cell r="U451">
            <v>0</v>
          </cell>
          <cell r="V451">
            <v>0</v>
          </cell>
          <cell r="W451">
            <v>0</v>
          </cell>
          <cell r="X451">
            <v>0</v>
          </cell>
          <cell r="Y451">
            <v>8.2500000000000004E-2</v>
          </cell>
          <cell r="Z451">
            <v>20627787</v>
          </cell>
          <cell r="AA451">
            <v>0.41250000000000003</v>
          </cell>
          <cell r="AB451">
            <v>271367787</v>
          </cell>
          <cell r="AC451">
            <v>41.25</v>
          </cell>
          <cell r="AD451">
            <v>42.41261510906056</v>
          </cell>
        </row>
        <row r="452">
          <cell r="C452">
            <v>1</v>
          </cell>
          <cell r="D452" t="str">
            <v>01</v>
          </cell>
          <cell r="E452">
            <v>1</v>
          </cell>
          <cell r="F452" t="str">
            <v>01</v>
          </cell>
          <cell r="G452" t="str">
            <v>07</v>
          </cell>
          <cell r="I452" t="str">
            <v>Penyediaan Jasa Administrasi Keuangan.</v>
          </cell>
          <cell r="J452" t="str">
            <v>Persentase penyediaan jasa administrasi keuangan.</v>
          </cell>
          <cell r="K452">
            <v>1</v>
          </cell>
          <cell r="L452">
            <v>3027403000</v>
          </cell>
          <cell r="M452">
            <v>0.33</v>
          </cell>
          <cell r="N452">
            <v>761600000</v>
          </cell>
          <cell r="O452">
            <v>0.17</v>
          </cell>
          <cell r="P452">
            <v>777300000</v>
          </cell>
          <cell r="Q452">
            <v>4.2500000000000003E-2</v>
          </cell>
          <cell r="R452">
            <v>123000000</v>
          </cell>
          <cell r="S452">
            <v>0.04</v>
          </cell>
          <cell r="T452">
            <v>256800000</v>
          </cell>
          <cell r="U452">
            <v>0</v>
          </cell>
          <cell r="V452">
            <v>0</v>
          </cell>
          <cell r="W452">
            <v>0</v>
          </cell>
          <cell r="X452">
            <v>0</v>
          </cell>
          <cell r="Y452">
            <v>8.2500000000000004E-2</v>
          </cell>
          <cell r="Z452">
            <v>379800000</v>
          </cell>
          <cell r="AA452">
            <v>0.41250000000000003</v>
          </cell>
          <cell r="AB452">
            <v>1141400000</v>
          </cell>
          <cell r="AC452">
            <v>41.25</v>
          </cell>
          <cell r="AD452">
            <v>37.702281460380398</v>
          </cell>
        </row>
        <row r="453">
          <cell r="C453">
            <v>1</v>
          </cell>
          <cell r="D453" t="str">
            <v>01</v>
          </cell>
          <cell r="E453">
            <v>1</v>
          </cell>
          <cell r="F453" t="str">
            <v>01</v>
          </cell>
          <cell r="G453" t="str">
            <v>08</v>
          </cell>
          <cell r="I453" t="str">
            <v>Penyediaan jasa kebersihan kantor</v>
          </cell>
          <cell r="J453" t="str">
            <v>Persentase Pelayanan Jasa Kebersihan kantor.</v>
          </cell>
          <cell r="K453">
            <v>1</v>
          </cell>
          <cell r="L453">
            <v>66750600</v>
          </cell>
          <cell r="M453">
            <v>0.33</v>
          </cell>
          <cell r="N453">
            <v>22250200</v>
          </cell>
          <cell r="O453">
            <v>0.17</v>
          </cell>
          <cell r="P453">
            <v>6119100</v>
          </cell>
          <cell r="Q453">
            <v>4.2500000000000003E-2</v>
          </cell>
          <cell r="R453">
            <v>0</v>
          </cell>
          <cell r="S453">
            <v>0.04</v>
          </cell>
          <cell r="T453">
            <v>986000</v>
          </cell>
          <cell r="U453">
            <v>0</v>
          </cell>
          <cell r="V453">
            <v>0</v>
          </cell>
          <cell r="W453">
            <v>0</v>
          </cell>
          <cell r="X453">
            <v>0</v>
          </cell>
          <cell r="Y453">
            <v>8.2500000000000004E-2</v>
          </cell>
          <cell r="Z453">
            <v>986000</v>
          </cell>
          <cell r="AA453">
            <v>0.41250000000000003</v>
          </cell>
          <cell r="AB453">
            <v>23236200</v>
          </cell>
          <cell r="AC453">
            <v>41.25</v>
          </cell>
          <cell r="AD453">
            <v>34.810473613720326</v>
          </cell>
        </row>
        <row r="454">
          <cell r="C454">
            <v>1</v>
          </cell>
          <cell r="D454" t="str">
            <v>01</v>
          </cell>
          <cell r="E454">
            <v>1</v>
          </cell>
          <cell r="F454" t="str">
            <v>01</v>
          </cell>
          <cell r="G454" t="str">
            <v>09</v>
          </cell>
          <cell r="I454" t="str">
            <v>Penyediaan jasa perbaikan peralatan kerja</v>
          </cell>
          <cell r="J454" t="str">
            <v>Persentase pelayanan jasa perbaikan peralatan kerja.</v>
          </cell>
          <cell r="K454">
            <v>1</v>
          </cell>
          <cell r="L454">
            <v>186895800</v>
          </cell>
          <cell r="M454">
            <v>0.33</v>
          </cell>
          <cell r="N454">
            <v>75449300</v>
          </cell>
          <cell r="O454">
            <v>0.17</v>
          </cell>
          <cell r="P454">
            <v>12100000</v>
          </cell>
          <cell r="Q454">
            <v>4.2500000000000003E-2</v>
          </cell>
          <cell r="R454">
            <v>50000</v>
          </cell>
          <cell r="S454">
            <v>0.04</v>
          </cell>
          <cell r="T454">
            <v>4595000</v>
          </cell>
          <cell r="U454">
            <v>0</v>
          </cell>
          <cell r="V454">
            <v>0</v>
          </cell>
          <cell r="W454">
            <v>0</v>
          </cell>
          <cell r="X454">
            <v>0</v>
          </cell>
          <cell r="Y454">
            <v>8.2500000000000004E-2</v>
          </cell>
          <cell r="Z454">
            <v>4645000</v>
          </cell>
          <cell r="AA454">
            <v>0.41250000000000003</v>
          </cell>
          <cell r="AB454">
            <v>80094300</v>
          </cell>
          <cell r="AC454">
            <v>41.25</v>
          </cell>
          <cell r="AD454">
            <v>42.855056132882602</v>
          </cell>
        </row>
        <row r="455">
          <cell r="C455">
            <v>1</v>
          </cell>
          <cell r="D455" t="str">
            <v>01</v>
          </cell>
          <cell r="E455">
            <v>1</v>
          </cell>
          <cell r="F455" t="str">
            <v>01</v>
          </cell>
          <cell r="G455">
            <v>10</v>
          </cell>
          <cell r="I455" t="str">
            <v>Penyediaan Alat Tulis Kantor</v>
          </cell>
          <cell r="J455" t="str">
            <v>Persentase layanan penyediaan alat tulis kantor.</v>
          </cell>
          <cell r="K455">
            <v>1</v>
          </cell>
          <cell r="L455">
            <v>240000000</v>
          </cell>
          <cell r="M455">
            <v>0.33</v>
          </cell>
          <cell r="N455">
            <v>80000000</v>
          </cell>
          <cell r="O455">
            <v>0.17</v>
          </cell>
          <cell r="P455">
            <v>24657056</v>
          </cell>
          <cell r="Q455">
            <v>4.2500000000000003E-2</v>
          </cell>
          <cell r="R455">
            <v>7768114</v>
          </cell>
          <cell r="S455">
            <v>0.04</v>
          </cell>
          <cell r="T455">
            <v>8362880</v>
          </cell>
          <cell r="U455">
            <v>0</v>
          </cell>
          <cell r="V455">
            <v>0</v>
          </cell>
          <cell r="W455">
            <v>0</v>
          </cell>
          <cell r="X455">
            <v>0</v>
          </cell>
          <cell r="Y455">
            <v>8.2500000000000004E-2</v>
          </cell>
          <cell r="Z455">
            <v>16130994</v>
          </cell>
          <cell r="AA455">
            <v>0.41250000000000003</v>
          </cell>
          <cell r="AB455">
            <v>96130994</v>
          </cell>
          <cell r="AC455">
            <v>41.25</v>
          </cell>
          <cell r="AD455">
            <v>40.054580833333333</v>
          </cell>
        </row>
        <row r="456">
          <cell r="C456">
            <v>1</v>
          </cell>
          <cell r="D456" t="str">
            <v>01</v>
          </cell>
          <cell r="E456">
            <v>1</v>
          </cell>
          <cell r="F456" t="str">
            <v>01</v>
          </cell>
          <cell r="G456">
            <v>11</v>
          </cell>
          <cell r="I456" t="str">
            <v>Penyediaan barang cetakan dan penggandaan</v>
          </cell>
          <cell r="J456" t="str">
            <v>Persentase pelayanan penyediaan barang cetakan dan penggandaan.</v>
          </cell>
          <cell r="K456">
            <v>1</v>
          </cell>
          <cell r="L456">
            <v>210000000</v>
          </cell>
          <cell r="M456">
            <v>0.33</v>
          </cell>
          <cell r="N456">
            <v>70000000</v>
          </cell>
          <cell r="O456">
            <v>0.17</v>
          </cell>
          <cell r="P456">
            <v>19810084</v>
          </cell>
          <cell r="Q456">
            <v>4.2500000000000003E-2</v>
          </cell>
          <cell r="R456">
            <v>6106400</v>
          </cell>
          <cell r="S456">
            <v>0.04</v>
          </cell>
          <cell r="T456">
            <v>2607200</v>
          </cell>
          <cell r="U456">
            <v>0</v>
          </cell>
          <cell r="V456">
            <v>0</v>
          </cell>
          <cell r="W456">
            <v>0</v>
          </cell>
          <cell r="X456">
            <v>0</v>
          </cell>
          <cell r="Y456">
            <v>8.2500000000000004E-2</v>
          </cell>
          <cell r="Z456">
            <v>8713600</v>
          </cell>
          <cell r="AA456">
            <v>0.41250000000000003</v>
          </cell>
          <cell r="AB456">
            <v>78713600</v>
          </cell>
          <cell r="AC456">
            <v>41.25</v>
          </cell>
          <cell r="AD456">
            <v>37.482666666666667</v>
          </cell>
        </row>
        <row r="457">
          <cell r="C457">
            <v>1</v>
          </cell>
          <cell r="D457" t="str">
            <v>01</v>
          </cell>
          <cell r="E457">
            <v>1</v>
          </cell>
          <cell r="F457" t="str">
            <v>01</v>
          </cell>
          <cell r="G457">
            <v>12</v>
          </cell>
          <cell r="I457" t="str">
            <v>Penyediaan komponen instalasi listrik/penerangan bangunan kantor</v>
          </cell>
          <cell r="J457" t="str">
            <v>Persentase pelayanan penyediaan komponen instalasi listrik/penerangan bangunan kantor.</v>
          </cell>
          <cell r="K457">
            <v>1</v>
          </cell>
          <cell r="L457">
            <v>60000000</v>
          </cell>
          <cell r="M457">
            <v>0.33</v>
          </cell>
          <cell r="N457">
            <v>19999450</v>
          </cell>
          <cell r="O457">
            <v>0.17</v>
          </cell>
          <cell r="P457">
            <v>3001200</v>
          </cell>
          <cell r="Q457">
            <v>4.2500000000000003E-2</v>
          </cell>
          <cell r="R457">
            <v>0</v>
          </cell>
          <cell r="S457">
            <v>0.04</v>
          </cell>
          <cell r="T457">
            <v>0</v>
          </cell>
          <cell r="U457">
            <v>0</v>
          </cell>
          <cell r="V457">
            <v>0</v>
          </cell>
          <cell r="W457">
            <v>0</v>
          </cell>
          <cell r="X457">
            <v>0</v>
          </cell>
          <cell r="Y457">
            <v>8.2500000000000004E-2</v>
          </cell>
          <cell r="Z457">
            <v>0</v>
          </cell>
          <cell r="AA457">
            <v>0.41250000000000003</v>
          </cell>
          <cell r="AB457">
            <v>19999450</v>
          </cell>
          <cell r="AC457">
            <v>41.25</v>
          </cell>
          <cell r="AD457">
            <v>33.332416666666667</v>
          </cell>
        </row>
        <row r="458">
          <cell r="C458">
            <v>1</v>
          </cell>
          <cell r="D458" t="str">
            <v>01</v>
          </cell>
          <cell r="E458">
            <v>1</v>
          </cell>
          <cell r="F458" t="str">
            <v>01</v>
          </cell>
          <cell r="G458">
            <v>15</v>
          </cell>
          <cell r="I458" t="str">
            <v>Penyediaan bahan bacaan dan peraturan perundang-undangan</v>
          </cell>
          <cell r="J458" t="str">
            <v>Persentase pelayanan penyediaan bahan bacaan</v>
          </cell>
          <cell r="K458">
            <v>1</v>
          </cell>
          <cell r="L458">
            <v>27000000</v>
          </cell>
          <cell r="M458">
            <v>0.33</v>
          </cell>
          <cell r="N458">
            <v>10000000</v>
          </cell>
          <cell r="O458">
            <v>0.17</v>
          </cell>
          <cell r="P458">
            <v>4500000</v>
          </cell>
          <cell r="Q458">
            <v>4.2500000000000003E-2</v>
          </cell>
          <cell r="R458">
            <v>810000</v>
          </cell>
          <cell r="S458">
            <v>0.04</v>
          </cell>
          <cell r="T458">
            <v>300000</v>
          </cell>
          <cell r="U458">
            <v>0</v>
          </cell>
          <cell r="V458">
            <v>0</v>
          </cell>
          <cell r="W458">
            <v>0</v>
          </cell>
          <cell r="X458">
            <v>0</v>
          </cell>
          <cell r="Y458">
            <v>8.2500000000000004E-2</v>
          </cell>
          <cell r="Z458">
            <v>1110000</v>
          </cell>
          <cell r="AA458">
            <v>0.41250000000000003</v>
          </cell>
          <cell r="AB458">
            <v>11110000</v>
          </cell>
          <cell r="AC458">
            <v>41.25</v>
          </cell>
          <cell r="AD458">
            <v>41.148148148148152</v>
          </cell>
        </row>
        <row r="459">
          <cell r="C459">
            <v>1</v>
          </cell>
          <cell r="D459" t="str">
            <v>01</v>
          </cell>
          <cell r="E459">
            <v>1</v>
          </cell>
          <cell r="F459" t="str">
            <v>01</v>
          </cell>
          <cell r="G459">
            <v>17</v>
          </cell>
          <cell r="I459" t="str">
            <v>Penyediaan makanan dan minuman</v>
          </cell>
          <cell r="J459" t="str">
            <v>Persentase pelayanan makanan dan minuman kantor.</v>
          </cell>
          <cell r="K459">
            <v>1</v>
          </cell>
          <cell r="L459">
            <v>70625000</v>
          </cell>
          <cell r="M459">
            <v>0.33</v>
          </cell>
          <cell r="N459">
            <v>23750000</v>
          </cell>
          <cell r="O459">
            <v>0.17</v>
          </cell>
          <cell r="P459">
            <v>5125000</v>
          </cell>
          <cell r="Q459">
            <v>4.2500000000000003E-2</v>
          </cell>
          <cell r="R459">
            <v>797500</v>
          </cell>
          <cell r="S459">
            <v>0.04</v>
          </cell>
          <cell r="T459">
            <v>495000</v>
          </cell>
          <cell r="U459">
            <v>0</v>
          </cell>
          <cell r="V459">
            <v>0</v>
          </cell>
          <cell r="W459">
            <v>0</v>
          </cell>
          <cell r="X459">
            <v>0</v>
          </cell>
          <cell r="Y459">
            <v>8.2500000000000004E-2</v>
          </cell>
          <cell r="Z459">
            <v>1292500</v>
          </cell>
          <cell r="AA459">
            <v>0.41250000000000003</v>
          </cell>
          <cell r="AB459">
            <v>25042500</v>
          </cell>
          <cell r="AC459">
            <v>41.25</v>
          </cell>
          <cell r="AD459">
            <v>35.458407079646022</v>
          </cell>
        </row>
        <row r="460">
          <cell r="C460">
            <v>1</v>
          </cell>
          <cell r="D460" t="str">
            <v>01</v>
          </cell>
          <cell r="E460">
            <v>1</v>
          </cell>
          <cell r="F460" t="str">
            <v>01</v>
          </cell>
          <cell r="G460">
            <v>18</v>
          </cell>
          <cell r="I460" t="str">
            <v>Rapat-rapat kordinasi dan konsultasi ke luar daerah</v>
          </cell>
          <cell r="J460" t="str">
            <v>Persentase pelayanan rapat-rapat koordinasi dan konsultasi ke luar daerah.</v>
          </cell>
          <cell r="K460">
            <v>1</v>
          </cell>
          <cell r="L460">
            <v>1045000000</v>
          </cell>
          <cell r="M460">
            <v>0.33</v>
          </cell>
          <cell r="N460">
            <v>419515000</v>
          </cell>
          <cell r="O460">
            <v>0.17</v>
          </cell>
          <cell r="P460">
            <v>82921035</v>
          </cell>
          <cell r="Q460">
            <v>4.2500000000000003E-2</v>
          </cell>
          <cell r="R460">
            <v>45655150</v>
          </cell>
          <cell r="S460">
            <v>0.04</v>
          </cell>
          <cell r="T460">
            <v>8625000</v>
          </cell>
          <cell r="U460">
            <v>0</v>
          </cell>
          <cell r="V460">
            <v>0</v>
          </cell>
          <cell r="W460">
            <v>0</v>
          </cell>
          <cell r="X460">
            <v>0</v>
          </cell>
          <cell r="Y460">
            <v>8.2500000000000004E-2</v>
          </cell>
          <cell r="Z460">
            <v>54280150</v>
          </cell>
          <cell r="AA460">
            <v>0.41250000000000003</v>
          </cell>
          <cell r="AB460">
            <v>473795150</v>
          </cell>
          <cell r="AC460">
            <v>41.25</v>
          </cell>
          <cell r="AD460">
            <v>45.339248803827751</v>
          </cell>
        </row>
        <row r="461">
          <cell r="C461">
            <v>1</v>
          </cell>
          <cell r="D461" t="str">
            <v>01</v>
          </cell>
          <cell r="E461">
            <v>1</v>
          </cell>
          <cell r="F461" t="str">
            <v>01</v>
          </cell>
          <cell r="G461">
            <v>20</v>
          </cell>
          <cell r="I461" t="str">
            <v>Rapat-rapat Koordinasi dan Konsultasi Dalam Daerah</v>
          </cell>
          <cell r="J461" t="str">
            <v>Persentasen rapat-rapat koordinasi dan konsultasi dalam daerah.</v>
          </cell>
          <cell r="K461">
            <v>1</v>
          </cell>
          <cell r="L461">
            <v>369500000</v>
          </cell>
          <cell r="M461">
            <v>0.33</v>
          </cell>
          <cell r="N461">
            <v>135425000</v>
          </cell>
          <cell r="O461">
            <v>0.17</v>
          </cell>
          <cell r="P461">
            <v>41200000</v>
          </cell>
          <cell r="Q461">
            <v>4.2500000000000003E-2</v>
          </cell>
          <cell r="R461">
            <v>9925000</v>
          </cell>
          <cell r="S461">
            <v>0.04</v>
          </cell>
          <cell r="T461">
            <v>7910000</v>
          </cell>
          <cell r="U461">
            <v>0</v>
          </cell>
          <cell r="V461">
            <v>0</v>
          </cell>
          <cell r="W461">
            <v>0</v>
          </cell>
          <cell r="X461">
            <v>0</v>
          </cell>
          <cell r="Y461">
            <v>8.2500000000000004E-2</v>
          </cell>
          <cell r="Z461">
            <v>17835000</v>
          </cell>
          <cell r="AA461">
            <v>0.41250000000000003</v>
          </cell>
          <cell r="AB461">
            <v>153260000</v>
          </cell>
          <cell r="AC461">
            <v>41.25</v>
          </cell>
          <cell r="AD461">
            <v>41.477672530446554</v>
          </cell>
        </row>
        <row r="462">
          <cell r="A462">
            <v>8</v>
          </cell>
          <cell r="C462">
            <v>1</v>
          </cell>
          <cell r="D462" t="str">
            <v>01</v>
          </cell>
          <cell r="E462">
            <v>1</v>
          </cell>
          <cell r="F462" t="str">
            <v>02</v>
          </cell>
          <cell r="I462" t="str">
            <v>Program Peningkatan Sarana dan Prasarana Aparatur</v>
          </cell>
          <cell r="J462" t="str">
            <v>Tersedianya sarana dan prasarana aparatur.</v>
          </cell>
          <cell r="K462">
            <v>1</v>
          </cell>
          <cell r="L462">
            <v>952711140</v>
          </cell>
          <cell r="M462">
            <v>0.33</v>
          </cell>
          <cell r="N462">
            <v>379016630</v>
          </cell>
          <cell r="O462">
            <v>0.17</v>
          </cell>
          <cell r="P462">
            <v>113749881</v>
          </cell>
          <cell r="Q462">
            <v>0.04</v>
          </cell>
          <cell r="R462">
            <v>13842450</v>
          </cell>
          <cell r="S462">
            <v>0.04</v>
          </cell>
          <cell r="T462">
            <v>22535381</v>
          </cell>
          <cell r="U462">
            <v>0</v>
          </cell>
          <cell r="V462">
            <v>0</v>
          </cell>
          <cell r="W462">
            <v>0</v>
          </cell>
          <cell r="X462">
            <v>0</v>
          </cell>
          <cell r="Y462">
            <v>0.08</v>
          </cell>
          <cell r="Z462">
            <v>36377831</v>
          </cell>
          <cell r="AA462">
            <v>0.41000000000000003</v>
          </cell>
          <cell r="AB462">
            <v>415394461</v>
          </cell>
          <cell r="AC462">
            <v>41</v>
          </cell>
          <cell r="AD462">
            <v>43.601301964412841</v>
          </cell>
          <cell r="AE462" t="str">
            <v>BPBD</v>
          </cell>
        </row>
        <row r="463">
          <cell r="C463">
            <v>1</v>
          </cell>
          <cell r="D463" t="str">
            <v>01</v>
          </cell>
          <cell r="E463">
            <v>1</v>
          </cell>
          <cell r="F463" t="str">
            <v>02</v>
          </cell>
          <cell r="G463">
            <v>24</v>
          </cell>
          <cell r="I463" t="str">
            <v>Pemeliharaan rutin/berkala kendaraan dinas/operasional</v>
          </cell>
          <cell r="J463" t="str">
            <v>Jumlah kendaraan roda enam,roda empat dan roda dua dalam pemeliharaan berkala.</v>
          </cell>
          <cell r="K463">
            <v>1</v>
          </cell>
          <cell r="L463">
            <v>952711140</v>
          </cell>
          <cell r="M463">
            <v>0.33</v>
          </cell>
          <cell r="N463">
            <v>379016630</v>
          </cell>
          <cell r="O463">
            <v>0.17</v>
          </cell>
          <cell r="P463">
            <v>113749881</v>
          </cell>
          <cell r="Q463">
            <v>0.04</v>
          </cell>
          <cell r="R463">
            <v>13842450</v>
          </cell>
          <cell r="S463">
            <v>0.04</v>
          </cell>
          <cell r="T463">
            <v>22535381</v>
          </cell>
          <cell r="U463">
            <v>0</v>
          </cell>
          <cell r="V463">
            <v>0</v>
          </cell>
          <cell r="W463">
            <v>0</v>
          </cell>
          <cell r="X463">
            <v>0</v>
          </cell>
          <cell r="Y463">
            <v>0.08</v>
          </cell>
          <cell r="Z463">
            <v>36377831</v>
          </cell>
          <cell r="AA463">
            <v>0.41000000000000003</v>
          </cell>
          <cell r="AB463">
            <v>415394461</v>
          </cell>
          <cell r="AC463">
            <v>41</v>
          </cell>
          <cell r="AD463">
            <v>43.601301964412841</v>
          </cell>
          <cell r="AE463" t="str">
            <v>BPBD</v>
          </cell>
        </row>
        <row r="464">
          <cell r="A464" t="str">
            <v>Rata-Rata Capaian Kinerja</v>
          </cell>
          <cell r="AC464">
            <v>56.998613796486687</v>
          </cell>
          <cell r="AD464">
            <v>34.910972616149635</v>
          </cell>
        </row>
        <row r="465">
          <cell r="A465" t="str">
            <v>Peringkat  Kinerja</v>
          </cell>
          <cell r="AC465" t="str">
            <v>R</v>
          </cell>
          <cell r="AD465" t="str">
            <v>SR</v>
          </cell>
        </row>
        <row r="467">
          <cell r="A467" t="str">
            <v>DINAS SATUAN POLISI PAMONG PRAJA</v>
          </cell>
          <cell r="L467">
            <v>33661597592</v>
          </cell>
          <cell r="N467">
            <v>5890009690</v>
          </cell>
          <cell r="P467">
            <v>3813014741</v>
          </cell>
          <cell r="R467">
            <v>149228620</v>
          </cell>
          <cell r="T467">
            <v>1812820631</v>
          </cell>
          <cell r="Z467">
            <v>1962049251</v>
          </cell>
          <cell r="AB467">
            <v>7852058941</v>
          </cell>
        </row>
        <row r="468">
          <cell r="A468">
            <v>1</v>
          </cell>
          <cell r="I468" t="str">
            <v>Program Pelayanan Administrasi perkantoran</v>
          </cell>
          <cell r="J468" t="str">
            <v>terlaksananya Pelayanan Administrasi perkantoran (bln)</v>
          </cell>
          <cell r="K468">
            <v>60</v>
          </cell>
          <cell r="L468">
            <v>8699932520</v>
          </cell>
          <cell r="M468">
            <v>12</v>
          </cell>
          <cell r="N468">
            <v>2135115798</v>
          </cell>
          <cell r="O468">
            <v>12</v>
          </cell>
          <cell r="P468">
            <v>1320516329</v>
          </cell>
          <cell r="Q468">
            <v>3</v>
          </cell>
          <cell r="R468">
            <v>46337692</v>
          </cell>
          <cell r="S468">
            <v>3</v>
          </cell>
          <cell r="T468">
            <v>585883753</v>
          </cell>
          <cell r="Y468">
            <v>6</v>
          </cell>
          <cell r="Z468">
            <v>632221445</v>
          </cell>
          <cell r="AA468">
            <v>18</v>
          </cell>
          <cell r="AB468">
            <v>2767337243</v>
          </cell>
          <cell r="AC468">
            <v>30</v>
          </cell>
          <cell r="AD468">
            <v>31.808720776146892</v>
          </cell>
          <cell r="AE468" t="str">
            <v>Satpol PP dan Damkar</v>
          </cell>
        </row>
        <row r="469">
          <cell r="I469" t="str">
            <v>Penyediaan jasa komunikasi, sumber daya air dan listrik</v>
          </cell>
          <cell r="J469" t="str">
            <v>Rek. Listrik, Telp, air untk (bln)</v>
          </cell>
          <cell r="K469">
            <v>60</v>
          </cell>
          <cell r="L469">
            <v>445460000</v>
          </cell>
          <cell r="M469">
            <v>12</v>
          </cell>
          <cell r="N469">
            <v>98333134</v>
          </cell>
          <cell r="O469">
            <v>12</v>
          </cell>
          <cell r="P469">
            <v>89400000</v>
          </cell>
          <cell r="Q469">
            <v>3</v>
          </cell>
          <cell r="R469">
            <v>8631482</v>
          </cell>
          <cell r="S469">
            <v>3</v>
          </cell>
          <cell r="T469">
            <v>26640531</v>
          </cell>
          <cell r="Y469">
            <v>6</v>
          </cell>
          <cell r="Z469">
            <v>35272013</v>
          </cell>
          <cell r="AA469">
            <v>18</v>
          </cell>
          <cell r="AB469">
            <v>133605147</v>
          </cell>
          <cell r="AC469">
            <v>30</v>
          </cell>
          <cell r="AD469">
            <v>29.99262492704171</v>
          </cell>
        </row>
        <row r="470">
          <cell r="I470" t="str">
            <v>Penyediaan jasa administrasi keuangan</v>
          </cell>
          <cell r="J470" t="str">
            <v>Penatausahaan Keuangan bln)</v>
          </cell>
          <cell r="K470">
            <v>60</v>
          </cell>
          <cell r="L470">
            <v>269000000</v>
          </cell>
          <cell r="M470">
            <v>12</v>
          </cell>
          <cell r="N470">
            <v>69850000</v>
          </cell>
          <cell r="O470">
            <v>12</v>
          </cell>
          <cell r="P470">
            <v>53100000</v>
          </cell>
          <cell r="Q470">
            <v>3</v>
          </cell>
          <cell r="R470">
            <v>0</v>
          </cell>
          <cell r="S470">
            <v>3</v>
          </cell>
          <cell r="T470">
            <v>25500000</v>
          </cell>
          <cell r="Y470">
            <v>6</v>
          </cell>
          <cell r="Z470">
            <v>25500000</v>
          </cell>
          <cell r="AA470">
            <v>18</v>
          </cell>
          <cell r="AB470">
            <v>95350000</v>
          </cell>
          <cell r="AC470">
            <v>30</v>
          </cell>
          <cell r="AD470">
            <v>35.446096654275095</v>
          </cell>
        </row>
        <row r="471">
          <cell r="I471" t="str">
            <v>Penyediaan jasa kebersihan kantor</v>
          </cell>
          <cell r="J471" t="str">
            <v>tersedianya kebersihan kantor (bln)</v>
          </cell>
          <cell r="K471">
            <v>60</v>
          </cell>
          <cell r="L471">
            <v>292040600</v>
          </cell>
          <cell r="M471">
            <v>12</v>
          </cell>
          <cell r="N471">
            <v>54574400</v>
          </cell>
          <cell r="O471">
            <v>12</v>
          </cell>
          <cell r="P471">
            <v>60282600</v>
          </cell>
          <cell r="Q471">
            <v>3</v>
          </cell>
          <cell r="R471">
            <v>8000000</v>
          </cell>
          <cell r="S471">
            <v>3</v>
          </cell>
          <cell r="T471">
            <v>24000000</v>
          </cell>
          <cell r="Y471">
            <v>6</v>
          </cell>
          <cell r="Z471">
            <v>32000000</v>
          </cell>
          <cell r="AA471">
            <v>18</v>
          </cell>
          <cell r="AB471">
            <v>86574400</v>
          </cell>
          <cell r="AC471">
            <v>30</v>
          </cell>
          <cell r="AD471">
            <v>29.644645299317972</v>
          </cell>
        </row>
        <row r="472">
          <cell r="I472" t="str">
            <v>Penyediaan jasa perbaikan peralatan kerja</v>
          </cell>
          <cell r="J472" t="str">
            <v>tersediannya jasa service peralatan (bln)</v>
          </cell>
          <cell r="K472">
            <v>60</v>
          </cell>
          <cell r="L472">
            <v>63950000</v>
          </cell>
          <cell r="M472">
            <v>12</v>
          </cell>
          <cell r="N472">
            <v>15550000</v>
          </cell>
          <cell r="O472">
            <v>12</v>
          </cell>
          <cell r="P472">
            <v>5500000</v>
          </cell>
          <cell r="Q472">
            <v>3</v>
          </cell>
          <cell r="R472">
            <v>665000</v>
          </cell>
          <cell r="S472">
            <v>3</v>
          </cell>
          <cell r="T472">
            <v>665000</v>
          </cell>
          <cell r="Y472">
            <v>6</v>
          </cell>
          <cell r="Z472">
            <v>1330000</v>
          </cell>
          <cell r="AA472">
            <v>18</v>
          </cell>
          <cell r="AB472">
            <v>16880000</v>
          </cell>
          <cell r="AC472">
            <v>30</v>
          </cell>
          <cell r="AD472">
            <v>26.395621579358874</v>
          </cell>
        </row>
        <row r="473">
          <cell r="I473" t="str">
            <v>Penyediaan Alat Tulis Kantor</v>
          </cell>
          <cell r="J473" t="str">
            <v>tersedianya alat tulis kantor (bln)</v>
          </cell>
          <cell r="K473">
            <v>60</v>
          </cell>
          <cell r="L473">
            <v>168466123</v>
          </cell>
          <cell r="M473">
            <v>12</v>
          </cell>
          <cell r="N473">
            <v>45221625</v>
          </cell>
          <cell r="O473">
            <v>12</v>
          </cell>
          <cell r="P473">
            <v>27281498</v>
          </cell>
          <cell r="Q473">
            <v>3</v>
          </cell>
          <cell r="R473">
            <v>2524000</v>
          </cell>
          <cell r="S473">
            <v>3</v>
          </cell>
          <cell r="T473">
            <v>5191500</v>
          </cell>
          <cell r="Y473">
            <v>6</v>
          </cell>
          <cell r="Z473">
            <v>7715500</v>
          </cell>
          <cell r="AA473">
            <v>18</v>
          </cell>
          <cell r="AB473">
            <v>52937125</v>
          </cell>
          <cell r="AC473">
            <v>30</v>
          </cell>
          <cell r="AD473">
            <v>31.423009004605635</v>
          </cell>
        </row>
        <row r="474">
          <cell r="I474" t="str">
            <v>Penyediaan barang cetakan dan penggandaan</v>
          </cell>
          <cell r="J474" t="str">
            <v>tersedianya barang cetakan dan pengadaan (bln)</v>
          </cell>
          <cell r="K474">
            <v>60</v>
          </cell>
          <cell r="L474">
            <v>239109217</v>
          </cell>
          <cell r="M474">
            <v>12</v>
          </cell>
          <cell r="N474">
            <v>67249240</v>
          </cell>
          <cell r="O474">
            <v>12</v>
          </cell>
          <cell r="P474">
            <v>21600112</v>
          </cell>
          <cell r="Q474">
            <v>3</v>
          </cell>
          <cell r="R474">
            <v>3765000</v>
          </cell>
          <cell r="S474">
            <v>3</v>
          </cell>
          <cell r="T474">
            <v>5830000</v>
          </cell>
          <cell r="Y474">
            <v>6</v>
          </cell>
          <cell r="Z474">
            <v>9595000</v>
          </cell>
          <cell r="AA474">
            <v>18</v>
          </cell>
          <cell r="AB474">
            <v>76844240</v>
          </cell>
          <cell r="AC474">
            <v>30</v>
          </cell>
          <cell r="AD474">
            <v>32.13771554444093</v>
          </cell>
        </row>
        <row r="475">
          <cell r="I475" t="str">
            <v>Penyediaan komponen instalasi listrik/penerangan bangunan kantor</v>
          </cell>
          <cell r="J475" t="str">
            <v>tersedianya alat listrik dan elektronik (bln)</v>
          </cell>
          <cell r="K475">
            <v>60</v>
          </cell>
          <cell r="L475">
            <v>96999000</v>
          </cell>
          <cell r="M475">
            <v>12</v>
          </cell>
          <cell r="N475">
            <v>16436200</v>
          </cell>
          <cell r="O475">
            <v>12</v>
          </cell>
          <cell r="P475">
            <v>15957000</v>
          </cell>
          <cell r="Q475">
            <v>3</v>
          </cell>
          <cell r="R475">
            <v>0</v>
          </cell>
          <cell r="S475">
            <v>3</v>
          </cell>
          <cell r="T475">
            <v>3556000</v>
          </cell>
          <cell r="Y475">
            <v>6</v>
          </cell>
          <cell r="Z475">
            <v>3556000</v>
          </cell>
          <cell r="AA475">
            <v>18</v>
          </cell>
          <cell r="AB475">
            <v>19992200</v>
          </cell>
          <cell r="AC475">
            <v>30</v>
          </cell>
          <cell r="AD475">
            <v>20.610727945648925</v>
          </cell>
        </row>
        <row r="476">
          <cell r="I476" t="str">
            <v>Penyediaan bahan bacaan dan peraturan perundang-undangan</v>
          </cell>
          <cell r="J476" t="str">
            <v>tersedia surat kabar untuk (bln)</v>
          </cell>
          <cell r="K476">
            <v>60</v>
          </cell>
          <cell r="L476">
            <v>77200500</v>
          </cell>
          <cell r="M476">
            <v>12</v>
          </cell>
          <cell r="N476">
            <v>21040000</v>
          </cell>
          <cell r="O476">
            <v>12</v>
          </cell>
          <cell r="P476">
            <v>14680000</v>
          </cell>
          <cell r="Q476">
            <v>3</v>
          </cell>
          <cell r="R476">
            <v>1675000</v>
          </cell>
          <cell r="S476">
            <v>3</v>
          </cell>
          <cell r="T476">
            <v>2440000</v>
          </cell>
          <cell r="Y476">
            <v>6</v>
          </cell>
          <cell r="Z476">
            <v>4115000</v>
          </cell>
          <cell r="AA476">
            <v>18</v>
          </cell>
          <cell r="AB476">
            <v>25155000</v>
          </cell>
          <cell r="AC476">
            <v>30</v>
          </cell>
          <cell r="AD476">
            <v>32.583985855013893</v>
          </cell>
        </row>
        <row r="477">
          <cell r="I477" t="str">
            <v>Penyediaan makanan dan minuman</v>
          </cell>
          <cell r="J477" t="str">
            <v>makanan dan minuman harian, rapat, tamu  (bln)</v>
          </cell>
          <cell r="K477">
            <v>60</v>
          </cell>
          <cell r="L477">
            <v>196050000</v>
          </cell>
          <cell r="M477">
            <v>12</v>
          </cell>
          <cell r="N477">
            <v>52682500</v>
          </cell>
          <cell r="O477">
            <v>12</v>
          </cell>
          <cell r="P477">
            <v>75300000</v>
          </cell>
          <cell r="Q477">
            <v>3</v>
          </cell>
          <cell r="R477">
            <v>825000</v>
          </cell>
          <cell r="S477">
            <v>3</v>
          </cell>
          <cell r="T477">
            <v>4032500</v>
          </cell>
          <cell r="Y477">
            <v>6</v>
          </cell>
          <cell r="Z477">
            <v>4857500</v>
          </cell>
          <cell r="AA477">
            <v>18</v>
          </cell>
          <cell r="AB477">
            <v>57540000</v>
          </cell>
          <cell r="AC477">
            <v>30</v>
          </cell>
          <cell r="AD477">
            <v>29.349655700076511</v>
          </cell>
        </row>
        <row r="478">
          <cell r="I478" t="str">
            <v>Rapat-rapat kordinasi dan konsultasi ke luar daerah</v>
          </cell>
          <cell r="J478" t="str">
            <v>perjalanan dinas luar daerah ( bln)</v>
          </cell>
          <cell r="K478">
            <v>60</v>
          </cell>
          <cell r="L478">
            <v>996607000</v>
          </cell>
          <cell r="M478">
            <v>12</v>
          </cell>
          <cell r="N478">
            <v>231448299</v>
          </cell>
          <cell r="O478">
            <v>12</v>
          </cell>
          <cell r="P478">
            <v>89375000</v>
          </cell>
          <cell r="Q478">
            <v>3</v>
          </cell>
          <cell r="R478">
            <v>7550000</v>
          </cell>
          <cell r="S478">
            <v>3</v>
          </cell>
          <cell r="T478">
            <v>70279712</v>
          </cell>
          <cell r="Y478">
            <v>6</v>
          </cell>
          <cell r="Z478">
            <v>77829712</v>
          </cell>
          <cell r="AA478">
            <v>18</v>
          </cell>
          <cell r="AB478">
            <v>309278011</v>
          </cell>
          <cell r="AC478">
            <v>30</v>
          </cell>
          <cell r="AD478">
            <v>31.033096396071873</v>
          </cell>
        </row>
        <row r="479">
          <cell r="I479" t="str">
            <v>Penyediaan Jasa Pengamanan Kantor</v>
          </cell>
          <cell r="J479" t="str">
            <v>Honorarium, makan petugas piket (bln)</v>
          </cell>
          <cell r="K479">
            <v>60</v>
          </cell>
          <cell r="L479">
            <v>4678750000</v>
          </cell>
          <cell r="M479">
            <v>12</v>
          </cell>
          <cell r="N479">
            <v>1203290400</v>
          </cell>
          <cell r="O479">
            <v>12</v>
          </cell>
          <cell r="P479">
            <v>816390119</v>
          </cell>
          <cell r="Q479">
            <v>3</v>
          </cell>
          <cell r="R479">
            <v>6377210</v>
          </cell>
          <cell r="S479">
            <v>3</v>
          </cell>
          <cell r="T479">
            <v>389748510</v>
          </cell>
          <cell r="Y479">
            <v>6</v>
          </cell>
          <cell r="Z479">
            <v>396125720</v>
          </cell>
          <cell r="AA479">
            <v>18</v>
          </cell>
          <cell r="AB479">
            <v>1599416120</v>
          </cell>
          <cell r="AC479">
            <v>30</v>
          </cell>
          <cell r="AD479">
            <v>34.184688645471546</v>
          </cell>
        </row>
        <row r="480">
          <cell r="I480" t="str">
            <v>Rapat-rapat Koordinasi dan Konsultasi Dalam Daerah</v>
          </cell>
          <cell r="J480" t="str">
            <v>perjalanan dinas dalam daerah  (bln)</v>
          </cell>
          <cell r="K480">
            <v>60</v>
          </cell>
          <cell r="L480">
            <v>1176300080</v>
          </cell>
          <cell r="M480">
            <v>12</v>
          </cell>
          <cell r="N480">
            <v>259440000</v>
          </cell>
          <cell r="O480">
            <v>12</v>
          </cell>
          <cell r="P480">
            <v>51650000</v>
          </cell>
          <cell r="Q480">
            <v>3</v>
          </cell>
          <cell r="R480">
            <v>6325000</v>
          </cell>
          <cell r="S480">
            <v>3</v>
          </cell>
          <cell r="T480">
            <v>28000000</v>
          </cell>
          <cell r="Y480">
            <v>6</v>
          </cell>
          <cell r="Z480">
            <v>34325000</v>
          </cell>
          <cell r="AA480">
            <v>18</v>
          </cell>
          <cell r="AB480">
            <v>293765000</v>
          </cell>
          <cell r="AC480">
            <v>30</v>
          </cell>
          <cell r="AD480">
            <v>24.973644480241809</v>
          </cell>
        </row>
        <row r="481">
          <cell r="A481">
            <v>2</v>
          </cell>
          <cell r="I481" t="str">
            <v>Program Peningkatan Sarana dan Prasarana Aparatur</v>
          </cell>
          <cell r="J481" t="str">
            <v>Tersedianya sarana dan prasarana aparatur (bln)</v>
          </cell>
          <cell r="K481">
            <v>60</v>
          </cell>
          <cell r="L481">
            <v>2528592810</v>
          </cell>
          <cell r="M481">
            <v>12</v>
          </cell>
          <cell r="N481">
            <v>645883307</v>
          </cell>
          <cell r="O481">
            <v>12</v>
          </cell>
          <cell r="P481">
            <v>324200000</v>
          </cell>
          <cell r="Q481">
            <v>3</v>
          </cell>
          <cell r="R481">
            <v>15160175</v>
          </cell>
          <cell r="S481">
            <v>3</v>
          </cell>
          <cell r="T481">
            <v>123231125</v>
          </cell>
          <cell r="Y481">
            <v>6</v>
          </cell>
          <cell r="Z481">
            <v>138391300</v>
          </cell>
          <cell r="AA481">
            <v>18</v>
          </cell>
          <cell r="AB481">
            <v>784274607</v>
          </cell>
          <cell r="AC481">
            <v>30</v>
          </cell>
          <cell r="AD481">
            <v>31.016247610068937</v>
          </cell>
          <cell r="AE481" t="str">
            <v>Satpol PP dan Damkar</v>
          </cell>
        </row>
        <row r="482">
          <cell r="I482" t="str">
            <v>Pengadaan Peralatan Gedung Kantor</v>
          </cell>
          <cell r="J482" t="str">
            <v>Tersedianya peralatan kantor yang layak (bln)</v>
          </cell>
          <cell r="K482">
            <v>60</v>
          </cell>
          <cell r="L482">
            <v>667797830</v>
          </cell>
          <cell r="M482">
            <v>12</v>
          </cell>
          <cell r="N482">
            <v>165921000</v>
          </cell>
          <cell r="O482">
            <v>12</v>
          </cell>
          <cell r="P482">
            <v>60600000</v>
          </cell>
          <cell r="Q482">
            <v>3</v>
          </cell>
          <cell r="R482">
            <v>0</v>
          </cell>
          <cell r="S482">
            <v>3</v>
          </cell>
          <cell r="T482">
            <v>12450000</v>
          </cell>
          <cell r="Y482">
            <v>6</v>
          </cell>
          <cell r="Z482">
            <v>12450000</v>
          </cell>
          <cell r="AA482">
            <v>18</v>
          </cell>
          <cell r="AB482">
            <v>178371000</v>
          </cell>
          <cell r="AC482">
            <v>30</v>
          </cell>
          <cell r="AD482">
            <v>26.71032938217245</v>
          </cell>
        </row>
        <row r="483">
          <cell r="I483" t="str">
            <v>Pemeliharaan rutin/ berkala gedung kantor</v>
          </cell>
          <cell r="J483" t="str">
            <v>Terpeliharanya gedung kantor (bln)</v>
          </cell>
          <cell r="K483">
            <v>60</v>
          </cell>
          <cell r="L483">
            <v>435213830</v>
          </cell>
          <cell r="M483">
            <v>12</v>
          </cell>
          <cell r="N483">
            <v>115831000</v>
          </cell>
          <cell r="O483">
            <v>12</v>
          </cell>
          <cell r="P483">
            <v>39200000</v>
          </cell>
          <cell r="Q483">
            <v>3</v>
          </cell>
          <cell r="R483">
            <v>0</v>
          </cell>
          <cell r="S483">
            <v>3</v>
          </cell>
          <cell r="T483">
            <v>35137000</v>
          </cell>
          <cell r="Y483">
            <v>6</v>
          </cell>
          <cell r="Z483">
            <v>35137000</v>
          </cell>
          <cell r="AA483">
            <v>18</v>
          </cell>
          <cell r="AB483">
            <v>150968000</v>
          </cell>
          <cell r="AC483">
            <v>30</v>
          </cell>
          <cell r="AD483">
            <v>34.688235895444777</v>
          </cell>
        </row>
        <row r="484">
          <cell r="I484" t="str">
            <v>Pemeliharaan rutin/ berkala kendaraan dinas operasional</v>
          </cell>
          <cell r="J484" t="str">
            <v>terpeliharanya kendaraan dinas/ operasional (bln)</v>
          </cell>
          <cell r="K484">
            <v>60</v>
          </cell>
          <cell r="L484">
            <v>1425581150</v>
          </cell>
          <cell r="M484">
            <v>12</v>
          </cell>
          <cell r="N484">
            <v>364131307</v>
          </cell>
          <cell r="O484">
            <v>12</v>
          </cell>
          <cell r="P484">
            <v>224400000</v>
          </cell>
          <cell r="Q484">
            <v>3</v>
          </cell>
          <cell r="R484">
            <v>15160175</v>
          </cell>
          <cell r="S484">
            <v>3</v>
          </cell>
          <cell r="T484">
            <v>75644125</v>
          </cell>
          <cell r="Y484">
            <v>6</v>
          </cell>
          <cell r="Z484">
            <v>90804300</v>
          </cell>
          <cell r="AA484">
            <v>18</v>
          </cell>
          <cell r="AB484">
            <v>454935607</v>
          </cell>
          <cell r="AC484">
            <v>30</v>
          </cell>
          <cell r="AD484">
            <v>31.912291138249127</v>
          </cell>
        </row>
        <row r="485">
          <cell r="A485">
            <v>3</v>
          </cell>
          <cell r="I485" t="str">
            <v>Program Peningkatan Disiplin Paratur</v>
          </cell>
          <cell r="J485" t="str">
            <v>Persentase SDM yang disiplin</v>
          </cell>
          <cell r="K485">
            <v>1</v>
          </cell>
          <cell r="L485">
            <v>1893619600</v>
          </cell>
          <cell r="M485">
            <v>0.2</v>
          </cell>
          <cell r="N485">
            <v>87069600</v>
          </cell>
          <cell r="O485">
            <v>0.2</v>
          </cell>
          <cell r="P485">
            <v>350045053</v>
          </cell>
          <cell r="Q485">
            <v>0</v>
          </cell>
          <cell r="R485">
            <v>0</v>
          </cell>
          <cell r="Y485">
            <v>0</v>
          </cell>
          <cell r="Z485">
            <v>0</v>
          </cell>
          <cell r="AA485">
            <v>0.2</v>
          </cell>
          <cell r="AB485">
            <v>87069600</v>
          </cell>
          <cell r="AC485">
            <v>20</v>
          </cell>
          <cell r="AD485">
            <v>4.5980512664740054</v>
          </cell>
          <cell r="AE485" t="str">
            <v>Satpol PP dan Damkar</v>
          </cell>
        </row>
        <row r="486">
          <cell r="I486" t="str">
            <v>Pengadaan Pakaian Dinas Beseta Perlengkapan</v>
          </cell>
          <cell r="J486" t="str">
            <v>Tersedianya pakaian dinas bagi satpol pp (bln)</v>
          </cell>
          <cell r="K486">
            <v>60</v>
          </cell>
          <cell r="L486">
            <v>1893619600</v>
          </cell>
          <cell r="M486">
            <v>12</v>
          </cell>
          <cell r="N486">
            <v>297029150</v>
          </cell>
          <cell r="O486">
            <v>12</v>
          </cell>
          <cell r="P486">
            <v>350045053</v>
          </cell>
          <cell r="R486">
            <v>0</v>
          </cell>
          <cell r="S486" t="str">
            <v>0</v>
          </cell>
          <cell r="T486" t="str">
            <v>0</v>
          </cell>
          <cell r="Y486">
            <v>0</v>
          </cell>
          <cell r="Z486">
            <v>0</v>
          </cell>
          <cell r="AA486">
            <v>12</v>
          </cell>
          <cell r="AB486">
            <v>297029150</v>
          </cell>
          <cell r="AC486">
            <v>20</v>
          </cell>
          <cell r="AD486">
            <v>15.685787684073402</v>
          </cell>
        </row>
        <row r="487">
          <cell r="A487">
            <v>4</v>
          </cell>
          <cell r="B487" t="str">
            <v>Patroli Kondisifitas ketentraman dan ketertiban umum di wilayah</v>
          </cell>
          <cell r="I487" t="str">
            <v>Program Peningkatan dan kenyamanan lingkungan</v>
          </cell>
          <cell r="J487" t="str">
            <v>Persentase terwujudnya tertib dan amanya lingkungan</v>
          </cell>
          <cell r="K487">
            <v>1</v>
          </cell>
          <cell r="L487">
            <v>2130037170</v>
          </cell>
          <cell r="M487">
            <v>0.2</v>
          </cell>
          <cell r="N487">
            <v>656000000</v>
          </cell>
          <cell r="O487">
            <v>0.2</v>
          </cell>
          <cell r="P487">
            <v>170310424</v>
          </cell>
          <cell r="Q487">
            <v>0.05</v>
          </cell>
          <cell r="R487">
            <v>39817129</v>
          </cell>
          <cell r="S487">
            <v>0.16</v>
          </cell>
          <cell r="T487">
            <v>107999929</v>
          </cell>
          <cell r="Y487">
            <v>0.21000000000000002</v>
          </cell>
          <cell r="Z487">
            <v>147817058</v>
          </cell>
          <cell r="AA487">
            <v>0.41000000000000003</v>
          </cell>
          <cell r="AB487">
            <v>803817058</v>
          </cell>
          <cell r="AC487">
            <v>41</v>
          </cell>
          <cell r="AD487">
            <v>37.73723150568307</v>
          </cell>
          <cell r="AE487" t="str">
            <v>Satpol PP dan Damkar</v>
          </cell>
        </row>
        <row r="488">
          <cell r="I488" t="str">
            <v>Pengendalian Ketentraman dan Ketertiban umum</v>
          </cell>
          <cell r="J488" t="str">
            <v>Persentase Penegakan Perda</v>
          </cell>
          <cell r="K488">
            <v>1</v>
          </cell>
          <cell r="L488">
            <v>2130037170</v>
          </cell>
          <cell r="M488">
            <v>0.2</v>
          </cell>
          <cell r="N488">
            <v>656000000</v>
          </cell>
          <cell r="O488">
            <v>0.2</v>
          </cell>
          <cell r="P488">
            <v>170310424</v>
          </cell>
          <cell r="Q488">
            <v>0.02</v>
          </cell>
          <cell r="R488">
            <v>39817129</v>
          </cell>
          <cell r="S488">
            <v>0.16</v>
          </cell>
          <cell r="T488">
            <v>107999929</v>
          </cell>
          <cell r="Y488">
            <v>0.18</v>
          </cell>
          <cell r="Z488">
            <v>147817058</v>
          </cell>
          <cell r="AA488">
            <v>0.38</v>
          </cell>
          <cell r="AB488">
            <v>803817058</v>
          </cell>
          <cell r="AC488">
            <v>38</v>
          </cell>
          <cell r="AD488">
            <v>37.73723150568307</v>
          </cell>
        </row>
        <row r="489">
          <cell r="A489">
            <v>5</v>
          </cell>
          <cell r="B489" t="str">
            <v>Penegakan Perda dan Perkara</v>
          </cell>
          <cell r="I489" t="str">
            <v xml:space="preserve">Program Pemeliharaan Kantrantibmas dan Pencegahan Tindak Kriminal </v>
          </cell>
          <cell r="J489" t="str">
            <v>Persentase terwujudnya Kantrantibmas dan Berkurang tindak kriminal</v>
          </cell>
          <cell r="K489">
            <v>1</v>
          </cell>
          <cell r="L489">
            <v>4209528436</v>
          </cell>
          <cell r="M489">
            <v>0.2</v>
          </cell>
          <cell r="N489">
            <v>291525835</v>
          </cell>
          <cell r="O489">
            <v>0.2</v>
          </cell>
          <cell r="P489">
            <v>214977585</v>
          </cell>
          <cell r="Q489">
            <v>0.03</v>
          </cell>
          <cell r="R489">
            <v>1981000</v>
          </cell>
          <cell r="S489">
            <v>0.1</v>
          </cell>
          <cell r="T489">
            <v>87970700</v>
          </cell>
          <cell r="Y489">
            <v>0.13</v>
          </cell>
          <cell r="Z489">
            <v>89951700</v>
          </cell>
          <cell r="AA489">
            <v>0.33</v>
          </cell>
          <cell r="AB489">
            <v>381477535</v>
          </cell>
          <cell r="AC489">
            <v>33</v>
          </cell>
          <cell r="AD489">
            <v>9.0622391747634694</v>
          </cell>
          <cell r="AE489" t="str">
            <v>Satpol PP dan Damkar</v>
          </cell>
        </row>
        <row r="490">
          <cell r="I490" t="str">
            <v>Forum Penegak Perda</v>
          </cell>
          <cell r="J490" t="str">
            <v>terlaksanya Koordinasi antara Penegak Perda (bln)</v>
          </cell>
          <cell r="K490">
            <v>60</v>
          </cell>
          <cell r="L490">
            <v>1191722626</v>
          </cell>
          <cell r="M490">
            <v>12</v>
          </cell>
          <cell r="N490">
            <v>77190175</v>
          </cell>
          <cell r="O490">
            <v>12</v>
          </cell>
          <cell r="P490">
            <v>85463781</v>
          </cell>
          <cell r="Q490">
            <v>3</v>
          </cell>
          <cell r="R490">
            <v>1981000</v>
          </cell>
          <cell r="S490">
            <v>3</v>
          </cell>
          <cell r="T490">
            <v>28149000</v>
          </cell>
          <cell r="Y490">
            <v>6</v>
          </cell>
          <cell r="Z490">
            <v>30130000</v>
          </cell>
          <cell r="AA490">
            <v>18</v>
          </cell>
          <cell r="AB490">
            <v>107320175</v>
          </cell>
          <cell r="AC490">
            <v>30</v>
          </cell>
          <cell r="AD490">
            <v>9.0054659245850388</v>
          </cell>
        </row>
        <row r="491">
          <cell r="I491" t="str">
            <v>Operasional PAM Balimau Paga</v>
          </cell>
          <cell r="J491" t="str">
            <v>Terlaksanaya pengamanan  Balimau Paga (keg)</v>
          </cell>
          <cell r="K491">
            <v>5</v>
          </cell>
          <cell r="L491">
            <v>306362250</v>
          </cell>
          <cell r="M491">
            <v>1</v>
          </cell>
          <cell r="N491">
            <v>51824300</v>
          </cell>
          <cell r="O491">
            <v>1</v>
          </cell>
          <cell r="P491">
            <v>22571709</v>
          </cell>
          <cell r="Q491">
            <v>0</v>
          </cell>
          <cell r="R491">
            <v>0</v>
          </cell>
          <cell r="S491">
            <v>1</v>
          </cell>
          <cell r="T491">
            <v>22500000</v>
          </cell>
          <cell r="Y491">
            <v>1</v>
          </cell>
          <cell r="Z491">
            <v>22500000</v>
          </cell>
          <cell r="AA491">
            <v>2</v>
          </cell>
          <cell r="AB491">
            <v>74324300</v>
          </cell>
          <cell r="AC491">
            <v>40</v>
          </cell>
          <cell r="AD491">
            <v>24.260267053137259</v>
          </cell>
        </row>
        <row r="492">
          <cell r="I492" t="str">
            <v>Operasional Pengamanan Festival Langkisau (bln)</v>
          </cell>
          <cell r="J492" t="str">
            <v>Terlaksanaya pengamanan  festival langkisau (keg)</v>
          </cell>
          <cell r="K492">
            <v>5</v>
          </cell>
          <cell r="L492">
            <v>1503226000</v>
          </cell>
          <cell r="M492">
            <v>12</v>
          </cell>
          <cell r="N492">
            <v>54236420</v>
          </cell>
          <cell r="O492">
            <v>12</v>
          </cell>
          <cell r="P492">
            <v>41287149</v>
          </cell>
          <cell r="Q492">
            <v>3</v>
          </cell>
          <cell r="R492">
            <v>0</v>
          </cell>
          <cell r="S492">
            <v>3</v>
          </cell>
          <cell r="T492">
            <v>37321700</v>
          </cell>
          <cell r="Y492">
            <v>6</v>
          </cell>
          <cell r="Z492">
            <v>37321700</v>
          </cell>
          <cell r="AA492">
            <v>18</v>
          </cell>
          <cell r="AB492">
            <v>91558120</v>
          </cell>
          <cell r="AC492">
            <v>360</v>
          </cell>
          <cell r="AD492">
            <v>6.0907754389559514</v>
          </cell>
        </row>
        <row r="493">
          <cell r="I493" t="str">
            <v>Operasional PAM Lebaran</v>
          </cell>
          <cell r="J493" t="str">
            <v>Terlaksanaya pengamanan  lebaran (keg)</v>
          </cell>
          <cell r="K493">
            <v>5</v>
          </cell>
          <cell r="L493">
            <v>1208217560</v>
          </cell>
          <cell r="M493">
            <v>1</v>
          </cell>
          <cell r="N493">
            <v>108274940</v>
          </cell>
          <cell r="O493">
            <v>1</v>
          </cell>
          <cell r="P493">
            <v>65654946</v>
          </cell>
          <cell r="Q493">
            <v>0</v>
          </cell>
          <cell r="R493">
            <v>0</v>
          </cell>
          <cell r="S493" t="str">
            <v>0</v>
          </cell>
          <cell r="T493" t="str">
            <v>0</v>
          </cell>
          <cell r="Y493">
            <v>0</v>
          </cell>
          <cell r="Z493">
            <v>0</v>
          </cell>
          <cell r="AA493">
            <v>1</v>
          </cell>
          <cell r="AB493">
            <v>108274940</v>
          </cell>
          <cell r="AC493">
            <v>20</v>
          </cell>
          <cell r="AD493">
            <v>8.961543316751662</v>
          </cell>
        </row>
        <row r="494">
          <cell r="A494">
            <v>6</v>
          </cell>
          <cell r="B494" t="str">
            <v>Mewujudkan mitigasi kebakaran yang handal, dini dan komprehensif</v>
          </cell>
          <cell r="I494" t="str">
            <v>Program Penanganan Tanggap Darurat</v>
          </cell>
          <cell r="J494" t="str">
            <v>Terlaksanaya respon cepat terhadap tanggap darurat bencana (bln)</v>
          </cell>
          <cell r="K494">
            <v>60</v>
          </cell>
          <cell r="L494">
            <v>14199887056</v>
          </cell>
          <cell r="M494">
            <v>12</v>
          </cell>
          <cell r="N494">
            <v>2074415150</v>
          </cell>
          <cell r="O494">
            <v>12</v>
          </cell>
          <cell r="P494">
            <v>1432965350</v>
          </cell>
          <cell r="Q494">
            <v>3</v>
          </cell>
          <cell r="R494">
            <v>45932624</v>
          </cell>
          <cell r="S494">
            <v>3</v>
          </cell>
          <cell r="T494">
            <v>907735124</v>
          </cell>
          <cell r="Y494">
            <v>6</v>
          </cell>
          <cell r="Z494">
            <v>953667748</v>
          </cell>
          <cell r="AA494">
            <v>18</v>
          </cell>
          <cell r="AB494">
            <v>3028082898</v>
          </cell>
          <cell r="AC494">
            <v>30</v>
          </cell>
          <cell r="AD494">
            <v>21.324697063139798</v>
          </cell>
        </row>
        <row r="495">
          <cell r="I495" t="str">
            <v>Operasional Pemadam Kebakaran</v>
          </cell>
          <cell r="J495" t="str">
            <v>Terbayarnya honorarium satgas damkar (bln)</v>
          </cell>
          <cell r="K495">
            <v>60</v>
          </cell>
          <cell r="L495">
            <v>14199887056</v>
          </cell>
          <cell r="M495">
            <v>12</v>
          </cell>
          <cell r="N495">
            <v>2074415150</v>
          </cell>
          <cell r="O495">
            <v>12</v>
          </cell>
          <cell r="P495">
            <v>1432965350</v>
          </cell>
          <cell r="Q495">
            <v>3</v>
          </cell>
          <cell r="R495">
            <v>45932624</v>
          </cell>
          <cell r="S495">
            <v>3</v>
          </cell>
          <cell r="T495">
            <v>907735124</v>
          </cell>
          <cell r="Y495">
            <v>6</v>
          </cell>
          <cell r="Z495">
            <v>953667748</v>
          </cell>
          <cell r="AA495">
            <v>18</v>
          </cell>
          <cell r="AB495">
            <v>3028082898</v>
          </cell>
          <cell r="AC495">
            <v>30</v>
          </cell>
          <cell r="AD495">
            <v>21.324697063139798</v>
          </cell>
        </row>
        <row r="496">
          <cell r="A496" t="str">
            <v>Rata-Rata Capaian Kinerja</v>
          </cell>
          <cell r="AC496">
            <v>30.666666666666668</v>
          </cell>
          <cell r="AD496">
            <v>22.591197899379363</v>
          </cell>
        </row>
        <row r="497">
          <cell r="A497" t="str">
            <v>Peringkat  Kinerja</v>
          </cell>
          <cell r="AC497" t="str">
            <v>SR</v>
          </cell>
          <cell r="AD497" t="str">
            <v>SR</v>
          </cell>
        </row>
        <row r="498">
          <cell r="A498" t="str">
            <v>VI</v>
          </cell>
          <cell r="I498" t="str">
            <v>URUSAN SOSIAL</v>
          </cell>
          <cell r="L498">
            <v>4217200000</v>
          </cell>
          <cell r="N498">
            <v>2477194346</v>
          </cell>
          <cell r="P498">
            <v>2186942571</v>
          </cell>
          <cell r="R498">
            <v>345864522</v>
          </cell>
          <cell r="T498">
            <v>935968064</v>
          </cell>
          <cell r="Z498">
            <v>1281832586</v>
          </cell>
          <cell r="AB498">
            <v>1281832586</v>
          </cell>
        </row>
        <row r="499">
          <cell r="A499">
            <v>1</v>
          </cell>
          <cell r="I499" t="str">
            <v>Program Pelayanan Administrasi Perkantoran</v>
          </cell>
          <cell r="J499" t="str">
            <v>Terlaksananya Administrasi Perkantoran</v>
          </cell>
          <cell r="K499">
            <v>72</v>
          </cell>
          <cell r="L499">
            <v>662560000</v>
          </cell>
          <cell r="M499">
            <v>24</v>
          </cell>
          <cell r="N499">
            <v>511402856</v>
          </cell>
          <cell r="O499">
            <v>12</v>
          </cell>
          <cell r="P499">
            <v>506187938</v>
          </cell>
          <cell r="Q499">
            <v>3</v>
          </cell>
          <cell r="R499">
            <v>97412982</v>
          </cell>
          <cell r="S499">
            <v>3</v>
          </cell>
          <cell r="T499">
            <v>231810124</v>
          </cell>
          <cell r="Y499">
            <v>6</v>
          </cell>
          <cell r="Z499">
            <v>329223106</v>
          </cell>
          <cell r="AA499">
            <v>6</v>
          </cell>
          <cell r="AB499">
            <v>329223106</v>
          </cell>
          <cell r="AC499">
            <v>8.3333333333333321</v>
          </cell>
          <cell r="AD499">
            <v>49.689553549867185</v>
          </cell>
          <cell r="AE499" t="str">
            <v>Dinas Sosial</v>
          </cell>
        </row>
        <row r="500">
          <cell r="I500" t="str">
            <v>Penyediaan jasa komunikasi, sumber daya air dan listrik</v>
          </cell>
          <cell r="J500" t="str">
            <v>Terpenuhinya kebutuhan terhadap telepon, air dan listrik (bln)</v>
          </cell>
          <cell r="K500">
            <v>72</v>
          </cell>
          <cell r="L500">
            <v>51240000</v>
          </cell>
          <cell r="M500">
            <v>24</v>
          </cell>
          <cell r="N500">
            <v>3589406</v>
          </cell>
          <cell r="O500">
            <v>12</v>
          </cell>
          <cell r="P500">
            <v>29400000</v>
          </cell>
          <cell r="Q500">
            <v>3</v>
          </cell>
          <cell r="R500">
            <v>2412024</v>
          </cell>
          <cell r="S500">
            <v>3</v>
          </cell>
          <cell r="T500">
            <v>7207026</v>
          </cell>
          <cell r="Y500">
            <v>6</v>
          </cell>
          <cell r="Z500">
            <v>9619050</v>
          </cell>
          <cell r="AA500">
            <v>6</v>
          </cell>
          <cell r="AB500">
            <v>9619050</v>
          </cell>
          <cell r="AC500">
            <v>8.3333333333333321</v>
          </cell>
          <cell r="AD500">
            <v>18.772540983606557</v>
          </cell>
        </row>
        <row r="501">
          <cell r="I501" t="str">
            <v>Penyediaan jasa administrasi keuangan</v>
          </cell>
          <cell r="J501" t="str">
            <v>Terpenuhinya jasa administrasi dan laporan keuangan (bln)</v>
          </cell>
          <cell r="K501">
            <v>72</v>
          </cell>
          <cell r="L501">
            <v>65000000</v>
          </cell>
          <cell r="M501">
            <v>24</v>
          </cell>
          <cell r="N501">
            <v>75041200</v>
          </cell>
          <cell r="O501">
            <v>12</v>
          </cell>
          <cell r="P501">
            <v>78019001</v>
          </cell>
          <cell r="Q501">
            <v>3</v>
          </cell>
          <cell r="R501">
            <v>10555000</v>
          </cell>
          <cell r="S501">
            <v>3</v>
          </cell>
          <cell r="T501">
            <v>19595000</v>
          </cell>
          <cell r="Y501">
            <v>6</v>
          </cell>
          <cell r="Z501">
            <v>30150000</v>
          </cell>
          <cell r="AA501">
            <v>6</v>
          </cell>
          <cell r="AB501">
            <v>30150000</v>
          </cell>
          <cell r="AC501">
            <v>8.3333333333333321</v>
          </cell>
          <cell r="AD501">
            <v>46.384615384615387</v>
          </cell>
        </row>
        <row r="502">
          <cell r="I502" t="str">
            <v>Penyediaan jasa kebersihan kantor</v>
          </cell>
          <cell r="J502" t="str">
            <v>Terpenuhnya biaya kebersihan kantor, penjaga kantor, petugas kebersihan, pramu kantor dan sopir (bln)</v>
          </cell>
          <cell r="K502">
            <v>72</v>
          </cell>
          <cell r="L502">
            <v>129000000</v>
          </cell>
          <cell r="M502">
            <v>24</v>
          </cell>
          <cell r="N502">
            <v>101436700</v>
          </cell>
          <cell r="O502">
            <v>12</v>
          </cell>
          <cell r="P502">
            <v>109290941</v>
          </cell>
          <cell r="Q502">
            <v>3</v>
          </cell>
          <cell r="R502">
            <v>34230210</v>
          </cell>
          <cell r="S502">
            <v>3</v>
          </cell>
          <cell r="T502">
            <v>68679210</v>
          </cell>
          <cell r="Y502">
            <v>6</v>
          </cell>
          <cell r="Z502">
            <v>102909420</v>
          </cell>
          <cell r="AA502">
            <v>6</v>
          </cell>
          <cell r="AB502">
            <v>102909420</v>
          </cell>
          <cell r="AC502">
            <v>8.3333333333333321</v>
          </cell>
          <cell r="AD502">
            <v>79.774744186046505</v>
          </cell>
        </row>
        <row r="503">
          <cell r="I503" t="str">
            <v>Penyediaan Alat Tulis Kantor</v>
          </cell>
          <cell r="J503" t="str">
            <v>Terpenuhinya operasional administrasi kantor (bln)</v>
          </cell>
          <cell r="K503">
            <v>72</v>
          </cell>
          <cell r="L503">
            <v>46000000</v>
          </cell>
          <cell r="M503">
            <v>24</v>
          </cell>
          <cell r="N503">
            <v>33788288</v>
          </cell>
          <cell r="O503">
            <v>12</v>
          </cell>
          <cell r="P503">
            <v>28030683</v>
          </cell>
          <cell r="Q503">
            <v>3</v>
          </cell>
          <cell r="R503">
            <v>3816000</v>
          </cell>
          <cell r="S503">
            <v>3</v>
          </cell>
          <cell r="T503">
            <v>5315500</v>
          </cell>
          <cell r="Y503">
            <v>6</v>
          </cell>
          <cell r="Z503">
            <v>9131500</v>
          </cell>
          <cell r="AA503">
            <v>6</v>
          </cell>
          <cell r="AB503">
            <v>9131500</v>
          </cell>
          <cell r="AC503">
            <v>8.3333333333333321</v>
          </cell>
          <cell r="AD503">
            <v>19.851086956521737</v>
          </cell>
        </row>
        <row r="504">
          <cell r="I504" t="str">
            <v>Penyediaan barang cetakan dan penggandaan</v>
          </cell>
          <cell r="J504" t="str">
            <v>Terpenuhinya kebutuhan penggandaan dan percetakan kantor (bln)</v>
          </cell>
          <cell r="K504">
            <v>72</v>
          </cell>
          <cell r="L504">
            <v>42000000</v>
          </cell>
          <cell r="M504">
            <v>24</v>
          </cell>
          <cell r="N504">
            <v>25899250</v>
          </cell>
          <cell r="O504">
            <v>12</v>
          </cell>
          <cell r="P504">
            <v>30549813</v>
          </cell>
          <cell r="Q504">
            <v>3</v>
          </cell>
          <cell r="R504">
            <v>3532400</v>
          </cell>
          <cell r="S504">
            <v>3</v>
          </cell>
          <cell r="T504">
            <v>10658600</v>
          </cell>
          <cell r="Y504">
            <v>6</v>
          </cell>
          <cell r="Z504">
            <v>14191000</v>
          </cell>
          <cell r="AA504">
            <v>6</v>
          </cell>
          <cell r="AB504">
            <v>14191000</v>
          </cell>
          <cell r="AC504">
            <v>8.3333333333333321</v>
          </cell>
          <cell r="AD504">
            <v>33.788095238095238</v>
          </cell>
        </row>
        <row r="505">
          <cell r="I505" t="str">
            <v>Penyediaan komponen instalasi listrik/penerangan bangunan kantor</v>
          </cell>
          <cell r="J505" t="str">
            <v>Terpenuhinya kebutuhan penerangan kantor (bln)</v>
          </cell>
          <cell r="K505">
            <v>72</v>
          </cell>
          <cell r="L505">
            <v>22000000</v>
          </cell>
          <cell r="M505">
            <v>24</v>
          </cell>
          <cell r="N505">
            <v>7682500</v>
          </cell>
          <cell r="O505">
            <v>12</v>
          </cell>
          <cell r="P505">
            <v>4305000</v>
          </cell>
          <cell r="Q505">
            <v>3</v>
          </cell>
          <cell r="R505">
            <v>315000</v>
          </cell>
          <cell r="S505">
            <v>3</v>
          </cell>
          <cell r="T505">
            <v>550000</v>
          </cell>
          <cell r="Y505">
            <v>6</v>
          </cell>
          <cell r="Z505">
            <v>865000</v>
          </cell>
          <cell r="AA505">
            <v>6</v>
          </cell>
          <cell r="AB505">
            <v>865000</v>
          </cell>
          <cell r="AC505">
            <v>8.3333333333333321</v>
          </cell>
          <cell r="AD505">
            <v>3.9318181818181821</v>
          </cell>
        </row>
        <row r="506">
          <cell r="I506" t="str">
            <v>Penyediaan bahan bacaan dan peraturan perundang-undangan</v>
          </cell>
          <cell r="J506" t="str">
            <v>Terpenuhinya kebutuhan terhadap informasi (bln)</v>
          </cell>
          <cell r="K506">
            <v>72</v>
          </cell>
          <cell r="L506">
            <v>13000000</v>
          </cell>
          <cell r="M506">
            <v>24</v>
          </cell>
          <cell r="N506">
            <v>10320000</v>
          </cell>
          <cell r="O506">
            <v>12</v>
          </cell>
          <cell r="P506">
            <v>11320000</v>
          </cell>
          <cell r="Q506">
            <v>3</v>
          </cell>
          <cell r="R506">
            <v>960000</v>
          </cell>
          <cell r="S506">
            <v>3</v>
          </cell>
          <cell r="T506">
            <v>1800000</v>
          </cell>
          <cell r="Y506">
            <v>6</v>
          </cell>
          <cell r="Z506">
            <v>2760000</v>
          </cell>
          <cell r="AA506">
            <v>6</v>
          </cell>
          <cell r="AB506">
            <v>2760000</v>
          </cell>
          <cell r="AC506">
            <v>8.3333333333333321</v>
          </cell>
          <cell r="AD506">
            <v>21.23076923076923</v>
          </cell>
        </row>
        <row r="507">
          <cell r="I507" t="str">
            <v>Penyediaan makanan dan minuman</v>
          </cell>
          <cell r="J507" t="str">
            <v>Terpenuhinya kebutuhan makan dan minum rapat, tamu (bln)</v>
          </cell>
          <cell r="K507">
            <v>72</v>
          </cell>
          <cell r="L507">
            <v>22000000</v>
          </cell>
          <cell r="M507">
            <v>24</v>
          </cell>
          <cell r="N507">
            <v>17050000</v>
          </cell>
          <cell r="O507">
            <v>12</v>
          </cell>
          <cell r="P507">
            <v>36122500</v>
          </cell>
          <cell r="Q507">
            <v>3</v>
          </cell>
          <cell r="R507">
            <v>1500000</v>
          </cell>
          <cell r="S507">
            <v>3</v>
          </cell>
          <cell r="T507">
            <v>5734500</v>
          </cell>
          <cell r="Y507">
            <v>6</v>
          </cell>
          <cell r="Z507">
            <v>7234500</v>
          </cell>
          <cell r="AA507">
            <v>6</v>
          </cell>
          <cell r="AB507">
            <v>7234500</v>
          </cell>
          <cell r="AC507">
            <v>8.3333333333333321</v>
          </cell>
          <cell r="AD507">
            <v>32.884090909090908</v>
          </cell>
        </row>
        <row r="508">
          <cell r="I508" t="str">
            <v>Rapat-rapat kordinasi dan konsultasi ke luar daerah</v>
          </cell>
          <cell r="J508" t="str">
            <v>Terlaksananya rapat-rapat dalam provinsi dan luar provinsi (bln)</v>
          </cell>
          <cell r="K508">
            <v>72</v>
          </cell>
          <cell r="L508">
            <v>138660000</v>
          </cell>
          <cell r="M508">
            <v>24</v>
          </cell>
          <cell r="N508">
            <v>171545512</v>
          </cell>
          <cell r="O508">
            <v>12</v>
          </cell>
          <cell r="P508">
            <v>115250000</v>
          </cell>
          <cell r="Q508">
            <v>3</v>
          </cell>
          <cell r="R508">
            <v>28792348</v>
          </cell>
          <cell r="S508">
            <v>3</v>
          </cell>
          <cell r="T508">
            <v>84545288</v>
          </cell>
          <cell r="Y508">
            <v>6</v>
          </cell>
          <cell r="Z508">
            <v>113337636</v>
          </cell>
          <cell r="AA508">
            <v>6</v>
          </cell>
          <cell r="AB508">
            <v>113337636</v>
          </cell>
          <cell r="AC508">
            <v>8.3333333333333321</v>
          </cell>
          <cell r="AD508">
            <v>81.737801817395066</v>
          </cell>
        </row>
        <row r="509">
          <cell r="I509" t="str">
            <v>Rapat-rapat Koordinasi dan  Konsultasi Dalam Daerah</v>
          </cell>
          <cell r="J509" t="str">
            <v>Terlaksananya rapat-rapat dalam daerah (bln)</v>
          </cell>
          <cell r="K509">
            <v>72</v>
          </cell>
          <cell r="L509">
            <v>133660000</v>
          </cell>
          <cell r="M509">
            <v>24</v>
          </cell>
          <cell r="N509">
            <v>65050000</v>
          </cell>
          <cell r="O509">
            <v>12</v>
          </cell>
          <cell r="P509">
            <v>63900000</v>
          </cell>
          <cell r="Q509">
            <v>3</v>
          </cell>
          <cell r="R509">
            <v>11300000</v>
          </cell>
          <cell r="S509">
            <v>3</v>
          </cell>
          <cell r="T509">
            <v>27725000</v>
          </cell>
          <cell r="Y509">
            <v>6</v>
          </cell>
          <cell r="Z509">
            <v>39025000</v>
          </cell>
          <cell r="AA509">
            <v>6</v>
          </cell>
          <cell r="AB509">
            <v>39025000</v>
          </cell>
          <cell r="AC509">
            <v>8.3333333333333321</v>
          </cell>
          <cell r="AD509">
            <v>29.197216818793954</v>
          </cell>
        </row>
        <row r="510">
          <cell r="A510">
            <v>2</v>
          </cell>
          <cell r="I510" t="str">
            <v>Program Peningkatan Sarana dan Prasarana Aparatur</v>
          </cell>
          <cell r="J510" t="str">
            <v>Terpenuhinya Sarana dan Prasarana Kantor (bln)</v>
          </cell>
          <cell r="K510">
            <v>72</v>
          </cell>
          <cell r="L510">
            <v>625640000</v>
          </cell>
          <cell r="M510">
            <v>24</v>
          </cell>
          <cell r="N510">
            <v>598739138</v>
          </cell>
          <cell r="O510">
            <v>12</v>
          </cell>
          <cell r="P510">
            <v>324466183</v>
          </cell>
          <cell r="Q510">
            <v>3</v>
          </cell>
          <cell r="R510">
            <v>52468040</v>
          </cell>
          <cell r="S510">
            <v>3</v>
          </cell>
          <cell r="T510">
            <v>331979590</v>
          </cell>
          <cell r="Y510">
            <v>6</v>
          </cell>
          <cell r="Z510">
            <v>384447630</v>
          </cell>
          <cell r="AA510">
            <v>6</v>
          </cell>
          <cell r="AB510">
            <v>384447630</v>
          </cell>
          <cell r="AC510">
            <v>8.3333333333333321</v>
          </cell>
          <cell r="AD510">
            <v>61.448697333930056</v>
          </cell>
          <cell r="AE510" t="str">
            <v>Dinas Sosial, Pemberdayaan Perempuan dan Perlindungan Anak</v>
          </cell>
        </row>
        <row r="511">
          <cell r="I511" t="str">
            <v>Pengadaan Peralatan Gedung Kantor</v>
          </cell>
          <cell r="J511" t="str">
            <v>Terenuhinya kebutuhan peralatan kantor (bln)</v>
          </cell>
          <cell r="K511">
            <v>72</v>
          </cell>
          <cell r="L511">
            <v>121000000</v>
          </cell>
          <cell r="M511">
            <v>24</v>
          </cell>
          <cell r="N511">
            <v>241931500</v>
          </cell>
          <cell r="O511">
            <v>12</v>
          </cell>
          <cell r="P511">
            <v>59115581</v>
          </cell>
          <cell r="Q511">
            <v>3</v>
          </cell>
          <cell r="R511">
            <v>0</v>
          </cell>
          <cell r="S511">
            <v>3</v>
          </cell>
          <cell r="T511">
            <v>20000000</v>
          </cell>
          <cell r="Y511">
            <v>6</v>
          </cell>
          <cell r="Z511">
            <v>20000000</v>
          </cell>
          <cell r="AA511">
            <v>6</v>
          </cell>
          <cell r="AB511">
            <v>20000000</v>
          </cell>
          <cell r="AC511">
            <v>8.3333333333333321</v>
          </cell>
          <cell r="AD511">
            <v>16.528925619834713</v>
          </cell>
        </row>
        <row r="512">
          <cell r="I512" t="str">
            <v>Pengadaan Meubiler</v>
          </cell>
          <cell r="J512" t="str">
            <v>Terpenuhinya kebutuhan meubiler kantor (bln)</v>
          </cell>
          <cell r="K512">
            <v>72</v>
          </cell>
          <cell r="L512">
            <v>81000000</v>
          </cell>
          <cell r="M512">
            <v>24</v>
          </cell>
          <cell r="N512">
            <v>74860000</v>
          </cell>
          <cell r="O512">
            <v>12</v>
          </cell>
          <cell r="P512">
            <v>11294090</v>
          </cell>
          <cell r="Q512">
            <v>3</v>
          </cell>
          <cell r="R512">
            <v>10375000</v>
          </cell>
          <cell r="S512">
            <v>3</v>
          </cell>
          <cell r="T512">
            <v>10375000</v>
          </cell>
          <cell r="Y512">
            <v>6</v>
          </cell>
          <cell r="Z512">
            <v>20750000</v>
          </cell>
          <cell r="AA512">
            <v>6</v>
          </cell>
          <cell r="AB512">
            <v>20750000</v>
          </cell>
          <cell r="AC512">
            <v>8.3333333333333321</v>
          </cell>
          <cell r="AD512">
            <v>25.617283950617285</v>
          </cell>
        </row>
        <row r="513">
          <cell r="I513" t="str">
            <v>Pemeliharaan rutin/berkala gedung kantor</v>
          </cell>
          <cell r="J513" t="str">
            <v>Terpeliharanya gedung kantor (bln)</v>
          </cell>
          <cell r="K513">
            <v>72</v>
          </cell>
          <cell r="L513">
            <v>85140000</v>
          </cell>
          <cell r="M513">
            <v>24</v>
          </cell>
          <cell r="N513">
            <v>88151500</v>
          </cell>
          <cell r="O513">
            <v>12</v>
          </cell>
          <cell r="P513">
            <v>55464012</v>
          </cell>
          <cell r="Q513">
            <v>3</v>
          </cell>
          <cell r="R513">
            <v>1950000</v>
          </cell>
          <cell r="S513">
            <v>3</v>
          </cell>
          <cell r="T513">
            <v>43000000</v>
          </cell>
          <cell r="Y513">
            <v>6</v>
          </cell>
          <cell r="Z513">
            <v>44950000</v>
          </cell>
          <cell r="AA513">
            <v>6</v>
          </cell>
          <cell r="AB513">
            <v>44950000</v>
          </cell>
          <cell r="AC513">
            <v>8.3333333333333321</v>
          </cell>
          <cell r="AD513">
            <v>52.795395818651635</v>
          </cell>
        </row>
        <row r="514">
          <cell r="I514" t="str">
            <v>Pemeliharaan rutin/berkala kendaraan dinas/operasional</v>
          </cell>
          <cell r="J514" t="str">
            <v>Tersedianya kendaraan dinas (bln)</v>
          </cell>
          <cell r="K514">
            <v>72</v>
          </cell>
          <cell r="L514">
            <v>285000000</v>
          </cell>
          <cell r="M514">
            <v>24</v>
          </cell>
          <cell r="N514">
            <v>185946138</v>
          </cell>
          <cell r="O514">
            <v>12</v>
          </cell>
          <cell r="P514">
            <v>191342500</v>
          </cell>
          <cell r="Q514">
            <v>3</v>
          </cell>
          <cell r="R514">
            <v>39743040</v>
          </cell>
          <cell r="S514">
            <v>3</v>
          </cell>
          <cell r="T514">
            <v>51865340</v>
          </cell>
          <cell r="Y514">
            <v>6</v>
          </cell>
          <cell r="Z514">
            <v>91608380</v>
          </cell>
          <cell r="AA514">
            <v>6</v>
          </cell>
          <cell r="AB514">
            <v>91608380</v>
          </cell>
          <cell r="AC514">
            <v>8.3333333333333321</v>
          </cell>
          <cell r="AD514">
            <v>32.143291228070176</v>
          </cell>
        </row>
        <row r="515">
          <cell r="I515" t="str">
            <v>Pemeliharaan Rutin/Berkala Peralatan Gedung Kantor</v>
          </cell>
          <cell r="J515" t="str">
            <v>Terpeliharanya Peralatan Gedung Kantor (bln)</v>
          </cell>
          <cell r="K515">
            <v>72</v>
          </cell>
          <cell r="L515">
            <v>25500000</v>
          </cell>
          <cell r="M515">
            <v>24</v>
          </cell>
          <cell r="N515">
            <v>7850000</v>
          </cell>
          <cell r="O515">
            <v>12</v>
          </cell>
          <cell r="P515">
            <v>7250000</v>
          </cell>
          <cell r="Q515">
            <v>3</v>
          </cell>
          <cell r="R515">
            <v>400000</v>
          </cell>
          <cell r="S515">
            <v>3</v>
          </cell>
          <cell r="T515">
            <v>1400000</v>
          </cell>
          <cell r="Y515">
            <v>6</v>
          </cell>
          <cell r="Z515">
            <v>1800000</v>
          </cell>
          <cell r="AA515">
            <v>6</v>
          </cell>
          <cell r="AB515">
            <v>1800000</v>
          </cell>
          <cell r="AC515">
            <v>8.3333333333333321</v>
          </cell>
          <cell r="AD515">
            <v>7.0588235294117645</v>
          </cell>
        </row>
        <row r="516">
          <cell r="I516" t="str">
            <v>Pelaksanaan Festifal Langkisau</v>
          </cell>
          <cell r="J516" t="str">
            <v>Keikutsertaan pada festival Langkisau (kegiatan)</v>
          </cell>
          <cell r="K516">
            <v>6</v>
          </cell>
          <cell r="L516">
            <v>28000000</v>
          </cell>
          <cell r="M516">
            <v>24</v>
          </cell>
          <cell r="N516">
            <v>14717800</v>
          </cell>
          <cell r="O516">
            <v>12</v>
          </cell>
          <cell r="P516">
            <v>28000000</v>
          </cell>
          <cell r="Q516">
            <v>3</v>
          </cell>
          <cell r="R516">
            <v>21956500</v>
          </cell>
          <cell r="S516">
            <v>3</v>
          </cell>
          <cell r="Y516">
            <v>6</v>
          </cell>
          <cell r="Z516">
            <v>21956500</v>
          </cell>
          <cell r="AA516">
            <v>6</v>
          </cell>
          <cell r="AB516">
            <v>21956500</v>
          </cell>
          <cell r="AC516">
            <v>100</v>
          </cell>
          <cell r="AD516">
            <v>78.416071428571428</v>
          </cell>
        </row>
        <row r="517">
          <cell r="A517">
            <v>3</v>
          </cell>
          <cell r="B517" t="str">
            <v>Tercapainya Peningkatan Penanganan Penyandang Masalah Kesejateraan Sosial (PMKS)</v>
          </cell>
          <cell r="I517" t="str">
            <v>Program Pelayanan dan Rehabilitasi Kesejahteraan Sosial</v>
          </cell>
          <cell r="J517" t="str">
            <v>Jumlah pelayanan sosial yang mendapatkan rehabilitasi dan pelatihan (kec per orang tagana)</v>
          </cell>
          <cell r="K517">
            <v>51</v>
          </cell>
          <cell r="L517">
            <v>189000000</v>
          </cell>
          <cell r="M517">
            <v>15</v>
          </cell>
          <cell r="N517">
            <v>90358150</v>
          </cell>
          <cell r="O517">
            <v>12</v>
          </cell>
          <cell r="P517">
            <v>236212501</v>
          </cell>
          <cell r="Q517">
            <v>0</v>
          </cell>
          <cell r="R517">
            <v>17403100</v>
          </cell>
          <cell r="S517">
            <v>0</v>
          </cell>
          <cell r="T517">
            <v>50291350</v>
          </cell>
          <cell r="Y517">
            <v>0</v>
          </cell>
          <cell r="Z517">
            <v>67694450</v>
          </cell>
          <cell r="AA517">
            <v>0</v>
          </cell>
          <cell r="AB517">
            <v>67694450</v>
          </cell>
          <cell r="AC517">
            <v>0</v>
          </cell>
          <cell r="AD517">
            <v>35.817169312169312</v>
          </cell>
          <cell r="AE517" t="str">
            <v>Dinas Sosial, Pemberdayaan Perempuan dan Perlindungan Anak</v>
          </cell>
        </row>
        <row r="518">
          <cell r="I518" t="str">
            <v>Penanganan Masalah Strategis tentang Tanggap Cepat Darurat dan Kejadian Luar Biasa</v>
          </cell>
          <cell r="J518" t="str">
            <v>Terpenuhinya operasional penanganan bencana (bln)</v>
          </cell>
          <cell r="K518">
            <v>51</v>
          </cell>
          <cell r="L518">
            <v>110000000</v>
          </cell>
          <cell r="M518">
            <v>15</v>
          </cell>
          <cell r="N518">
            <v>77291400</v>
          </cell>
          <cell r="O518">
            <v>12</v>
          </cell>
          <cell r="P518">
            <v>170157667</v>
          </cell>
          <cell r="Q518">
            <v>3</v>
          </cell>
          <cell r="R518">
            <v>10296100</v>
          </cell>
          <cell r="S518">
            <v>3</v>
          </cell>
          <cell r="T518">
            <v>26735100</v>
          </cell>
          <cell r="Y518">
            <v>6</v>
          </cell>
          <cell r="Z518">
            <v>37031200</v>
          </cell>
          <cell r="AA518">
            <v>6</v>
          </cell>
          <cell r="AB518">
            <v>37031200</v>
          </cell>
          <cell r="AC518">
            <v>11.76470588235294</v>
          </cell>
          <cell r="AD518">
            <v>33.664727272727276</v>
          </cell>
        </row>
        <row r="519">
          <cell r="I519" t="str">
            <v>Monitoring, Evaluasi dan Kebijakan Perberasan (RASKIN)</v>
          </cell>
          <cell r="J519" t="str">
            <v>Laporan triwulan Hasil monev beras Raskin (dok)</v>
          </cell>
          <cell r="K519">
            <v>16</v>
          </cell>
          <cell r="L519">
            <v>79000000</v>
          </cell>
          <cell r="O519">
            <v>12</v>
          </cell>
          <cell r="P519">
            <v>66054834</v>
          </cell>
          <cell r="Q519">
            <v>2</v>
          </cell>
          <cell r="R519">
            <v>7107000</v>
          </cell>
          <cell r="S519">
            <v>3</v>
          </cell>
          <cell r="T519">
            <v>23556250</v>
          </cell>
          <cell r="Y519">
            <v>5</v>
          </cell>
          <cell r="Z519">
            <v>30663250</v>
          </cell>
          <cell r="AA519">
            <v>5</v>
          </cell>
          <cell r="AB519">
            <v>30663250</v>
          </cell>
          <cell r="AC519">
            <v>31.25</v>
          </cell>
          <cell r="AD519">
            <v>38.814240506329114</v>
          </cell>
        </row>
        <row r="520">
          <cell r="A520">
            <v>4</v>
          </cell>
          <cell r="B520" t="str">
            <v>Tercapainya Peningkatan Penanganan Penyandang Masalah Kesejateraan Sosial (PMKS)</v>
          </cell>
          <cell r="I520" t="str">
            <v>Program Pemberdayaan Fakir Miskin, Komunitas Adat Terpencil (KAT) dan Penyandang Masalah Kesejahteraan Sosial (PMKS) Lainnya</v>
          </cell>
          <cell r="J520" t="str">
            <v>Persentase PMKS yang diberdayakan dengan memberikan bimbingan dan bantuan (%)</v>
          </cell>
          <cell r="K520">
            <v>75</v>
          </cell>
          <cell r="L520">
            <v>1170000000</v>
          </cell>
          <cell r="M520">
            <v>60</v>
          </cell>
          <cell r="N520">
            <v>373969242</v>
          </cell>
          <cell r="O520">
            <v>56.25</v>
          </cell>
          <cell r="P520">
            <v>459513225</v>
          </cell>
          <cell r="Q520">
            <v>5</v>
          </cell>
          <cell r="R520">
            <v>26999550</v>
          </cell>
          <cell r="S520">
            <v>17.09</v>
          </cell>
          <cell r="T520">
            <v>104756550</v>
          </cell>
          <cell r="Y520">
            <v>22.09</v>
          </cell>
          <cell r="Z520">
            <v>131756100</v>
          </cell>
          <cell r="AA520">
            <v>22.09</v>
          </cell>
          <cell r="AB520">
            <v>131756100</v>
          </cell>
          <cell r="AC520">
            <v>29.453333333333333</v>
          </cell>
          <cell r="AD520">
            <v>11.261205128205127</v>
          </cell>
          <cell r="AE520" t="str">
            <v>Dinas Sosial, Pemberdayaan Perempuan dan Perlindungan Anak</v>
          </cell>
        </row>
        <row r="521">
          <cell r="I521" t="str">
            <v>Penunjang Operasional Program Keluarga Harapan (PKH)</v>
          </cell>
          <cell r="J521" t="str">
            <v>Persentase fakir miskin dan OMKS yang ditangani dengan Program PKH</v>
          </cell>
          <cell r="K521">
            <v>100</v>
          </cell>
          <cell r="L521">
            <v>115000000</v>
          </cell>
          <cell r="M521">
            <v>50</v>
          </cell>
          <cell r="N521">
            <v>84817418</v>
          </cell>
          <cell r="O521">
            <v>50</v>
          </cell>
          <cell r="P521">
            <v>95201486</v>
          </cell>
          <cell r="Q521">
            <v>5</v>
          </cell>
          <cell r="R521">
            <v>2859900</v>
          </cell>
          <cell r="S521">
            <v>5</v>
          </cell>
          <cell r="T521">
            <v>15895400</v>
          </cell>
          <cell r="Y521">
            <v>10</v>
          </cell>
          <cell r="Z521">
            <v>18755300</v>
          </cell>
          <cell r="AA521">
            <v>10</v>
          </cell>
          <cell r="AB521">
            <v>18755300</v>
          </cell>
          <cell r="AC521">
            <v>10</v>
          </cell>
          <cell r="AD521">
            <v>16.30895652173913</v>
          </cell>
        </row>
        <row r="522">
          <cell r="I522" t="str">
            <v>Pelayanan orang terlantar diperjalanan</v>
          </cell>
          <cell r="J522" t="str">
            <v>Jumlah Orang Terlantar, Mayat Terlantar dan ODGJ yang ditangani</v>
          </cell>
          <cell r="K522">
            <v>30</v>
          </cell>
          <cell r="L522">
            <v>85000000</v>
          </cell>
          <cell r="M522">
            <v>9</v>
          </cell>
          <cell r="N522">
            <v>68413830</v>
          </cell>
          <cell r="O522">
            <v>9</v>
          </cell>
          <cell r="P522">
            <v>52026104</v>
          </cell>
          <cell r="Q522">
            <v>9</v>
          </cell>
          <cell r="R522">
            <v>14845000</v>
          </cell>
          <cell r="S522">
            <v>9</v>
          </cell>
          <cell r="T522">
            <v>20042500</v>
          </cell>
          <cell r="Y522">
            <v>18</v>
          </cell>
          <cell r="Z522">
            <v>34887500</v>
          </cell>
          <cell r="AA522">
            <v>18</v>
          </cell>
          <cell r="AB522">
            <v>34887500</v>
          </cell>
          <cell r="AC522">
            <v>60</v>
          </cell>
          <cell r="AD522">
            <v>41.044117647058826</v>
          </cell>
        </row>
        <row r="523">
          <cell r="I523" t="str">
            <v>Pendampingan Bantuan KUBE Fakir Miskin</v>
          </cell>
          <cell r="J523" t="str">
            <v>Jumlah KUBE Fakir Miskin yang dibina</v>
          </cell>
          <cell r="K523">
            <v>12</v>
          </cell>
          <cell r="L523">
            <v>120000000</v>
          </cell>
          <cell r="M523">
            <v>2</v>
          </cell>
          <cell r="N523">
            <v>21188440</v>
          </cell>
          <cell r="O523">
            <v>2</v>
          </cell>
          <cell r="P523">
            <v>80312897</v>
          </cell>
          <cell r="Q523">
            <v>2</v>
          </cell>
          <cell r="R523">
            <v>4124900</v>
          </cell>
          <cell r="S523">
            <v>2</v>
          </cell>
          <cell r="T523">
            <v>10333900</v>
          </cell>
          <cell r="Y523">
            <v>4</v>
          </cell>
          <cell r="Z523">
            <v>14458800</v>
          </cell>
          <cell r="AA523">
            <v>4</v>
          </cell>
          <cell r="AB523">
            <v>14458800</v>
          </cell>
          <cell r="AC523">
            <v>33.333333333333329</v>
          </cell>
          <cell r="AD523">
            <v>12.048999999999999</v>
          </cell>
        </row>
        <row r="524">
          <cell r="I524" t="str">
            <v>Verifikasi dan Validasi Data Penerima Bantuan Iuran APBD</v>
          </cell>
          <cell r="J524" t="str">
            <v>Laporan Validasi data PBI APBD (dok)</v>
          </cell>
          <cell r="K524">
            <v>6</v>
          </cell>
          <cell r="L524">
            <v>100000000</v>
          </cell>
          <cell r="M524">
            <v>2</v>
          </cell>
          <cell r="N524">
            <v>38329900</v>
          </cell>
          <cell r="O524">
            <v>1</v>
          </cell>
          <cell r="P524">
            <v>30161192</v>
          </cell>
          <cell r="Q524">
            <v>0</v>
          </cell>
          <cell r="R524">
            <v>3707250</v>
          </cell>
          <cell r="S524">
            <v>0</v>
          </cell>
          <cell r="T524">
            <v>4639750</v>
          </cell>
          <cell r="Y524">
            <v>0</v>
          </cell>
          <cell r="Z524">
            <v>8347000</v>
          </cell>
          <cell r="AA524">
            <v>0</v>
          </cell>
          <cell r="AB524">
            <v>8347000</v>
          </cell>
          <cell r="AC524">
            <v>0</v>
          </cell>
          <cell r="AD524">
            <v>8.3469999999999995</v>
          </cell>
        </row>
        <row r="525">
          <cell r="I525" t="str">
            <v>Pengembangan SLRT Kabupaten Pesisir Selatan</v>
          </cell>
          <cell r="J525" t="str">
            <v>Persentase peningkatan cakupan penerima layanan kesejahteraan sosial (%)</v>
          </cell>
          <cell r="K525">
            <v>100</v>
          </cell>
          <cell r="L525">
            <v>750000000</v>
          </cell>
          <cell r="M525">
            <v>10</v>
          </cell>
          <cell r="N525">
            <v>59287550</v>
          </cell>
          <cell r="O525">
            <v>10</v>
          </cell>
          <cell r="P525">
            <v>201811546</v>
          </cell>
          <cell r="Q525">
            <v>0</v>
          </cell>
          <cell r="R525">
            <v>1462500</v>
          </cell>
          <cell r="S525">
            <v>2</v>
          </cell>
          <cell r="T525">
            <v>53845000</v>
          </cell>
          <cell r="Y525">
            <v>2</v>
          </cell>
          <cell r="Z525">
            <v>55307500</v>
          </cell>
          <cell r="AA525">
            <v>2</v>
          </cell>
          <cell r="AB525">
            <v>55307500</v>
          </cell>
          <cell r="AC525">
            <v>2</v>
          </cell>
          <cell r="AD525">
            <v>7.3743333333333325</v>
          </cell>
        </row>
        <row r="526">
          <cell r="A526">
            <v>5</v>
          </cell>
          <cell r="B526" t="str">
            <v>Tercapainya Peningkatan Penanganan Penyandang Masalah Kesejateraan Sosial (PMKS)</v>
          </cell>
          <cell r="I526" t="str">
            <v>Program pembinaan para penyandang cacat dan trauma</v>
          </cell>
          <cell r="J526" t="str">
            <v>Jumlah penyandang cacat yang dibina dan pemberian jaminan sosial penyandang cacat berat (orang)</v>
          </cell>
          <cell r="K526">
            <v>90</v>
          </cell>
          <cell r="L526">
            <v>150000000</v>
          </cell>
          <cell r="M526">
            <v>68</v>
          </cell>
          <cell r="N526">
            <v>77291400</v>
          </cell>
          <cell r="O526">
            <v>18</v>
          </cell>
          <cell r="P526">
            <v>61700261</v>
          </cell>
          <cell r="Q526">
            <v>0</v>
          </cell>
          <cell r="R526">
            <v>0</v>
          </cell>
          <cell r="T526">
            <v>2802000</v>
          </cell>
          <cell r="Y526">
            <v>0</v>
          </cell>
          <cell r="Z526">
            <v>2802000</v>
          </cell>
          <cell r="AA526">
            <v>0</v>
          </cell>
          <cell r="AB526">
            <v>2802000</v>
          </cell>
          <cell r="AC526">
            <v>0</v>
          </cell>
          <cell r="AD526">
            <v>1.8679999999999999</v>
          </cell>
          <cell r="AE526" t="str">
            <v>Dinas Sosial, Pemberdayaan Perempuan dan Perlindungan Anak</v>
          </cell>
        </row>
        <row r="527">
          <cell r="I527" t="str">
            <v>Bimbingan Sosial dan Pendampingan Jaminan Sosial Penyandang Cacat Berat</v>
          </cell>
          <cell r="J527" t="str">
            <v>Jumlah penyandang cacat yang diberi bantuan (org)</v>
          </cell>
          <cell r="K527">
            <v>90</v>
          </cell>
          <cell r="L527">
            <v>150000000</v>
          </cell>
          <cell r="M527">
            <v>68</v>
          </cell>
          <cell r="N527">
            <v>77291400</v>
          </cell>
          <cell r="O527">
            <v>18</v>
          </cell>
          <cell r="P527">
            <v>61700261</v>
          </cell>
          <cell r="Q527">
            <v>0</v>
          </cell>
          <cell r="R527">
            <v>0</v>
          </cell>
          <cell r="S527">
            <v>0</v>
          </cell>
          <cell r="T527">
            <v>2802000</v>
          </cell>
          <cell r="Y527">
            <v>0</v>
          </cell>
          <cell r="Z527">
            <v>2802000</v>
          </cell>
          <cell r="AA527">
            <v>0</v>
          </cell>
          <cell r="AB527">
            <v>2802000</v>
          </cell>
          <cell r="AC527">
            <v>0</v>
          </cell>
          <cell r="AD527">
            <v>1.8679999999999999</v>
          </cell>
        </row>
        <row r="528">
          <cell r="A528">
            <v>6</v>
          </cell>
          <cell r="B528" t="str">
            <v>Tercapainya Peningkatan Penanganan Penyandang Masalah Kesejateraan Sosial (PMKS)</v>
          </cell>
          <cell r="I528" t="str">
            <v>Program pembinaan panti asuhan/panti jompo</v>
          </cell>
          <cell r="J528" t="str">
            <v xml:space="preserve">Persentase panti yang mendapat bantuan pemerintah </v>
          </cell>
          <cell r="K528">
            <v>100</v>
          </cell>
          <cell r="L528">
            <v>800000000</v>
          </cell>
          <cell r="M528">
            <v>180</v>
          </cell>
          <cell r="N528">
            <v>402922680</v>
          </cell>
          <cell r="O528">
            <v>80</v>
          </cell>
          <cell r="P528">
            <v>318548618</v>
          </cell>
          <cell r="Q528">
            <v>80</v>
          </cell>
          <cell r="R528">
            <v>132138350</v>
          </cell>
          <cell r="S528">
            <v>0</v>
          </cell>
          <cell r="T528">
            <v>139456850</v>
          </cell>
          <cell r="Y528">
            <v>80</v>
          </cell>
          <cell r="Z528">
            <v>271595200</v>
          </cell>
          <cell r="AA528">
            <v>80</v>
          </cell>
          <cell r="AB528">
            <v>271595200</v>
          </cell>
          <cell r="AC528">
            <v>80</v>
          </cell>
          <cell r="AD528">
            <v>33.949400000000004</v>
          </cell>
          <cell r="AE528" t="str">
            <v>Dinas Sosial, Pemberdayaan Perempuan dan Perlindungan Anak</v>
          </cell>
        </row>
        <row r="529">
          <cell r="I529" t="str">
            <v>Penyediaan Bahan Sembako Anak  Dalam Panti</v>
          </cell>
          <cell r="J529" t="str">
            <v>Jumlah anak panti yang dibantu sembako (org)</v>
          </cell>
          <cell r="K529">
            <v>300</v>
          </cell>
          <cell r="L529">
            <v>800000000</v>
          </cell>
          <cell r="M529">
            <v>180</v>
          </cell>
          <cell r="N529">
            <v>402922680</v>
          </cell>
          <cell r="O529">
            <v>80</v>
          </cell>
          <cell r="P529">
            <v>318548618</v>
          </cell>
          <cell r="Q529">
            <v>80</v>
          </cell>
          <cell r="R529">
            <v>132138350</v>
          </cell>
          <cell r="S529">
            <v>80</v>
          </cell>
          <cell r="T529">
            <v>139456850</v>
          </cell>
          <cell r="Y529">
            <v>160</v>
          </cell>
          <cell r="Z529">
            <v>271595200</v>
          </cell>
          <cell r="AA529">
            <v>160</v>
          </cell>
          <cell r="AB529">
            <v>271595200</v>
          </cell>
          <cell r="AC529">
            <v>53.333333333333336</v>
          </cell>
          <cell r="AD529">
            <v>33.949400000000004</v>
          </cell>
        </row>
        <row r="530">
          <cell r="A530">
            <v>7</v>
          </cell>
          <cell r="B530" t="str">
            <v>Meningkatnya aktifitas Potensi dan Sumber Kesejahteraan Sosial (PSKS)</v>
          </cell>
          <cell r="I530" t="str">
            <v>Program Pemberdayaan Kelembagaan Kesejahteraan Sosial</v>
          </cell>
          <cell r="J530" t="str">
            <v>Persentase LKKS dan TKSK yang meningkat kinerjanya</v>
          </cell>
          <cell r="K530">
            <v>100</v>
          </cell>
          <cell r="L530">
            <v>350000000</v>
          </cell>
          <cell r="M530">
            <v>94</v>
          </cell>
          <cell r="N530">
            <v>226166680</v>
          </cell>
          <cell r="O530">
            <v>75</v>
          </cell>
          <cell r="P530">
            <v>133592367</v>
          </cell>
          <cell r="Q530">
            <v>8.5299999999999994</v>
          </cell>
          <cell r="R530">
            <v>15200000</v>
          </cell>
          <cell r="S530">
            <v>34.47</v>
          </cell>
          <cell r="T530">
            <v>61400100</v>
          </cell>
          <cell r="Y530">
            <v>43</v>
          </cell>
          <cell r="Z530">
            <v>76600100</v>
          </cell>
          <cell r="AA530">
            <v>43</v>
          </cell>
          <cell r="AB530">
            <v>76600100</v>
          </cell>
          <cell r="AC530">
            <v>43</v>
          </cell>
          <cell r="AD530">
            <v>21.885742857142855</v>
          </cell>
          <cell r="AE530" t="str">
            <v>Dinas Sosial, Pemberdayaan Perempuan dan Perlindungan Anak</v>
          </cell>
        </row>
        <row r="531">
          <cell r="I531" t="str">
            <v>Penungkatan Kualitas Lembaga Koordinasi Kesejahteraan Sosial (LKKS) Kabupaten Pesisir Selatan</v>
          </cell>
          <cell r="J531" t="str">
            <v>Persentase LKKS dan TKSK yang dibina</v>
          </cell>
          <cell r="K531">
            <v>100</v>
          </cell>
          <cell r="L531">
            <v>350000000</v>
          </cell>
          <cell r="M531">
            <v>94</v>
          </cell>
          <cell r="N531">
            <v>226166680</v>
          </cell>
          <cell r="O531">
            <v>75</v>
          </cell>
          <cell r="P531">
            <v>133592367</v>
          </cell>
          <cell r="Q531">
            <v>8.5299999999999994</v>
          </cell>
          <cell r="R531">
            <v>15200000</v>
          </cell>
          <cell r="S531">
            <v>34.47</v>
          </cell>
          <cell r="T531">
            <v>61400100</v>
          </cell>
          <cell r="Y531">
            <v>43</v>
          </cell>
          <cell r="Z531">
            <v>76600100</v>
          </cell>
          <cell r="AA531">
            <v>43</v>
          </cell>
          <cell r="AB531">
            <v>76600100</v>
          </cell>
          <cell r="AC531">
            <v>43</v>
          </cell>
          <cell r="AD531">
            <v>21.885742857142855</v>
          </cell>
        </row>
        <row r="532">
          <cell r="A532">
            <v>8</v>
          </cell>
          <cell r="B532" t="str">
            <v>Meningkatnya wawasan kebangsaan dan keperintisan</v>
          </cell>
          <cell r="I532" t="str">
            <v>Penanaman Nilai-Nilai Kepahlawanan dan Keperintisan</v>
          </cell>
          <cell r="J532" t="str">
            <v>Meningkatnya pemahaman tentang nllai-nilai kepahlawanan, keperintisan dan kesetiakawanan sosial (org)</v>
          </cell>
          <cell r="K532">
            <v>600</v>
          </cell>
          <cell r="L532">
            <v>270000000</v>
          </cell>
          <cell r="M532">
            <v>100</v>
          </cell>
          <cell r="N532">
            <v>196344200</v>
          </cell>
          <cell r="O532">
            <v>100</v>
          </cell>
          <cell r="P532">
            <v>118721478</v>
          </cell>
          <cell r="Q532">
            <v>0</v>
          </cell>
          <cell r="R532">
            <v>4242500</v>
          </cell>
          <cell r="T532">
            <v>13471500</v>
          </cell>
          <cell r="Y532">
            <v>0</v>
          </cell>
          <cell r="Z532">
            <v>17714000</v>
          </cell>
          <cell r="AA532">
            <v>0</v>
          </cell>
          <cell r="AB532">
            <v>17714000</v>
          </cell>
          <cell r="AC532">
            <v>0</v>
          </cell>
          <cell r="AD532">
            <v>6.5607407407407408</v>
          </cell>
          <cell r="AE532" t="str">
            <v>Dinas Sosial, Pemberdayaan Perempuan dan Perlindungan Anak</v>
          </cell>
        </row>
        <row r="533">
          <cell r="I533" t="str">
            <v>Sarasehan Penanaman Nilai-nilai Kepahlawanan bagi Generasi Muda</v>
          </cell>
          <cell r="J533" t="str">
            <v>Jumlah pemuda yang mengikuti pelatihan (org)</v>
          </cell>
          <cell r="K533">
            <v>600</v>
          </cell>
          <cell r="L533">
            <v>120000000</v>
          </cell>
          <cell r="M533">
            <v>100</v>
          </cell>
          <cell r="N533">
            <v>81351200</v>
          </cell>
          <cell r="O533">
            <v>100</v>
          </cell>
          <cell r="P533">
            <v>39910087</v>
          </cell>
          <cell r="Q533">
            <v>0</v>
          </cell>
          <cell r="R533">
            <v>0</v>
          </cell>
          <cell r="S533">
            <v>0</v>
          </cell>
          <cell r="T533">
            <v>1359000</v>
          </cell>
          <cell r="Y533">
            <v>0</v>
          </cell>
          <cell r="Z533">
            <v>1359000</v>
          </cell>
          <cell r="AA533">
            <v>0</v>
          </cell>
          <cell r="AB533">
            <v>1359000</v>
          </cell>
          <cell r="AC533">
            <v>0</v>
          </cell>
          <cell r="AD533">
            <v>1.1325000000000001</v>
          </cell>
        </row>
        <row r="534">
          <cell r="I534" t="str">
            <v>Peningkatan Sarana dan Prasarana Kepahlawanan dan Keperintisan</v>
          </cell>
          <cell r="J534" t="str">
            <v>Terpenuhinya sarana dan prasarana kebutuhan TMP Sago dan MPN Ilyas Yacub</v>
          </cell>
          <cell r="K534">
            <v>2</v>
          </cell>
          <cell r="L534">
            <v>150000000</v>
          </cell>
          <cell r="M534">
            <v>2</v>
          </cell>
          <cell r="N534">
            <v>114993000</v>
          </cell>
          <cell r="O534">
            <v>2</v>
          </cell>
          <cell r="P534">
            <v>78811391</v>
          </cell>
          <cell r="Q534">
            <v>0</v>
          </cell>
          <cell r="R534">
            <v>4242500</v>
          </cell>
          <cell r="S534">
            <v>0</v>
          </cell>
          <cell r="T534">
            <v>12112500</v>
          </cell>
          <cell r="Y534">
            <v>0</v>
          </cell>
          <cell r="Z534">
            <v>16355000</v>
          </cell>
          <cell r="AA534">
            <v>0</v>
          </cell>
          <cell r="AB534">
            <v>16355000</v>
          </cell>
          <cell r="AC534">
            <v>0</v>
          </cell>
          <cell r="AD534">
            <v>10.903333333333332</v>
          </cell>
          <cell r="AE534" t="str">
            <v>Dinas Sosial, Pemberdayaan Perempuan dan Perlindungan Anak</v>
          </cell>
        </row>
        <row r="535">
          <cell r="I535" t="str">
            <v>Program Pengembangan Pemasaran Pariwisata</v>
          </cell>
          <cell r="J535" t="str">
            <v>Tercapainya Pelaksanaan Festival langkisau</v>
          </cell>
          <cell r="K535">
            <v>100</v>
          </cell>
          <cell r="L535">
            <v>28000000</v>
          </cell>
          <cell r="M535">
            <v>98</v>
          </cell>
          <cell r="N535">
            <v>14717800</v>
          </cell>
          <cell r="O535">
            <v>100</v>
          </cell>
          <cell r="P535">
            <v>28000000</v>
          </cell>
          <cell r="Q535">
            <v>25</v>
          </cell>
          <cell r="S535">
            <v>75</v>
          </cell>
          <cell r="T535">
            <v>21956500</v>
          </cell>
          <cell r="Y535">
            <v>75</v>
          </cell>
          <cell r="Z535">
            <v>21956500</v>
          </cell>
          <cell r="AA535">
            <v>75</v>
          </cell>
          <cell r="AB535">
            <v>21956500</v>
          </cell>
          <cell r="AC535">
            <v>75</v>
          </cell>
          <cell r="AD535">
            <v>78.416071428571428</v>
          </cell>
        </row>
        <row r="536">
          <cell r="I536" t="str">
            <v>Pelaksanaan Festival Langkisau</v>
          </cell>
          <cell r="K536">
            <v>100</v>
          </cell>
          <cell r="L536">
            <v>28000000</v>
          </cell>
          <cell r="M536">
            <v>98</v>
          </cell>
          <cell r="N536">
            <v>14717800</v>
          </cell>
          <cell r="O536">
            <v>100</v>
          </cell>
          <cell r="P536">
            <v>28000000</v>
          </cell>
          <cell r="Q536">
            <v>25</v>
          </cell>
          <cell r="S536">
            <v>75</v>
          </cell>
          <cell r="T536">
            <v>21956500</v>
          </cell>
          <cell r="Y536">
            <v>75</v>
          </cell>
          <cell r="AA536">
            <v>75</v>
          </cell>
          <cell r="AC536">
            <v>75</v>
          </cell>
        </row>
        <row r="537">
          <cell r="A537" t="str">
            <v>Rata-Rata Capaian Kinerja</v>
          </cell>
          <cell r="AC537">
            <v>24.16</v>
          </cell>
          <cell r="AD537">
            <v>31.516072703150751</v>
          </cell>
        </row>
        <row r="538">
          <cell r="A538" t="str">
            <v>Peringkat  Kinerja</v>
          </cell>
          <cell r="AC538" t="str">
            <v>SR</v>
          </cell>
          <cell r="AD538" t="str">
            <v>SR</v>
          </cell>
        </row>
        <row r="539">
          <cell r="I539" t="str">
            <v>URUSAN PEMERINTAHAN WAJIB NON PELAYANAN DASAR</v>
          </cell>
        </row>
        <row r="540">
          <cell r="A540" t="str">
            <v>I</v>
          </cell>
          <cell r="I540" t="str">
            <v>URUSAN TENAGA KERJA</v>
          </cell>
          <cell r="L540">
            <v>17046836767</v>
          </cell>
          <cell r="N540">
            <v>3389718475</v>
          </cell>
          <cell r="P540">
            <v>2611087000</v>
          </cell>
          <cell r="R540">
            <v>262541800</v>
          </cell>
          <cell r="T540">
            <v>1285060209</v>
          </cell>
          <cell r="Y540">
            <v>0</v>
          </cell>
          <cell r="Z540">
            <v>1547602009</v>
          </cell>
          <cell r="AB540">
            <v>4937320484</v>
          </cell>
        </row>
        <row r="541">
          <cell r="A541" t="str">
            <v>01</v>
          </cell>
          <cell r="C541" t="str">
            <v>02</v>
          </cell>
          <cell r="D541" t="str">
            <v>01</v>
          </cell>
          <cell r="E541" t="str">
            <v>01</v>
          </cell>
          <cell r="F541" t="str">
            <v>01</v>
          </cell>
          <cell r="I541" t="str">
            <v>Program Pelayanan Administrasi Perkantoran</v>
          </cell>
          <cell r="J541" t="str">
            <v>Pemenuhan layanan administrasi perkantoran (bln)</v>
          </cell>
          <cell r="K541">
            <v>72</v>
          </cell>
          <cell r="L541">
            <v>4149928641</v>
          </cell>
          <cell r="M541">
            <v>24</v>
          </cell>
          <cell r="N541">
            <v>1330321825</v>
          </cell>
          <cell r="O541">
            <v>12</v>
          </cell>
          <cell r="P541">
            <v>590536850</v>
          </cell>
          <cell r="Q541">
            <v>3</v>
          </cell>
          <cell r="R541">
            <v>102335695</v>
          </cell>
          <cell r="S541">
            <v>3</v>
          </cell>
          <cell r="T541">
            <v>299726035</v>
          </cell>
          <cell r="Y541">
            <v>6</v>
          </cell>
          <cell r="Z541">
            <v>402061730</v>
          </cell>
          <cell r="AA541">
            <v>30</v>
          </cell>
          <cell r="AB541">
            <v>1732383555</v>
          </cell>
          <cell r="AC541">
            <v>41.666666666666671</v>
          </cell>
          <cell r="AD541">
            <v>41.744899849230926</v>
          </cell>
          <cell r="AE541" t="str">
            <v>Dinas Nakertran</v>
          </cell>
        </row>
        <row r="542">
          <cell r="C542" t="str">
            <v>02</v>
          </cell>
          <cell r="D542" t="str">
            <v>01</v>
          </cell>
          <cell r="E542" t="str">
            <v>01</v>
          </cell>
          <cell r="F542" t="str">
            <v>01</v>
          </cell>
          <cell r="H542" t="str">
            <v>02</v>
          </cell>
          <cell r="I542" t="str">
            <v>Penyediaan Jasa Komunikasi Sumber Daya Air dan Listrik</v>
          </cell>
          <cell r="J542" t="str">
            <v>Tersedianya biaya jasa telepon dan listrik (bln)</v>
          </cell>
          <cell r="K542">
            <v>72</v>
          </cell>
          <cell r="L542">
            <v>281676000</v>
          </cell>
          <cell r="M542">
            <v>24</v>
          </cell>
          <cell r="N542">
            <v>114600000</v>
          </cell>
          <cell r="O542">
            <v>12</v>
          </cell>
          <cell r="P542">
            <v>36000000</v>
          </cell>
          <cell r="Q542">
            <v>3</v>
          </cell>
          <cell r="R542">
            <v>6382445</v>
          </cell>
          <cell r="S542">
            <v>3</v>
          </cell>
          <cell r="T542">
            <v>12430435</v>
          </cell>
          <cell r="Y542">
            <v>6</v>
          </cell>
          <cell r="Z542">
            <v>18812880</v>
          </cell>
          <cell r="AA542">
            <v>30</v>
          </cell>
          <cell r="AB542">
            <v>133412880</v>
          </cell>
          <cell r="AC542">
            <v>41.666666666666671</v>
          </cell>
          <cell r="AD542">
            <v>47.363950070293534</v>
          </cell>
        </row>
        <row r="543">
          <cell r="C543" t="str">
            <v>02</v>
          </cell>
          <cell r="D543" t="str">
            <v>01</v>
          </cell>
          <cell r="E543" t="str">
            <v>01</v>
          </cell>
          <cell r="F543" t="str">
            <v>01</v>
          </cell>
          <cell r="H543" t="str">
            <v>07</v>
          </cell>
          <cell r="I543" t="str">
            <v>Penyediaan Jasa Administrasi Keuangan</v>
          </cell>
          <cell r="J543" t="str">
            <v>Tersedianya jasa administrasi keuangan. (bln)</v>
          </cell>
          <cell r="K543">
            <v>72</v>
          </cell>
          <cell r="L543">
            <v>480168540</v>
          </cell>
          <cell r="M543">
            <v>24</v>
          </cell>
          <cell r="N543">
            <v>111971100</v>
          </cell>
          <cell r="O543">
            <v>12</v>
          </cell>
          <cell r="P543">
            <v>77500000</v>
          </cell>
          <cell r="Q543">
            <v>3</v>
          </cell>
          <cell r="R543">
            <v>12300000</v>
          </cell>
          <cell r="S543">
            <v>3</v>
          </cell>
          <cell r="T543">
            <v>31250000</v>
          </cell>
          <cell r="Y543">
            <v>6</v>
          </cell>
          <cell r="Z543">
            <v>43550000</v>
          </cell>
          <cell r="AA543">
            <v>30</v>
          </cell>
          <cell r="AB543">
            <v>155521100</v>
          </cell>
          <cell r="AC543">
            <v>41.666666666666671</v>
          </cell>
          <cell r="AD543">
            <v>32.388856629382673</v>
          </cell>
        </row>
        <row r="544">
          <cell r="C544" t="str">
            <v>02</v>
          </cell>
          <cell r="D544" t="str">
            <v>01</v>
          </cell>
          <cell r="E544" t="str">
            <v>01</v>
          </cell>
          <cell r="F544" t="str">
            <v>01</v>
          </cell>
          <cell r="H544" t="str">
            <v>08</v>
          </cell>
          <cell r="I544" t="str">
            <v>Penyediaan Jasa Kebersihan Kantor</v>
          </cell>
          <cell r="J544" t="str">
            <v>Tersedinya jasa petugas kebersihan kantor (bln)</v>
          </cell>
          <cell r="K544">
            <v>72</v>
          </cell>
          <cell r="L544">
            <v>1024028824</v>
          </cell>
          <cell r="M544">
            <v>24</v>
          </cell>
          <cell r="N544">
            <v>271371400</v>
          </cell>
          <cell r="O544">
            <v>12</v>
          </cell>
          <cell r="P544">
            <v>162175700</v>
          </cell>
          <cell r="Q544">
            <v>3</v>
          </cell>
          <cell r="R544">
            <v>28307350</v>
          </cell>
          <cell r="S544">
            <v>3</v>
          </cell>
          <cell r="T544">
            <v>91895850</v>
          </cell>
          <cell r="Y544">
            <v>6</v>
          </cell>
          <cell r="Z544">
            <v>120203200</v>
          </cell>
          <cell r="AA544">
            <v>30</v>
          </cell>
          <cell r="AB544">
            <v>391574600</v>
          </cell>
          <cell r="AC544">
            <v>41.666666666666671</v>
          </cell>
          <cell r="AD544">
            <v>38.238630673544399</v>
          </cell>
        </row>
        <row r="545">
          <cell r="C545" t="str">
            <v>02</v>
          </cell>
          <cell r="D545" t="str">
            <v>01</v>
          </cell>
          <cell r="E545" t="str">
            <v>01</v>
          </cell>
          <cell r="F545" t="str">
            <v>01</v>
          </cell>
          <cell r="H545">
            <v>10</v>
          </cell>
          <cell r="I545" t="str">
            <v>Penyediaan alat Tulis Kantor</v>
          </cell>
          <cell r="J545" t="str">
            <v>Tersedianya Alat Tulis Kantor (bln).</v>
          </cell>
          <cell r="K545">
            <v>72</v>
          </cell>
          <cell r="L545">
            <v>222114913</v>
          </cell>
          <cell r="M545">
            <v>24</v>
          </cell>
          <cell r="N545">
            <v>72574700</v>
          </cell>
          <cell r="O545">
            <v>12</v>
          </cell>
          <cell r="P545">
            <v>32221550</v>
          </cell>
          <cell r="Q545">
            <v>3</v>
          </cell>
          <cell r="R545">
            <v>11349200</v>
          </cell>
          <cell r="S545">
            <v>3</v>
          </cell>
          <cell r="T545">
            <v>20075950</v>
          </cell>
          <cell r="Y545">
            <v>6</v>
          </cell>
          <cell r="Z545">
            <v>31425150</v>
          </cell>
          <cell r="AA545">
            <v>30</v>
          </cell>
          <cell r="AB545">
            <v>103999850</v>
          </cell>
          <cell r="AC545">
            <v>41.666666666666671</v>
          </cell>
          <cell r="AD545">
            <v>46.822542707882029</v>
          </cell>
        </row>
        <row r="546">
          <cell r="C546" t="str">
            <v>02</v>
          </cell>
          <cell r="D546" t="str">
            <v>01</v>
          </cell>
          <cell r="E546" t="str">
            <v>01</v>
          </cell>
          <cell r="F546" t="str">
            <v>01</v>
          </cell>
          <cell r="H546">
            <v>11</v>
          </cell>
          <cell r="I546" t="str">
            <v>Penyediaan barang cetakan dan penggandaan.</v>
          </cell>
          <cell r="J546" t="str">
            <v>Tersedianya barang cetakan dan pengandaan (bln).</v>
          </cell>
          <cell r="K546">
            <v>72</v>
          </cell>
          <cell r="L546">
            <v>168834688</v>
          </cell>
          <cell r="M546">
            <v>24</v>
          </cell>
          <cell r="N546">
            <v>54742200</v>
          </cell>
          <cell r="O546">
            <v>12</v>
          </cell>
          <cell r="P546">
            <v>24583600</v>
          </cell>
          <cell r="Q546">
            <v>3</v>
          </cell>
          <cell r="R546">
            <v>6143700</v>
          </cell>
          <cell r="S546">
            <v>3</v>
          </cell>
          <cell r="T546">
            <v>14917100</v>
          </cell>
          <cell r="Y546">
            <v>6</v>
          </cell>
          <cell r="Z546">
            <v>21060800</v>
          </cell>
          <cell r="AA546">
            <v>30</v>
          </cell>
          <cell r="AB546">
            <v>75803000</v>
          </cell>
          <cell r="AC546">
            <v>41.666666666666671</v>
          </cell>
          <cell r="AD546">
            <v>44.897764137189625</v>
          </cell>
        </row>
        <row r="547">
          <cell r="C547" t="str">
            <v>02</v>
          </cell>
          <cell r="D547" t="str">
            <v>01</v>
          </cell>
          <cell r="E547" t="str">
            <v>01</v>
          </cell>
          <cell r="F547" t="str">
            <v>01</v>
          </cell>
          <cell r="H547">
            <v>12</v>
          </cell>
          <cell r="I547" t="str">
            <v>Penyediaan komponen instalasi listrik/penerangan bangunan kantor.</v>
          </cell>
          <cell r="J547" t="str">
            <v>Tersedianya komponen instalasi listrik/penerangan bangunan kantor (bln).</v>
          </cell>
          <cell r="K547">
            <v>72</v>
          </cell>
          <cell r="L547">
            <v>101626351</v>
          </cell>
          <cell r="M547">
            <v>24</v>
          </cell>
          <cell r="N547">
            <v>21286000</v>
          </cell>
          <cell r="O547">
            <v>12</v>
          </cell>
          <cell r="P547">
            <v>17311000</v>
          </cell>
          <cell r="Q547">
            <v>3</v>
          </cell>
          <cell r="R547">
            <v>3476000</v>
          </cell>
          <cell r="S547">
            <v>3</v>
          </cell>
          <cell r="T547">
            <v>7221500</v>
          </cell>
          <cell r="Y547">
            <v>6</v>
          </cell>
          <cell r="Z547">
            <v>10697500</v>
          </cell>
          <cell r="AA547">
            <v>30</v>
          </cell>
          <cell r="AB547">
            <v>31983500</v>
          </cell>
          <cell r="AC547">
            <v>41.666666666666671</v>
          </cell>
          <cell r="AD547">
            <v>31.471660337386314</v>
          </cell>
        </row>
        <row r="548">
          <cell r="C548" t="str">
            <v>02</v>
          </cell>
          <cell r="D548" t="str">
            <v>01</v>
          </cell>
          <cell r="E548" t="str">
            <v>01</v>
          </cell>
          <cell r="F548" t="str">
            <v>01</v>
          </cell>
          <cell r="H548">
            <v>15</v>
          </cell>
          <cell r="I548" t="str">
            <v>Penyediaan bahan bacaan dan peraturan perundang undangan.</v>
          </cell>
          <cell r="J548" t="str">
            <v>Tersedianya bahan bacaan/surat kabar (bln).</v>
          </cell>
          <cell r="K548">
            <v>72</v>
          </cell>
          <cell r="L548">
            <v>74939200</v>
          </cell>
          <cell r="M548">
            <v>24</v>
          </cell>
          <cell r="N548">
            <v>13220000</v>
          </cell>
          <cell r="O548">
            <v>12</v>
          </cell>
          <cell r="P548">
            <v>14320000</v>
          </cell>
          <cell r="Q548">
            <v>3</v>
          </cell>
          <cell r="R548">
            <v>785000</v>
          </cell>
          <cell r="S548">
            <v>3</v>
          </cell>
          <cell r="T548">
            <v>8195000</v>
          </cell>
          <cell r="Y548">
            <v>6</v>
          </cell>
          <cell r="Z548">
            <v>8980000</v>
          </cell>
          <cell r="AA548">
            <v>30</v>
          </cell>
          <cell r="AB548">
            <v>22200000</v>
          </cell>
          <cell r="AC548">
            <v>41.666666666666671</v>
          </cell>
          <cell r="AD548">
            <v>29.62401520165681</v>
          </cell>
        </row>
        <row r="549">
          <cell r="C549" t="str">
            <v>02</v>
          </cell>
          <cell r="D549" t="str">
            <v>01</v>
          </cell>
          <cell r="E549" t="str">
            <v>01</v>
          </cell>
          <cell r="F549" t="str">
            <v>01</v>
          </cell>
          <cell r="H549">
            <v>17</v>
          </cell>
          <cell r="I549" t="str">
            <v xml:space="preserve">Penyediaan Makanan dan Minuman </v>
          </cell>
          <cell r="J549" t="str">
            <v>Tersedianya makan minum rapat dan tamu kantor (bln).</v>
          </cell>
          <cell r="K549">
            <v>72</v>
          </cell>
          <cell r="L549">
            <v>184488800</v>
          </cell>
          <cell r="M549">
            <v>24</v>
          </cell>
          <cell r="N549">
            <v>36905000</v>
          </cell>
          <cell r="O549">
            <v>12</v>
          </cell>
          <cell r="P549">
            <v>31800000</v>
          </cell>
          <cell r="Q549">
            <v>3</v>
          </cell>
          <cell r="R549">
            <v>4675000</v>
          </cell>
          <cell r="S549">
            <v>3</v>
          </cell>
          <cell r="T549">
            <v>18177500</v>
          </cell>
          <cell r="Y549">
            <v>6</v>
          </cell>
          <cell r="Z549">
            <v>22852500</v>
          </cell>
          <cell r="AA549">
            <v>30</v>
          </cell>
          <cell r="AB549">
            <v>59757500</v>
          </cell>
          <cell r="AC549">
            <v>41.666666666666671</v>
          </cell>
          <cell r="AD549">
            <v>32.390855163023446</v>
          </cell>
        </row>
        <row r="550">
          <cell r="C550" t="str">
            <v>02</v>
          </cell>
          <cell r="D550" t="str">
            <v>01</v>
          </cell>
          <cell r="E550" t="str">
            <v>01</v>
          </cell>
          <cell r="F550" t="str">
            <v>01</v>
          </cell>
          <cell r="H550">
            <v>18</v>
          </cell>
          <cell r="I550" t="str">
            <v>Rapat- rapat koordinasi dan konsultasi ke luar daerah</v>
          </cell>
          <cell r="J550" t="str">
            <v>Adanya rapat- rapat koordinasi dan konsultasi baik dalam propinsi maupun luar propinsi (bln).</v>
          </cell>
          <cell r="K550">
            <v>72</v>
          </cell>
          <cell r="L550">
            <v>748497500</v>
          </cell>
          <cell r="M550">
            <v>24</v>
          </cell>
          <cell r="N550">
            <v>296000000</v>
          </cell>
          <cell r="O550">
            <v>12</v>
          </cell>
          <cell r="P550">
            <v>97500000</v>
          </cell>
          <cell r="Q550">
            <v>3</v>
          </cell>
          <cell r="R550">
            <v>17572000</v>
          </cell>
          <cell r="S550">
            <v>3</v>
          </cell>
          <cell r="T550">
            <v>31903700</v>
          </cell>
          <cell r="Y550">
            <v>6</v>
          </cell>
          <cell r="Z550">
            <v>49475700</v>
          </cell>
          <cell r="AA550">
            <v>30</v>
          </cell>
          <cell r="AB550">
            <v>345475700</v>
          </cell>
          <cell r="AC550">
            <v>41.666666666666671</v>
          </cell>
          <cell r="AD550">
            <v>46.155892304249512</v>
          </cell>
        </row>
        <row r="551">
          <cell r="C551" t="str">
            <v>02</v>
          </cell>
          <cell r="D551" t="str">
            <v>01</v>
          </cell>
          <cell r="E551" t="str">
            <v>01</v>
          </cell>
          <cell r="F551" t="str">
            <v>01</v>
          </cell>
          <cell r="H551">
            <v>31</v>
          </cell>
          <cell r="I551" t="str">
            <v>Penyusunan Rencana Strategis SKPD</v>
          </cell>
          <cell r="J551" t="str">
            <v>Renstra Dinas Nakertrans (dok)</v>
          </cell>
          <cell r="K551">
            <v>1</v>
          </cell>
          <cell r="L551">
            <v>50873070</v>
          </cell>
          <cell r="M551">
            <v>24</v>
          </cell>
          <cell r="N551">
            <v>50873070</v>
          </cell>
          <cell r="O551">
            <v>0</v>
          </cell>
          <cell r="P551">
            <v>0</v>
          </cell>
          <cell r="Q551">
            <v>0</v>
          </cell>
          <cell r="R551">
            <v>0</v>
          </cell>
          <cell r="S551">
            <v>3</v>
          </cell>
          <cell r="T551" t="str">
            <v>0</v>
          </cell>
          <cell r="Y551">
            <v>3</v>
          </cell>
          <cell r="Z551">
            <v>0</v>
          </cell>
          <cell r="AA551">
            <v>27</v>
          </cell>
          <cell r="AB551">
            <v>50873070</v>
          </cell>
          <cell r="AC551">
            <v>2700</v>
          </cell>
          <cell r="AD551">
            <v>100</v>
          </cell>
        </row>
        <row r="552">
          <cell r="C552" t="str">
            <v>02</v>
          </cell>
          <cell r="D552" t="str">
            <v>01</v>
          </cell>
          <cell r="E552" t="str">
            <v>01</v>
          </cell>
          <cell r="F552" t="str">
            <v>01</v>
          </cell>
          <cell r="H552">
            <v>20</v>
          </cell>
          <cell r="I552" t="str">
            <v>Rapat- rapat koordinasi dan konsultasi dalam  daerah</v>
          </cell>
          <cell r="J552" t="str">
            <v>Adanya rapat- rapat koordinasi dan konsultasi se kecamatan dalam kabupaten (bln).</v>
          </cell>
          <cell r="K552">
            <v>72</v>
          </cell>
          <cell r="L552">
            <v>532365000</v>
          </cell>
          <cell r="M552">
            <v>24</v>
          </cell>
          <cell r="N552">
            <v>198600000</v>
          </cell>
          <cell r="O552">
            <v>12</v>
          </cell>
          <cell r="P552">
            <v>55725000</v>
          </cell>
          <cell r="Q552">
            <v>3</v>
          </cell>
          <cell r="R552">
            <v>4000000</v>
          </cell>
          <cell r="S552">
            <v>3</v>
          </cell>
          <cell r="T552">
            <v>38275000</v>
          </cell>
          <cell r="Y552">
            <v>6</v>
          </cell>
          <cell r="Z552">
            <v>42275000</v>
          </cell>
          <cell r="AA552">
            <v>30</v>
          </cell>
          <cell r="AB552">
            <v>240875000</v>
          </cell>
          <cell r="AC552">
            <v>41.666666666666671</v>
          </cell>
          <cell r="AD552">
            <v>45.246212654851462</v>
          </cell>
        </row>
        <row r="553">
          <cell r="C553" t="str">
            <v>02</v>
          </cell>
          <cell r="D553" t="str">
            <v>01</v>
          </cell>
          <cell r="E553" t="str">
            <v>01</v>
          </cell>
          <cell r="F553" t="str">
            <v>01</v>
          </cell>
          <cell r="H553">
            <v>38</v>
          </cell>
          <cell r="I553" t="str">
            <v>Monitoring dan evaluasi pelaksanaan program dan kegiatan</v>
          </cell>
          <cell r="J553" t="str">
            <v>Laporan triwulan pelaksanaan Monev (dok)</v>
          </cell>
          <cell r="K553">
            <v>24</v>
          </cell>
          <cell r="L553">
            <v>280315755</v>
          </cell>
          <cell r="M553">
            <v>24</v>
          </cell>
          <cell r="N553">
            <v>88178355</v>
          </cell>
          <cell r="O553">
            <v>12</v>
          </cell>
          <cell r="P553">
            <v>41400000</v>
          </cell>
          <cell r="Q553">
            <v>3</v>
          </cell>
          <cell r="R553">
            <v>7345000</v>
          </cell>
          <cell r="S553">
            <v>3</v>
          </cell>
          <cell r="T553">
            <v>25384000</v>
          </cell>
          <cell r="Y553">
            <v>6</v>
          </cell>
          <cell r="Z553">
            <v>32729000</v>
          </cell>
          <cell r="AA553">
            <v>27</v>
          </cell>
          <cell r="AB553">
            <v>59882445</v>
          </cell>
          <cell r="AC553">
            <v>37.5</v>
          </cell>
          <cell r="AD553">
            <v>42.9509241113904</v>
          </cell>
        </row>
        <row r="554">
          <cell r="A554">
            <v>2</v>
          </cell>
          <cell r="C554" t="str">
            <v>02</v>
          </cell>
          <cell r="D554" t="str">
            <v>02</v>
          </cell>
          <cell r="E554" t="str">
            <v>01</v>
          </cell>
          <cell r="F554" t="str">
            <v>02</v>
          </cell>
          <cell r="I554" t="str">
            <v>Program Peningkatan sarana dan Prasarana Aparatur</v>
          </cell>
          <cell r="J554" t="str">
            <v>Pemenuhan sarpras penunjang kerja (Bln)</v>
          </cell>
          <cell r="K554">
            <v>72</v>
          </cell>
          <cell r="L554">
            <v>3247183616</v>
          </cell>
          <cell r="M554">
            <v>24</v>
          </cell>
          <cell r="N554">
            <v>1004125300</v>
          </cell>
          <cell r="O554">
            <v>12</v>
          </cell>
          <cell r="P554">
            <v>1069453000</v>
          </cell>
          <cell r="Q554">
            <v>3</v>
          </cell>
          <cell r="R554">
            <v>133863700</v>
          </cell>
          <cell r="S554">
            <v>3</v>
          </cell>
          <cell r="T554">
            <v>688470669</v>
          </cell>
          <cell r="Y554">
            <v>6</v>
          </cell>
          <cell r="Z554">
            <v>822334369</v>
          </cell>
          <cell r="AA554">
            <v>30</v>
          </cell>
          <cell r="AB554">
            <v>1826459669</v>
          </cell>
          <cell r="AC554">
            <v>41.666666666666671</v>
          </cell>
          <cell r="AD554">
            <v>56.24750198912065</v>
          </cell>
          <cell r="AE554" t="str">
            <v>Dinas Nakertran</v>
          </cell>
        </row>
        <row r="555">
          <cell r="C555" t="str">
            <v>02</v>
          </cell>
          <cell r="D555" t="str">
            <v>01</v>
          </cell>
          <cell r="E555" t="str">
            <v>01</v>
          </cell>
          <cell r="F555" t="str">
            <v>02</v>
          </cell>
          <cell r="H555" t="str">
            <v>24</v>
          </cell>
          <cell r="I555" t="str">
            <v>Pemeliharaan Rutin/Berkala Kendaraan Dinas/Operasional.</v>
          </cell>
          <cell r="J555" t="str">
            <v>Tersedinya kendaraan dinas/Operasional yang layak dan siap pakai (bln).</v>
          </cell>
          <cell r="K555">
            <v>72</v>
          </cell>
          <cell r="L555">
            <v>732991008</v>
          </cell>
          <cell r="M555">
            <v>24</v>
          </cell>
          <cell r="N555">
            <v>388668700</v>
          </cell>
          <cell r="O555">
            <v>12</v>
          </cell>
          <cell r="P555">
            <v>127060000</v>
          </cell>
          <cell r="Q555">
            <v>3</v>
          </cell>
          <cell r="R555">
            <v>21293400</v>
          </cell>
          <cell r="S555">
            <v>3</v>
          </cell>
          <cell r="T555">
            <v>49928600</v>
          </cell>
          <cell r="Y555">
            <v>6</v>
          </cell>
          <cell r="Z555">
            <v>71222000</v>
          </cell>
          <cell r="AA555">
            <v>30</v>
          </cell>
          <cell r="AB555">
            <v>459890700</v>
          </cell>
          <cell r="AC555">
            <v>41.666666666666671</v>
          </cell>
          <cell r="AD555">
            <v>62.741656443348894</v>
          </cell>
        </row>
        <row r="556">
          <cell r="C556" t="str">
            <v>02</v>
          </cell>
          <cell r="D556" t="str">
            <v>01</v>
          </cell>
          <cell r="E556" t="str">
            <v>01</v>
          </cell>
          <cell r="F556" t="str">
            <v>02</v>
          </cell>
          <cell r="H556" t="str">
            <v>09</v>
          </cell>
          <cell r="I556" t="str">
            <v>Pengadaan Peralatan  Kantor</v>
          </cell>
          <cell r="J556" t="str">
            <v>Tersedianya peralatan kantor (bln).</v>
          </cell>
          <cell r="K556">
            <v>72</v>
          </cell>
          <cell r="L556">
            <v>732991008</v>
          </cell>
          <cell r="M556">
            <v>24</v>
          </cell>
          <cell r="N556">
            <v>255451600</v>
          </cell>
          <cell r="O556">
            <v>12</v>
          </cell>
          <cell r="P556">
            <v>102895800</v>
          </cell>
          <cell r="Q556">
            <v>3</v>
          </cell>
          <cell r="R556">
            <v>89870700</v>
          </cell>
          <cell r="S556">
            <v>3</v>
          </cell>
          <cell r="T556">
            <v>93420700</v>
          </cell>
          <cell r="W556" t="str">
            <v xml:space="preserve"> </v>
          </cell>
          <cell r="Y556">
            <v>6</v>
          </cell>
          <cell r="Z556">
            <v>183291400</v>
          </cell>
          <cell r="AA556">
            <v>30</v>
          </cell>
          <cell r="AB556">
            <v>438743000</v>
          </cell>
          <cell r="AC556">
            <v>41.666666666666671</v>
          </cell>
          <cell r="AD556">
            <v>59.856532373723205</v>
          </cell>
        </row>
        <row r="557">
          <cell r="C557" t="str">
            <v>02</v>
          </cell>
          <cell r="D557" t="str">
            <v>01</v>
          </cell>
          <cell r="E557" t="str">
            <v>01</v>
          </cell>
          <cell r="F557" t="str">
            <v>02</v>
          </cell>
          <cell r="H557" t="str">
            <v>28</v>
          </cell>
          <cell r="I557" t="str">
            <v>Pemeliharaan Rutin/Berkala peralatan gedung kantor.</v>
          </cell>
          <cell r="J557" t="str">
            <v>Terlaksananya pemeliharaan peralatan gedung dan halaman kantor (bln).</v>
          </cell>
          <cell r="K557">
            <v>72</v>
          </cell>
          <cell r="L557">
            <v>136499400</v>
          </cell>
          <cell r="M557">
            <v>24</v>
          </cell>
          <cell r="N557">
            <v>27900000</v>
          </cell>
          <cell r="O557">
            <v>12</v>
          </cell>
          <cell r="P557">
            <v>23400000</v>
          </cell>
          <cell r="Q557">
            <v>3</v>
          </cell>
          <cell r="R557">
            <v>10275000</v>
          </cell>
          <cell r="S557">
            <v>3</v>
          </cell>
          <cell r="T557">
            <v>14550000</v>
          </cell>
          <cell r="Y557">
            <v>6</v>
          </cell>
          <cell r="Z557">
            <v>24825000</v>
          </cell>
          <cell r="AA557">
            <v>27</v>
          </cell>
          <cell r="AB557">
            <v>52725000</v>
          </cell>
          <cell r="AC557">
            <v>37.5</v>
          </cell>
          <cell r="AD557">
            <v>38.62654341337764</v>
          </cell>
        </row>
        <row r="558">
          <cell r="C558" t="str">
            <v>02</v>
          </cell>
          <cell r="D558" t="str">
            <v>02</v>
          </cell>
          <cell r="E558" t="str">
            <v>01</v>
          </cell>
          <cell r="F558" t="str">
            <v>02</v>
          </cell>
          <cell r="H558" t="str">
            <v>10</v>
          </cell>
          <cell r="I558" t="str">
            <v>Pengadaan Mobiler</v>
          </cell>
          <cell r="J558" t="str">
            <v>Tersedianya mobiler kantor (bln).</v>
          </cell>
          <cell r="K558">
            <v>24</v>
          </cell>
          <cell r="L558">
            <v>127105000</v>
          </cell>
          <cell r="M558">
            <v>24</v>
          </cell>
          <cell r="N558">
            <v>127105000</v>
          </cell>
          <cell r="O558">
            <v>0</v>
          </cell>
          <cell r="P558">
            <v>0</v>
          </cell>
          <cell r="Q558">
            <v>0</v>
          </cell>
          <cell r="R558">
            <v>0</v>
          </cell>
          <cell r="S558" t="str">
            <v>0</v>
          </cell>
          <cell r="T558" t="str">
            <v>0</v>
          </cell>
          <cell r="Y558">
            <v>0</v>
          </cell>
          <cell r="Z558">
            <v>0</v>
          </cell>
          <cell r="AA558">
            <v>27</v>
          </cell>
          <cell r="AB558">
            <v>127105000</v>
          </cell>
          <cell r="AC558">
            <v>112.5</v>
          </cell>
          <cell r="AD558">
            <v>100</v>
          </cell>
        </row>
        <row r="559">
          <cell r="C559" t="str">
            <v>02</v>
          </cell>
          <cell r="D559" t="str">
            <v>01</v>
          </cell>
          <cell r="E559" t="str">
            <v>01</v>
          </cell>
          <cell r="F559" t="str">
            <v>02</v>
          </cell>
          <cell r="H559" t="str">
            <v>22</v>
          </cell>
          <cell r="I559" t="str">
            <v>Pemeliharaan rutin/berkala gedung kantor</v>
          </cell>
          <cell r="J559" t="str">
            <v>Terlaksananya pemeliharaan gedung kantor (bln).</v>
          </cell>
          <cell r="K559">
            <v>72</v>
          </cell>
          <cell r="L559">
            <v>796867700</v>
          </cell>
          <cell r="M559">
            <v>24</v>
          </cell>
          <cell r="N559">
            <v>173500000</v>
          </cell>
          <cell r="O559">
            <v>12</v>
          </cell>
          <cell r="P559">
            <v>126867700</v>
          </cell>
          <cell r="Q559">
            <v>3</v>
          </cell>
          <cell r="R559">
            <v>12424600</v>
          </cell>
          <cell r="S559">
            <v>6</v>
          </cell>
          <cell r="T559">
            <v>78351800</v>
          </cell>
          <cell r="Y559">
            <v>9</v>
          </cell>
          <cell r="Z559">
            <v>90776400</v>
          </cell>
          <cell r="AA559">
            <v>33</v>
          </cell>
          <cell r="AB559">
            <v>264276400</v>
          </cell>
          <cell r="AC559">
            <v>45.833333333333329</v>
          </cell>
          <cell r="AD559">
            <v>33.164401066827025</v>
          </cell>
        </row>
        <row r="560">
          <cell r="C560" t="str">
            <v>02</v>
          </cell>
          <cell r="D560" t="str">
            <v>01</v>
          </cell>
          <cell r="E560" t="str">
            <v>01</v>
          </cell>
          <cell r="F560" t="str">
            <v>02</v>
          </cell>
          <cell r="H560" t="str">
            <v>42</v>
          </cell>
          <cell r="I560" t="str">
            <v>Rehab sedang/ berat gedung kantor</v>
          </cell>
          <cell r="J560" t="str">
            <v>Terlaksananya rehab sedang/ berat sarana dan prasarana BLK</v>
          </cell>
          <cell r="K560">
            <v>12</v>
          </cell>
          <cell r="L560">
            <v>720729500</v>
          </cell>
          <cell r="M560">
            <v>12</v>
          </cell>
          <cell r="N560">
            <v>31500000</v>
          </cell>
          <cell r="O560">
            <v>12</v>
          </cell>
          <cell r="P560">
            <v>689229500</v>
          </cell>
          <cell r="Q560">
            <v>0</v>
          </cell>
          <cell r="R560">
            <v>0</v>
          </cell>
          <cell r="S560">
            <v>6</v>
          </cell>
          <cell r="T560">
            <v>452219569</v>
          </cell>
          <cell r="Y560">
            <v>6</v>
          </cell>
          <cell r="Z560">
            <v>452219569</v>
          </cell>
          <cell r="AA560">
            <v>18</v>
          </cell>
          <cell r="AB560">
            <v>483719569</v>
          </cell>
          <cell r="AC560">
            <v>150</v>
          </cell>
          <cell r="AD560">
            <v>67.115272650835024</v>
          </cell>
        </row>
        <row r="561">
          <cell r="A561">
            <v>3</v>
          </cell>
          <cell r="C561" t="str">
            <v>02</v>
          </cell>
          <cell r="D561" t="str">
            <v>01</v>
          </cell>
          <cell r="E561" t="str">
            <v>01</v>
          </cell>
          <cell r="F561" t="str">
            <v>05</v>
          </cell>
          <cell r="I561" t="str">
            <v>Program Peningkatan Kapasitas Sumber Daya Aparatur</v>
          </cell>
          <cell r="J561" t="str">
            <v>Persentase aparatur yang berkompeten (%)</v>
          </cell>
          <cell r="K561">
            <v>100</v>
          </cell>
          <cell r="L561">
            <v>260500000</v>
          </cell>
          <cell r="M561">
            <v>24</v>
          </cell>
          <cell r="N561">
            <v>95000000</v>
          </cell>
          <cell r="O561">
            <v>0</v>
          </cell>
          <cell r="P561">
            <v>0</v>
          </cell>
          <cell r="Q561">
            <v>0</v>
          </cell>
          <cell r="R561">
            <v>0</v>
          </cell>
          <cell r="S561">
            <v>0</v>
          </cell>
          <cell r="T561">
            <v>0</v>
          </cell>
          <cell r="Y561">
            <v>0</v>
          </cell>
          <cell r="Z561">
            <v>0</v>
          </cell>
          <cell r="AA561">
            <v>24</v>
          </cell>
          <cell r="AB561">
            <v>95000000</v>
          </cell>
          <cell r="AC561">
            <v>24</v>
          </cell>
          <cell r="AD561">
            <v>36.468330134357011</v>
          </cell>
          <cell r="AE561" t="str">
            <v>Dinas Nakertran</v>
          </cell>
        </row>
        <row r="562">
          <cell r="C562" t="str">
            <v>02</v>
          </cell>
          <cell r="D562" t="str">
            <v>01</v>
          </cell>
          <cell r="E562" t="str">
            <v>01</v>
          </cell>
          <cell r="F562" t="str">
            <v>05</v>
          </cell>
          <cell r="H562" t="str">
            <v>03</v>
          </cell>
          <cell r="I562" t="str">
            <v>Bimbingan Teknis implementasi peraturan perundang-undangan.</v>
          </cell>
          <cell r="J562" t="str">
            <v>Jumlah aparatur yang mengikuti pendidikan (org)</v>
          </cell>
          <cell r="K562">
            <v>30</v>
          </cell>
          <cell r="L562">
            <v>260500000</v>
          </cell>
          <cell r="M562">
            <v>24</v>
          </cell>
          <cell r="N562">
            <v>95000000</v>
          </cell>
          <cell r="O562">
            <v>0</v>
          </cell>
          <cell r="P562">
            <v>0</v>
          </cell>
          <cell r="Q562">
            <v>0</v>
          </cell>
          <cell r="R562">
            <v>0</v>
          </cell>
          <cell r="S562">
            <v>0</v>
          </cell>
          <cell r="T562" t="str">
            <v>0</v>
          </cell>
          <cell r="Y562">
            <v>0</v>
          </cell>
          <cell r="Z562">
            <v>0</v>
          </cell>
          <cell r="AA562">
            <v>24</v>
          </cell>
          <cell r="AB562">
            <v>95000000</v>
          </cell>
          <cell r="AC562">
            <v>80</v>
          </cell>
          <cell r="AD562">
            <v>36.468330134357011</v>
          </cell>
        </row>
        <row r="563">
          <cell r="A563">
            <v>4</v>
          </cell>
          <cell r="B563" t="str">
            <v xml:space="preserve">meningkatnya Ketersediaan Tenaga Kerja terlatih </v>
          </cell>
          <cell r="C563" t="str">
            <v>02</v>
          </cell>
          <cell r="D563" t="str">
            <v>01</v>
          </cell>
          <cell r="E563" t="str">
            <v>01</v>
          </cell>
          <cell r="F563" t="str">
            <v>15</v>
          </cell>
          <cell r="I563" t="str">
            <v>Program peningkatan kualitas dan produktivitas tenaga kerja</v>
          </cell>
          <cell r="J563" t="str">
            <v>Jumlah tenaga kerja yang terampil dan mempunyai keahlian (orang)</v>
          </cell>
          <cell r="K563">
            <v>144</v>
          </cell>
          <cell r="L563">
            <v>8590002825</v>
          </cell>
          <cell r="M563">
            <v>160</v>
          </cell>
          <cell r="N563">
            <v>630632000</v>
          </cell>
          <cell r="O563">
            <v>112</v>
          </cell>
          <cell r="P563">
            <v>774494500</v>
          </cell>
          <cell r="Q563">
            <v>3</v>
          </cell>
          <cell r="R563">
            <v>12257405</v>
          </cell>
          <cell r="S563">
            <v>5</v>
          </cell>
          <cell r="T563">
            <v>234434405</v>
          </cell>
          <cell r="Y563">
            <v>8</v>
          </cell>
          <cell r="Z563">
            <v>246691810</v>
          </cell>
          <cell r="AA563">
            <v>168</v>
          </cell>
          <cell r="AB563">
            <v>877323810</v>
          </cell>
          <cell r="AC563">
            <v>116.66666666666667</v>
          </cell>
          <cell r="AD563">
            <v>10.21331224067438</v>
          </cell>
          <cell r="AE563" t="str">
            <v>Dinas Nakertran</v>
          </cell>
        </row>
        <row r="564">
          <cell r="C564" t="str">
            <v>02</v>
          </cell>
          <cell r="D564" t="str">
            <v>01</v>
          </cell>
          <cell r="E564" t="str">
            <v>01</v>
          </cell>
          <cell r="F564" t="str">
            <v>15</v>
          </cell>
          <cell r="H564" t="str">
            <v>06</v>
          </cell>
          <cell r="I564" t="str">
            <v>Pendidikan dan pelatihan keterampilan bagi pencari kerja.</v>
          </cell>
          <cell r="J564" t="str">
            <v>Jumlah peserta pelatihan (org)</v>
          </cell>
          <cell r="K564">
            <v>60</v>
          </cell>
          <cell r="L564">
            <v>8570504825</v>
          </cell>
          <cell r="M564">
            <v>20</v>
          </cell>
          <cell r="N564">
            <v>630632000</v>
          </cell>
          <cell r="O564">
            <v>10</v>
          </cell>
          <cell r="P564">
            <v>754996500</v>
          </cell>
          <cell r="Q564">
            <v>3</v>
          </cell>
          <cell r="R564">
            <v>6748405</v>
          </cell>
          <cell r="S564">
            <v>5</v>
          </cell>
          <cell r="T564">
            <v>213380405</v>
          </cell>
          <cell r="Y564">
            <v>8</v>
          </cell>
          <cell r="Z564">
            <v>220128810</v>
          </cell>
          <cell r="AA564">
            <v>28</v>
          </cell>
          <cell r="AB564">
            <v>850760810</v>
          </cell>
          <cell r="AC564">
            <v>46.666666666666664</v>
          </cell>
          <cell r="AD564">
            <v>9.9266125785070081</v>
          </cell>
        </row>
        <row r="565">
          <cell r="C565" t="str">
            <v>02</v>
          </cell>
          <cell r="D565" t="str">
            <v>01</v>
          </cell>
          <cell r="E565" t="str">
            <v>01</v>
          </cell>
          <cell r="F565" t="str">
            <v>15</v>
          </cell>
          <cell r="H565" t="str">
            <v>13</v>
          </cell>
          <cell r="I565" t="str">
            <v>Pemeliharaan peralatan Workshop BLK Painan</v>
          </cell>
          <cell r="J565" t="str">
            <v>jumlah peralatan workshop yang dipelihara (unit)</v>
          </cell>
          <cell r="K565">
            <v>54</v>
          </cell>
          <cell r="L565">
            <v>19498000</v>
          </cell>
          <cell r="M565">
            <v>18</v>
          </cell>
          <cell r="N565">
            <v>0</v>
          </cell>
          <cell r="O565">
            <v>9</v>
          </cell>
          <cell r="P565">
            <v>19498000</v>
          </cell>
          <cell r="Q565">
            <v>3</v>
          </cell>
          <cell r="R565">
            <v>5509000</v>
          </cell>
          <cell r="S565">
            <v>5</v>
          </cell>
          <cell r="T565">
            <v>11054000</v>
          </cell>
          <cell r="Y565">
            <v>8</v>
          </cell>
          <cell r="Z565">
            <v>16563000</v>
          </cell>
          <cell r="AA565">
            <v>26</v>
          </cell>
          <cell r="AB565">
            <v>16563000</v>
          </cell>
          <cell r="AC565">
            <v>48.148148148148145</v>
          </cell>
          <cell r="AD565">
            <v>84.947174069135301</v>
          </cell>
        </row>
        <row r="566">
          <cell r="A566">
            <v>5</v>
          </cell>
          <cell r="B566" t="str">
            <v xml:space="preserve">Meningkatnya Kesempatan Kerja </v>
          </cell>
          <cell r="C566" t="str">
            <v>02</v>
          </cell>
          <cell r="D566" t="str">
            <v>01</v>
          </cell>
          <cell r="E566" t="str">
            <v>01</v>
          </cell>
          <cell r="F566" t="str">
            <v>16</v>
          </cell>
          <cell r="I566" t="str">
            <v>Program peningkatan kesempatan kerja</v>
          </cell>
          <cell r="J566" t="str">
            <v>Jumlah pencari kerja yang ditempatkan</v>
          </cell>
          <cell r="K566">
            <v>326</v>
          </cell>
          <cell r="L566">
            <v>336322000</v>
          </cell>
          <cell r="M566">
            <v>350</v>
          </cell>
          <cell r="N566">
            <v>221984350</v>
          </cell>
          <cell r="O566">
            <v>150</v>
          </cell>
          <cell r="P566">
            <v>114337650</v>
          </cell>
          <cell r="Q566">
            <v>3</v>
          </cell>
          <cell r="R566">
            <v>12310000</v>
          </cell>
          <cell r="S566">
            <v>5</v>
          </cell>
          <cell r="T566">
            <v>52666600</v>
          </cell>
          <cell r="Y566">
            <v>8</v>
          </cell>
          <cell r="Z566">
            <v>64976600</v>
          </cell>
          <cell r="AA566">
            <v>358</v>
          </cell>
          <cell r="AB566">
            <v>286960950</v>
          </cell>
          <cell r="AC566">
            <v>109.81595092024541</v>
          </cell>
          <cell r="AD566">
            <v>85.323276502875217</v>
          </cell>
          <cell r="AE566" t="str">
            <v>Dinas Nakertran</v>
          </cell>
        </row>
        <row r="567">
          <cell r="C567" t="str">
            <v>02</v>
          </cell>
          <cell r="D567" t="str">
            <v>01</v>
          </cell>
          <cell r="E567" t="str">
            <v>01</v>
          </cell>
          <cell r="F567" t="str">
            <v>16</v>
          </cell>
          <cell r="H567" t="str">
            <v>02</v>
          </cell>
          <cell r="I567" t="str">
            <v>Penyebarluasan informasi bursa tenaga kerja.</v>
          </cell>
          <cell r="J567" t="str">
            <v>Publikasi yang dilaksanakan (bln)</v>
          </cell>
          <cell r="K567">
            <v>72</v>
          </cell>
          <cell r="L567">
            <v>269286900</v>
          </cell>
          <cell r="M567">
            <v>24</v>
          </cell>
          <cell r="N567">
            <v>154949250</v>
          </cell>
          <cell r="O567">
            <v>12</v>
          </cell>
          <cell r="P567">
            <v>114337650</v>
          </cell>
          <cell r="Q567">
            <v>3</v>
          </cell>
          <cell r="R567">
            <v>12310000</v>
          </cell>
          <cell r="S567">
            <v>3</v>
          </cell>
          <cell r="T567">
            <v>52666600</v>
          </cell>
          <cell r="Y567">
            <v>6</v>
          </cell>
          <cell r="Z567">
            <v>64976600</v>
          </cell>
          <cell r="AA567">
            <v>30</v>
          </cell>
          <cell r="AB567">
            <v>219925850</v>
          </cell>
          <cell r="AC567">
            <v>41.666666666666671</v>
          </cell>
          <cell r="AD567">
            <v>81.669717316364071</v>
          </cell>
        </row>
        <row r="568">
          <cell r="C568" t="str">
            <v>01</v>
          </cell>
          <cell r="D568" t="str">
            <v>02</v>
          </cell>
          <cell r="E568" t="str">
            <v>01</v>
          </cell>
          <cell r="F568" t="str">
            <v>16</v>
          </cell>
          <cell r="H568" t="str">
            <v>14</v>
          </cell>
          <cell r="I568" t="str">
            <v>Penyusunan Perencanaan Tenaga Kerja Daerah (PTKD)</v>
          </cell>
          <cell r="J568" t="str">
            <v>Buku PTKD (dok)</v>
          </cell>
          <cell r="K568">
            <v>1</v>
          </cell>
          <cell r="L568">
            <v>67035100</v>
          </cell>
          <cell r="M568">
            <v>1</v>
          </cell>
          <cell r="N568">
            <v>67035100</v>
          </cell>
          <cell r="O568">
            <v>0</v>
          </cell>
          <cell r="P568">
            <v>0</v>
          </cell>
          <cell r="Q568">
            <v>0</v>
          </cell>
          <cell r="R568">
            <v>0</v>
          </cell>
          <cell r="Y568">
            <v>0</v>
          </cell>
          <cell r="Z568">
            <v>0</v>
          </cell>
          <cell r="AA568">
            <v>1</v>
          </cell>
          <cell r="AB568">
            <v>67035100</v>
          </cell>
          <cell r="AC568">
            <v>100</v>
          </cell>
          <cell r="AD568">
            <v>100</v>
          </cell>
        </row>
        <row r="569">
          <cell r="A569">
            <v>6</v>
          </cell>
          <cell r="C569" t="str">
            <v>02</v>
          </cell>
          <cell r="D569" t="str">
            <v>01</v>
          </cell>
          <cell r="E569" t="str">
            <v>01</v>
          </cell>
          <cell r="F569">
            <v>17</v>
          </cell>
          <cell r="I569" t="str">
            <v>Program Perlindungan dan  Pengembangan lembaga ketenagakerjaan</v>
          </cell>
          <cell r="J569" t="str">
            <v>Persentase perusahaan yang menerapkan aturan-aturan ketenagakerjaan</v>
          </cell>
          <cell r="K569">
            <v>100</v>
          </cell>
          <cell r="L569">
            <v>462899685</v>
          </cell>
          <cell r="M569">
            <v>40</v>
          </cell>
          <cell r="N569">
            <v>107655000</v>
          </cell>
          <cell r="O569">
            <v>20</v>
          </cell>
          <cell r="P569">
            <v>62265000</v>
          </cell>
          <cell r="Q569">
            <v>3</v>
          </cell>
          <cell r="R569">
            <v>1775000</v>
          </cell>
          <cell r="S569">
            <v>5</v>
          </cell>
          <cell r="T569">
            <v>9762500</v>
          </cell>
          <cell r="Y569">
            <v>8</v>
          </cell>
          <cell r="Z569">
            <v>11537500</v>
          </cell>
          <cell r="AA569">
            <v>48</v>
          </cell>
          <cell r="AB569">
            <v>119192500</v>
          </cell>
          <cell r="AC569">
            <v>48</v>
          </cell>
          <cell r="AD569">
            <v>25.749099397205249</v>
          </cell>
          <cell r="AE569" t="str">
            <v>Dinas Nakertran</v>
          </cell>
        </row>
        <row r="570">
          <cell r="C570" t="str">
            <v>02</v>
          </cell>
          <cell r="D570" t="str">
            <v>01</v>
          </cell>
          <cell r="E570" t="str">
            <v>01</v>
          </cell>
          <cell r="F570" t="str">
            <v>17</v>
          </cell>
          <cell r="H570" t="str">
            <v>05</v>
          </cell>
          <cell r="I570" t="str">
            <v>Peningkatan pengawasan, perlindungan dan penegakan hukum terhadap keselamatan dan kesehatan kerja.</v>
          </cell>
          <cell r="J570" t="str">
            <v>pengawasan yang dilaksanakan (bln)</v>
          </cell>
          <cell r="K570">
            <v>72</v>
          </cell>
          <cell r="L570">
            <v>416899685</v>
          </cell>
          <cell r="M570">
            <v>24</v>
          </cell>
          <cell r="N570">
            <v>61655000</v>
          </cell>
          <cell r="O570">
            <v>12</v>
          </cell>
          <cell r="P570">
            <v>62265000</v>
          </cell>
          <cell r="Q570">
            <v>3</v>
          </cell>
          <cell r="R570">
            <v>1775000</v>
          </cell>
          <cell r="S570">
            <v>5</v>
          </cell>
          <cell r="T570">
            <v>9762500</v>
          </cell>
          <cell r="Y570">
            <v>8</v>
          </cell>
          <cell r="Z570">
            <v>11537500</v>
          </cell>
          <cell r="AA570">
            <v>32</v>
          </cell>
          <cell r="AB570">
            <v>73192500</v>
          </cell>
          <cell r="AC570">
            <v>44.444444444444443</v>
          </cell>
          <cell r="AD570">
            <v>17.556381698873196</v>
          </cell>
        </row>
        <row r="571">
          <cell r="I571" t="str">
            <v>Peningkatan Pembinaan Hubungan Industrial</v>
          </cell>
          <cell r="J571" t="str">
            <v>Pembinaan yang dilaksanakan (bln)</v>
          </cell>
          <cell r="K571">
            <v>72</v>
          </cell>
          <cell r="L571">
            <v>46000000</v>
          </cell>
          <cell r="M571">
            <v>24</v>
          </cell>
          <cell r="N571">
            <v>46000000</v>
          </cell>
          <cell r="O571">
            <v>0</v>
          </cell>
          <cell r="P571">
            <v>0</v>
          </cell>
          <cell r="Q571">
            <v>0</v>
          </cell>
          <cell r="R571">
            <v>0</v>
          </cell>
          <cell r="S571" t="str">
            <v>0</v>
          </cell>
          <cell r="T571" t="str">
            <v>0</v>
          </cell>
          <cell r="Y571">
            <v>0</v>
          </cell>
          <cell r="Z571">
            <v>0</v>
          </cell>
          <cell r="AA571">
            <v>24</v>
          </cell>
          <cell r="AB571">
            <v>46000000</v>
          </cell>
          <cell r="AC571">
            <v>33.333333333333329</v>
          </cell>
          <cell r="AD571">
            <v>100</v>
          </cell>
        </row>
        <row r="572">
          <cell r="A572" t="str">
            <v>Rata-Rata Capaian Kinerja</v>
          </cell>
          <cell r="AC572">
            <v>63.635991820040907</v>
          </cell>
          <cell r="AD572">
            <v>42.62440335224391</v>
          </cell>
        </row>
        <row r="573">
          <cell r="A573" t="str">
            <v>Peringkat  Kinerja</v>
          </cell>
          <cell r="AC573" t="str">
            <v>R</v>
          </cell>
          <cell r="AD573" t="str">
            <v>SR</v>
          </cell>
        </row>
        <row r="574">
          <cell r="A574" t="str">
            <v>II</v>
          </cell>
          <cell r="I574" t="str">
            <v>URUSAN PEMBERDAYAAN PEREMPUAN DAN PERLINDUNGAN ANAK</v>
          </cell>
          <cell r="L574">
            <v>1092500000</v>
          </cell>
          <cell r="N574">
            <v>366265225</v>
          </cell>
          <cell r="P574">
            <v>593607148</v>
          </cell>
          <cell r="R574">
            <v>29446850</v>
          </cell>
          <cell r="Z574">
            <v>115502900</v>
          </cell>
          <cell r="AB574">
            <v>481768125</v>
          </cell>
        </row>
        <row r="575">
          <cell r="A575">
            <v>1</v>
          </cell>
          <cell r="B575" t="str">
            <v>Meningkatnya Pembangunan yang memperhatikan kesetaraan gender dan pemenuhan hak anak</v>
          </cell>
          <cell r="I575" t="str">
            <v>Program Penguatan dan Pembangunan Kelembagaan beserta Jaringanya dan Penyusunan Regulasi Daerah</v>
          </cell>
          <cell r="J575" t="str">
            <v>persentase kelembagaan daerah yang responsif gender dan pemenuhan hak anak</v>
          </cell>
          <cell r="K575">
            <v>0.8</v>
          </cell>
          <cell r="L575">
            <v>375000000</v>
          </cell>
          <cell r="M575">
            <v>0.29039999999999999</v>
          </cell>
          <cell r="N575">
            <v>156395105</v>
          </cell>
          <cell r="O575">
            <v>0.3</v>
          </cell>
          <cell r="P575">
            <v>201693506</v>
          </cell>
          <cell r="Q575">
            <v>3.8317297136973759E-2</v>
          </cell>
          <cell r="R575">
            <v>7728350</v>
          </cell>
          <cell r="T575">
            <v>28330850</v>
          </cell>
          <cell r="Y575">
            <v>3.8317297136973759E-2</v>
          </cell>
          <cell r="Z575">
            <v>36059200</v>
          </cell>
          <cell r="AA575">
            <v>0.32871729713697373</v>
          </cell>
          <cell r="AB575">
            <v>192454305</v>
          </cell>
          <cell r="AC575">
            <v>41.089662142121711</v>
          </cell>
          <cell r="AD575">
            <v>51.321148000000008</v>
          </cell>
          <cell r="AE575" t="str">
            <v>Dinas Sosial, Pemberdayaan Perempuan dan Perlindungan Anak</v>
          </cell>
        </row>
        <row r="576">
          <cell r="I576" t="str">
            <v>Pengembangan Fasilitasi Forum Anak Daerah</v>
          </cell>
          <cell r="J576" t="str">
            <v>Jumkah kecamtan yang tersentuuh perlindungan</v>
          </cell>
          <cell r="K576">
            <v>15</v>
          </cell>
          <cell r="L576">
            <v>110000000</v>
          </cell>
          <cell r="M576">
            <v>0</v>
          </cell>
          <cell r="O576">
            <v>2</v>
          </cell>
          <cell r="P576">
            <v>86129949</v>
          </cell>
          <cell r="Q576">
            <v>0</v>
          </cell>
          <cell r="R576">
            <v>0</v>
          </cell>
          <cell r="T576">
            <v>1106000</v>
          </cell>
          <cell r="Y576">
            <v>0</v>
          </cell>
          <cell r="Z576">
            <v>1106000</v>
          </cell>
          <cell r="AA576">
            <v>0</v>
          </cell>
          <cell r="AB576">
            <v>1106000</v>
          </cell>
          <cell r="AC576">
            <v>0</v>
          </cell>
          <cell r="AD576">
            <v>1.0054545454545454</v>
          </cell>
        </row>
        <row r="577">
          <cell r="I577" t="str">
            <v>Pembinaan Kelembagaan PUG dan Perlindungan Anak</v>
          </cell>
          <cell r="J577" t="str">
            <v>Persentase lembaga PUG yang dibina</v>
          </cell>
          <cell r="K577">
            <v>0.6</v>
          </cell>
          <cell r="L577">
            <v>165000000</v>
          </cell>
          <cell r="M577">
            <v>0.29039999999999999</v>
          </cell>
          <cell r="N577">
            <v>89289340</v>
          </cell>
          <cell r="O577">
            <v>0.3</v>
          </cell>
          <cell r="P577">
            <v>84103590</v>
          </cell>
          <cell r="Q577">
            <v>2.4E-2</v>
          </cell>
          <cell r="R577">
            <v>6728350</v>
          </cell>
          <cell r="S577">
            <v>4.87E-2</v>
          </cell>
          <cell r="T577">
            <v>13658350</v>
          </cell>
          <cell r="Y577">
            <v>7.2700000000000001E-2</v>
          </cell>
          <cell r="Z577">
            <v>20386700</v>
          </cell>
          <cell r="AA577">
            <v>0.36309999999999998</v>
          </cell>
          <cell r="AB577">
            <v>109676040</v>
          </cell>
          <cell r="AC577">
            <v>60.516666666666666</v>
          </cell>
          <cell r="AD577">
            <v>66.470327272727275</v>
          </cell>
        </row>
        <row r="578">
          <cell r="I578" t="str">
            <v>Penyususnan Anggaran Responsif Gender</v>
          </cell>
          <cell r="J578" t="str">
            <v>Jumlah OPD yang menerapkan anggaran responsif gender</v>
          </cell>
          <cell r="K578">
            <v>45</v>
          </cell>
          <cell r="L578">
            <v>100000000</v>
          </cell>
          <cell r="M578">
            <v>20</v>
          </cell>
          <cell r="N578">
            <v>67105765</v>
          </cell>
          <cell r="O578">
            <v>20</v>
          </cell>
          <cell r="P578">
            <v>31459967</v>
          </cell>
          <cell r="Q578">
            <v>0</v>
          </cell>
          <cell r="R578">
            <v>1000000</v>
          </cell>
          <cell r="S578">
            <v>20</v>
          </cell>
          <cell r="T578">
            <v>13566500</v>
          </cell>
          <cell r="Y578">
            <v>20</v>
          </cell>
          <cell r="Z578">
            <v>14566500</v>
          </cell>
          <cell r="AA578">
            <v>40</v>
          </cell>
          <cell r="AB578">
            <v>81672265</v>
          </cell>
          <cell r="AC578">
            <v>88.888888888888886</v>
          </cell>
          <cell r="AD578">
            <v>81.672264999999996</v>
          </cell>
        </row>
        <row r="579">
          <cell r="A579">
            <v>2</v>
          </cell>
          <cell r="B579" t="str">
            <v>Meningkatnya Pembangunan yang memperhatikan kesetaraan gender dan pemenuhan hak anak</v>
          </cell>
          <cell r="I579" t="str">
            <v>Penguatan kelembagaan pengarusutamaan gender dan anak</v>
          </cell>
          <cell r="J579" t="str">
            <v>Persentase capaian penguatan dan pembangunan kelembagaan beserta jaringan P2TP2A</v>
          </cell>
          <cell r="K579">
            <v>0.8</v>
          </cell>
          <cell r="L579">
            <v>467500000</v>
          </cell>
          <cell r="M579">
            <v>0.6</v>
          </cell>
          <cell r="N579">
            <v>60563060</v>
          </cell>
          <cell r="O579">
            <v>0.5</v>
          </cell>
          <cell r="P579">
            <v>145344827</v>
          </cell>
          <cell r="Q579">
            <v>7.0699999999999999E-2</v>
          </cell>
          <cell r="R579">
            <v>10273400</v>
          </cell>
          <cell r="T579">
            <v>36491200</v>
          </cell>
          <cell r="Y579">
            <v>7.0699999999999999E-2</v>
          </cell>
          <cell r="Z579">
            <v>46764600</v>
          </cell>
          <cell r="AA579">
            <v>0.67069999999999996</v>
          </cell>
          <cell r="AB579">
            <v>107327660</v>
          </cell>
          <cell r="AC579">
            <v>83.837499999999991</v>
          </cell>
          <cell r="AD579">
            <v>22.957788235294117</v>
          </cell>
          <cell r="AE579" t="str">
            <v>Dinas Sosial, Pemberdayaan Perempuan dan Perlindungan Anak</v>
          </cell>
        </row>
        <row r="580">
          <cell r="I580" t="str">
            <v>Fasilitasi Pengembangan Pusat Pelayanan Terpadu Pemberdayaan Perempuan (P2TP2A)</v>
          </cell>
          <cell r="J580" t="str">
            <v>Jumlah Kecamatan yang menurun kasus kekerasan terhadap perempuan dan anak</v>
          </cell>
          <cell r="K580">
            <v>15</v>
          </cell>
          <cell r="L580">
            <v>275000000</v>
          </cell>
          <cell r="M580">
            <v>2</v>
          </cell>
          <cell r="N580">
            <v>60563060</v>
          </cell>
          <cell r="O580">
            <v>2</v>
          </cell>
          <cell r="P580">
            <v>113859822</v>
          </cell>
          <cell r="Q580">
            <v>0</v>
          </cell>
          <cell r="R580">
            <v>7843500</v>
          </cell>
          <cell r="S580">
            <v>3</v>
          </cell>
          <cell r="T580">
            <v>29380800</v>
          </cell>
          <cell r="Y580">
            <v>3</v>
          </cell>
          <cell r="Z580">
            <v>37224300</v>
          </cell>
          <cell r="AA580">
            <v>5</v>
          </cell>
          <cell r="AB580">
            <v>97787360</v>
          </cell>
          <cell r="AC580">
            <v>33.333333333333329</v>
          </cell>
          <cell r="AD580">
            <v>35.559039999999996</v>
          </cell>
        </row>
        <row r="581">
          <cell r="I581" t="str">
            <v>Pengembangan Sistem Informasi Gender dan Anak</v>
          </cell>
          <cell r="J581" t="str">
            <v>Buku profil Gender (dok)</v>
          </cell>
          <cell r="K581">
            <v>5</v>
          </cell>
          <cell r="L581">
            <v>192500000</v>
          </cell>
          <cell r="O581">
            <v>1</v>
          </cell>
          <cell r="P581">
            <v>31485005</v>
          </cell>
          <cell r="Q581">
            <v>0</v>
          </cell>
          <cell r="R581">
            <v>2429900</v>
          </cell>
          <cell r="S581">
            <v>0</v>
          </cell>
          <cell r="T581">
            <v>7110400</v>
          </cell>
          <cell r="Y581">
            <v>0</v>
          </cell>
          <cell r="Z581">
            <v>9540300</v>
          </cell>
          <cell r="AA581">
            <v>0</v>
          </cell>
          <cell r="AB581">
            <v>9540300</v>
          </cell>
          <cell r="AC581">
            <v>0</v>
          </cell>
          <cell r="AD581">
            <v>4.9560000000000004</v>
          </cell>
        </row>
        <row r="582">
          <cell r="A582">
            <v>3</v>
          </cell>
          <cell r="B582" t="str">
            <v>Meningkatnya Pembangunan yang memperhatikan kesetaraan gender dan pemenuhan hak anak</v>
          </cell>
          <cell r="I582" t="str">
            <v xml:space="preserve">Perlindungan anak </v>
          </cell>
          <cell r="J582" t="str">
            <v>Jumlah Nagari yang mendapat program perlindungan anak</v>
          </cell>
          <cell r="K582">
            <v>15</v>
          </cell>
          <cell r="L582">
            <v>250000000</v>
          </cell>
          <cell r="M582">
            <v>3</v>
          </cell>
          <cell r="N582">
            <v>149307060</v>
          </cell>
          <cell r="O582">
            <v>3</v>
          </cell>
          <cell r="P582">
            <v>71012892</v>
          </cell>
          <cell r="Q582">
            <v>0</v>
          </cell>
          <cell r="R582">
            <v>11445100</v>
          </cell>
          <cell r="T582">
            <v>21234000</v>
          </cell>
          <cell r="Y582">
            <v>0</v>
          </cell>
          <cell r="Z582">
            <v>32679100</v>
          </cell>
          <cell r="AA582">
            <v>3</v>
          </cell>
          <cell r="AB582">
            <v>181986160</v>
          </cell>
          <cell r="AC582">
            <v>20</v>
          </cell>
          <cell r="AD582">
            <v>72.794464000000005</v>
          </cell>
          <cell r="AE582" t="str">
            <v>Dinas Sosial, Pemberdayaan Perempuan dan Perlindungan Anak</v>
          </cell>
        </row>
        <row r="583">
          <cell r="I583" t="str">
            <v xml:space="preserve">Pembinaan Nagari Layak Anak </v>
          </cell>
          <cell r="J583" t="str">
            <v>Jumlah Nagari yang mendapat program perlindungan anak</v>
          </cell>
          <cell r="K583">
            <v>15</v>
          </cell>
          <cell r="L583">
            <v>250000000</v>
          </cell>
          <cell r="M583">
            <v>3</v>
          </cell>
          <cell r="N583">
            <v>149307060</v>
          </cell>
          <cell r="O583">
            <v>2</v>
          </cell>
          <cell r="P583">
            <v>71012892</v>
          </cell>
          <cell r="Q583">
            <v>0</v>
          </cell>
          <cell r="R583">
            <v>11445100</v>
          </cell>
          <cell r="S583">
            <v>0</v>
          </cell>
          <cell r="T583">
            <v>21234000</v>
          </cell>
          <cell r="Y583">
            <v>0</v>
          </cell>
          <cell r="Z583">
            <v>32679100</v>
          </cell>
          <cell r="AA583">
            <v>3</v>
          </cell>
          <cell r="AB583">
            <v>181986160</v>
          </cell>
          <cell r="AC583">
            <v>20</v>
          </cell>
          <cell r="AD583">
            <v>72.794464000000005</v>
          </cell>
        </row>
        <row r="584">
          <cell r="A584">
            <v>4</v>
          </cell>
          <cell r="B584" t="str">
            <v>Meningkatnya Pembangunan yang memperhatikan kesetaraan gender dan pemenuhan hak anak</v>
          </cell>
          <cell r="I584" t="str">
            <v xml:space="preserve">Program Peningkatan Perempuan di Perdesaan/Nagari </v>
          </cell>
          <cell r="J584" t="str">
            <v>Persentase peningkatan peran perempuan di nagari/ kecamatan</v>
          </cell>
          <cell r="K584">
            <v>7.0000000000000001E-3</v>
          </cell>
          <cell r="L584">
            <v>295000000</v>
          </cell>
          <cell r="M584">
            <v>5.7999999999999996E-3</v>
          </cell>
          <cell r="N584">
            <v>234689514</v>
          </cell>
          <cell r="O584">
            <v>1E-3</v>
          </cell>
          <cell r="P584">
            <v>175555923</v>
          </cell>
          <cell r="Q584">
            <v>4.0000000000000002E-4</v>
          </cell>
          <cell r="R584">
            <v>1100000</v>
          </cell>
          <cell r="Y584">
            <v>4.0000000000000002E-4</v>
          </cell>
          <cell r="Z584">
            <v>43592746</v>
          </cell>
          <cell r="AA584">
            <v>6.1999999999999998E-3</v>
          </cell>
          <cell r="AB584">
            <v>411882768</v>
          </cell>
          <cell r="AC584">
            <v>88.571428571428569</v>
          </cell>
          <cell r="AD584">
            <v>139.62127728813562</v>
          </cell>
          <cell r="AE584" t="str">
            <v>Dinas Sosial, Pemberdayaan Perempuan dan Perlindungan Anak</v>
          </cell>
        </row>
        <row r="585">
          <cell r="I585" t="str">
            <v>Pemberdayaan Kelembagaan GOW Kabupaten</v>
          </cell>
          <cell r="J585" t="str">
            <v>even GOW yang dilaksanakan (kali)</v>
          </cell>
          <cell r="K585">
            <v>60</v>
          </cell>
          <cell r="L585">
            <v>295000000</v>
          </cell>
          <cell r="M585">
            <v>12</v>
          </cell>
          <cell r="N585">
            <v>234689514</v>
          </cell>
          <cell r="O585">
            <v>8</v>
          </cell>
          <cell r="P585">
            <v>75000000</v>
          </cell>
          <cell r="Q585">
            <v>2</v>
          </cell>
          <cell r="R585">
            <v>1100000</v>
          </cell>
          <cell r="S585">
            <v>2</v>
          </cell>
          <cell r="T585">
            <v>9662000</v>
          </cell>
          <cell r="Y585">
            <v>4</v>
          </cell>
          <cell r="Z585">
            <v>10762000</v>
          </cell>
          <cell r="AA585">
            <v>16</v>
          </cell>
          <cell r="AB585">
            <v>245451514</v>
          </cell>
          <cell r="AC585">
            <v>26.666666666666668</v>
          </cell>
          <cell r="AD585">
            <v>83.203903050847458</v>
          </cell>
        </row>
        <row r="586">
          <cell r="I586" t="str">
            <v>Pemberdayaan kelembagaan Dharmawanita persatuan kabupaten</v>
          </cell>
          <cell r="J586" t="str">
            <v>Terlaksananya kegiatan pembinaan DW (bln)</v>
          </cell>
          <cell r="K586">
            <v>60</v>
          </cell>
          <cell r="L586">
            <v>300000000</v>
          </cell>
          <cell r="M586">
            <v>12</v>
          </cell>
          <cell r="N586">
            <v>99982208</v>
          </cell>
          <cell r="O586">
            <v>12</v>
          </cell>
          <cell r="P586">
            <v>58000000</v>
          </cell>
          <cell r="Q586">
            <v>2</v>
          </cell>
          <cell r="R586">
            <v>800000</v>
          </cell>
          <cell r="S586">
            <v>4</v>
          </cell>
          <cell r="T586">
            <v>9067500</v>
          </cell>
          <cell r="Y586" t="str">
            <v>6</v>
          </cell>
          <cell r="Z586">
            <v>9867500</v>
          </cell>
          <cell r="AA586" t="str">
            <v>18</v>
          </cell>
          <cell r="AB586">
            <v>109849708</v>
          </cell>
          <cell r="AC586">
            <v>18</v>
          </cell>
          <cell r="AD586">
            <v>36.616569333333331</v>
          </cell>
          <cell r="AE586" t="str">
            <v>Dinas Sosial, Pemberdayaan Perempuan dan Perlindungan Anak</v>
          </cell>
        </row>
        <row r="587">
          <cell r="I587" t="str">
            <v>Pemberdayaan kelembagaan BKMT Kabupaten</v>
          </cell>
          <cell r="J587" t="str">
            <v xml:space="preserve">Terlaksananya kegiatan pembinaan BKMT </v>
          </cell>
          <cell r="K587">
            <v>60</v>
          </cell>
          <cell r="L587">
            <v>250000000</v>
          </cell>
          <cell r="M587">
            <v>12</v>
          </cell>
          <cell r="N587">
            <v>33618300</v>
          </cell>
          <cell r="O587">
            <v>12</v>
          </cell>
          <cell r="P587">
            <v>42555923</v>
          </cell>
          <cell r="Q587">
            <v>4</v>
          </cell>
          <cell r="R587">
            <v>8700000</v>
          </cell>
          <cell r="S587">
            <v>4</v>
          </cell>
          <cell r="T587">
            <v>14263246</v>
          </cell>
          <cell r="Y587">
            <v>8</v>
          </cell>
          <cell r="Z587">
            <v>22963246</v>
          </cell>
          <cell r="AA587">
            <v>20</v>
          </cell>
          <cell r="AB587">
            <v>56581546</v>
          </cell>
          <cell r="AC587">
            <v>20</v>
          </cell>
          <cell r="AD587">
            <v>22.632618400000002</v>
          </cell>
        </row>
        <row r="588">
          <cell r="A588" t="str">
            <v>Rata-Rata Capaian Kinerja</v>
          </cell>
          <cell r="AC588">
            <v>48.309054047373898</v>
          </cell>
          <cell r="AD588">
            <v>49.024466745098039</v>
          </cell>
        </row>
        <row r="589">
          <cell r="A589" t="str">
            <v>Peringkat  Kinerja</v>
          </cell>
          <cell r="AC589" t="str">
            <v>SR</v>
          </cell>
          <cell r="AD589" t="str">
            <v>SR</v>
          </cell>
        </row>
        <row r="590">
          <cell r="A590" t="str">
            <v>III</v>
          </cell>
          <cell r="I590" t="str">
            <v>URUSAN PANGAN</v>
          </cell>
          <cell r="L590">
            <v>7720000000</v>
          </cell>
          <cell r="N590">
            <v>2537290184</v>
          </cell>
          <cell r="P590">
            <v>2209314548</v>
          </cell>
          <cell r="R590">
            <v>242800107</v>
          </cell>
          <cell r="T590">
            <v>1198195864</v>
          </cell>
          <cell r="Z590">
            <v>1440995971</v>
          </cell>
          <cell r="AB590">
            <v>3978286155</v>
          </cell>
        </row>
        <row r="591">
          <cell r="A591">
            <v>1</v>
          </cell>
          <cell r="B591" t="str">
            <v>Meningkatkan pelayanan administrasi perkantoran</v>
          </cell>
          <cell r="C591">
            <v>1</v>
          </cell>
          <cell r="D591" t="str">
            <v>02</v>
          </cell>
          <cell r="E591" t="str">
            <v>03</v>
          </cell>
          <cell r="F591" t="str">
            <v>01</v>
          </cell>
          <cell r="G591" t="str">
            <v>01</v>
          </cell>
          <cell r="I591" t="str">
            <v>Program Pelayanan Administrasi Perkantoran</v>
          </cell>
          <cell r="J591" t="str">
            <v>Jumlah cakupan pelayanan admnistrasi perkantoran</v>
          </cell>
          <cell r="K591">
            <v>72</v>
          </cell>
          <cell r="L591">
            <v>720000000</v>
          </cell>
          <cell r="M591">
            <v>24</v>
          </cell>
          <cell r="N591">
            <v>451143502</v>
          </cell>
          <cell r="O591">
            <v>12</v>
          </cell>
          <cell r="P591">
            <v>300631331</v>
          </cell>
          <cell r="Q591">
            <v>3</v>
          </cell>
          <cell r="R591">
            <v>89316807</v>
          </cell>
          <cell r="S591">
            <v>3</v>
          </cell>
          <cell r="T591">
            <v>45180714</v>
          </cell>
          <cell r="Y591">
            <v>6</v>
          </cell>
          <cell r="Z591">
            <v>134497521</v>
          </cell>
          <cell r="AA591">
            <v>30</v>
          </cell>
          <cell r="AB591">
            <v>585641023</v>
          </cell>
          <cell r="AC591">
            <v>25</v>
          </cell>
          <cell r="AD591">
            <v>81.339030972222233</v>
          </cell>
          <cell r="AE591" t="str">
            <v>Dinas Pangan</v>
          </cell>
        </row>
        <row r="592">
          <cell r="C592" t="str">
            <v>1</v>
          </cell>
          <cell r="D592" t="str">
            <v>02</v>
          </cell>
          <cell r="E592" t="str">
            <v>03</v>
          </cell>
          <cell r="F592" t="str">
            <v>01</v>
          </cell>
          <cell r="G592" t="str">
            <v>01</v>
          </cell>
          <cell r="H592" t="str">
            <v>02</v>
          </cell>
          <cell r="I592" t="str">
            <v>Penyediaan Jasa Komunikasi, Sumber Daya Air dan Listrik</v>
          </cell>
          <cell r="J592" t="str">
            <v>Terlaksananya pembayaran rekening listrik, air, telpon dan faks(bulan)</v>
          </cell>
          <cell r="K592">
            <v>72</v>
          </cell>
          <cell r="L592">
            <v>90000000</v>
          </cell>
          <cell r="M592">
            <v>24</v>
          </cell>
          <cell r="N592">
            <v>58509350</v>
          </cell>
          <cell r="O592">
            <v>12</v>
          </cell>
          <cell r="P592">
            <v>45480000</v>
          </cell>
          <cell r="Q592">
            <v>3</v>
          </cell>
          <cell r="R592">
            <v>9347387</v>
          </cell>
          <cell r="S592">
            <v>3</v>
          </cell>
          <cell r="T592">
            <v>13217000</v>
          </cell>
          <cell r="Y592">
            <v>6</v>
          </cell>
          <cell r="Z592">
            <v>22564387</v>
          </cell>
          <cell r="AA592">
            <v>30</v>
          </cell>
          <cell r="AB592">
            <v>81073737</v>
          </cell>
          <cell r="AC592">
            <v>41.666666666666671</v>
          </cell>
          <cell r="AD592">
            <v>90.08193</v>
          </cell>
        </row>
        <row r="593">
          <cell r="C593" t="str">
            <v>1</v>
          </cell>
          <cell r="D593" t="str">
            <v>02</v>
          </cell>
          <cell r="E593" t="str">
            <v>03</v>
          </cell>
          <cell r="F593" t="str">
            <v>01</v>
          </cell>
          <cell r="G593" t="str">
            <v>01</v>
          </cell>
          <cell r="H593" t="str">
            <v>07</v>
          </cell>
          <cell r="I593" t="str">
            <v>Penyediaan jasa administrasi keuangan</v>
          </cell>
          <cell r="J593" t="str">
            <v>Terlaksananya pembayaran honor dan operasional pengelola keuangan (bulan)</v>
          </cell>
          <cell r="K593">
            <v>72</v>
          </cell>
          <cell r="L593">
            <v>80000000</v>
          </cell>
          <cell r="M593">
            <v>24</v>
          </cell>
          <cell r="N593">
            <v>51500000</v>
          </cell>
          <cell r="O593">
            <v>12</v>
          </cell>
          <cell r="P593">
            <v>77850000</v>
          </cell>
          <cell r="Q593">
            <v>3</v>
          </cell>
          <cell r="R593">
            <v>8750000</v>
          </cell>
          <cell r="S593">
            <v>3</v>
          </cell>
          <cell r="T593">
            <v>1245000</v>
          </cell>
          <cell r="Y593">
            <v>6</v>
          </cell>
          <cell r="Z593">
            <v>9995000</v>
          </cell>
          <cell r="AA593">
            <v>30</v>
          </cell>
          <cell r="AB593">
            <v>61495000</v>
          </cell>
          <cell r="AC593">
            <v>41.666666666666671</v>
          </cell>
          <cell r="AD593">
            <v>76.868749999999991</v>
          </cell>
        </row>
        <row r="594">
          <cell r="C594" t="str">
            <v>1</v>
          </cell>
          <cell r="D594" t="str">
            <v>02</v>
          </cell>
          <cell r="E594" t="str">
            <v>03</v>
          </cell>
          <cell r="F594" t="str">
            <v>01</v>
          </cell>
          <cell r="G594" t="str">
            <v>01</v>
          </cell>
          <cell r="H594" t="str">
            <v>10</v>
          </cell>
          <cell r="I594" t="str">
            <v>Penyediaan Alat Tulis Kantor</v>
          </cell>
          <cell r="J594" t="str">
            <v>Tersedianya alat tulis kantor (bulan)</v>
          </cell>
          <cell r="K594">
            <v>72</v>
          </cell>
          <cell r="L594">
            <v>50000000</v>
          </cell>
          <cell r="M594">
            <v>24</v>
          </cell>
          <cell r="N594">
            <v>36563000</v>
          </cell>
          <cell r="O594">
            <v>12</v>
          </cell>
          <cell r="P594">
            <v>19407631</v>
          </cell>
          <cell r="Q594">
            <v>3</v>
          </cell>
          <cell r="R594">
            <v>8418420</v>
          </cell>
          <cell r="S594">
            <v>3</v>
          </cell>
          <cell r="T594">
            <v>12393000</v>
          </cell>
          <cell r="Y594">
            <v>6</v>
          </cell>
          <cell r="Z594">
            <v>20811420</v>
          </cell>
          <cell r="AA594">
            <v>30</v>
          </cell>
          <cell r="AB594">
            <v>57374420</v>
          </cell>
          <cell r="AC594">
            <v>41.666666666666671</v>
          </cell>
          <cell r="AD594">
            <v>114.74884</v>
          </cell>
        </row>
        <row r="595">
          <cell r="C595" t="str">
            <v>1</v>
          </cell>
          <cell r="D595" t="str">
            <v>02</v>
          </cell>
          <cell r="E595" t="str">
            <v>03</v>
          </cell>
          <cell r="F595" t="str">
            <v>01</v>
          </cell>
          <cell r="G595" t="str">
            <v>01</v>
          </cell>
          <cell r="H595" t="str">
            <v>11</v>
          </cell>
          <cell r="I595" t="str">
            <v>Penyediaan Barang Cetakan dan Penggandaan</v>
          </cell>
          <cell r="J595" t="str">
            <v>Tersedianya barang cetakan dan penggandaan (bulan)</v>
          </cell>
          <cell r="K595">
            <v>72</v>
          </cell>
          <cell r="L595">
            <v>60000000</v>
          </cell>
          <cell r="M595">
            <v>24</v>
          </cell>
          <cell r="N595">
            <v>30392000</v>
          </cell>
          <cell r="O595">
            <v>12</v>
          </cell>
          <cell r="P595">
            <v>20589700</v>
          </cell>
          <cell r="Q595">
            <v>3</v>
          </cell>
          <cell r="R595">
            <v>3995500</v>
          </cell>
          <cell r="S595">
            <v>3</v>
          </cell>
          <cell r="T595">
            <v>3754214</v>
          </cell>
          <cell r="Y595">
            <v>6</v>
          </cell>
          <cell r="Z595">
            <v>7749714</v>
          </cell>
          <cell r="AA595">
            <v>30</v>
          </cell>
          <cell r="AB595">
            <v>38141714</v>
          </cell>
          <cell r="AC595">
            <v>41.666666666666671</v>
          </cell>
          <cell r="AD595">
            <v>63.569523333333336</v>
          </cell>
        </row>
        <row r="596">
          <cell r="C596" t="str">
            <v>1</v>
          </cell>
          <cell r="D596" t="str">
            <v>02</v>
          </cell>
          <cell r="E596" t="str">
            <v>03</v>
          </cell>
          <cell r="F596" t="str">
            <v>01</v>
          </cell>
          <cell r="G596" t="str">
            <v>01</v>
          </cell>
          <cell r="H596" t="str">
            <v>12</v>
          </cell>
          <cell r="I596" t="str">
            <v>Penyediaan Komponen Instalasi Listrik/Penerangan Bangunan Kantor</v>
          </cell>
          <cell r="J596" t="str">
            <v>Tersedianya komponen instalasi listrik dan penerangan (bulan)</v>
          </cell>
          <cell r="K596">
            <v>72</v>
          </cell>
          <cell r="L596">
            <v>10000000</v>
          </cell>
          <cell r="M596">
            <v>24</v>
          </cell>
          <cell r="N596">
            <v>3112500</v>
          </cell>
          <cell r="O596">
            <v>12</v>
          </cell>
          <cell r="P596">
            <v>5124000</v>
          </cell>
          <cell r="Q596">
            <v>3</v>
          </cell>
          <cell r="R596">
            <v>493000</v>
          </cell>
          <cell r="S596">
            <v>3</v>
          </cell>
          <cell r="T596">
            <v>984000</v>
          </cell>
          <cell r="Y596">
            <v>6</v>
          </cell>
          <cell r="Z596">
            <v>1477000</v>
          </cell>
          <cell r="AA596">
            <v>30</v>
          </cell>
          <cell r="AB596">
            <v>4589500</v>
          </cell>
          <cell r="AC596">
            <v>41.666666666666671</v>
          </cell>
          <cell r="AD596">
            <v>45.895000000000003</v>
          </cell>
        </row>
        <row r="597">
          <cell r="C597" t="str">
            <v>1</v>
          </cell>
          <cell r="D597" t="str">
            <v>02</v>
          </cell>
          <cell r="E597" t="str">
            <v>03</v>
          </cell>
          <cell r="F597" t="str">
            <v>01</v>
          </cell>
          <cell r="G597" t="str">
            <v>01</v>
          </cell>
          <cell r="H597" t="str">
            <v>13</v>
          </cell>
          <cell r="I597" t="str">
            <v>Penyediaan Jasa Kebersihan Kantor</v>
          </cell>
          <cell r="J597" t="str">
            <v>Tersedianya jasa kebersihan dan bahan kebersihan kantor (bulan)</v>
          </cell>
          <cell r="K597">
            <v>72</v>
          </cell>
          <cell r="L597">
            <v>80000000</v>
          </cell>
          <cell r="M597">
            <v>24</v>
          </cell>
          <cell r="N597">
            <v>43175500</v>
          </cell>
          <cell r="O597">
            <v>12</v>
          </cell>
          <cell r="P597">
            <v>44050000</v>
          </cell>
          <cell r="Q597">
            <v>3</v>
          </cell>
          <cell r="R597">
            <v>7825000</v>
          </cell>
          <cell r="S597">
            <v>3</v>
          </cell>
          <cell r="T597">
            <v>460000</v>
          </cell>
          <cell r="Y597">
            <v>6</v>
          </cell>
          <cell r="Z597">
            <v>8285000</v>
          </cell>
          <cell r="AA597">
            <v>30</v>
          </cell>
          <cell r="AB597">
            <v>51460500</v>
          </cell>
          <cell r="AC597">
            <v>41.666666666666671</v>
          </cell>
          <cell r="AD597">
            <v>64.325625000000002</v>
          </cell>
        </row>
        <row r="598">
          <cell r="C598" t="str">
            <v>1</v>
          </cell>
          <cell r="D598" t="str">
            <v>02</v>
          </cell>
          <cell r="E598" t="str">
            <v>03</v>
          </cell>
          <cell r="F598" t="str">
            <v>01</v>
          </cell>
          <cell r="G598" t="str">
            <v>01</v>
          </cell>
          <cell r="H598" t="str">
            <v>15</v>
          </cell>
          <cell r="I598" t="str">
            <v>Penyediaan Bahan Bacaan dan Peraturan Perundang-undangan</v>
          </cell>
          <cell r="J598" t="str">
            <v>Tersedianya  Bahan Bacaan dan Peraturan Perundang-undangan (bulan)</v>
          </cell>
          <cell r="K598">
            <v>72</v>
          </cell>
          <cell r="L598">
            <v>10000000</v>
          </cell>
          <cell r="M598">
            <v>24</v>
          </cell>
          <cell r="N598">
            <v>8435000</v>
          </cell>
          <cell r="O598">
            <v>12</v>
          </cell>
          <cell r="P598">
            <v>2600000</v>
          </cell>
          <cell r="Q598">
            <v>3</v>
          </cell>
          <cell r="R598">
            <v>460000</v>
          </cell>
          <cell r="S598">
            <v>3</v>
          </cell>
          <cell r="T598">
            <v>460000</v>
          </cell>
          <cell r="Y598">
            <v>6</v>
          </cell>
          <cell r="Z598">
            <v>920000</v>
          </cell>
          <cell r="AA598">
            <v>30</v>
          </cell>
          <cell r="AB598">
            <v>9355000</v>
          </cell>
          <cell r="AC598">
            <v>41.666666666666671</v>
          </cell>
          <cell r="AD598">
            <v>93.55</v>
          </cell>
        </row>
        <row r="599">
          <cell r="C599" t="str">
            <v>1</v>
          </cell>
          <cell r="D599" t="str">
            <v>02</v>
          </cell>
          <cell r="E599" t="str">
            <v>03</v>
          </cell>
          <cell r="F599" t="str">
            <v>01</v>
          </cell>
          <cell r="G599" t="str">
            <v>01</v>
          </cell>
          <cell r="H599" t="str">
            <v>17</v>
          </cell>
          <cell r="I599" t="str">
            <v>Penyediaan Makanan dan Minuman</v>
          </cell>
          <cell r="J599" t="str">
            <v>Tersedianya  Makanan dan Minuman (bulan)</v>
          </cell>
          <cell r="K599">
            <v>72</v>
          </cell>
          <cell r="L599">
            <v>25000000</v>
          </cell>
          <cell r="M599">
            <v>24</v>
          </cell>
          <cell r="N599">
            <v>19387500</v>
          </cell>
          <cell r="O599">
            <v>12</v>
          </cell>
          <cell r="P599">
            <v>14630000</v>
          </cell>
          <cell r="Q599">
            <v>3</v>
          </cell>
          <cell r="R599">
            <v>2767500</v>
          </cell>
          <cell r="S599">
            <v>3</v>
          </cell>
          <cell r="T599">
            <v>2767500</v>
          </cell>
          <cell r="Y599">
            <v>6</v>
          </cell>
          <cell r="Z599">
            <v>5535000</v>
          </cell>
          <cell r="AA599">
            <v>30</v>
          </cell>
          <cell r="AB599">
            <v>24922500</v>
          </cell>
          <cell r="AC599">
            <v>41.666666666666671</v>
          </cell>
          <cell r="AD599">
            <v>99.69</v>
          </cell>
        </row>
        <row r="600">
          <cell r="C600" t="str">
            <v>1</v>
          </cell>
          <cell r="D600" t="str">
            <v>02</v>
          </cell>
          <cell r="E600" t="str">
            <v>03</v>
          </cell>
          <cell r="F600" t="str">
            <v>01</v>
          </cell>
          <cell r="G600" t="str">
            <v>01</v>
          </cell>
          <cell r="H600" t="str">
            <v>18</v>
          </cell>
          <cell r="I600" t="str">
            <v>Rapat-rapat Koordinasi dan Konsultasi ke Luar Daerah</v>
          </cell>
          <cell r="J600" t="str">
            <v>Tersedianya dana untuk Rapat-rapat Koordinasi dan Konsultasi ke Luar Daerah (bulan)</v>
          </cell>
          <cell r="K600">
            <v>72</v>
          </cell>
          <cell r="L600">
            <v>180000000</v>
          </cell>
          <cell r="M600">
            <v>24</v>
          </cell>
          <cell r="N600">
            <v>124083652</v>
          </cell>
          <cell r="O600">
            <v>12</v>
          </cell>
          <cell r="P600">
            <v>42825000</v>
          </cell>
          <cell r="Q600">
            <v>3</v>
          </cell>
          <cell r="R600">
            <v>32590000</v>
          </cell>
          <cell r="S600">
            <v>3</v>
          </cell>
          <cell r="T600">
            <v>1875000</v>
          </cell>
          <cell r="Y600">
            <v>6</v>
          </cell>
          <cell r="Z600">
            <v>34465000</v>
          </cell>
          <cell r="AA600">
            <v>30</v>
          </cell>
          <cell r="AB600">
            <v>158548652</v>
          </cell>
          <cell r="AC600">
            <v>41.666666666666671</v>
          </cell>
          <cell r="AD600">
            <v>88.08258444444445</v>
          </cell>
        </row>
        <row r="601">
          <cell r="C601" t="str">
            <v>1</v>
          </cell>
          <cell r="D601" t="str">
            <v>02</v>
          </cell>
          <cell r="E601" t="str">
            <v>03</v>
          </cell>
          <cell r="F601" t="str">
            <v>01</v>
          </cell>
          <cell r="G601" t="str">
            <v>01</v>
          </cell>
          <cell r="H601" t="str">
            <v>20</v>
          </cell>
          <cell r="I601" t="str">
            <v>Rapat-rapat Koordinasi dan Konsultasi Dalam Daerah</v>
          </cell>
          <cell r="J601" t="str">
            <v>Tersedianya dana untuk Rapat-rapat Koordinasi dan Konsultasi Dalam Daerah (bulan)</v>
          </cell>
          <cell r="K601">
            <v>72</v>
          </cell>
          <cell r="L601">
            <v>135000000</v>
          </cell>
          <cell r="M601">
            <v>24</v>
          </cell>
          <cell r="N601">
            <v>75985000</v>
          </cell>
          <cell r="O601">
            <v>12</v>
          </cell>
          <cell r="P601">
            <v>28075000</v>
          </cell>
          <cell r="Q601">
            <v>3</v>
          </cell>
          <cell r="R601">
            <v>14670000</v>
          </cell>
          <cell r="S601">
            <v>3</v>
          </cell>
          <cell r="T601">
            <v>8025000</v>
          </cell>
          <cell r="Y601">
            <v>6</v>
          </cell>
          <cell r="Z601">
            <v>22695000</v>
          </cell>
          <cell r="AA601">
            <v>30</v>
          </cell>
          <cell r="AB601">
            <v>98680000</v>
          </cell>
          <cell r="AC601">
            <v>41.666666666666671</v>
          </cell>
          <cell r="AD601">
            <v>73.096296296296288</v>
          </cell>
        </row>
        <row r="602">
          <cell r="A602">
            <v>2</v>
          </cell>
          <cell r="B602" t="str">
            <v>Meningkatkan pelayanan sarana dan prasarana penunjang bagi aparatur</v>
          </cell>
          <cell r="C602" t="str">
            <v>1</v>
          </cell>
          <cell r="D602" t="str">
            <v>02</v>
          </cell>
          <cell r="E602" t="str">
            <v>03</v>
          </cell>
          <cell r="F602" t="str">
            <v>01</v>
          </cell>
          <cell r="G602" t="str">
            <v>02</v>
          </cell>
          <cell r="I602" t="str">
            <v>Program Peningkatan Sarana dan Prasarana Aparatur</v>
          </cell>
          <cell r="J602" t="str">
            <v>Meningkatnya kecukupan sarana dan prasarana aparatur (persentase)</v>
          </cell>
          <cell r="K602">
            <v>100</v>
          </cell>
          <cell r="L602">
            <v>2120000000</v>
          </cell>
          <cell r="M602">
            <v>33</v>
          </cell>
          <cell r="N602">
            <v>319770750</v>
          </cell>
          <cell r="O602">
            <v>16</v>
          </cell>
          <cell r="P602">
            <v>159162500</v>
          </cell>
          <cell r="Q602">
            <v>6</v>
          </cell>
          <cell r="R602">
            <v>25710800</v>
          </cell>
          <cell r="S602">
            <v>3</v>
          </cell>
          <cell r="T602">
            <v>60719300</v>
          </cell>
          <cell r="Y602">
            <v>9</v>
          </cell>
          <cell r="Z602">
            <v>86430100</v>
          </cell>
          <cell r="AA602">
            <v>42</v>
          </cell>
          <cell r="AB602">
            <v>406200850</v>
          </cell>
          <cell r="AC602">
            <v>42</v>
          </cell>
          <cell r="AD602">
            <v>19.160417452830188</v>
          </cell>
          <cell r="AE602" t="str">
            <v>Dinas Pangan</v>
          </cell>
        </row>
        <row r="603">
          <cell r="C603" t="str">
            <v>1</v>
          </cell>
          <cell r="D603" t="str">
            <v>02</v>
          </cell>
          <cell r="E603" t="str">
            <v>03</v>
          </cell>
          <cell r="F603" t="str">
            <v>01</v>
          </cell>
          <cell r="G603" t="str">
            <v>02</v>
          </cell>
          <cell r="H603" t="str">
            <v>09</v>
          </cell>
          <cell r="I603" t="str">
            <v>Pengadaan Peralatan Gedung Kantor</v>
          </cell>
          <cell r="J603" t="str">
            <v>Tersedianya 1 unit komputer dan printer (unit)</v>
          </cell>
          <cell r="K603">
            <v>60</v>
          </cell>
          <cell r="L603">
            <v>1800000000</v>
          </cell>
          <cell r="M603">
            <v>23</v>
          </cell>
          <cell r="N603">
            <v>136827000</v>
          </cell>
          <cell r="O603">
            <v>2</v>
          </cell>
          <cell r="P603">
            <v>13000000</v>
          </cell>
          <cell r="Q603">
            <v>0</v>
          </cell>
          <cell r="R603">
            <v>0</v>
          </cell>
          <cell r="S603">
            <v>2</v>
          </cell>
          <cell r="T603">
            <v>13000000</v>
          </cell>
          <cell r="Y603">
            <v>2</v>
          </cell>
          <cell r="Z603">
            <v>13000000</v>
          </cell>
          <cell r="AA603">
            <v>25</v>
          </cell>
          <cell r="AB603">
            <v>149827000</v>
          </cell>
          <cell r="AC603">
            <v>41.666666666666671</v>
          </cell>
          <cell r="AD603">
            <v>8.3237222222222229</v>
          </cell>
        </row>
        <row r="604">
          <cell r="C604" t="str">
            <v>1</v>
          </cell>
          <cell r="D604" t="str">
            <v>02</v>
          </cell>
          <cell r="E604" t="str">
            <v>03</v>
          </cell>
          <cell r="F604" t="str">
            <v>01</v>
          </cell>
          <cell r="G604" t="str">
            <v>02</v>
          </cell>
          <cell r="H604" t="str">
            <v>22</v>
          </cell>
          <cell r="I604" t="str">
            <v>Pemeliharaan Rutin/Berkala Gedung Kantor</v>
          </cell>
          <cell r="J604" t="str">
            <v>Terpeliharanya peralatan kantor (bulan)</v>
          </cell>
          <cell r="K604">
            <v>72</v>
          </cell>
          <cell r="L604">
            <v>150000000</v>
          </cell>
          <cell r="M604">
            <v>24</v>
          </cell>
          <cell r="N604">
            <v>63955000</v>
          </cell>
          <cell r="O604">
            <v>12</v>
          </cell>
          <cell r="P604">
            <v>36000000</v>
          </cell>
          <cell r="Q604">
            <v>3</v>
          </cell>
          <cell r="R604">
            <v>5435000</v>
          </cell>
          <cell r="S604">
            <v>3</v>
          </cell>
          <cell r="T604">
            <v>5435000</v>
          </cell>
          <cell r="Y604">
            <v>6</v>
          </cell>
          <cell r="Z604">
            <v>10870000</v>
          </cell>
          <cell r="AA604">
            <v>30</v>
          </cell>
          <cell r="AB604">
            <v>74825000</v>
          </cell>
          <cell r="AC604">
            <v>41.666666666666671</v>
          </cell>
          <cell r="AD604">
            <v>49.883333333333333</v>
          </cell>
        </row>
        <row r="605">
          <cell r="C605" t="str">
            <v>1</v>
          </cell>
          <cell r="D605" t="str">
            <v>02</v>
          </cell>
          <cell r="E605" t="str">
            <v>03</v>
          </cell>
          <cell r="F605" t="str">
            <v>01</v>
          </cell>
          <cell r="G605" t="str">
            <v>02</v>
          </cell>
          <cell r="H605" t="str">
            <v>24</v>
          </cell>
          <cell r="I605" t="str">
            <v>Pemeliharaan Rutin/Berkala Kendaraan Dinas/ Operasional</v>
          </cell>
          <cell r="J605" t="str">
            <v xml:space="preserve">Tersedianya Pemeliharaan Rutin/Berkala Kendaraan Dinas/Operasional (bulan) </v>
          </cell>
          <cell r="K605">
            <v>72</v>
          </cell>
          <cell r="L605">
            <v>150000000</v>
          </cell>
          <cell r="M605">
            <v>24</v>
          </cell>
          <cell r="N605">
            <v>100788750</v>
          </cell>
          <cell r="O605">
            <v>12</v>
          </cell>
          <cell r="P605">
            <v>99312500</v>
          </cell>
          <cell r="Q605">
            <v>3</v>
          </cell>
          <cell r="R605">
            <v>19624800</v>
          </cell>
          <cell r="S605">
            <v>3</v>
          </cell>
          <cell r="T605">
            <v>41385000</v>
          </cell>
          <cell r="Y605">
            <v>6</v>
          </cell>
          <cell r="Z605">
            <v>61009800</v>
          </cell>
          <cell r="AA605">
            <v>30</v>
          </cell>
          <cell r="AB605">
            <v>161798550</v>
          </cell>
          <cell r="AC605">
            <v>41.666666666666671</v>
          </cell>
          <cell r="AD605">
            <v>107.8657</v>
          </cell>
        </row>
        <row r="606">
          <cell r="C606" t="str">
            <v>1</v>
          </cell>
          <cell r="D606" t="str">
            <v>02</v>
          </cell>
          <cell r="E606" t="str">
            <v>03</v>
          </cell>
          <cell r="F606" t="str">
            <v>01</v>
          </cell>
          <cell r="G606" t="str">
            <v>02</v>
          </cell>
          <cell r="H606" t="str">
            <v>26</v>
          </cell>
          <cell r="I606" t="str">
            <v>Pemeliharaan Rutin/Berkala Perlengkapan Gedung Kantor</v>
          </cell>
          <cell r="J606" t="str">
            <v>Terpeliharanya perlengkapan kantor  (bulan)</v>
          </cell>
          <cell r="K606">
            <v>72</v>
          </cell>
          <cell r="L606">
            <v>20000000</v>
          </cell>
          <cell r="M606">
            <v>24</v>
          </cell>
          <cell r="N606">
            <v>18200000</v>
          </cell>
          <cell r="O606">
            <v>12</v>
          </cell>
          <cell r="P606">
            <v>10850000</v>
          </cell>
          <cell r="Q606">
            <v>3</v>
          </cell>
          <cell r="R606">
            <v>651000</v>
          </cell>
          <cell r="S606">
            <v>3</v>
          </cell>
          <cell r="T606">
            <v>899300</v>
          </cell>
          <cell r="Y606">
            <v>6</v>
          </cell>
          <cell r="Z606">
            <v>1550300</v>
          </cell>
          <cell r="AA606">
            <v>30</v>
          </cell>
          <cell r="AB606">
            <v>19750300</v>
          </cell>
          <cell r="AC606">
            <v>41.666666666666671</v>
          </cell>
          <cell r="AD606">
            <v>98.751500000000007</v>
          </cell>
        </row>
        <row r="607">
          <cell r="A607">
            <v>3</v>
          </cell>
          <cell r="B607" t="str">
            <v xml:space="preserve">Meningkatkan ketersediaan pangan </v>
          </cell>
          <cell r="C607" t="str">
            <v>1</v>
          </cell>
          <cell r="D607" t="str">
            <v>02</v>
          </cell>
          <cell r="E607" t="str">
            <v>03</v>
          </cell>
          <cell r="F607" t="str">
            <v>01</v>
          </cell>
          <cell r="G607" t="str">
            <v>16</v>
          </cell>
          <cell r="I607" t="str">
            <v>Program Peningkatan Ketahanan Pangan (Pertanian/ Perkebunan)</v>
          </cell>
          <cell r="J607" t="str">
            <v xml:space="preserve">Ketersediaan Energi (kkal/kapita/hari) </v>
          </cell>
          <cell r="K607">
            <v>2400</v>
          </cell>
          <cell r="L607">
            <v>1980000000</v>
          </cell>
          <cell r="M607">
            <v>3955</v>
          </cell>
          <cell r="N607">
            <v>751712939</v>
          </cell>
          <cell r="O607">
            <v>2400</v>
          </cell>
          <cell r="P607">
            <v>501386324</v>
          </cell>
          <cell r="Q607">
            <v>0</v>
          </cell>
          <cell r="R607">
            <v>58273000</v>
          </cell>
          <cell r="T607">
            <v>735832700</v>
          </cell>
          <cell r="Y607">
            <v>0</v>
          </cell>
          <cell r="Z607">
            <v>794105700</v>
          </cell>
          <cell r="AA607">
            <v>3955</v>
          </cell>
          <cell r="AB607">
            <v>1545818639</v>
          </cell>
          <cell r="AC607">
            <v>164.79166666666666</v>
          </cell>
          <cell r="AD607">
            <v>78.07164843434343</v>
          </cell>
          <cell r="AE607" t="str">
            <v>Dinas Pangan</v>
          </cell>
        </row>
        <row r="608">
          <cell r="J608" t="str">
            <v xml:space="preserve"> Protein (gram/kapita/hari)</v>
          </cell>
          <cell r="K608">
            <v>63</v>
          </cell>
          <cell r="M608">
            <v>77</v>
          </cell>
          <cell r="O608">
            <v>63</v>
          </cell>
          <cell r="Y608">
            <v>0</v>
          </cell>
          <cell r="Z608">
            <v>0</v>
          </cell>
          <cell r="AA608">
            <v>77</v>
          </cell>
          <cell r="AB608">
            <v>0</v>
          </cell>
          <cell r="AC608">
            <v>122.22222222222223</v>
          </cell>
        </row>
        <row r="609">
          <cell r="C609" t="str">
            <v>1</v>
          </cell>
          <cell r="D609" t="str">
            <v>02</v>
          </cell>
          <cell r="E609" t="str">
            <v>03</v>
          </cell>
          <cell r="F609" t="str">
            <v>01</v>
          </cell>
          <cell r="G609" t="str">
            <v>16</v>
          </cell>
          <cell r="H609" t="str">
            <v>01</v>
          </cell>
          <cell r="I609" t="str">
            <v>Penanganan Daerah Rawan Pangan</v>
          </cell>
          <cell r="J609" t="str">
            <v>Terlaksananya penanganan kasus pada daerah rawan pangan (kk)</v>
          </cell>
          <cell r="K609">
            <v>60</v>
          </cell>
          <cell r="L609">
            <v>300000000</v>
          </cell>
          <cell r="M609">
            <v>11</v>
          </cell>
          <cell r="N609">
            <v>56158920</v>
          </cell>
          <cell r="O609">
            <v>10</v>
          </cell>
          <cell r="P609">
            <v>42240120</v>
          </cell>
          <cell r="Q609">
            <v>0</v>
          </cell>
          <cell r="R609">
            <v>1525000</v>
          </cell>
          <cell r="S609">
            <v>0</v>
          </cell>
          <cell r="T609">
            <v>0</v>
          </cell>
          <cell r="Y609">
            <v>0</v>
          </cell>
          <cell r="Z609">
            <v>1525000</v>
          </cell>
          <cell r="AA609">
            <v>11</v>
          </cell>
          <cell r="AB609">
            <v>57683920</v>
          </cell>
          <cell r="AC609">
            <v>18.333333333333332</v>
          </cell>
          <cell r="AD609">
            <v>19.227973333333335</v>
          </cell>
        </row>
        <row r="610">
          <cell r="C610" t="str">
            <v>1</v>
          </cell>
          <cell r="D610" t="str">
            <v>02</v>
          </cell>
          <cell r="E610" t="str">
            <v>03</v>
          </cell>
          <cell r="F610" t="str">
            <v>01</v>
          </cell>
          <cell r="G610" t="str">
            <v>16</v>
          </cell>
          <cell r="H610" t="str">
            <v>14</v>
          </cell>
          <cell r="I610" t="str">
            <v>Pengembangan Desa Mandiri Pangan</v>
          </cell>
          <cell r="J610" t="str">
            <v>Jumlah kelompok desa mandiri pangan yang aktif (kelompok)</v>
          </cell>
          <cell r="K610">
            <v>14</v>
          </cell>
          <cell r="L610">
            <v>160000000</v>
          </cell>
          <cell r="M610">
            <v>14</v>
          </cell>
          <cell r="N610">
            <v>80271360</v>
          </cell>
          <cell r="O610">
            <v>14</v>
          </cell>
          <cell r="P610">
            <v>29949690</v>
          </cell>
          <cell r="Q610">
            <v>0</v>
          </cell>
          <cell r="R610">
            <v>5293000</v>
          </cell>
          <cell r="S610">
            <v>7</v>
          </cell>
          <cell r="T610">
            <v>4584000</v>
          </cell>
          <cell r="Y610">
            <v>7</v>
          </cell>
          <cell r="Z610">
            <v>9877000</v>
          </cell>
          <cell r="AA610">
            <v>21</v>
          </cell>
          <cell r="AB610">
            <v>90148360</v>
          </cell>
          <cell r="AC610">
            <v>150</v>
          </cell>
          <cell r="AD610">
            <v>56.342725000000002</v>
          </cell>
        </row>
        <row r="611">
          <cell r="C611" t="str">
            <v>1</v>
          </cell>
          <cell r="D611" t="str">
            <v>02</v>
          </cell>
          <cell r="E611" t="str">
            <v>03</v>
          </cell>
          <cell r="F611" t="str">
            <v>01</v>
          </cell>
          <cell r="G611" t="str">
            <v>16</v>
          </cell>
          <cell r="H611" t="str">
            <v>43</v>
          </cell>
          <cell r="I611" t="str">
            <v>Penguatan Kelembagaan Cadangan Pangan Masyarakat</v>
          </cell>
          <cell r="J611" t="str">
            <v>Jumlah kelompok lumbung pangan yang aktif  (kelompok)</v>
          </cell>
          <cell r="K611">
            <v>23</v>
          </cell>
          <cell r="L611">
            <v>130000000</v>
          </cell>
          <cell r="M611">
            <v>23</v>
          </cell>
          <cell r="N611">
            <v>54679850</v>
          </cell>
          <cell r="O611">
            <v>23</v>
          </cell>
          <cell r="P611">
            <v>71889895</v>
          </cell>
          <cell r="Q611">
            <v>0</v>
          </cell>
          <cell r="R611">
            <v>6767300</v>
          </cell>
          <cell r="S611">
            <v>12</v>
          </cell>
          <cell r="T611">
            <v>9740000</v>
          </cell>
          <cell r="Y611">
            <v>12</v>
          </cell>
          <cell r="Z611">
            <v>16507300</v>
          </cell>
          <cell r="AA611">
            <v>35</v>
          </cell>
          <cell r="AB611">
            <v>71187150</v>
          </cell>
          <cell r="AC611">
            <v>152.17391304347828</v>
          </cell>
          <cell r="AD611">
            <v>54.759346153846153</v>
          </cell>
        </row>
        <row r="612">
          <cell r="C612" t="str">
            <v>1</v>
          </cell>
          <cell r="D612" t="str">
            <v>02</v>
          </cell>
          <cell r="E612" t="str">
            <v>03</v>
          </cell>
          <cell r="F612" t="str">
            <v>01</v>
          </cell>
          <cell r="G612" t="str">
            <v>16</v>
          </cell>
          <cell r="H612" t="str">
            <v>45</v>
          </cell>
          <cell r="I612" t="str">
            <v>Pemantauan Produksi Pangan, Jaringan Distribusi, Pasokan Pangan dan HBKN</v>
          </cell>
          <cell r="J612" t="str">
            <v>Tersedianya informasi produksi pangan, jaringan distribusi, pasokan pangan, dan HBKN di 15 Kecamatan (bulan)</v>
          </cell>
          <cell r="K612">
            <v>15</v>
          </cell>
          <cell r="L612">
            <v>80000000</v>
          </cell>
          <cell r="M612">
            <v>15</v>
          </cell>
          <cell r="N612">
            <v>45334790</v>
          </cell>
          <cell r="O612">
            <v>15</v>
          </cell>
          <cell r="P612">
            <v>59586761</v>
          </cell>
          <cell r="Q612">
            <v>0</v>
          </cell>
          <cell r="R612">
            <v>4217000</v>
          </cell>
          <cell r="S612">
            <v>3</v>
          </cell>
          <cell r="T612">
            <v>22253000</v>
          </cell>
          <cell r="Y612">
            <v>3</v>
          </cell>
          <cell r="Z612">
            <v>26470000</v>
          </cell>
          <cell r="AA612">
            <v>18</v>
          </cell>
          <cell r="AB612">
            <v>71804790</v>
          </cell>
          <cell r="AC612">
            <v>120</v>
          </cell>
          <cell r="AD612">
            <v>89.755987500000003</v>
          </cell>
        </row>
        <row r="613">
          <cell r="C613" t="str">
            <v>1</v>
          </cell>
          <cell r="D613" t="str">
            <v>02</v>
          </cell>
          <cell r="E613" t="str">
            <v>03</v>
          </cell>
          <cell r="F613" t="str">
            <v>01</v>
          </cell>
          <cell r="G613" t="str">
            <v>16</v>
          </cell>
          <cell r="H613" t="str">
            <v>46</v>
          </cell>
          <cell r="I613" t="str">
            <v>Penguatan Cadangan Pangan Pemerintah Kabupaten</v>
          </cell>
          <cell r="J613" t="str">
            <v>Tersedianya cadangan pangan pemerintah kabupaten pesisir selatan (ton)</v>
          </cell>
          <cell r="K613">
            <v>100</v>
          </cell>
          <cell r="L613">
            <v>250000000</v>
          </cell>
          <cell r="M613">
            <v>46.5</v>
          </cell>
          <cell r="N613">
            <v>84791480</v>
          </cell>
          <cell r="O613">
            <v>6</v>
          </cell>
          <cell r="P613">
            <v>98189419</v>
          </cell>
          <cell r="Q613">
            <v>0</v>
          </cell>
          <cell r="R613">
            <v>7670100</v>
          </cell>
          <cell r="S613">
            <v>5.25</v>
          </cell>
          <cell r="T613">
            <v>673551000</v>
          </cell>
          <cell r="Y613">
            <v>5.25</v>
          </cell>
          <cell r="Z613">
            <v>681221100</v>
          </cell>
          <cell r="AA613">
            <v>51.75</v>
          </cell>
          <cell r="AB613">
            <v>766012580</v>
          </cell>
          <cell r="AC613">
            <v>51.749999999999993</v>
          </cell>
          <cell r="AD613">
            <v>306.40503200000001</v>
          </cell>
        </row>
        <row r="614">
          <cell r="C614" t="str">
            <v>1</v>
          </cell>
          <cell r="D614" t="str">
            <v>02</v>
          </cell>
          <cell r="E614" t="str">
            <v>03</v>
          </cell>
          <cell r="F614" t="str">
            <v>01</v>
          </cell>
          <cell r="G614" t="str">
            <v>16</v>
          </cell>
          <cell r="H614" t="str">
            <v>52</v>
          </cell>
          <cell r="I614" t="str">
            <v>Pengembangan Penguatan Lembaga Distribusi Pangan Masyarakat (P-LDPM)</v>
          </cell>
          <cell r="J614" t="str">
            <v>Jumlah LDPM  yang aktif (kelompok)</v>
          </cell>
          <cell r="K614">
            <v>6</v>
          </cell>
          <cell r="L614">
            <v>75000000</v>
          </cell>
          <cell r="M614">
            <v>6</v>
          </cell>
          <cell r="N614">
            <v>36549200</v>
          </cell>
          <cell r="O614">
            <v>6</v>
          </cell>
          <cell r="P614">
            <v>32450290</v>
          </cell>
          <cell r="Q614">
            <v>0</v>
          </cell>
          <cell r="R614">
            <v>6831500</v>
          </cell>
          <cell r="S614">
            <v>3</v>
          </cell>
          <cell r="T614">
            <v>5381000</v>
          </cell>
          <cell r="Y614">
            <v>3</v>
          </cell>
          <cell r="Z614">
            <v>12212500</v>
          </cell>
          <cell r="AA614">
            <v>9</v>
          </cell>
          <cell r="AB614">
            <v>48761700</v>
          </cell>
          <cell r="AC614">
            <v>150</v>
          </cell>
          <cell r="AD614">
            <v>65.015599999999992</v>
          </cell>
        </row>
        <row r="615">
          <cell r="C615" t="str">
            <v>1</v>
          </cell>
          <cell r="D615" t="str">
            <v>02</v>
          </cell>
          <cell r="E615" t="str">
            <v>03</v>
          </cell>
          <cell r="F615" t="str">
            <v>01</v>
          </cell>
          <cell r="G615" t="str">
            <v>16</v>
          </cell>
          <cell r="H615" t="str">
            <v>57</v>
          </cell>
          <cell r="I615" t="str">
            <v>Pengembangan Kawasan Mandiri Pangan</v>
          </cell>
          <cell r="J615" t="str">
            <v>Terbentuknya kawasan mandiri pangan (nagari)</v>
          </cell>
          <cell r="K615">
            <v>12</v>
          </cell>
          <cell r="L615">
            <v>300000000</v>
          </cell>
          <cell r="M615">
            <v>2</v>
          </cell>
          <cell r="N615">
            <v>36549200</v>
          </cell>
          <cell r="O615">
            <v>2</v>
          </cell>
          <cell r="P615">
            <v>49163282</v>
          </cell>
          <cell r="Q615">
            <v>0</v>
          </cell>
          <cell r="R615">
            <v>4985800</v>
          </cell>
          <cell r="S615">
            <v>1</v>
          </cell>
          <cell r="T615">
            <v>3750000</v>
          </cell>
          <cell r="Y615">
            <v>1</v>
          </cell>
          <cell r="Z615">
            <v>8735800</v>
          </cell>
          <cell r="AA615">
            <v>3</v>
          </cell>
          <cell r="AB615">
            <v>45285000</v>
          </cell>
          <cell r="AC615">
            <v>25</v>
          </cell>
          <cell r="AD615">
            <v>15.095000000000001</v>
          </cell>
        </row>
        <row r="616">
          <cell r="C616" t="str">
            <v>1</v>
          </cell>
          <cell r="D616" t="str">
            <v>02</v>
          </cell>
          <cell r="E616" t="str">
            <v>03</v>
          </cell>
          <cell r="F616" t="str">
            <v>01</v>
          </cell>
          <cell r="G616" t="str">
            <v>16</v>
          </cell>
          <cell r="H616" t="str">
            <v>61</v>
          </cell>
          <cell r="I616" t="str">
            <v>Penyusunan Data Base Ketahanan Pangan</v>
          </cell>
          <cell r="J616" t="str">
            <v>Tersusunnya dokumen database ketahanan pangan</v>
          </cell>
          <cell r="K616">
            <v>5</v>
          </cell>
          <cell r="L616">
            <v>50000000</v>
          </cell>
          <cell r="M616">
            <v>0</v>
          </cell>
          <cell r="N616">
            <v>0</v>
          </cell>
          <cell r="O616">
            <v>1</v>
          </cell>
          <cell r="P616">
            <v>24175500</v>
          </cell>
          <cell r="Q616">
            <v>0</v>
          </cell>
          <cell r="R616">
            <v>0</v>
          </cell>
          <cell r="S616">
            <v>0</v>
          </cell>
          <cell r="T616">
            <v>5571200</v>
          </cell>
          <cell r="Y616">
            <v>0</v>
          </cell>
          <cell r="Z616">
            <v>5571200</v>
          </cell>
          <cell r="AA616">
            <v>0</v>
          </cell>
          <cell r="AB616">
            <v>5571200</v>
          </cell>
          <cell r="AC616">
            <v>0</v>
          </cell>
          <cell r="AD616">
            <v>11.1424</v>
          </cell>
        </row>
        <row r="617">
          <cell r="C617" t="str">
            <v>1</v>
          </cell>
          <cell r="D617" t="str">
            <v>02</v>
          </cell>
          <cell r="E617" t="str">
            <v>03</v>
          </cell>
          <cell r="F617" t="str">
            <v>01</v>
          </cell>
          <cell r="G617" t="str">
            <v>16</v>
          </cell>
          <cell r="H617" t="str">
            <v>64</v>
          </cell>
          <cell r="I617" t="str">
            <v>Pengembangan Usaha Pangan Masyarakat/TTI</v>
          </cell>
          <cell r="J617" t="str">
            <v>Terlaksananya pembinaan TTI yang sudah terbentuk (kelompok)</v>
          </cell>
          <cell r="K617">
            <v>5</v>
          </cell>
          <cell r="L617">
            <v>200000000</v>
          </cell>
          <cell r="M617">
            <v>5</v>
          </cell>
          <cell r="N617">
            <v>29568139</v>
          </cell>
          <cell r="O617">
            <v>5</v>
          </cell>
          <cell r="P617">
            <v>26277699</v>
          </cell>
          <cell r="Q617">
            <v>1</v>
          </cell>
          <cell r="R617">
            <v>10121100</v>
          </cell>
          <cell r="S617">
            <v>1</v>
          </cell>
          <cell r="T617">
            <v>4680900</v>
          </cell>
          <cell r="Y617">
            <v>2</v>
          </cell>
          <cell r="Z617">
            <v>14802000</v>
          </cell>
          <cell r="AA617">
            <v>5</v>
          </cell>
          <cell r="AB617">
            <v>44370139</v>
          </cell>
          <cell r="AC617">
            <v>100</v>
          </cell>
          <cell r="AD617">
            <v>22.185069499999997</v>
          </cell>
        </row>
        <row r="618">
          <cell r="C618">
            <v>1</v>
          </cell>
          <cell r="D618" t="str">
            <v>02</v>
          </cell>
          <cell r="E618" t="str">
            <v>03</v>
          </cell>
          <cell r="F618" t="str">
            <v>01</v>
          </cell>
          <cell r="G618" t="str">
            <v>16</v>
          </cell>
          <cell r="H618" t="str">
            <v>68</v>
          </cell>
          <cell r="I618" t="str">
            <v>Analisis Ketersediaan Pangan Berdasarkan Analisa Neraca Bahan Makanan (NBM)</v>
          </cell>
          <cell r="J618" t="str">
            <v>Jumlah dokumen analisis ketersediaan pangan (dokumen)</v>
          </cell>
          <cell r="K618">
            <v>6</v>
          </cell>
          <cell r="L618">
            <v>250000000</v>
          </cell>
          <cell r="M618">
            <v>1</v>
          </cell>
          <cell r="N618">
            <v>162810000</v>
          </cell>
          <cell r="O618">
            <v>4</v>
          </cell>
          <cell r="P618">
            <v>36680585</v>
          </cell>
          <cell r="Q618">
            <v>0</v>
          </cell>
          <cell r="R618">
            <v>9351700</v>
          </cell>
          <cell r="S618">
            <v>0</v>
          </cell>
          <cell r="T618">
            <v>1800000</v>
          </cell>
          <cell r="Y618">
            <v>0</v>
          </cell>
          <cell r="Z618">
            <v>11151700</v>
          </cell>
          <cell r="AA618">
            <v>1</v>
          </cell>
          <cell r="AB618">
            <v>173961700</v>
          </cell>
          <cell r="AC618">
            <v>16.666666666666664</v>
          </cell>
          <cell r="AD618">
            <v>69.584679999999992</v>
          </cell>
        </row>
        <row r="619">
          <cell r="C619" t="str">
            <v>1</v>
          </cell>
          <cell r="D619" t="str">
            <v>02</v>
          </cell>
          <cell r="E619" t="str">
            <v>03</v>
          </cell>
          <cell r="F619" t="str">
            <v>01</v>
          </cell>
          <cell r="G619" t="str">
            <v>16</v>
          </cell>
          <cell r="H619" t="str">
            <v>69</v>
          </cell>
          <cell r="I619" t="str">
            <v>Pengembangan Sistem Kewaspadaan Pangan dan Gizi (SKPG)</v>
          </cell>
          <cell r="J619" t="str">
            <v>Tersedianya laporan kewaspadaan pangan (bulan)</v>
          </cell>
          <cell r="K619">
            <v>72</v>
          </cell>
          <cell r="L619">
            <v>185000000</v>
          </cell>
          <cell r="M619">
            <v>24</v>
          </cell>
          <cell r="N619">
            <v>165000000</v>
          </cell>
          <cell r="O619">
            <v>27</v>
          </cell>
          <cell r="P619">
            <v>30783083</v>
          </cell>
          <cell r="Q619">
            <v>3</v>
          </cell>
          <cell r="R619">
            <v>1510500</v>
          </cell>
          <cell r="S619">
            <v>3</v>
          </cell>
          <cell r="T619">
            <v>4521600</v>
          </cell>
          <cell r="Y619">
            <v>6</v>
          </cell>
          <cell r="Z619">
            <v>6032100</v>
          </cell>
          <cell r="AA619">
            <v>30</v>
          </cell>
          <cell r="AB619">
            <v>171032100</v>
          </cell>
          <cell r="AC619">
            <v>41.666666666666671</v>
          </cell>
          <cell r="AD619">
            <v>92.449783783783772</v>
          </cell>
        </row>
        <row r="620">
          <cell r="A620" t="str">
            <v>4.</v>
          </cell>
          <cell r="B620" t="str">
            <v>Meningkatkan penganekaragaman konsumsi pangan</v>
          </cell>
          <cell r="C620" t="str">
            <v>1</v>
          </cell>
          <cell r="D620" t="str">
            <v>02</v>
          </cell>
          <cell r="E620" t="str">
            <v>03</v>
          </cell>
          <cell r="F620" t="str">
            <v>01</v>
          </cell>
          <cell r="G620" t="str">
            <v>17</v>
          </cell>
          <cell r="I620" t="str">
            <v>Program Peningkatan diversifikasi dan ketahanan pangan masyarakat</v>
          </cell>
          <cell r="J620" t="str">
            <v xml:space="preserve">Tingkat Konsumsi Energi (kkal/kapita/hari </v>
          </cell>
          <cell r="K620">
            <v>2150</v>
          </cell>
          <cell r="L620">
            <v>2900000000</v>
          </cell>
          <cell r="M620">
            <v>2377</v>
          </cell>
          <cell r="N620">
            <v>1014662993</v>
          </cell>
          <cell r="P620">
            <v>1248134393</v>
          </cell>
          <cell r="Q620">
            <v>0</v>
          </cell>
          <cell r="R620">
            <v>69499500</v>
          </cell>
          <cell r="S620">
            <v>69.5</v>
          </cell>
          <cell r="T620">
            <v>356463150</v>
          </cell>
          <cell r="Y620">
            <v>69.5</v>
          </cell>
          <cell r="Z620">
            <v>425962650</v>
          </cell>
          <cell r="AA620">
            <v>2446.5</v>
          </cell>
          <cell r="AB620">
            <v>1440625643</v>
          </cell>
          <cell r="AC620">
            <v>113.79069767441861</v>
          </cell>
          <cell r="AD620">
            <v>49.676746310344825</v>
          </cell>
          <cell r="AE620" t="str">
            <v>Dinas Pangan</v>
          </cell>
        </row>
        <row r="621">
          <cell r="J621" t="str">
            <v>Protein (gram/kapita/hari)</v>
          </cell>
          <cell r="K621">
            <v>57</v>
          </cell>
          <cell r="M621">
            <v>63</v>
          </cell>
          <cell r="O621">
            <v>63</v>
          </cell>
          <cell r="S621">
            <v>0</v>
          </cell>
          <cell r="Y621">
            <v>0</v>
          </cell>
          <cell r="Z621">
            <v>0</v>
          </cell>
          <cell r="AA621">
            <v>63</v>
          </cell>
          <cell r="AB621">
            <v>0</v>
          </cell>
          <cell r="AC621">
            <v>110.5263157894737</v>
          </cell>
        </row>
        <row r="622">
          <cell r="C622" t="str">
            <v>1</v>
          </cell>
          <cell r="D622" t="str">
            <v>02</v>
          </cell>
          <cell r="E622" t="str">
            <v>03</v>
          </cell>
          <cell r="F622" t="str">
            <v>01</v>
          </cell>
          <cell r="G622" t="str">
            <v>17</v>
          </cell>
          <cell r="H622" t="str">
            <v>05</v>
          </cell>
          <cell r="I622" t="str">
            <v>Peningkatan dan Pengembangan Promosi Penganekaragaman Konsumsi Pangan</v>
          </cell>
          <cell r="J622" t="str">
            <v>Jumlah pameran/promosi pangan yang diikuti (kali)</v>
          </cell>
          <cell r="K622">
            <v>18</v>
          </cell>
          <cell r="L622">
            <v>500000000</v>
          </cell>
          <cell r="M622">
            <v>3</v>
          </cell>
          <cell r="N622">
            <v>234638627</v>
          </cell>
          <cell r="O622">
            <v>3</v>
          </cell>
          <cell r="P622">
            <v>397945384</v>
          </cell>
          <cell r="Q622">
            <v>0</v>
          </cell>
          <cell r="R622">
            <v>7158700</v>
          </cell>
          <cell r="S622">
            <v>1</v>
          </cell>
          <cell r="T622">
            <v>207995650</v>
          </cell>
          <cell r="Y622">
            <v>1</v>
          </cell>
          <cell r="Z622">
            <v>215154350</v>
          </cell>
          <cell r="AA622">
            <v>4</v>
          </cell>
          <cell r="AB622">
            <v>449792977</v>
          </cell>
          <cell r="AC622">
            <v>22.222222222222221</v>
          </cell>
          <cell r="AD622">
            <v>89.958595399999993</v>
          </cell>
        </row>
        <row r="623">
          <cell r="C623" t="str">
            <v>1</v>
          </cell>
          <cell r="D623" t="str">
            <v>02</v>
          </cell>
          <cell r="E623" t="str">
            <v>03</v>
          </cell>
          <cell r="F623" t="str">
            <v>01</v>
          </cell>
          <cell r="G623" t="str">
            <v>17</v>
          </cell>
          <cell r="H623" t="str">
            <v>06</v>
          </cell>
          <cell r="I623" t="str">
            <v>Percepatan Penganekaragaman Konsumsi Pangan (Kelompok)</v>
          </cell>
          <cell r="J623" t="str">
            <v>Jumlah KRPL yang dibina dan dokumen identifikasi Calon Lokasi KRPL</v>
          </cell>
          <cell r="K623">
            <v>60</v>
          </cell>
          <cell r="L623">
            <v>250000000</v>
          </cell>
          <cell r="M623">
            <v>20</v>
          </cell>
          <cell r="N623">
            <v>50226800</v>
          </cell>
          <cell r="O623">
            <v>10</v>
          </cell>
          <cell r="P623">
            <v>134718359</v>
          </cell>
          <cell r="Q623">
            <v>0</v>
          </cell>
          <cell r="R623">
            <v>11554800</v>
          </cell>
          <cell r="S623">
            <v>5</v>
          </cell>
          <cell r="T623">
            <v>5418600</v>
          </cell>
          <cell r="Y623">
            <v>5</v>
          </cell>
          <cell r="Z623">
            <v>16973400</v>
          </cell>
          <cell r="AA623">
            <v>25</v>
          </cell>
          <cell r="AB623">
            <v>67200200</v>
          </cell>
          <cell r="AC623">
            <v>41.666666666666671</v>
          </cell>
          <cell r="AD623">
            <v>26.88008</v>
          </cell>
        </row>
        <row r="624">
          <cell r="C624" t="str">
            <v>1</v>
          </cell>
          <cell r="D624" t="str">
            <v>02</v>
          </cell>
          <cell r="E624" t="str">
            <v>03</v>
          </cell>
          <cell r="F624" t="str">
            <v>01</v>
          </cell>
          <cell r="G624" t="str">
            <v>17</v>
          </cell>
          <cell r="H624" t="str">
            <v>07</v>
          </cell>
          <cell r="I624" t="str">
            <v>Peningkatan Penanganan Keamanan Pangan Tingkat Produsen dan Konsumen (kali)</v>
          </cell>
          <cell r="J624" t="str">
            <v>Jumlah sosialisasi keamanan pangan yang dilaksanakan</v>
          </cell>
          <cell r="K624">
            <v>18</v>
          </cell>
          <cell r="L624">
            <v>500000000</v>
          </cell>
          <cell r="M624">
            <v>3</v>
          </cell>
          <cell r="N624">
            <v>78200620</v>
          </cell>
          <cell r="O624">
            <v>3</v>
          </cell>
          <cell r="P624">
            <v>72524832</v>
          </cell>
          <cell r="Q624">
            <v>0</v>
          </cell>
          <cell r="R624">
            <v>2039500</v>
          </cell>
          <cell r="S624">
            <v>9</v>
          </cell>
          <cell r="T624">
            <v>15845100</v>
          </cell>
          <cell r="Y624">
            <v>9</v>
          </cell>
          <cell r="Z624">
            <v>17884600</v>
          </cell>
          <cell r="AA624">
            <v>12</v>
          </cell>
          <cell r="AB624">
            <v>96085220</v>
          </cell>
          <cell r="AC624">
            <v>66.666666666666657</v>
          </cell>
          <cell r="AD624">
            <v>19.217044000000001</v>
          </cell>
        </row>
        <row r="625">
          <cell r="C625" t="str">
            <v>1</v>
          </cell>
          <cell r="D625" t="str">
            <v>02</v>
          </cell>
          <cell r="E625" t="str">
            <v>03</v>
          </cell>
          <cell r="F625" t="str">
            <v>01</v>
          </cell>
          <cell r="G625" t="str">
            <v>17</v>
          </cell>
          <cell r="H625" t="str">
            <v>08</v>
          </cell>
          <cell r="I625" t="str">
            <v>Penyusunan Pola Pangan Harapan (dokumen)</v>
          </cell>
          <cell r="J625" t="str">
            <v>Tersedianya dokumen analisis pola pangan harapan</v>
          </cell>
          <cell r="K625">
            <v>6</v>
          </cell>
          <cell r="L625">
            <v>100000000</v>
          </cell>
          <cell r="M625">
            <v>1</v>
          </cell>
          <cell r="N625">
            <v>38154242</v>
          </cell>
          <cell r="O625">
            <v>1</v>
          </cell>
          <cell r="P625">
            <v>26033521</v>
          </cell>
          <cell r="Q625">
            <v>0</v>
          </cell>
          <cell r="R625">
            <v>500000</v>
          </cell>
          <cell r="S625">
            <v>0</v>
          </cell>
          <cell r="T625">
            <v>0</v>
          </cell>
          <cell r="Y625">
            <v>0</v>
          </cell>
          <cell r="Z625">
            <v>500000</v>
          </cell>
          <cell r="AA625">
            <v>1</v>
          </cell>
          <cell r="AB625">
            <v>38654242</v>
          </cell>
          <cell r="AC625">
            <v>16.666666666666664</v>
          </cell>
          <cell r="AD625">
            <v>38.654241999999996</v>
          </cell>
        </row>
        <row r="626">
          <cell r="C626" t="str">
            <v>1</v>
          </cell>
          <cell r="D626" t="str">
            <v>02</v>
          </cell>
          <cell r="E626" t="str">
            <v>03</v>
          </cell>
          <cell r="F626" t="str">
            <v>01</v>
          </cell>
          <cell r="G626" t="str">
            <v>17</v>
          </cell>
          <cell r="H626" t="str">
            <v>17</v>
          </cell>
          <cell r="I626" t="str">
            <v>Perumusan Kebijakan Ketahanan Pangan melalui Dewan Ketahanan Pangan (rumusan)</v>
          </cell>
          <cell r="J626" t="str">
            <v>Jumlah rumusan yang dihasilkan dari Dewan Ketahanan Pangan</v>
          </cell>
          <cell r="K626">
            <v>6</v>
          </cell>
          <cell r="L626">
            <v>150000000</v>
          </cell>
          <cell r="M626">
            <v>1</v>
          </cell>
          <cell r="N626">
            <v>96433241</v>
          </cell>
          <cell r="O626">
            <v>1</v>
          </cell>
          <cell r="P626">
            <v>107538259</v>
          </cell>
          <cell r="Q626">
            <v>0</v>
          </cell>
          <cell r="R626">
            <v>1352000</v>
          </cell>
          <cell r="S626">
            <v>0</v>
          </cell>
          <cell r="T626">
            <v>20882000</v>
          </cell>
          <cell r="Y626">
            <v>0</v>
          </cell>
          <cell r="Z626">
            <v>22234000</v>
          </cell>
          <cell r="AA626">
            <v>1</v>
          </cell>
          <cell r="AB626">
            <v>118667241</v>
          </cell>
          <cell r="AC626">
            <v>16.666666666666664</v>
          </cell>
          <cell r="AD626">
            <v>79.111494000000008</v>
          </cell>
        </row>
        <row r="627">
          <cell r="C627" t="str">
            <v>1</v>
          </cell>
          <cell r="D627" t="str">
            <v>02</v>
          </cell>
          <cell r="E627" t="str">
            <v>03</v>
          </cell>
          <cell r="F627" t="str">
            <v>01</v>
          </cell>
          <cell r="G627" t="str">
            <v>17</v>
          </cell>
          <cell r="H627" t="str">
            <v>22</v>
          </cell>
          <cell r="I627" t="str">
            <v xml:space="preserve">Tekhnologi Pengolahan Pangan Lokal </v>
          </cell>
          <cell r="J627" t="str">
            <v>Jumlah kelompok usaha pangan lokal yang aktif</v>
          </cell>
          <cell r="K627">
            <v>12</v>
          </cell>
          <cell r="L627">
            <v>350000000</v>
          </cell>
          <cell r="M627">
            <v>2</v>
          </cell>
          <cell r="N627">
            <v>42315740</v>
          </cell>
          <cell r="O627">
            <v>2</v>
          </cell>
          <cell r="P627">
            <v>90476680</v>
          </cell>
          <cell r="Q627">
            <v>0</v>
          </cell>
          <cell r="R627">
            <v>15814900</v>
          </cell>
          <cell r="S627">
            <v>0</v>
          </cell>
          <cell r="T627">
            <v>64406000</v>
          </cell>
          <cell r="Y627">
            <v>0</v>
          </cell>
          <cell r="Z627">
            <v>80220900</v>
          </cell>
          <cell r="AA627">
            <v>2</v>
          </cell>
          <cell r="AB627">
            <v>122536640</v>
          </cell>
          <cell r="AC627">
            <v>16.666666666666664</v>
          </cell>
          <cell r="AD627">
            <v>35.010468571428568</v>
          </cell>
        </row>
        <row r="628">
          <cell r="C628" t="str">
            <v>1</v>
          </cell>
          <cell r="D628" t="str">
            <v>02</v>
          </cell>
          <cell r="E628" t="str">
            <v>03</v>
          </cell>
          <cell r="F628" t="str">
            <v>01</v>
          </cell>
          <cell r="G628" t="str">
            <v>17</v>
          </cell>
          <cell r="H628" t="str">
            <v>23</v>
          </cell>
          <cell r="I628" t="str">
            <v>Model Percontohan Kemanan Pangan (nagari)</v>
          </cell>
          <cell r="J628" t="str">
            <v xml:space="preserve">persentas perkembangan  nagari aman pangan </v>
          </cell>
          <cell r="K628">
            <v>100</v>
          </cell>
          <cell r="L628">
            <v>100000000</v>
          </cell>
          <cell r="M628">
            <v>20</v>
          </cell>
          <cell r="N628">
            <v>37715920</v>
          </cell>
          <cell r="O628">
            <v>20</v>
          </cell>
          <cell r="P628">
            <v>35281968</v>
          </cell>
          <cell r="Q628">
            <v>0</v>
          </cell>
          <cell r="R628">
            <v>0</v>
          </cell>
          <cell r="S628">
            <v>0</v>
          </cell>
          <cell r="T628">
            <v>0</v>
          </cell>
          <cell r="Y628">
            <v>0</v>
          </cell>
          <cell r="Z628">
            <v>0</v>
          </cell>
          <cell r="AA628">
            <v>20</v>
          </cell>
          <cell r="AB628">
            <v>37715920</v>
          </cell>
          <cell r="AC628">
            <v>20</v>
          </cell>
          <cell r="AD628">
            <v>37.715920000000004</v>
          </cell>
        </row>
        <row r="629">
          <cell r="C629" t="str">
            <v>1</v>
          </cell>
          <cell r="D629" t="str">
            <v>02</v>
          </cell>
          <cell r="E629" t="str">
            <v>03</v>
          </cell>
          <cell r="F629" t="str">
            <v>01</v>
          </cell>
          <cell r="G629" t="str">
            <v>17</v>
          </cell>
          <cell r="H629" t="str">
            <v>24</v>
          </cell>
          <cell r="I629" t="str">
            <v>Gerakan Konsumsi B2SA (Beragam, Bergizi, Seimbang, dan Aman)</v>
          </cell>
          <cell r="J629" t="str">
            <v>Jumlah lomba cipta menu B2SA (kali)</v>
          </cell>
          <cell r="K629">
            <v>18</v>
          </cell>
          <cell r="L629">
            <v>500000000</v>
          </cell>
          <cell r="M629">
            <v>3</v>
          </cell>
          <cell r="N629">
            <v>304801353</v>
          </cell>
          <cell r="O629">
            <v>3</v>
          </cell>
          <cell r="P629">
            <v>183561550</v>
          </cell>
          <cell r="Q629">
            <v>0</v>
          </cell>
          <cell r="R629">
            <v>8946000</v>
          </cell>
          <cell r="S629">
            <v>1</v>
          </cell>
          <cell r="T629">
            <v>29932500</v>
          </cell>
          <cell r="Y629">
            <v>1</v>
          </cell>
          <cell r="Z629">
            <v>38878500</v>
          </cell>
          <cell r="AA629">
            <v>4</v>
          </cell>
          <cell r="AB629">
            <v>343679853</v>
          </cell>
          <cell r="AC629">
            <v>22.222222222222221</v>
          </cell>
          <cell r="AD629">
            <v>68.735970600000002</v>
          </cell>
        </row>
        <row r="630">
          <cell r="C630" t="str">
            <v>1</v>
          </cell>
          <cell r="D630" t="str">
            <v>02</v>
          </cell>
          <cell r="E630" t="str">
            <v>03</v>
          </cell>
          <cell r="F630" t="str">
            <v>01</v>
          </cell>
          <cell r="G630" t="str">
            <v>17</v>
          </cell>
          <cell r="H630" t="str">
            <v>25</v>
          </cell>
          <cell r="I630" t="str">
            <v>Pengawasan Keamanan dan Mutu Pangan</v>
          </cell>
          <cell r="J630" t="str">
            <v>Persentase pangan yang aman (persentase)</v>
          </cell>
          <cell r="K630">
            <v>492</v>
          </cell>
          <cell r="L630">
            <v>300000000</v>
          </cell>
          <cell r="M630">
            <v>83</v>
          </cell>
          <cell r="N630">
            <v>122408530</v>
          </cell>
          <cell r="O630">
            <v>78</v>
          </cell>
          <cell r="P630">
            <v>117624855</v>
          </cell>
          <cell r="Q630">
            <v>0</v>
          </cell>
          <cell r="R630">
            <v>21183600</v>
          </cell>
          <cell r="S630">
            <v>0</v>
          </cell>
          <cell r="T630">
            <v>11801300</v>
          </cell>
          <cell r="Y630">
            <v>0</v>
          </cell>
          <cell r="Z630">
            <v>32984900</v>
          </cell>
          <cell r="AA630">
            <v>83</v>
          </cell>
          <cell r="AB630">
            <v>155393430</v>
          </cell>
          <cell r="AC630">
            <v>16.869918699186993</v>
          </cell>
          <cell r="AD630">
            <v>51.797809999999998</v>
          </cell>
        </row>
        <row r="631">
          <cell r="C631" t="str">
            <v>1</v>
          </cell>
          <cell r="D631" t="str">
            <v>02</v>
          </cell>
          <cell r="E631" t="str">
            <v>03</v>
          </cell>
          <cell r="F631" t="str">
            <v>01</v>
          </cell>
          <cell r="G631" t="str">
            <v>17</v>
          </cell>
          <cell r="H631" t="str">
            <v>28</v>
          </cell>
          <cell r="I631" t="str">
            <v>Penyusunan Naskah Akademis Ketahanan Pangan</v>
          </cell>
          <cell r="J631" t="str">
            <v>Jumlah naskah dokumen yang dihasilkan (dokumen)</v>
          </cell>
          <cell r="K631">
            <v>2</v>
          </cell>
          <cell r="L631">
            <v>150000000</v>
          </cell>
          <cell r="M631">
            <v>1</v>
          </cell>
          <cell r="N631">
            <v>9767920</v>
          </cell>
          <cell r="O631">
            <v>1</v>
          </cell>
          <cell r="P631">
            <v>82428985</v>
          </cell>
          <cell r="Q631">
            <v>0</v>
          </cell>
          <cell r="R631">
            <v>950000</v>
          </cell>
          <cell r="S631">
            <v>0</v>
          </cell>
          <cell r="T631">
            <v>182000</v>
          </cell>
          <cell r="Y631">
            <v>0</v>
          </cell>
          <cell r="Z631">
            <v>1132000</v>
          </cell>
          <cell r="AA631">
            <v>2</v>
          </cell>
          <cell r="AB631">
            <v>10899920</v>
          </cell>
          <cell r="AC631">
            <v>100</v>
          </cell>
          <cell r="AD631">
            <v>7.2666133333333329</v>
          </cell>
        </row>
        <row r="632">
          <cell r="A632" t="str">
            <v>Rata-Rata Capaian Kinerja</v>
          </cell>
          <cell r="AC632">
            <v>96.38848372546353</v>
          </cell>
          <cell r="AD632">
            <v>57.061960792435173</v>
          </cell>
        </row>
        <row r="633">
          <cell r="A633" t="str">
            <v>Peringkat  Kinerja</v>
          </cell>
          <cell r="AC633" t="str">
            <v>ST</v>
          </cell>
          <cell r="AD633" t="str">
            <v>R</v>
          </cell>
        </row>
        <row r="634">
          <cell r="A634" t="str">
            <v>IV</v>
          </cell>
          <cell r="I634" t="str">
            <v>URUSAN PERTANAHAN</v>
          </cell>
          <cell r="L634">
            <v>28778645000</v>
          </cell>
          <cell r="N634">
            <v>3119341850</v>
          </cell>
          <cell r="P634">
            <v>10971645000</v>
          </cell>
          <cell r="R634">
            <v>1060215500</v>
          </cell>
          <cell r="T634">
            <v>2418582900</v>
          </cell>
          <cell r="Z634">
            <v>3478798400</v>
          </cell>
          <cell r="AB634">
            <v>6598140250</v>
          </cell>
        </row>
        <row r="635">
          <cell r="A635">
            <v>1</v>
          </cell>
          <cell r="C635">
            <v>1</v>
          </cell>
          <cell r="E635" t="str">
            <v>02</v>
          </cell>
          <cell r="F635" t="str">
            <v>04</v>
          </cell>
          <cell r="G635" t="str">
            <v>16</v>
          </cell>
          <cell r="I635" t="str">
            <v>Program Penataan Penguasaan, Pemilikan, Penggunaan dan Pemanfaatan Tanah</v>
          </cell>
          <cell r="J635" t="str">
            <v xml:space="preserve">jumlah lokasi pengadaan tanah untuk pembangunan </v>
          </cell>
          <cell r="K635">
            <v>30</v>
          </cell>
          <cell r="L635">
            <v>28129095000</v>
          </cell>
          <cell r="M635">
            <v>10</v>
          </cell>
          <cell r="N635">
            <v>3016160450</v>
          </cell>
          <cell r="O635">
            <v>5</v>
          </cell>
          <cell r="P635">
            <v>10837095000</v>
          </cell>
          <cell r="Q635">
            <v>1</v>
          </cell>
          <cell r="R635">
            <v>1046338000</v>
          </cell>
          <cell r="S635">
            <v>3</v>
          </cell>
          <cell r="T635">
            <v>2361947900</v>
          </cell>
          <cell r="Y635">
            <v>4</v>
          </cell>
          <cell r="Z635">
            <v>3408285900</v>
          </cell>
          <cell r="AA635">
            <v>14</v>
          </cell>
          <cell r="AB635">
            <v>6424446350</v>
          </cell>
          <cell r="AC635">
            <v>46.666666666666664</v>
          </cell>
          <cell r="AD635">
            <v>22.839150530793827</v>
          </cell>
          <cell r="AE635" t="str">
            <v>Dinas Perkimtan</v>
          </cell>
        </row>
        <row r="636">
          <cell r="C636" t="str">
            <v>1</v>
          </cell>
          <cell r="E636" t="str">
            <v>02</v>
          </cell>
          <cell r="F636" t="str">
            <v>04</v>
          </cell>
          <cell r="G636" t="str">
            <v>16</v>
          </cell>
          <cell r="I636" t="str">
            <v>Perencanaan Pengadaan Tanah</v>
          </cell>
          <cell r="J636" t="str">
            <v>Jumlah Dokumen Perencanaan Tanah</v>
          </cell>
          <cell r="K636">
            <v>25</v>
          </cell>
          <cell r="L636">
            <v>194995000</v>
          </cell>
          <cell r="M636">
            <v>6</v>
          </cell>
          <cell r="N636">
            <v>88070950</v>
          </cell>
          <cell r="O636">
            <v>5</v>
          </cell>
          <cell r="P636">
            <v>104995000</v>
          </cell>
          <cell r="Q636">
            <v>0</v>
          </cell>
          <cell r="R636">
            <v>6535500</v>
          </cell>
          <cell r="S636">
            <v>3</v>
          </cell>
          <cell r="T636">
            <v>33705500</v>
          </cell>
          <cell r="Y636">
            <v>3</v>
          </cell>
          <cell r="Z636">
            <v>40241000</v>
          </cell>
          <cell r="AA636">
            <v>9</v>
          </cell>
          <cell r="AB636">
            <v>128311950</v>
          </cell>
          <cell r="AC636">
            <v>36</v>
          </cell>
          <cell r="AD636">
            <v>65.802687248390995</v>
          </cell>
        </row>
        <row r="637">
          <cell r="C637" t="str">
            <v>1</v>
          </cell>
          <cell r="E637" t="str">
            <v>02</v>
          </cell>
          <cell r="F637" t="str">
            <v>04</v>
          </cell>
          <cell r="G637" t="str">
            <v>16</v>
          </cell>
          <cell r="I637" t="str">
            <v>Persiapan Pengadaan Tanah</v>
          </cell>
          <cell r="J637" t="str">
            <v>Jumlah calon lokasi pengadaan tanah yang ditetapkan (lokasi)</v>
          </cell>
          <cell r="K637">
            <v>25</v>
          </cell>
          <cell r="L637">
            <v>190000000</v>
          </cell>
          <cell r="M637">
            <v>5</v>
          </cell>
          <cell r="N637">
            <v>106257250</v>
          </cell>
          <cell r="O637">
            <v>5</v>
          </cell>
          <cell r="P637">
            <v>100000000</v>
          </cell>
          <cell r="Q637">
            <v>0</v>
          </cell>
          <cell r="R637">
            <v>3100000</v>
          </cell>
          <cell r="S637">
            <v>3</v>
          </cell>
          <cell r="T637">
            <v>6582700</v>
          </cell>
          <cell r="Y637">
            <v>3</v>
          </cell>
          <cell r="Z637">
            <v>9682700</v>
          </cell>
          <cell r="AA637">
            <v>8</v>
          </cell>
          <cell r="AB637">
            <v>115939950</v>
          </cell>
          <cell r="AC637">
            <v>32</v>
          </cell>
          <cell r="AD637">
            <v>61.02102631578947</v>
          </cell>
        </row>
        <row r="638">
          <cell r="C638" t="str">
            <v>1</v>
          </cell>
          <cell r="E638" t="str">
            <v>02</v>
          </cell>
          <cell r="F638" t="str">
            <v>04</v>
          </cell>
          <cell r="G638" t="str">
            <v>16</v>
          </cell>
          <cell r="I638" t="str">
            <v>Pelaksanaan Pengadaan Tanah</v>
          </cell>
          <cell r="J638" t="str">
            <v xml:space="preserve">Jumlah Perngadaan Tanah Untuk Pembangunan </v>
          </cell>
          <cell r="K638">
            <v>25</v>
          </cell>
          <cell r="L638">
            <v>25562000000</v>
          </cell>
          <cell r="M638">
            <v>5</v>
          </cell>
          <cell r="N638">
            <v>2781117800</v>
          </cell>
          <cell r="O638">
            <v>5</v>
          </cell>
          <cell r="P638">
            <v>10262000000</v>
          </cell>
          <cell r="Q638">
            <v>1</v>
          </cell>
          <cell r="R638">
            <v>1017831500</v>
          </cell>
          <cell r="S638">
            <v>3</v>
          </cell>
          <cell r="T638">
            <v>2267476800</v>
          </cell>
          <cell r="Y638">
            <v>4</v>
          </cell>
          <cell r="Z638">
            <v>3285308300</v>
          </cell>
          <cell r="AA638">
            <v>9</v>
          </cell>
          <cell r="AB638">
            <v>6066426100</v>
          </cell>
          <cell r="AC638">
            <v>36</v>
          </cell>
          <cell r="AD638">
            <v>23.732204444096705</v>
          </cell>
        </row>
        <row r="639">
          <cell r="C639" t="str">
            <v>1</v>
          </cell>
          <cell r="E639" t="str">
            <v>02</v>
          </cell>
          <cell r="F639" t="str">
            <v>04</v>
          </cell>
          <cell r="G639" t="str">
            <v>16</v>
          </cell>
          <cell r="I639" t="str">
            <v>Penyerahan Hasil Pengadaan Tanah</v>
          </cell>
          <cell r="J639" t="str">
            <v>Jumlah Sertifikat pengadaan tanah yang diterbitkan (unit)</v>
          </cell>
          <cell r="L639">
            <v>210000000</v>
          </cell>
          <cell r="N639">
            <v>1304000</v>
          </cell>
          <cell r="P639">
            <v>100000000</v>
          </cell>
          <cell r="T639">
            <v>4700000</v>
          </cell>
          <cell r="Y639">
            <v>0</v>
          </cell>
          <cell r="Z639">
            <v>4700000</v>
          </cell>
          <cell r="AB639">
            <v>6004000</v>
          </cell>
          <cell r="AD639">
            <v>2.8590476190476188</v>
          </cell>
        </row>
        <row r="640">
          <cell r="C640" t="str">
            <v>1</v>
          </cell>
          <cell r="E640" t="str">
            <v>02</v>
          </cell>
          <cell r="F640" t="str">
            <v>04</v>
          </cell>
          <cell r="G640" t="str">
            <v>16</v>
          </cell>
          <cell r="I640" t="str">
            <v>Fasilitasi Pengadaan Tanah</v>
          </cell>
          <cell r="J640" t="str">
            <v>Jumlah :Pengadaan Tanah yang difasilitasi</v>
          </cell>
          <cell r="K640">
            <v>24</v>
          </cell>
          <cell r="L640">
            <v>1094600000</v>
          </cell>
          <cell r="O640">
            <v>6</v>
          </cell>
          <cell r="P640">
            <v>94600000</v>
          </cell>
          <cell r="R640">
            <v>2489500</v>
          </cell>
          <cell r="T640">
            <v>14079500</v>
          </cell>
          <cell r="Y640">
            <v>0</v>
          </cell>
          <cell r="Z640">
            <v>16569000</v>
          </cell>
          <cell r="AB640">
            <v>16569000</v>
          </cell>
          <cell r="AD640">
            <v>1.5137036360314269</v>
          </cell>
        </row>
        <row r="641">
          <cell r="C641" t="str">
            <v>1</v>
          </cell>
          <cell r="E641" t="str">
            <v>02</v>
          </cell>
          <cell r="F641" t="str">
            <v>04</v>
          </cell>
          <cell r="G641" t="str">
            <v>16</v>
          </cell>
          <cell r="I641" t="str">
            <v>Inventarisasi Tanah Pemerintah Daerah</v>
          </cell>
          <cell r="J641" t="str">
            <v>Jumlah Tanah Pemerintah Daerah yang diinventarisasi</v>
          </cell>
          <cell r="K641">
            <v>35</v>
          </cell>
          <cell r="L641">
            <v>877500000</v>
          </cell>
          <cell r="M641">
            <v>8</v>
          </cell>
          <cell r="N641">
            <v>39410450</v>
          </cell>
          <cell r="O641">
            <v>8</v>
          </cell>
          <cell r="P641">
            <v>175500000</v>
          </cell>
          <cell r="Q641">
            <v>2</v>
          </cell>
          <cell r="R641">
            <v>16381500</v>
          </cell>
          <cell r="S641">
            <v>2</v>
          </cell>
          <cell r="T641">
            <v>35403400</v>
          </cell>
          <cell r="Y641">
            <v>4</v>
          </cell>
          <cell r="Z641">
            <v>51784900</v>
          </cell>
          <cell r="AA641">
            <v>12</v>
          </cell>
          <cell r="AB641">
            <v>91195350</v>
          </cell>
          <cell r="AC641">
            <v>34.285714285714285</v>
          </cell>
          <cell r="AD641">
            <v>10.392632478632478</v>
          </cell>
        </row>
        <row r="642">
          <cell r="A642">
            <v>2</v>
          </cell>
          <cell r="C642" t="str">
            <v>1</v>
          </cell>
          <cell r="E642" t="str">
            <v>02</v>
          </cell>
          <cell r="F642" t="str">
            <v>04</v>
          </cell>
          <cell r="G642" t="str">
            <v>17</v>
          </cell>
          <cell r="I642" t="str">
            <v>Program Penyelesaian Konflik- Konflik Pertanahan</v>
          </cell>
          <cell r="J642" t="str">
            <v>Persentase Penyelesaian masalah pertanahan milik Pemda</v>
          </cell>
          <cell r="K642">
            <v>100</v>
          </cell>
          <cell r="L642">
            <v>459550000</v>
          </cell>
          <cell r="M642">
            <v>20</v>
          </cell>
          <cell r="N642">
            <v>88186400</v>
          </cell>
          <cell r="O642">
            <v>20</v>
          </cell>
          <cell r="P642">
            <v>94550000</v>
          </cell>
          <cell r="Q642">
            <v>0</v>
          </cell>
          <cell r="R642">
            <v>5877500</v>
          </cell>
          <cell r="S642">
            <v>0</v>
          </cell>
          <cell r="T642">
            <v>26150000</v>
          </cell>
          <cell r="Y642">
            <v>0</v>
          </cell>
          <cell r="Z642">
            <v>32027500</v>
          </cell>
          <cell r="AA642">
            <v>20</v>
          </cell>
          <cell r="AB642">
            <v>120213900</v>
          </cell>
          <cell r="AC642">
            <v>20</v>
          </cell>
          <cell r="AD642">
            <v>26.15904689370036</v>
          </cell>
          <cell r="AE642" t="str">
            <v>Dinas Perkimtan</v>
          </cell>
        </row>
        <row r="643">
          <cell r="C643" t="str">
            <v>1</v>
          </cell>
          <cell r="E643" t="str">
            <v>02</v>
          </cell>
          <cell r="F643" t="str">
            <v>04</v>
          </cell>
          <cell r="G643" t="str">
            <v>17</v>
          </cell>
          <cell r="H643" t="str">
            <v>01</v>
          </cell>
          <cell r="I643" t="str">
            <v>Fasilitasi Penyelesaian Konflik- Konflik Pertanahan</v>
          </cell>
          <cell r="J643" t="str">
            <v>Jumlah Fasilitasi Penyelesaian Konflik Pertanahan</v>
          </cell>
          <cell r="K643">
            <v>50</v>
          </cell>
          <cell r="L643">
            <v>459550000</v>
          </cell>
          <cell r="M643">
            <v>4</v>
          </cell>
          <cell r="N643">
            <v>88186400</v>
          </cell>
          <cell r="O643">
            <v>10</v>
          </cell>
          <cell r="P643">
            <v>94550000</v>
          </cell>
          <cell r="Q643">
            <v>0</v>
          </cell>
          <cell r="R643">
            <v>5877500</v>
          </cell>
          <cell r="S643">
            <v>0</v>
          </cell>
          <cell r="T643">
            <v>26150000</v>
          </cell>
          <cell r="Y643">
            <v>0</v>
          </cell>
          <cell r="Z643">
            <v>32027500</v>
          </cell>
          <cell r="AA643">
            <v>4</v>
          </cell>
          <cell r="AB643">
            <v>120213900</v>
          </cell>
          <cell r="AC643">
            <v>8</v>
          </cell>
          <cell r="AD643">
            <v>26.15904689370036</v>
          </cell>
        </row>
        <row r="644">
          <cell r="A644">
            <v>3</v>
          </cell>
          <cell r="C644" t="str">
            <v>2</v>
          </cell>
          <cell r="E644" t="str">
            <v>00</v>
          </cell>
          <cell r="F644" t="str">
            <v>02</v>
          </cell>
          <cell r="G644" t="str">
            <v>15</v>
          </cell>
          <cell r="I644" t="str">
            <v>Program Pengembangan Pemasaran Pariwisata</v>
          </cell>
          <cell r="J644" t="str">
            <v>Peningkatan jumlah kunjungan wisatawan (%)</v>
          </cell>
          <cell r="K644">
            <v>15</v>
          </cell>
          <cell r="L644">
            <v>190000000</v>
          </cell>
          <cell r="M644">
            <v>3</v>
          </cell>
          <cell r="N644">
            <v>14995000</v>
          </cell>
          <cell r="O644">
            <v>3</v>
          </cell>
          <cell r="P644">
            <v>40000000</v>
          </cell>
          <cell r="Q644">
            <v>0</v>
          </cell>
          <cell r="R644">
            <v>8000000</v>
          </cell>
          <cell r="S644">
            <v>1</v>
          </cell>
          <cell r="T644">
            <v>30485000</v>
          </cell>
          <cell r="Y644">
            <v>1</v>
          </cell>
          <cell r="Z644">
            <v>38485000</v>
          </cell>
          <cell r="AA644">
            <v>4</v>
          </cell>
          <cell r="AB644">
            <v>53480000</v>
          </cell>
          <cell r="AC644">
            <v>26.666666666666668</v>
          </cell>
          <cell r="AD644">
            <v>28.147368421052633</v>
          </cell>
          <cell r="AE644" t="str">
            <v>Dinas Perkimtan</v>
          </cell>
        </row>
        <row r="645">
          <cell r="C645" t="str">
            <v>2</v>
          </cell>
          <cell r="E645" t="str">
            <v>00</v>
          </cell>
          <cell r="F645" t="str">
            <v>02</v>
          </cell>
          <cell r="G645" t="str">
            <v>15</v>
          </cell>
          <cell r="H645" t="str">
            <v>36</v>
          </cell>
          <cell r="I645" t="str">
            <v>Pelaksanaan Promosi dan Publikasi</v>
          </cell>
          <cell r="J645" t="str">
            <v>Terlaksananya Pelaksanaan Promosi Pariwisata (kegiatan)</v>
          </cell>
          <cell r="K645">
            <v>5</v>
          </cell>
          <cell r="L645">
            <v>190000000</v>
          </cell>
          <cell r="M645">
            <v>1</v>
          </cell>
          <cell r="N645">
            <v>14995000</v>
          </cell>
          <cell r="O645">
            <v>1</v>
          </cell>
          <cell r="P645">
            <v>40000000</v>
          </cell>
          <cell r="Q645">
            <v>0</v>
          </cell>
          <cell r="R645">
            <v>8000000</v>
          </cell>
          <cell r="S645">
            <v>1</v>
          </cell>
          <cell r="T645">
            <v>30485000</v>
          </cell>
          <cell r="Y645">
            <v>1</v>
          </cell>
          <cell r="Z645">
            <v>38485000</v>
          </cell>
          <cell r="AA645">
            <v>2</v>
          </cell>
          <cell r="AB645">
            <v>53480000</v>
          </cell>
          <cell r="AC645">
            <v>40</v>
          </cell>
          <cell r="AD645">
            <v>28.147368421052633</v>
          </cell>
        </row>
        <row r="646">
          <cell r="A646" t="str">
            <v>Rata-Rata Capaian Kinerja</v>
          </cell>
          <cell r="AC646">
            <v>31.111111111111111</v>
          </cell>
          <cell r="AD646">
            <v>25.715188615182274</v>
          </cell>
        </row>
        <row r="647">
          <cell r="A647" t="str">
            <v>Peringkat  Kinerja</v>
          </cell>
          <cell r="AC647" t="str">
            <v>SR</v>
          </cell>
          <cell r="AD647" t="str">
            <v>SR</v>
          </cell>
        </row>
        <row r="648">
          <cell r="A648" t="str">
            <v>V</v>
          </cell>
          <cell r="I648" t="str">
            <v>URUSAN LINGKUNGAN HIDUP</v>
          </cell>
          <cell r="L648">
            <v>12867795230</v>
          </cell>
          <cell r="N648">
            <v>4314958889</v>
          </cell>
          <cell r="P648">
            <v>2769737964</v>
          </cell>
          <cell r="R648">
            <v>515186892</v>
          </cell>
          <cell r="T648">
            <v>991817894</v>
          </cell>
          <cell r="Y648">
            <v>0</v>
          </cell>
          <cell r="Z648">
            <v>1507004786</v>
          </cell>
          <cell r="AB648">
            <v>5821963675</v>
          </cell>
        </row>
        <row r="649">
          <cell r="A649">
            <v>1</v>
          </cell>
          <cell r="C649" t="str">
            <v>1</v>
          </cell>
          <cell r="D649" t="str">
            <v>02</v>
          </cell>
          <cell r="E649" t="str">
            <v>01</v>
          </cell>
          <cell r="I649" t="str">
            <v>Program pelayanan administrasi perkantoran</v>
          </cell>
          <cell r="J649" t="str">
            <v>Lancarnya Pelayanan Adminisitrasi Perkantoran</v>
          </cell>
          <cell r="K649">
            <v>72</v>
          </cell>
          <cell r="L649">
            <v>2000000000</v>
          </cell>
          <cell r="M649">
            <v>24</v>
          </cell>
          <cell r="N649">
            <v>45640671</v>
          </cell>
          <cell r="O649">
            <v>12</v>
          </cell>
          <cell r="P649">
            <v>432097724</v>
          </cell>
          <cell r="Q649">
            <v>3</v>
          </cell>
          <cell r="R649">
            <v>91379753</v>
          </cell>
          <cell r="S649">
            <v>3</v>
          </cell>
          <cell r="T649">
            <v>191098628</v>
          </cell>
          <cell r="Y649">
            <v>6</v>
          </cell>
          <cell r="Z649">
            <v>282478381</v>
          </cell>
          <cell r="AA649">
            <v>30</v>
          </cell>
          <cell r="AB649">
            <v>328119052</v>
          </cell>
          <cell r="AC649">
            <v>41.666666666666671</v>
          </cell>
          <cell r="AD649">
            <v>16.405952600000003</v>
          </cell>
          <cell r="AE649" t="str">
            <v>Dinas Lingkungan Hidup</v>
          </cell>
        </row>
        <row r="650">
          <cell r="C650" t="str">
            <v>1</v>
          </cell>
          <cell r="D650" t="str">
            <v>02</v>
          </cell>
          <cell r="E650" t="str">
            <v>01</v>
          </cell>
          <cell r="F650" t="str">
            <v>02</v>
          </cell>
          <cell r="I650" t="str">
            <v>Penyediaan jasa komunikasi, sumber daya air dan listrik</v>
          </cell>
          <cell r="J650" t="str">
            <v>Jumlah jasa komunikasi, sumber daya air dan listrik yang tersedia ( Bulan )</v>
          </cell>
          <cell r="K650">
            <v>72</v>
          </cell>
          <cell r="L650">
            <v>390000000</v>
          </cell>
          <cell r="M650">
            <v>24</v>
          </cell>
          <cell r="N650">
            <v>113900000</v>
          </cell>
          <cell r="O650">
            <v>12</v>
          </cell>
          <cell r="P650">
            <v>23700000</v>
          </cell>
          <cell r="Q650">
            <v>3</v>
          </cell>
          <cell r="R650">
            <v>6826053</v>
          </cell>
          <cell r="S650">
            <v>6</v>
          </cell>
          <cell r="T650">
            <v>12703590</v>
          </cell>
          <cell r="Y650">
            <v>9</v>
          </cell>
          <cell r="Z650">
            <v>19529643</v>
          </cell>
          <cell r="AA650">
            <v>33</v>
          </cell>
          <cell r="AB650">
            <v>133429643</v>
          </cell>
          <cell r="AC650">
            <v>45.833333333333329</v>
          </cell>
          <cell r="AD650">
            <v>34.212728974358974</v>
          </cell>
        </row>
        <row r="651">
          <cell r="C651" t="str">
            <v>1</v>
          </cell>
          <cell r="D651" t="str">
            <v>02</v>
          </cell>
          <cell r="E651" t="str">
            <v>01</v>
          </cell>
          <cell r="F651" t="str">
            <v>07</v>
          </cell>
          <cell r="I651" t="str">
            <v>Penyediaan jasa administrasi keuangan</v>
          </cell>
          <cell r="J651" t="str">
            <v>Jumlah jasa administrasi keuangan yang tersedia( Bulan )</v>
          </cell>
          <cell r="K651">
            <v>72</v>
          </cell>
          <cell r="L651">
            <v>390000000</v>
          </cell>
          <cell r="M651">
            <v>24</v>
          </cell>
          <cell r="N651">
            <v>113743000</v>
          </cell>
          <cell r="O651">
            <v>12</v>
          </cell>
          <cell r="P651">
            <v>59400000</v>
          </cell>
          <cell r="Q651">
            <v>3</v>
          </cell>
          <cell r="R651">
            <v>13050000</v>
          </cell>
          <cell r="S651">
            <v>6</v>
          </cell>
          <cell r="T651">
            <v>24450000</v>
          </cell>
          <cell r="Y651">
            <v>9</v>
          </cell>
          <cell r="Z651">
            <v>37500000</v>
          </cell>
          <cell r="AA651">
            <v>33</v>
          </cell>
          <cell r="AB651">
            <v>151243000</v>
          </cell>
          <cell r="AC651">
            <v>45.833333333333329</v>
          </cell>
          <cell r="AD651">
            <v>38.780256410256406</v>
          </cell>
        </row>
        <row r="652">
          <cell r="C652" t="str">
            <v>1</v>
          </cell>
          <cell r="D652" t="str">
            <v>02</v>
          </cell>
          <cell r="E652" t="str">
            <v>01</v>
          </cell>
          <cell r="F652" t="str">
            <v>08</v>
          </cell>
          <cell r="I652" t="str">
            <v>Penyediaan jasa kebersihan kantor</v>
          </cell>
          <cell r="J652" t="str">
            <v>Jumlah jasa kebersihan kantor yang tersedia ( Bulan )</v>
          </cell>
          <cell r="K652">
            <v>72</v>
          </cell>
          <cell r="L652">
            <v>300000000</v>
          </cell>
          <cell r="M652">
            <v>24</v>
          </cell>
          <cell r="N652">
            <v>19972000</v>
          </cell>
          <cell r="O652">
            <v>12</v>
          </cell>
          <cell r="P652">
            <v>67945200</v>
          </cell>
          <cell r="Q652">
            <v>3</v>
          </cell>
          <cell r="R652">
            <v>15407000</v>
          </cell>
          <cell r="S652">
            <v>6</v>
          </cell>
          <cell r="T652">
            <v>35903000</v>
          </cell>
          <cell r="Y652">
            <v>9</v>
          </cell>
          <cell r="Z652">
            <v>51310000</v>
          </cell>
          <cell r="AA652">
            <v>33</v>
          </cell>
          <cell r="AB652">
            <v>71282000</v>
          </cell>
          <cell r="AC652">
            <v>45.833333333333329</v>
          </cell>
          <cell r="AD652">
            <v>23.760666666666665</v>
          </cell>
        </row>
        <row r="653">
          <cell r="C653" t="str">
            <v>1</v>
          </cell>
          <cell r="D653" t="str">
            <v>02</v>
          </cell>
          <cell r="E653" t="str">
            <v>01</v>
          </cell>
          <cell r="F653" t="str">
            <v>09</v>
          </cell>
          <cell r="I653" t="str">
            <v>Penyediaan jasa perbaikan peralatan kerja</v>
          </cell>
          <cell r="J653" t="str">
            <v>Penyediaan jasa perbaikan peralatan kerja yang tersedia ( Bulan )</v>
          </cell>
          <cell r="K653">
            <v>72</v>
          </cell>
          <cell r="L653">
            <v>10000000</v>
          </cell>
          <cell r="M653">
            <v>24</v>
          </cell>
          <cell r="N653">
            <v>55056680</v>
          </cell>
          <cell r="O653">
            <v>12</v>
          </cell>
          <cell r="P653">
            <v>5050000</v>
          </cell>
          <cell r="Q653">
            <v>3</v>
          </cell>
          <cell r="R653">
            <v>1210000</v>
          </cell>
          <cell r="S653">
            <v>6</v>
          </cell>
          <cell r="T653">
            <v>2135000</v>
          </cell>
          <cell r="Y653">
            <v>9</v>
          </cell>
          <cell r="Z653">
            <v>3345000</v>
          </cell>
          <cell r="AA653">
            <v>33</v>
          </cell>
          <cell r="AB653">
            <v>58401680</v>
          </cell>
          <cell r="AC653">
            <v>45.833333333333329</v>
          </cell>
          <cell r="AD653">
            <v>584.01679999999999</v>
          </cell>
        </row>
        <row r="654">
          <cell r="C654" t="str">
            <v>1</v>
          </cell>
          <cell r="D654" t="str">
            <v>02</v>
          </cell>
          <cell r="E654" t="str">
            <v>01</v>
          </cell>
          <cell r="F654" t="str">
            <v>10</v>
          </cell>
          <cell r="I654" t="str">
            <v>Penyediaan Alat Tulis Kantor</v>
          </cell>
          <cell r="J654" t="str">
            <v>Jumlah ketersediaan Alat Tulis Kantor</v>
          </cell>
          <cell r="K654">
            <v>72</v>
          </cell>
          <cell r="L654">
            <v>100000000</v>
          </cell>
          <cell r="M654">
            <v>24</v>
          </cell>
          <cell r="N654">
            <v>50340400</v>
          </cell>
          <cell r="O654">
            <v>12</v>
          </cell>
          <cell r="P654">
            <v>23852800</v>
          </cell>
          <cell r="Q654">
            <v>3</v>
          </cell>
          <cell r="R654">
            <v>11645000</v>
          </cell>
          <cell r="S654">
            <v>6</v>
          </cell>
          <cell r="T654">
            <v>11645000</v>
          </cell>
          <cell r="Y654">
            <v>9</v>
          </cell>
          <cell r="Z654">
            <v>23290000</v>
          </cell>
          <cell r="AA654">
            <v>33</v>
          </cell>
          <cell r="AB654">
            <v>73630400</v>
          </cell>
          <cell r="AC654">
            <v>45.833333333333329</v>
          </cell>
          <cell r="AD654">
            <v>73.630399999999995</v>
          </cell>
        </row>
        <row r="655">
          <cell r="C655" t="str">
            <v>1</v>
          </cell>
          <cell r="D655" t="str">
            <v>02</v>
          </cell>
          <cell r="E655" t="str">
            <v>01</v>
          </cell>
          <cell r="F655" t="str">
            <v>11</v>
          </cell>
          <cell r="I655" t="str">
            <v>Penyediaan barang cetakan dan penggandaan</v>
          </cell>
          <cell r="J655" t="str">
            <v>Jumlah barang cetakan dan Penggandaan yang tersedia ( Bulan )</v>
          </cell>
          <cell r="K655">
            <v>72</v>
          </cell>
          <cell r="L655">
            <v>100000000</v>
          </cell>
          <cell r="M655">
            <v>24</v>
          </cell>
          <cell r="N655">
            <v>58747200</v>
          </cell>
          <cell r="O655">
            <v>12</v>
          </cell>
          <cell r="P655">
            <v>23790600</v>
          </cell>
          <cell r="Q655">
            <v>3</v>
          </cell>
          <cell r="R655">
            <v>3130000</v>
          </cell>
          <cell r="S655">
            <v>6</v>
          </cell>
          <cell r="T655">
            <v>4944800</v>
          </cell>
          <cell r="Y655">
            <v>9</v>
          </cell>
          <cell r="Z655">
            <v>8074800</v>
          </cell>
          <cell r="AA655">
            <v>33</v>
          </cell>
          <cell r="AB655">
            <v>66822000</v>
          </cell>
          <cell r="AC655">
            <v>45.833333333333329</v>
          </cell>
          <cell r="AD655">
            <v>66.822000000000003</v>
          </cell>
        </row>
        <row r="656">
          <cell r="C656" t="str">
            <v>1</v>
          </cell>
          <cell r="D656" t="str">
            <v>02</v>
          </cell>
          <cell r="E656" t="str">
            <v>01</v>
          </cell>
          <cell r="F656" t="str">
            <v>11</v>
          </cell>
          <cell r="I656" t="str">
            <v>Penyusunan Rencana Strategis SKPD</v>
          </cell>
          <cell r="J656" t="str">
            <v>Jumlah Dokumen Revisi Renstra Yang Dihasilkan</v>
          </cell>
          <cell r="K656">
            <v>72</v>
          </cell>
          <cell r="L656">
            <v>100000000</v>
          </cell>
          <cell r="M656">
            <v>24</v>
          </cell>
          <cell r="N656">
            <v>10728500</v>
          </cell>
          <cell r="O656">
            <v>0</v>
          </cell>
          <cell r="P656">
            <v>10114760</v>
          </cell>
          <cell r="Q656">
            <v>0</v>
          </cell>
          <cell r="R656">
            <v>260600</v>
          </cell>
          <cell r="S656">
            <v>0</v>
          </cell>
          <cell r="T656">
            <v>533350</v>
          </cell>
          <cell r="Y656">
            <v>0</v>
          </cell>
          <cell r="Z656">
            <v>793950</v>
          </cell>
          <cell r="AA656">
            <v>24</v>
          </cell>
          <cell r="AB656">
            <v>11522450</v>
          </cell>
          <cell r="AC656">
            <v>33.333333333333329</v>
          </cell>
          <cell r="AD656">
            <v>11.522449999999999</v>
          </cell>
        </row>
        <row r="657">
          <cell r="C657" t="str">
            <v>1</v>
          </cell>
          <cell r="D657" t="str">
            <v>02</v>
          </cell>
          <cell r="E657" t="str">
            <v>01</v>
          </cell>
          <cell r="F657" t="str">
            <v>12</v>
          </cell>
          <cell r="I657" t="str">
            <v>Penyediaan komponen instalasi listrik/penerangan bangunan kantor</v>
          </cell>
          <cell r="J657" t="str">
            <v>Jumlah Ketersediaan komponen instalasi listrik/penerangan bangunan kantor ( Bulan )</v>
          </cell>
          <cell r="K657">
            <v>72</v>
          </cell>
          <cell r="L657">
            <v>100000000</v>
          </cell>
          <cell r="M657">
            <v>24</v>
          </cell>
          <cell r="N657">
            <v>15745300</v>
          </cell>
          <cell r="O657">
            <v>12</v>
          </cell>
          <cell r="P657">
            <v>6481292</v>
          </cell>
          <cell r="Q657">
            <v>3</v>
          </cell>
          <cell r="R657">
            <v>246000</v>
          </cell>
          <cell r="S657">
            <v>6</v>
          </cell>
          <cell r="T657">
            <v>706000</v>
          </cell>
          <cell r="Y657">
            <v>9</v>
          </cell>
          <cell r="Z657">
            <v>952000</v>
          </cell>
          <cell r="AA657">
            <v>33</v>
          </cell>
          <cell r="AB657">
            <v>16697300</v>
          </cell>
          <cell r="AC657">
            <v>45.833333333333329</v>
          </cell>
          <cell r="AD657">
            <v>16.697300000000002</v>
          </cell>
        </row>
        <row r="658">
          <cell r="C658" t="str">
            <v>1</v>
          </cell>
          <cell r="D658" t="str">
            <v>02</v>
          </cell>
          <cell r="E658" t="str">
            <v>01</v>
          </cell>
          <cell r="F658" t="str">
            <v>15</v>
          </cell>
          <cell r="I658" t="str">
            <v>Penyediaan bahan bacaan dan peraturan perundang-undangan</v>
          </cell>
          <cell r="J658" t="str">
            <v>Jumlah Ketersediaan bahan bacaan dan peraturan perundang-undangan ( Bulan )</v>
          </cell>
          <cell r="K658">
            <v>72</v>
          </cell>
          <cell r="L658">
            <v>100000000</v>
          </cell>
          <cell r="M658">
            <v>24</v>
          </cell>
          <cell r="N658">
            <v>45522500</v>
          </cell>
          <cell r="O658">
            <v>12</v>
          </cell>
          <cell r="P658">
            <v>10400000</v>
          </cell>
          <cell r="Q658">
            <v>3</v>
          </cell>
          <cell r="R658">
            <v>1080000</v>
          </cell>
          <cell r="S658">
            <v>6</v>
          </cell>
          <cell r="T658">
            <v>2620000</v>
          </cell>
          <cell r="Y658">
            <v>9</v>
          </cell>
          <cell r="Z658">
            <v>3700000</v>
          </cell>
          <cell r="AA658">
            <v>33</v>
          </cell>
          <cell r="AB658">
            <v>49222500</v>
          </cell>
          <cell r="AC658">
            <v>45.833333333333329</v>
          </cell>
          <cell r="AD658">
            <v>49.222500000000004</v>
          </cell>
        </row>
        <row r="659">
          <cell r="C659" t="str">
            <v>1</v>
          </cell>
          <cell r="D659" t="str">
            <v>02</v>
          </cell>
          <cell r="E659" t="str">
            <v>01</v>
          </cell>
          <cell r="F659" t="str">
            <v>17</v>
          </cell>
          <cell r="I659" t="str">
            <v>Penyediaan makanan dan minuman</v>
          </cell>
          <cell r="J659" t="str">
            <v>Jumlah Ketersediaan Makanan dan Minuman</v>
          </cell>
          <cell r="K659">
            <v>72</v>
          </cell>
          <cell r="L659">
            <v>100000000</v>
          </cell>
          <cell r="M659">
            <v>24</v>
          </cell>
          <cell r="N659">
            <v>261595031</v>
          </cell>
          <cell r="O659">
            <v>12</v>
          </cell>
          <cell r="P659">
            <v>18565000</v>
          </cell>
          <cell r="Q659">
            <v>0</v>
          </cell>
          <cell r="R659">
            <v>0</v>
          </cell>
          <cell r="S659">
            <v>0</v>
          </cell>
          <cell r="T659">
            <v>4880000</v>
          </cell>
          <cell r="Y659">
            <v>0</v>
          </cell>
          <cell r="Z659">
            <v>4880000</v>
          </cell>
          <cell r="AA659">
            <v>24</v>
          </cell>
          <cell r="AB659">
            <v>266475031</v>
          </cell>
          <cell r="AC659">
            <v>33.333333333333329</v>
          </cell>
          <cell r="AD659">
            <v>266.475031</v>
          </cell>
        </row>
        <row r="660">
          <cell r="C660" t="str">
            <v>1</v>
          </cell>
          <cell r="D660" t="str">
            <v>02</v>
          </cell>
          <cell r="E660" t="str">
            <v>01</v>
          </cell>
          <cell r="F660" t="str">
            <v>18</v>
          </cell>
          <cell r="I660" t="str">
            <v>Rapat-rapat kordinasi dan konsultasi ke luar daerah</v>
          </cell>
          <cell r="J660" t="str">
            <v>Jumlah Rapat Koordinasi dan Konsultasi Luar Daerah Yang Dihasiri</v>
          </cell>
          <cell r="K660">
            <v>72</v>
          </cell>
          <cell r="L660">
            <v>135000000</v>
          </cell>
          <cell r="M660">
            <v>24</v>
          </cell>
          <cell r="N660">
            <v>93025000</v>
          </cell>
          <cell r="O660">
            <v>12</v>
          </cell>
          <cell r="P660">
            <v>109920000</v>
          </cell>
          <cell r="Q660">
            <v>3</v>
          </cell>
          <cell r="R660">
            <v>16490600</v>
          </cell>
          <cell r="S660">
            <v>6</v>
          </cell>
          <cell r="T660">
            <v>48410588</v>
          </cell>
          <cell r="Y660">
            <v>9</v>
          </cell>
          <cell r="Z660">
            <v>64901188</v>
          </cell>
          <cell r="AA660">
            <v>33</v>
          </cell>
          <cell r="AB660">
            <v>157926188</v>
          </cell>
          <cell r="AC660">
            <v>45.833333333333329</v>
          </cell>
          <cell r="AD660">
            <v>116.98236148148149</v>
          </cell>
        </row>
        <row r="661">
          <cell r="C661" t="str">
            <v>1</v>
          </cell>
          <cell r="D661" t="str">
            <v>02</v>
          </cell>
          <cell r="E661" t="str">
            <v>01</v>
          </cell>
          <cell r="F661" t="str">
            <v>20</v>
          </cell>
          <cell r="I661" t="str">
            <v>Rapat-rapat Koordinasi dan Konsultasi Dalam Daerah</v>
          </cell>
          <cell r="J661" t="str">
            <v>Jumlah Rapat Koordinasi dan Konsultasi Luar Dalam Yang Dihadiri</v>
          </cell>
          <cell r="K661">
            <v>72</v>
          </cell>
          <cell r="L661">
            <v>120000000</v>
          </cell>
          <cell r="M661">
            <v>24</v>
          </cell>
          <cell r="N661">
            <v>90312950</v>
          </cell>
          <cell r="O661">
            <v>12</v>
          </cell>
          <cell r="P661">
            <v>35000000</v>
          </cell>
          <cell r="Q661">
            <v>3</v>
          </cell>
          <cell r="R661">
            <v>10250000</v>
          </cell>
          <cell r="S661">
            <v>6</v>
          </cell>
          <cell r="T661">
            <v>27250000</v>
          </cell>
          <cell r="Y661">
            <v>9</v>
          </cell>
          <cell r="Z661">
            <v>37500000</v>
          </cell>
          <cell r="AA661">
            <v>33</v>
          </cell>
          <cell r="AB661">
            <v>127812950</v>
          </cell>
          <cell r="AC661">
            <v>45.833333333333329</v>
          </cell>
          <cell r="AD661">
            <v>106.51079166666666</v>
          </cell>
        </row>
        <row r="662">
          <cell r="C662" t="str">
            <v>1</v>
          </cell>
          <cell r="D662" t="str">
            <v>02</v>
          </cell>
          <cell r="E662" t="str">
            <v>01</v>
          </cell>
          <cell r="F662" t="str">
            <v>22</v>
          </cell>
          <cell r="I662" t="str">
            <v>Penunjang operasional perencanaan dan pelaporan</v>
          </cell>
          <cell r="J662" t="str">
            <v>Jenis Laporan Yang Disampaikan (dok)</v>
          </cell>
          <cell r="K662">
            <v>114</v>
          </cell>
          <cell r="L662">
            <v>55000000</v>
          </cell>
          <cell r="M662">
            <v>38</v>
          </cell>
          <cell r="N662">
            <v>0</v>
          </cell>
          <cell r="O662">
            <v>19</v>
          </cell>
          <cell r="P662">
            <v>37878072</v>
          </cell>
          <cell r="Q662">
            <v>3</v>
          </cell>
          <cell r="R662">
            <v>11784500</v>
          </cell>
          <cell r="T662">
            <v>14917300</v>
          </cell>
          <cell r="Y662">
            <v>3</v>
          </cell>
          <cell r="Z662">
            <v>26701800</v>
          </cell>
          <cell r="AA662">
            <v>41</v>
          </cell>
          <cell r="AB662">
            <v>26701800</v>
          </cell>
          <cell r="AC662">
            <v>35.964912280701753</v>
          </cell>
          <cell r="AD662">
            <v>48.54872727272727</v>
          </cell>
        </row>
        <row r="663">
          <cell r="A663">
            <v>2</v>
          </cell>
          <cell r="C663" t="str">
            <v>1</v>
          </cell>
          <cell r="D663" t="str">
            <v>02</v>
          </cell>
          <cell r="E663" t="str">
            <v>02</v>
          </cell>
          <cell r="I663" t="str">
            <v>Program Peningkatan Sarana dan Prasarana Aparatur</v>
          </cell>
          <cell r="J663" t="str">
            <v>pemenuhan layanan Sarana dan prasarana Aparatur (bln)</v>
          </cell>
          <cell r="K663">
            <v>72</v>
          </cell>
          <cell r="L663">
            <v>1382728850</v>
          </cell>
          <cell r="M663">
            <v>24</v>
          </cell>
          <cell r="N663">
            <v>466960200</v>
          </cell>
          <cell r="O663">
            <v>12</v>
          </cell>
          <cell r="P663">
            <v>160243036</v>
          </cell>
          <cell r="Q663">
            <v>3</v>
          </cell>
          <cell r="R663">
            <v>47073800</v>
          </cell>
          <cell r="S663">
            <v>0.59886938237989951</v>
          </cell>
          <cell r="T663">
            <v>95964648</v>
          </cell>
          <cell r="Y663">
            <v>3.5988693823798994</v>
          </cell>
          <cell r="Z663">
            <v>143038448</v>
          </cell>
          <cell r="AA663">
            <v>27.598869382379899</v>
          </cell>
          <cell r="AB663">
            <v>609998648</v>
          </cell>
          <cell r="AC663">
            <v>38.331763031083192</v>
          </cell>
          <cell r="AD663">
            <v>44.115565246215844</v>
          </cell>
          <cell r="AE663" t="str">
            <v>Dinas Lingkungan Hidup</v>
          </cell>
        </row>
        <row r="664">
          <cell r="C664" t="str">
            <v>1</v>
          </cell>
          <cell r="D664" t="str">
            <v>02</v>
          </cell>
          <cell r="E664" t="str">
            <v>02</v>
          </cell>
          <cell r="F664" t="str">
            <v>05</v>
          </cell>
          <cell r="I664" t="str">
            <v>Pemilharaan rutin berkala kendaraan dinas/operasional</v>
          </cell>
          <cell r="J664" t="str">
            <v>Tersedianya layanan kendaraan dinas operasionl</v>
          </cell>
          <cell r="K664">
            <v>72</v>
          </cell>
          <cell r="L664">
            <v>1182728850</v>
          </cell>
          <cell r="M664">
            <v>24</v>
          </cell>
          <cell r="N664">
            <v>394242950</v>
          </cell>
          <cell r="O664">
            <v>12</v>
          </cell>
          <cell r="P664">
            <v>71497200</v>
          </cell>
          <cell r="Q664">
            <v>3</v>
          </cell>
          <cell r="R664">
            <v>20239800</v>
          </cell>
          <cell r="T664">
            <v>39009700</v>
          </cell>
          <cell r="Y664">
            <v>3</v>
          </cell>
          <cell r="Z664">
            <v>59249500</v>
          </cell>
          <cell r="AA664">
            <v>27</v>
          </cell>
          <cell r="AB664">
            <v>453492450</v>
          </cell>
          <cell r="AC664">
            <v>37.5</v>
          </cell>
          <cell r="AD664">
            <v>38.342892371315706</v>
          </cell>
        </row>
        <row r="665">
          <cell r="C665" t="str">
            <v>1</v>
          </cell>
          <cell r="D665" t="str">
            <v>02</v>
          </cell>
          <cell r="E665" t="str">
            <v>02</v>
          </cell>
          <cell r="F665" t="str">
            <v>09</v>
          </cell>
          <cell r="I665" t="str">
            <v>Pengadaan perlengkapan gedung kantor</v>
          </cell>
          <cell r="J665" t="str">
            <v>Tersedianya layanan Perlengkapan gedung kantor</v>
          </cell>
          <cell r="K665">
            <v>72</v>
          </cell>
          <cell r="L665">
            <v>100000000</v>
          </cell>
          <cell r="M665">
            <v>24</v>
          </cell>
          <cell r="N665">
            <v>72717250</v>
          </cell>
          <cell r="O665">
            <v>12</v>
          </cell>
          <cell r="P665">
            <v>27302656</v>
          </cell>
          <cell r="Q665">
            <v>3</v>
          </cell>
          <cell r="R665">
            <v>26412000</v>
          </cell>
          <cell r="T665">
            <v>26412000</v>
          </cell>
          <cell r="Y665">
            <v>3</v>
          </cell>
          <cell r="Z665">
            <v>52824000</v>
          </cell>
          <cell r="AA665">
            <v>27</v>
          </cell>
          <cell r="AB665">
            <v>125541250</v>
          </cell>
          <cell r="AC665">
            <v>37.5</v>
          </cell>
          <cell r="AD665">
            <v>125.54125000000001</v>
          </cell>
        </row>
        <row r="666">
          <cell r="C666" t="str">
            <v>1</v>
          </cell>
          <cell r="D666" t="str">
            <v>02</v>
          </cell>
          <cell r="E666" t="str">
            <v>02</v>
          </cell>
          <cell r="F666" t="str">
            <v>42</v>
          </cell>
          <cell r="I666" t="str">
            <v>Rehabilitasi sedang/berat gedung kantor</v>
          </cell>
          <cell r="J666" t="str">
            <v>Luas Gedung Kantor Yang Direhab (m2)</v>
          </cell>
          <cell r="K666">
            <v>820</v>
          </cell>
          <cell r="L666">
            <v>100000000</v>
          </cell>
          <cell r="O666">
            <v>820</v>
          </cell>
          <cell r="P666">
            <v>61443180</v>
          </cell>
          <cell r="R666">
            <v>422000</v>
          </cell>
          <cell r="T666">
            <v>17594148</v>
          </cell>
          <cell r="Y666">
            <v>0</v>
          </cell>
          <cell r="Z666">
            <v>18016148</v>
          </cell>
          <cell r="AA666">
            <v>0</v>
          </cell>
          <cell r="AB666">
            <v>18016148</v>
          </cell>
          <cell r="AC666">
            <v>0</v>
          </cell>
          <cell r="AD666">
            <v>18.016148000000001</v>
          </cell>
        </row>
        <row r="667">
          <cell r="A667">
            <v>3</v>
          </cell>
          <cell r="C667" t="str">
            <v>1</v>
          </cell>
          <cell r="D667" t="str">
            <v>02</v>
          </cell>
          <cell r="E667" t="str">
            <v>06</v>
          </cell>
          <cell r="I667" t="str">
            <v>Program Peningkatan Pengembangan Sistem Pelaporan Capaian Kinerja dan Keuangan</v>
          </cell>
          <cell r="J667" t="str">
            <v>Meningkatnya kualitas pelaporan Perangkat daerah (%)</v>
          </cell>
          <cell r="K667">
            <v>100</v>
          </cell>
          <cell r="L667">
            <v>80000000</v>
          </cell>
          <cell r="M667">
            <v>80</v>
          </cell>
          <cell r="N667">
            <v>53524450</v>
          </cell>
          <cell r="O667">
            <v>85</v>
          </cell>
          <cell r="P667">
            <v>19369900</v>
          </cell>
          <cell r="Q667">
            <v>0</v>
          </cell>
          <cell r="R667">
            <v>1577400</v>
          </cell>
          <cell r="S667">
            <v>83.43</v>
          </cell>
          <cell r="T667">
            <v>6474400</v>
          </cell>
          <cell r="Y667">
            <v>83.43</v>
          </cell>
          <cell r="Z667">
            <v>8051800</v>
          </cell>
          <cell r="AA667">
            <v>163.43</v>
          </cell>
          <cell r="AB667">
            <v>61576250</v>
          </cell>
          <cell r="AC667">
            <v>163.43</v>
          </cell>
          <cell r="AD667">
            <v>76.970312500000006</v>
          </cell>
        </row>
        <row r="668">
          <cell r="C668" t="str">
            <v>1</v>
          </cell>
          <cell r="D668" t="str">
            <v>02</v>
          </cell>
          <cell r="E668" t="str">
            <v>06</v>
          </cell>
          <cell r="F668" t="str">
            <v>01</v>
          </cell>
          <cell r="I668" t="str">
            <v>Penyusunan laporan capaian kinerja dan ikhtisar realisasi kinerja SKPD</v>
          </cell>
          <cell r="J668" t="str">
            <v>Jenis Laporan Yang Disampaikan (doumen)</v>
          </cell>
          <cell r="K668">
            <v>36</v>
          </cell>
          <cell r="L668">
            <v>80000000</v>
          </cell>
          <cell r="M668">
            <v>12</v>
          </cell>
          <cell r="O668">
            <v>6</v>
          </cell>
          <cell r="P668">
            <v>19369900</v>
          </cell>
          <cell r="Q668">
            <v>3</v>
          </cell>
          <cell r="R668">
            <v>1577400</v>
          </cell>
          <cell r="T668">
            <v>6474400</v>
          </cell>
          <cell r="Y668">
            <v>3</v>
          </cell>
          <cell r="Z668">
            <v>8051800</v>
          </cell>
          <cell r="AA668">
            <v>15</v>
          </cell>
          <cell r="AB668">
            <v>8051800</v>
          </cell>
          <cell r="AC668">
            <v>41.666666666666671</v>
          </cell>
          <cell r="AD668">
            <v>10.06475</v>
          </cell>
        </row>
        <row r="669">
          <cell r="A669">
            <v>4</v>
          </cell>
          <cell r="B669" t="str">
            <v xml:space="preserve">Menurunkan Tingkat Pencemaran dan Perusakan Lingkungan Hidup </v>
          </cell>
          <cell r="C669" t="str">
            <v>1</v>
          </cell>
          <cell r="D669" t="str">
            <v>02</v>
          </cell>
          <cell r="E669" t="str">
            <v>05</v>
          </cell>
          <cell r="F669" t="str">
            <v>15</v>
          </cell>
          <cell r="I669" t="str">
            <v>Program Pengembangan Kinerja Pengelolaan Persampahan</v>
          </cell>
          <cell r="J669" t="str">
            <v>Meningkatkan Kualitas air, kualitas udara dan kualitas tanah di bawah baku mutu</v>
          </cell>
          <cell r="K669">
            <v>100</v>
          </cell>
          <cell r="L669">
            <v>450000000</v>
          </cell>
          <cell r="M669">
            <v>70</v>
          </cell>
          <cell r="N669">
            <v>136371900</v>
          </cell>
          <cell r="O669">
            <v>80</v>
          </cell>
          <cell r="P669">
            <v>66314672</v>
          </cell>
          <cell r="Q669">
            <v>5</v>
          </cell>
          <cell r="R669">
            <v>6770000</v>
          </cell>
          <cell r="S669">
            <v>27.74</v>
          </cell>
          <cell r="T669">
            <v>18394927</v>
          </cell>
          <cell r="Y669">
            <v>32.739999999999995</v>
          </cell>
          <cell r="Z669">
            <v>25164927</v>
          </cell>
          <cell r="AA669">
            <v>102.74</v>
          </cell>
          <cell r="AB669">
            <v>161536827</v>
          </cell>
          <cell r="AC669">
            <v>102.73999999999998</v>
          </cell>
          <cell r="AD669">
            <v>35.897072666666666</v>
          </cell>
          <cell r="AE669" t="str">
            <v>Dinas PU dan Penataan Ruang</v>
          </cell>
        </row>
        <row r="670">
          <cell r="C670" t="str">
            <v>1</v>
          </cell>
          <cell r="D670" t="str">
            <v>02</v>
          </cell>
          <cell r="E670" t="str">
            <v>05</v>
          </cell>
          <cell r="F670" t="str">
            <v>23</v>
          </cell>
          <cell r="I670" t="str">
            <v>Penyusunan Laporan Periodik Volume Sampah</v>
          </cell>
          <cell r="J670" t="str">
            <v>Jumlah Kecamatan</v>
          </cell>
          <cell r="K670">
            <v>90</v>
          </cell>
          <cell r="L670">
            <v>150000000</v>
          </cell>
          <cell r="M670">
            <v>15</v>
          </cell>
          <cell r="N670">
            <v>84519050</v>
          </cell>
          <cell r="O670">
            <v>15</v>
          </cell>
          <cell r="P670">
            <v>66314672</v>
          </cell>
          <cell r="Q670">
            <v>7</v>
          </cell>
          <cell r="R670">
            <v>6770000</v>
          </cell>
          <cell r="T670">
            <v>18394927</v>
          </cell>
          <cell r="Y670">
            <v>7</v>
          </cell>
          <cell r="Z670">
            <v>25164927</v>
          </cell>
          <cell r="AA670">
            <v>22</v>
          </cell>
          <cell r="AB670">
            <v>109683977</v>
          </cell>
          <cell r="AC670">
            <v>24.444444444444443</v>
          </cell>
          <cell r="AD670">
            <v>73.122651333333337</v>
          </cell>
        </row>
        <row r="671">
          <cell r="A671">
            <v>5</v>
          </cell>
          <cell r="B671" t="str">
            <v xml:space="preserve"> Meningkatnya Kualitas Informasi dan Peran Serta Masyarakat dalam pengelolaan lingkungan hidup</v>
          </cell>
          <cell r="C671" t="str">
            <v>1</v>
          </cell>
          <cell r="D671" t="str">
            <v>02</v>
          </cell>
          <cell r="E671" t="str">
            <v>05</v>
          </cell>
          <cell r="F671" t="str">
            <v>16</v>
          </cell>
          <cell r="I671" t="str">
            <v>Program Pengendalian Pencemaran dan Perusakan Lingkungan Hidup</v>
          </cell>
          <cell r="J671" t="str">
            <v>Peningkatan Peluang Partisipasi dalam Pengelolaan Lingkungan</v>
          </cell>
          <cell r="K671">
            <v>1</v>
          </cell>
          <cell r="L671">
            <v>4082666380</v>
          </cell>
          <cell r="M671">
            <v>0.25</v>
          </cell>
          <cell r="N671">
            <v>2133746478</v>
          </cell>
          <cell r="O671">
            <v>0.3</v>
          </cell>
          <cell r="P671">
            <v>957596210</v>
          </cell>
          <cell r="Q671">
            <v>0</v>
          </cell>
          <cell r="R671">
            <v>295291465</v>
          </cell>
          <cell r="S671">
            <v>0.47308617063135622</v>
          </cell>
          <cell r="T671">
            <v>453025524</v>
          </cell>
          <cell r="Y671">
            <v>0.47308617063135622</v>
          </cell>
          <cell r="Z671">
            <v>748316989</v>
          </cell>
          <cell r="AA671">
            <v>0.72308617063135627</v>
          </cell>
          <cell r="AB671">
            <v>2882063467</v>
          </cell>
          <cell r="AC671">
            <v>72.308617063135628</v>
          </cell>
          <cell r="AD671">
            <v>70.592676421432216</v>
          </cell>
          <cell r="AE671" t="str">
            <v>Dinas Lingkungan Hidup</v>
          </cell>
        </row>
        <row r="672">
          <cell r="C672" t="str">
            <v>1</v>
          </cell>
          <cell r="D672" t="str">
            <v>02</v>
          </cell>
          <cell r="E672" t="str">
            <v>05</v>
          </cell>
          <cell r="F672" t="str">
            <v>16</v>
          </cell>
          <cell r="G672" t="str">
            <v>01</v>
          </cell>
          <cell r="I672" t="str">
            <v>Koordinasi Penilaian Kota Sehat/Adipura</v>
          </cell>
          <cell r="J672" t="str">
            <v>Jumlah Lokasi Titik Pantau dan Frekwensi Pemantauan</v>
          </cell>
          <cell r="K672">
            <v>78</v>
          </cell>
          <cell r="L672">
            <v>500000000</v>
          </cell>
          <cell r="M672">
            <v>26</v>
          </cell>
          <cell r="N672">
            <v>334086400</v>
          </cell>
          <cell r="O672">
            <v>13</v>
          </cell>
          <cell r="P672">
            <v>279169350</v>
          </cell>
          <cell r="Q672">
            <v>13</v>
          </cell>
          <cell r="R672">
            <v>154222413</v>
          </cell>
          <cell r="S672">
            <v>13</v>
          </cell>
          <cell r="T672">
            <v>207158186</v>
          </cell>
          <cell r="Y672">
            <v>26</v>
          </cell>
          <cell r="Z672">
            <v>361380599</v>
          </cell>
          <cell r="AA672">
            <v>52</v>
          </cell>
          <cell r="AB672">
            <v>695466999</v>
          </cell>
          <cell r="AC672">
            <v>66.666666666666657</v>
          </cell>
          <cell r="AD672">
            <v>139.09339979999999</v>
          </cell>
        </row>
        <row r="673">
          <cell r="C673" t="str">
            <v>1</v>
          </cell>
          <cell r="D673" t="str">
            <v>02</v>
          </cell>
          <cell r="E673" t="str">
            <v>05</v>
          </cell>
          <cell r="F673" t="str">
            <v>16</v>
          </cell>
          <cell r="G673" t="str">
            <v>04</v>
          </cell>
          <cell r="I673" t="str">
            <v>Pengawasan pelaksanaan kebijakan bidang lingkungan hidup</v>
          </cell>
          <cell r="J673" t="str">
            <v>Jumlah laporan hasil pengawasan</v>
          </cell>
          <cell r="K673">
            <v>6</v>
          </cell>
          <cell r="L673">
            <v>250000000</v>
          </cell>
          <cell r="M673">
            <v>2</v>
          </cell>
          <cell r="N673">
            <v>118491576</v>
          </cell>
          <cell r="O673">
            <v>1</v>
          </cell>
          <cell r="P673">
            <v>109074120</v>
          </cell>
          <cell r="Q673">
            <v>0</v>
          </cell>
          <cell r="R673">
            <v>25075120</v>
          </cell>
          <cell r="S673">
            <v>7</v>
          </cell>
          <cell r="T673">
            <v>63640120</v>
          </cell>
          <cell r="Y673">
            <v>7</v>
          </cell>
          <cell r="Z673">
            <v>88715240</v>
          </cell>
          <cell r="AA673">
            <v>9</v>
          </cell>
          <cell r="AB673">
            <v>207206816</v>
          </cell>
          <cell r="AC673">
            <v>150</v>
          </cell>
          <cell r="AD673">
            <v>82.882726399999996</v>
          </cell>
        </row>
        <row r="674">
          <cell r="C674" t="str">
            <v>1</v>
          </cell>
          <cell r="D674" t="str">
            <v>02</v>
          </cell>
          <cell r="E674" t="str">
            <v>05</v>
          </cell>
          <cell r="F674" t="str">
            <v>16</v>
          </cell>
          <cell r="G674" t="str">
            <v>22</v>
          </cell>
          <cell r="I674" t="str">
            <v>Pembuatan Standar Pelayanan Minimum (SPM) Lingkungan Hidup</v>
          </cell>
          <cell r="J674" t="str">
            <v>Jumlah Buku Standar Pelayanan Minimal ( SPM ) LH</v>
          </cell>
          <cell r="K674">
            <v>6</v>
          </cell>
          <cell r="L674">
            <v>150000000</v>
          </cell>
          <cell r="M674">
            <v>2</v>
          </cell>
          <cell r="N674">
            <v>70200700</v>
          </cell>
          <cell r="O674">
            <v>1</v>
          </cell>
          <cell r="P674">
            <v>44589056</v>
          </cell>
          <cell r="Q674">
            <v>0</v>
          </cell>
          <cell r="R674">
            <v>0</v>
          </cell>
          <cell r="Y674">
            <v>0</v>
          </cell>
          <cell r="Z674">
            <v>0</v>
          </cell>
          <cell r="AA674">
            <v>2</v>
          </cell>
          <cell r="AB674">
            <v>70200700</v>
          </cell>
          <cell r="AC674">
            <v>33.333333333333329</v>
          </cell>
          <cell r="AD674">
            <v>46.800466666666665</v>
          </cell>
        </row>
        <row r="675">
          <cell r="C675" t="str">
            <v>1</v>
          </cell>
          <cell r="D675" t="str">
            <v>02</v>
          </cell>
          <cell r="E675" t="str">
            <v>05</v>
          </cell>
          <cell r="F675" t="str">
            <v>16</v>
          </cell>
          <cell r="G675" t="str">
            <v>23</v>
          </cell>
          <cell r="I675" t="str">
            <v>Peringatan Hari Lingkungan Hidup Sedunia di Kabupaten Pesisir Selatan</v>
          </cell>
          <cell r="J675" t="str">
            <v>Jumlah Peringatan Hari Lingkungan Hidup Yang Diaksanakan ( Kali )</v>
          </cell>
          <cell r="K675">
            <v>6</v>
          </cell>
          <cell r="L675">
            <v>200000000</v>
          </cell>
          <cell r="M675">
            <v>2</v>
          </cell>
          <cell r="N675">
            <v>55969000</v>
          </cell>
          <cell r="O675">
            <v>2</v>
          </cell>
          <cell r="P675">
            <v>82895460</v>
          </cell>
          <cell r="Q675">
            <v>0</v>
          </cell>
          <cell r="R675">
            <v>54222000</v>
          </cell>
          <cell r="S675">
            <v>3</v>
          </cell>
          <cell r="T675">
            <v>74507000</v>
          </cell>
          <cell r="Y675">
            <v>3</v>
          </cell>
          <cell r="Z675">
            <v>128729000</v>
          </cell>
          <cell r="AA675">
            <v>5</v>
          </cell>
          <cell r="AB675">
            <v>184698000</v>
          </cell>
          <cell r="AC675">
            <v>83.333333333333343</v>
          </cell>
          <cell r="AD675">
            <v>92.349000000000004</v>
          </cell>
        </row>
        <row r="676">
          <cell r="C676" t="str">
            <v>1</v>
          </cell>
          <cell r="D676" t="str">
            <v>02</v>
          </cell>
          <cell r="E676" t="str">
            <v>05</v>
          </cell>
          <cell r="F676" t="str">
            <v>16</v>
          </cell>
          <cell r="G676" t="str">
            <v>28</v>
          </cell>
          <cell r="I676" t="str">
            <v>Penunjang Operasional Laboratorium</v>
          </cell>
          <cell r="J676" t="str">
            <v>Jumlah Opersional Laboratorium Yang Tersedia ( Bulan )</v>
          </cell>
          <cell r="K676">
            <v>72</v>
          </cell>
          <cell r="L676">
            <v>1500000000</v>
          </cell>
          <cell r="M676">
            <v>24</v>
          </cell>
          <cell r="N676">
            <v>233336900</v>
          </cell>
          <cell r="O676">
            <v>12</v>
          </cell>
          <cell r="P676">
            <v>113861356</v>
          </cell>
          <cell r="Q676">
            <v>3</v>
          </cell>
          <cell r="R676">
            <v>7233958</v>
          </cell>
          <cell r="S676">
            <v>6</v>
          </cell>
          <cell r="T676">
            <v>22112958</v>
          </cell>
          <cell r="Y676">
            <v>9</v>
          </cell>
          <cell r="Z676">
            <v>29346916</v>
          </cell>
          <cell r="AA676">
            <v>33</v>
          </cell>
          <cell r="AB676">
            <v>262683816</v>
          </cell>
          <cell r="AC676">
            <v>45.833333333333329</v>
          </cell>
          <cell r="AD676">
            <v>17.5122544</v>
          </cell>
        </row>
        <row r="677">
          <cell r="C677" t="str">
            <v>1</v>
          </cell>
          <cell r="D677" t="str">
            <v>02</v>
          </cell>
          <cell r="E677" t="str">
            <v>05</v>
          </cell>
          <cell r="F677" t="str">
            <v>16</v>
          </cell>
          <cell r="G677" t="str">
            <v>31</v>
          </cell>
          <cell r="I677" t="str">
            <v>Koordinasi Gerakan Sumatera Barat Bersih (GSB)</v>
          </cell>
          <cell r="J677" t="str">
            <v>Jumlah gerakan terpadu yang dikoordinasikan</v>
          </cell>
          <cell r="K677">
            <v>6</v>
          </cell>
          <cell r="L677">
            <v>200000000</v>
          </cell>
          <cell r="M677">
            <v>2</v>
          </cell>
          <cell r="N677">
            <v>150206452</v>
          </cell>
          <cell r="O677">
            <v>1</v>
          </cell>
          <cell r="P677">
            <v>71473592</v>
          </cell>
          <cell r="Q677">
            <v>0</v>
          </cell>
          <cell r="R677">
            <v>17555046</v>
          </cell>
          <cell r="S677">
            <v>6</v>
          </cell>
          <cell r="T677">
            <v>22112958</v>
          </cell>
          <cell r="Y677">
            <v>6</v>
          </cell>
          <cell r="Z677">
            <v>39668004</v>
          </cell>
          <cell r="AA677">
            <v>8</v>
          </cell>
          <cell r="AB677">
            <v>189874456</v>
          </cell>
          <cell r="AC677">
            <v>133.33333333333331</v>
          </cell>
          <cell r="AD677">
            <v>94.93722799999999</v>
          </cell>
        </row>
        <row r="678">
          <cell r="I678" t="str">
            <v>Pembinaan Pelaksanaan PROKLIM dan KALPATARU</v>
          </cell>
          <cell r="J678" t="str">
            <v>Jumlah Calon Yang Masuk Seleksi Nasional</v>
          </cell>
          <cell r="K678">
            <v>36</v>
          </cell>
          <cell r="L678">
            <v>358238500</v>
          </cell>
          <cell r="O678">
            <v>6</v>
          </cell>
          <cell r="P678">
            <v>71647700</v>
          </cell>
          <cell r="Q678">
            <v>4</v>
          </cell>
          <cell r="R678">
            <v>24619372</v>
          </cell>
          <cell r="S678">
            <v>0</v>
          </cell>
          <cell r="T678">
            <v>34431746</v>
          </cell>
          <cell r="Y678">
            <v>4</v>
          </cell>
          <cell r="Z678">
            <v>59051118</v>
          </cell>
          <cell r="AA678">
            <v>4</v>
          </cell>
          <cell r="AB678">
            <v>59051118</v>
          </cell>
          <cell r="AC678">
            <v>11.111111111111111</v>
          </cell>
          <cell r="AD678">
            <v>16.483744209514054</v>
          </cell>
        </row>
        <row r="679">
          <cell r="I679" t="str">
            <v>Sekolah Berbudaya dan Berwawasan Lingkungan ( ADIWIYATA )</v>
          </cell>
          <cell r="J679" t="str">
            <v>Jumlah Sekolah Adiwiyata yang dibina</v>
          </cell>
          <cell r="K679">
            <v>125</v>
          </cell>
          <cell r="L679">
            <v>924427880</v>
          </cell>
          <cell r="O679">
            <v>25</v>
          </cell>
          <cell r="P679">
            <v>184885576</v>
          </cell>
          <cell r="R679">
            <v>12363556</v>
          </cell>
          <cell r="T679">
            <v>29062556</v>
          </cell>
          <cell r="Y679">
            <v>0</v>
          </cell>
          <cell r="Z679">
            <v>41426112</v>
          </cell>
          <cell r="AA679">
            <v>0</v>
          </cell>
          <cell r="AB679">
            <v>41426112</v>
          </cell>
          <cell r="AC679">
            <v>0</v>
          </cell>
          <cell r="AD679">
            <v>4.4812702966076712</v>
          </cell>
        </row>
        <row r="680">
          <cell r="A680">
            <v>6</v>
          </cell>
          <cell r="B680" t="str">
            <v xml:space="preserve"> Meningkatnya Kualitas Informasi dan Peran Serta Masyarakat dalam pengelolaan lingkungan hidup</v>
          </cell>
          <cell r="C680" t="str">
            <v>1</v>
          </cell>
          <cell r="D680" t="str">
            <v xml:space="preserve"> </v>
          </cell>
          <cell r="E680" t="str">
            <v>05</v>
          </cell>
          <cell r="F680" t="str">
            <v>19</v>
          </cell>
          <cell r="I680" t="str">
            <v>Program Peningkatan Kualitas dan akses Informasi SDA dan Lingkungan</v>
          </cell>
          <cell r="J680" t="str">
            <v>Peningkatan Kualitas Dokumen Lingkungan</v>
          </cell>
          <cell r="K680">
            <v>1</v>
          </cell>
          <cell r="L680">
            <v>4455400000</v>
          </cell>
          <cell r="M680">
            <v>0.25</v>
          </cell>
          <cell r="N680">
            <v>1318608040</v>
          </cell>
          <cell r="O680">
            <v>0.3</v>
          </cell>
          <cell r="P680">
            <v>973554382</v>
          </cell>
          <cell r="Q680">
            <v>6.9417050808364605E-2</v>
          </cell>
          <cell r="R680">
            <v>67581274</v>
          </cell>
          <cell r="S680">
            <v>0.20630000000000001</v>
          </cell>
          <cell r="T680">
            <v>200755947</v>
          </cell>
          <cell r="Y680">
            <v>0.27571705080836462</v>
          </cell>
          <cell r="Z680">
            <v>268337221</v>
          </cell>
          <cell r="AA680">
            <v>0.52571705080836462</v>
          </cell>
          <cell r="AB680">
            <v>1586945261</v>
          </cell>
          <cell r="AC680">
            <v>52.571705080836459</v>
          </cell>
          <cell r="AD680">
            <v>35.618468846792659</v>
          </cell>
          <cell r="AE680" t="str">
            <v>Dinas Lingkungan Hidup</v>
          </cell>
        </row>
        <row r="681">
          <cell r="D681" t="str">
            <v>02</v>
          </cell>
          <cell r="E681" t="str">
            <v>05</v>
          </cell>
          <cell r="F681" t="str">
            <v>19</v>
          </cell>
          <cell r="G681" t="str">
            <v>07</v>
          </cell>
          <cell r="I681" t="str">
            <v>Pembuatan Buku Laporan Status Lingkungan Hidup Daerah (SLHD)</v>
          </cell>
          <cell r="J681" t="str">
            <v>Jumlah Buku Laporan SLHD</v>
          </cell>
          <cell r="K681">
            <v>6</v>
          </cell>
          <cell r="L681">
            <v>300000000</v>
          </cell>
          <cell r="M681">
            <v>2</v>
          </cell>
          <cell r="N681">
            <v>240811791</v>
          </cell>
          <cell r="O681">
            <v>1</v>
          </cell>
          <cell r="P681">
            <v>112597526</v>
          </cell>
          <cell r="Q681">
            <v>0</v>
          </cell>
          <cell r="R681">
            <v>4011400</v>
          </cell>
          <cell r="T681">
            <v>67655040</v>
          </cell>
          <cell r="Y681">
            <v>0</v>
          </cell>
          <cell r="Z681">
            <v>71666440</v>
          </cell>
          <cell r="AA681">
            <v>2</v>
          </cell>
          <cell r="AB681">
            <v>312478231</v>
          </cell>
          <cell r="AC681">
            <v>33.333333333333329</v>
          </cell>
          <cell r="AD681">
            <v>104.15941033333334</v>
          </cell>
        </row>
        <row r="682">
          <cell r="C682" t="str">
            <v>1</v>
          </cell>
          <cell r="D682" t="str">
            <v>02</v>
          </cell>
          <cell r="E682" t="str">
            <v>05</v>
          </cell>
          <cell r="F682" t="str">
            <v>19</v>
          </cell>
          <cell r="G682" t="str">
            <v>14</v>
          </cell>
          <cell r="I682" t="str">
            <v>Pembahasan Dokumen AMDAL dan UKL-UPL</v>
          </cell>
          <cell r="J682" t="str">
            <v>Jumlah Dokumen  Lingkungan Hidup yang dibahas</v>
          </cell>
          <cell r="K682">
            <v>150</v>
          </cell>
          <cell r="L682">
            <v>2000000000</v>
          </cell>
          <cell r="M682">
            <v>60</v>
          </cell>
          <cell r="N682">
            <v>209331150</v>
          </cell>
          <cell r="O682">
            <v>30</v>
          </cell>
          <cell r="P682">
            <v>106853436</v>
          </cell>
          <cell r="Q682">
            <v>12</v>
          </cell>
          <cell r="R682">
            <v>16138174</v>
          </cell>
          <cell r="T682">
            <v>45755410</v>
          </cell>
          <cell r="Y682">
            <v>12</v>
          </cell>
          <cell r="Z682">
            <v>61893584</v>
          </cell>
          <cell r="AA682">
            <v>72</v>
          </cell>
          <cell r="AB682">
            <v>271224734</v>
          </cell>
          <cell r="AC682">
            <v>48</v>
          </cell>
          <cell r="AD682">
            <v>13.561236700000002</v>
          </cell>
        </row>
        <row r="683">
          <cell r="C683" t="str">
            <v>1</v>
          </cell>
          <cell r="D683" t="str">
            <v>02</v>
          </cell>
          <cell r="E683" t="str">
            <v>05</v>
          </cell>
          <cell r="F683" t="str">
            <v>19</v>
          </cell>
          <cell r="G683" t="str">
            <v>17</v>
          </cell>
          <cell r="I683" t="str">
            <v>Tindak Lanjut Pengaduan Masyarakat di Bidang Lingkungan Hidup</v>
          </cell>
          <cell r="J683" t="str">
            <v>Jumlah Pengaduan Masyarakat dibidang LH yang ditindak lanjuti ( kasus )</v>
          </cell>
          <cell r="K683">
            <v>40</v>
          </cell>
          <cell r="L683">
            <v>250000000</v>
          </cell>
          <cell r="M683">
            <v>8</v>
          </cell>
          <cell r="N683">
            <v>216313700</v>
          </cell>
          <cell r="O683">
            <v>8</v>
          </cell>
          <cell r="P683">
            <v>177075240</v>
          </cell>
          <cell r="Q683">
            <v>3</v>
          </cell>
          <cell r="R683">
            <v>26368100</v>
          </cell>
          <cell r="T683">
            <v>43805494</v>
          </cell>
          <cell r="Y683">
            <v>3</v>
          </cell>
          <cell r="Z683">
            <v>70173594</v>
          </cell>
          <cell r="AA683">
            <v>11</v>
          </cell>
          <cell r="AB683">
            <v>286487294</v>
          </cell>
          <cell r="AC683">
            <v>27.500000000000004</v>
          </cell>
          <cell r="AD683">
            <v>114.5949176</v>
          </cell>
        </row>
        <row r="684">
          <cell r="C684" t="str">
            <v>1</v>
          </cell>
          <cell r="D684" t="str">
            <v>02</v>
          </cell>
          <cell r="E684" t="str">
            <v>05</v>
          </cell>
          <cell r="F684" t="str">
            <v>19</v>
          </cell>
          <cell r="G684" t="str">
            <v>37</v>
          </cell>
          <cell r="I684" t="str">
            <v>Penyusunan RPPLH Kabupaten Pesisir Selatan</v>
          </cell>
          <cell r="J684" t="str">
            <v>Jumlah Dokumen RPPLH Yang Disusun</v>
          </cell>
          <cell r="K684">
            <v>5</v>
          </cell>
          <cell r="L684">
            <v>120000000</v>
          </cell>
          <cell r="M684">
            <v>1</v>
          </cell>
          <cell r="N684">
            <v>0</v>
          </cell>
          <cell r="O684">
            <v>1</v>
          </cell>
          <cell r="P684">
            <v>121250000</v>
          </cell>
          <cell r="R684">
            <v>0</v>
          </cell>
          <cell r="Y684">
            <v>0</v>
          </cell>
          <cell r="Z684">
            <v>0</v>
          </cell>
          <cell r="AA684">
            <v>1</v>
          </cell>
          <cell r="AB684">
            <v>0</v>
          </cell>
          <cell r="AC684">
            <v>20</v>
          </cell>
          <cell r="AD684">
            <v>0</v>
          </cell>
        </row>
        <row r="685">
          <cell r="I685" t="str">
            <v>Penyusunan Dokumen KLHS</v>
          </cell>
          <cell r="J685" t="str">
            <v>Dokumn KLHS yang dihasilkan</v>
          </cell>
          <cell r="K685">
            <v>4</v>
          </cell>
          <cell r="L685">
            <v>1710400000</v>
          </cell>
          <cell r="O685">
            <v>1</v>
          </cell>
          <cell r="P685">
            <v>427600000</v>
          </cell>
          <cell r="Q685">
            <v>0</v>
          </cell>
          <cell r="R685">
            <v>15934600</v>
          </cell>
          <cell r="S685">
            <v>7.51</v>
          </cell>
          <cell r="T685">
            <v>32009999</v>
          </cell>
          <cell r="Y685">
            <v>7.51</v>
          </cell>
          <cell r="Z685">
            <v>47944599</v>
          </cell>
          <cell r="AA685">
            <v>7.51</v>
          </cell>
          <cell r="AB685">
            <v>47944599</v>
          </cell>
          <cell r="AC685">
            <v>187.75</v>
          </cell>
          <cell r="AD685">
            <v>2.8031220182413468</v>
          </cell>
        </row>
        <row r="686">
          <cell r="C686" t="str">
            <v>1</v>
          </cell>
          <cell r="D686" t="str">
            <v>02</v>
          </cell>
          <cell r="E686" t="str">
            <v>05</v>
          </cell>
          <cell r="F686" t="str">
            <v>19</v>
          </cell>
          <cell r="G686" t="str">
            <v>49</v>
          </cell>
          <cell r="I686" t="str">
            <v>Inventarisasi Kegiatan yang belum memiliki izin lingkungan</v>
          </cell>
          <cell r="J686" t="str">
            <v>Laporan hasil inventarisasi</v>
          </cell>
          <cell r="K686">
            <v>5</v>
          </cell>
          <cell r="L686">
            <v>75000000</v>
          </cell>
          <cell r="M686">
            <v>1</v>
          </cell>
          <cell r="N686">
            <v>38725200</v>
          </cell>
          <cell r="O686">
            <v>1</v>
          </cell>
          <cell r="P686">
            <v>28178180</v>
          </cell>
          <cell r="Q686">
            <v>0</v>
          </cell>
          <cell r="R686">
            <v>5129000</v>
          </cell>
          <cell r="S686">
            <v>0.24</v>
          </cell>
          <cell r="T686">
            <v>11530004</v>
          </cell>
          <cell r="Y686">
            <v>0.24</v>
          </cell>
          <cell r="Z686">
            <v>16659004</v>
          </cell>
          <cell r="AA686">
            <v>1.24</v>
          </cell>
          <cell r="AB686">
            <v>55384204</v>
          </cell>
          <cell r="AC686">
            <v>24.8</v>
          </cell>
          <cell r="AD686">
            <v>73.845605333333324</v>
          </cell>
        </row>
        <row r="687">
          <cell r="A687">
            <v>7</v>
          </cell>
          <cell r="B687" t="str">
            <v xml:space="preserve">Menurunkan Tingkat Pencemaran dan Perusakan Lingkungan Hidup </v>
          </cell>
          <cell r="C687" t="str">
            <v>1</v>
          </cell>
          <cell r="D687" t="str">
            <v>02</v>
          </cell>
          <cell r="E687" t="str">
            <v>05</v>
          </cell>
          <cell r="F687" t="str">
            <v>20</v>
          </cell>
          <cell r="I687" t="str">
            <v>Program Peningkatan Pengendalian Polusi</v>
          </cell>
          <cell r="J687" t="str">
            <v>Pencapaian Kualitas air, kualitas udara dan kualitas tanah di bawah baku mutu (%)</v>
          </cell>
          <cell r="K687">
            <v>90</v>
          </cell>
          <cell r="L687">
            <v>417000000</v>
          </cell>
          <cell r="M687">
            <v>70</v>
          </cell>
          <cell r="N687">
            <v>160107150</v>
          </cell>
          <cell r="O687">
            <v>5</v>
          </cell>
          <cell r="P687">
            <v>58931380</v>
          </cell>
          <cell r="Q687">
            <v>0</v>
          </cell>
          <cell r="R687">
            <v>5513200</v>
          </cell>
          <cell r="S687">
            <v>25</v>
          </cell>
          <cell r="T687">
            <v>26103820</v>
          </cell>
          <cell r="Y687">
            <v>25</v>
          </cell>
          <cell r="Z687">
            <v>31617020</v>
          </cell>
          <cell r="AA687">
            <v>95</v>
          </cell>
          <cell r="AB687">
            <v>191724170</v>
          </cell>
          <cell r="AC687">
            <v>105.55555555555556</v>
          </cell>
          <cell r="AD687">
            <v>45.977019184652278</v>
          </cell>
          <cell r="AE687" t="str">
            <v>Dinas Lingkungan Hidup</v>
          </cell>
        </row>
        <row r="688">
          <cell r="C688" t="str">
            <v>1</v>
          </cell>
          <cell r="D688" t="str">
            <v>02</v>
          </cell>
          <cell r="E688" t="str">
            <v>05</v>
          </cell>
          <cell r="F688" t="str">
            <v>20</v>
          </cell>
          <cell r="G688" t="str">
            <v>10</v>
          </cell>
          <cell r="I688" t="str">
            <v>Pemantauan Kualitas Media Skala Kabupaten</v>
          </cell>
          <cell r="J688" t="str">
            <v>Jumlah laporan hasil pemantauan</v>
          </cell>
          <cell r="K688">
            <v>5</v>
          </cell>
          <cell r="L688">
            <v>417000000</v>
          </cell>
          <cell r="O688">
            <v>1</v>
          </cell>
          <cell r="P688">
            <v>58931380</v>
          </cell>
          <cell r="Q688">
            <v>1</v>
          </cell>
          <cell r="R688">
            <v>5513200</v>
          </cell>
          <cell r="S688">
            <v>0.03</v>
          </cell>
          <cell r="T688">
            <v>26103820</v>
          </cell>
          <cell r="Y688">
            <v>1.03</v>
          </cell>
          <cell r="Z688">
            <v>31617020</v>
          </cell>
          <cell r="AA688">
            <v>1.03</v>
          </cell>
          <cell r="AB688">
            <v>31617020</v>
          </cell>
          <cell r="AC688">
            <v>20.6</v>
          </cell>
          <cell r="AD688">
            <v>7.5820191846522782</v>
          </cell>
        </row>
        <row r="689">
          <cell r="A689">
            <v>8</v>
          </cell>
          <cell r="C689" t="str">
            <v>1</v>
          </cell>
          <cell r="D689" t="str">
            <v>02</v>
          </cell>
          <cell r="E689" t="str">
            <v>05</v>
          </cell>
          <cell r="F689" t="str">
            <v>21</v>
          </cell>
          <cell r="I689" t="str">
            <v>Program Pelestarian Keanekaragaman Hayati Daerah Kab.Pesisir Selatan</v>
          </cell>
          <cell r="J689" t="str">
            <v>Meningkatnya luasan tutupan lahan terbuka (persen)</v>
          </cell>
          <cell r="L689">
            <v>200000000</v>
          </cell>
          <cell r="N689">
            <v>0</v>
          </cell>
          <cell r="O689">
            <v>10</v>
          </cell>
          <cell r="P689">
            <v>101630660</v>
          </cell>
          <cell r="Q689">
            <v>0</v>
          </cell>
          <cell r="R689">
            <v>1056720</v>
          </cell>
          <cell r="S689">
            <v>0</v>
          </cell>
          <cell r="T689">
            <v>4433920</v>
          </cell>
          <cell r="Z689">
            <v>5490640</v>
          </cell>
          <cell r="AA689">
            <v>0</v>
          </cell>
          <cell r="AB689">
            <v>5490640</v>
          </cell>
          <cell r="AC689" t="str">
            <v>-</v>
          </cell>
          <cell r="AD689">
            <v>2.74532</v>
          </cell>
          <cell r="AE689" t="str">
            <v>Program tidak ada dalam RPJMD</v>
          </cell>
        </row>
        <row r="690">
          <cell r="C690" t="str">
            <v>1</v>
          </cell>
          <cell r="D690" t="str">
            <v>02</v>
          </cell>
          <cell r="E690" t="str">
            <v>05</v>
          </cell>
          <cell r="F690" t="str">
            <v>20</v>
          </cell>
          <cell r="G690" t="str">
            <v>1</v>
          </cell>
          <cell r="I690" t="str">
            <v>Penyusunan Profil keaneragaman hayati</v>
          </cell>
          <cell r="J690" t="str">
            <v>Jumlah dokumen kehayati</v>
          </cell>
          <cell r="L690">
            <v>200000000</v>
          </cell>
          <cell r="N690">
            <v>0</v>
          </cell>
          <cell r="O690">
            <v>1</v>
          </cell>
          <cell r="P690">
            <v>101630660</v>
          </cell>
          <cell r="Q690">
            <v>0</v>
          </cell>
          <cell r="R690">
            <v>1056720</v>
          </cell>
          <cell r="S690">
            <v>0</v>
          </cell>
          <cell r="T690">
            <v>4433920</v>
          </cell>
          <cell r="Z690">
            <v>5490640</v>
          </cell>
          <cell r="AA690">
            <v>0</v>
          </cell>
          <cell r="AB690">
            <v>5490640</v>
          </cell>
          <cell r="AC690" t="str">
            <v>-</v>
          </cell>
          <cell r="AD690">
            <v>2.74532</v>
          </cell>
        </row>
        <row r="691">
          <cell r="A691" t="str">
            <v>Rata-Rata Capaian Kinerja</v>
          </cell>
          <cell r="AC691">
            <v>82.372043913896775</v>
          </cell>
          <cell r="AD691">
            <v>46.511009637965671</v>
          </cell>
        </row>
        <row r="692">
          <cell r="A692" t="str">
            <v>Peringkat  Kinerja</v>
          </cell>
          <cell r="AC692" t="str">
            <v>T</v>
          </cell>
          <cell r="AD692" t="str">
            <v>SR</v>
          </cell>
        </row>
        <row r="693">
          <cell r="A693" t="str">
            <v>VI</v>
          </cell>
          <cell r="I693" t="str">
            <v>URUSAN ADMINISTRASI KEPENDUDUKAN DAN PENCATATAN SIPIL</v>
          </cell>
          <cell r="L693">
            <v>27532500000</v>
          </cell>
          <cell r="N693">
            <v>803588091.16999996</v>
          </cell>
          <cell r="P693">
            <v>7422219464</v>
          </cell>
          <cell r="R693">
            <v>269963508.16000003</v>
          </cell>
          <cell r="T693">
            <v>166401887.69999999</v>
          </cell>
          <cell r="Z693">
            <v>436365395.86000001</v>
          </cell>
          <cell r="AB693">
            <v>1239953487.03</v>
          </cell>
        </row>
        <row r="694">
          <cell r="A694">
            <v>1</v>
          </cell>
          <cell r="B694" t="str">
            <v>Meningkatnya Pelayanan Administrasi Perkantoran</v>
          </cell>
          <cell r="C694">
            <v>3</v>
          </cell>
          <cell r="D694" t="str">
            <v>00</v>
          </cell>
          <cell r="E694" t="str">
            <v>02</v>
          </cell>
          <cell r="F694" t="str">
            <v>01</v>
          </cell>
          <cell r="G694">
            <v>26</v>
          </cell>
          <cell r="I694" t="str">
            <v>Program Pelayanan Administrasi Perkantoran</v>
          </cell>
          <cell r="J694" t="str">
            <v>Persentase peningkatan pelayanan perkantoran</v>
          </cell>
          <cell r="K694">
            <v>100</v>
          </cell>
          <cell r="L694">
            <v>4990000000</v>
          </cell>
          <cell r="M694">
            <v>80</v>
          </cell>
          <cell r="N694">
            <v>663838.48</v>
          </cell>
          <cell r="O694">
            <v>85</v>
          </cell>
          <cell r="P694">
            <v>519072850</v>
          </cell>
          <cell r="Q694">
            <v>1</v>
          </cell>
          <cell r="R694">
            <v>37902548.610000007</v>
          </cell>
          <cell r="T694">
            <v>35326834.869999997</v>
          </cell>
          <cell r="Y694">
            <v>1</v>
          </cell>
          <cell r="Z694">
            <v>73229383.480000004</v>
          </cell>
          <cell r="AA694">
            <v>81</v>
          </cell>
          <cell r="AB694">
            <v>73893221.960000008</v>
          </cell>
          <cell r="AC694">
            <v>81</v>
          </cell>
          <cell r="AD694">
            <v>1.4808260913827658</v>
          </cell>
          <cell r="AE694" t="str">
            <v>Disdukcapil</v>
          </cell>
        </row>
        <row r="695">
          <cell r="I695" t="str">
            <v>Penyediaan Jasa Komunikasi, Sumber Daya Air dan Listrik</v>
          </cell>
          <cell r="J695" t="str">
            <v xml:space="preserve">Terbayarnya tagihan jaringan komunikasi, listrik dan PDAM </v>
          </cell>
          <cell r="K695">
            <v>72</v>
          </cell>
          <cell r="L695">
            <v>350000000</v>
          </cell>
          <cell r="M695">
            <v>12</v>
          </cell>
          <cell r="N695">
            <v>61465.9</v>
          </cell>
          <cell r="O695">
            <v>12</v>
          </cell>
          <cell r="P695">
            <v>61200000</v>
          </cell>
          <cell r="Q695">
            <v>3</v>
          </cell>
          <cell r="R695">
            <v>17197.41</v>
          </cell>
          <cell r="S695">
            <v>3</v>
          </cell>
          <cell r="T695">
            <v>19525.8</v>
          </cell>
          <cell r="Y695">
            <v>6</v>
          </cell>
          <cell r="Z695">
            <v>36723.21</v>
          </cell>
          <cell r="AA695">
            <v>18</v>
          </cell>
          <cell r="AB695">
            <v>98189.11</v>
          </cell>
          <cell r="AC695">
            <v>25</v>
          </cell>
          <cell r="AD695">
            <v>2.8054031428571428E-2</v>
          </cell>
        </row>
        <row r="696">
          <cell r="I696" t="str">
            <v>Penyediaan Jasa Administrasi Keuangan</v>
          </cell>
          <cell r="J696" t="str">
            <v>Terbayarnya honorium pengelola kegiatan</v>
          </cell>
          <cell r="K696">
            <v>72</v>
          </cell>
          <cell r="L696">
            <v>750000000</v>
          </cell>
          <cell r="M696">
            <v>12</v>
          </cell>
          <cell r="N696">
            <v>56041</v>
          </cell>
          <cell r="O696">
            <v>12</v>
          </cell>
          <cell r="P696">
            <v>126800000</v>
          </cell>
          <cell r="Q696">
            <v>3</v>
          </cell>
          <cell r="R696">
            <v>25700000</v>
          </cell>
          <cell r="S696">
            <v>3</v>
          </cell>
          <cell r="T696">
            <v>15100000</v>
          </cell>
          <cell r="Y696">
            <v>6</v>
          </cell>
          <cell r="Z696">
            <v>40800000</v>
          </cell>
          <cell r="AA696">
            <v>18</v>
          </cell>
          <cell r="AB696">
            <v>40856041</v>
          </cell>
          <cell r="AC696">
            <v>25</v>
          </cell>
        </row>
        <row r="697">
          <cell r="I697" t="str">
            <v>Penyediaan Jasa Kebersihan Kantor</v>
          </cell>
          <cell r="J697" t="str">
            <v>Jenis peralatan dan bahan kebersihan yang tersedia</v>
          </cell>
          <cell r="K697">
            <v>48</v>
          </cell>
          <cell r="L697">
            <v>225000000</v>
          </cell>
          <cell r="M697">
            <v>6</v>
          </cell>
          <cell r="N697">
            <v>25929.1</v>
          </cell>
          <cell r="O697">
            <v>8</v>
          </cell>
          <cell r="P697">
            <v>31735200</v>
          </cell>
          <cell r="Q697">
            <v>2</v>
          </cell>
          <cell r="R697">
            <v>3207.6</v>
          </cell>
          <cell r="S697">
            <v>3</v>
          </cell>
          <cell r="T697">
            <v>5661.5</v>
          </cell>
          <cell r="Y697">
            <v>5</v>
          </cell>
          <cell r="Z697">
            <v>8869.1</v>
          </cell>
          <cell r="AA697">
            <v>11</v>
          </cell>
          <cell r="AB697">
            <v>34798.199999999997</v>
          </cell>
          <cell r="AC697">
            <v>22.916666666666664</v>
          </cell>
          <cell r="AD697">
            <v>1.5465866666666665E-2</v>
          </cell>
        </row>
        <row r="698">
          <cell r="I698" t="str">
            <v>Penyediaan Jasa Perbaikan Peralatan Kerja</v>
          </cell>
          <cell r="J698" t="str">
            <v>Jumlah peralatan dan perlengkapan kantor yang diperbaiki</v>
          </cell>
          <cell r="K698">
            <v>60</v>
          </cell>
          <cell r="L698">
            <v>125000000</v>
          </cell>
          <cell r="M698">
            <v>10</v>
          </cell>
          <cell r="N698">
            <v>19999.5</v>
          </cell>
          <cell r="O698">
            <v>20</v>
          </cell>
          <cell r="P698">
            <v>4500000</v>
          </cell>
          <cell r="Q698">
            <v>7</v>
          </cell>
          <cell r="R698">
            <v>1060000</v>
          </cell>
          <cell r="S698">
            <v>3</v>
          </cell>
          <cell r="T698">
            <v>531000</v>
          </cell>
          <cell r="Y698">
            <v>10</v>
          </cell>
          <cell r="Z698">
            <v>1591000</v>
          </cell>
          <cell r="AA698">
            <v>20</v>
          </cell>
          <cell r="AB698">
            <v>1610999.5</v>
          </cell>
          <cell r="AC698">
            <v>33.333333333333329</v>
          </cell>
          <cell r="AD698">
            <v>1.2887996000000002</v>
          </cell>
        </row>
        <row r="699">
          <cell r="I699" t="str">
            <v>Penyediaan Alat Tulis Kantor</v>
          </cell>
          <cell r="J699" t="str">
            <v>Jumlah alat tulis kantor yang tersedia</v>
          </cell>
          <cell r="K699">
            <v>3000</v>
          </cell>
          <cell r="L699">
            <v>220000000</v>
          </cell>
          <cell r="M699">
            <v>400</v>
          </cell>
          <cell r="N699">
            <v>32742</v>
          </cell>
          <cell r="O699">
            <v>571</v>
          </cell>
          <cell r="P699">
            <v>31800000</v>
          </cell>
          <cell r="Q699">
            <v>3</v>
          </cell>
          <cell r="R699">
            <v>2082.5</v>
          </cell>
          <cell r="S699">
            <v>3</v>
          </cell>
          <cell r="T699">
            <v>28697.45</v>
          </cell>
          <cell r="Y699">
            <v>6</v>
          </cell>
          <cell r="Z699">
            <v>30779.95</v>
          </cell>
          <cell r="AA699">
            <v>406</v>
          </cell>
          <cell r="AB699">
            <v>63521.95</v>
          </cell>
          <cell r="AC699">
            <v>13.533333333333333</v>
          </cell>
          <cell r="AD699">
            <v>2.8873613636363635E-2</v>
          </cell>
        </row>
        <row r="700">
          <cell r="I700" t="str">
            <v>Penyediaan Barang Cetakan dan Penggandaan</v>
          </cell>
          <cell r="J700" t="str">
            <v>Jumlah barang cetakan dan penggandaan kantor</v>
          </cell>
          <cell r="K700">
            <v>900</v>
          </cell>
          <cell r="L700">
            <v>120000000</v>
          </cell>
          <cell r="M700">
            <v>150</v>
          </cell>
          <cell r="N700">
            <v>18901.900000000001</v>
          </cell>
          <cell r="O700">
            <v>178</v>
          </cell>
          <cell r="P700">
            <v>20200000</v>
          </cell>
          <cell r="Q700">
            <v>3</v>
          </cell>
          <cell r="R700">
            <v>0</v>
          </cell>
          <cell r="S700">
            <v>3</v>
          </cell>
          <cell r="T700">
            <v>8366000</v>
          </cell>
          <cell r="Y700">
            <v>6</v>
          </cell>
          <cell r="Z700">
            <v>8366000</v>
          </cell>
          <cell r="AA700">
            <v>156</v>
          </cell>
          <cell r="AB700">
            <v>8384901.9000000004</v>
          </cell>
          <cell r="AC700">
            <v>17.333333333333336</v>
          </cell>
          <cell r="AD700">
            <v>6.9874182500000011</v>
          </cell>
        </row>
        <row r="701">
          <cell r="I701" t="str">
            <v>Penyediaan Komponen Instalasi Listrik/Penerangan Bangunan Kantor</v>
          </cell>
          <cell r="J701" t="str">
            <v>Jumlah komponen penerangan gedung kantor</v>
          </cell>
          <cell r="K701">
            <v>300</v>
          </cell>
          <cell r="L701">
            <v>100000000</v>
          </cell>
          <cell r="M701">
            <v>50</v>
          </cell>
          <cell r="N701">
            <v>22069</v>
          </cell>
          <cell r="O701">
            <v>69</v>
          </cell>
          <cell r="P701">
            <v>7910150</v>
          </cell>
          <cell r="Q701">
            <v>8</v>
          </cell>
          <cell r="R701">
            <v>553000</v>
          </cell>
          <cell r="S701">
            <v>3</v>
          </cell>
          <cell r="T701">
            <v>217000</v>
          </cell>
          <cell r="Y701">
            <v>11</v>
          </cell>
          <cell r="Z701">
            <v>770000</v>
          </cell>
          <cell r="AA701">
            <v>61</v>
          </cell>
          <cell r="AB701">
            <v>792069</v>
          </cell>
          <cell r="AC701">
            <v>20.333333333333332</v>
          </cell>
          <cell r="AD701">
            <v>0.79206899999999991</v>
          </cell>
        </row>
        <row r="702">
          <cell r="I702" t="str">
            <v>Penyediaan Peralatan dan Perlengkapan Kantor</v>
          </cell>
          <cell r="J702" t="str">
            <v>Jumlah peralatan dan perlengkapan kantor yang baru</v>
          </cell>
          <cell r="K702">
            <v>80</v>
          </cell>
          <cell r="L702">
            <v>750000000</v>
          </cell>
          <cell r="M702">
            <v>24</v>
          </cell>
          <cell r="N702">
            <v>172714.68</v>
          </cell>
          <cell r="O702">
            <v>9</v>
          </cell>
          <cell r="P702">
            <v>55950000</v>
          </cell>
          <cell r="Q702">
            <v>2</v>
          </cell>
          <cell r="R702">
            <v>6900000</v>
          </cell>
          <cell r="S702">
            <v>3</v>
          </cell>
          <cell r="T702">
            <v>6125000</v>
          </cell>
          <cell r="Y702">
            <v>5</v>
          </cell>
          <cell r="Z702">
            <v>13025000</v>
          </cell>
          <cell r="AA702">
            <v>29</v>
          </cell>
          <cell r="AB702">
            <v>13197714.68</v>
          </cell>
          <cell r="AC702">
            <v>36.25</v>
          </cell>
          <cell r="AD702">
            <v>1.7596952906666667</v>
          </cell>
        </row>
        <row r="703">
          <cell r="I703" t="str">
            <v>Penyediaan Bahan Bacaan dan Peraturan Perundang - Undangan</v>
          </cell>
          <cell r="J703" t="str">
            <v>Jumlah bahan bacaan surat kabar/majalah yang tersedia</v>
          </cell>
          <cell r="K703">
            <v>18</v>
          </cell>
          <cell r="L703">
            <v>75000000</v>
          </cell>
          <cell r="M703">
            <v>3</v>
          </cell>
          <cell r="N703">
            <v>8870</v>
          </cell>
          <cell r="O703">
            <v>3</v>
          </cell>
          <cell r="P703">
            <v>8900000</v>
          </cell>
          <cell r="Q703">
            <v>3</v>
          </cell>
          <cell r="R703">
            <v>750000</v>
          </cell>
          <cell r="S703">
            <v>3</v>
          </cell>
          <cell r="T703">
            <v>2460000</v>
          </cell>
          <cell r="Y703">
            <v>6</v>
          </cell>
          <cell r="Z703">
            <v>3210000</v>
          </cell>
          <cell r="AA703">
            <v>9</v>
          </cell>
          <cell r="AB703">
            <v>3218870</v>
          </cell>
          <cell r="AC703">
            <v>50</v>
          </cell>
          <cell r="AD703">
            <v>4.2918266666666671</v>
          </cell>
        </row>
        <row r="704">
          <cell r="I704" t="str">
            <v>Penyediaan Makanan dan Minuman</v>
          </cell>
          <cell r="J704" t="str">
            <v>Jumlah makanan dan minuman rapat</v>
          </cell>
          <cell r="K704">
            <v>60</v>
          </cell>
          <cell r="L704">
            <v>125000000</v>
          </cell>
          <cell r="M704">
            <v>10</v>
          </cell>
          <cell r="N704">
            <v>13100</v>
          </cell>
          <cell r="O704">
            <v>12</v>
          </cell>
          <cell r="P704">
            <v>9130000</v>
          </cell>
          <cell r="Q704">
            <v>3</v>
          </cell>
          <cell r="R704">
            <v>2837000</v>
          </cell>
          <cell r="S704">
            <v>3</v>
          </cell>
          <cell r="T704">
            <v>2420000</v>
          </cell>
          <cell r="Y704">
            <v>6</v>
          </cell>
          <cell r="Z704">
            <v>5257000</v>
          </cell>
          <cell r="AA704">
            <v>16</v>
          </cell>
          <cell r="AB704">
            <v>5270100</v>
          </cell>
          <cell r="AC704">
            <v>26.666666666666668</v>
          </cell>
          <cell r="AD704">
            <v>4.2160799999999998</v>
          </cell>
        </row>
        <row r="705">
          <cell r="I705" t="str">
            <v>Rapat - Rapat Koordinasi dan Konsultasi Keluar Daerah</v>
          </cell>
          <cell r="J705" t="str">
            <v>Jumlah rapat - rapat koordinasi keluar daerah yang diikuti</v>
          </cell>
          <cell r="K705">
            <v>190</v>
          </cell>
          <cell r="L705">
            <v>1250000000</v>
          </cell>
          <cell r="M705">
            <v>32</v>
          </cell>
          <cell r="N705">
            <v>172180.4</v>
          </cell>
          <cell r="O705">
            <v>24</v>
          </cell>
          <cell r="P705">
            <v>102950000</v>
          </cell>
          <cell r="Q705">
            <v>4</v>
          </cell>
          <cell r="R705">
            <v>61568.9</v>
          </cell>
          <cell r="S705">
            <v>3</v>
          </cell>
          <cell r="T705">
            <v>29502.720000000001</v>
          </cell>
          <cell r="Y705">
            <v>7</v>
          </cell>
          <cell r="Z705">
            <v>91071.62</v>
          </cell>
          <cell r="AA705">
            <v>39</v>
          </cell>
          <cell r="AB705">
            <v>263252.02</v>
          </cell>
          <cell r="AC705">
            <v>20.526315789473685</v>
          </cell>
          <cell r="AD705">
            <v>2.1060161600000002E-2</v>
          </cell>
        </row>
        <row r="706">
          <cell r="I706" t="str">
            <v>Rapat - Rapat Koordinasi dan Konsultasi Dalam Daerah</v>
          </cell>
          <cell r="J706" t="str">
            <v>Jumlah rapat - rapat koordinasi dalam daerah yang diikuti</v>
          </cell>
          <cell r="K706">
            <v>480</v>
          </cell>
          <cell r="L706">
            <v>900000000</v>
          </cell>
          <cell r="M706">
            <v>80</v>
          </cell>
          <cell r="N706">
            <v>59825</v>
          </cell>
          <cell r="O706">
            <v>70</v>
          </cell>
          <cell r="P706">
            <v>57997500</v>
          </cell>
          <cell r="Q706">
            <v>20</v>
          </cell>
          <cell r="R706">
            <v>18492.2</v>
          </cell>
          <cell r="S706">
            <v>24</v>
          </cell>
          <cell r="T706">
            <v>24447.4</v>
          </cell>
          <cell r="Y706">
            <v>44</v>
          </cell>
          <cell r="Z706">
            <v>42939.600000000006</v>
          </cell>
          <cell r="AA706">
            <v>124</v>
          </cell>
          <cell r="AB706">
            <v>102764.6</v>
          </cell>
          <cell r="AC706">
            <v>25.833333333333336</v>
          </cell>
          <cell r="AD706">
            <v>1.141828888888889E-2</v>
          </cell>
        </row>
        <row r="707">
          <cell r="A707">
            <v>2</v>
          </cell>
          <cell r="B707" t="str">
            <v>Meningkatnya Sarana dan Prasarana Kantor</v>
          </cell>
          <cell r="C707">
            <v>3</v>
          </cell>
          <cell r="D707" t="str">
            <v>00</v>
          </cell>
          <cell r="E707" t="str">
            <v>02</v>
          </cell>
          <cell r="F707" t="str">
            <v>01</v>
          </cell>
          <cell r="G707">
            <v>26</v>
          </cell>
          <cell r="I707" t="str">
            <v>Program Peningkatan Sarana dan Prasarana Aparatur</v>
          </cell>
          <cell r="J707" t="str">
            <v>Jumlah Sarana dan Prasarana Kantor Yang Kondusif</v>
          </cell>
          <cell r="K707">
            <v>95</v>
          </cell>
          <cell r="L707">
            <v>1323000000</v>
          </cell>
          <cell r="M707">
            <v>9</v>
          </cell>
          <cell r="N707">
            <v>208733.18</v>
          </cell>
          <cell r="O707">
            <v>9</v>
          </cell>
          <cell r="P707">
            <v>90812000</v>
          </cell>
          <cell r="Q707">
            <v>3</v>
          </cell>
          <cell r="R707">
            <v>8952500</v>
          </cell>
          <cell r="S707">
            <v>3</v>
          </cell>
          <cell r="T707">
            <v>32429100</v>
          </cell>
          <cell r="Y707">
            <v>6</v>
          </cell>
          <cell r="Z707">
            <v>41381600</v>
          </cell>
          <cell r="AA707">
            <v>15</v>
          </cell>
          <cell r="AB707">
            <v>41590333.18</v>
          </cell>
          <cell r="AC707">
            <v>15.789473684210526</v>
          </cell>
          <cell r="AD707">
            <v>3.1436381844293275</v>
          </cell>
          <cell r="AE707" t="str">
            <v>Disdukcapil</v>
          </cell>
        </row>
        <row r="708">
          <cell r="I708" t="str">
            <v>Pemeliharaan Rutin/Berkala Gedung Kantor</v>
          </cell>
          <cell r="J708" t="str">
            <v>Jumlah perbaikan gedung kantor yang dilaksanakan</v>
          </cell>
          <cell r="K708">
            <v>10</v>
          </cell>
          <cell r="L708">
            <v>500000000</v>
          </cell>
          <cell r="M708">
            <v>2</v>
          </cell>
          <cell r="N708">
            <v>83075.95</v>
          </cell>
          <cell r="O708">
            <v>2</v>
          </cell>
          <cell r="P708">
            <v>25235000</v>
          </cell>
          <cell r="Q708">
            <v>0</v>
          </cell>
          <cell r="R708">
            <v>0</v>
          </cell>
          <cell r="S708">
            <v>2</v>
          </cell>
          <cell r="T708">
            <v>24996000</v>
          </cell>
          <cell r="Y708">
            <v>2</v>
          </cell>
          <cell r="Z708">
            <v>24996000</v>
          </cell>
          <cell r="AA708">
            <v>4</v>
          </cell>
          <cell r="AB708">
            <v>25079075.949999999</v>
          </cell>
          <cell r="AC708">
            <v>40</v>
          </cell>
          <cell r="AD708">
            <v>5.0158151899999996</v>
          </cell>
        </row>
        <row r="709">
          <cell r="I709" t="str">
            <v>Pemeliharaan Rutin/Berkala Kendaraan Dinas/Operasional</v>
          </cell>
          <cell r="J709" t="str">
            <v>Jumlah kendaraan dinas/operasional yang dipelihara</v>
          </cell>
          <cell r="K709">
            <v>85</v>
          </cell>
          <cell r="L709">
            <v>823000000</v>
          </cell>
          <cell r="M709">
            <v>7</v>
          </cell>
          <cell r="N709">
            <v>125657.23</v>
          </cell>
          <cell r="O709">
            <v>7</v>
          </cell>
          <cell r="P709">
            <v>65577000</v>
          </cell>
          <cell r="Q709">
            <v>3</v>
          </cell>
          <cell r="R709">
            <v>8952500</v>
          </cell>
          <cell r="S709">
            <v>1</v>
          </cell>
          <cell r="T709">
            <v>7433100</v>
          </cell>
          <cell r="Y709">
            <v>4</v>
          </cell>
          <cell r="Z709">
            <v>16385600</v>
          </cell>
          <cell r="AA709">
            <v>11</v>
          </cell>
          <cell r="AB709">
            <v>16511257.23</v>
          </cell>
          <cell r="AC709">
            <v>12.941176470588237</v>
          </cell>
          <cell r="AD709">
            <v>2.0062280959902794</v>
          </cell>
        </row>
        <row r="710">
          <cell r="A710">
            <v>3</v>
          </cell>
          <cell r="B710" t="str">
            <v>Meningkatnya Kualitas Perencanaan dan Pelaporan Capaian Kinerja</v>
          </cell>
          <cell r="C710">
            <v>3</v>
          </cell>
          <cell r="D710" t="str">
            <v>00</v>
          </cell>
          <cell r="E710" t="str">
            <v>02</v>
          </cell>
          <cell r="F710" t="str">
            <v>01</v>
          </cell>
          <cell r="G710">
            <v>26</v>
          </cell>
          <cell r="I710" t="str">
            <v>Program Perencanaan Pembangunan Daerah</v>
          </cell>
          <cell r="J710" t="str">
            <v>Jumlah Dokumen Perencanaan dan Pelaporan yang disusun</v>
          </cell>
          <cell r="K710">
            <v>40</v>
          </cell>
          <cell r="L710">
            <v>280000000</v>
          </cell>
          <cell r="M710">
            <v>0</v>
          </cell>
          <cell r="N710">
            <v>0</v>
          </cell>
          <cell r="O710">
            <v>10</v>
          </cell>
          <cell r="P710">
            <v>66091700</v>
          </cell>
          <cell r="Q710">
            <v>5</v>
          </cell>
          <cell r="R710">
            <v>5960000</v>
          </cell>
          <cell r="S710">
            <v>1</v>
          </cell>
          <cell r="T710">
            <v>9397600</v>
          </cell>
          <cell r="Y710">
            <v>6</v>
          </cell>
          <cell r="Z710">
            <v>15357600</v>
          </cell>
          <cell r="AA710">
            <v>6</v>
          </cell>
          <cell r="AB710">
            <v>15357600</v>
          </cell>
          <cell r="AC710">
            <v>15</v>
          </cell>
          <cell r="AD710">
            <v>5.4848571428571429</v>
          </cell>
          <cell r="AE710" t="str">
            <v>Disdukcapil</v>
          </cell>
        </row>
        <row r="711">
          <cell r="I711" t="str">
            <v>Penyusunan Perencanaan dan Pelaporan Capaian Kinerja</v>
          </cell>
          <cell r="J711" t="str">
            <v>Jumlah dokumen perencanaan dan pelaporan yang diterbitkan</v>
          </cell>
          <cell r="K711">
            <v>40</v>
          </cell>
          <cell r="L711">
            <v>280000000</v>
          </cell>
          <cell r="M711">
            <v>0</v>
          </cell>
          <cell r="N711">
            <v>0</v>
          </cell>
          <cell r="O711">
            <v>10</v>
          </cell>
          <cell r="P711">
            <v>66091700</v>
          </cell>
          <cell r="Q711">
            <v>5</v>
          </cell>
          <cell r="R711">
            <v>5960000</v>
          </cell>
          <cell r="S711">
            <v>1</v>
          </cell>
          <cell r="T711">
            <v>9397600</v>
          </cell>
          <cell r="Y711">
            <v>6</v>
          </cell>
          <cell r="Z711">
            <v>15357600</v>
          </cell>
          <cell r="AA711">
            <v>6</v>
          </cell>
          <cell r="AB711">
            <v>15357600</v>
          </cell>
          <cell r="AC711">
            <v>15</v>
          </cell>
          <cell r="AD711">
            <v>5.4848571428571429</v>
          </cell>
        </row>
        <row r="712">
          <cell r="A712">
            <v>4</v>
          </cell>
          <cell r="B712" t="str">
            <v>Meningkatkan Sistem Pelayanan Administrasi Kependudukan</v>
          </cell>
          <cell r="C712">
            <v>3</v>
          </cell>
          <cell r="D712" t="str">
            <v>00</v>
          </cell>
          <cell r="E712" t="str">
            <v>02</v>
          </cell>
          <cell r="F712" t="str">
            <v>01</v>
          </cell>
          <cell r="G712" t="str">
            <v>21</v>
          </cell>
          <cell r="I712" t="str">
            <v>Penataan Administrasi Kependudukan</v>
          </cell>
          <cell r="J712" t="str">
            <v>Nilai Indeks Kepuasan Pelayanan Administrasi Kependudukan</v>
          </cell>
          <cell r="K712" t="str">
            <v>A</v>
          </cell>
          <cell r="L712">
            <v>20939500000</v>
          </cell>
          <cell r="M712" t="str">
            <v>C</v>
          </cell>
          <cell r="N712">
            <v>802715519.50999999</v>
          </cell>
          <cell r="O712" t="str">
            <v>B</v>
          </cell>
          <cell r="P712">
            <v>6746242914</v>
          </cell>
          <cell r="R712">
            <v>217148459.55000001</v>
          </cell>
          <cell r="T712">
            <v>89248352.829999998</v>
          </cell>
          <cell r="V712">
            <v>0</v>
          </cell>
          <cell r="X712">
            <v>0</v>
          </cell>
          <cell r="Y712">
            <v>0</v>
          </cell>
          <cell r="Z712">
            <v>306396812.38</v>
          </cell>
          <cell r="AB712">
            <v>1109112331.8899999</v>
          </cell>
          <cell r="AC712">
            <v>41.750506610664971</v>
          </cell>
          <cell r="AD712">
            <v>5.296746970510279</v>
          </cell>
          <cell r="AE712" t="str">
            <v>Disdukcapil</v>
          </cell>
        </row>
        <row r="713">
          <cell r="C713">
            <v>3</v>
          </cell>
          <cell r="D713" t="str">
            <v>00</v>
          </cell>
          <cell r="E713" t="str">
            <v>02</v>
          </cell>
          <cell r="F713" t="str">
            <v>01</v>
          </cell>
          <cell r="G713" t="str">
            <v>21</v>
          </cell>
          <cell r="H713" t="str">
            <v>51</v>
          </cell>
          <cell r="I713" t="str">
            <v>Pembangunan dan Pengoperasian SIAK Secara Terpadu</v>
          </cell>
          <cell r="J713" t="str">
            <v xml:space="preserve">Jumlah data yang dikonsolidasikan </v>
          </cell>
          <cell r="K713">
            <v>180000</v>
          </cell>
          <cell r="L713">
            <v>1500000000</v>
          </cell>
          <cell r="M713">
            <v>120000</v>
          </cell>
          <cell r="N713">
            <v>257284700</v>
          </cell>
          <cell r="O713">
            <v>123000</v>
          </cell>
          <cell r="P713">
            <v>257284700</v>
          </cell>
          <cell r="Q713">
            <v>41000</v>
          </cell>
          <cell r="R713">
            <v>14579000</v>
          </cell>
          <cell r="T713">
            <v>12061620</v>
          </cell>
          <cell r="Y713">
            <v>41000</v>
          </cell>
          <cell r="Z713">
            <v>26640620</v>
          </cell>
          <cell r="AA713">
            <v>161000</v>
          </cell>
          <cell r="AB713">
            <v>283925320</v>
          </cell>
          <cell r="AC713">
            <v>89.444444444444443</v>
          </cell>
          <cell r="AD713">
            <v>18.928354666666667</v>
          </cell>
        </row>
        <row r="714">
          <cell r="C714">
            <v>3</v>
          </cell>
          <cell r="D714" t="str">
            <v>00</v>
          </cell>
          <cell r="E714" t="str">
            <v>02</v>
          </cell>
          <cell r="F714" t="str">
            <v>01</v>
          </cell>
          <cell r="G714" t="str">
            <v>21</v>
          </cell>
          <cell r="H714">
            <v>42</v>
          </cell>
          <cell r="I714" t="str">
            <v xml:space="preserve">Implementasi Sistem Administrasi Kependudukan </v>
          </cell>
          <cell r="J714" t="str">
            <v>Jumlah Data Anomali Yang Diperbaiki</v>
          </cell>
          <cell r="K714">
            <v>105124</v>
          </cell>
          <cell r="L714">
            <v>500000000</v>
          </cell>
          <cell r="M714">
            <v>74535</v>
          </cell>
          <cell r="N714">
            <v>72259000</v>
          </cell>
          <cell r="O714">
            <v>102200</v>
          </cell>
          <cell r="P714">
            <v>72259000</v>
          </cell>
          <cell r="Q714">
            <v>25550</v>
          </cell>
          <cell r="R714">
            <v>7510000</v>
          </cell>
          <cell r="T714">
            <v>12538000</v>
          </cell>
          <cell r="Y714">
            <v>25550</v>
          </cell>
          <cell r="Z714">
            <v>20048000</v>
          </cell>
          <cell r="AA714">
            <v>100085</v>
          </cell>
          <cell r="AB714">
            <v>92307000</v>
          </cell>
          <cell r="AC714">
            <v>95.206613142574483</v>
          </cell>
          <cell r="AD714">
            <v>18.461400000000001</v>
          </cell>
        </row>
        <row r="715">
          <cell r="J715" t="str">
            <v>Jumlah Data Ganda Yang Dihapus</v>
          </cell>
          <cell r="K715">
            <v>61363</v>
          </cell>
          <cell r="M715">
            <v>39183</v>
          </cell>
          <cell r="O715">
            <v>58363</v>
          </cell>
          <cell r="Q715">
            <v>14590.75</v>
          </cell>
          <cell r="Y715">
            <v>14590.75</v>
          </cell>
          <cell r="Z715">
            <v>0</v>
          </cell>
          <cell r="AA715">
            <v>53773.75</v>
          </cell>
          <cell r="AB715">
            <v>0</v>
          </cell>
          <cell r="AC715">
            <v>87.632205074719295</v>
          </cell>
        </row>
        <row r="716">
          <cell r="C716">
            <v>3</v>
          </cell>
          <cell r="D716" t="str">
            <v>00</v>
          </cell>
          <cell r="E716" t="str">
            <v>02</v>
          </cell>
          <cell r="F716" t="str">
            <v>01</v>
          </cell>
          <cell r="G716" t="str">
            <v>21</v>
          </cell>
          <cell r="H716">
            <v>13</v>
          </cell>
          <cell r="I716" t="str">
            <v>Penyediaan Informasi Yang Dapat Diakses Masyarakat</v>
          </cell>
          <cell r="J716" t="str">
            <v>Jumlah baliho dan spanduk kependudukan yang diedarkan</v>
          </cell>
          <cell r="K716">
            <v>120</v>
          </cell>
          <cell r="L716">
            <v>650000000</v>
          </cell>
          <cell r="M716">
            <v>22</v>
          </cell>
          <cell r="N716">
            <v>67165800</v>
          </cell>
          <cell r="O716">
            <v>24</v>
          </cell>
          <cell r="P716">
            <v>67165800</v>
          </cell>
          <cell r="Q716">
            <v>2</v>
          </cell>
          <cell r="R716">
            <v>4836</v>
          </cell>
          <cell r="S716">
            <v>18</v>
          </cell>
          <cell r="T716">
            <v>9873.25</v>
          </cell>
          <cell r="Y716">
            <v>20</v>
          </cell>
          <cell r="Z716">
            <v>14709.25</v>
          </cell>
          <cell r="AA716">
            <v>42</v>
          </cell>
          <cell r="AB716">
            <v>67180509.25</v>
          </cell>
          <cell r="AC716">
            <v>35</v>
          </cell>
          <cell r="AD716">
            <v>10.335462961538463</v>
          </cell>
        </row>
        <row r="717">
          <cell r="I717" t="str">
            <v>Peningkatan Pelayanan Publik Dalam Bidang Kependudukan</v>
          </cell>
          <cell r="J717" t="str">
            <v>Jumlah pengurusan kutipan akta kelahiran 0-18 Thn</v>
          </cell>
          <cell r="K717">
            <v>165648</v>
          </cell>
          <cell r="L717">
            <v>600000000</v>
          </cell>
          <cell r="M717">
            <v>158250</v>
          </cell>
          <cell r="N717">
            <v>147598900</v>
          </cell>
          <cell r="O717">
            <v>146820</v>
          </cell>
          <cell r="P717">
            <v>147598900</v>
          </cell>
          <cell r="Q717">
            <v>5492</v>
          </cell>
          <cell r="R717">
            <v>22860.75</v>
          </cell>
          <cell r="S717">
            <v>5.1379999999999999</v>
          </cell>
          <cell r="T717">
            <v>45049.25</v>
          </cell>
          <cell r="Y717">
            <v>5497.1379999999999</v>
          </cell>
          <cell r="Z717">
            <v>67910</v>
          </cell>
          <cell r="AA717">
            <v>163747.13800000001</v>
          </cell>
          <cell r="AB717">
            <v>147666810</v>
          </cell>
          <cell r="AC717">
            <v>98.852469091084714</v>
          </cell>
          <cell r="AD717">
            <v>24.611135000000001</v>
          </cell>
        </row>
        <row r="718">
          <cell r="I718" t="str">
            <v>Peningkatan Kapasitas Aparat Kependudukan dan Catatan Sipil</v>
          </cell>
          <cell r="J718" t="str">
            <v>Jumlah SDM Pelayanan yang terampil</v>
          </cell>
          <cell r="K718">
            <v>31</v>
          </cell>
          <cell r="L718">
            <v>175000000</v>
          </cell>
          <cell r="M718">
            <v>0</v>
          </cell>
          <cell r="N718">
            <v>32095964</v>
          </cell>
          <cell r="O718">
            <v>15</v>
          </cell>
          <cell r="P718">
            <v>32095964</v>
          </cell>
          <cell r="Q718">
            <v>0</v>
          </cell>
          <cell r="R718">
            <v>0</v>
          </cell>
          <cell r="Y718">
            <v>0</v>
          </cell>
          <cell r="Z718">
            <v>0</v>
          </cell>
          <cell r="AA718">
            <v>0</v>
          </cell>
          <cell r="AB718">
            <v>32095964</v>
          </cell>
          <cell r="AC718">
            <v>0</v>
          </cell>
          <cell r="AD718">
            <v>18.340550857142858</v>
          </cell>
        </row>
        <row r="719">
          <cell r="I719" t="str">
            <v>Monitoring, Evaluasi dan Pelaporan</v>
          </cell>
          <cell r="J719" t="str">
            <v>Jumlah tindakan razia/penertiban yang dilakukan</v>
          </cell>
          <cell r="K719">
            <v>14</v>
          </cell>
          <cell r="L719">
            <v>422500000</v>
          </cell>
          <cell r="M719">
            <v>0</v>
          </cell>
          <cell r="N719">
            <v>70811300</v>
          </cell>
          <cell r="O719">
            <v>2</v>
          </cell>
          <cell r="P719">
            <v>70811300</v>
          </cell>
          <cell r="Q719">
            <v>0</v>
          </cell>
          <cell r="R719">
            <v>1491</v>
          </cell>
          <cell r="Y719">
            <v>0</v>
          </cell>
          <cell r="Z719">
            <v>1491</v>
          </cell>
          <cell r="AA719">
            <v>0</v>
          </cell>
          <cell r="AB719">
            <v>70812791</v>
          </cell>
          <cell r="AC719">
            <v>0</v>
          </cell>
          <cell r="AD719">
            <v>16.760423905325446</v>
          </cell>
        </row>
        <row r="720">
          <cell r="I720" t="str">
            <v>Pelayanan Kartu Identitas Anak (KIA)</v>
          </cell>
          <cell r="J720" t="str">
            <v>Jumlah pengurusan Kartu Identitas Anak (KIA)</v>
          </cell>
          <cell r="K720">
            <v>19667</v>
          </cell>
          <cell r="L720">
            <v>230000000</v>
          </cell>
          <cell r="M720">
            <v>1024</v>
          </cell>
          <cell r="N720">
            <v>52150750</v>
          </cell>
          <cell r="O720">
            <v>5300</v>
          </cell>
          <cell r="P720">
            <v>52150750</v>
          </cell>
          <cell r="Q720">
            <v>3595</v>
          </cell>
          <cell r="R720">
            <v>8650</v>
          </cell>
          <cell r="S720">
            <v>573</v>
          </cell>
          <cell r="T720">
            <v>17886.830000000002</v>
          </cell>
          <cell r="Y720">
            <v>4168</v>
          </cell>
          <cell r="Z720">
            <v>26536.83</v>
          </cell>
          <cell r="AA720">
            <v>5192</v>
          </cell>
          <cell r="AB720">
            <v>52177286.829999998</v>
          </cell>
          <cell r="AC720">
            <v>26.399552549956777</v>
          </cell>
          <cell r="AD720">
            <v>22.685776882608693</v>
          </cell>
        </row>
        <row r="721">
          <cell r="I721" t="str">
            <v>Pelayanan Dokumen Kependudukan</v>
          </cell>
          <cell r="J721" t="str">
            <v>Jumlah pengurusan Kartu Keluarga</v>
          </cell>
          <cell r="K721">
            <v>142026</v>
          </cell>
          <cell r="L721">
            <v>505000000</v>
          </cell>
          <cell r="M721">
            <v>62979</v>
          </cell>
          <cell r="N721">
            <v>101274500</v>
          </cell>
          <cell r="O721">
            <v>139953</v>
          </cell>
          <cell r="P721">
            <v>101274500</v>
          </cell>
          <cell r="Q721">
            <v>15129</v>
          </cell>
          <cell r="R721">
            <v>14371.8</v>
          </cell>
          <cell r="T721">
            <v>34123.5</v>
          </cell>
          <cell r="Y721">
            <v>15129</v>
          </cell>
          <cell r="Z721">
            <v>48495.3</v>
          </cell>
          <cell r="AA721">
            <v>78108</v>
          </cell>
          <cell r="AB721">
            <v>101322995.3</v>
          </cell>
          <cell r="AC721">
            <v>54.995564192471804</v>
          </cell>
          <cell r="AD721">
            <v>20.063959465346535</v>
          </cell>
        </row>
        <row r="722">
          <cell r="J722" t="str">
            <v>Jumlah Penerbitan Surat Keterangan Pindah Datang Penduduk</v>
          </cell>
          <cell r="K722">
            <v>17500</v>
          </cell>
          <cell r="M722">
            <v>11471</v>
          </cell>
          <cell r="O722">
            <v>11750</v>
          </cell>
          <cell r="Q722">
            <v>2877</v>
          </cell>
          <cell r="Y722">
            <v>2877</v>
          </cell>
          <cell r="Z722">
            <v>0</v>
          </cell>
          <cell r="AA722">
            <v>14348</v>
          </cell>
          <cell r="AB722">
            <v>0</v>
          </cell>
          <cell r="AC722">
            <v>81.988571428571433</v>
          </cell>
        </row>
        <row r="723">
          <cell r="I723" t="str">
            <v>Penerbitan NIK Nasional dan Penerapan e_KTP</v>
          </cell>
          <cell r="J723" t="str">
            <v>Jumlah perekaman KTP bagi Wajib KTP</v>
          </cell>
          <cell r="K723">
            <v>324436</v>
          </cell>
          <cell r="L723">
            <v>1500000000</v>
          </cell>
          <cell r="M723">
            <v>305045</v>
          </cell>
          <cell r="N723">
            <v>528586.66</v>
          </cell>
          <cell r="O723">
            <v>324026</v>
          </cell>
          <cell r="P723">
            <v>138576200</v>
          </cell>
          <cell r="Q723">
            <v>3546</v>
          </cell>
          <cell r="R723">
            <v>22331900</v>
          </cell>
          <cell r="T723">
            <v>64541800</v>
          </cell>
          <cell r="Y723">
            <v>3546</v>
          </cell>
          <cell r="Z723">
            <v>86873700</v>
          </cell>
          <cell r="AA723">
            <v>308591</v>
          </cell>
          <cell r="AB723">
            <v>87402286.659999996</v>
          </cell>
          <cell r="AC723">
            <v>95.116140009123527</v>
          </cell>
          <cell r="AD723">
            <v>5.8268191106666665</v>
          </cell>
        </row>
        <row r="724">
          <cell r="I724" t="str">
            <v>Pelaksanaan Pelayanan Unit Pendaftaran Penduduk dan Pencatatan Sipil Keliling (UP3SK)</v>
          </cell>
          <cell r="J724" t="str">
            <v>Jumlah titik kunjungan pelayanan mobil keliling</v>
          </cell>
          <cell r="K724">
            <v>300</v>
          </cell>
          <cell r="L724">
            <v>1750000000</v>
          </cell>
          <cell r="M724">
            <v>50</v>
          </cell>
          <cell r="N724">
            <v>296856.95</v>
          </cell>
          <cell r="O724">
            <v>50</v>
          </cell>
          <cell r="P724">
            <v>168925000</v>
          </cell>
          <cell r="Q724">
            <v>15</v>
          </cell>
          <cell r="R724">
            <v>57235250</v>
          </cell>
          <cell r="T724">
            <v>100862100</v>
          </cell>
          <cell r="Y724">
            <v>15</v>
          </cell>
          <cell r="Z724">
            <v>158097350</v>
          </cell>
          <cell r="AA724">
            <v>65</v>
          </cell>
          <cell r="AB724">
            <v>158394206.94999999</v>
          </cell>
          <cell r="AC724">
            <v>21.666666666666668</v>
          </cell>
          <cell r="AD724">
            <v>9.0510975400000007</v>
          </cell>
        </row>
        <row r="725">
          <cell r="I725" t="str">
            <v>Pengesahan Status Anak, Kewarganegaraan dan Kematian</v>
          </cell>
          <cell r="J725" t="str">
            <v>Jumlah Akta Kematian yang diterbitkan</v>
          </cell>
          <cell r="K725">
            <v>1500</v>
          </cell>
          <cell r="L725">
            <v>300000000</v>
          </cell>
          <cell r="M725">
            <v>0</v>
          </cell>
          <cell r="N725">
            <v>0</v>
          </cell>
          <cell r="O725">
            <v>800</v>
          </cell>
          <cell r="P725">
            <v>35790200</v>
          </cell>
          <cell r="Q725">
            <v>199</v>
          </cell>
          <cell r="R725">
            <v>3015500</v>
          </cell>
          <cell r="T725">
            <v>19783900</v>
          </cell>
          <cell r="Y725">
            <v>199</v>
          </cell>
          <cell r="Z725">
            <v>22799400</v>
          </cell>
          <cell r="AA725">
            <v>199</v>
          </cell>
          <cell r="AB725">
            <v>22799400</v>
          </cell>
          <cell r="AC725">
            <v>13.266666666666666</v>
          </cell>
          <cell r="AD725">
            <v>7.5997999999999992</v>
          </cell>
        </row>
        <row r="726">
          <cell r="I726" t="str">
            <v>Pendataan dan Pelaporan Perkawinan Cerai</v>
          </cell>
          <cell r="J726" t="str">
            <v>Jumlah laporan perkawinan dan perceraian yang diterbitkan</v>
          </cell>
          <cell r="K726">
            <v>48</v>
          </cell>
          <cell r="L726">
            <v>300000000</v>
          </cell>
          <cell r="M726">
            <v>0</v>
          </cell>
          <cell r="N726">
            <v>0</v>
          </cell>
          <cell r="O726">
            <v>12</v>
          </cell>
          <cell r="P726">
            <v>26568500</v>
          </cell>
          <cell r="Q726">
            <v>2</v>
          </cell>
          <cell r="R726">
            <v>2685500</v>
          </cell>
          <cell r="S726">
            <v>4</v>
          </cell>
          <cell r="T726">
            <v>14345400</v>
          </cell>
          <cell r="Y726">
            <v>6</v>
          </cell>
          <cell r="Z726">
            <v>17030900</v>
          </cell>
          <cell r="AA726">
            <v>6</v>
          </cell>
          <cell r="AB726">
            <v>17030900</v>
          </cell>
          <cell r="AC726">
            <v>12.5</v>
          </cell>
          <cell r="AD726">
            <v>5.6769666666666669</v>
          </cell>
        </row>
        <row r="727">
          <cell r="I727" t="str">
            <v>Pembangunan dan Pengelolaan Sistem Data Warehouse</v>
          </cell>
          <cell r="J727" t="str">
            <v>Jumlah registrasi pelayanan online</v>
          </cell>
          <cell r="K727">
            <v>2500</v>
          </cell>
          <cell r="L727">
            <v>350000000</v>
          </cell>
          <cell r="M727">
            <v>0</v>
          </cell>
          <cell r="N727">
            <v>0</v>
          </cell>
          <cell r="O727">
            <v>1000</v>
          </cell>
          <cell r="P727">
            <v>89849700</v>
          </cell>
          <cell r="Q727">
            <v>0</v>
          </cell>
          <cell r="R727">
            <v>5000000</v>
          </cell>
          <cell r="T727">
            <v>12485000</v>
          </cell>
          <cell r="Y727">
            <v>0</v>
          </cell>
          <cell r="Z727">
            <v>17485000</v>
          </cell>
          <cell r="AA727">
            <v>0</v>
          </cell>
          <cell r="AB727">
            <v>17485000</v>
          </cell>
          <cell r="AC727">
            <v>0</v>
          </cell>
          <cell r="AD727">
            <v>4.9957142857142856</v>
          </cell>
        </row>
        <row r="728">
          <cell r="I728" t="str">
            <v>Pengelolaan Arsip Administrasi Kependudukan Berbasis Digital</v>
          </cell>
          <cell r="J728" t="str">
            <v>Jumlah arsip Akta Kelahiran yang diarsipkan secara digital</v>
          </cell>
          <cell r="K728">
            <v>145000</v>
          </cell>
          <cell r="L728">
            <v>357000000</v>
          </cell>
          <cell r="M728">
            <v>0</v>
          </cell>
          <cell r="N728">
            <v>0</v>
          </cell>
          <cell r="O728">
            <v>100000</v>
          </cell>
          <cell r="P728">
            <v>71520100</v>
          </cell>
          <cell r="Q728">
            <v>18039</v>
          </cell>
          <cell r="R728">
            <v>4526500</v>
          </cell>
          <cell r="T728">
            <v>14535400</v>
          </cell>
          <cell r="Y728">
            <v>18039</v>
          </cell>
          <cell r="Z728">
            <v>19061900</v>
          </cell>
          <cell r="AA728">
            <v>18039</v>
          </cell>
          <cell r="AB728">
            <v>19061900</v>
          </cell>
          <cell r="AC728">
            <v>12.440689655172415</v>
          </cell>
          <cell r="AD728">
            <v>5.3394677871148462</v>
          </cell>
        </row>
        <row r="729">
          <cell r="I729" t="str">
            <v>Pengembangan Sistem Administrasi Kependudukan (SAK) Terpadu (DAK Non Fisik)</v>
          </cell>
          <cell r="J729" t="str">
            <v>Jumlah blanko dokumen kependudukan yang diadakan</v>
          </cell>
          <cell r="K729">
            <v>10777500</v>
          </cell>
          <cell r="L729">
            <v>6500000000</v>
          </cell>
          <cell r="M729">
            <v>215500</v>
          </cell>
          <cell r="N729">
            <v>1249161.8999999999</v>
          </cell>
          <cell r="O729">
            <v>215500</v>
          </cell>
          <cell r="P729">
            <v>1353364000</v>
          </cell>
          <cell r="Q729">
            <v>0</v>
          </cell>
          <cell r="R729">
            <v>14737600</v>
          </cell>
          <cell r="T729">
            <v>995425800</v>
          </cell>
          <cell r="Y729">
            <v>0</v>
          </cell>
          <cell r="Z729">
            <v>1010163400</v>
          </cell>
          <cell r="AA729">
            <v>215500</v>
          </cell>
          <cell r="AB729">
            <v>1011412561.9</v>
          </cell>
          <cell r="AC729">
            <v>1.9995360705172813</v>
          </cell>
          <cell r="AD729">
            <v>15.560193259999998</v>
          </cell>
        </row>
        <row r="730">
          <cell r="I730" t="str">
            <v>Pelayanan Administrasi Kependudukan di Satker</v>
          </cell>
          <cell r="J730" t="str">
            <v>Jumlah UKL yang dibentuk</v>
          </cell>
          <cell r="K730">
            <v>60</v>
          </cell>
          <cell r="L730">
            <v>5300000000</v>
          </cell>
          <cell r="M730">
            <v>0</v>
          </cell>
          <cell r="N730">
            <v>0</v>
          </cell>
          <cell r="O730">
            <v>15</v>
          </cell>
          <cell r="P730">
            <v>4061008300</v>
          </cell>
          <cell r="Q730">
            <v>15</v>
          </cell>
          <cell r="R730">
            <v>85475000</v>
          </cell>
          <cell r="T730">
            <v>130636720</v>
          </cell>
          <cell r="Y730">
            <v>15</v>
          </cell>
          <cell r="Z730">
            <v>216111720</v>
          </cell>
          <cell r="AA730">
            <v>15</v>
          </cell>
          <cell r="AB730">
            <v>216111720</v>
          </cell>
          <cell r="AC730">
            <v>25</v>
          </cell>
          <cell r="AD730">
            <v>4.0775796226415091</v>
          </cell>
        </row>
        <row r="731">
          <cell r="A731" t="str">
            <v>Rata-Rata Capaian Kinerja</v>
          </cell>
          <cell r="AC731">
            <v>38.384995073718869</v>
          </cell>
          <cell r="AD731">
            <v>3.8515170972948787</v>
          </cell>
        </row>
        <row r="732">
          <cell r="A732" t="str">
            <v>Peringkat  Kinerja</v>
          </cell>
          <cell r="AC732" t="str">
            <v>SR</v>
          </cell>
          <cell r="AD732" t="str">
            <v>SR</v>
          </cell>
        </row>
        <row r="733">
          <cell r="A733" t="str">
            <v>VII</v>
          </cell>
          <cell r="I733" t="str">
            <v>URUSAN PEMBERDAYAAN MASYARAKAT DAN DESA</v>
          </cell>
          <cell r="L733">
            <v>16530858828</v>
          </cell>
          <cell r="N733">
            <v>3143406285</v>
          </cell>
          <cell r="P733">
            <v>4137968405</v>
          </cell>
          <cell r="R733">
            <v>374406234</v>
          </cell>
          <cell r="T733">
            <v>1121097215</v>
          </cell>
          <cell r="Z733">
            <v>1495503449</v>
          </cell>
          <cell r="AB733">
            <v>4545549862</v>
          </cell>
        </row>
        <row r="734">
          <cell r="A734">
            <v>1</v>
          </cell>
          <cell r="C734">
            <v>1</v>
          </cell>
          <cell r="D734" t="str">
            <v>02</v>
          </cell>
          <cell r="E734" t="str">
            <v>07</v>
          </cell>
          <cell r="F734" t="str">
            <v>01</v>
          </cell>
          <cell r="G734" t="str">
            <v>01</v>
          </cell>
          <cell r="I734" t="str">
            <v>Program Pelayanan Administrasi Perkantoran</v>
          </cell>
          <cell r="J734" t="str">
            <v>pemenuhan layanan administrasi perkantoran (bln)</v>
          </cell>
          <cell r="K734">
            <v>72</v>
          </cell>
          <cell r="L734">
            <v>3163267560</v>
          </cell>
          <cell r="M734">
            <v>24</v>
          </cell>
          <cell r="N734">
            <v>1038562276</v>
          </cell>
          <cell r="O734">
            <v>12</v>
          </cell>
          <cell r="P734">
            <v>865423668</v>
          </cell>
          <cell r="Q734">
            <v>3</v>
          </cell>
          <cell r="R734">
            <v>150657052</v>
          </cell>
          <cell r="T734">
            <v>241760141</v>
          </cell>
          <cell r="Y734">
            <v>3</v>
          </cell>
          <cell r="Z734">
            <v>392417193</v>
          </cell>
          <cell r="AA734">
            <v>27</v>
          </cell>
          <cell r="AB734">
            <v>1337619597</v>
          </cell>
          <cell r="AC734">
            <v>37.5</v>
          </cell>
          <cell r="AD734">
            <v>42.286008743439965</v>
          </cell>
          <cell r="AE734" t="str">
            <v>DPMDPPKB</v>
          </cell>
        </row>
        <row r="735">
          <cell r="B735" t="str">
            <v>Meningkatkan Pelayanan administrasi  Perkantoran</v>
          </cell>
          <cell r="C735">
            <v>1</v>
          </cell>
          <cell r="D735" t="str">
            <v>02</v>
          </cell>
          <cell r="E735" t="str">
            <v>07</v>
          </cell>
          <cell r="F735" t="str">
            <v>01</v>
          </cell>
          <cell r="G735" t="str">
            <v>01</v>
          </cell>
          <cell r="H735" t="str">
            <v>02</v>
          </cell>
          <cell r="I735" t="str">
            <v>Penyedian Jasa Komunikasi, Sumber Daya Air dan  Listrik</v>
          </cell>
          <cell r="J735" t="str">
            <v>telpon, air, listrik (12 Bulan)</v>
          </cell>
          <cell r="K735">
            <v>72</v>
          </cell>
          <cell r="L735">
            <v>213000000</v>
          </cell>
          <cell r="M735">
            <v>24</v>
          </cell>
          <cell r="N735">
            <v>69698004</v>
          </cell>
          <cell r="O735">
            <v>12</v>
          </cell>
          <cell r="P735">
            <v>38280000</v>
          </cell>
          <cell r="Q735">
            <v>3</v>
          </cell>
          <cell r="R735">
            <v>8522202</v>
          </cell>
          <cell r="S735">
            <v>3</v>
          </cell>
          <cell r="T735">
            <v>9676441</v>
          </cell>
          <cell r="Y735">
            <v>6</v>
          </cell>
          <cell r="Z735">
            <v>18198643</v>
          </cell>
          <cell r="AA735">
            <v>30</v>
          </cell>
          <cell r="AB735">
            <v>87896647</v>
          </cell>
          <cell r="AC735">
            <v>41.666666666666671</v>
          </cell>
          <cell r="AD735">
            <v>41.266031455399059</v>
          </cell>
        </row>
        <row r="736">
          <cell r="C736">
            <v>1</v>
          </cell>
          <cell r="D736" t="str">
            <v>02</v>
          </cell>
          <cell r="E736" t="str">
            <v>07</v>
          </cell>
          <cell r="F736" t="str">
            <v>01</v>
          </cell>
          <cell r="G736" t="str">
            <v>01</v>
          </cell>
          <cell r="H736" t="str">
            <v>06</v>
          </cell>
          <cell r="I736" t="str">
            <v>Penyedian Jasa Pemeliharaan dan Perizinan Kendaraan Dinas/Operasional</v>
          </cell>
          <cell r="J736" t="str">
            <v>Roda 4 sebanyak 6 Unit</v>
          </cell>
          <cell r="K736">
            <v>36</v>
          </cell>
          <cell r="L736">
            <v>1784588860</v>
          </cell>
          <cell r="M736">
            <v>12</v>
          </cell>
          <cell r="N736">
            <v>664811922</v>
          </cell>
          <cell r="O736">
            <v>12</v>
          </cell>
          <cell r="P736">
            <v>265419210</v>
          </cell>
          <cell r="Q736">
            <v>2</v>
          </cell>
          <cell r="R736">
            <v>110784850</v>
          </cell>
          <cell r="S736">
            <v>2</v>
          </cell>
          <cell r="T736">
            <v>80023828</v>
          </cell>
          <cell r="Y736">
            <v>4</v>
          </cell>
          <cell r="Z736">
            <v>190808678</v>
          </cell>
          <cell r="AA736">
            <v>16</v>
          </cell>
          <cell r="AB736">
            <v>855620600</v>
          </cell>
          <cell r="AC736">
            <v>44.444444444444443</v>
          </cell>
          <cell r="AD736">
            <v>47.944970361408622</v>
          </cell>
        </row>
        <row r="737">
          <cell r="J737" t="str">
            <v>Roda 2 sebanyak 70 Unit</v>
          </cell>
          <cell r="K737">
            <v>420</v>
          </cell>
          <cell r="M737">
            <v>140</v>
          </cell>
          <cell r="Q737">
            <v>0</v>
          </cell>
          <cell r="Y737">
            <v>0</v>
          </cell>
          <cell r="Z737">
            <v>0</v>
          </cell>
        </row>
        <row r="738">
          <cell r="C738">
            <v>1</v>
          </cell>
          <cell r="D738" t="str">
            <v>02</v>
          </cell>
          <cell r="E738" t="str">
            <v>07</v>
          </cell>
          <cell r="F738" t="str">
            <v>01</v>
          </cell>
          <cell r="G738" t="str">
            <v>01</v>
          </cell>
          <cell r="H738" t="str">
            <v>07</v>
          </cell>
          <cell r="I738" t="str">
            <v>Penyedian Jasa Administrasi keuangan</v>
          </cell>
          <cell r="J738" t="str">
            <v>Honor penunjang kelancaran administrasi perkantoran(12 Bulan)</v>
          </cell>
          <cell r="K738">
            <v>72</v>
          </cell>
          <cell r="L738">
            <v>480000000</v>
          </cell>
          <cell r="M738">
            <v>24</v>
          </cell>
          <cell r="N738">
            <v>105100000</v>
          </cell>
          <cell r="O738">
            <v>12</v>
          </cell>
          <cell r="P738">
            <v>101100000</v>
          </cell>
          <cell r="Q738">
            <v>0</v>
          </cell>
          <cell r="R738">
            <v>0</v>
          </cell>
          <cell r="S738">
            <v>4</v>
          </cell>
          <cell r="T738">
            <v>42850000</v>
          </cell>
          <cell r="Y738">
            <v>4</v>
          </cell>
          <cell r="Z738">
            <v>42850000</v>
          </cell>
          <cell r="AA738">
            <v>28</v>
          </cell>
          <cell r="AB738">
            <v>147950000</v>
          </cell>
          <cell r="AC738">
            <v>38.888888888888893</v>
          </cell>
          <cell r="AD738">
            <v>30.822916666666668</v>
          </cell>
        </row>
        <row r="739">
          <cell r="C739">
            <v>1</v>
          </cell>
          <cell r="D739" t="str">
            <v>02</v>
          </cell>
          <cell r="E739" t="str">
            <v>07</v>
          </cell>
          <cell r="F739" t="str">
            <v>01</v>
          </cell>
          <cell r="G739" t="str">
            <v>01</v>
          </cell>
          <cell r="H739" t="str">
            <v>08</v>
          </cell>
          <cell r="I739" t="str">
            <v>Penyedian jasa kebersihan Kantor</v>
          </cell>
          <cell r="J739" t="str">
            <v>biaya kebersihan Kantor</v>
          </cell>
          <cell r="K739">
            <v>72</v>
          </cell>
          <cell r="L739">
            <v>625678700</v>
          </cell>
          <cell r="M739">
            <v>24</v>
          </cell>
          <cell r="N739">
            <v>179652350</v>
          </cell>
          <cell r="O739">
            <v>12</v>
          </cell>
          <cell r="P739">
            <v>121717400</v>
          </cell>
          <cell r="Q739">
            <v>3</v>
          </cell>
          <cell r="R739">
            <v>29250000</v>
          </cell>
          <cell r="S739">
            <v>3</v>
          </cell>
          <cell r="T739">
            <v>13600000</v>
          </cell>
          <cell r="Y739">
            <v>6</v>
          </cell>
          <cell r="Z739">
            <v>42850000</v>
          </cell>
          <cell r="AA739">
            <v>30</v>
          </cell>
          <cell r="AB739">
            <v>222502350</v>
          </cell>
          <cell r="AC739">
            <v>41.666666666666671</v>
          </cell>
          <cell r="AD739">
            <v>35.561758774911148</v>
          </cell>
        </row>
        <row r="740">
          <cell r="C740">
            <v>1</v>
          </cell>
          <cell r="D740" t="str">
            <v>02</v>
          </cell>
          <cell r="E740" t="str">
            <v>07</v>
          </cell>
          <cell r="F740" t="str">
            <v>01</v>
          </cell>
          <cell r="G740" t="str">
            <v>01</v>
          </cell>
          <cell r="H740" t="str">
            <v>09</v>
          </cell>
          <cell r="I740" t="str">
            <v>Penyedian jasa perbaikan peralatan kerja</v>
          </cell>
          <cell r="J740" t="str">
            <v>Perbaikan Genset</v>
          </cell>
          <cell r="K740">
            <v>6</v>
          </cell>
          <cell r="L740">
            <v>60000000</v>
          </cell>
          <cell r="M740">
            <v>2</v>
          </cell>
          <cell r="N740">
            <v>19300000</v>
          </cell>
          <cell r="O740">
            <v>1</v>
          </cell>
          <cell r="P740">
            <v>9950000</v>
          </cell>
          <cell r="Q740">
            <v>0</v>
          </cell>
          <cell r="R740">
            <v>2100000</v>
          </cell>
          <cell r="T740">
            <v>2250000</v>
          </cell>
          <cell r="Y740">
            <v>0</v>
          </cell>
          <cell r="Z740">
            <v>4350000</v>
          </cell>
          <cell r="AA740">
            <v>2</v>
          </cell>
          <cell r="AB740">
            <v>23650000</v>
          </cell>
          <cell r="AC740">
            <v>33.333333333333329</v>
          </cell>
          <cell r="AD740">
            <v>39.416666666666664</v>
          </cell>
        </row>
        <row r="741">
          <cell r="J741" t="str">
            <v>Perbaikan Laptop</v>
          </cell>
          <cell r="K741">
            <v>90</v>
          </cell>
          <cell r="M741">
            <v>30</v>
          </cell>
          <cell r="O741">
            <v>15</v>
          </cell>
          <cell r="Q741">
            <v>8</v>
          </cell>
          <cell r="Y741">
            <v>8</v>
          </cell>
          <cell r="Z741">
            <v>0</v>
          </cell>
          <cell r="AA741">
            <v>38</v>
          </cell>
          <cell r="AC741">
            <v>42.222222222222221</v>
          </cell>
        </row>
        <row r="742">
          <cell r="J742" t="str">
            <v>Perbaikan AC, Sound System dan Mesin Tik</v>
          </cell>
          <cell r="K742">
            <v>54</v>
          </cell>
          <cell r="M742">
            <v>18</v>
          </cell>
          <cell r="O742">
            <v>9</v>
          </cell>
          <cell r="Q742">
            <v>2</v>
          </cell>
          <cell r="Y742">
            <v>2</v>
          </cell>
          <cell r="Z742">
            <v>0</v>
          </cell>
          <cell r="AA742">
            <v>20</v>
          </cell>
          <cell r="AC742">
            <v>37.037037037037038</v>
          </cell>
        </row>
        <row r="743">
          <cell r="C743">
            <v>1</v>
          </cell>
          <cell r="D743" t="str">
            <v>02</v>
          </cell>
          <cell r="E743" t="str">
            <v>07</v>
          </cell>
          <cell r="F743" t="str">
            <v>01</v>
          </cell>
          <cell r="G743" t="str">
            <v>01</v>
          </cell>
          <cell r="H743" t="str">
            <v>10</v>
          </cell>
          <cell r="I743" t="str">
            <v>Penyedian alat tulis kantor</v>
          </cell>
          <cell r="J743" t="str">
            <v>ATK Klantor</v>
          </cell>
          <cell r="K743">
            <v>72</v>
          </cell>
          <cell r="L743">
            <v>210000000</v>
          </cell>
          <cell r="M743">
            <v>24</v>
          </cell>
          <cell r="N743">
            <v>51226494</v>
          </cell>
          <cell r="O743">
            <v>12</v>
          </cell>
          <cell r="P743">
            <v>48621019</v>
          </cell>
          <cell r="Q743">
            <v>3</v>
          </cell>
          <cell r="R743">
            <v>11280075</v>
          </cell>
          <cell r="S743">
            <v>3</v>
          </cell>
          <cell r="T743">
            <v>8285382</v>
          </cell>
          <cell r="Y743">
            <v>6</v>
          </cell>
          <cell r="Z743">
            <v>19565457</v>
          </cell>
          <cell r="AA743">
            <v>30</v>
          </cell>
          <cell r="AB743">
            <v>70791951</v>
          </cell>
          <cell r="AC743">
            <v>41.666666666666671</v>
          </cell>
          <cell r="AD743">
            <v>33.710452857142862</v>
          </cell>
        </row>
        <row r="744">
          <cell r="C744">
            <v>1</v>
          </cell>
          <cell r="D744" t="str">
            <v>02</v>
          </cell>
          <cell r="E744" t="str">
            <v>07</v>
          </cell>
          <cell r="F744" t="str">
            <v>01</v>
          </cell>
          <cell r="G744" t="str">
            <v>01</v>
          </cell>
          <cell r="H744" t="str">
            <v>11</v>
          </cell>
          <cell r="I744" t="str">
            <v>Penyedian Barang cetak dan pengandaan</v>
          </cell>
          <cell r="J744" t="str">
            <v xml:space="preserve">Cetak dan penggandaan </v>
          </cell>
          <cell r="K744">
            <v>72</v>
          </cell>
          <cell r="L744">
            <v>180000000</v>
          </cell>
          <cell r="M744">
            <v>24</v>
          </cell>
          <cell r="N744">
            <v>56615200</v>
          </cell>
          <cell r="O744">
            <v>12</v>
          </cell>
          <cell r="P744">
            <v>41343954</v>
          </cell>
          <cell r="Q744">
            <v>3</v>
          </cell>
          <cell r="R744">
            <v>15107783</v>
          </cell>
          <cell r="S744">
            <v>3</v>
          </cell>
          <cell r="T744">
            <v>2123866</v>
          </cell>
          <cell r="Y744">
            <v>6</v>
          </cell>
          <cell r="Z744">
            <v>17231649</v>
          </cell>
          <cell r="AA744">
            <v>30</v>
          </cell>
          <cell r="AB744">
            <v>73846849</v>
          </cell>
          <cell r="AC744">
            <v>41.666666666666671</v>
          </cell>
          <cell r="AD744">
            <v>41.026027222222226</v>
          </cell>
        </row>
        <row r="745">
          <cell r="C745">
            <v>1</v>
          </cell>
          <cell r="D745" t="str">
            <v>02</v>
          </cell>
          <cell r="E745" t="str">
            <v>07</v>
          </cell>
          <cell r="F745" t="str">
            <v>01</v>
          </cell>
          <cell r="G745" t="str">
            <v>01</v>
          </cell>
          <cell r="H745" t="str">
            <v>12</v>
          </cell>
          <cell r="I745" t="str">
            <v>Penyedian kompopnen intalasi listrik/penerangan Bangunan Kantor</v>
          </cell>
          <cell r="J745" t="str">
            <v>alat alat elektronik kantor</v>
          </cell>
          <cell r="K745">
            <v>72</v>
          </cell>
          <cell r="L745">
            <v>111630000</v>
          </cell>
          <cell r="M745">
            <v>24</v>
          </cell>
          <cell r="N745">
            <v>21850500</v>
          </cell>
          <cell r="O745">
            <v>12</v>
          </cell>
          <cell r="P745">
            <v>8152085</v>
          </cell>
          <cell r="Q745">
            <v>3</v>
          </cell>
          <cell r="R745">
            <v>3000000</v>
          </cell>
          <cell r="S745">
            <v>3</v>
          </cell>
          <cell r="T745">
            <v>1200000</v>
          </cell>
          <cell r="Y745">
            <v>6</v>
          </cell>
          <cell r="Z745">
            <v>4200000</v>
          </cell>
          <cell r="AA745">
            <v>30</v>
          </cell>
          <cell r="AB745">
            <v>26050500</v>
          </cell>
          <cell r="AC745">
            <v>41.666666666666671</v>
          </cell>
          <cell r="AD745">
            <v>23.33646869121204</v>
          </cell>
        </row>
        <row r="746">
          <cell r="C746">
            <v>1</v>
          </cell>
          <cell r="D746" t="str">
            <v>02</v>
          </cell>
          <cell r="E746" t="str">
            <v>07</v>
          </cell>
          <cell r="F746" t="str">
            <v>01</v>
          </cell>
          <cell r="G746" t="str">
            <v>01</v>
          </cell>
          <cell r="H746" t="str">
            <v>13</v>
          </cell>
          <cell r="I746" t="str">
            <v>Penyedian peralatan dan perlengkapan kantor</v>
          </cell>
          <cell r="J746" t="str">
            <v>alat perlengkapan kantor</v>
          </cell>
          <cell r="K746">
            <v>48</v>
          </cell>
          <cell r="L746">
            <v>300000000</v>
          </cell>
          <cell r="M746">
            <v>16</v>
          </cell>
          <cell r="N746">
            <v>95050000</v>
          </cell>
          <cell r="O746">
            <v>8</v>
          </cell>
          <cell r="P746">
            <v>28700000</v>
          </cell>
          <cell r="Q746">
            <v>0</v>
          </cell>
          <cell r="R746">
            <v>0</v>
          </cell>
          <cell r="S746">
            <v>2</v>
          </cell>
          <cell r="T746">
            <v>22900000</v>
          </cell>
          <cell r="Y746">
            <v>2</v>
          </cell>
          <cell r="Z746">
            <v>22900000</v>
          </cell>
          <cell r="AA746">
            <v>18</v>
          </cell>
          <cell r="AB746">
            <v>117950000</v>
          </cell>
          <cell r="AC746">
            <v>37.5</v>
          </cell>
          <cell r="AD746">
            <v>39.316666666666663</v>
          </cell>
        </row>
        <row r="747">
          <cell r="J747" t="str">
            <v>lemari arsip</v>
          </cell>
          <cell r="K747">
            <v>30</v>
          </cell>
          <cell r="M747">
            <v>5</v>
          </cell>
          <cell r="O747">
            <v>5</v>
          </cell>
          <cell r="Q747">
            <v>0</v>
          </cell>
          <cell r="S747">
            <v>5</v>
          </cell>
          <cell r="Y747">
            <v>5</v>
          </cell>
          <cell r="Z747">
            <v>0</v>
          </cell>
          <cell r="AA747">
            <v>10</v>
          </cell>
        </row>
        <row r="748">
          <cell r="C748">
            <v>1</v>
          </cell>
          <cell r="D748" t="str">
            <v>02</v>
          </cell>
          <cell r="E748" t="str">
            <v>07</v>
          </cell>
          <cell r="F748" t="str">
            <v>01</v>
          </cell>
          <cell r="G748" t="str">
            <v>01</v>
          </cell>
          <cell r="H748" t="str">
            <v>15</v>
          </cell>
          <cell r="I748" t="str">
            <v>Penyedian Bahan bacaan dan Peraturan Perundang undangan</v>
          </cell>
          <cell r="J748" t="str">
            <v>Koran 2 terbitan</v>
          </cell>
          <cell r="K748">
            <v>72</v>
          </cell>
          <cell r="L748">
            <v>18000000</v>
          </cell>
          <cell r="M748">
            <v>24</v>
          </cell>
          <cell r="N748">
            <v>5360000</v>
          </cell>
          <cell r="O748">
            <v>12</v>
          </cell>
          <cell r="P748">
            <v>4140000</v>
          </cell>
          <cell r="Q748">
            <v>0</v>
          </cell>
          <cell r="R748">
            <v>0</v>
          </cell>
          <cell r="S748">
            <v>3</v>
          </cell>
          <cell r="T748">
            <v>1380000</v>
          </cell>
          <cell r="Y748">
            <v>3</v>
          </cell>
          <cell r="Z748">
            <v>1380000</v>
          </cell>
          <cell r="AA748">
            <v>27</v>
          </cell>
          <cell r="AB748">
            <v>6740000</v>
          </cell>
          <cell r="AC748">
            <v>37.5</v>
          </cell>
          <cell r="AD748">
            <v>37.44444444444445</v>
          </cell>
        </row>
        <row r="749">
          <cell r="C749">
            <v>1</v>
          </cell>
          <cell r="D749" t="str">
            <v>02</v>
          </cell>
          <cell r="E749" t="str">
            <v>07</v>
          </cell>
          <cell r="F749" t="str">
            <v>01</v>
          </cell>
          <cell r="G749" t="str">
            <v>01</v>
          </cell>
          <cell r="H749" t="str">
            <v>17</v>
          </cell>
          <cell r="I749" t="str">
            <v>Penyedian makan dan minum</v>
          </cell>
          <cell r="J749" t="str">
            <v>makan minum tamu</v>
          </cell>
          <cell r="K749">
            <v>72</v>
          </cell>
          <cell r="L749">
            <v>120000000</v>
          </cell>
          <cell r="M749">
            <v>24</v>
          </cell>
          <cell r="N749">
            <v>52540000</v>
          </cell>
          <cell r="O749">
            <v>12</v>
          </cell>
          <cell r="P749">
            <v>25900000</v>
          </cell>
          <cell r="Q749">
            <v>3</v>
          </cell>
          <cell r="R749">
            <v>3850000</v>
          </cell>
          <cell r="S749">
            <v>3</v>
          </cell>
          <cell r="T749">
            <v>10500000</v>
          </cell>
          <cell r="Y749">
            <v>6</v>
          </cell>
          <cell r="Z749">
            <v>14350000</v>
          </cell>
          <cell r="AA749">
            <v>30</v>
          </cell>
          <cell r="AB749">
            <v>66890000</v>
          </cell>
          <cell r="AC749">
            <v>41.666666666666671</v>
          </cell>
          <cell r="AD749">
            <v>55.741666666666667</v>
          </cell>
        </row>
        <row r="750">
          <cell r="J750" t="str">
            <v>makan minum rapat</v>
          </cell>
          <cell r="Y750">
            <v>0</v>
          </cell>
          <cell r="Z750">
            <v>0</v>
          </cell>
        </row>
        <row r="751">
          <cell r="C751">
            <v>1</v>
          </cell>
          <cell r="D751" t="str">
            <v>02</v>
          </cell>
          <cell r="E751" t="str">
            <v>07</v>
          </cell>
          <cell r="F751" t="str">
            <v>01</v>
          </cell>
          <cell r="G751" t="str">
            <v>01</v>
          </cell>
          <cell r="H751" t="str">
            <v>18</v>
          </cell>
          <cell r="I751" t="str">
            <v>Rapat rapat koordinasi dan konsultasi keluar daerah</v>
          </cell>
          <cell r="J751" t="str">
            <v>Rapat Koordinasi dalam propionsi</v>
          </cell>
          <cell r="K751">
            <v>72</v>
          </cell>
          <cell r="L751">
            <v>913950000</v>
          </cell>
          <cell r="M751">
            <v>24</v>
          </cell>
          <cell r="N751">
            <v>323125825</v>
          </cell>
          <cell r="O751">
            <v>12</v>
          </cell>
          <cell r="P751">
            <v>114200000</v>
          </cell>
          <cell r="Q751">
            <v>3</v>
          </cell>
          <cell r="R751">
            <v>21088000</v>
          </cell>
          <cell r="S751">
            <v>6</v>
          </cell>
          <cell r="T751">
            <v>23485312</v>
          </cell>
          <cell r="Y751">
            <v>9</v>
          </cell>
          <cell r="Z751">
            <v>44573312</v>
          </cell>
          <cell r="AA751">
            <v>33</v>
          </cell>
          <cell r="AB751">
            <v>367699137</v>
          </cell>
          <cell r="AC751">
            <v>45.833333333333329</v>
          </cell>
          <cell r="AD751">
            <v>40.231865747579185</v>
          </cell>
        </row>
        <row r="752">
          <cell r="J752" t="str">
            <v>Rapat Kooerdinasi Luar Propinsi</v>
          </cell>
          <cell r="Y752">
            <v>0</v>
          </cell>
          <cell r="Z752">
            <v>0</v>
          </cell>
        </row>
        <row r="753">
          <cell r="C753">
            <v>1</v>
          </cell>
          <cell r="D753" t="str">
            <v>02</v>
          </cell>
          <cell r="E753" t="str">
            <v>07</v>
          </cell>
          <cell r="F753" t="str">
            <v>01</v>
          </cell>
          <cell r="G753" t="str">
            <v>01</v>
          </cell>
          <cell r="H753" t="str">
            <v>20</v>
          </cell>
          <cell r="I753" t="str">
            <v>Rapat rapat koordinasi dan konsultasi Dalam daerah</v>
          </cell>
          <cell r="J753" t="str">
            <v>Rapat koordinasi dalam daerah</v>
          </cell>
          <cell r="K753">
            <v>72</v>
          </cell>
          <cell r="L753">
            <v>332100000</v>
          </cell>
          <cell r="M753">
            <v>24</v>
          </cell>
          <cell r="N753">
            <v>77460000</v>
          </cell>
          <cell r="O753">
            <v>12</v>
          </cell>
          <cell r="P753">
            <v>57900000</v>
          </cell>
          <cell r="Q753">
            <v>3</v>
          </cell>
          <cell r="R753">
            <v>9300000</v>
          </cell>
          <cell r="S753">
            <v>6</v>
          </cell>
          <cell r="T753">
            <v>23485312</v>
          </cell>
          <cell r="Y753">
            <v>9</v>
          </cell>
          <cell r="Z753">
            <v>32785312</v>
          </cell>
          <cell r="AA753">
            <v>33</v>
          </cell>
          <cell r="AB753">
            <v>110245312</v>
          </cell>
          <cell r="AC753">
            <v>45.833333333333329</v>
          </cell>
          <cell r="AD753">
            <v>33.196420355314665</v>
          </cell>
        </row>
        <row r="754">
          <cell r="A754">
            <v>2</v>
          </cell>
          <cell r="C754">
            <v>1</v>
          </cell>
          <cell r="D754" t="str">
            <v>02</v>
          </cell>
          <cell r="E754" t="str">
            <v>07</v>
          </cell>
          <cell r="F754" t="str">
            <v>01</v>
          </cell>
          <cell r="G754" t="str">
            <v>02</v>
          </cell>
          <cell r="I754" t="str">
            <v>Program Peningkatan Sara dan Prasarana Aparatur</v>
          </cell>
          <cell r="J754" t="str">
            <v>Pemenuhan layanan sarpras bagi aparatur (bln)</v>
          </cell>
          <cell r="K754">
            <v>72</v>
          </cell>
          <cell r="L754">
            <v>0</v>
          </cell>
          <cell r="M754">
            <v>24</v>
          </cell>
          <cell r="N754">
            <v>38300000</v>
          </cell>
          <cell r="O754">
            <v>12</v>
          </cell>
          <cell r="P754">
            <v>34525000</v>
          </cell>
          <cell r="Q754">
            <v>3</v>
          </cell>
          <cell r="R754">
            <v>1500000</v>
          </cell>
          <cell r="S754">
            <v>0</v>
          </cell>
          <cell r="T754">
            <v>30138899</v>
          </cell>
          <cell r="U754">
            <v>0</v>
          </cell>
          <cell r="V754">
            <v>0</v>
          </cell>
          <cell r="W754">
            <v>0</v>
          </cell>
          <cell r="X754">
            <v>0</v>
          </cell>
          <cell r="Y754">
            <v>3</v>
          </cell>
          <cell r="Z754">
            <v>31638899</v>
          </cell>
          <cell r="AA754">
            <v>27</v>
          </cell>
          <cell r="AB754">
            <v>69938899</v>
          </cell>
          <cell r="AC754">
            <v>37.5</v>
          </cell>
          <cell r="AD754" t="e">
            <v>#DIV/0!</v>
          </cell>
          <cell r="AE754" t="str">
            <v>DPMDPPKB</v>
          </cell>
        </row>
        <row r="755">
          <cell r="C755">
            <v>1</v>
          </cell>
          <cell r="D755" t="str">
            <v>02</v>
          </cell>
          <cell r="E755" t="str">
            <v>07</v>
          </cell>
          <cell r="F755" t="str">
            <v>01</v>
          </cell>
          <cell r="G755" t="str">
            <v>02</v>
          </cell>
          <cell r="H755">
            <v>22</v>
          </cell>
          <cell r="I755" t="str">
            <v>Pemeliharaan Rutin/Berkala gedung dan kantor</v>
          </cell>
          <cell r="J755" t="str">
            <v>ganti pintu mushola</v>
          </cell>
          <cell r="K755">
            <v>1</v>
          </cell>
          <cell r="L755">
            <v>1000000000</v>
          </cell>
          <cell r="M755">
            <v>0</v>
          </cell>
          <cell r="N755">
            <v>38300000</v>
          </cell>
          <cell r="O755">
            <v>1</v>
          </cell>
          <cell r="P755">
            <v>34525000</v>
          </cell>
          <cell r="Q755">
            <v>1</v>
          </cell>
          <cell r="R755">
            <v>1500000</v>
          </cell>
          <cell r="S755">
            <v>1</v>
          </cell>
          <cell r="T755">
            <v>30138899</v>
          </cell>
          <cell r="Y755">
            <v>2</v>
          </cell>
          <cell r="Z755">
            <v>31638899</v>
          </cell>
          <cell r="AA755">
            <v>2</v>
          </cell>
          <cell r="AB755">
            <v>69938899</v>
          </cell>
          <cell r="AC755">
            <v>200</v>
          </cell>
          <cell r="AD755">
            <v>6.9938899000000001</v>
          </cell>
        </row>
        <row r="756">
          <cell r="J756" t="str">
            <v>Ganti Pagar</v>
          </cell>
          <cell r="K756">
            <v>2</v>
          </cell>
          <cell r="M756">
            <v>0</v>
          </cell>
          <cell r="O756">
            <v>2</v>
          </cell>
          <cell r="Q756">
            <v>0</v>
          </cell>
          <cell r="Y756">
            <v>0</v>
          </cell>
          <cell r="Z756">
            <v>0</v>
          </cell>
          <cell r="AA756">
            <v>0</v>
          </cell>
          <cell r="AB756">
            <v>0</v>
          </cell>
          <cell r="AC756">
            <v>0</v>
          </cell>
        </row>
        <row r="757">
          <cell r="J757" t="str">
            <v>Cor Halaman Kantor</v>
          </cell>
          <cell r="K757">
            <v>1</v>
          </cell>
          <cell r="M757">
            <v>0</v>
          </cell>
          <cell r="O757">
            <v>1</v>
          </cell>
          <cell r="Q757">
            <v>0</v>
          </cell>
          <cell r="Y757">
            <v>0</v>
          </cell>
          <cell r="Z757">
            <v>0</v>
          </cell>
          <cell r="AA757">
            <v>0</v>
          </cell>
          <cell r="AB757">
            <v>0</v>
          </cell>
          <cell r="AC757">
            <v>0</v>
          </cell>
        </row>
        <row r="758">
          <cell r="A758">
            <v>3</v>
          </cell>
          <cell r="C758">
            <v>1</v>
          </cell>
          <cell r="D758" t="str">
            <v>02</v>
          </cell>
          <cell r="E758" t="str">
            <v>07</v>
          </cell>
          <cell r="F758" t="str">
            <v>01</v>
          </cell>
          <cell r="G758" t="str">
            <v>15</v>
          </cell>
          <cell r="I758" t="str">
            <v>Program Peningkatan Keberdayaan Masyarakat Perdesaan</v>
          </cell>
          <cell r="K758">
            <v>740</v>
          </cell>
          <cell r="L758">
            <v>1570294000</v>
          </cell>
          <cell r="M758">
            <v>4</v>
          </cell>
          <cell r="N758">
            <v>272600404</v>
          </cell>
          <cell r="O758">
            <v>184</v>
          </cell>
          <cell r="P758">
            <v>366564859</v>
          </cell>
          <cell r="Q758">
            <v>0</v>
          </cell>
          <cell r="R758">
            <v>13577110</v>
          </cell>
          <cell r="S758">
            <v>0</v>
          </cell>
          <cell r="T758">
            <v>111680520</v>
          </cell>
          <cell r="U758">
            <v>0</v>
          </cell>
          <cell r="V758">
            <v>0</v>
          </cell>
          <cell r="W758">
            <v>0</v>
          </cell>
          <cell r="X758">
            <v>0</v>
          </cell>
          <cell r="Y758">
            <v>0</v>
          </cell>
          <cell r="Z758">
            <v>125257630</v>
          </cell>
          <cell r="AA758">
            <v>4</v>
          </cell>
          <cell r="AB758">
            <v>397858034</v>
          </cell>
          <cell r="AC758">
            <v>66.666666666666657</v>
          </cell>
          <cell r="AD758">
            <v>67.423679501771943</v>
          </cell>
          <cell r="AE758" t="str">
            <v>DPMDPPKB</v>
          </cell>
        </row>
        <row r="759">
          <cell r="B759" t="str">
            <v>Meningkatnya Partisipasi Masyarakat Nagari</v>
          </cell>
          <cell r="C759">
            <v>1</v>
          </cell>
          <cell r="D759" t="str">
            <v>02</v>
          </cell>
          <cell r="E759" t="str">
            <v>07</v>
          </cell>
          <cell r="F759" t="str">
            <v>01</v>
          </cell>
          <cell r="G759" t="str">
            <v>15</v>
          </cell>
          <cell r="H759" t="str">
            <v>04</v>
          </cell>
          <cell r="I759" t="str">
            <v>Pencanangan dan Penilaian Bulan Bhakti Gotong royong Masyarakat (BBGRM) Tingjkat Kabupaten</v>
          </cell>
          <cell r="J759" t="str">
            <v>1 kali pencanangan BBGRM TK. Kab. Pessel</v>
          </cell>
          <cell r="K759">
            <v>6</v>
          </cell>
          <cell r="L759">
            <v>445294000</v>
          </cell>
          <cell r="M759">
            <v>2</v>
          </cell>
          <cell r="N759">
            <v>95024299</v>
          </cell>
          <cell r="O759">
            <v>1</v>
          </cell>
          <cell r="P759">
            <v>200000000</v>
          </cell>
          <cell r="Q759">
            <v>0</v>
          </cell>
          <cell r="R759">
            <v>80200</v>
          </cell>
          <cell r="S759" t="str">
            <v>0</v>
          </cell>
          <cell r="T759">
            <v>10356800</v>
          </cell>
          <cell r="Y759">
            <v>0</v>
          </cell>
          <cell r="Z759">
            <v>10437000</v>
          </cell>
          <cell r="AA759">
            <v>2</v>
          </cell>
          <cell r="AB759">
            <v>105461299</v>
          </cell>
          <cell r="AC759">
            <v>33.333333333333329</v>
          </cell>
          <cell r="AD759">
            <v>23.68352122417998</v>
          </cell>
        </row>
        <row r="760">
          <cell r="B760" t="str">
            <v>Meningkatkan Nagari yang berkembang</v>
          </cell>
          <cell r="C760">
            <v>1</v>
          </cell>
          <cell r="D760" t="str">
            <v>02</v>
          </cell>
          <cell r="E760" t="str">
            <v>07</v>
          </cell>
          <cell r="F760" t="str">
            <v>01</v>
          </cell>
          <cell r="G760" t="str">
            <v>15</v>
          </cell>
          <cell r="H760" t="str">
            <v>05</v>
          </cell>
          <cell r="I760" t="str">
            <v>Pemuthakhiran Data Profil dan Data IDM Nagari</v>
          </cell>
          <cell r="J760" t="str">
            <v>182 data IDM</v>
          </cell>
          <cell r="K760">
            <v>728</v>
          </cell>
          <cell r="L760">
            <v>345000000</v>
          </cell>
          <cell r="M760">
            <v>0</v>
          </cell>
          <cell r="N760">
            <v>0</v>
          </cell>
          <cell r="O760">
            <v>182</v>
          </cell>
          <cell r="P760">
            <v>72803055</v>
          </cell>
          <cell r="Q760">
            <v>0</v>
          </cell>
          <cell r="R760">
            <v>12704810</v>
          </cell>
          <cell r="S760">
            <v>0</v>
          </cell>
          <cell r="T760">
            <v>25980000</v>
          </cell>
          <cell r="Y760">
            <v>0</v>
          </cell>
          <cell r="Z760">
            <v>38684810</v>
          </cell>
          <cell r="AA760">
            <v>0</v>
          </cell>
          <cell r="AB760">
            <v>38684810</v>
          </cell>
          <cell r="AC760">
            <v>0</v>
          </cell>
          <cell r="AD760">
            <v>11.212988405797102</v>
          </cell>
        </row>
        <row r="761">
          <cell r="B761" t="str">
            <v>Meningkatnya Partisipasi Masyarakat Nagari</v>
          </cell>
          <cell r="C761">
            <v>1</v>
          </cell>
          <cell r="D761" t="str">
            <v>02</v>
          </cell>
          <cell r="E761" t="str">
            <v>07</v>
          </cell>
          <cell r="F761" t="str">
            <v>01</v>
          </cell>
          <cell r="G761" t="str">
            <v>15</v>
          </cell>
          <cell r="H761" t="str">
            <v>12</v>
          </cell>
          <cell r="I761" t="str">
            <v>Pembinaan Nagari Berprestasi Tingkat Kabupaten</v>
          </cell>
          <cell r="J761" t="str">
            <v>Nagari Berprestasi</v>
          </cell>
          <cell r="K761">
            <v>6</v>
          </cell>
          <cell r="L761">
            <v>780000000</v>
          </cell>
          <cell r="M761">
            <v>2</v>
          </cell>
          <cell r="N761">
            <v>177576105</v>
          </cell>
          <cell r="O761">
            <v>1</v>
          </cell>
          <cell r="P761">
            <v>93761804</v>
          </cell>
          <cell r="Q761">
            <v>0</v>
          </cell>
          <cell r="R761">
            <v>792100</v>
          </cell>
          <cell r="T761">
            <v>75343720</v>
          </cell>
          <cell r="Y761">
            <v>0</v>
          </cell>
          <cell r="Z761">
            <v>76135820</v>
          </cell>
          <cell r="AA761">
            <v>2</v>
          </cell>
          <cell r="AB761">
            <v>253711925</v>
          </cell>
          <cell r="AC761">
            <v>33.333333333333329</v>
          </cell>
          <cell r="AD761">
            <v>32.527169871794868</v>
          </cell>
        </row>
        <row r="762">
          <cell r="A762">
            <v>4</v>
          </cell>
          <cell r="C762">
            <v>1</v>
          </cell>
          <cell r="D762" t="str">
            <v>02</v>
          </cell>
          <cell r="E762" t="str">
            <v>07</v>
          </cell>
          <cell r="F762" t="str">
            <v>01</v>
          </cell>
          <cell r="G762" t="str">
            <v>16</v>
          </cell>
          <cell r="I762" t="str">
            <v>Program Pengembangan Lembaga Ekonomi Perdesaan/ Nagari</v>
          </cell>
          <cell r="J762" t="str">
            <v>Persentase Lembaga Ekonomi Masyarakat yang aktif</v>
          </cell>
          <cell r="K762">
            <v>52.5</v>
          </cell>
          <cell r="L762">
            <v>818882800</v>
          </cell>
          <cell r="M762">
            <v>40</v>
          </cell>
          <cell r="N762">
            <v>81421392</v>
          </cell>
          <cell r="O762">
            <v>1.5</v>
          </cell>
          <cell r="P762">
            <v>163776560</v>
          </cell>
          <cell r="Q762">
            <v>0</v>
          </cell>
          <cell r="R762">
            <v>20207072</v>
          </cell>
          <cell r="T762">
            <v>20711168</v>
          </cell>
          <cell r="Y762">
            <v>0</v>
          </cell>
          <cell r="Z762">
            <v>40918240</v>
          </cell>
          <cell r="AA762">
            <v>40</v>
          </cell>
          <cell r="AB762">
            <v>122339632</v>
          </cell>
          <cell r="AC762">
            <v>76.19047619047619</v>
          </cell>
          <cell r="AD762">
            <v>14.939821913465517</v>
          </cell>
          <cell r="AE762" t="str">
            <v>DPMDPPKB</v>
          </cell>
        </row>
        <row r="763">
          <cell r="C763">
            <v>1</v>
          </cell>
          <cell r="D763" t="str">
            <v>02</v>
          </cell>
          <cell r="E763" t="str">
            <v>07</v>
          </cell>
          <cell r="F763" t="str">
            <v>01</v>
          </cell>
          <cell r="G763" t="str">
            <v>16</v>
          </cell>
          <cell r="H763" t="str">
            <v>02</v>
          </cell>
          <cell r="I763" t="str">
            <v>Pembinaan dan Pelatihan Bumnag dan Lembaga Ekonomi Masyarakat Nagari</v>
          </cell>
          <cell r="J763" t="str">
            <v>Rakor Bumnag</v>
          </cell>
          <cell r="K763">
            <v>60</v>
          </cell>
          <cell r="L763">
            <v>818882800</v>
          </cell>
          <cell r="M763">
            <v>1</v>
          </cell>
          <cell r="N763">
            <v>81421392</v>
          </cell>
          <cell r="O763">
            <v>12</v>
          </cell>
          <cell r="P763">
            <v>163776560</v>
          </cell>
          <cell r="Q763">
            <v>0</v>
          </cell>
          <cell r="R763">
            <v>20207072</v>
          </cell>
          <cell r="S763">
            <v>2</v>
          </cell>
          <cell r="T763">
            <v>20711168</v>
          </cell>
          <cell r="Y763">
            <v>2</v>
          </cell>
          <cell r="Z763">
            <v>40918240</v>
          </cell>
          <cell r="AA763">
            <v>3</v>
          </cell>
          <cell r="AB763">
            <v>122339632</v>
          </cell>
          <cell r="AC763">
            <v>5</v>
          </cell>
          <cell r="AD763">
            <v>14.939821913465517</v>
          </cell>
        </row>
        <row r="764">
          <cell r="A764">
            <v>5</v>
          </cell>
          <cell r="C764">
            <v>1</v>
          </cell>
          <cell r="D764" t="str">
            <v>02</v>
          </cell>
          <cell r="E764" t="str">
            <v>07</v>
          </cell>
          <cell r="F764" t="str">
            <v>01</v>
          </cell>
          <cell r="G764" t="str">
            <v>17</v>
          </cell>
          <cell r="I764" t="str">
            <v>Program Peningkatan Partisipasi Masyarakat Dalam Membangun Desa/Nagari</v>
          </cell>
          <cell r="J764" t="str">
            <v>Persentase Kesesuaian Dokumen Perencanaan Nagari (%)</v>
          </cell>
          <cell r="K764">
            <v>12</v>
          </cell>
          <cell r="L764">
            <v>800000000</v>
          </cell>
          <cell r="M764">
            <v>30</v>
          </cell>
          <cell r="N764">
            <v>120000000</v>
          </cell>
          <cell r="O764">
            <v>5</v>
          </cell>
          <cell r="P764">
            <v>234014830</v>
          </cell>
          <cell r="Q764">
            <v>1</v>
          </cell>
          <cell r="R764">
            <v>852000</v>
          </cell>
          <cell r="T764">
            <v>4135552</v>
          </cell>
          <cell r="Y764">
            <v>1</v>
          </cell>
          <cell r="Z764">
            <v>4987552</v>
          </cell>
          <cell r="AA764">
            <v>31</v>
          </cell>
          <cell r="AB764">
            <v>124987552</v>
          </cell>
          <cell r="AC764">
            <v>258.33333333333337</v>
          </cell>
          <cell r="AD764">
            <v>15.623444000000001</v>
          </cell>
          <cell r="AE764" t="str">
            <v>DPMDPPKB</v>
          </cell>
        </row>
        <row r="765">
          <cell r="C765">
            <v>1</v>
          </cell>
          <cell r="D765" t="str">
            <v>02</v>
          </cell>
          <cell r="E765" t="str">
            <v>07</v>
          </cell>
          <cell r="F765" t="str">
            <v>01</v>
          </cell>
          <cell r="G765" t="str">
            <v>17</v>
          </cell>
          <cell r="H765" t="str">
            <v>02</v>
          </cell>
          <cell r="I765" t="str">
            <v>Pendampingan Pelaksanaan TMND</v>
          </cell>
          <cell r="J765" t="str">
            <v>TMMN/TMMD</v>
          </cell>
          <cell r="K765">
            <v>12</v>
          </cell>
          <cell r="L765">
            <v>800000000</v>
          </cell>
          <cell r="M765">
            <v>1</v>
          </cell>
          <cell r="N765">
            <v>120000000</v>
          </cell>
          <cell r="O765">
            <v>1</v>
          </cell>
          <cell r="P765">
            <v>234014830</v>
          </cell>
          <cell r="Q765">
            <v>0</v>
          </cell>
          <cell r="R765">
            <v>852000</v>
          </cell>
          <cell r="S765">
            <v>0</v>
          </cell>
          <cell r="T765">
            <v>4135552</v>
          </cell>
          <cell r="Y765">
            <v>0</v>
          </cell>
          <cell r="Z765">
            <v>4987552</v>
          </cell>
          <cell r="AA765">
            <v>1</v>
          </cell>
          <cell r="AB765">
            <v>124987552</v>
          </cell>
          <cell r="AC765">
            <v>8.3333333333333321</v>
          </cell>
          <cell r="AD765">
            <v>15.623444000000001</v>
          </cell>
        </row>
        <row r="766">
          <cell r="A766">
            <v>6</v>
          </cell>
          <cell r="C766">
            <v>1</v>
          </cell>
          <cell r="D766" t="str">
            <v>02</v>
          </cell>
          <cell r="E766" t="str">
            <v>07</v>
          </cell>
          <cell r="F766" t="str">
            <v>01</v>
          </cell>
          <cell r="G766" t="str">
            <v>25</v>
          </cell>
          <cell r="I766" t="str">
            <v>Program Pemberdayaan Lembaga Pemerintahan Desa/ Nagari</v>
          </cell>
          <cell r="J766" t="str">
            <v>Persentase nagari yang dibina (%)</v>
          </cell>
          <cell r="K766">
            <v>100</v>
          </cell>
          <cell r="L766">
            <v>4443226668</v>
          </cell>
          <cell r="M766">
            <v>60</v>
          </cell>
          <cell r="N766">
            <v>212987662</v>
          </cell>
          <cell r="O766">
            <v>12</v>
          </cell>
          <cell r="P766">
            <v>1043000678</v>
          </cell>
          <cell r="Q766">
            <v>4.5</v>
          </cell>
          <cell r="R766">
            <v>83203350</v>
          </cell>
          <cell r="T766">
            <v>435634721</v>
          </cell>
          <cell r="Y766">
            <v>4.5</v>
          </cell>
          <cell r="Z766">
            <v>518838071</v>
          </cell>
          <cell r="AA766">
            <v>64.5</v>
          </cell>
          <cell r="AB766">
            <v>731825733</v>
          </cell>
          <cell r="AC766">
            <v>64.5</v>
          </cell>
          <cell r="AD766">
            <v>16.470591929747574</v>
          </cell>
          <cell r="AE766" t="str">
            <v>DPMDPPKB</v>
          </cell>
        </row>
        <row r="767">
          <cell r="C767">
            <v>1</v>
          </cell>
          <cell r="D767" t="str">
            <v>02</v>
          </cell>
          <cell r="E767" t="str">
            <v>07</v>
          </cell>
          <cell r="F767" t="str">
            <v>01</v>
          </cell>
          <cell r="G767" t="str">
            <v>25</v>
          </cell>
          <cell r="H767" t="str">
            <v>03</v>
          </cell>
          <cell r="I767" t="str">
            <v>Fasilitasi Pemekaran, Penilaian Bamus Nagari dan Wali Nagari</v>
          </cell>
          <cell r="J767" t="str">
            <v>Pemilihan 105 Nagari</v>
          </cell>
          <cell r="K767">
            <v>182</v>
          </cell>
          <cell r="L767">
            <v>3000000000</v>
          </cell>
          <cell r="M767">
            <v>40</v>
          </cell>
          <cell r="N767">
            <v>84435815</v>
          </cell>
          <cell r="O767">
            <v>105</v>
          </cell>
          <cell r="P767">
            <v>815298700</v>
          </cell>
          <cell r="Q767">
            <v>0</v>
          </cell>
          <cell r="R767">
            <v>56429300</v>
          </cell>
          <cell r="S767">
            <v>105</v>
          </cell>
          <cell r="T767">
            <v>369617900</v>
          </cell>
          <cell r="Y767">
            <v>105</v>
          </cell>
          <cell r="Z767">
            <v>426047200</v>
          </cell>
          <cell r="AA767">
            <v>145</v>
          </cell>
          <cell r="AB767">
            <v>510483015</v>
          </cell>
          <cell r="AC767">
            <v>79.670329670329664</v>
          </cell>
          <cell r="AD767">
            <v>17.0161005</v>
          </cell>
        </row>
        <row r="768">
          <cell r="C768">
            <v>1</v>
          </cell>
          <cell r="D768" t="str">
            <v>02</v>
          </cell>
          <cell r="E768" t="str">
            <v>07</v>
          </cell>
          <cell r="F768" t="str">
            <v>01</v>
          </cell>
          <cell r="G768" t="str">
            <v>25</v>
          </cell>
          <cell r="H768" t="str">
            <v>04</v>
          </cell>
          <cell r="I768" t="str">
            <v>Pembinaan dan Monitoring Pemerintahan Nagari</v>
          </cell>
          <cell r="J768" t="str">
            <v>monev 90 Keuangan Nagari</v>
          </cell>
          <cell r="K768">
            <v>182</v>
          </cell>
          <cell r="L768">
            <v>658577400</v>
          </cell>
          <cell r="M768">
            <v>54</v>
          </cell>
          <cell r="N768">
            <v>128551847</v>
          </cell>
          <cell r="O768">
            <v>90</v>
          </cell>
          <cell r="P768">
            <v>151979000</v>
          </cell>
          <cell r="Q768">
            <v>12</v>
          </cell>
          <cell r="R768">
            <v>23457050</v>
          </cell>
          <cell r="S768">
            <v>33</v>
          </cell>
          <cell r="T768">
            <v>48474821</v>
          </cell>
          <cell r="Y768">
            <v>45</v>
          </cell>
          <cell r="Z768">
            <v>71931871</v>
          </cell>
          <cell r="AA768">
            <v>99</v>
          </cell>
          <cell r="AB768">
            <v>200483718</v>
          </cell>
          <cell r="AC768">
            <v>54.395604395604394</v>
          </cell>
          <cell r="AD768">
            <v>30.441937120830442</v>
          </cell>
        </row>
        <row r="769">
          <cell r="C769">
            <v>1</v>
          </cell>
          <cell r="D769" t="str">
            <v>02</v>
          </cell>
          <cell r="E769" t="str">
            <v>07</v>
          </cell>
          <cell r="F769" t="str">
            <v>01</v>
          </cell>
          <cell r="G769" t="str">
            <v>25</v>
          </cell>
          <cell r="H769" t="str">
            <v>13</v>
          </cell>
          <cell r="I769" t="str">
            <v>Penyusnan Ranperda dan peraturan Bupati Pesisir Selatan Tentang Pemerintahan Nagari</v>
          </cell>
          <cell r="J769" t="str">
            <v>4 Perbub</v>
          </cell>
          <cell r="K769">
            <v>24</v>
          </cell>
          <cell r="L769">
            <v>244649268</v>
          </cell>
          <cell r="M769">
            <v>2</v>
          </cell>
          <cell r="N769">
            <v>0</v>
          </cell>
          <cell r="O769">
            <v>12</v>
          </cell>
          <cell r="P769">
            <v>40774878</v>
          </cell>
          <cell r="Q769">
            <v>0</v>
          </cell>
          <cell r="R769">
            <v>0</v>
          </cell>
          <cell r="S769">
            <v>1</v>
          </cell>
          <cell r="T769">
            <v>10497000</v>
          </cell>
          <cell r="Y769">
            <v>1</v>
          </cell>
          <cell r="Z769">
            <v>10497000</v>
          </cell>
          <cell r="AA769">
            <v>3</v>
          </cell>
          <cell r="AB769">
            <v>10497000</v>
          </cell>
          <cell r="AC769">
            <v>12.5</v>
          </cell>
          <cell r="AD769">
            <v>4.2906320896901278</v>
          </cell>
        </row>
        <row r="770">
          <cell r="C770">
            <v>1</v>
          </cell>
          <cell r="D770" t="str">
            <v>02</v>
          </cell>
          <cell r="E770" t="str">
            <v>07</v>
          </cell>
          <cell r="F770" t="str">
            <v>01</v>
          </cell>
          <cell r="G770" t="str">
            <v>25</v>
          </cell>
          <cell r="H770">
            <v>14</v>
          </cell>
          <cell r="I770" t="str">
            <v>Penyelesaian Konflik Pemerintahan Nagari</v>
          </cell>
          <cell r="J770" t="str">
            <v>Jumlah konflik yang ditangani</v>
          </cell>
          <cell r="K770">
            <v>100</v>
          </cell>
          <cell r="L770">
            <v>540000000</v>
          </cell>
          <cell r="M770">
            <v>24</v>
          </cell>
          <cell r="N770">
            <v>0</v>
          </cell>
          <cell r="O770">
            <v>12</v>
          </cell>
          <cell r="P770">
            <v>34948100</v>
          </cell>
          <cell r="Q770">
            <v>2</v>
          </cell>
          <cell r="R770">
            <v>3317000</v>
          </cell>
          <cell r="S770">
            <v>5</v>
          </cell>
          <cell r="T770">
            <v>7045000</v>
          </cell>
          <cell r="Y770">
            <v>7</v>
          </cell>
          <cell r="Z770">
            <v>10362000</v>
          </cell>
          <cell r="AA770">
            <v>31</v>
          </cell>
          <cell r="AB770">
            <v>10362000</v>
          </cell>
          <cell r="AC770">
            <v>31</v>
          </cell>
          <cell r="AD770">
            <v>1.9188888888888886</v>
          </cell>
        </row>
        <row r="771">
          <cell r="A771">
            <v>7</v>
          </cell>
          <cell r="C771">
            <v>1</v>
          </cell>
          <cell r="D771" t="str">
            <v>02</v>
          </cell>
          <cell r="E771" t="str">
            <v>07</v>
          </cell>
          <cell r="F771" t="str">
            <v>01</v>
          </cell>
          <cell r="G771" t="str">
            <v>26</v>
          </cell>
          <cell r="I771" t="str">
            <v>Pemberdayaan Lembaga Sosial dan Ekonomi Masyarakat/ Nagari</v>
          </cell>
          <cell r="J771" t="str">
            <v>persentase LPM yang aktif membina kelompok</v>
          </cell>
          <cell r="K771">
            <v>70.430000000000007</v>
          </cell>
          <cell r="L771">
            <v>5385962000</v>
          </cell>
          <cell r="M771">
            <v>63</v>
          </cell>
          <cell r="N771">
            <v>1297021003</v>
          </cell>
          <cell r="O771">
            <v>7</v>
          </cell>
          <cell r="P771">
            <v>1320564762</v>
          </cell>
          <cell r="Q771">
            <v>2</v>
          </cell>
          <cell r="R771">
            <v>79216850</v>
          </cell>
          <cell r="T771">
            <v>255324500</v>
          </cell>
          <cell r="Y771">
            <v>2</v>
          </cell>
          <cell r="Z771">
            <v>334541350</v>
          </cell>
          <cell r="AA771">
            <v>65</v>
          </cell>
          <cell r="AB771">
            <v>1631562353</v>
          </cell>
          <cell r="AC771">
            <v>92.290217236972865</v>
          </cell>
          <cell r="AD771">
            <v>30.292867885068631</v>
          </cell>
          <cell r="AE771" t="str">
            <v>DPMDPPKB</v>
          </cell>
        </row>
        <row r="772">
          <cell r="C772">
            <v>1</v>
          </cell>
          <cell r="D772" t="str">
            <v>02</v>
          </cell>
          <cell r="E772" t="str">
            <v>07</v>
          </cell>
          <cell r="F772" t="str">
            <v>01</v>
          </cell>
          <cell r="G772" t="str">
            <v>26</v>
          </cell>
          <cell r="H772" t="str">
            <v>08</v>
          </cell>
          <cell r="I772" t="str">
            <v>Pembinaan Administrasi Program Pembangunan Desa dan Pemberdayaan Masyaerakat Desa/Nagari (P3MD)</v>
          </cell>
          <cell r="J772" t="str">
            <v>Rakor P3MD 4 Kali</v>
          </cell>
          <cell r="K772">
            <v>36</v>
          </cell>
          <cell r="L772">
            <v>1000000000</v>
          </cell>
          <cell r="M772">
            <v>8</v>
          </cell>
          <cell r="N772">
            <v>161131599</v>
          </cell>
          <cell r="O772">
            <v>4</v>
          </cell>
          <cell r="P772">
            <v>65297631</v>
          </cell>
          <cell r="Q772">
            <v>1</v>
          </cell>
          <cell r="R772">
            <v>8883900</v>
          </cell>
          <cell r="S772">
            <v>1</v>
          </cell>
          <cell r="T772">
            <v>22722000</v>
          </cell>
          <cell r="Y772">
            <v>2</v>
          </cell>
          <cell r="Z772">
            <v>31605900</v>
          </cell>
          <cell r="AA772">
            <v>10</v>
          </cell>
          <cell r="AB772">
            <v>192737499</v>
          </cell>
          <cell r="AC772">
            <v>27.777777777777779</v>
          </cell>
          <cell r="AD772">
            <v>19.273749900000002</v>
          </cell>
        </row>
        <row r="773">
          <cell r="C773">
            <v>1</v>
          </cell>
          <cell r="D773" t="str">
            <v>02</v>
          </cell>
          <cell r="E773" t="str">
            <v>07</v>
          </cell>
          <cell r="F773" t="str">
            <v>01</v>
          </cell>
          <cell r="G773" t="str">
            <v>26</v>
          </cell>
          <cell r="H773" t="str">
            <v>10</v>
          </cell>
          <cell r="I773" t="str">
            <v>Pemberdayaan Kelembagaan Tim Penggerak PKK Kabupaten</v>
          </cell>
          <cell r="J773" t="str">
            <v>Orientasi  PKK</v>
          </cell>
          <cell r="K773">
            <v>36</v>
          </cell>
          <cell r="L773">
            <v>4085962000</v>
          </cell>
          <cell r="M773">
            <v>12</v>
          </cell>
          <cell r="N773">
            <v>1073930254</v>
          </cell>
          <cell r="O773">
            <v>6</v>
          </cell>
          <cell r="P773">
            <v>1199999866</v>
          </cell>
          <cell r="Q773">
            <v>1</v>
          </cell>
          <cell r="R773">
            <v>66895450</v>
          </cell>
          <cell r="S773">
            <v>4</v>
          </cell>
          <cell r="T773">
            <v>218766000</v>
          </cell>
          <cell r="Y773">
            <v>5</v>
          </cell>
          <cell r="Z773">
            <v>285661450</v>
          </cell>
          <cell r="AA773">
            <v>17</v>
          </cell>
          <cell r="AB773">
            <v>1359591704</v>
          </cell>
          <cell r="AC773">
            <v>47.222222222222221</v>
          </cell>
          <cell r="AD773">
            <v>33.274702603695289</v>
          </cell>
        </row>
        <row r="774">
          <cell r="J774" t="str">
            <v>Jambore PKK</v>
          </cell>
          <cell r="K774">
            <v>36</v>
          </cell>
          <cell r="M774">
            <v>12</v>
          </cell>
          <cell r="O774">
            <v>6</v>
          </cell>
          <cell r="Q774">
            <v>1</v>
          </cell>
          <cell r="Y774">
            <v>1</v>
          </cell>
          <cell r="Z774">
            <v>0</v>
          </cell>
          <cell r="AA774">
            <v>13</v>
          </cell>
          <cell r="AB774">
            <v>0</v>
          </cell>
          <cell r="AC774">
            <v>36.111111111111107</v>
          </cell>
        </row>
        <row r="775">
          <cell r="J775" t="str">
            <v>HKG PKK</v>
          </cell>
          <cell r="K775">
            <v>36</v>
          </cell>
          <cell r="M775">
            <v>12</v>
          </cell>
          <cell r="O775">
            <v>6</v>
          </cell>
          <cell r="Q775">
            <v>1</v>
          </cell>
          <cell r="Y775">
            <v>1</v>
          </cell>
          <cell r="Z775">
            <v>0</v>
          </cell>
          <cell r="AA775">
            <v>13</v>
          </cell>
          <cell r="AB775">
            <v>0</v>
          </cell>
          <cell r="AC775">
            <v>36.111111111111107</v>
          </cell>
        </row>
        <row r="776">
          <cell r="J776" t="str">
            <v>Lomba Dasa wisma</v>
          </cell>
          <cell r="K776">
            <v>36</v>
          </cell>
          <cell r="M776">
            <v>12</v>
          </cell>
          <cell r="O776">
            <v>6</v>
          </cell>
          <cell r="Q776">
            <v>1</v>
          </cell>
          <cell r="Y776">
            <v>1</v>
          </cell>
          <cell r="Z776">
            <v>0</v>
          </cell>
          <cell r="AA776">
            <v>13</v>
          </cell>
          <cell r="AB776">
            <v>0</v>
          </cell>
          <cell r="AC776">
            <v>36.111111111111107</v>
          </cell>
        </row>
        <row r="777">
          <cell r="J777" t="str">
            <v>Lomba Posyandu</v>
          </cell>
          <cell r="K777">
            <v>36</v>
          </cell>
          <cell r="M777">
            <v>12</v>
          </cell>
          <cell r="O777">
            <v>6</v>
          </cell>
          <cell r="Q777">
            <v>0</v>
          </cell>
          <cell r="Y777">
            <v>0</v>
          </cell>
          <cell r="Z777">
            <v>0</v>
          </cell>
          <cell r="AA777">
            <v>12</v>
          </cell>
          <cell r="AB777">
            <v>0</v>
          </cell>
          <cell r="AC777">
            <v>33.333333333333329</v>
          </cell>
        </row>
        <row r="778">
          <cell r="C778">
            <v>1</v>
          </cell>
          <cell r="D778" t="str">
            <v>02</v>
          </cell>
          <cell r="E778" t="str">
            <v>07</v>
          </cell>
          <cell r="F778" t="str">
            <v>01</v>
          </cell>
          <cell r="G778" t="str">
            <v>26</v>
          </cell>
          <cell r="H778" t="str">
            <v>08</v>
          </cell>
          <cell r="I778" t="str">
            <v>Pemberdayaan Keberlanjutan Badan Pengelolah Sarana Prasarana Air Minum dan Sanitasi Nagari (BP-SPAMS)</v>
          </cell>
          <cell r="J778" t="str">
            <v>Monev 105 BP-SPAMS</v>
          </cell>
          <cell r="K778">
            <v>142</v>
          </cell>
          <cell r="L778">
            <v>300000000</v>
          </cell>
          <cell r="M778">
            <v>77</v>
          </cell>
          <cell r="N778">
            <v>61959150</v>
          </cell>
          <cell r="O778">
            <v>12</v>
          </cell>
          <cell r="P778">
            <v>55267265</v>
          </cell>
          <cell r="Q778">
            <v>5</v>
          </cell>
          <cell r="R778">
            <v>3437500</v>
          </cell>
          <cell r="S778">
            <v>10</v>
          </cell>
          <cell r="T778">
            <v>13836500</v>
          </cell>
          <cell r="Y778">
            <v>15</v>
          </cell>
          <cell r="Z778">
            <v>17274000</v>
          </cell>
          <cell r="AA778">
            <v>92</v>
          </cell>
          <cell r="AB778">
            <v>79233150</v>
          </cell>
          <cell r="AC778">
            <v>64.788732394366207</v>
          </cell>
          <cell r="AD778">
            <v>26.411050000000003</v>
          </cell>
        </row>
        <row r="779">
          <cell r="A779">
            <v>8</v>
          </cell>
          <cell r="C779">
            <v>1</v>
          </cell>
          <cell r="D779" t="str">
            <v>02</v>
          </cell>
          <cell r="E779" t="str">
            <v>07</v>
          </cell>
          <cell r="F779" t="str">
            <v>01</v>
          </cell>
          <cell r="G779" t="str">
            <v>27</v>
          </cell>
          <cell r="I779" t="str">
            <v>Program Pengembangan Kawasan Perdesaan</v>
          </cell>
          <cell r="J779" t="str">
            <v>persentase kawasan pedesaan yang dikembangkan (%)</v>
          </cell>
          <cell r="K779">
            <v>40</v>
          </cell>
          <cell r="L779">
            <v>349225800</v>
          </cell>
          <cell r="M779">
            <v>20</v>
          </cell>
          <cell r="N779">
            <v>82513548</v>
          </cell>
          <cell r="O779">
            <v>5</v>
          </cell>
          <cell r="P779">
            <v>110098048</v>
          </cell>
          <cell r="Q779">
            <v>0</v>
          </cell>
          <cell r="R779">
            <v>25192800</v>
          </cell>
          <cell r="S779">
            <v>1</v>
          </cell>
          <cell r="T779">
            <v>21711714</v>
          </cell>
          <cell r="Y779">
            <v>1</v>
          </cell>
          <cell r="Z779">
            <v>46904514</v>
          </cell>
          <cell r="AA779">
            <v>21</v>
          </cell>
          <cell r="AB779">
            <v>129418062</v>
          </cell>
          <cell r="AC779">
            <v>52.5</v>
          </cell>
          <cell r="AD779">
            <v>37.058562683513074</v>
          </cell>
          <cell r="AE779" t="str">
            <v>DPMDPPKB</v>
          </cell>
        </row>
        <row r="780">
          <cell r="C780">
            <v>1</v>
          </cell>
          <cell r="D780" t="str">
            <v>02</v>
          </cell>
          <cell r="E780" t="str">
            <v>07</v>
          </cell>
          <cell r="F780" t="str">
            <v>01</v>
          </cell>
          <cell r="G780" t="str">
            <v>27</v>
          </cell>
          <cell r="H780" t="str">
            <v>04</v>
          </cell>
          <cell r="I780" t="str">
            <v>Pembinaan Potensi Kawasan Perdesaan /Nagari</v>
          </cell>
          <cell r="J780" t="str">
            <v>Monev 3 Kawasan</v>
          </cell>
          <cell r="K780">
            <v>5</v>
          </cell>
          <cell r="L780">
            <v>349225800</v>
          </cell>
          <cell r="M780">
            <v>3</v>
          </cell>
          <cell r="N780">
            <v>82513548</v>
          </cell>
          <cell r="O780">
            <v>3</v>
          </cell>
          <cell r="P780">
            <v>110098048</v>
          </cell>
          <cell r="Q780">
            <v>1</v>
          </cell>
          <cell r="R780">
            <v>25192800</v>
          </cell>
          <cell r="S780">
            <v>1</v>
          </cell>
          <cell r="T780">
            <v>21711714</v>
          </cell>
          <cell r="Y780">
            <v>2</v>
          </cell>
          <cell r="Z780">
            <v>46904514</v>
          </cell>
          <cell r="AA780">
            <v>5</v>
          </cell>
          <cell r="AB780">
            <v>129418062</v>
          </cell>
          <cell r="AC780">
            <v>100</v>
          </cell>
          <cell r="AD780">
            <v>37.058562683513074</v>
          </cell>
        </row>
        <row r="781">
          <cell r="J781" t="str">
            <v>Pembentukan 1 kawasan</v>
          </cell>
          <cell r="K781">
            <v>5</v>
          </cell>
          <cell r="M781">
            <v>3</v>
          </cell>
          <cell r="O781">
            <v>1</v>
          </cell>
          <cell r="Q781">
            <v>0</v>
          </cell>
          <cell r="Y781">
            <v>0</v>
          </cell>
          <cell r="Z781">
            <v>0</v>
          </cell>
          <cell r="AA781">
            <v>3</v>
          </cell>
          <cell r="AB781">
            <v>0</v>
          </cell>
          <cell r="AC781">
            <v>60</v>
          </cell>
        </row>
        <row r="782">
          <cell r="A782" t="str">
            <v>Rata-Rata Capaian Kinerja</v>
          </cell>
          <cell r="AC782">
            <v>85.685086678431134</v>
          </cell>
          <cell r="AD782" t="e">
            <v>#DIV/0!</v>
          </cell>
        </row>
        <row r="783">
          <cell r="A783" t="str">
            <v>Peringkat  Kinerja</v>
          </cell>
          <cell r="AC783" t="str">
            <v>T</v>
          </cell>
          <cell r="AD783" t="e">
            <v>#DIV/0!</v>
          </cell>
        </row>
        <row r="784">
          <cell r="A784" t="str">
            <v>VIII</v>
          </cell>
          <cell r="I784" t="str">
            <v>URUSAN PENGENDALIAN PENDUDUK DAN KELUARGA BERENCANA</v>
          </cell>
          <cell r="L784">
            <v>31986367520</v>
          </cell>
          <cell r="N784">
            <v>4711549874</v>
          </cell>
          <cell r="P784">
            <v>6420653414</v>
          </cell>
          <cell r="R784">
            <v>173385555</v>
          </cell>
          <cell r="T784">
            <v>1035310110</v>
          </cell>
          <cell r="Z784">
            <v>1208695665</v>
          </cell>
          <cell r="AB784">
            <v>5920245539</v>
          </cell>
        </row>
        <row r="785">
          <cell r="A785">
            <v>1</v>
          </cell>
          <cell r="C785">
            <v>1</v>
          </cell>
          <cell r="D785" t="str">
            <v>02</v>
          </cell>
          <cell r="E785" t="str">
            <v>08</v>
          </cell>
          <cell r="F785" t="str">
            <v>01</v>
          </cell>
          <cell r="G785" t="str">
            <v>27</v>
          </cell>
          <cell r="I785" t="str">
            <v>Peningkatan Sarana dan Prasarana Pelayanan Keluarga Berencana</v>
          </cell>
          <cell r="J785" t="str">
            <v>Persentase klinik yang terpenuhi sarprasnya</v>
          </cell>
          <cell r="K785">
            <v>80</v>
          </cell>
          <cell r="L785">
            <v>29954808546</v>
          </cell>
          <cell r="M785">
            <v>72</v>
          </cell>
          <cell r="N785">
            <v>4156039874</v>
          </cell>
          <cell r="O785">
            <v>2</v>
          </cell>
          <cell r="P785">
            <v>5946936291</v>
          </cell>
          <cell r="Q785">
            <v>0</v>
          </cell>
          <cell r="R785">
            <v>128709132</v>
          </cell>
          <cell r="S785">
            <v>1</v>
          </cell>
          <cell r="T785">
            <v>957362188</v>
          </cell>
          <cell r="Y785">
            <v>1</v>
          </cell>
          <cell r="Z785">
            <v>1086071320</v>
          </cell>
          <cell r="AA785">
            <v>73</v>
          </cell>
          <cell r="AB785">
            <v>5242111194</v>
          </cell>
          <cell r="AC785">
            <v>91.25</v>
          </cell>
          <cell r="AD785">
            <v>17.500065760560513</v>
          </cell>
          <cell r="AE785" t="str">
            <v>DPMDPPKB</v>
          </cell>
        </row>
        <row r="786">
          <cell r="C786">
            <v>1</v>
          </cell>
          <cell r="D786" t="str">
            <v>02</v>
          </cell>
          <cell r="E786" t="str">
            <v>07</v>
          </cell>
          <cell r="F786" t="str">
            <v>01</v>
          </cell>
          <cell r="G786" t="str">
            <v>27</v>
          </cell>
          <cell r="H786" t="str">
            <v>01</v>
          </cell>
          <cell r="I786" t="str">
            <v>Pengadaan Sarana dan Prasarana Pelayanan Keluarga Berencana (DAK Fisik KB)</v>
          </cell>
          <cell r="J786" t="str">
            <v xml:space="preserve">Pengadaan Komputer </v>
          </cell>
          <cell r="K786">
            <v>2</v>
          </cell>
          <cell r="L786">
            <v>7479580800</v>
          </cell>
          <cell r="M786">
            <v>0</v>
          </cell>
          <cell r="N786">
            <v>2656363524</v>
          </cell>
          <cell r="O786">
            <v>2</v>
          </cell>
          <cell r="P786">
            <v>1461000000</v>
          </cell>
          <cell r="Q786">
            <v>0</v>
          </cell>
          <cell r="T786">
            <v>556035655</v>
          </cell>
          <cell r="Y786">
            <v>0</v>
          </cell>
          <cell r="Z786">
            <v>556035655</v>
          </cell>
          <cell r="AA786">
            <v>0</v>
          </cell>
          <cell r="AB786">
            <v>3212399179</v>
          </cell>
          <cell r="AC786">
            <v>0</v>
          </cell>
          <cell r="AD786">
            <v>42.948920065145899</v>
          </cell>
        </row>
        <row r="787">
          <cell r="J787" t="str">
            <v>LCD Proyektor</v>
          </cell>
          <cell r="K787">
            <v>15</v>
          </cell>
          <cell r="M787">
            <v>0</v>
          </cell>
          <cell r="O787">
            <v>15</v>
          </cell>
          <cell r="Q787">
            <v>15</v>
          </cell>
          <cell r="Y787">
            <v>15</v>
          </cell>
          <cell r="Z787">
            <v>0</v>
          </cell>
          <cell r="AA787">
            <v>15</v>
          </cell>
          <cell r="AB787">
            <v>0</v>
          </cell>
          <cell r="AC787">
            <v>100</v>
          </cell>
        </row>
        <row r="788">
          <cell r="J788" t="str">
            <v>Lemari penyimpanan alokon</v>
          </cell>
          <cell r="K788">
            <v>26</v>
          </cell>
          <cell r="M788">
            <v>0</v>
          </cell>
          <cell r="O788">
            <v>26</v>
          </cell>
          <cell r="Q788">
            <v>26</v>
          </cell>
          <cell r="Y788">
            <v>26</v>
          </cell>
          <cell r="Z788">
            <v>0</v>
          </cell>
          <cell r="AA788">
            <v>26</v>
          </cell>
          <cell r="AB788">
            <v>0</v>
          </cell>
          <cell r="AC788">
            <v>100</v>
          </cell>
        </row>
        <row r="789">
          <cell r="C789">
            <v>1</v>
          </cell>
          <cell r="D789" t="str">
            <v>02</v>
          </cell>
          <cell r="E789" t="str">
            <v>07</v>
          </cell>
          <cell r="F789" t="str">
            <v>01</v>
          </cell>
          <cell r="G789" t="str">
            <v>27</v>
          </cell>
          <cell r="H789" t="str">
            <v>02</v>
          </cell>
          <cell r="I789" t="str">
            <v>Pengadaan Sarana dan Prasarana Pelayanan Keluarga Berencana (Penunjang DAK Fisik KB)</v>
          </cell>
          <cell r="J789" t="str">
            <v>Honor Penagadaan Barang Jasa</v>
          </cell>
          <cell r="K789">
            <v>8</v>
          </cell>
          <cell r="L789">
            <v>273277746</v>
          </cell>
          <cell r="M789">
            <v>0</v>
          </cell>
          <cell r="O789">
            <v>8</v>
          </cell>
          <cell r="P789">
            <v>45546291</v>
          </cell>
          <cell r="Q789">
            <v>6</v>
          </cell>
          <cell r="S789">
            <v>6</v>
          </cell>
          <cell r="T789">
            <v>12437591</v>
          </cell>
          <cell r="Y789">
            <v>12</v>
          </cell>
          <cell r="Z789">
            <v>12437591</v>
          </cell>
          <cell r="AA789">
            <v>12</v>
          </cell>
          <cell r="AB789">
            <v>12437591</v>
          </cell>
          <cell r="AC789">
            <v>150</v>
          </cell>
          <cell r="AD789">
            <v>4.5512637534708</v>
          </cell>
        </row>
        <row r="790">
          <cell r="J790" t="str">
            <v>Honor Penerima Barang dan Jasa</v>
          </cell>
          <cell r="K790">
            <v>5</v>
          </cell>
          <cell r="M790">
            <v>0</v>
          </cell>
          <cell r="O790">
            <v>5</v>
          </cell>
          <cell r="Q790">
            <v>3</v>
          </cell>
          <cell r="Y790">
            <v>3</v>
          </cell>
          <cell r="Z790">
            <v>0</v>
          </cell>
          <cell r="AA790">
            <v>3</v>
          </cell>
          <cell r="AB790">
            <v>0</v>
          </cell>
          <cell r="AC790">
            <v>60</v>
          </cell>
        </row>
        <row r="791">
          <cell r="C791">
            <v>1</v>
          </cell>
          <cell r="D791" t="str">
            <v>02</v>
          </cell>
          <cell r="E791" t="str">
            <v>07</v>
          </cell>
          <cell r="F791" t="str">
            <v>01</v>
          </cell>
          <cell r="G791" t="str">
            <v>27</v>
          </cell>
          <cell r="H791" t="str">
            <v>03</v>
          </cell>
          <cell r="I791" t="str">
            <v>Operasional  Balai Penyuluh  Keluarga Berencana ( DAK Non Fisik KB)</v>
          </cell>
          <cell r="J791" t="str">
            <v>beroperasinya balai penyuluh (bln)</v>
          </cell>
          <cell r="K791">
            <v>72</v>
          </cell>
          <cell r="L791">
            <v>22201950000</v>
          </cell>
          <cell r="M791">
            <v>24</v>
          </cell>
          <cell r="N791">
            <v>1499676350</v>
          </cell>
          <cell r="O791">
            <v>12</v>
          </cell>
          <cell r="P791">
            <v>4440390000</v>
          </cell>
          <cell r="Q791">
            <v>30</v>
          </cell>
          <cell r="R791">
            <v>128709132</v>
          </cell>
          <cell r="S791">
            <v>30</v>
          </cell>
          <cell r="T791">
            <v>388888942</v>
          </cell>
          <cell r="V791">
            <v>0</v>
          </cell>
          <cell r="X791">
            <v>0</v>
          </cell>
          <cell r="Y791">
            <v>60</v>
          </cell>
          <cell r="Z791">
            <v>517598074</v>
          </cell>
          <cell r="AA791">
            <v>84</v>
          </cell>
          <cell r="AB791">
            <v>2017274424</v>
          </cell>
          <cell r="AC791">
            <v>116.66666666666667</v>
          </cell>
          <cell r="AD791">
            <v>9.0860236330592574</v>
          </cell>
        </row>
        <row r="792">
          <cell r="A792">
            <v>2</v>
          </cell>
          <cell r="C792">
            <v>1</v>
          </cell>
          <cell r="D792" t="str">
            <v>02</v>
          </cell>
          <cell r="E792" t="str">
            <v>07</v>
          </cell>
          <cell r="F792" t="str">
            <v>01</v>
          </cell>
          <cell r="G792" t="str">
            <v>29</v>
          </cell>
          <cell r="I792" t="str">
            <v>Program Penguatan Kelembagaan</v>
          </cell>
          <cell r="J792" t="str">
            <v>persentase kelembagaan KB yang  telah ada (%)</v>
          </cell>
          <cell r="K792">
            <v>10</v>
          </cell>
          <cell r="L792">
            <v>150483974</v>
          </cell>
          <cell r="M792">
            <v>5</v>
          </cell>
          <cell r="N792">
            <v>0</v>
          </cell>
          <cell r="O792">
            <v>5</v>
          </cell>
          <cell r="P792">
            <v>234161150</v>
          </cell>
          <cell r="Q792">
            <v>0</v>
          </cell>
          <cell r="R792">
            <v>0</v>
          </cell>
          <cell r="T792">
            <v>55597322</v>
          </cell>
          <cell r="Y792">
            <v>0</v>
          </cell>
          <cell r="Z792">
            <v>55597322</v>
          </cell>
          <cell r="AA792">
            <v>5</v>
          </cell>
          <cell r="AB792">
            <v>55597322</v>
          </cell>
          <cell r="AC792">
            <v>50</v>
          </cell>
          <cell r="AD792">
            <v>36.945676354878827</v>
          </cell>
          <cell r="AE792" t="str">
            <v>DPMDPPKB</v>
          </cell>
        </row>
        <row r="793">
          <cell r="C793">
            <v>1</v>
          </cell>
          <cell r="D793" t="str">
            <v>02</v>
          </cell>
          <cell r="E793" t="str">
            <v>07</v>
          </cell>
          <cell r="F793" t="str">
            <v>01</v>
          </cell>
          <cell r="G793" t="str">
            <v>29</v>
          </cell>
          <cell r="H793" t="str">
            <v>02</v>
          </cell>
          <cell r="I793" t="str">
            <v>Membangun jaringan Kemitraan dengan institusi peduliu kependudukan keluarga berencana dan pembangunan keluarga</v>
          </cell>
          <cell r="J793" t="str">
            <v>Pemilihan KB Lestari</v>
          </cell>
          <cell r="K793">
            <v>6</v>
          </cell>
          <cell r="L793">
            <v>150483974</v>
          </cell>
          <cell r="M793">
            <v>2</v>
          </cell>
          <cell r="N793">
            <v>0</v>
          </cell>
          <cell r="O793">
            <v>1</v>
          </cell>
          <cell r="P793">
            <v>234161150</v>
          </cell>
          <cell r="Q793">
            <v>0</v>
          </cell>
          <cell r="R793">
            <v>0</v>
          </cell>
          <cell r="T793">
            <v>55597322</v>
          </cell>
          <cell r="Y793">
            <v>0</v>
          </cell>
          <cell r="Z793">
            <v>55597322</v>
          </cell>
          <cell r="AA793">
            <v>2</v>
          </cell>
          <cell r="AB793">
            <v>55597322</v>
          </cell>
          <cell r="AC793">
            <v>33.333333333333329</v>
          </cell>
          <cell r="AD793">
            <v>36.945676354878827</v>
          </cell>
        </row>
        <row r="794">
          <cell r="J794" t="str">
            <v>Pemilihsn Keluarga Harmonis</v>
          </cell>
          <cell r="K794">
            <v>6</v>
          </cell>
          <cell r="M794">
            <v>2</v>
          </cell>
          <cell r="O794">
            <v>1</v>
          </cell>
          <cell r="Q794">
            <v>0</v>
          </cell>
          <cell r="Y794">
            <v>0</v>
          </cell>
          <cell r="Z794">
            <v>0</v>
          </cell>
          <cell r="AA794">
            <v>2</v>
          </cell>
          <cell r="AB794">
            <v>0</v>
          </cell>
          <cell r="AC794">
            <v>33.333333333333329</v>
          </cell>
        </row>
        <row r="795">
          <cell r="J795" t="str">
            <v>Jambore Saka Kencana</v>
          </cell>
          <cell r="K795">
            <v>6</v>
          </cell>
          <cell r="M795">
            <v>2</v>
          </cell>
          <cell r="O795">
            <v>1</v>
          </cell>
          <cell r="Q795">
            <v>0</v>
          </cell>
          <cell r="Y795">
            <v>0</v>
          </cell>
          <cell r="Z795">
            <v>0</v>
          </cell>
          <cell r="AA795">
            <v>2</v>
          </cell>
          <cell r="AB795">
            <v>0</v>
          </cell>
          <cell r="AC795">
            <v>33.333333333333329</v>
          </cell>
        </row>
        <row r="796">
          <cell r="J796" t="str">
            <v>Perbaikan alat alat kerja kantor</v>
          </cell>
          <cell r="K796">
            <v>6</v>
          </cell>
          <cell r="M796">
            <v>2</v>
          </cell>
          <cell r="O796">
            <v>1</v>
          </cell>
          <cell r="Q796">
            <v>0</v>
          </cell>
          <cell r="S796">
            <v>4</v>
          </cell>
          <cell r="Y796">
            <v>4</v>
          </cell>
          <cell r="Z796">
            <v>0</v>
          </cell>
          <cell r="AA796">
            <v>6</v>
          </cell>
          <cell r="AB796">
            <v>0</v>
          </cell>
          <cell r="AC796">
            <v>100</v>
          </cell>
        </row>
        <row r="797">
          <cell r="A797">
            <v>3</v>
          </cell>
          <cell r="C797">
            <v>1</v>
          </cell>
          <cell r="D797" t="str">
            <v>02</v>
          </cell>
          <cell r="E797" t="str">
            <v>07</v>
          </cell>
          <cell r="F797" t="str">
            <v>01</v>
          </cell>
          <cell r="G797" t="str">
            <v>31</v>
          </cell>
          <cell r="I797" t="str">
            <v>Program Pelayanan Keluarga Berencana</v>
          </cell>
          <cell r="J797" t="str">
            <v>Persentase KB Wanita</v>
          </cell>
          <cell r="K797">
            <v>80</v>
          </cell>
          <cell r="L797">
            <v>1881075000</v>
          </cell>
          <cell r="M797">
            <v>60</v>
          </cell>
          <cell r="N797">
            <v>555510000</v>
          </cell>
          <cell r="O797">
            <v>8</v>
          </cell>
          <cell r="P797">
            <v>203325473</v>
          </cell>
          <cell r="Q797">
            <v>2</v>
          </cell>
          <cell r="R797">
            <v>44676423</v>
          </cell>
          <cell r="T797">
            <v>22350600</v>
          </cell>
          <cell r="Y797">
            <v>2</v>
          </cell>
          <cell r="Z797">
            <v>67027023</v>
          </cell>
          <cell r="AA797">
            <v>62</v>
          </cell>
          <cell r="AB797">
            <v>622537023</v>
          </cell>
          <cell r="AC797">
            <v>77.5</v>
          </cell>
          <cell r="AD797">
            <v>33.09474757784777</v>
          </cell>
          <cell r="AE797" t="str">
            <v>DPMDPPKB</v>
          </cell>
        </row>
        <row r="798">
          <cell r="C798">
            <v>1</v>
          </cell>
          <cell r="D798" t="str">
            <v>02</v>
          </cell>
          <cell r="E798" t="str">
            <v>07</v>
          </cell>
          <cell r="F798" t="str">
            <v>01</v>
          </cell>
          <cell r="G798" t="str">
            <v>31</v>
          </cell>
          <cell r="H798" t="str">
            <v>04</v>
          </cell>
          <cell r="I798" t="str">
            <v>Bhakti KB Kes IBI/IDI/TNI/Bahangkara/PKK dan Jambore</v>
          </cell>
          <cell r="J798" t="str">
            <v>IUD</v>
          </cell>
          <cell r="K798">
            <v>600</v>
          </cell>
          <cell r="L798">
            <v>1881075000</v>
          </cell>
          <cell r="M798">
            <v>367</v>
          </cell>
          <cell r="N798">
            <v>555510000</v>
          </cell>
          <cell r="O798">
            <v>100</v>
          </cell>
          <cell r="P798">
            <v>203325473</v>
          </cell>
          <cell r="Q798">
            <v>89</v>
          </cell>
          <cell r="R798">
            <v>44676423</v>
          </cell>
          <cell r="S798">
            <v>0</v>
          </cell>
          <cell r="T798">
            <v>22350600</v>
          </cell>
          <cell r="Y798">
            <v>89</v>
          </cell>
          <cell r="Z798">
            <v>67027023</v>
          </cell>
          <cell r="AA798">
            <v>456</v>
          </cell>
          <cell r="AB798">
            <v>622537023</v>
          </cell>
          <cell r="AC798">
            <v>76</v>
          </cell>
          <cell r="AD798">
            <v>33.09474757784777</v>
          </cell>
          <cell r="AE798" t="str">
            <v>DPMDPPKB</v>
          </cell>
        </row>
        <row r="799">
          <cell r="J799" t="str">
            <v>MOW</v>
          </cell>
          <cell r="K799">
            <v>300</v>
          </cell>
          <cell r="M799">
            <v>177</v>
          </cell>
          <cell r="O799">
            <v>50</v>
          </cell>
          <cell r="Q799">
            <v>0</v>
          </cell>
          <cell r="Y799">
            <v>0</v>
          </cell>
          <cell r="Z799">
            <v>0</v>
          </cell>
          <cell r="AA799">
            <v>177</v>
          </cell>
          <cell r="AB799">
            <v>0</v>
          </cell>
          <cell r="AC799">
            <v>59</v>
          </cell>
        </row>
        <row r="800">
          <cell r="J800" t="str">
            <v>MOP</v>
          </cell>
          <cell r="K800">
            <v>600</v>
          </cell>
          <cell r="M800">
            <v>290</v>
          </cell>
          <cell r="O800">
            <v>100</v>
          </cell>
          <cell r="Q800">
            <v>0</v>
          </cell>
          <cell r="Y800">
            <v>0</v>
          </cell>
          <cell r="Z800">
            <v>0</v>
          </cell>
          <cell r="AA800">
            <v>290</v>
          </cell>
          <cell r="AB800">
            <v>0</v>
          </cell>
          <cell r="AC800">
            <v>48.333333333333336</v>
          </cell>
        </row>
        <row r="801">
          <cell r="J801" t="str">
            <v>Pencan Bhakti IBI KB</v>
          </cell>
          <cell r="K801">
            <v>6</v>
          </cell>
          <cell r="M801">
            <v>2</v>
          </cell>
          <cell r="O801">
            <v>1</v>
          </cell>
          <cell r="Q801">
            <v>0</v>
          </cell>
          <cell r="Y801">
            <v>0</v>
          </cell>
          <cell r="Z801">
            <v>0</v>
          </cell>
          <cell r="AA801">
            <v>2</v>
          </cell>
          <cell r="AB801">
            <v>0</v>
          </cell>
          <cell r="AC801">
            <v>33.333333333333329</v>
          </cell>
        </row>
        <row r="802">
          <cell r="J802" t="str">
            <v>Pencan Bhakti TNI KB Kes</v>
          </cell>
          <cell r="K802">
            <v>6</v>
          </cell>
          <cell r="M802">
            <v>2</v>
          </cell>
          <cell r="O802">
            <v>1</v>
          </cell>
          <cell r="Q802">
            <v>0</v>
          </cell>
          <cell r="Y802">
            <v>0</v>
          </cell>
          <cell r="Z802">
            <v>0</v>
          </cell>
          <cell r="AA802">
            <v>2</v>
          </cell>
          <cell r="AB802">
            <v>0</v>
          </cell>
          <cell r="AC802">
            <v>33.333333333333329</v>
          </cell>
        </row>
        <row r="803">
          <cell r="J803" t="str">
            <v>Pencan Bhakti PKK KB Kes</v>
          </cell>
          <cell r="K803">
            <v>6</v>
          </cell>
          <cell r="M803">
            <v>2</v>
          </cell>
          <cell r="O803">
            <v>1</v>
          </cell>
          <cell r="Q803">
            <v>0</v>
          </cell>
          <cell r="Y803">
            <v>0</v>
          </cell>
          <cell r="Z803">
            <v>0</v>
          </cell>
          <cell r="AA803">
            <v>2</v>
          </cell>
          <cell r="AB803">
            <v>0</v>
          </cell>
          <cell r="AC803">
            <v>33.333333333333329</v>
          </cell>
        </row>
        <row r="804">
          <cell r="I804" t="str">
            <v>Program Pengembangan Pemasaran Pariwisata</v>
          </cell>
          <cell r="K804">
            <v>6</v>
          </cell>
          <cell r="L804">
            <v>250000000</v>
          </cell>
          <cell r="M804">
            <v>2</v>
          </cell>
          <cell r="N804">
            <v>15736500</v>
          </cell>
          <cell r="O804">
            <v>1</v>
          </cell>
          <cell r="P804">
            <v>36230500</v>
          </cell>
          <cell r="Q804">
            <v>0</v>
          </cell>
          <cell r="S804">
            <v>1</v>
          </cell>
          <cell r="T804">
            <v>36230500</v>
          </cell>
          <cell r="Y804">
            <v>1</v>
          </cell>
          <cell r="Z804">
            <v>36230500</v>
          </cell>
          <cell r="AA804">
            <v>3</v>
          </cell>
          <cell r="AB804">
            <v>31034000</v>
          </cell>
          <cell r="AC804">
            <v>50</v>
          </cell>
          <cell r="AD804">
            <v>12.413599999999999</v>
          </cell>
        </row>
        <row r="805">
          <cell r="I805" t="str">
            <v>Pelaksanaan Pestival Langkisau</v>
          </cell>
          <cell r="K805">
            <v>6</v>
          </cell>
          <cell r="L805">
            <v>250000000</v>
          </cell>
          <cell r="M805">
            <v>2</v>
          </cell>
          <cell r="N805">
            <v>15736500</v>
          </cell>
          <cell r="O805">
            <v>1</v>
          </cell>
          <cell r="P805">
            <v>36230500</v>
          </cell>
          <cell r="Q805">
            <v>0</v>
          </cell>
          <cell r="S805">
            <v>1</v>
          </cell>
          <cell r="T805">
            <v>36230500</v>
          </cell>
          <cell r="Y805">
            <v>1</v>
          </cell>
          <cell r="Z805">
            <v>36230500</v>
          </cell>
        </row>
        <row r="806">
          <cell r="A806" t="str">
            <v>Rata-Rata Capaian Kinerja</v>
          </cell>
          <cell r="AC806">
            <v>72.916666666666671</v>
          </cell>
          <cell r="AD806">
            <v>29.180163231095705</v>
          </cell>
        </row>
        <row r="807">
          <cell r="A807" t="str">
            <v>Peringkat  Kinerja</v>
          </cell>
          <cell r="AC807" t="str">
            <v>S</v>
          </cell>
          <cell r="AD807" t="str">
            <v>SR</v>
          </cell>
        </row>
        <row r="808">
          <cell r="A808" t="str">
            <v>IX</v>
          </cell>
          <cell r="I808" t="str">
            <v>URUSAN PERHUBUNGAN</v>
          </cell>
          <cell r="L808">
            <v>98868052947</v>
          </cell>
          <cell r="N808">
            <v>9764918181</v>
          </cell>
          <cell r="P808">
            <v>18749623569</v>
          </cell>
          <cell r="R808">
            <v>615788349</v>
          </cell>
          <cell r="T808">
            <v>3712183067</v>
          </cell>
          <cell r="Z808">
            <v>4327971416</v>
          </cell>
          <cell r="AB808">
            <v>11787823824</v>
          </cell>
        </row>
        <row r="809">
          <cell r="A809">
            <v>1</v>
          </cell>
          <cell r="C809" t="str">
            <v>1</v>
          </cell>
          <cell r="D809" t="str">
            <v>02</v>
          </cell>
          <cell r="E809" t="str">
            <v>01</v>
          </cell>
          <cell r="I809" t="str">
            <v>Program Pelayanan Administrasi Perkantoran</v>
          </cell>
          <cell r="J809" t="str">
            <v>Terpnuhinya pelayanan administrasi perkantoran (bln)</v>
          </cell>
          <cell r="K809">
            <v>72</v>
          </cell>
          <cell r="L809">
            <v>7806354500</v>
          </cell>
          <cell r="M809">
            <v>24</v>
          </cell>
          <cell r="N809">
            <v>1906560189</v>
          </cell>
          <cell r="O809">
            <v>12</v>
          </cell>
          <cell r="P809">
            <v>736373855</v>
          </cell>
          <cell r="Q809">
            <v>3</v>
          </cell>
          <cell r="R809">
            <v>102846107</v>
          </cell>
          <cell r="S809">
            <v>50</v>
          </cell>
          <cell r="T809">
            <v>92598134</v>
          </cell>
          <cell r="Y809">
            <v>53</v>
          </cell>
          <cell r="Z809">
            <v>195444241</v>
          </cell>
          <cell r="AA809">
            <v>77</v>
          </cell>
          <cell r="AB809">
            <v>2102004430</v>
          </cell>
          <cell r="AC809">
            <v>106.94444444444444</v>
          </cell>
          <cell r="AD809">
            <v>26.926838001015714</v>
          </cell>
          <cell r="AE809" t="str">
            <v>Dinas Perhubungan</v>
          </cell>
        </row>
        <row r="810">
          <cell r="C810" t="str">
            <v>1</v>
          </cell>
          <cell r="D810" t="str">
            <v>02</v>
          </cell>
          <cell r="E810" t="str">
            <v>01</v>
          </cell>
          <cell r="F810" t="str">
            <v>02</v>
          </cell>
          <cell r="I810" t="str">
            <v>Penyediaan jasa komunikasi, sumber daya air dan listrik</v>
          </cell>
          <cell r="J810" t="str">
            <v>Tersedianya listrik, air dan telfon (bln)</v>
          </cell>
          <cell r="K810">
            <v>72</v>
          </cell>
          <cell r="L810">
            <v>458693000</v>
          </cell>
          <cell r="M810">
            <v>24</v>
          </cell>
          <cell r="N810">
            <v>125548679</v>
          </cell>
          <cell r="O810">
            <v>12</v>
          </cell>
          <cell r="P810">
            <v>80400000</v>
          </cell>
          <cell r="Q810">
            <v>3</v>
          </cell>
          <cell r="R810">
            <v>7630299</v>
          </cell>
          <cell r="S810">
            <v>50</v>
          </cell>
          <cell r="T810">
            <v>11266944</v>
          </cell>
          <cell r="Y810">
            <v>53</v>
          </cell>
          <cell r="Z810">
            <v>18897243</v>
          </cell>
          <cell r="AA810">
            <v>77</v>
          </cell>
          <cell r="AB810">
            <v>144445922</v>
          </cell>
          <cell r="AC810">
            <v>106.94444444444444</v>
          </cell>
          <cell r="AD810">
            <v>31.490762230947496</v>
          </cell>
        </row>
        <row r="811">
          <cell r="C811" t="str">
            <v>1</v>
          </cell>
          <cell r="D811" t="str">
            <v>02</v>
          </cell>
          <cell r="E811" t="str">
            <v>01</v>
          </cell>
          <cell r="F811" t="str">
            <v>03</v>
          </cell>
          <cell r="I811" t="str">
            <v>Penyediaan peralatan dan perlengkapan kantor</v>
          </cell>
          <cell r="J811" t="str">
            <v>tersedianya peralatan dan perlengkapan kantor (bln)</v>
          </cell>
          <cell r="K811">
            <v>72</v>
          </cell>
          <cell r="L811">
            <v>1307900000</v>
          </cell>
          <cell r="M811">
            <v>24</v>
          </cell>
          <cell r="N811">
            <v>463960000</v>
          </cell>
          <cell r="O811">
            <v>12</v>
          </cell>
          <cell r="P811">
            <v>44822025</v>
          </cell>
          <cell r="Q811">
            <v>3</v>
          </cell>
          <cell r="S811">
            <v>50</v>
          </cell>
          <cell r="T811">
            <v>11000000</v>
          </cell>
          <cell r="Y811">
            <v>53</v>
          </cell>
          <cell r="Z811">
            <v>11000000</v>
          </cell>
          <cell r="AA811">
            <v>77</v>
          </cell>
          <cell r="AB811">
            <v>474960000</v>
          </cell>
          <cell r="AC811">
            <v>106.94444444444444</v>
          </cell>
          <cell r="AD811">
            <v>36.314702958941815</v>
          </cell>
        </row>
        <row r="812">
          <cell r="C812" t="str">
            <v>1</v>
          </cell>
          <cell r="D812" t="str">
            <v>02</v>
          </cell>
          <cell r="E812" t="str">
            <v>01</v>
          </cell>
          <cell r="F812" t="str">
            <v>07</v>
          </cell>
          <cell r="I812" t="str">
            <v>Penyediaan jasa administrasi keuangan</v>
          </cell>
          <cell r="J812" t="str">
            <v>Terselenggaranya jasa administrasi keuangan (bln)</v>
          </cell>
          <cell r="K812">
            <v>72</v>
          </cell>
          <cell r="L812">
            <v>390400000</v>
          </cell>
          <cell r="M812">
            <v>24</v>
          </cell>
          <cell r="N812">
            <v>125137000</v>
          </cell>
          <cell r="O812">
            <v>12</v>
          </cell>
          <cell r="P812">
            <v>119100000</v>
          </cell>
          <cell r="Q812">
            <v>3</v>
          </cell>
          <cell r="R812">
            <v>18600000</v>
          </cell>
          <cell r="S812">
            <v>50</v>
          </cell>
          <cell r="T812">
            <v>28495000</v>
          </cell>
          <cell r="Y812">
            <v>53</v>
          </cell>
          <cell r="Z812">
            <v>47095000</v>
          </cell>
          <cell r="AA812">
            <v>77</v>
          </cell>
          <cell r="AB812">
            <v>172232000</v>
          </cell>
          <cell r="AC812">
            <v>106.94444444444444</v>
          </cell>
          <cell r="AD812">
            <v>44.116803278688529</v>
          </cell>
        </row>
        <row r="813">
          <cell r="C813" t="str">
            <v>1</v>
          </cell>
          <cell r="D813" t="str">
            <v>02</v>
          </cell>
          <cell r="E813" t="str">
            <v>01</v>
          </cell>
          <cell r="F813" t="str">
            <v>08</v>
          </cell>
          <cell r="I813" t="str">
            <v>Penyediaan jasa kebersihan kantor</v>
          </cell>
          <cell r="J813" t="str">
            <v>Terselenggaranya jasa kebersihan kantor (bln)</v>
          </cell>
          <cell r="K813">
            <v>72</v>
          </cell>
          <cell r="L813">
            <v>276581000</v>
          </cell>
          <cell r="M813">
            <v>24</v>
          </cell>
          <cell r="N813">
            <v>65014000</v>
          </cell>
          <cell r="O813">
            <v>12</v>
          </cell>
          <cell r="P813">
            <v>17712500</v>
          </cell>
          <cell r="Q813">
            <v>3</v>
          </cell>
          <cell r="R813">
            <v>2708000</v>
          </cell>
          <cell r="S813">
            <v>50</v>
          </cell>
          <cell r="T813">
            <v>4000000</v>
          </cell>
          <cell r="Y813">
            <v>53</v>
          </cell>
          <cell r="Z813">
            <v>6708000</v>
          </cell>
          <cell r="AA813">
            <v>77</v>
          </cell>
          <cell r="AB813">
            <v>71722000</v>
          </cell>
          <cell r="AC813">
            <v>106.94444444444444</v>
          </cell>
          <cell r="AD813">
            <v>25.9316438945553</v>
          </cell>
        </row>
        <row r="814">
          <cell r="C814" t="str">
            <v>1</v>
          </cell>
          <cell r="D814" t="str">
            <v>02</v>
          </cell>
          <cell r="E814" t="str">
            <v>01</v>
          </cell>
          <cell r="F814" t="str">
            <v>09</v>
          </cell>
          <cell r="I814" t="str">
            <v>Penyediaan jasa perbaikan peralatan kerja</v>
          </cell>
          <cell r="J814" t="str">
            <v>Terselenggaranya perbaikan peralatan kerja (bln)</v>
          </cell>
          <cell r="K814">
            <v>72</v>
          </cell>
          <cell r="L814">
            <v>1307900000</v>
          </cell>
          <cell r="M814">
            <v>24</v>
          </cell>
          <cell r="N814">
            <v>30970500</v>
          </cell>
          <cell r="O814">
            <v>12</v>
          </cell>
          <cell r="P814">
            <v>21880000</v>
          </cell>
          <cell r="Q814">
            <v>3</v>
          </cell>
          <cell r="S814">
            <v>50</v>
          </cell>
          <cell r="T814">
            <v>0</v>
          </cell>
          <cell r="Y814">
            <v>53</v>
          </cell>
          <cell r="Z814">
            <v>0</v>
          </cell>
          <cell r="AA814">
            <v>77</v>
          </cell>
          <cell r="AB814">
            <v>30970500</v>
          </cell>
          <cell r="AC814">
            <v>106.94444444444444</v>
          </cell>
          <cell r="AD814">
            <v>2.3679562657695543</v>
          </cell>
        </row>
        <row r="815">
          <cell r="C815" t="str">
            <v>1</v>
          </cell>
          <cell r="D815" t="str">
            <v>02</v>
          </cell>
          <cell r="E815" t="str">
            <v>01</v>
          </cell>
          <cell r="F815" t="str">
            <v>10</v>
          </cell>
          <cell r="I815" t="str">
            <v>Penyediaan Alat Tulis Kantor</v>
          </cell>
          <cell r="J815" t="str">
            <v>Tersedianya alat tulis kantor (bln)</v>
          </cell>
          <cell r="K815">
            <v>72</v>
          </cell>
          <cell r="L815">
            <v>249965100</v>
          </cell>
          <cell r="M815">
            <v>24</v>
          </cell>
          <cell r="N815">
            <v>77185030</v>
          </cell>
          <cell r="O815">
            <v>12</v>
          </cell>
          <cell r="P815">
            <v>34097870</v>
          </cell>
          <cell r="Q815">
            <v>3</v>
          </cell>
          <cell r="R815">
            <v>3724500</v>
          </cell>
          <cell r="S815">
            <v>50</v>
          </cell>
          <cell r="T815">
            <v>2608190</v>
          </cell>
          <cell r="Y815">
            <v>53</v>
          </cell>
          <cell r="Z815">
            <v>6332690</v>
          </cell>
          <cell r="AA815">
            <v>77</v>
          </cell>
          <cell r="AB815">
            <v>83517720</v>
          </cell>
          <cell r="AC815">
            <v>106.94444444444444</v>
          </cell>
          <cell r="AD815">
            <v>33.411752280618373</v>
          </cell>
        </row>
        <row r="816">
          <cell r="C816" t="str">
            <v>1</v>
          </cell>
          <cell r="D816" t="str">
            <v>02</v>
          </cell>
          <cell r="E816" t="str">
            <v>01</v>
          </cell>
          <cell r="F816" t="str">
            <v>11</v>
          </cell>
          <cell r="I816" t="str">
            <v>Penyediaan barang cetakan dan penggandaan</v>
          </cell>
          <cell r="J816" t="str">
            <v>Tersedianya barang cetakan dan penggandaan (bln)</v>
          </cell>
          <cell r="K816">
            <v>72</v>
          </cell>
          <cell r="L816">
            <v>515573400</v>
          </cell>
          <cell r="M816">
            <v>24</v>
          </cell>
          <cell r="N816">
            <v>142130320</v>
          </cell>
          <cell r="O816">
            <v>12</v>
          </cell>
          <cell r="P816">
            <v>30550600</v>
          </cell>
          <cell r="Q816">
            <v>3</v>
          </cell>
          <cell r="R816">
            <v>2780000</v>
          </cell>
          <cell r="S816">
            <v>50</v>
          </cell>
          <cell r="T816">
            <v>2780000</v>
          </cell>
          <cell r="Y816">
            <v>53</v>
          </cell>
          <cell r="Z816">
            <v>5560000</v>
          </cell>
          <cell r="AA816">
            <v>77</v>
          </cell>
          <cell r="AB816">
            <v>147690320</v>
          </cell>
          <cell r="AC816">
            <v>106.94444444444444</v>
          </cell>
          <cell r="AD816">
            <v>28.645837818630675</v>
          </cell>
        </row>
        <row r="817">
          <cell r="C817" t="str">
            <v>1</v>
          </cell>
          <cell r="D817" t="str">
            <v>02</v>
          </cell>
          <cell r="E817" t="str">
            <v>01</v>
          </cell>
          <cell r="F817" t="str">
            <v>12</v>
          </cell>
          <cell r="I817" t="str">
            <v>Penyediaan komponen instalasi listrik/penerangan bangunan kantor</v>
          </cell>
          <cell r="J817" t="str">
            <v>Tersedianya peralatan penerangan (bln)</v>
          </cell>
          <cell r="K817">
            <v>72</v>
          </cell>
          <cell r="L817">
            <v>63682000</v>
          </cell>
          <cell r="M817">
            <v>24</v>
          </cell>
          <cell r="N817">
            <v>17707000</v>
          </cell>
          <cell r="O817">
            <v>12</v>
          </cell>
          <cell r="P817">
            <v>17079910</v>
          </cell>
          <cell r="Q817">
            <v>3</v>
          </cell>
          <cell r="R817">
            <v>692238</v>
          </cell>
          <cell r="S817">
            <v>50</v>
          </cell>
          <cell r="T817">
            <v>0</v>
          </cell>
          <cell r="Y817">
            <v>53</v>
          </cell>
          <cell r="Z817">
            <v>692238</v>
          </cell>
          <cell r="AA817">
            <v>77</v>
          </cell>
          <cell r="AB817">
            <v>18399238</v>
          </cell>
          <cell r="AC817">
            <v>106.94444444444444</v>
          </cell>
          <cell r="AD817">
            <v>28.892368330140382</v>
          </cell>
        </row>
        <row r="818">
          <cell r="C818" t="str">
            <v>1</v>
          </cell>
          <cell r="D818" t="str">
            <v>02</v>
          </cell>
          <cell r="E818" t="str">
            <v>01</v>
          </cell>
          <cell r="F818" t="str">
            <v>15</v>
          </cell>
          <cell r="I818" t="str">
            <v>Penyediaan bahan bacaan dan peraturan perundang-undangan</v>
          </cell>
          <cell r="J818" t="str">
            <v>Tersediaan bahan bacaan dan peraturan perundang- undangan (bln)</v>
          </cell>
          <cell r="K818">
            <v>72</v>
          </cell>
          <cell r="L818">
            <v>122400000</v>
          </cell>
          <cell r="M818">
            <v>24</v>
          </cell>
          <cell r="N818">
            <v>35800000</v>
          </cell>
          <cell r="O818">
            <v>12</v>
          </cell>
          <cell r="P818">
            <v>14500000</v>
          </cell>
          <cell r="Q818">
            <v>3</v>
          </cell>
          <cell r="R818">
            <v>720000</v>
          </cell>
          <cell r="S818">
            <v>50</v>
          </cell>
          <cell r="T818">
            <v>4500000</v>
          </cell>
          <cell r="Y818">
            <v>53</v>
          </cell>
          <cell r="Z818">
            <v>5220000</v>
          </cell>
          <cell r="AA818">
            <v>77</v>
          </cell>
          <cell r="AB818">
            <v>41020000</v>
          </cell>
          <cell r="AC818">
            <v>106.94444444444444</v>
          </cell>
          <cell r="AD818">
            <v>33.513071895424837</v>
          </cell>
        </row>
        <row r="819">
          <cell r="C819" t="str">
            <v>1</v>
          </cell>
          <cell r="D819" t="str">
            <v>02</v>
          </cell>
          <cell r="E819" t="str">
            <v>01</v>
          </cell>
          <cell r="F819" t="str">
            <v>17</v>
          </cell>
          <cell r="I819" t="str">
            <v>Penyediaan makanan dan minuman</v>
          </cell>
          <cell r="J819" t="str">
            <v>Tersedianya makanan dan minuman (bln)</v>
          </cell>
          <cell r="K819">
            <v>72</v>
          </cell>
          <cell r="L819">
            <v>202150000</v>
          </cell>
          <cell r="M819">
            <v>24</v>
          </cell>
          <cell r="N819">
            <v>45797500</v>
          </cell>
          <cell r="O819">
            <v>12</v>
          </cell>
          <cell r="P819">
            <v>49850000</v>
          </cell>
          <cell r="Q819">
            <v>3</v>
          </cell>
          <cell r="R819">
            <v>4930200</v>
          </cell>
          <cell r="S819">
            <v>50</v>
          </cell>
          <cell r="T819">
            <v>2750000</v>
          </cell>
          <cell r="Y819">
            <v>53</v>
          </cell>
          <cell r="Z819">
            <v>7680200</v>
          </cell>
          <cell r="AA819">
            <v>77</v>
          </cell>
          <cell r="AB819">
            <v>53477700</v>
          </cell>
          <cell r="AC819">
            <v>106.94444444444444</v>
          </cell>
          <cell r="AD819">
            <v>26.454464506554537</v>
          </cell>
        </row>
        <row r="820">
          <cell r="C820" t="str">
            <v>1</v>
          </cell>
          <cell r="D820" t="str">
            <v>02</v>
          </cell>
          <cell r="E820" t="str">
            <v>01</v>
          </cell>
          <cell r="F820" t="str">
            <v>18</v>
          </cell>
          <cell r="I820" t="str">
            <v>Rapat-rapat kordinasi dan konsultasi ke luar daerah</v>
          </cell>
          <cell r="J820" t="str">
            <v>Terpenuhi perjalanan dinas untuk rapat-rapat ke luar daerah (bln)</v>
          </cell>
          <cell r="K820">
            <v>72</v>
          </cell>
          <cell r="L820">
            <v>1419650000</v>
          </cell>
          <cell r="M820">
            <v>24</v>
          </cell>
          <cell r="N820">
            <v>344217400</v>
          </cell>
          <cell r="O820">
            <v>12</v>
          </cell>
          <cell r="P820">
            <v>115350000</v>
          </cell>
          <cell r="Q820">
            <v>3</v>
          </cell>
          <cell r="R820">
            <v>38328200</v>
          </cell>
          <cell r="S820">
            <v>50</v>
          </cell>
          <cell r="T820">
            <v>14023000</v>
          </cell>
          <cell r="Y820">
            <v>53</v>
          </cell>
          <cell r="Z820">
            <v>52351200</v>
          </cell>
          <cell r="AA820">
            <v>77</v>
          </cell>
          <cell r="AB820">
            <v>396568600</v>
          </cell>
          <cell r="AC820">
            <v>106.94444444444444</v>
          </cell>
          <cell r="AD820">
            <v>27.934251399992956</v>
          </cell>
        </row>
        <row r="821">
          <cell r="C821" t="str">
            <v>1</v>
          </cell>
          <cell r="D821" t="str">
            <v>02</v>
          </cell>
          <cell r="E821" t="str">
            <v>01</v>
          </cell>
          <cell r="F821" t="str">
            <v>20</v>
          </cell>
          <cell r="I821" t="str">
            <v>Rapat-rapat Koordinasi dan Konsultasi Dalam Daerah</v>
          </cell>
          <cell r="J821" t="str">
            <v>Terpenuhi perjalanan dinas untuk rapat-rapat dalam daerah (bln)</v>
          </cell>
          <cell r="K821">
            <v>72</v>
          </cell>
          <cell r="L821">
            <v>1062200000</v>
          </cell>
          <cell r="M821">
            <v>24</v>
          </cell>
          <cell r="N821">
            <v>316250000</v>
          </cell>
          <cell r="O821">
            <v>12</v>
          </cell>
          <cell r="P821">
            <v>63900000</v>
          </cell>
          <cell r="Q821">
            <v>3</v>
          </cell>
          <cell r="R821">
            <v>9500000</v>
          </cell>
          <cell r="S821">
            <v>50</v>
          </cell>
          <cell r="T821">
            <v>7175000</v>
          </cell>
          <cell r="Y821">
            <v>53</v>
          </cell>
          <cell r="Z821">
            <v>16675000</v>
          </cell>
          <cell r="AA821">
            <v>77</v>
          </cell>
          <cell r="AB821">
            <v>332925000</v>
          </cell>
          <cell r="AC821">
            <v>106.94444444444444</v>
          </cell>
          <cell r="AD821">
            <v>31.342967426096781</v>
          </cell>
        </row>
        <row r="822">
          <cell r="C822" t="str">
            <v>1</v>
          </cell>
          <cell r="D822" t="str">
            <v>02</v>
          </cell>
          <cell r="E822" t="str">
            <v>01</v>
          </cell>
          <cell r="F822" t="str">
            <v>22</v>
          </cell>
          <cell r="I822" t="str">
            <v>Penunjang operasional perencanaan dan pelaporan</v>
          </cell>
          <cell r="J822" t="str">
            <v>Terselenggarannya Jfungsi perencanaan dan pelaporan (bln)</v>
          </cell>
          <cell r="K822">
            <v>72</v>
          </cell>
          <cell r="L822">
            <v>351260000</v>
          </cell>
          <cell r="M822">
            <v>24</v>
          </cell>
          <cell r="N822">
            <v>90842760</v>
          </cell>
          <cell r="O822">
            <v>12</v>
          </cell>
          <cell r="P822">
            <v>114130950</v>
          </cell>
          <cell r="Q822">
            <v>3</v>
          </cell>
          <cell r="R822">
            <v>11232670</v>
          </cell>
          <cell r="S822">
            <v>50</v>
          </cell>
          <cell r="T822">
            <v>0</v>
          </cell>
          <cell r="Y822">
            <v>53</v>
          </cell>
          <cell r="Z822">
            <v>11232670</v>
          </cell>
          <cell r="AA822">
            <v>77</v>
          </cell>
          <cell r="AB822">
            <v>102075430</v>
          </cell>
          <cell r="AC822">
            <v>106.94444444444444</v>
          </cell>
          <cell r="AD822">
            <v>29.059793315492797</v>
          </cell>
        </row>
        <row r="823">
          <cell r="C823" t="str">
            <v>1</v>
          </cell>
          <cell r="D823" t="str">
            <v>02</v>
          </cell>
          <cell r="E823" t="str">
            <v>01</v>
          </cell>
          <cell r="F823" t="str">
            <v>27</v>
          </cell>
          <cell r="I823" t="str">
            <v>Penyediaan Jasa Tenaga Kerja Non PNS</v>
          </cell>
          <cell r="J823" t="str">
            <v>Tersedianya layanan jasa tenaga kerja non PNS (bln)</v>
          </cell>
          <cell r="K823">
            <v>72</v>
          </cell>
          <cell r="L823">
            <v>78000000</v>
          </cell>
          <cell r="M823">
            <v>24</v>
          </cell>
          <cell r="N823">
            <v>26000000</v>
          </cell>
          <cell r="O823">
            <v>12</v>
          </cell>
          <cell r="P823">
            <v>13000000</v>
          </cell>
          <cell r="Q823">
            <v>3</v>
          </cell>
          <cell r="R823">
            <v>2000000</v>
          </cell>
          <cell r="S823">
            <v>50</v>
          </cell>
          <cell r="T823">
            <v>4000000</v>
          </cell>
          <cell r="Y823">
            <v>53</v>
          </cell>
          <cell r="Z823">
            <v>6000000</v>
          </cell>
          <cell r="AA823">
            <v>77</v>
          </cell>
          <cell r="AB823">
            <v>32000000</v>
          </cell>
          <cell r="AC823">
            <v>106.94444444444444</v>
          </cell>
          <cell r="AD823">
            <v>41.025641025641022</v>
          </cell>
        </row>
        <row r="824">
          <cell r="A824">
            <v>2</v>
          </cell>
          <cell r="C824" t="str">
            <v>1</v>
          </cell>
          <cell r="D824" t="str">
            <v>02</v>
          </cell>
          <cell r="E824" t="str">
            <v>02</v>
          </cell>
          <cell r="I824" t="str">
            <v>Program Peningkatan Sarana dan Prasarana Aparatur</v>
          </cell>
          <cell r="J824" t="str">
            <v>Persentase peningkatan sarana dan prasarana aparatur</v>
          </cell>
          <cell r="K824">
            <v>100</v>
          </cell>
          <cell r="L824">
            <v>2954809000</v>
          </cell>
          <cell r="M824">
            <v>40</v>
          </cell>
          <cell r="N824">
            <v>1139091550</v>
          </cell>
          <cell r="O824">
            <v>20</v>
          </cell>
          <cell r="P824">
            <v>493262539</v>
          </cell>
          <cell r="Q824">
            <v>5</v>
          </cell>
          <cell r="R824">
            <v>62195962</v>
          </cell>
          <cell r="S824">
            <v>33.333333333333336</v>
          </cell>
          <cell r="T824">
            <v>53698077</v>
          </cell>
          <cell r="Y824">
            <v>38.333333333333336</v>
          </cell>
          <cell r="Z824">
            <v>115894039</v>
          </cell>
          <cell r="AA824">
            <v>78.333333333333343</v>
          </cell>
          <cell r="AB824">
            <v>1254985589</v>
          </cell>
          <cell r="AC824">
            <v>78.333333333333343</v>
          </cell>
          <cell r="AD824">
            <v>42.472646759909018</v>
          </cell>
          <cell r="AE824" t="str">
            <v>Dinas Perhubungan</v>
          </cell>
        </row>
        <row r="825">
          <cell r="C825" t="str">
            <v>1</v>
          </cell>
          <cell r="D825" t="str">
            <v>02</v>
          </cell>
          <cell r="E825" t="str">
            <v>02</v>
          </cell>
          <cell r="F825" t="str">
            <v>05</v>
          </cell>
          <cell r="I825" t="str">
            <v>Pengadaan meubiler</v>
          </cell>
          <cell r="J825" t="str">
            <v>Jumlah pengadaan kendaraan dinas/ operasional</v>
          </cell>
          <cell r="K825">
            <v>4</v>
          </cell>
          <cell r="L825">
            <v>800000000</v>
          </cell>
          <cell r="M825">
            <v>0</v>
          </cell>
          <cell r="N825">
            <v>532871100</v>
          </cell>
          <cell r="O825">
            <v>1</v>
          </cell>
          <cell r="P825">
            <v>56357539</v>
          </cell>
          <cell r="Q825">
            <v>0</v>
          </cell>
          <cell r="S825">
            <v>0</v>
          </cell>
          <cell r="T825">
            <v>0</v>
          </cell>
          <cell r="Y825">
            <v>0</v>
          </cell>
          <cell r="Z825">
            <v>0</v>
          </cell>
          <cell r="AA825">
            <v>0</v>
          </cell>
          <cell r="AB825">
            <v>532871100</v>
          </cell>
          <cell r="AC825">
            <v>0</v>
          </cell>
          <cell r="AD825">
            <v>66.608887500000009</v>
          </cell>
        </row>
        <row r="826">
          <cell r="C826" t="str">
            <v>1</v>
          </cell>
          <cell r="D826" t="str">
            <v>02</v>
          </cell>
          <cell r="E826" t="str">
            <v>02</v>
          </cell>
          <cell r="F826" t="str">
            <v>22</v>
          </cell>
          <cell r="I826" t="str">
            <v>pemeliharaan rutin/ berkala gedung kantor</v>
          </cell>
          <cell r="J826" t="str">
            <v>Jumlah pemeliharaan rutin/ berkala gedung kantor</v>
          </cell>
          <cell r="K826">
            <v>72</v>
          </cell>
          <cell r="L826">
            <v>508500000</v>
          </cell>
          <cell r="M826">
            <v>24</v>
          </cell>
          <cell r="N826">
            <v>167250000</v>
          </cell>
          <cell r="O826">
            <v>12</v>
          </cell>
          <cell r="P826">
            <v>83600000</v>
          </cell>
          <cell r="Q826">
            <v>3</v>
          </cell>
          <cell r="R826">
            <v>4000000</v>
          </cell>
          <cell r="S826">
            <v>50</v>
          </cell>
          <cell r="T826">
            <v>22993527</v>
          </cell>
          <cell r="Y826">
            <v>53</v>
          </cell>
          <cell r="Z826">
            <v>26993527</v>
          </cell>
          <cell r="AA826">
            <v>77</v>
          </cell>
          <cell r="AB826">
            <v>194243527</v>
          </cell>
          <cell r="AC826">
            <v>106.94444444444444</v>
          </cell>
          <cell r="AD826">
            <v>38.199317010816124</v>
          </cell>
        </row>
        <row r="827">
          <cell r="C827" t="str">
            <v>1</v>
          </cell>
          <cell r="D827" t="str">
            <v>02</v>
          </cell>
          <cell r="E827" t="str">
            <v>02</v>
          </cell>
          <cell r="F827" t="str">
            <v>24</v>
          </cell>
          <cell r="I827" t="str">
            <v>pemeliharaan rutin/ berkala kendaraan dinas/ operasional</v>
          </cell>
          <cell r="J827" t="str">
            <v>Tersedianya pemeliharaan dan BBM kendaraan dinas/ operasional (bln)</v>
          </cell>
          <cell r="K827">
            <v>72</v>
          </cell>
          <cell r="L827">
            <v>1646309000</v>
          </cell>
          <cell r="M827">
            <v>24</v>
          </cell>
          <cell r="N827">
            <v>438970450</v>
          </cell>
          <cell r="O827">
            <v>12</v>
          </cell>
          <cell r="P827">
            <v>353305000</v>
          </cell>
          <cell r="Q827">
            <v>3</v>
          </cell>
          <cell r="R827">
            <v>58195962</v>
          </cell>
          <cell r="S827">
            <v>50</v>
          </cell>
          <cell r="T827">
            <v>30704550</v>
          </cell>
          <cell r="Y827">
            <v>53</v>
          </cell>
          <cell r="Z827">
            <v>88900512</v>
          </cell>
          <cell r="AA827">
            <v>77</v>
          </cell>
          <cell r="AB827">
            <v>527870962</v>
          </cell>
          <cell r="AC827">
            <v>106.94444444444444</v>
          </cell>
          <cell r="AD827">
            <v>32.063905500121784</v>
          </cell>
        </row>
        <row r="828">
          <cell r="A828">
            <v>3</v>
          </cell>
          <cell r="C828">
            <v>1</v>
          </cell>
          <cell r="D828" t="str">
            <v>02</v>
          </cell>
          <cell r="E828" t="str">
            <v>06</v>
          </cell>
          <cell r="I828" t="str">
            <v>Program Peningkatan Pengembangan Sistem Pelaporan Capaian Kinerja dan Keuangan</v>
          </cell>
          <cell r="J828" t="str">
            <v>tingkat pelayanan pelaporan (bulan)</v>
          </cell>
          <cell r="K828">
            <v>24</v>
          </cell>
          <cell r="L828">
            <v>507707790</v>
          </cell>
          <cell r="M828">
            <v>8</v>
          </cell>
          <cell r="N828">
            <v>165442416</v>
          </cell>
          <cell r="O828">
            <v>4</v>
          </cell>
          <cell r="P828">
            <v>131239036</v>
          </cell>
          <cell r="Q828">
            <v>3</v>
          </cell>
          <cell r="R828">
            <v>6732760</v>
          </cell>
          <cell r="S828">
            <v>1</v>
          </cell>
          <cell r="T828">
            <v>15175000</v>
          </cell>
          <cell r="Y828">
            <v>4</v>
          </cell>
          <cell r="Z828">
            <v>21907760</v>
          </cell>
          <cell r="AA828">
            <v>12</v>
          </cell>
          <cell r="AB828">
            <v>187350176</v>
          </cell>
          <cell r="AC828">
            <v>50</v>
          </cell>
          <cell r="AD828">
            <v>36.901182075618735</v>
          </cell>
          <cell r="AE828" t="str">
            <v>Dinas Perhubungan</v>
          </cell>
        </row>
        <row r="829">
          <cell r="C829">
            <v>1</v>
          </cell>
          <cell r="D829" t="str">
            <v>02</v>
          </cell>
          <cell r="E829" t="str">
            <v>06</v>
          </cell>
          <cell r="F829" t="str">
            <v>07</v>
          </cell>
          <cell r="I829" t="str">
            <v>Monitoring dan Evaluasi Kegiatan</v>
          </cell>
          <cell r="J829" t="str">
            <v>Laporan triwulan hasil monev kegiatan (bln)</v>
          </cell>
          <cell r="K829">
            <v>24</v>
          </cell>
          <cell r="L829">
            <v>507707790</v>
          </cell>
          <cell r="M829">
            <v>8</v>
          </cell>
          <cell r="N829">
            <v>165442416</v>
          </cell>
          <cell r="O829">
            <v>4</v>
          </cell>
          <cell r="P829">
            <v>131239036</v>
          </cell>
          <cell r="Q829">
            <v>1</v>
          </cell>
          <cell r="R829">
            <v>6732760</v>
          </cell>
          <cell r="S829">
            <v>1</v>
          </cell>
          <cell r="T829">
            <v>15175000</v>
          </cell>
          <cell r="Y829">
            <v>2</v>
          </cell>
          <cell r="Z829">
            <v>21907760</v>
          </cell>
          <cell r="AA829">
            <v>10</v>
          </cell>
          <cell r="AB829">
            <v>187350176</v>
          </cell>
          <cell r="AC829">
            <v>41.666666666666671</v>
          </cell>
          <cell r="AD829">
            <v>36.901182075618735</v>
          </cell>
        </row>
        <row r="830">
          <cell r="A830">
            <v>4</v>
          </cell>
          <cell r="C830" t="str">
            <v>1</v>
          </cell>
          <cell r="D830" t="str">
            <v>02</v>
          </cell>
          <cell r="E830" t="str">
            <v>09</v>
          </cell>
          <cell r="F830" t="str">
            <v>15</v>
          </cell>
          <cell r="I830" t="str">
            <v>Program Pembangunan Prasarana dan Fasilitas Perhubungan</v>
          </cell>
          <cell r="J830" t="str">
            <v>Jumlah Pembangunan Prasarana dan Fasilitas Perhubungan</v>
          </cell>
          <cell r="K830">
            <v>17</v>
          </cell>
          <cell r="L830">
            <v>27450321877</v>
          </cell>
          <cell r="M830">
            <v>2</v>
          </cell>
          <cell r="N830">
            <v>3006530877</v>
          </cell>
          <cell r="O830">
            <v>3</v>
          </cell>
          <cell r="P830">
            <v>4443791000</v>
          </cell>
          <cell r="Q830">
            <v>0</v>
          </cell>
          <cell r="R830">
            <v>62551400</v>
          </cell>
          <cell r="S830">
            <v>0</v>
          </cell>
          <cell r="T830">
            <v>299988700</v>
          </cell>
          <cell r="Y830">
            <v>0</v>
          </cell>
          <cell r="Z830">
            <v>362540100</v>
          </cell>
          <cell r="AA830">
            <v>2</v>
          </cell>
          <cell r="AB830">
            <v>3369070977</v>
          </cell>
          <cell r="AC830">
            <v>11.76470588235294</v>
          </cell>
          <cell r="AD830">
            <v>12.273338695612411</v>
          </cell>
          <cell r="AE830" t="str">
            <v>Dinas Perhubungan</v>
          </cell>
        </row>
        <row r="831">
          <cell r="C831" t="str">
            <v>1</v>
          </cell>
          <cell r="D831" t="str">
            <v>02</v>
          </cell>
          <cell r="E831" t="str">
            <v>09</v>
          </cell>
          <cell r="F831" t="str">
            <v>15</v>
          </cell>
          <cell r="G831">
            <v>40</v>
          </cell>
          <cell r="I831" t="str">
            <v>Pembangunan Fasilitas Transportasi (DAK)</v>
          </cell>
          <cell r="J831" t="str">
            <v>Jumlah pembangunan fasilitas transportasi Unit)</v>
          </cell>
          <cell r="K831">
            <v>17</v>
          </cell>
          <cell r="L831">
            <v>27450321877</v>
          </cell>
          <cell r="M831">
            <v>2</v>
          </cell>
          <cell r="N831">
            <v>3006530877</v>
          </cell>
          <cell r="O831">
            <v>3</v>
          </cell>
          <cell r="P831">
            <v>4443791000</v>
          </cell>
          <cell r="R831">
            <v>62551400</v>
          </cell>
          <cell r="S831">
            <v>0</v>
          </cell>
          <cell r="T831">
            <v>299988700</v>
          </cell>
          <cell r="Y831">
            <v>0</v>
          </cell>
          <cell r="Z831">
            <v>362540100</v>
          </cell>
          <cell r="AA831">
            <v>2</v>
          </cell>
          <cell r="AB831">
            <v>3369070977</v>
          </cell>
          <cell r="AC831">
            <v>11.76470588235294</v>
          </cell>
          <cell r="AD831">
            <v>12.273338695612411</v>
          </cell>
        </row>
        <row r="832">
          <cell r="A832">
            <v>5</v>
          </cell>
          <cell r="C832" t="str">
            <v>1</v>
          </cell>
          <cell r="D832" t="str">
            <v>02</v>
          </cell>
          <cell r="E832" t="str">
            <v>09</v>
          </cell>
          <cell r="F832">
            <v>15</v>
          </cell>
          <cell r="I832" t="str">
            <v>Program Rehabilitasi dan Pemeliharaan Prasarana dan fasilitas LLAJ</v>
          </cell>
          <cell r="J832" t="str">
            <v>Jumlah Rehabilitasi dan Pemeliharaan Prasarana dan Fasilitas LLAJ</v>
          </cell>
          <cell r="K832">
            <v>25</v>
          </cell>
          <cell r="L832">
            <v>2140156690</v>
          </cell>
          <cell r="M832">
            <v>7</v>
          </cell>
          <cell r="N832">
            <v>461730650</v>
          </cell>
          <cell r="O832">
            <v>2</v>
          </cell>
          <cell r="P832">
            <v>89241070</v>
          </cell>
          <cell r="Q832">
            <v>0</v>
          </cell>
          <cell r="R832">
            <v>1309560</v>
          </cell>
          <cell r="Y832">
            <v>0</v>
          </cell>
          <cell r="Z832">
            <v>1309560</v>
          </cell>
          <cell r="AA832">
            <v>7</v>
          </cell>
          <cell r="AB832">
            <v>463040210</v>
          </cell>
          <cell r="AC832">
            <v>28.000000000000004</v>
          </cell>
          <cell r="AD832">
            <v>21.635808824820206</v>
          </cell>
          <cell r="AE832" t="str">
            <v>Dinas Perhubungan</v>
          </cell>
        </row>
        <row r="833">
          <cell r="C833" t="str">
            <v>1</v>
          </cell>
          <cell r="D833" t="str">
            <v>02</v>
          </cell>
          <cell r="E833" t="str">
            <v>09</v>
          </cell>
          <cell r="F833" t="str">
            <v>16</v>
          </cell>
          <cell r="G833">
            <v>13</v>
          </cell>
          <cell r="I833" t="str">
            <v>Rehabilitasi/Pemeliharaan Alat Keselamatan Lalu Lintas</v>
          </cell>
          <cell r="J833" t="str">
            <v>Jumlah alat keselamatan lalu lintas yang terpelihara (unit)</v>
          </cell>
          <cell r="K833">
            <v>18</v>
          </cell>
          <cell r="L833">
            <v>1110197260</v>
          </cell>
          <cell r="M833">
            <v>4</v>
          </cell>
          <cell r="N833">
            <v>197920910</v>
          </cell>
          <cell r="O833">
            <v>1</v>
          </cell>
          <cell r="P833">
            <v>36401350</v>
          </cell>
          <cell r="Y833">
            <v>0</v>
          </cell>
          <cell r="Z833">
            <v>0</v>
          </cell>
          <cell r="AA833">
            <v>4</v>
          </cell>
          <cell r="AB833">
            <v>197920910</v>
          </cell>
          <cell r="AC833">
            <v>22.222222222222221</v>
          </cell>
          <cell r="AD833">
            <v>17.827544449172933</v>
          </cell>
        </row>
        <row r="834">
          <cell r="C834" t="str">
            <v>1</v>
          </cell>
          <cell r="D834" t="str">
            <v>02</v>
          </cell>
          <cell r="E834" t="str">
            <v>09</v>
          </cell>
          <cell r="F834" t="str">
            <v>16</v>
          </cell>
          <cell r="G834">
            <v>14</v>
          </cell>
          <cell r="I834" t="str">
            <v>Rehabilitas Sarana dan Prasarana Fasilitas Pos Retribusi (TPR)</v>
          </cell>
          <cell r="J834" t="str">
            <v>Jumlah pos retribusi (TPR) yang dipelihara</v>
          </cell>
          <cell r="K834">
            <v>7</v>
          </cell>
          <cell r="L834">
            <v>1029959430</v>
          </cell>
          <cell r="M834">
            <v>3</v>
          </cell>
          <cell r="N834">
            <v>263809740</v>
          </cell>
          <cell r="O834">
            <v>1</v>
          </cell>
          <cell r="P834">
            <v>52839720</v>
          </cell>
          <cell r="Q834">
            <v>0</v>
          </cell>
          <cell r="R834">
            <v>1309560</v>
          </cell>
          <cell r="Y834">
            <v>0</v>
          </cell>
          <cell r="Z834">
            <v>1309560</v>
          </cell>
          <cell r="AA834">
            <v>3</v>
          </cell>
          <cell r="AB834">
            <v>265119300</v>
          </cell>
          <cell r="AC834">
            <v>42.857142857142854</v>
          </cell>
          <cell r="AD834">
            <v>25.740751749804357</v>
          </cell>
        </row>
        <row r="835">
          <cell r="A835">
            <v>6</v>
          </cell>
          <cell r="C835" t="str">
            <v>1</v>
          </cell>
          <cell r="D835" t="str">
            <v>02</v>
          </cell>
          <cell r="E835" t="str">
            <v>09</v>
          </cell>
          <cell r="F835" t="str">
            <v>17</v>
          </cell>
          <cell r="I835" t="str">
            <v>Program peningkatan pelayanan angkutan</v>
          </cell>
          <cell r="J835" t="str">
            <v>Persentase peningkatan pelayanan angkutan</v>
          </cell>
          <cell r="K835">
            <v>100</v>
          </cell>
          <cell r="L835">
            <v>6152269160</v>
          </cell>
          <cell r="M835">
            <v>70</v>
          </cell>
          <cell r="N835">
            <v>1430348550</v>
          </cell>
          <cell r="O835">
            <v>10</v>
          </cell>
          <cell r="P835">
            <v>437485730</v>
          </cell>
          <cell r="Q835">
            <v>4</v>
          </cell>
          <cell r="R835">
            <v>92036020</v>
          </cell>
          <cell r="T835">
            <v>158200703</v>
          </cell>
          <cell r="Y835">
            <v>4</v>
          </cell>
          <cell r="Z835">
            <v>250236723</v>
          </cell>
          <cell r="AA835">
            <v>74</v>
          </cell>
          <cell r="AB835">
            <v>1680585273</v>
          </cell>
          <cell r="AC835">
            <v>74</v>
          </cell>
          <cell r="AD835">
            <v>27.316510856296798</v>
          </cell>
          <cell r="AE835" t="str">
            <v>Dinas Perhubungan</v>
          </cell>
        </row>
        <row r="836">
          <cell r="C836" t="str">
            <v>1</v>
          </cell>
          <cell r="D836" t="str">
            <v>02</v>
          </cell>
          <cell r="E836" t="str">
            <v>09</v>
          </cell>
          <cell r="F836" t="str">
            <v>17</v>
          </cell>
          <cell r="G836" t="str">
            <v>18</v>
          </cell>
          <cell r="I836" t="str">
            <v>Penunjang Kegiatan WTN</v>
          </cell>
          <cell r="J836" t="str">
            <v>Penghargaan Bidang lalu lintas (piala)</v>
          </cell>
          <cell r="K836">
            <v>4</v>
          </cell>
          <cell r="L836">
            <v>190197200</v>
          </cell>
          <cell r="O836">
            <v>1</v>
          </cell>
          <cell r="P836">
            <v>47549300</v>
          </cell>
          <cell r="S836" t="str">
            <v>-</v>
          </cell>
          <cell r="T836">
            <v>4800000</v>
          </cell>
          <cell r="Y836" t="e">
            <v>#VALUE!</v>
          </cell>
          <cell r="Z836">
            <v>4800000</v>
          </cell>
        </row>
        <row r="837">
          <cell r="C837" t="str">
            <v>1</v>
          </cell>
          <cell r="D837" t="str">
            <v>02</v>
          </cell>
          <cell r="E837" t="str">
            <v>09</v>
          </cell>
          <cell r="F837" t="str">
            <v>17</v>
          </cell>
          <cell r="G837" t="str">
            <v>18</v>
          </cell>
          <cell r="I837" t="str">
            <v>Pengawasan dan Pengendalian LLAJ</v>
          </cell>
          <cell r="J837" t="str">
            <v>Terlaksananya Pengawasan dan Pengendalian LLAJ (bln)</v>
          </cell>
          <cell r="K837">
            <v>72</v>
          </cell>
          <cell r="L837">
            <v>1579879500</v>
          </cell>
          <cell r="M837">
            <v>24</v>
          </cell>
          <cell r="N837">
            <v>342663720</v>
          </cell>
          <cell r="O837">
            <v>12</v>
          </cell>
          <cell r="P837">
            <v>96800000</v>
          </cell>
          <cell r="Q837">
            <v>3</v>
          </cell>
          <cell r="R837">
            <v>17400000</v>
          </cell>
          <cell r="T837">
            <v>51000000</v>
          </cell>
          <cell r="Y837">
            <v>3</v>
          </cell>
          <cell r="Z837">
            <v>68400000</v>
          </cell>
          <cell r="AA837">
            <v>27</v>
          </cell>
          <cell r="AB837">
            <v>411063720</v>
          </cell>
          <cell r="AC837">
            <v>37.5</v>
          </cell>
          <cell r="AD837">
            <v>26.018675474933374</v>
          </cell>
        </row>
        <row r="838">
          <cell r="C838" t="str">
            <v>1</v>
          </cell>
          <cell r="D838" t="str">
            <v>02</v>
          </cell>
          <cell r="E838" t="str">
            <v>09</v>
          </cell>
          <cell r="F838" t="str">
            <v>17</v>
          </cell>
          <cell r="G838" t="str">
            <v>24</v>
          </cell>
          <cell r="I838" t="str">
            <v>Operasional pengamanan lalu lintas angkutan laut</v>
          </cell>
          <cell r="J838" t="str">
            <v>Terlaksananya  Pengamanan  Lalu Lintas Angkutan Laut (bln)</v>
          </cell>
          <cell r="K838">
            <v>72</v>
          </cell>
          <cell r="L838">
            <v>1220761500</v>
          </cell>
          <cell r="M838">
            <v>24</v>
          </cell>
          <cell r="N838">
            <v>254183850</v>
          </cell>
          <cell r="O838">
            <v>12</v>
          </cell>
          <cell r="P838">
            <v>88762300</v>
          </cell>
          <cell r="Q838">
            <v>3</v>
          </cell>
          <cell r="R838">
            <v>18318900</v>
          </cell>
          <cell r="T838">
            <v>28582153</v>
          </cell>
          <cell r="Y838">
            <v>3</v>
          </cell>
          <cell r="Z838">
            <v>46901053</v>
          </cell>
          <cell r="AA838">
            <v>27</v>
          </cell>
          <cell r="AB838">
            <v>301084903</v>
          </cell>
          <cell r="AC838">
            <v>37.5</v>
          </cell>
          <cell r="AD838">
            <v>24.663695816095117</v>
          </cell>
        </row>
        <row r="839">
          <cell r="C839" t="str">
            <v>1</v>
          </cell>
          <cell r="D839" t="str">
            <v>02</v>
          </cell>
          <cell r="E839" t="str">
            <v>09</v>
          </cell>
          <cell r="F839" t="str">
            <v>17</v>
          </cell>
          <cell r="G839" t="str">
            <v>25</v>
          </cell>
          <cell r="I839" t="str">
            <v>Pembinaan dan penertiban lalu lintas angkutan laut</v>
          </cell>
          <cell r="J839" t="str">
            <v>Terlaksanaya operasi Penertiban Lalu Lintas Angkutan Laut (bln)</v>
          </cell>
          <cell r="K839">
            <v>72</v>
          </cell>
          <cell r="L839">
            <v>712792120</v>
          </cell>
          <cell r="M839">
            <v>24</v>
          </cell>
          <cell r="N839">
            <v>212117990</v>
          </cell>
          <cell r="O839">
            <v>12</v>
          </cell>
          <cell r="P839">
            <v>48035150</v>
          </cell>
          <cell r="Q839">
            <v>3</v>
          </cell>
          <cell r="R839">
            <v>5802750</v>
          </cell>
          <cell r="T839">
            <v>31169900</v>
          </cell>
          <cell r="Y839">
            <v>3</v>
          </cell>
          <cell r="Z839">
            <v>36972650</v>
          </cell>
          <cell r="AA839">
            <v>27</v>
          </cell>
          <cell r="AB839">
            <v>249090640</v>
          </cell>
          <cell r="AC839">
            <v>37.5</v>
          </cell>
          <cell r="AD839">
            <v>34.945762307248849</v>
          </cell>
        </row>
        <row r="840">
          <cell r="C840" t="str">
            <v>1</v>
          </cell>
          <cell r="D840" t="str">
            <v>02</v>
          </cell>
          <cell r="E840" t="str">
            <v>09</v>
          </cell>
          <cell r="F840" t="str">
            <v>17</v>
          </cell>
          <cell r="G840" t="str">
            <v>27</v>
          </cell>
          <cell r="I840" t="str">
            <v>Pelajar Pelopor Keselamatan Berlalu lintas</v>
          </cell>
          <cell r="J840" t="str">
            <v>Jumlah Pemilihan Pelajar Pelopor Keselamatan Berlalu Lintas</v>
          </cell>
          <cell r="K840">
            <v>5</v>
          </cell>
          <cell r="L840">
            <v>345000000</v>
          </cell>
          <cell r="M840">
            <v>1</v>
          </cell>
          <cell r="N840">
            <v>32690500</v>
          </cell>
          <cell r="O840">
            <v>1</v>
          </cell>
          <cell r="P840">
            <v>25815500</v>
          </cell>
          <cell r="R840">
            <v>10943000</v>
          </cell>
          <cell r="T840">
            <v>3849150</v>
          </cell>
          <cell r="Y840">
            <v>0</v>
          </cell>
          <cell r="Z840">
            <v>14792150</v>
          </cell>
          <cell r="AA840">
            <v>1</v>
          </cell>
          <cell r="AB840">
            <v>47482650</v>
          </cell>
          <cell r="AC840">
            <v>20</v>
          </cell>
          <cell r="AD840">
            <v>13.76308695652174</v>
          </cell>
        </row>
        <row r="841">
          <cell r="C841" t="str">
            <v>1</v>
          </cell>
          <cell r="D841" t="str">
            <v>02</v>
          </cell>
          <cell r="E841" t="str">
            <v>09</v>
          </cell>
          <cell r="F841" t="str">
            <v>17</v>
          </cell>
          <cell r="G841" t="str">
            <v>28</v>
          </cell>
          <cell r="I841" t="str">
            <v>Pemilihan Sopir Teladan (Abiyasa)</v>
          </cell>
          <cell r="J841" t="str">
            <v>Jumlah Pemilihan Sopir Teladan (Abiyasa)</v>
          </cell>
          <cell r="K841">
            <v>5</v>
          </cell>
          <cell r="L841">
            <v>225000000</v>
          </cell>
          <cell r="M841">
            <v>1</v>
          </cell>
          <cell r="N841">
            <v>29034500</v>
          </cell>
          <cell r="O841">
            <v>1</v>
          </cell>
          <cell r="P841">
            <v>16684500</v>
          </cell>
          <cell r="T841">
            <v>8582000</v>
          </cell>
          <cell r="Y841">
            <v>0</v>
          </cell>
          <cell r="Z841">
            <v>8582000</v>
          </cell>
          <cell r="AA841">
            <v>1</v>
          </cell>
          <cell r="AB841">
            <v>37616500</v>
          </cell>
          <cell r="AC841">
            <v>20</v>
          </cell>
          <cell r="AD841">
            <v>16.718444444444444</v>
          </cell>
        </row>
        <row r="842">
          <cell r="C842" t="str">
            <v>1</v>
          </cell>
          <cell r="D842" t="str">
            <v>02</v>
          </cell>
          <cell r="E842" t="str">
            <v>09</v>
          </cell>
          <cell r="F842" t="str">
            <v>17</v>
          </cell>
          <cell r="G842">
            <v>30</v>
          </cell>
          <cell r="I842" t="str">
            <v>Operasional Transportasi Pelayanan Pendidikan</v>
          </cell>
          <cell r="J842" t="str">
            <v>Lamanya Operasional Transportasi Pelayanan pendidikan</v>
          </cell>
          <cell r="K842">
            <v>72</v>
          </cell>
          <cell r="L842">
            <v>2068836040</v>
          </cell>
          <cell r="M842">
            <v>24</v>
          </cell>
          <cell r="N842">
            <v>559657990</v>
          </cell>
          <cell r="O842">
            <v>12</v>
          </cell>
          <cell r="P842">
            <v>113838980</v>
          </cell>
          <cell r="Q842">
            <v>3</v>
          </cell>
          <cell r="R842">
            <v>39571370</v>
          </cell>
          <cell r="T842">
            <v>30217500</v>
          </cell>
          <cell r="Y842">
            <v>3</v>
          </cell>
          <cell r="Z842">
            <v>69788870</v>
          </cell>
          <cell r="AA842">
            <v>27</v>
          </cell>
          <cell r="AB842">
            <v>629446860</v>
          </cell>
          <cell r="AC842">
            <v>37.5</v>
          </cell>
          <cell r="AD842">
            <v>30.425168927354918</v>
          </cell>
        </row>
        <row r="843">
          <cell r="C843">
            <v>1</v>
          </cell>
          <cell r="D843" t="str">
            <v>02</v>
          </cell>
          <cell r="E843" t="str">
            <v>09</v>
          </cell>
          <cell r="F843">
            <v>18</v>
          </cell>
          <cell r="I843" t="str">
            <v>Program Pembangunan Sarana dan Prasarana Perhubungan</v>
          </cell>
          <cell r="J843" t="str">
            <v>Jumlah sarana dan prasarana perhubungan</v>
          </cell>
          <cell r="K843">
            <v>1</v>
          </cell>
          <cell r="L843">
            <v>300000000</v>
          </cell>
          <cell r="M843">
            <v>0</v>
          </cell>
          <cell r="N843">
            <v>0</v>
          </cell>
          <cell r="O843">
            <v>1</v>
          </cell>
          <cell r="P843">
            <v>36275999</v>
          </cell>
          <cell r="Y843">
            <v>0</v>
          </cell>
          <cell r="Z843">
            <v>0</v>
          </cell>
          <cell r="AA843">
            <v>0</v>
          </cell>
          <cell r="AB843">
            <v>0</v>
          </cell>
          <cell r="AC843">
            <v>0</v>
          </cell>
          <cell r="AD843">
            <v>0</v>
          </cell>
        </row>
        <row r="844">
          <cell r="C844">
            <v>1</v>
          </cell>
          <cell r="D844" t="str">
            <v>02</v>
          </cell>
          <cell r="E844" t="str">
            <v>09</v>
          </cell>
          <cell r="F844">
            <v>18</v>
          </cell>
          <cell r="G844">
            <v>14</v>
          </cell>
          <cell r="I844" t="str">
            <v>Pembangunan Pagar,Taman Kantor dan Papan Nama (Merk Dinas)</v>
          </cell>
          <cell r="J844" t="str">
            <v>Jumlah pembangunan pagar, taman kantor dan papan (merk dinas)</v>
          </cell>
          <cell r="K844">
            <v>1</v>
          </cell>
          <cell r="L844">
            <v>300000000</v>
          </cell>
          <cell r="M844">
            <v>0</v>
          </cell>
          <cell r="N844">
            <v>0</v>
          </cell>
          <cell r="O844">
            <v>1</v>
          </cell>
          <cell r="P844">
            <v>36275999</v>
          </cell>
          <cell r="Y844">
            <v>0</v>
          </cell>
          <cell r="Z844">
            <v>0</v>
          </cell>
          <cell r="AA844">
            <v>0</v>
          </cell>
          <cell r="AB844">
            <v>0</v>
          </cell>
          <cell r="AC844">
            <v>0</v>
          </cell>
          <cell r="AD844">
            <v>0</v>
          </cell>
        </row>
        <row r="845">
          <cell r="I845" t="str">
            <v>Program Pengendalian dan Pengamanan Lalu Lintas</v>
          </cell>
          <cell r="J845" t="str">
            <v>Jumlah alat pengendali dan pengamanan lalu lintas</v>
          </cell>
          <cell r="L845">
            <v>41840000000</v>
          </cell>
          <cell r="P845">
            <v>8439990300</v>
          </cell>
          <cell r="T845">
            <v>2305065773</v>
          </cell>
          <cell r="Y845">
            <v>0</v>
          </cell>
          <cell r="Z845">
            <v>2305065773</v>
          </cell>
        </row>
        <row r="846">
          <cell r="C846">
            <v>1</v>
          </cell>
          <cell r="D846" t="str">
            <v>02</v>
          </cell>
          <cell r="E846" t="str">
            <v>09</v>
          </cell>
          <cell r="F846">
            <v>19</v>
          </cell>
          <cell r="G846" t="str">
            <v>04</v>
          </cell>
          <cell r="I846" t="str">
            <v>Pembangunan Penerangan jalan Umum</v>
          </cell>
          <cell r="J846" t="str">
            <v>Jumlah pembangunan penerangan jalan umum</v>
          </cell>
          <cell r="K846">
            <v>231</v>
          </cell>
          <cell r="L846">
            <v>28440000000</v>
          </cell>
          <cell r="M846">
            <v>0</v>
          </cell>
          <cell r="N846">
            <v>0</v>
          </cell>
          <cell r="O846">
            <v>31</v>
          </cell>
          <cell r="P846">
            <v>4440000000</v>
          </cell>
          <cell r="Q846">
            <v>6.45</v>
          </cell>
          <cell r="R846">
            <v>27050470</v>
          </cell>
          <cell r="S846">
            <v>32</v>
          </cell>
          <cell r="T846">
            <v>989179784</v>
          </cell>
          <cell r="Y846">
            <v>38.450000000000003</v>
          </cell>
          <cell r="Z846">
            <v>1016230254</v>
          </cell>
          <cell r="AA846">
            <v>38.450000000000003</v>
          </cell>
          <cell r="AB846">
            <v>1016230254</v>
          </cell>
          <cell r="AC846">
            <v>16.645021645021647</v>
          </cell>
          <cell r="AD846">
            <v>3.573242805907173</v>
          </cell>
        </row>
        <row r="847">
          <cell r="C847">
            <v>1</v>
          </cell>
          <cell r="D847" t="str">
            <v>02</v>
          </cell>
          <cell r="E847" t="str">
            <v>09</v>
          </cell>
          <cell r="F847">
            <v>19</v>
          </cell>
          <cell r="G847" t="str">
            <v>05</v>
          </cell>
          <cell r="I847" t="str">
            <v>Pemeliharaan rutin/berkala Penerangan Jalan Umum</v>
          </cell>
          <cell r="J847" t="str">
            <v>Terlaksananya Pemeliharan PJU (bln)</v>
          </cell>
          <cell r="K847">
            <v>48</v>
          </cell>
          <cell r="L847">
            <v>13200000000</v>
          </cell>
          <cell r="M847">
            <v>0</v>
          </cell>
          <cell r="N847">
            <v>0</v>
          </cell>
          <cell r="O847">
            <v>12</v>
          </cell>
          <cell r="P847">
            <v>3999990300</v>
          </cell>
          <cell r="Q847">
            <v>25</v>
          </cell>
          <cell r="R847">
            <v>946236400</v>
          </cell>
          <cell r="S847">
            <v>50</v>
          </cell>
          <cell r="T847">
            <v>1315885989</v>
          </cell>
          <cell r="Y847">
            <v>75</v>
          </cell>
          <cell r="Z847">
            <v>2262122389</v>
          </cell>
          <cell r="AA847">
            <v>75</v>
          </cell>
          <cell r="AB847">
            <v>2262122389</v>
          </cell>
          <cell r="AC847">
            <v>156.25</v>
          </cell>
          <cell r="AD847">
            <v>17.137290825757574</v>
          </cell>
        </row>
        <row r="848">
          <cell r="A848">
            <v>7</v>
          </cell>
          <cell r="C848" t="str">
            <v>1</v>
          </cell>
          <cell r="D848" t="str">
            <v>02</v>
          </cell>
          <cell r="E848" t="str">
            <v>09</v>
          </cell>
          <cell r="F848">
            <v>20</v>
          </cell>
          <cell r="I848" t="str">
            <v>Program peningkatan kelaikan pengoperasian kendaraan bermotor</v>
          </cell>
          <cell r="J848" t="str">
            <v>Jumlah Kendaraan yang layak jalan</v>
          </cell>
          <cell r="K848">
            <v>87000</v>
          </cell>
          <cell r="L848">
            <v>5977646190</v>
          </cell>
          <cell r="M848">
            <v>72000</v>
          </cell>
          <cell r="N848">
            <v>733419920</v>
          </cell>
          <cell r="O848">
            <v>10000</v>
          </cell>
          <cell r="P848">
            <v>3628876440</v>
          </cell>
          <cell r="Q848">
            <v>2000</v>
          </cell>
          <cell r="R848">
            <v>203415170</v>
          </cell>
          <cell r="S848">
            <v>25</v>
          </cell>
          <cell r="T848">
            <v>663269960</v>
          </cell>
          <cell r="Y848">
            <v>2025</v>
          </cell>
          <cell r="Z848">
            <v>866685130</v>
          </cell>
          <cell r="AA848">
            <v>74025</v>
          </cell>
          <cell r="AB848">
            <v>1600105050</v>
          </cell>
          <cell r="AC848">
            <v>85.086206896551715</v>
          </cell>
          <cell r="AD848">
            <v>26.768145841030449</v>
          </cell>
          <cell r="AE848" t="str">
            <v>Dinas Perhubungan</v>
          </cell>
        </row>
        <row r="849">
          <cell r="C849" t="str">
            <v>1</v>
          </cell>
          <cell r="D849" t="str">
            <v>02</v>
          </cell>
          <cell r="E849" t="str">
            <v>09</v>
          </cell>
          <cell r="F849">
            <v>20</v>
          </cell>
          <cell r="G849" t="str">
            <v>04</v>
          </cell>
          <cell r="I849" t="str">
            <v>Pelayanan Pengujian Kendaraan Bermotor</v>
          </cell>
          <cell r="J849" t="str">
            <v>Terselenggaranya pelayanan pengujian kendaraan bermotor (bln)</v>
          </cell>
          <cell r="K849">
            <v>72</v>
          </cell>
          <cell r="L849">
            <v>2572033840</v>
          </cell>
          <cell r="M849">
            <v>24</v>
          </cell>
          <cell r="N849">
            <v>733419920</v>
          </cell>
          <cell r="O849">
            <v>12</v>
          </cell>
          <cell r="P849">
            <v>223264090</v>
          </cell>
          <cell r="Q849">
            <v>3</v>
          </cell>
          <cell r="R849">
            <v>181189170</v>
          </cell>
          <cell r="S849">
            <v>50</v>
          </cell>
          <cell r="T849">
            <v>9547560</v>
          </cell>
          <cell r="Y849">
            <v>53</v>
          </cell>
          <cell r="Z849">
            <v>190736730</v>
          </cell>
          <cell r="AA849">
            <v>77</v>
          </cell>
          <cell r="AB849">
            <v>924156650</v>
          </cell>
          <cell r="AC849">
            <v>106.94444444444444</v>
          </cell>
          <cell r="AD849">
            <v>35.930967766738249</v>
          </cell>
        </row>
        <row r="850">
          <cell r="C850" t="str">
            <v>1</v>
          </cell>
          <cell r="D850" t="str">
            <v>02</v>
          </cell>
          <cell r="E850" t="str">
            <v>09</v>
          </cell>
          <cell r="F850">
            <v>20</v>
          </cell>
          <cell r="G850" t="str">
            <v>05</v>
          </cell>
          <cell r="I850" t="str">
            <v>Pengadaan Alat Uji Mekanis PKB</v>
          </cell>
          <cell r="J850" t="str">
            <v>Jumlah Pengadaan alat uji mekanis PKB (paket)</v>
          </cell>
          <cell r="K850">
            <v>1</v>
          </cell>
          <cell r="L850">
            <v>3405612350</v>
          </cell>
          <cell r="M850">
            <v>0</v>
          </cell>
          <cell r="O850">
            <v>1</v>
          </cell>
          <cell r="P850">
            <v>3405612350</v>
          </cell>
          <cell r="Q850">
            <v>0</v>
          </cell>
          <cell r="R850">
            <v>22226000</v>
          </cell>
          <cell r="S850">
            <v>0</v>
          </cell>
          <cell r="T850">
            <v>653722400</v>
          </cell>
          <cell r="Y850">
            <v>0</v>
          </cell>
          <cell r="Z850">
            <v>675948400</v>
          </cell>
          <cell r="AA850">
            <v>0</v>
          </cell>
          <cell r="AB850">
            <v>675948400</v>
          </cell>
          <cell r="AC850">
            <v>0</v>
          </cell>
          <cell r="AD850">
            <v>19.848072256374099</v>
          </cell>
        </row>
        <row r="851">
          <cell r="A851">
            <v>8</v>
          </cell>
          <cell r="C851" t="str">
            <v>1</v>
          </cell>
          <cell r="D851" t="str">
            <v>02</v>
          </cell>
          <cell r="E851" t="str">
            <v>09</v>
          </cell>
          <cell r="F851" t="str">
            <v>23</v>
          </cell>
          <cell r="I851" t="str">
            <v>Program Peningkatan Pelayanan Terminal dan Perparkiran</v>
          </cell>
          <cell r="J851" t="str">
            <v>Persentase Peningkatan Pelayanan Terminal dan Perpakiran</v>
          </cell>
          <cell r="K851">
            <v>72</v>
          </cell>
          <cell r="L851">
            <v>1638034700</v>
          </cell>
          <cell r="M851">
            <v>24</v>
          </cell>
          <cell r="N851">
            <v>424069190</v>
          </cell>
          <cell r="O851">
            <v>12</v>
          </cell>
          <cell r="P851">
            <v>85737500</v>
          </cell>
          <cell r="Q851">
            <v>3</v>
          </cell>
          <cell r="R851">
            <v>20007010</v>
          </cell>
          <cell r="S851">
            <v>50</v>
          </cell>
          <cell r="T851">
            <v>42215720</v>
          </cell>
          <cell r="Y851">
            <v>53</v>
          </cell>
          <cell r="Z851">
            <v>62222730</v>
          </cell>
          <cell r="AA851">
            <v>77</v>
          </cell>
          <cell r="AB851">
            <v>486291920</v>
          </cell>
          <cell r="AC851">
            <v>106.94444444444444</v>
          </cell>
          <cell r="AD851">
            <v>29.687522492655376</v>
          </cell>
          <cell r="AE851" t="str">
            <v>Dinas Perhubungan</v>
          </cell>
        </row>
        <row r="852">
          <cell r="C852" t="str">
            <v>1</v>
          </cell>
          <cell r="D852" t="str">
            <v>02</v>
          </cell>
          <cell r="E852" t="str">
            <v>09</v>
          </cell>
          <cell r="F852" t="str">
            <v>23</v>
          </cell>
          <cell r="G852" t="str">
            <v>01</v>
          </cell>
          <cell r="I852" t="str">
            <v>Pelayanan Terminal dan Perparkiran</v>
          </cell>
          <cell r="J852" t="str">
            <v>Terselenggranya Pelayanan Terminal dan Perparkiran (bln)</v>
          </cell>
          <cell r="K852">
            <v>72</v>
          </cell>
          <cell r="L852">
            <v>1638034700</v>
          </cell>
          <cell r="M852">
            <v>24</v>
          </cell>
          <cell r="N852">
            <v>424069190</v>
          </cell>
          <cell r="O852">
            <v>12</v>
          </cell>
          <cell r="P852">
            <v>85737500</v>
          </cell>
          <cell r="Q852">
            <v>3</v>
          </cell>
          <cell r="R852">
            <v>20007010</v>
          </cell>
          <cell r="S852">
            <v>50</v>
          </cell>
          <cell r="T852">
            <v>42215720</v>
          </cell>
          <cell r="Y852">
            <v>53</v>
          </cell>
          <cell r="Z852">
            <v>62222730</v>
          </cell>
          <cell r="AA852">
            <v>77</v>
          </cell>
          <cell r="AB852">
            <v>486291920</v>
          </cell>
          <cell r="AC852">
            <v>106.94444444444444</v>
          </cell>
          <cell r="AD852">
            <v>29.687522492655376</v>
          </cell>
        </row>
        <row r="853">
          <cell r="A853">
            <v>9</v>
          </cell>
          <cell r="C853" t="str">
            <v>3</v>
          </cell>
          <cell r="D853" t="str">
            <v>01</v>
          </cell>
          <cell r="E853" t="str">
            <v>03</v>
          </cell>
          <cell r="F853" t="str">
            <v>15</v>
          </cell>
          <cell r="I853" t="str">
            <v>Progam Peningkatan dan Pengembangan Pengelolaan Keuangan Daerah</v>
          </cell>
          <cell r="J853" t="str">
            <v>Persentase Peningkatan dan Pengembangan Pengelolaan Keuangan</v>
          </cell>
          <cell r="K853">
            <v>72</v>
          </cell>
          <cell r="L853">
            <v>2100753040</v>
          </cell>
          <cell r="M853">
            <v>24</v>
          </cell>
          <cell r="N853">
            <v>497724839</v>
          </cell>
          <cell r="O853">
            <v>12</v>
          </cell>
          <cell r="P853">
            <v>227350100</v>
          </cell>
          <cell r="Q853">
            <v>3</v>
          </cell>
          <cell r="R853">
            <v>64694360</v>
          </cell>
          <cell r="S853">
            <v>50</v>
          </cell>
          <cell r="T853">
            <v>81971000</v>
          </cell>
          <cell r="Y853">
            <v>53</v>
          </cell>
          <cell r="Z853">
            <v>146665360</v>
          </cell>
          <cell r="AA853">
            <v>77</v>
          </cell>
          <cell r="AB853">
            <v>644390199</v>
          </cell>
          <cell r="AC853">
            <v>106.94444444444444</v>
          </cell>
          <cell r="AD853">
            <v>30.674248078203426</v>
          </cell>
          <cell r="AE853" t="str">
            <v>Dinas Perhubungan</v>
          </cell>
        </row>
        <row r="854">
          <cell r="C854" t="str">
            <v>3</v>
          </cell>
          <cell r="D854" t="str">
            <v>01</v>
          </cell>
          <cell r="E854" t="str">
            <v>03</v>
          </cell>
          <cell r="F854" t="str">
            <v>15</v>
          </cell>
          <cell r="G854" t="str">
            <v>24</v>
          </cell>
          <cell r="I854" t="str">
            <v>Pelayanan Pemungutan Pajak dan Retribusi Daerah</v>
          </cell>
          <cell r="J854" t="str">
            <v>Terlaksanaya Pemungutan Pajak dan Retribusi Daerah (bln)</v>
          </cell>
          <cell r="K854">
            <v>72</v>
          </cell>
          <cell r="L854">
            <v>2100753040</v>
          </cell>
          <cell r="M854">
            <v>24</v>
          </cell>
          <cell r="N854">
            <v>497724839</v>
          </cell>
          <cell r="O854">
            <v>12</v>
          </cell>
          <cell r="P854">
            <v>227350100</v>
          </cell>
          <cell r="Q854">
            <v>3</v>
          </cell>
          <cell r="R854">
            <v>64694360</v>
          </cell>
          <cell r="S854">
            <v>50</v>
          </cell>
          <cell r="T854">
            <v>81971000</v>
          </cell>
          <cell r="Y854">
            <v>53</v>
          </cell>
          <cell r="Z854">
            <v>146665360</v>
          </cell>
          <cell r="AA854">
            <v>77</v>
          </cell>
          <cell r="AB854">
            <v>644390199</v>
          </cell>
          <cell r="AC854">
            <v>106.94444444444444</v>
          </cell>
          <cell r="AD854">
            <v>30.674248078203426</v>
          </cell>
        </row>
        <row r="855">
          <cell r="A855" t="str">
            <v>Rata-Rata Capaian Kinerja</v>
          </cell>
          <cell r="AC855">
            <v>72.001953271730144</v>
          </cell>
          <cell r="AD855">
            <v>28.295137958351347</v>
          </cell>
        </row>
        <row r="856">
          <cell r="A856" t="str">
            <v>Peringkat  Kinerja</v>
          </cell>
          <cell r="AC856" t="str">
            <v>S</v>
          </cell>
          <cell r="AD856" t="str">
            <v>SR</v>
          </cell>
        </row>
        <row r="857">
          <cell r="A857" t="str">
            <v>X</v>
          </cell>
          <cell r="I857" t="str">
            <v>URUSAN KOMUNIKASI DAN INFORMATIKA</v>
          </cell>
          <cell r="L857">
            <v>14575925000</v>
          </cell>
          <cell r="N857">
            <v>1565633000</v>
          </cell>
          <cell r="P857">
            <v>8389377212</v>
          </cell>
          <cell r="R857">
            <v>358056380</v>
          </cell>
          <cell r="T857">
            <v>1606939780</v>
          </cell>
          <cell r="Z857">
            <v>2045670644</v>
          </cell>
          <cell r="AB857">
            <v>4515837214</v>
          </cell>
        </row>
        <row r="858">
          <cell r="A858">
            <v>1</v>
          </cell>
          <cell r="C858">
            <v>1</v>
          </cell>
          <cell r="D858" t="str">
            <v>02</v>
          </cell>
          <cell r="E858">
            <v>10</v>
          </cell>
          <cell r="F858" t="str">
            <v>01</v>
          </cell>
          <cell r="G858">
            <v>20</v>
          </cell>
          <cell r="I858" t="str">
            <v>Program Pelayanan Adminsitrasi Perkantoran</v>
          </cell>
          <cell r="J858" t="str">
            <v>cakupan pelayanan Adminstrasi perkantoran (bln)</v>
          </cell>
          <cell r="K858">
            <v>60</v>
          </cell>
          <cell r="L858">
            <v>3832662000</v>
          </cell>
          <cell r="M858">
            <v>12</v>
          </cell>
          <cell r="N858">
            <v>486637000</v>
          </cell>
          <cell r="O858">
            <v>12</v>
          </cell>
          <cell r="P858">
            <v>540997260</v>
          </cell>
          <cell r="Q858">
            <v>3</v>
          </cell>
          <cell r="R858">
            <v>105823138</v>
          </cell>
          <cell r="T858">
            <v>125072815</v>
          </cell>
          <cell r="Y858">
            <v>3</v>
          </cell>
          <cell r="Z858">
            <v>230895953</v>
          </cell>
          <cell r="AA858">
            <v>15</v>
          </cell>
          <cell r="AB858">
            <v>717532953</v>
          </cell>
          <cell r="AC858">
            <v>25</v>
          </cell>
          <cell r="AD858">
            <v>18.721529657454791</v>
          </cell>
          <cell r="AE858" t="str">
            <v>Dinas Kominfo</v>
          </cell>
        </row>
        <row r="859">
          <cell r="C859">
            <v>1</v>
          </cell>
          <cell r="D859" t="str">
            <v>02</v>
          </cell>
          <cell r="E859">
            <v>10</v>
          </cell>
          <cell r="F859" t="str">
            <v>01</v>
          </cell>
          <cell r="G859" t="str">
            <v>01</v>
          </cell>
          <cell r="H859" t="str">
            <v>02</v>
          </cell>
          <cell r="I859" t="str">
            <v>Penyedian Jasa Komunikasi,Sumber Daya Air dan Listrik</v>
          </cell>
          <cell r="J859" t="str">
            <v>Tersedianya listrik, air dan telfon (bln)</v>
          </cell>
          <cell r="K859">
            <v>60</v>
          </cell>
          <cell r="L859">
            <v>678620000</v>
          </cell>
          <cell r="M859">
            <v>12</v>
          </cell>
          <cell r="N859">
            <v>39952000</v>
          </cell>
          <cell r="O859">
            <v>12</v>
          </cell>
          <cell r="P859">
            <v>57900000</v>
          </cell>
          <cell r="Q859">
            <v>3</v>
          </cell>
          <cell r="R859">
            <v>16127822</v>
          </cell>
          <cell r="S859">
            <v>6</v>
          </cell>
          <cell r="T859">
            <v>22280129</v>
          </cell>
          <cell r="U859">
            <v>0</v>
          </cell>
          <cell r="V859">
            <v>0</v>
          </cell>
          <cell r="Y859">
            <v>9</v>
          </cell>
          <cell r="Z859">
            <v>38407951</v>
          </cell>
          <cell r="AA859">
            <v>21</v>
          </cell>
          <cell r="AB859">
            <v>78359951</v>
          </cell>
          <cell r="AC859">
            <v>35</v>
          </cell>
          <cell r="AD859">
            <v>11.546955733694851</v>
          </cell>
        </row>
        <row r="860">
          <cell r="C860">
            <v>1</v>
          </cell>
          <cell r="D860" t="str">
            <v>02</v>
          </cell>
          <cell r="E860">
            <v>1</v>
          </cell>
          <cell r="F860" t="str">
            <v>01</v>
          </cell>
          <cell r="G860" t="str">
            <v>01</v>
          </cell>
          <cell r="H860" t="str">
            <v>07</v>
          </cell>
          <cell r="I860" t="str">
            <v>Penyedian Jasa Adminstrasi Keuangan</v>
          </cell>
          <cell r="J860" t="str">
            <v>Terselenggaranya jasa administrasi keuangan (bln)</v>
          </cell>
          <cell r="K860">
            <v>60</v>
          </cell>
          <cell r="L860">
            <v>342975000</v>
          </cell>
          <cell r="M860">
            <v>12</v>
          </cell>
          <cell r="N860">
            <v>46350000</v>
          </cell>
          <cell r="O860">
            <v>12</v>
          </cell>
          <cell r="P860">
            <v>106400000</v>
          </cell>
          <cell r="Q860">
            <v>3</v>
          </cell>
          <cell r="R860">
            <v>13420000</v>
          </cell>
          <cell r="S860">
            <v>6</v>
          </cell>
          <cell r="T860">
            <v>13420000</v>
          </cell>
          <cell r="U860">
            <v>0</v>
          </cell>
          <cell r="V860">
            <v>0</v>
          </cell>
          <cell r="Y860">
            <v>9</v>
          </cell>
          <cell r="Z860">
            <v>26840000</v>
          </cell>
          <cell r="AA860">
            <v>21</v>
          </cell>
          <cell r="AB860">
            <v>73190000</v>
          </cell>
          <cell r="AC860">
            <v>35</v>
          </cell>
          <cell r="AD860">
            <v>21.339747795028792</v>
          </cell>
        </row>
        <row r="861">
          <cell r="C861">
            <v>1</v>
          </cell>
          <cell r="D861" t="str">
            <v>02</v>
          </cell>
          <cell r="E861">
            <v>10</v>
          </cell>
          <cell r="F861" t="str">
            <v>01</v>
          </cell>
          <cell r="G861" t="str">
            <v>01</v>
          </cell>
          <cell r="H861" t="str">
            <v>08</v>
          </cell>
          <cell r="I861" t="str">
            <v>Penyediaan  Jasa Kebersihan Kantor</v>
          </cell>
          <cell r="J861" t="str">
            <v>Terselenggaranya jasa kebersihan kantor (bln)</v>
          </cell>
          <cell r="K861">
            <v>60</v>
          </cell>
          <cell r="L861">
            <v>206404000</v>
          </cell>
          <cell r="M861">
            <v>12</v>
          </cell>
          <cell r="N861">
            <v>30035000</v>
          </cell>
          <cell r="O861">
            <v>12</v>
          </cell>
          <cell r="P861">
            <v>44241945</v>
          </cell>
          <cell r="Q861">
            <v>3</v>
          </cell>
          <cell r="R861">
            <v>9058856</v>
          </cell>
          <cell r="S861">
            <v>6</v>
          </cell>
          <cell r="T861">
            <v>13000000</v>
          </cell>
          <cell r="U861">
            <v>0</v>
          </cell>
          <cell r="V861">
            <v>0</v>
          </cell>
          <cell r="Y861">
            <v>9</v>
          </cell>
          <cell r="Z861">
            <v>22058856</v>
          </cell>
          <cell r="AA861">
            <v>21</v>
          </cell>
          <cell r="AB861">
            <v>52093856</v>
          </cell>
          <cell r="AC861">
            <v>35</v>
          </cell>
          <cell r="AD861">
            <v>25.238782194143521</v>
          </cell>
        </row>
        <row r="862">
          <cell r="C862">
            <v>1</v>
          </cell>
          <cell r="D862" t="str">
            <v>02</v>
          </cell>
          <cell r="E862">
            <v>10</v>
          </cell>
          <cell r="F862" t="str">
            <v>01</v>
          </cell>
          <cell r="G862" t="str">
            <v>01</v>
          </cell>
          <cell r="H862" t="str">
            <v>09</v>
          </cell>
          <cell r="I862" t="str">
            <v>Penyediaan  Jasa Perbaikan Peralatan Kerja</v>
          </cell>
          <cell r="J862" t="str">
            <v>Terselenggaranya perbaikan peralatan kerja (bln)</v>
          </cell>
          <cell r="K862">
            <v>60</v>
          </cell>
          <cell r="L862">
            <v>198889000</v>
          </cell>
          <cell r="M862">
            <v>12</v>
          </cell>
          <cell r="N862">
            <v>5892000</v>
          </cell>
          <cell r="O862">
            <v>12</v>
          </cell>
          <cell r="P862">
            <v>0</v>
          </cell>
          <cell r="Q862">
            <v>0</v>
          </cell>
          <cell r="R862">
            <v>0</v>
          </cell>
          <cell r="S862">
            <v>0</v>
          </cell>
          <cell r="T862">
            <v>0</v>
          </cell>
          <cell r="U862">
            <v>0</v>
          </cell>
          <cell r="V862">
            <v>0</v>
          </cell>
          <cell r="Y862">
            <v>0</v>
          </cell>
          <cell r="Z862">
            <v>0</v>
          </cell>
          <cell r="AA862">
            <v>12</v>
          </cell>
          <cell r="AB862">
            <v>5892000</v>
          </cell>
          <cell r="AC862">
            <v>20</v>
          </cell>
          <cell r="AD862">
            <v>2.9624564455550582</v>
          </cell>
        </row>
        <row r="863">
          <cell r="C863">
            <v>1</v>
          </cell>
          <cell r="D863" t="str">
            <v>02</v>
          </cell>
          <cell r="E863">
            <v>10</v>
          </cell>
          <cell r="F863" t="str">
            <v>01</v>
          </cell>
          <cell r="G863" t="str">
            <v>01</v>
          </cell>
          <cell r="H863">
            <v>10</v>
          </cell>
          <cell r="I863" t="str">
            <v>Penyediaan Alat Tulis Kantor</v>
          </cell>
          <cell r="J863" t="str">
            <v>Tersedianya alat tulis kantor (bln)</v>
          </cell>
          <cell r="K863">
            <v>60</v>
          </cell>
          <cell r="L863">
            <v>247636000</v>
          </cell>
          <cell r="M863">
            <v>12</v>
          </cell>
          <cell r="N863">
            <v>37172000</v>
          </cell>
          <cell r="O863">
            <v>12</v>
          </cell>
          <cell r="P863">
            <v>65524815</v>
          </cell>
          <cell r="Q863">
            <v>3</v>
          </cell>
          <cell r="R863">
            <v>22214960</v>
          </cell>
          <cell r="S863">
            <v>0</v>
          </cell>
          <cell r="T863">
            <v>18561686</v>
          </cell>
          <cell r="U863">
            <v>0</v>
          </cell>
          <cell r="V863">
            <v>0</v>
          </cell>
          <cell r="Y863">
            <v>3</v>
          </cell>
          <cell r="Z863">
            <v>40776646</v>
          </cell>
          <cell r="AA863">
            <v>15</v>
          </cell>
          <cell r="AB863">
            <v>77948646</v>
          </cell>
          <cell r="AC863">
            <v>25</v>
          </cell>
          <cell r="AD863">
            <v>31.477105913518226</v>
          </cell>
        </row>
        <row r="864">
          <cell r="C864">
            <v>1</v>
          </cell>
          <cell r="D864" t="str">
            <v>02</v>
          </cell>
          <cell r="E864">
            <v>10</v>
          </cell>
          <cell r="F864" t="str">
            <v>01</v>
          </cell>
          <cell r="G864" t="str">
            <v>01</v>
          </cell>
          <cell r="H864">
            <v>11</v>
          </cell>
          <cell r="I864" t="str">
            <v>Penyediaan Barang Cetakan dan Penggandaan</v>
          </cell>
          <cell r="J864" t="str">
            <v>Tersedianya barang cetakan dan penggandaan (bln)</v>
          </cell>
          <cell r="K864">
            <v>60</v>
          </cell>
          <cell r="L864">
            <v>520431000</v>
          </cell>
          <cell r="M864">
            <v>12</v>
          </cell>
          <cell r="N864">
            <v>37814000</v>
          </cell>
          <cell r="O864">
            <v>12</v>
          </cell>
          <cell r="P864">
            <v>43437500</v>
          </cell>
          <cell r="Q864">
            <v>3</v>
          </cell>
          <cell r="R864">
            <v>1725000</v>
          </cell>
          <cell r="S864">
            <v>0</v>
          </cell>
          <cell r="T864">
            <v>6976000</v>
          </cell>
          <cell r="U864">
            <v>0</v>
          </cell>
          <cell r="V864">
            <v>0</v>
          </cell>
          <cell r="Y864">
            <v>3</v>
          </cell>
          <cell r="Z864">
            <v>8701000</v>
          </cell>
          <cell r="AA864">
            <v>15</v>
          </cell>
          <cell r="AB864">
            <v>46515000</v>
          </cell>
          <cell r="AC864">
            <v>25</v>
          </cell>
          <cell r="AD864">
            <v>8.9377842595848431</v>
          </cell>
        </row>
        <row r="865">
          <cell r="C865">
            <v>1</v>
          </cell>
          <cell r="D865" t="str">
            <v>02</v>
          </cell>
          <cell r="E865">
            <v>10</v>
          </cell>
          <cell r="F865" t="str">
            <v>01</v>
          </cell>
          <cell r="G865" t="str">
            <v>01</v>
          </cell>
          <cell r="H865">
            <v>12</v>
          </cell>
          <cell r="I865" t="str">
            <v>Penyediaan Komponen Instalansi listrik Penerangan Bangunan Kantor</v>
          </cell>
          <cell r="J865" t="str">
            <v>Tersedianya peralatan penerangan (bln)</v>
          </cell>
          <cell r="K865">
            <v>60</v>
          </cell>
          <cell r="L865">
            <v>98457000</v>
          </cell>
          <cell r="M865">
            <v>12</v>
          </cell>
          <cell r="N865">
            <v>7498000</v>
          </cell>
          <cell r="O865">
            <v>12</v>
          </cell>
          <cell r="P865">
            <v>14115000</v>
          </cell>
          <cell r="Q865">
            <v>3</v>
          </cell>
          <cell r="R865">
            <v>4615000</v>
          </cell>
          <cell r="S865">
            <v>0</v>
          </cell>
          <cell r="T865">
            <v>1995000</v>
          </cell>
          <cell r="U865">
            <v>0</v>
          </cell>
          <cell r="V865">
            <v>0</v>
          </cell>
          <cell r="Y865">
            <v>3</v>
          </cell>
          <cell r="Z865">
            <v>6610000</v>
          </cell>
          <cell r="AA865">
            <v>15</v>
          </cell>
          <cell r="AB865">
            <v>14108000</v>
          </cell>
          <cell r="AC865">
            <v>25</v>
          </cell>
          <cell r="AD865">
            <v>14.3290979818601</v>
          </cell>
        </row>
        <row r="866">
          <cell r="C866">
            <v>1</v>
          </cell>
          <cell r="D866" t="str">
            <v>02</v>
          </cell>
          <cell r="E866">
            <v>10</v>
          </cell>
          <cell r="F866" t="str">
            <v>01</v>
          </cell>
          <cell r="G866" t="str">
            <v>01</v>
          </cell>
          <cell r="H866">
            <v>15</v>
          </cell>
          <cell r="I866" t="str">
            <v>Penyediaan Bahan Bacaan  dan Peraturan Perundang-undangan</v>
          </cell>
          <cell r="J866" t="str">
            <v>Tersediaan bahan bacaan dan peraturan perundang- undangan (bln)</v>
          </cell>
          <cell r="K866">
            <v>60</v>
          </cell>
          <cell r="L866">
            <v>132650000</v>
          </cell>
          <cell r="M866">
            <v>12</v>
          </cell>
          <cell r="N866">
            <v>13785000</v>
          </cell>
          <cell r="O866">
            <v>12</v>
          </cell>
          <cell r="P866">
            <v>20750000</v>
          </cell>
          <cell r="Q866">
            <v>3</v>
          </cell>
          <cell r="R866">
            <v>260000</v>
          </cell>
          <cell r="S866">
            <v>0</v>
          </cell>
          <cell r="T866">
            <v>620000</v>
          </cell>
          <cell r="U866">
            <v>0</v>
          </cell>
          <cell r="V866">
            <v>0</v>
          </cell>
          <cell r="Y866">
            <v>3</v>
          </cell>
          <cell r="Z866">
            <v>880000</v>
          </cell>
          <cell r="AA866">
            <v>15</v>
          </cell>
          <cell r="AB866">
            <v>14665000</v>
          </cell>
          <cell r="AC866">
            <v>25</v>
          </cell>
          <cell r="AD866">
            <v>11.055408970976254</v>
          </cell>
        </row>
        <row r="867">
          <cell r="C867">
            <v>1</v>
          </cell>
          <cell r="D867" t="str">
            <v>02</v>
          </cell>
          <cell r="E867">
            <v>10</v>
          </cell>
          <cell r="F867" t="str">
            <v>01</v>
          </cell>
          <cell r="G867" t="str">
            <v>01</v>
          </cell>
          <cell r="H867">
            <v>17</v>
          </cell>
          <cell r="I867" t="str">
            <v>Penyediaan Makanan dan Minuman</v>
          </cell>
          <cell r="J867" t="str">
            <v>Tersedianya makanan dan minuman (bln)</v>
          </cell>
          <cell r="K867">
            <v>60</v>
          </cell>
          <cell r="L867">
            <v>189950000</v>
          </cell>
          <cell r="M867">
            <v>12</v>
          </cell>
          <cell r="N867">
            <v>21630000</v>
          </cell>
          <cell r="O867">
            <v>12</v>
          </cell>
          <cell r="P867">
            <v>35750000</v>
          </cell>
          <cell r="Q867">
            <v>3</v>
          </cell>
          <cell r="R867">
            <v>9372500</v>
          </cell>
          <cell r="S867">
            <v>0</v>
          </cell>
          <cell r="T867">
            <v>7395000</v>
          </cell>
          <cell r="U867">
            <v>0</v>
          </cell>
          <cell r="V867">
            <v>0</v>
          </cell>
          <cell r="Y867">
            <v>3</v>
          </cell>
          <cell r="Z867">
            <v>16767500</v>
          </cell>
          <cell r="AA867">
            <v>15</v>
          </cell>
          <cell r="AB867">
            <v>38397500</v>
          </cell>
          <cell r="AC867">
            <v>25</v>
          </cell>
          <cell r="AD867">
            <v>20.214530139510398</v>
          </cell>
        </row>
        <row r="868">
          <cell r="C868">
            <v>1</v>
          </cell>
          <cell r="D868" t="str">
            <v>02</v>
          </cell>
          <cell r="E868">
            <v>10</v>
          </cell>
          <cell r="F868" t="str">
            <v>01</v>
          </cell>
          <cell r="G868" t="str">
            <v>01</v>
          </cell>
          <cell r="H868">
            <v>18</v>
          </cell>
          <cell r="I868" t="str">
            <v>Rapat-rapat koordinasi dan konsultasi keluar daerah</v>
          </cell>
          <cell r="J868" t="str">
            <v>Terpenuhi perjalanan dinas untuk rapat-rapat ke luar daerah (bln)</v>
          </cell>
          <cell r="K868">
            <v>60</v>
          </cell>
          <cell r="L868">
            <v>866650000</v>
          </cell>
          <cell r="M868">
            <v>12</v>
          </cell>
          <cell r="N868">
            <v>144977000</v>
          </cell>
          <cell r="O868">
            <v>12</v>
          </cell>
          <cell r="P868">
            <v>42775000</v>
          </cell>
          <cell r="Q868">
            <v>3</v>
          </cell>
          <cell r="R868">
            <v>10525000</v>
          </cell>
          <cell r="S868" t="str">
            <v>0</v>
          </cell>
          <cell r="T868">
            <v>13400000</v>
          </cell>
          <cell r="U868">
            <v>0</v>
          </cell>
          <cell r="V868">
            <v>0</v>
          </cell>
          <cell r="Y868">
            <v>3</v>
          </cell>
          <cell r="Z868">
            <v>23925000</v>
          </cell>
          <cell r="AA868">
            <v>15</v>
          </cell>
          <cell r="AB868">
            <v>168902000</v>
          </cell>
          <cell r="AC868">
            <v>25</v>
          </cell>
          <cell r="AD868">
            <v>19.489067097444181</v>
          </cell>
        </row>
        <row r="869">
          <cell r="C869">
            <v>1</v>
          </cell>
          <cell r="D869" t="str">
            <v>02</v>
          </cell>
          <cell r="E869">
            <v>10</v>
          </cell>
          <cell r="F869" t="str">
            <v>01</v>
          </cell>
          <cell r="G869" t="str">
            <v>01</v>
          </cell>
          <cell r="H869">
            <v>20</v>
          </cell>
          <cell r="I869" t="str">
            <v>Rapat-rapat koordinasi dan konsultasi dalam daerah</v>
          </cell>
          <cell r="J869" t="str">
            <v>Terpenuhi perjalanan dinas untuk rapat-rapat dalam daerah (bln)</v>
          </cell>
          <cell r="K869">
            <v>60</v>
          </cell>
          <cell r="L869">
            <v>200000000</v>
          </cell>
          <cell r="M869">
            <v>12</v>
          </cell>
          <cell r="N869">
            <v>62450000</v>
          </cell>
          <cell r="O869">
            <v>12</v>
          </cell>
          <cell r="P869">
            <v>64200000</v>
          </cell>
          <cell r="Q869">
            <v>3</v>
          </cell>
          <cell r="R869">
            <v>10800000</v>
          </cell>
          <cell r="S869" t="str">
            <v>0</v>
          </cell>
          <cell r="T869">
            <v>19525000</v>
          </cell>
          <cell r="U869">
            <v>0</v>
          </cell>
          <cell r="V869">
            <v>0</v>
          </cell>
          <cell r="Y869">
            <v>3</v>
          </cell>
          <cell r="Z869">
            <v>30325000</v>
          </cell>
          <cell r="AA869">
            <v>15</v>
          </cell>
          <cell r="AB869">
            <v>92775000</v>
          </cell>
          <cell r="AC869">
            <v>25</v>
          </cell>
          <cell r="AD869">
            <v>46.387499999999996</v>
          </cell>
        </row>
        <row r="870">
          <cell r="C870">
            <v>1</v>
          </cell>
          <cell r="D870" t="str">
            <v>02</v>
          </cell>
          <cell r="E870">
            <v>10</v>
          </cell>
          <cell r="F870" t="str">
            <v>01</v>
          </cell>
          <cell r="G870" t="str">
            <v>01</v>
          </cell>
          <cell r="H870">
            <v>22</v>
          </cell>
          <cell r="I870" t="str">
            <v>Penunjang Operasional Perencanaan dan Pelaporan</v>
          </cell>
          <cell r="J870" t="str">
            <v>jenis dokumen perencanaan dan laporan (dok)</v>
          </cell>
          <cell r="K870">
            <v>30</v>
          </cell>
          <cell r="L870">
            <v>150000000</v>
          </cell>
          <cell r="M870">
            <v>6</v>
          </cell>
          <cell r="N870">
            <v>39082000</v>
          </cell>
          <cell r="O870">
            <v>12</v>
          </cell>
          <cell r="P870">
            <v>45903000</v>
          </cell>
          <cell r="Q870">
            <v>3</v>
          </cell>
          <cell r="R870">
            <v>7704000</v>
          </cell>
          <cell r="S870">
            <v>0</v>
          </cell>
          <cell r="T870">
            <v>7900000</v>
          </cell>
          <cell r="U870">
            <v>0</v>
          </cell>
          <cell r="V870">
            <v>0</v>
          </cell>
          <cell r="Y870">
            <v>3</v>
          </cell>
          <cell r="Z870">
            <v>15604000</v>
          </cell>
          <cell r="AA870">
            <v>9</v>
          </cell>
          <cell r="AB870">
            <v>54686000</v>
          </cell>
          <cell r="AC870">
            <v>30</v>
          </cell>
          <cell r="AD870">
            <v>36.457333333333338</v>
          </cell>
        </row>
        <row r="871">
          <cell r="A871">
            <v>2</v>
          </cell>
          <cell r="C871">
            <v>1</v>
          </cell>
          <cell r="D871" t="str">
            <v>02</v>
          </cell>
          <cell r="E871">
            <v>10</v>
          </cell>
          <cell r="F871" t="str">
            <v>01</v>
          </cell>
          <cell r="G871" t="str">
            <v>02</v>
          </cell>
          <cell r="I871" t="str">
            <v>Program Peningkatan Sarana dan Prasarana Aparatur</v>
          </cell>
          <cell r="J871" t="str">
            <v>jumlah bulan layanan sarpras kantor bagi aparatur</v>
          </cell>
          <cell r="K871">
            <v>60</v>
          </cell>
          <cell r="L871">
            <v>1340000000</v>
          </cell>
          <cell r="M871">
            <v>12</v>
          </cell>
          <cell r="N871">
            <v>597468000</v>
          </cell>
          <cell r="O871">
            <v>12</v>
          </cell>
          <cell r="P871">
            <v>362728000</v>
          </cell>
          <cell r="Q871">
            <v>3</v>
          </cell>
          <cell r="R871">
            <v>79987850</v>
          </cell>
          <cell r="T871">
            <v>101894930</v>
          </cell>
          <cell r="U871">
            <v>9</v>
          </cell>
          <cell r="V871">
            <v>0</v>
          </cell>
          <cell r="Y871">
            <v>12</v>
          </cell>
          <cell r="Z871">
            <v>181882780</v>
          </cell>
          <cell r="AA871">
            <v>24</v>
          </cell>
          <cell r="AB871">
            <v>779350780</v>
          </cell>
          <cell r="AC871">
            <v>40</v>
          </cell>
          <cell r="AD871">
            <v>58.160505970149259</v>
          </cell>
          <cell r="AE871" t="str">
            <v>Dinas Kominfo</v>
          </cell>
        </row>
        <row r="872">
          <cell r="C872">
            <v>1</v>
          </cell>
          <cell r="D872" t="str">
            <v>02</v>
          </cell>
          <cell r="E872">
            <v>10</v>
          </cell>
          <cell r="F872" t="str">
            <v>01</v>
          </cell>
          <cell r="G872" t="str">
            <v>02</v>
          </cell>
          <cell r="H872">
            <v>22</v>
          </cell>
          <cell r="I872" t="str">
            <v>Pemeliharaan Rutin/Berkala Perlengkapan  Gedung Kantor</v>
          </cell>
          <cell r="J872" t="str">
            <v>Persentase pemnuhan pemeliharaan gedung dan halaman kantor (%)</v>
          </cell>
          <cell r="K872">
            <v>1</v>
          </cell>
          <cell r="L872">
            <v>290000000</v>
          </cell>
          <cell r="M872">
            <v>0.2</v>
          </cell>
          <cell r="N872">
            <v>62050000</v>
          </cell>
          <cell r="O872">
            <v>0.6</v>
          </cell>
          <cell r="P872">
            <v>20500000</v>
          </cell>
          <cell r="Q872">
            <v>0</v>
          </cell>
          <cell r="R872">
            <v>2640000</v>
          </cell>
          <cell r="S872">
            <v>0</v>
          </cell>
          <cell r="T872">
            <v>1375000</v>
          </cell>
          <cell r="U872">
            <v>0</v>
          </cell>
          <cell r="V872">
            <v>0</v>
          </cell>
          <cell r="Y872">
            <v>0</v>
          </cell>
          <cell r="Z872">
            <v>4015000</v>
          </cell>
          <cell r="AA872">
            <v>0.2</v>
          </cell>
          <cell r="AB872">
            <v>66065000</v>
          </cell>
          <cell r="AC872">
            <v>20</v>
          </cell>
          <cell r="AD872">
            <v>22.781034482758621</v>
          </cell>
        </row>
        <row r="873">
          <cell r="C873">
            <v>1</v>
          </cell>
          <cell r="D873" t="str">
            <v>02</v>
          </cell>
          <cell r="E873">
            <v>10</v>
          </cell>
          <cell r="F873" t="str">
            <v>01</v>
          </cell>
          <cell r="G873" t="str">
            <v>02</v>
          </cell>
          <cell r="H873">
            <v>24</v>
          </cell>
          <cell r="I873" t="str">
            <v>Pemeliharaan Rutin/Berkala Kendaraan Dinas/Operasional</v>
          </cell>
          <cell r="J873" t="str">
            <v>Persentase pemenuhan pemeliharaan rutin berkala kendaraan dinas</v>
          </cell>
          <cell r="K873">
            <v>1</v>
          </cell>
          <cell r="L873">
            <v>80000000</v>
          </cell>
          <cell r="M873">
            <v>0.2</v>
          </cell>
          <cell r="N873">
            <v>44069000</v>
          </cell>
          <cell r="O873">
            <v>0.5</v>
          </cell>
          <cell r="P873">
            <v>147010000</v>
          </cell>
          <cell r="Q873">
            <v>0.20793041289708183</v>
          </cell>
          <cell r="R873">
            <v>30567850</v>
          </cell>
          <cell r="S873">
            <v>0</v>
          </cell>
          <cell r="T873">
            <v>27103450</v>
          </cell>
          <cell r="U873">
            <v>0</v>
          </cell>
          <cell r="V873">
            <v>0</v>
          </cell>
          <cell r="Y873">
            <v>0.20793041289708183</v>
          </cell>
          <cell r="Z873">
            <v>57671300</v>
          </cell>
          <cell r="AA873">
            <v>0.40793041289708187</v>
          </cell>
          <cell r="AB873">
            <v>101740300</v>
          </cell>
          <cell r="AC873">
            <v>40.793041289708185</v>
          </cell>
          <cell r="AD873">
            <v>127.175375</v>
          </cell>
        </row>
        <row r="874">
          <cell r="C874">
            <v>1</v>
          </cell>
          <cell r="D874" t="str">
            <v>02</v>
          </cell>
          <cell r="E874">
            <v>10</v>
          </cell>
          <cell r="F874" t="str">
            <v>01</v>
          </cell>
          <cell r="G874" t="str">
            <v>02</v>
          </cell>
          <cell r="H874">
            <v>82</v>
          </cell>
          <cell r="I874" t="str">
            <v>Pengadaan kendaraan roda dua</v>
          </cell>
          <cell r="J874" t="str">
            <v>Jumlah kendaraan roda dua</v>
          </cell>
          <cell r="K874">
            <v>12</v>
          </cell>
          <cell r="L874">
            <v>190000000</v>
          </cell>
          <cell r="M874">
            <v>2</v>
          </cell>
          <cell r="N874">
            <v>42220000</v>
          </cell>
          <cell r="O874">
            <v>0</v>
          </cell>
          <cell r="P874">
            <v>0</v>
          </cell>
          <cell r="Q874">
            <v>0</v>
          </cell>
          <cell r="R874">
            <v>0</v>
          </cell>
          <cell r="S874">
            <v>0</v>
          </cell>
          <cell r="T874">
            <v>0</v>
          </cell>
          <cell r="U874">
            <v>0</v>
          </cell>
          <cell r="V874">
            <v>0</v>
          </cell>
          <cell r="Y874">
            <v>0</v>
          </cell>
          <cell r="Z874">
            <v>0</v>
          </cell>
          <cell r="AA874">
            <v>2</v>
          </cell>
          <cell r="AB874">
            <v>42220000</v>
          </cell>
          <cell r="AC874">
            <v>16.666666666666664</v>
          </cell>
          <cell r="AD874">
            <v>22.221052631578946</v>
          </cell>
        </row>
        <row r="875">
          <cell r="C875">
            <v>1</v>
          </cell>
          <cell r="D875" t="str">
            <v>02</v>
          </cell>
          <cell r="E875">
            <v>10</v>
          </cell>
          <cell r="F875" t="str">
            <v>01</v>
          </cell>
          <cell r="G875" t="str">
            <v>02</v>
          </cell>
          <cell r="H875">
            <v>84</v>
          </cell>
          <cell r="I875" t="str">
            <v>Penggadaan Peralatan kantor</v>
          </cell>
          <cell r="J875" t="str">
            <v>Persentase pemenuhan peralatan kantor (%)</v>
          </cell>
          <cell r="K875">
            <v>100</v>
          </cell>
          <cell r="L875">
            <v>780000000</v>
          </cell>
          <cell r="M875">
            <v>20</v>
          </cell>
          <cell r="N875">
            <v>449129000</v>
          </cell>
          <cell r="O875">
            <v>20</v>
          </cell>
          <cell r="P875">
            <v>195218000</v>
          </cell>
          <cell r="Q875">
            <v>0</v>
          </cell>
          <cell r="R875">
            <v>46780000</v>
          </cell>
          <cell r="S875">
            <v>0</v>
          </cell>
          <cell r="T875">
            <v>73416480</v>
          </cell>
          <cell r="U875">
            <v>0</v>
          </cell>
          <cell r="V875">
            <v>0</v>
          </cell>
          <cell r="Y875">
            <v>0</v>
          </cell>
          <cell r="Z875">
            <v>120196480</v>
          </cell>
          <cell r="AA875">
            <v>20</v>
          </cell>
          <cell r="AB875">
            <v>569325480</v>
          </cell>
          <cell r="AC875">
            <v>20</v>
          </cell>
          <cell r="AD875">
            <v>72.99044615384615</v>
          </cell>
        </row>
        <row r="876">
          <cell r="A876">
            <v>3</v>
          </cell>
          <cell r="B876">
            <v>3</v>
          </cell>
          <cell r="C876">
            <v>1</v>
          </cell>
          <cell r="D876" t="str">
            <v>02</v>
          </cell>
          <cell r="E876">
            <v>10</v>
          </cell>
          <cell r="F876" t="str">
            <v>01</v>
          </cell>
          <cell r="G876">
            <v>18</v>
          </cell>
          <cell r="I876" t="str">
            <v>Program Kerjasma Informasi dan Media Massa</v>
          </cell>
          <cell r="J876" t="str">
            <v>Jumlah informasi pemerintah daerah yang dipublikasi dan evaluasi (Dokumen)</v>
          </cell>
          <cell r="K876">
            <v>20</v>
          </cell>
          <cell r="L876">
            <v>1976660000</v>
          </cell>
          <cell r="M876">
            <v>5</v>
          </cell>
          <cell r="N876">
            <v>351528000</v>
          </cell>
          <cell r="O876">
            <v>7</v>
          </cell>
          <cell r="P876">
            <v>333732600</v>
          </cell>
          <cell r="Q876">
            <v>0</v>
          </cell>
          <cell r="R876">
            <v>19678250</v>
          </cell>
          <cell r="T876">
            <v>38875750</v>
          </cell>
          <cell r="U876">
            <v>9</v>
          </cell>
          <cell r="V876">
            <v>47763684</v>
          </cell>
          <cell r="Y876">
            <v>9</v>
          </cell>
          <cell r="Z876">
            <v>106317684</v>
          </cell>
          <cell r="AA876">
            <v>14</v>
          </cell>
          <cell r="AB876">
            <v>457845684</v>
          </cell>
          <cell r="AC876">
            <v>70</v>
          </cell>
          <cell r="AD876">
            <v>23.162591644491211</v>
          </cell>
          <cell r="AE876" t="str">
            <v>Dinas Kominfo</v>
          </cell>
        </row>
        <row r="877">
          <cell r="C877">
            <v>1</v>
          </cell>
          <cell r="D877" t="str">
            <v>02</v>
          </cell>
          <cell r="E877">
            <v>10</v>
          </cell>
          <cell r="F877" t="str">
            <v>01</v>
          </cell>
          <cell r="G877">
            <v>18</v>
          </cell>
          <cell r="H877" t="str">
            <v>05</v>
          </cell>
          <cell r="I877" t="str">
            <v>Pengumpulan dan Penyebaran Informasi Daerah melalui Website</v>
          </cell>
          <cell r="J877" t="str">
            <v>Jumlah berita dan artikel yang diterbitkan (buah)</v>
          </cell>
          <cell r="K877">
            <v>10140</v>
          </cell>
          <cell r="L877">
            <v>625070000</v>
          </cell>
          <cell r="M877">
            <v>2028</v>
          </cell>
          <cell r="N877">
            <v>81208000</v>
          </cell>
          <cell r="O877">
            <v>3000</v>
          </cell>
          <cell r="P877">
            <v>191787600</v>
          </cell>
          <cell r="Q877">
            <v>0</v>
          </cell>
          <cell r="R877">
            <v>16203250</v>
          </cell>
          <cell r="S877">
            <v>0</v>
          </cell>
          <cell r="T877">
            <v>18872500</v>
          </cell>
          <cell r="U877">
            <v>0</v>
          </cell>
          <cell r="V877">
            <v>0</v>
          </cell>
          <cell r="Y877">
            <v>0</v>
          </cell>
          <cell r="Z877">
            <v>35075750</v>
          </cell>
          <cell r="AA877">
            <v>2028</v>
          </cell>
          <cell r="AB877">
            <v>116283750</v>
          </cell>
          <cell r="AC877">
            <v>20</v>
          </cell>
          <cell r="AD877">
            <v>18.603316428560003</v>
          </cell>
        </row>
        <row r="878">
          <cell r="C878">
            <v>1</v>
          </cell>
          <cell r="D878" t="str">
            <v>02</v>
          </cell>
          <cell r="E878">
            <v>10</v>
          </cell>
          <cell r="F878" t="str">
            <v>01</v>
          </cell>
          <cell r="G878">
            <v>18</v>
          </cell>
          <cell r="H878" t="str">
            <v>07</v>
          </cell>
          <cell r="I878" t="str">
            <v>Publikasi dan Promosi Daerah</v>
          </cell>
          <cell r="J878" t="str">
            <v>Jumlah publikasi yang dilaksanakan (paket)</v>
          </cell>
          <cell r="K878">
            <v>40</v>
          </cell>
          <cell r="L878">
            <v>1351590000</v>
          </cell>
          <cell r="M878">
            <v>8</v>
          </cell>
          <cell r="N878">
            <v>270320000</v>
          </cell>
          <cell r="O878">
            <v>8</v>
          </cell>
          <cell r="P878">
            <v>141945000</v>
          </cell>
          <cell r="Q878">
            <v>1</v>
          </cell>
          <cell r="R878">
            <v>3475000</v>
          </cell>
          <cell r="S878">
            <v>0</v>
          </cell>
          <cell r="T878">
            <v>20003250</v>
          </cell>
          <cell r="U878">
            <v>0</v>
          </cell>
          <cell r="V878">
            <v>0</v>
          </cell>
          <cell r="Y878">
            <v>1</v>
          </cell>
          <cell r="Z878">
            <v>23478250</v>
          </cell>
          <cell r="AA878">
            <v>9</v>
          </cell>
          <cell r="AB878">
            <v>293798250</v>
          </cell>
          <cell r="AC878">
            <v>22.5</v>
          </cell>
          <cell r="AD878">
            <v>21.737231704880919</v>
          </cell>
        </row>
        <row r="879">
          <cell r="A879">
            <v>4</v>
          </cell>
          <cell r="C879">
            <v>1</v>
          </cell>
          <cell r="D879" t="str">
            <v>02</v>
          </cell>
          <cell r="E879">
            <v>10</v>
          </cell>
          <cell r="F879" t="str">
            <v>01</v>
          </cell>
          <cell r="G879">
            <v>19</v>
          </cell>
          <cell r="I879" t="str">
            <v>Program Peningkatan Akses Informasi dan Komunikasi</v>
          </cell>
          <cell r="J879" t="str">
            <v>Persentase  informasi yang mudah diakses</v>
          </cell>
          <cell r="K879">
            <v>100</v>
          </cell>
          <cell r="L879">
            <v>771529000</v>
          </cell>
          <cell r="M879">
            <v>60</v>
          </cell>
          <cell r="N879">
            <v>1054389620</v>
          </cell>
          <cell r="O879">
            <v>10</v>
          </cell>
          <cell r="P879">
            <v>963086154</v>
          </cell>
          <cell r="R879">
            <v>79624392</v>
          </cell>
          <cell r="T879">
            <v>142660645</v>
          </cell>
          <cell r="U879">
            <v>9</v>
          </cell>
          <cell r="V879">
            <v>32910800</v>
          </cell>
          <cell r="Y879">
            <v>9</v>
          </cell>
          <cell r="Z879">
            <v>255195837</v>
          </cell>
          <cell r="AA879">
            <v>69</v>
          </cell>
          <cell r="AB879">
            <v>1309585457</v>
          </cell>
          <cell r="AC879">
            <v>69</v>
          </cell>
          <cell r="AD879">
            <v>169.73898025868115</v>
          </cell>
          <cell r="AE879" t="str">
            <v>Dinas Kominfo</v>
          </cell>
        </row>
        <row r="880">
          <cell r="C880">
            <v>1</v>
          </cell>
          <cell r="D880" t="str">
            <v>02</v>
          </cell>
          <cell r="E880">
            <v>10</v>
          </cell>
          <cell r="F880" t="str">
            <v>01</v>
          </cell>
          <cell r="G880">
            <v>19</v>
          </cell>
          <cell r="H880">
            <v>14</v>
          </cell>
          <cell r="I880" t="str">
            <v>Pengembangan dan pemberdayaan Kelompok Informasi Masyarakat</v>
          </cell>
          <cell r="J880" t="str">
            <v>Jumlah Kelompok Informasi Masyarakat yang dibina</v>
          </cell>
          <cell r="K880">
            <v>75</v>
          </cell>
          <cell r="L880">
            <v>112357000</v>
          </cell>
          <cell r="M880">
            <v>1</v>
          </cell>
          <cell r="N880">
            <v>57221000</v>
          </cell>
          <cell r="O880">
            <v>15</v>
          </cell>
          <cell r="P880">
            <v>96432000</v>
          </cell>
          <cell r="Q880">
            <v>0</v>
          </cell>
          <cell r="R880">
            <v>1224750</v>
          </cell>
          <cell r="S880">
            <v>0</v>
          </cell>
          <cell r="T880">
            <v>3086200</v>
          </cell>
          <cell r="U880">
            <v>0</v>
          </cell>
          <cell r="V880">
            <v>0</v>
          </cell>
          <cell r="Y880">
            <v>0</v>
          </cell>
          <cell r="Z880">
            <v>4310950</v>
          </cell>
          <cell r="AA880">
            <v>1</v>
          </cell>
          <cell r="AB880">
            <v>61531950</v>
          </cell>
          <cell r="AC880">
            <v>1.3333333333333335</v>
          </cell>
          <cell r="AD880">
            <v>54.764678658205547</v>
          </cell>
        </row>
        <row r="881">
          <cell r="C881">
            <v>1</v>
          </cell>
          <cell r="D881" t="str">
            <v>02</v>
          </cell>
          <cell r="E881">
            <v>10</v>
          </cell>
          <cell r="F881" t="str">
            <v>01</v>
          </cell>
          <cell r="G881">
            <v>19</v>
          </cell>
          <cell r="I881" t="str">
            <v>Operasional Penerangan Keliling,Pameran dan Posko Informasi</v>
          </cell>
          <cell r="J881" t="str">
            <v>Persentase cakupan pelayanan informasi dengan penerangan keliling(%)</v>
          </cell>
          <cell r="K881">
            <v>1</v>
          </cell>
          <cell r="L881">
            <v>63519000</v>
          </cell>
          <cell r="M881">
            <v>0.2</v>
          </cell>
          <cell r="N881">
            <v>67052000</v>
          </cell>
          <cell r="O881">
            <v>1</v>
          </cell>
          <cell r="P881">
            <v>56583000</v>
          </cell>
          <cell r="Q881">
            <v>0.11</v>
          </cell>
          <cell r="R881">
            <v>6024850</v>
          </cell>
          <cell r="S881">
            <v>0</v>
          </cell>
          <cell r="T881">
            <v>6252500</v>
          </cell>
          <cell r="U881">
            <v>0</v>
          </cell>
          <cell r="V881">
            <v>0</v>
          </cell>
          <cell r="Y881">
            <v>0.11</v>
          </cell>
          <cell r="Z881">
            <v>12277350</v>
          </cell>
          <cell r="AA881">
            <v>0.31</v>
          </cell>
          <cell r="AB881">
            <v>79329350</v>
          </cell>
          <cell r="AC881">
            <v>31</v>
          </cell>
          <cell r="AD881">
            <v>124.890741352981</v>
          </cell>
        </row>
        <row r="882">
          <cell r="C882">
            <v>1</v>
          </cell>
          <cell r="D882" t="str">
            <v>02</v>
          </cell>
          <cell r="E882">
            <v>10</v>
          </cell>
          <cell r="F882" t="str">
            <v>01</v>
          </cell>
          <cell r="G882">
            <v>19</v>
          </cell>
          <cell r="H882" t="str">
            <v>19</v>
          </cell>
          <cell r="I882" t="str">
            <v>Operasional LPPL Radio Langkisau FM</v>
          </cell>
          <cell r="J882" t="str">
            <v>beroperasinya Radio Langkisau (bln)</v>
          </cell>
          <cell r="K882">
            <v>1</v>
          </cell>
          <cell r="L882">
            <v>273706000</v>
          </cell>
          <cell r="M882">
            <v>0.2</v>
          </cell>
          <cell r="N882">
            <v>371022000</v>
          </cell>
          <cell r="O882">
            <v>1</v>
          </cell>
          <cell r="P882">
            <v>369715000</v>
          </cell>
          <cell r="Q882">
            <v>0.11</v>
          </cell>
          <cell r="R882">
            <v>42029042</v>
          </cell>
          <cell r="S882">
            <v>0</v>
          </cell>
          <cell r="T882">
            <v>87459295</v>
          </cell>
          <cell r="U882">
            <v>0</v>
          </cell>
          <cell r="V882">
            <v>0</v>
          </cell>
          <cell r="Y882">
            <v>0.11</v>
          </cell>
          <cell r="Z882">
            <v>129488337</v>
          </cell>
          <cell r="AA882">
            <v>0.31</v>
          </cell>
          <cell r="AB882">
            <v>500510337</v>
          </cell>
          <cell r="AC882">
            <v>31</v>
          </cell>
          <cell r="AD882">
            <v>182.86421817570678</v>
          </cell>
        </row>
        <row r="883">
          <cell r="C883">
            <v>1</v>
          </cell>
          <cell r="D883" t="str">
            <v>02</v>
          </cell>
          <cell r="E883">
            <v>10</v>
          </cell>
          <cell r="F883" t="str">
            <v>01</v>
          </cell>
          <cell r="G883">
            <v>19</v>
          </cell>
          <cell r="H883" t="str">
            <v>19</v>
          </cell>
          <cell r="I883" t="str">
            <v>Operasional Pelayanan Informasi Publik</v>
          </cell>
          <cell r="J883" t="str">
            <v>Sumber Daya Manusia yang mampu melayani masyarakat dalam pelayanan informasi publik (orang)</v>
          </cell>
          <cell r="K883">
            <v>54</v>
          </cell>
          <cell r="L883">
            <v>195253000</v>
          </cell>
          <cell r="M883">
            <v>6</v>
          </cell>
          <cell r="N883">
            <v>94620</v>
          </cell>
          <cell r="O883">
            <v>12</v>
          </cell>
          <cell r="P883">
            <v>226882500</v>
          </cell>
          <cell r="Q883">
            <v>3</v>
          </cell>
          <cell r="R883">
            <v>30345750</v>
          </cell>
          <cell r="S883">
            <v>0</v>
          </cell>
          <cell r="T883">
            <v>45862650</v>
          </cell>
          <cell r="U883">
            <v>0</v>
          </cell>
          <cell r="V883">
            <v>0</v>
          </cell>
          <cell r="Y883">
            <v>3</v>
          </cell>
          <cell r="Z883">
            <v>76208400</v>
          </cell>
          <cell r="AA883">
            <v>9</v>
          </cell>
          <cell r="AB883">
            <v>76303020</v>
          </cell>
          <cell r="AC883">
            <v>16.666666666666664</v>
          </cell>
          <cell r="AD883">
            <v>39.079051282182604</v>
          </cell>
        </row>
        <row r="884">
          <cell r="C884">
            <v>1</v>
          </cell>
          <cell r="D884" t="str">
            <v>02</v>
          </cell>
          <cell r="E884">
            <v>10</v>
          </cell>
          <cell r="F884" t="str">
            <v>01</v>
          </cell>
          <cell r="G884">
            <v>19</v>
          </cell>
          <cell r="H884" t="str">
            <v>11</v>
          </cell>
          <cell r="I884" t="str">
            <v>Pembuatan Master Plan Teknologi Informasi Komunikasi Kab.Pesisir Selatan</v>
          </cell>
          <cell r="J884" t="str">
            <v>Buku Perencanaan dan Panduan Penyusunan Perencanaan Pengembangan TIK Kab.Pessel (dokumen)</v>
          </cell>
          <cell r="K884">
            <v>5</v>
          </cell>
          <cell r="L884">
            <v>126694000</v>
          </cell>
          <cell r="M884">
            <v>0</v>
          </cell>
          <cell r="N884">
            <v>559000000</v>
          </cell>
          <cell r="O884">
            <v>1</v>
          </cell>
          <cell r="P884">
            <v>213473654</v>
          </cell>
          <cell r="Q884">
            <v>0</v>
          </cell>
          <cell r="S884">
            <v>0</v>
          </cell>
          <cell r="T884">
            <v>0</v>
          </cell>
          <cell r="U884">
            <v>0</v>
          </cell>
          <cell r="V884">
            <v>0</v>
          </cell>
          <cell r="Y884">
            <v>0</v>
          </cell>
          <cell r="Z884">
            <v>0</v>
          </cell>
          <cell r="AA884">
            <v>0</v>
          </cell>
          <cell r="AB884">
            <v>559000000</v>
          </cell>
          <cell r="AC884">
            <v>0</v>
          </cell>
          <cell r="AD884">
            <v>441.22057871722421</v>
          </cell>
        </row>
        <row r="885">
          <cell r="C885">
            <v>1</v>
          </cell>
          <cell r="D885" t="str">
            <v>02</v>
          </cell>
          <cell r="E885">
            <v>10</v>
          </cell>
          <cell r="F885" t="str">
            <v>01</v>
          </cell>
          <cell r="G885">
            <v>15</v>
          </cell>
          <cell r="H885" t="str">
            <v>07</v>
          </cell>
          <cell r="I885" t="str">
            <v>Perencanaan  dan Pengembangan Kebijakan Komunikasi dan Informatika</v>
          </cell>
          <cell r="J885" t="str">
            <v>Jumlah regulasi bid.kominfo yang diterbitkan (dokumen)</v>
          </cell>
          <cell r="K885">
            <v>6</v>
          </cell>
          <cell r="L885">
            <v>202090000</v>
          </cell>
          <cell r="M885">
            <v>2</v>
          </cell>
          <cell r="N885">
            <v>56278000</v>
          </cell>
          <cell r="O885">
            <v>2</v>
          </cell>
          <cell r="P885">
            <v>0</v>
          </cell>
          <cell r="R885">
            <v>0</v>
          </cell>
          <cell r="S885">
            <v>0</v>
          </cell>
          <cell r="T885">
            <v>0</v>
          </cell>
          <cell r="U885">
            <v>0</v>
          </cell>
          <cell r="V885">
            <v>0</v>
          </cell>
          <cell r="Y885">
            <v>0</v>
          </cell>
          <cell r="Z885">
            <v>0</v>
          </cell>
          <cell r="AA885">
            <v>2</v>
          </cell>
          <cell r="AB885">
            <v>56278000</v>
          </cell>
          <cell r="AC885">
            <v>33.333333333333329</v>
          </cell>
          <cell r="AD885">
            <v>27.84798851996635</v>
          </cell>
        </row>
        <row r="886">
          <cell r="D886" t="str">
            <v>02</v>
          </cell>
          <cell r="E886">
            <v>10</v>
          </cell>
          <cell r="F886" t="str">
            <v>01</v>
          </cell>
          <cell r="G886">
            <v>19</v>
          </cell>
          <cell r="H886" t="str">
            <v>18</v>
          </cell>
          <cell r="I886" t="str">
            <v>Pembangunan infrastruktur TIK Kab.Pessel</v>
          </cell>
          <cell r="J886" t="str">
            <v>Persentase pemenuhan kebutihan infrastruktur TIK (%)</v>
          </cell>
          <cell r="O886">
            <v>1</v>
          </cell>
          <cell r="P886">
            <v>1567035663</v>
          </cell>
          <cell r="Q886">
            <v>0.11</v>
          </cell>
          <cell r="R886">
            <v>11457450</v>
          </cell>
          <cell r="S886">
            <v>0</v>
          </cell>
          <cell r="T886">
            <v>1280701520</v>
          </cell>
          <cell r="U886">
            <v>0</v>
          </cell>
          <cell r="V886">
            <v>0</v>
          </cell>
          <cell r="Y886">
            <v>0.11</v>
          </cell>
          <cell r="Z886">
            <v>1292158970</v>
          </cell>
          <cell r="AA886">
            <v>0.11</v>
          </cell>
          <cell r="AB886">
            <v>1292158970</v>
          </cell>
          <cell r="AC886" t="e">
            <v>#DIV/0!</v>
          </cell>
          <cell r="AD886" t="e">
            <v>#DIV/0!</v>
          </cell>
        </row>
        <row r="887">
          <cell r="I887" t="str">
            <v>Penyelenggaraan Persandian dan Keamanan Informasi Daerah</v>
          </cell>
          <cell r="J887" t="str">
            <v>Jumlah aplikasi yang teramankan</v>
          </cell>
          <cell r="O887">
            <v>1</v>
          </cell>
          <cell r="P887">
            <v>72817000</v>
          </cell>
          <cell r="Q887">
            <v>0.1</v>
          </cell>
          <cell r="R887">
            <v>6947700</v>
          </cell>
          <cell r="T887">
            <v>7604650</v>
          </cell>
        </row>
        <row r="888">
          <cell r="D888" t="str">
            <v>02</v>
          </cell>
          <cell r="E888">
            <v>10</v>
          </cell>
          <cell r="F888" t="str">
            <v>01</v>
          </cell>
          <cell r="G888">
            <v>10</v>
          </cell>
          <cell r="H888">
            <v>19</v>
          </cell>
          <cell r="I888" t="str">
            <v>Penyediaan Data Pesisir Selatan Dalam Angka</v>
          </cell>
          <cell r="J888" t="str">
            <v>Jumlah data PSDA</v>
          </cell>
          <cell r="K888">
            <v>250</v>
          </cell>
          <cell r="O888">
            <v>250</v>
          </cell>
          <cell r="P888">
            <v>214912500</v>
          </cell>
          <cell r="Q888">
            <v>0</v>
          </cell>
          <cell r="R888">
            <v>2475000</v>
          </cell>
          <cell r="S888" t="str">
            <v>0</v>
          </cell>
          <cell r="T888">
            <v>15626900</v>
          </cell>
          <cell r="U888">
            <v>0</v>
          </cell>
          <cell r="Y888">
            <v>0</v>
          </cell>
          <cell r="AA888">
            <v>0</v>
          </cell>
          <cell r="AC888">
            <v>0</v>
          </cell>
        </row>
        <row r="889">
          <cell r="C889">
            <v>1</v>
          </cell>
          <cell r="D889" t="str">
            <v>02</v>
          </cell>
          <cell r="E889">
            <v>10</v>
          </cell>
          <cell r="F889" t="str">
            <v>01</v>
          </cell>
          <cell r="G889">
            <v>15</v>
          </cell>
          <cell r="H889" t="str">
            <v>08</v>
          </cell>
          <cell r="I889" t="str">
            <v xml:space="preserve">Pembuatan Peraturan Perundang-undangan </v>
          </cell>
          <cell r="J889" t="str">
            <v>Jumlah Peraturan Daerah tentang Komunikasi dan Informasi</v>
          </cell>
          <cell r="K889">
            <v>1350</v>
          </cell>
          <cell r="L889">
            <v>146712000</v>
          </cell>
          <cell r="M889">
            <v>270</v>
          </cell>
          <cell r="N889">
            <v>0</v>
          </cell>
          <cell r="O889">
            <v>1</v>
          </cell>
          <cell r="P889">
            <v>43435000</v>
          </cell>
          <cell r="Q889">
            <v>0.11</v>
          </cell>
          <cell r="R889">
            <v>3184200</v>
          </cell>
          <cell r="S889">
            <v>0</v>
          </cell>
          <cell r="T889">
            <v>0</v>
          </cell>
          <cell r="U889">
            <v>0</v>
          </cell>
          <cell r="V889">
            <v>0</v>
          </cell>
          <cell r="Y889">
            <v>0.11</v>
          </cell>
          <cell r="Z889">
            <v>3184200</v>
          </cell>
          <cell r="AA889">
            <v>270.11</v>
          </cell>
          <cell r="AB889">
            <v>3184200</v>
          </cell>
          <cell r="AC889">
            <v>20.008148148148148</v>
          </cell>
          <cell r="AD889">
            <v>2.1703746114837235</v>
          </cell>
        </row>
        <row r="890">
          <cell r="A890">
            <v>5</v>
          </cell>
          <cell r="C890">
            <v>1</v>
          </cell>
          <cell r="D890" t="str">
            <v>02</v>
          </cell>
          <cell r="E890">
            <v>10</v>
          </cell>
          <cell r="F890" t="str">
            <v>01</v>
          </cell>
          <cell r="G890">
            <v>17</v>
          </cell>
          <cell r="I890" t="str">
            <v>Program Fasilitasi Peningkatan SDM Bidang Komunikasi dan Informatika</v>
          </cell>
          <cell r="J890" t="str">
            <v>Jumlah aparatur yang mengikutii Bimtek peningkatan SDM bidang TIK (orang)</v>
          </cell>
          <cell r="K890">
            <v>1350</v>
          </cell>
          <cell r="L890">
            <v>54321000</v>
          </cell>
          <cell r="M890">
            <v>180</v>
          </cell>
          <cell r="N890">
            <v>0</v>
          </cell>
          <cell r="O890">
            <v>90</v>
          </cell>
          <cell r="P890">
            <v>117342500</v>
          </cell>
          <cell r="T890">
            <v>28490950</v>
          </cell>
          <cell r="U890">
            <v>9</v>
          </cell>
          <cell r="V890">
            <v>0</v>
          </cell>
          <cell r="Y890">
            <v>9</v>
          </cell>
          <cell r="Z890">
            <v>28490950</v>
          </cell>
          <cell r="AA890">
            <v>189</v>
          </cell>
          <cell r="AB890">
            <v>28490950</v>
          </cell>
          <cell r="AC890">
            <v>14.000000000000002</v>
          </cell>
          <cell r="AD890">
            <v>52.449236943355238</v>
          </cell>
          <cell r="AE890" t="str">
            <v>Dinas Kominfo</v>
          </cell>
        </row>
        <row r="891">
          <cell r="C891">
            <v>1</v>
          </cell>
          <cell r="D891" t="str">
            <v>02</v>
          </cell>
          <cell r="E891">
            <v>10</v>
          </cell>
          <cell r="F891" t="str">
            <v>01</v>
          </cell>
          <cell r="G891">
            <v>17</v>
          </cell>
          <cell r="H891" t="str">
            <v>01</v>
          </cell>
          <cell r="I891" t="str">
            <v>Pelatihan SDM dalam bidang komunikasi dan informasi</v>
          </cell>
          <cell r="J891" t="str">
            <v>Jumlah aparatur yang mengikutii Bimtek peningkatan SDM bidang TIK (orang)</v>
          </cell>
          <cell r="K891">
            <v>1350</v>
          </cell>
          <cell r="L891">
            <v>54321000</v>
          </cell>
          <cell r="M891">
            <v>180</v>
          </cell>
          <cell r="N891">
            <v>0</v>
          </cell>
          <cell r="O891">
            <v>90</v>
          </cell>
          <cell r="P891">
            <v>117342500</v>
          </cell>
          <cell r="R891">
            <v>0</v>
          </cell>
          <cell r="S891">
            <v>0</v>
          </cell>
          <cell r="T891">
            <v>28490950</v>
          </cell>
          <cell r="U891">
            <v>0</v>
          </cell>
          <cell r="V891">
            <v>0</v>
          </cell>
          <cell r="Y891">
            <v>0</v>
          </cell>
          <cell r="Z891">
            <v>28490950</v>
          </cell>
          <cell r="AA891">
            <v>180</v>
          </cell>
          <cell r="AB891">
            <v>28490950</v>
          </cell>
          <cell r="AC891">
            <v>13.333333333333334</v>
          </cell>
          <cell r="AD891">
            <v>52.449236943355238</v>
          </cell>
        </row>
        <row r="892">
          <cell r="A892">
            <v>6</v>
          </cell>
          <cell r="C892">
            <v>1</v>
          </cell>
          <cell r="D892" t="str">
            <v>02</v>
          </cell>
          <cell r="E892">
            <v>10</v>
          </cell>
          <cell r="F892" t="str">
            <v>01</v>
          </cell>
          <cell r="G892">
            <v>20</v>
          </cell>
          <cell r="I892" t="str">
            <v>Program Penyelengaraan E Government</v>
          </cell>
          <cell r="J892" t="str">
            <v>Persentase cakupan nagari yang terintegrasi smartcity</v>
          </cell>
          <cell r="K892">
            <v>100</v>
          </cell>
          <cell r="L892">
            <v>6600753000</v>
          </cell>
          <cell r="N892">
            <v>0</v>
          </cell>
          <cell r="O892">
            <v>42</v>
          </cell>
          <cell r="P892">
            <v>6071490698</v>
          </cell>
          <cell r="R892">
            <v>72942750</v>
          </cell>
          <cell r="T892">
            <v>1169944690</v>
          </cell>
          <cell r="U892">
            <v>0</v>
          </cell>
          <cell r="V892">
            <v>0</v>
          </cell>
          <cell r="Y892">
            <v>0</v>
          </cell>
          <cell r="Z892">
            <v>1242887440</v>
          </cell>
          <cell r="AA892">
            <v>0</v>
          </cell>
          <cell r="AB892">
            <v>1223031390</v>
          </cell>
          <cell r="AC892">
            <v>0</v>
          </cell>
          <cell r="AD892">
            <v>18.52866468416558</v>
          </cell>
          <cell r="AE892" t="str">
            <v>Dinas Kominfo</v>
          </cell>
        </row>
        <row r="893">
          <cell r="C893">
            <v>1</v>
          </cell>
          <cell r="D893" t="str">
            <v>02</v>
          </cell>
          <cell r="E893">
            <v>10</v>
          </cell>
          <cell r="F893" t="str">
            <v>01</v>
          </cell>
          <cell r="G893">
            <v>20</v>
          </cell>
          <cell r="H893" t="str">
            <v>02</v>
          </cell>
          <cell r="I893" t="str">
            <v>Pembangunan dan Pengembangan Program Aplikasi Elektronik</v>
          </cell>
          <cell r="J893" t="str">
            <v>Aplikasi Elektronik Pemerintah (buah)</v>
          </cell>
          <cell r="K893">
            <v>50</v>
          </cell>
          <cell r="L893">
            <v>340894000</v>
          </cell>
          <cell r="M893">
            <v>5</v>
          </cell>
          <cell r="N893">
            <v>0</v>
          </cell>
          <cell r="O893">
            <v>15</v>
          </cell>
          <cell r="P893">
            <v>550612000</v>
          </cell>
          <cell r="Q893">
            <v>5</v>
          </cell>
          <cell r="R893">
            <v>54311700</v>
          </cell>
          <cell r="S893" t="str">
            <v>0</v>
          </cell>
          <cell r="T893">
            <v>84313750</v>
          </cell>
          <cell r="U893">
            <v>0</v>
          </cell>
          <cell r="V893">
            <v>0</v>
          </cell>
          <cell r="Y893">
            <v>0</v>
          </cell>
          <cell r="Z893">
            <v>138625450</v>
          </cell>
          <cell r="AA893">
            <v>5</v>
          </cell>
          <cell r="AB893">
            <v>138625450</v>
          </cell>
          <cell r="AC893">
            <v>10</v>
          </cell>
          <cell r="AD893">
            <v>40.665265449083883</v>
          </cell>
        </row>
        <row r="894">
          <cell r="C894">
            <v>1</v>
          </cell>
          <cell r="D894" t="str">
            <v>02</v>
          </cell>
          <cell r="E894">
            <v>10</v>
          </cell>
          <cell r="F894" t="str">
            <v>01</v>
          </cell>
          <cell r="G894">
            <v>20</v>
          </cell>
          <cell r="H894" t="str">
            <v>03</v>
          </cell>
          <cell r="I894" t="str">
            <v>Pengembangan Smart City</v>
          </cell>
          <cell r="J894" t="str">
            <v>Layanan internet dan intranet (bln)</v>
          </cell>
          <cell r="K894">
            <v>60</v>
          </cell>
          <cell r="L894">
            <v>2126545000</v>
          </cell>
          <cell r="M894">
            <v>12</v>
          </cell>
          <cell r="N894">
            <v>0</v>
          </cell>
          <cell r="O894">
            <v>12</v>
          </cell>
          <cell r="P894">
            <v>3574151474</v>
          </cell>
          <cell r="Q894">
            <v>3</v>
          </cell>
          <cell r="R894">
            <v>9208050</v>
          </cell>
          <cell r="S894" t="str">
            <v>0</v>
          </cell>
          <cell r="T894">
            <v>1075197890</v>
          </cell>
          <cell r="U894">
            <v>0</v>
          </cell>
          <cell r="V894">
            <v>0</v>
          </cell>
          <cell r="Y894">
            <v>3</v>
          </cell>
          <cell r="Z894">
            <v>1084405940</v>
          </cell>
          <cell r="AA894">
            <v>15</v>
          </cell>
          <cell r="AB894">
            <v>1084405940</v>
          </cell>
          <cell r="AC894">
            <v>25</v>
          </cell>
          <cell r="AD894">
            <v>50.993792278084868</v>
          </cell>
        </row>
        <row r="895">
          <cell r="C895">
            <v>1</v>
          </cell>
          <cell r="D895" t="str">
            <v>02</v>
          </cell>
          <cell r="E895">
            <v>10</v>
          </cell>
          <cell r="F895" t="str">
            <v>01</v>
          </cell>
          <cell r="G895">
            <v>20</v>
          </cell>
          <cell r="H895" t="str">
            <v>03</v>
          </cell>
          <cell r="I895" t="str">
            <v>Pengawasan dan Pengendalian Jaringan dan Data TIK (%)</v>
          </cell>
          <cell r="J895" t="str">
            <v>Terlaksanaya Perawatan jaringan dan komunikasi data (bln)</v>
          </cell>
          <cell r="K895">
            <v>60</v>
          </cell>
          <cell r="L895">
            <v>133314000</v>
          </cell>
          <cell r="M895">
            <v>12</v>
          </cell>
          <cell r="N895">
            <v>0</v>
          </cell>
          <cell r="O895">
            <v>12</v>
          </cell>
          <cell r="P895">
            <v>67955000</v>
          </cell>
          <cell r="Q895">
            <v>3</v>
          </cell>
          <cell r="R895">
            <v>9423000</v>
          </cell>
          <cell r="S895" t="str">
            <v>0</v>
          </cell>
          <cell r="T895">
            <v>10433050</v>
          </cell>
          <cell r="U895">
            <v>0</v>
          </cell>
          <cell r="V895">
            <v>0</v>
          </cell>
          <cell r="Y895">
            <v>3</v>
          </cell>
          <cell r="Z895">
            <v>19856050</v>
          </cell>
          <cell r="AA895">
            <v>15</v>
          </cell>
          <cell r="AB895">
            <v>19856050</v>
          </cell>
          <cell r="AC895">
            <v>25</v>
          </cell>
          <cell r="AD895">
            <v>14.894197158587996</v>
          </cell>
        </row>
        <row r="896">
          <cell r="C896">
            <v>1</v>
          </cell>
          <cell r="D896" t="str">
            <v>02</v>
          </cell>
          <cell r="E896">
            <v>10</v>
          </cell>
          <cell r="F896" t="str">
            <v>01</v>
          </cell>
          <cell r="G896">
            <v>20</v>
          </cell>
          <cell r="H896" t="str">
            <v>04</v>
          </cell>
          <cell r="I896" t="str">
            <v>Pembangunan Jaringan Pemda Mandiri FO</v>
          </cell>
          <cell r="J896" t="str">
            <v>Tersedianya jaringan Fiber Optik milik pemerintah daerah</v>
          </cell>
          <cell r="K896">
            <v>60</v>
          </cell>
          <cell r="L896">
            <v>4000000000</v>
          </cell>
          <cell r="M896">
            <v>12</v>
          </cell>
          <cell r="N896">
            <v>0</v>
          </cell>
          <cell r="O896">
            <v>12</v>
          </cell>
          <cell r="P896">
            <v>1878772224</v>
          </cell>
          <cell r="Q896">
            <v>0</v>
          </cell>
          <cell r="R896">
            <v>0</v>
          </cell>
          <cell r="S896" t="str">
            <v>0</v>
          </cell>
          <cell r="T896">
            <v>0</v>
          </cell>
          <cell r="U896">
            <v>0</v>
          </cell>
          <cell r="V896">
            <v>0</v>
          </cell>
          <cell r="Y896">
            <v>0</v>
          </cell>
          <cell r="Z896">
            <v>0</v>
          </cell>
          <cell r="AA896">
            <v>12</v>
          </cell>
          <cell r="AB896">
            <v>0</v>
          </cell>
          <cell r="AC896">
            <v>20</v>
          </cell>
          <cell r="AD896">
            <v>0</v>
          </cell>
        </row>
        <row r="897">
          <cell r="A897" t="str">
            <v>Rata-Rata Capaian Kinerja</v>
          </cell>
          <cell r="AC897">
            <v>27.25</v>
          </cell>
          <cell r="AD897">
            <v>42.59518864478715</v>
          </cell>
        </row>
        <row r="899">
          <cell r="Z899" t="str">
            <v>PAINAN,    APRIL 2019</v>
          </cell>
        </row>
        <row r="900">
          <cell r="Z900" t="str">
            <v>KEPALA DINAS KOMUNIKASI DAN INFORMATIKA</v>
          </cell>
        </row>
        <row r="901">
          <cell r="Z901" t="str">
            <v xml:space="preserve"> KABUPATEN PESISIR SELATAN</v>
          </cell>
        </row>
        <row r="905">
          <cell r="Z905" t="str">
            <v>JUNAIDI,S.Kom.ME</v>
          </cell>
        </row>
        <row r="906">
          <cell r="Z906" t="str">
            <v>NIP. 19700609 199703 1 002</v>
          </cell>
        </row>
        <row r="907">
          <cell r="A907" t="str">
            <v>Peringkat  Kinerja</v>
          </cell>
          <cell r="AC907" t="str">
            <v>SR</v>
          </cell>
          <cell r="AD907" t="str">
            <v>SR</v>
          </cell>
        </row>
        <row r="908">
          <cell r="A908" t="str">
            <v>XI</v>
          </cell>
          <cell r="I908" t="str">
            <v>URUSAN KOPERASI, USAHA KECIL DAN MENENGAH</v>
          </cell>
          <cell r="L908">
            <v>5240490700</v>
          </cell>
          <cell r="N908">
            <v>1523639159.5999999</v>
          </cell>
          <cell r="P908">
            <v>2407357086</v>
          </cell>
          <cell r="R908">
            <v>190779340</v>
          </cell>
          <cell r="T908">
            <v>674723977</v>
          </cell>
          <cell r="Z908">
            <v>865503317</v>
          </cell>
          <cell r="AB908">
            <v>2375566476.5999999</v>
          </cell>
        </row>
        <row r="909">
          <cell r="A909">
            <v>1</v>
          </cell>
          <cell r="C909" t="str">
            <v>06</v>
          </cell>
          <cell r="D909">
            <v>1</v>
          </cell>
          <cell r="E909" t="str">
            <v>02</v>
          </cell>
          <cell r="F909">
            <v>11</v>
          </cell>
          <cell r="G909">
            <v>1</v>
          </cell>
          <cell r="I909" t="str">
            <v>Program Pelayanan Administrasi perkantoran</v>
          </cell>
          <cell r="J909" t="str">
            <v>tersedianya pelayanan admnistrasi perkantoran (bln)</v>
          </cell>
          <cell r="K909">
            <v>72</v>
          </cell>
          <cell r="L909">
            <v>3387953000</v>
          </cell>
          <cell r="M909">
            <v>24</v>
          </cell>
          <cell r="N909">
            <v>1213259857</v>
          </cell>
          <cell r="O909">
            <v>12</v>
          </cell>
          <cell r="P909">
            <v>941487800</v>
          </cell>
          <cell r="Q909">
            <v>3</v>
          </cell>
          <cell r="R909">
            <v>127913340</v>
          </cell>
          <cell r="T909">
            <v>190806977</v>
          </cell>
          <cell r="Y909">
            <v>3</v>
          </cell>
          <cell r="Z909">
            <v>318720317</v>
          </cell>
          <cell r="AA909">
            <v>27</v>
          </cell>
          <cell r="AB909">
            <v>1531980174</v>
          </cell>
          <cell r="AC909">
            <v>37.5</v>
          </cell>
          <cell r="AD909">
            <v>45.218460055378571</v>
          </cell>
          <cell r="AE909" t="str">
            <v>DKUPP</v>
          </cell>
        </row>
        <row r="910">
          <cell r="C910" t="str">
            <v>06</v>
          </cell>
          <cell r="D910">
            <v>1</v>
          </cell>
          <cell r="E910" t="str">
            <v>02</v>
          </cell>
          <cell r="F910">
            <v>11</v>
          </cell>
          <cell r="G910">
            <v>1</v>
          </cell>
          <cell r="H910" t="str">
            <v>02</v>
          </cell>
          <cell r="I910" t="str">
            <v>Penyediaan Jasa Komonikasi, Sumber daya air dan listrik</v>
          </cell>
          <cell r="J910" t="str">
            <v>Tersediannya air dan listrik (bln)</v>
          </cell>
          <cell r="K910">
            <v>72</v>
          </cell>
          <cell r="L910">
            <v>402100000</v>
          </cell>
          <cell r="M910">
            <v>24</v>
          </cell>
          <cell r="N910">
            <v>105361700</v>
          </cell>
          <cell r="O910">
            <v>12</v>
          </cell>
          <cell r="P910">
            <v>200640000</v>
          </cell>
          <cell r="Q910">
            <v>3</v>
          </cell>
          <cell r="R910">
            <v>16058670</v>
          </cell>
          <cell r="S910">
            <v>3</v>
          </cell>
          <cell r="T910">
            <v>15629000</v>
          </cell>
          <cell r="Y910">
            <v>6</v>
          </cell>
          <cell r="Z910">
            <v>31687670</v>
          </cell>
          <cell r="AA910">
            <v>30</v>
          </cell>
          <cell r="AB910">
            <v>137049370</v>
          </cell>
          <cell r="AC910">
            <v>41.666666666666671</v>
          </cell>
          <cell r="AD910">
            <v>34.083404625714998</v>
          </cell>
        </row>
        <row r="911">
          <cell r="C911" t="str">
            <v>06</v>
          </cell>
          <cell r="D911">
            <v>1</v>
          </cell>
          <cell r="E911" t="str">
            <v>02</v>
          </cell>
          <cell r="F911">
            <v>11</v>
          </cell>
          <cell r="G911">
            <v>2</v>
          </cell>
          <cell r="H911" t="str">
            <v>07</v>
          </cell>
          <cell r="I911" t="str">
            <v xml:space="preserve">Penyediaan Jasa Administrasi Keuangan </v>
          </cell>
          <cell r="J911" t="str">
            <v xml:space="preserve">Tersedianya  Jasa Administrasi Keuangan </v>
          </cell>
          <cell r="K911">
            <v>72</v>
          </cell>
          <cell r="L911">
            <v>630000000</v>
          </cell>
          <cell r="M911">
            <v>24</v>
          </cell>
          <cell r="N911">
            <v>193142000</v>
          </cell>
          <cell r="O911">
            <v>12</v>
          </cell>
          <cell r="P911">
            <v>110400000</v>
          </cell>
          <cell r="Q911">
            <v>3</v>
          </cell>
          <cell r="R911">
            <v>17600000</v>
          </cell>
          <cell r="S911">
            <v>3</v>
          </cell>
          <cell r="T911">
            <v>26400000</v>
          </cell>
          <cell r="Y911">
            <v>6</v>
          </cell>
          <cell r="Z911">
            <v>44000000</v>
          </cell>
          <cell r="AA911">
            <v>30</v>
          </cell>
          <cell r="AB911">
            <v>237142000</v>
          </cell>
          <cell r="AC911">
            <v>41.666666666666671</v>
          </cell>
          <cell r="AD911">
            <v>37.6415873015873</v>
          </cell>
        </row>
        <row r="912">
          <cell r="C912" t="str">
            <v>06</v>
          </cell>
          <cell r="D912">
            <v>1</v>
          </cell>
          <cell r="E912" t="str">
            <v>02</v>
          </cell>
          <cell r="F912">
            <v>11</v>
          </cell>
          <cell r="G912">
            <v>2</v>
          </cell>
          <cell r="H912" t="str">
            <v>08</v>
          </cell>
          <cell r="I912" t="str">
            <v>Penyediaan Jasa Kebersihan Kantor</v>
          </cell>
          <cell r="J912" t="str">
            <v>Tersedianya  Jasa Kebersihan Kantor (bln)</v>
          </cell>
          <cell r="K912">
            <v>72</v>
          </cell>
          <cell r="L912">
            <v>284964000</v>
          </cell>
          <cell r="M912">
            <v>24</v>
          </cell>
          <cell r="N912">
            <v>121112000</v>
          </cell>
          <cell r="O912">
            <v>12</v>
          </cell>
          <cell r="P912">
            <v>241993000</v>
          </cell>
          <cell r="Q912">
            <v>3</v>
          </cell>
          <cell r="R912">
            <v>34250500</v>
          </cell>
          <cell r="S912">
            <v>3</v>
          </cell>
          <cell r="T912">
            <v>85000000</v>
          </cell>
          <cell r="Y912">
            <v>6</v>
          </cell>
          <cell r="Z912">
            <v>119250500</v>
          </cell>
          <cell r="AA912">
            <v>30</v>
          </cell>
          <cell r="AB912">
            <v>240362500</v>
          </cell>
          <cell r="AC912">
            <v>41.666666666666671</v>
          </cell>
          <cell r="AD912">
            <v>84.348373829676731</v>
          </cell>
        </row>
        <row r="913">
          <cell r="C913" t="str">
            <v>06</v>
          </cell>
          <cell r="D913">
            <v>1</v>
          </cell>
          <cell r="E913" t="str">
            <v>02</v>
          </cell>
          <cell r="F913">
            <v>11</v>
          </cell>
          <cell r="G913">
            <v>2</v>
          </cell>
          <cell r="H913">
            <v>10</v>
          </cell>
          <cell r="I913" t="str">
            <v>Penyediaan Alat Tulis Kantor</v>
          </cell>
          <cell r="J913" t="str">
            <v>Tersedianya alat tulis kantor (bln)</v>
          </cell>
          <cell r="K913">
            <v>72</v>
          </cell>
          <cell r="L913">
            <v>207102300</v>
          </cell>
          <cell r="M913">
            <v>24</v>
          </cell>
          <cell r="N913">
            <v>75427190</v>
          </cell>
          <cell r="O913">
            <v>12</v>
          </cell>
          <cell r="P913">
            <v>35614900</v>
          </cell>
          <cell r="Q913">
            <v>3</v>
          </cell>
          <cell r="R913">
            <v>5955720</v>
          </cell>
          <cell r="S913">
            <v>3</v>
          </cell>
          <cell r="T913">
            <v>5528000</v>
          </cell>
          <cell r="Y913">
            <v>6</v>
          </cell>
          <cell r="Z913">
            <v>11483720</v>
          </cell>
          <cell r="AA913">
            <v>30</v>
          </cell>
          <cell r="AB913">
            <v>86910910</v>
          </cell>
          <cell r="AC913">
            <v>41.666666666666671</v>
          </cell>
          <cell r="AD913">
            <v>41.965207532702436</v>
          </cell>
        </row>
        <row r="914">
          <cell r="C914" t="str">
            <v>06</v>
          </cell>
          <cell r="D914">
            <v>1</v>
          </cell>
          <cell r="E914" t="str">
            <v>02</v>
          </cell>
          <cell r="F914">
            <v>11</v>
          </cell>
          <cell r="G914">
            <v>2</v>
          </cell>
          <cell r="H914">
            <v>11</v>
          </cell>
          <cell r="I914" t="str">
            <v>Penyediaan Barang Cetakan dan Penggandaan</v>
          </cell>
          <cell r="J914" t="str">
            <v>Tersedianya Barang Cetakan dan Penggandaan (bln)</v>
          </cell>
          <cell r="K914">
            <v>72</v>
          </cell>
          <cell r="L914">
            <v>198786700</v>
          </cell>
          <cell r="M914">
            <v>24</v>
          </cell>
          <cell r="N914">
            <v>68803400</v>
          </cell>
          <cell r="O914">
            <v>12</v>
          </cell>
          <cell r="P914">
            <v>35324000</v>
          </cell>
          <cell r="Q914">
            <v>3</v>
          </cell>
          <cell r="R914">
            <v>0</v>
          </cell>
          <cell r="S914">
            <v>3</v>
          </cell>
          <cell r="T914">
            <v>11836000</v>
          </cell>
          <cell r="Y914">
            <v>6</v>
          </cell>
          <cell r="Z914">
            <v>11836000</v>
          </cell>
          <cell r="AA914">
            <v>30</v>
          </cell>
          <cell r="AB914">
            <v>80639400</v>
          </cell>
          <cell r="AC914">
            <v>41.666666666666671</v>
          </cell>
          <cell r="AD914">
            <v>40.565792379470054</v>
          </cell>
        </row>
        <row r="915">
          <cell r="C915" t="str">
            <v>06</v>
          </cell>
          <cell r="D915">
            <v>1</v>
          </cell>
          <cell r="E915" t="str">
            <v>02</v>
          </cell>
          <cell r="F915">
            <v>11</v>
          </cell>
          <cell r="G915">
            <v>2</v>
          </cell>
          <cell r="H915">
            <v>11</v>
          </cell>
          <cell r="I915" t="str">
            <v>Penyediaan Komponen, Instalasi Listrik/Penerangan bangunan kantor</v>
          </cell>
          <cell r="J915" t="str">
            <v>Tersedianya  Komponen, Instalasi Listrik/Penerangan (bln)</v>
          </cell>
          <cell r="K915">
            <v>72</v>
          </cell>
          <cell r="L915">
            <v>75000000</v>
          </cell>
          <cell r="M915">
            <v>24</v>
          </cell>
          <cell r="N915">
            <v>52156000</v>
          </cell>
          <cell r="O915">
            <v>12</v>
          </cell>
          <cell r="P915">
            <v>12455000</v>
          </cell>
          <cell r="Q915">
            <v>3</v>
          </cell>
          <cell r="R915">
            <v>0</v>
          </cell>
          <cell r="S915">
            <v>3</v>
          </cell>
          <cell r="T915">
            <v>2759000</v>
          </cell>
          <cell r="Y915">
            <v>6</v>
          </cell>
          <cell r="Z915">
            <v>2759000</v>
          </cell>
          <cell r="AA915">
            <v>30</v>
          </cell>
          <cell r="AB915">
            <v>54915000</v>
          </cell>
          <cell r="AC915">
            <v>41.666666666666671</v>
          </cell>
          <cell r="AD915">
            <v>73.22</v>
          </cell>
        </row>
        <row r="916">
          <cell r="C916" t="str">
            <v>06</v>
          </cell>
          <cell r="D916">
            <v>1</v>
          </cell>
          <cell r="E916" t="str">
            <v>02</v>
          </cell>
          <cell r="F916">
            <v>11</v>
          </cell>
          <cell r="G916">
            <v>2</v>
          </cell>
          <cell r="H916">
            <v>15</v>
          </cell>
          <cell r="I916" t="str">
            <v>Penyediaan Bahan Bacaan dan Peraturan Perundang-undangan</v>
          </cell>
          <cell r="J916" t="str">
            <v>Tersedianya Bahan Bacaan (bln)</v>
          </cell>
          <cell r="K916">
            <v>72</v>
          </cell>
          <cell r="L916">
            <v>60000000</v>
          </cell>
          <cell r="M916">
            <v>24</v>
          </cell>
          <cell r="N916">
            <v>19820000</v>
          </cell>
          <cell r="O916">
            <v>12</v>
          </cell>
          <cell r="P916">
            <v>13260000</v>
          </cell>
          <cell r="Q916">
            <v>3</v>
          </cell>
          <cell r="R916">
            <v>840000</v>
          </cell>
          <cell r="S916">
            <v>3</v>
          </cell>
          <cell r="T916">
            <v>1560000</v>
          </cell>
          <cell r="Y916">
            <v>6</v>
          </cell>
          <cell r="Z916">
            <v>2400000</v>
          </cell>
          <cell r="AA916">
            <v>30</v>
          </cell>
          <cell r="AB916">
            <v>22220000</v>
          </cell>
          <cell r="AC916">
            <v>41.666666666666671</v>
          </cell>
          <cell r="AD916">
            <v>37.033333333333331</v>
          </cell>
        </row>
        <row r="917">
          <cell r="C917" t="str">
            <v>06</v>
          </cell>
          <cell r="D917">
            <v>1</v>
          </cell>
          <cell r="E917" t="str">
            <v>02</v>
          </cell>
          <cell r="F917">
            <v>11</v>
          </cell>
          <cell r="G917">
            <v>2</v>
          </cell>
          <cell r="H917">
            <v>17</v>
          </cell>
          <cell r="I917" t="str">
            <v>Penyediaan Makanan dan Minuman</v>
          </cell>
          <cell r="J917" t="str">
            <v>Tersedianya  Makanan dan Minuman rapat dan tamu (bln)</v>
          </cell>
          <cell r="K917">
            <v>72</v>
          </cell>
          <cell r="L917">
            <v>230000000</v>
          </cell>
          <cell r="M917">
            <v>24</v>
          </cell>
          <cell r="N917">
            <v>88825000</v>
          </cell>
          <cell r="O917">
            <v>12</v>
          </cell>
          <cell r="P917">
            <v>50655000</v>
          </cell>
          <cell r="Q917">
            <v>3</v>
          </cell>
          <cell r="R917">
            <v>4345000</v>
          </cell>
          <cell r="S917">
            <v>3</v>
          </cell>
          <cell r="T917">
            <v>7370000</v>
          </cell>
          <cell r="Y917">
            <v>6</v>
          </cell>
          <cell r="Z917">
            <v>11715000</v>
          </cell>
          <cell r="AA917">
            <v>30</v>
          </cell>
          <cell r="AB917">
            <v>100540000</v>
          </cell>
          <cell r="AC917">
            <v>41.666666666666671</v>
          </cell>
          <cell r="AD917">
            <v>43.713043478260872</v>
          </cell>
        </row>
        <row r="918">
          <cell r="C918" t="str">
            <v>06</v>
          </cell>
          <cell r="D918">
            <v>1</v>
          </cell>
          <cell r="E918" t="str">
            <v>02</v>
          </cell>
          <cell r="F918">
            <v>11</v>
          </cell>
          <cell r="G918">
            <v>2</v>
          </cell>
          <cell r="H918">
            <v>18</v>
          </cell>
          <cell r="I918" t="str">
            <v>Rapat-rapat koordinasi dan konsultasi keluar daerah</v>
          </cell>
          <cell r="J918" t="str">
            <v>Terpenuhi perjalanan dinas untuk rapat-rapat ke luar daerah (bln)</v>
          </cell>
          <cell r="K918">
            <v>72</v>
          </cell>
          <cell r="L918">
            <v>750000000</v>
          </cell>
          <cell r="M918">
            <v>24</v>
          </cell>
          <cell r="N918">
            <v>286547567.00000006</v>
          </cell>
          <cell r="O918">
            <v>12</v>
          </cell>
          <cell r="P918">
            <v>130300000</v>
          </cell>
          <cell r="Q918">
            <v>3</v>
          </cell>
          <cell r="R918">
            <v>31448450</v>
          </cell>
          <cell r="S918">
            <v>3</v>
          </cell>
          <cell r="T918">
            <v>35977</v>
          </cell>
          <cell r="Y918">
            <v>6</v>
          </cell>
          <cell r="Z918">
            <v>31484427</v>
          </cell>
          <cell r="AA918">
            <v>30</v>
          </cell>
          <cell r="AB918">
            <v>318031994.00000006</v>
          </cell>
          <cell r="AC918">
            <v>41.666666666666671</v>
          </cell>
          <cell r="AD918">
            <v>42.404265866666677</v>
          </cell>
        </row>
        <row r="919">
          <cell r="C919" t="str">
            <v>06</v>
          </cell>
          <cell r="D919">
            <v>1</v>
          </cell>
          <cell r="E919" t="str">
            <v>02</v>
          </cell>
          <cell r="F919">
            <v>11</v>
          </cell>
          <cell r="G919">
            <v>2</v>
          </cell>
          <cell r="H919">
            <v>20</v>
          </cell>
          <cell r="I919" t="str">
            <v>Rapat-rapat koordinasi dan konsultasi dalam daerah</v>
          </cell>
          <cell r="J919" t="str">
            <v>Terpenuhi perjalanan dinas untuk rapat-rapat dalam daerah (bln)</v>
          </cell>
          <cell r="K919">
            <v>72</v>
          </cell>
          <cell r="L919">
            <v>400000000</v>
          </cell>
          <cell r="M919">
            <v>24</v>
          </cell>
          <cell r="N919">
            <v>202065000</v>
          </cell>
          <cell r="O919">
            <v>12</v>
          </cell>
          <cell r="P919">
            <v>70350000</v>
          </cell>
          <cell r="Q919">
            <v>3</v>
          </cell>
          <cell r="R919">
            <v>17415000</v>
          </cell>
          <cell r="S919">
            <v>3</v>
          </cell>
          <cell r="T919">
            <v>27175000</v>
          </cell>
          <cell r="Y919">
            <v>6</v>
          </cell>
          <cell r="Z919">
            <v>44590000</v>
          </cell>
          <cell r="AA919">
            <v>30</v>
          </cell>
          <cell r="AB919">
            <v>246655000</v>
          </cell>
          <cell r="AC919">
            <v>41.666666666666671</v>
          </cell>
          <cell r="AD919">
            <v>61.663749999999993</v>
          </cell>
        </row>
        <row r="920">
          <cell r="C920" t="str">
            <v>06</v>
          </cell>
          <cell r="D920">
            <v>1</v>
          </cell>
          <cell r="E920" t="str">
            <v>02</v>
          </cell>
          <cell r="F920">
            <v>11</v>
          </cell>
          <cell r="G920">
            <v>2</v>
          </cell>
          <cell r="H920">
            <v>22</v>
          </cell>
          <cell r="I920" t="str">
            <v>Penunjang operasional perencanaan dan pelaporan</v>
          </cell>
          <cell r="J920" t="str">
            <v>Tersedianya operasional untuk perencanaan dan pelaporan (bln)</v>
          </cell>
          <cell r="K920">
            <v>60</v>
          </cell>
          <cell r="L920">
            <v>150000000</v>
          </cell>
          <cell r="N920">
            <v>0</v>
          </cell>
          <cell r="O920">
            <v>10</v>
          </cell>
          <cell r="P920">
            <v>40495900</v>
          </cell>
          <cell r="Q920">
            <v>2</v>
          </cell>
          <cell r="R920">
            <v>0</v>
          </cell>
          <cell r="T920">
            <v>7514000</v>
          </cell>
          <cell r="Y920">
            <v>2</v>
          </cell>
          <cell r="Z920">
            <v>7514000</v>
          </cell>
          <cell r="AA920">
            <v>2</v>
          </cell>
          <cell r="AB920">
            <v>7514000</v>
          </cell>
          <cell r="AC920">
            <v>3.3333333333333335</v>
          </cell>
          <cell r="AD920">
            <v>5.0093333333333332</v>
          </cell>
        </row>
        <row r="921">
          <cell r="A921">
            <v>2</v>
          </cell>
          <cell r="B921">
            <v>2938147000</v>
          </cell>
          <cell r="C921">
            <v>1</v>
          </cell>
          <cell r="D921">
            <v>1</v>
          </cell>
          <cell r="E921" t="str">
            <v>02</v>
          </cell>
          <cell r="F921">
            <v>11</v>
          </cell>
          <cell r="G921" t="str">
            <v>02</v>
          </cell>
          <cell r="I921" t="str">
            <v>Program Peningkatan sarana dan prasarana aparatur</v>
          </cell>
          <cell r="J921" t="str">
            <v>Meningkatnya kecukupan sarana dan prasarana aparatur (persentase)</v>
          </cell>
          <cell r="K921">
            <v>100</v>
          </cell>
          <cell r="L921">
            <v>293814700</v>
          </cell>
          <cell r="M921">
            <v>33</v>
          </cell>
          <cell r="N921">
            <v>70715102.600000009</v>
          </cell>
          <cell r="O921">
            <v>16</v>
          </cell>
          <cell r="P921">
            <v>362812500</v>
          </cell>
          <cell r="Q921">
            <v>6</v>
          </cell>
          <cell r="R921">
            <v>27783000</v>
          </cell>
          <cell r="S921">
            <v>6</v>
          </cell>
          <cell r="T921">
            <v>94828000</v>
          </cell>
          <cell r="Y921">
            <v>12</v>
          </cell>
          <cell r="Z921">
            <v>122611000</v>
          </cell>
          <cell r="AA921">
            <v>45</v>
          </cell>
          <cell r="AB921">
            <v>193326102.60000002</v>
          </cell>
          <cell r="AC921">
            <v>45</v>
          </cell>
          <cell r="AD921">
            <v>65.798648808245474</v>
          </cell>
          <cell r="AE921" t="str">
            <v>DKUPP</v>
          </cell>
        </row>
        <row r="922">
          <cell r="C922">
            <v>1</v>
          </cell>
          <cell r="D922">
            <v>1</v>
          </cell>
          <cell r="E922" t="str">
            <v>02</v>
          </cell>
          <cell r="F922">
            <v>11</v>
          </cell>
          <cell r="G922" t="str">
            <v>02</v>
          </cell>
          <cell r="H922" t="str">
            <v>09</v>
          </cell>
          <cell r="I922" t="str">
            <v>Pengadaan peralatan gedung kantor</v>
          </cell>
          <cell r="J922" t="str">
            <v>Tersedianya peralatan gedung kantor Unit)</v>
          </cell>
          <cell r="K922">
            <v>80</v>
          </cell>
          <cell r="L922">
            <v>130594200</v>
          </cell>
          <cell r="M922">
            <v>20</v>
          </cell>
          <cell r="N922">
            <v>25020850</v>
          </cell>
          <cell r="O922">
            <v>29</v>
          </cell>
          <cell r="P922">
            <v>154470000</v>
          </cell>
          <cell r="R922">
            <v>0</v>
          </cell>
          <cell r="T922">
            <v>38104000</v>
          </cell>
          <cell r="Y922">
            <v>0</v>
          </cell>
          <cell r="Z922">
            <v>38104000</v>
          </cell>
          <cell r="AA922">
            <v>20</v>
          </cell>
          <cell r="AB922">
            <v>63124850</v>
          </cell>
          <cell r="AC922">
            <v>25</v>
          </cell>
          <cell r="AD922">
            <v>48.336641290348268</v>
          </cell>
        </row>
        <row r="923">
          <cell r="C923">
            <v>1</v>
          </cell>
          <cell r="D923">
            <v>1</v>
          </cell>
          <cell r="E923" t="str">
            <v>02</v>
          </cell>
          <cell r="F923">
            <v>11</v>
          </cell>
          <cell r="G923" t="str">
            <v>02</v>
          </cell>
          <cell r="H923">
            <v>22</v>
          </cell>
          <cell r="I923" t="str">
            <v>Pemeliharaan rutin/berkala gedung kantor</v>
          </cell>
          <cell r="J923" t="str">
            <v>Trsedianya Pemeliharaan rutin/berkala gedung kantor (bln)</v>
          </cell>
          <cell r="K923">
            <v>72</v>
          </cell>
          <cell r="L923">
            <v>38000000</v>
          </cell>
          <cell r="M923">
            <v>24</v>
          </cell>
          <cell r="N923">
            <v>13530037.6</v>
          </cell>
          <cell r="O923">
            <v>12</v>
          </cell>
          <cell r="P923">
            <v>30000000</v>
          </cell>
          <cell r="Q923">
            <v>3</v>
          </cell>
          <cell r="R923">
            <v>0</v>
          </cell>
          <cell r="S923">
            <v>3</v>
          </cell>
          <cell r="T923">
            <v>15400000</v>
          </cell>
          <cell r="Y923">
            <v>6</v>
          </cell>
          <cell r="Z923">
            <v>15400000</v>
          </cell>
          <cell r="AA923">
            <v>30</v>
          </cell>
          <cell r="AB923">
            <v>28930037.600000001</v>
          </cell>
          <cell r="AC923">
            <v>41.666666666666671</v>
          </cell>
          <cell r="AD923">
            <v>76.131677894736853</v>
          </cell>
        </row>
        <row r="924">
          <cell r="C924">
            <v>1</v>
          </cell>
          <cell r="D924">
            <v>1</v>
          </cell>
          <cell r="E924" t="str">
            <v>02</v>
          </cell>
          <cell r="F924">
            <v>11</v>
          </cell>
          <cell r="G924" t="str">
            <v>02</v>
          </cell>
          <cell r="H924">
            <v>24</v>
          </cell>
          <cell r="I924" t="str">
            <v>Pemeliharaan rutin/berkala Kendaraan dinas operasional</v>
          </cell>
          <cell r="J924" t="str">
            <v>Terlaksananya Pemeliharaan rutin Kendaraan dinas (bln)</v>
          </cell>
          <cell r="K924">
            <v>72</v>
          </cell>
          <cell r="L924">
            <v>110165500</v>
          </cell>
          <cell r="M924">
            <v>24</v>
          </cell>
          <cell r="N924">
            <v>29549215.000000004</v>
          </cell>
          <cell r="O924">
            <v>12</v>
          </cell>
          <cell r="P924">
            <v>166942500</v>
          </cell>
          <cell r="Q924">
            <v>3</v>
          </cell>
          <cell r="R924">
            <v>27083000</v>
          </cell>
          <cell r="S924">
            <v>3</v>
          </cell>
          <cell r="T924">
            <v>41324000</v>
          </cell>
          <cell r="Y924">
            <v>6</v>
          </cell>
          <cell r="Z924">
            <v>68407000</v>
          </cell>
          <cell r="AA924">
            <v>30</v>
          </cell>
          <cell r="AB924">
            <v>97956215</v>
          </cell>
          <cell r="AC924">
            <v>41.666666666666671</v>
          </cell>
          <cell r="AD924">
            <v>88.917324389214414</v>
          </cell>
        </row>
        <row r="925">
          <cell r="C925">
            <v>1</v>
          </cell>
          <cell r="D925">
            <v>1</v>
          </cell>
          <cell r="E925" t="str">
            <v>02</v>
          </cell>
          <cell r="F925">
            <v>11</v>
          </cell>
          <cell r="G925" t="str">
            <v>02</v>
          </cell>
          <cell r="H925">
            <v>26</v>
          </cell>
          <cell r="I925" t="str">
            <v>Pemeliharaan rutin/berkala Perlengkapan gedung kantor</v>
          </cell>
          <cell r="J925" t="str">
            <v>Terlaksanya Pemeliharaan rutin/berkala Perlengkapan gedung kantor (bln)</v>
          </cell>
          <cell r="K925">
            <v>72</v>
          </cell>
          <cell r="L925">
            <v>15055000</v>
          </cell>
          <cell r="M925">
            <v>24</v>
          </cell>
          <cell r="N925">
            <v>2615000</v>
          </cell>
          <cell r="O925">
            <v>12</v>
          </cell>
          <cell r="P925">
            <v>11400000</v>
          </cell>
          <cell r="Q925">
            <v>3</v>
          </cell>
          <cell r="R925">
            <v>700000</v>
          </cell>
          <cell r="Y925">
            <v>3</v>
          </cell>
          <cell r="Z925">
            <v>700000</v>
          </cell>
          <cell r="AA925">
            <v>27</v>
          </cell>
          <cell r="AB925">
            <v>3315000</v>
          </cell>
          <cell r="AC925">
            <v>37.5</v>
          </cell>
          <cell r="AD925">
            <v>22.019262703420793</v>
          </cell>
        </row>
        <row r="926">
          <cell r="A926">
            <v>3</v>
          </cell>
          <cell r="C926" t="str">
            <v>01</v>
          </cell>
          <cell r="D926" t="str">
            <v>01</v>
          </cell>
          <cell r="E926" t="str">
            <v>01</v>
          </cell>
          <cell r="F926" t="str">
            <v>01</v>
          </cell>
          <cell r="G926" t="str">
            <v>05</v>
          </cell>
          <cell r="I926" t="str">
            <v>Program Peningkatan Kapasitas  Sumber Daya Aparatur</v>
          </cell>
          <cell r="J926" t="str">
            <v>Persentase peningkatan SDM aparatur</v>
          </cell>
          <cell r="K926">
            <v>50</v>
          </cell>
          <cell r="L926">
            <v>283139000</v>
          </cell>
          <cell r="M926">
            <v>18</v>
          </cell>
          <cell r="N926">
            <v>100000000</v>
          </cell>
          <cell r="Y926">
            <v>0</v>
          </cell>
          <cell r="Z926">
            <v>0</v>
          </cell>
          <cell r="AA926">
            <v>18</v>
          </cell>
          <cell r="AB926">
            <v>100000000</v>
          </cell>
          <cell r="AC926">
            <v>36</v>
          </cell>
          <cell r="AD926">
            <v>35.318341874485675</v>
          </cell>
          <cell r="AE926" t="str">
            <v>DKUPP</v>
          </cell>
        </row>
        <row r="927">
          <cell r="I927" t="str">
            <v>Pendidikan dan Pelatihan Formal</v>
          </cell>
          <cell r="J927" t="str">
            <v>jumlah ASN yang berkualitas (orang)</v>
          </cell>
          <cell r="K927">
            <v>24</v>
          </cell>
          <cell r="L927">
            <v>283139000</v>
          </cell>
          <cell r="M927">
            <v>9</v>
          </cell>
          <cell r="N927">
            <v>100000000</v>
          </cell>
          <cell r="Y927">
            <v>0</v>
          </cell>
          <cell r="Z927">
            <v>0</v>
          </cell>
          <cell r="AA927">
            <v>9</v>
          </cell>
          <cell r="AB927">
            <v>100000000</v>
          </cell>
          <cell r="AC927">
            <v>37.5</v>
          </cell>
          <cell r="AD927">
            <v>35.318341874485675</v>
          </cell>
        </row>
        <row r="928">
          <cell r="A928">
            <v>4</v>
          </cell>
          <cell r="B928" t="str">
            <v>Meningkatkan peluang pasar produk unggula n daerah</v>
          </cell>
          <cell r="C928" t="str">
            <v>02</v>
          </cell>
          <cell r="D928">
            <v>1</v>
          </cell>
          <cell r="E928" t="str">
            <v>02</v>
          </cell>
          <cell r="F928">
            <v>11</v>
          </cell>
          <cell r="G928">
            <v>15</v>
          </cell>
          <cell r="I928" t="str">
            <v xml:space="preserve">Program Pengembangan Pemasaran Pariwisata </v>
          </cell>
          <cell r="J928" t="str">
            <v>Promosi Produk unggulan daerah(paket)</v>
          </cell>
          <cell r="K928">
            <v>6</v>
          </cell>
          <cell r="L928">
            <v>1275584000</v>
          </cell>
          <cell r="M928">
            <v>2</v>
          </cell>
          <cell r="N928">
            <v>139664200</v>
          </cell>
          <cell r="O928">
            <v>1</v>
          </cell>
          <cell r="P928">
            <v>246479900</v>
          </cell>
          <cell r="R928">
            <v>1200000</v>
          </cell>
          <cell r="T928">
            <v>225816000</v>
          </cell>
          <cell r="Y928">
            <v>0</v>
          </cell>
          <cell r="Z928">
            <v>410596000</v>
          </cell>
          <cell r="AA928">
            <v>2</v>
          </cell>
          <cell r="AB928">
            <v>550260200</v>
          </cell>
          <cell r="AC928">
            <v>33.333333333333329</v>
          </cell>
          <cell r="AD928">
            <v>43.137903893432338</v>
          </cell>
          <cell r="AE928" t="str">
            <v>DKUPP</v>
          </cell>
        </row>
        <row r="929">
          <cell r="B929" t="str">
            <v>Meningkatkan peluang pasar produk unggula n daerah</v>
          </cell>
          <cell r="C929" t="str">
            <v>02</v>
          </cell>
          <cell r="D929">
            <v>1</v>
          </cell>
          <cell r="E929" t="str">
            <v>02</v>
          </cell>
          <cell r="F929">
            <v>11</v>
          </cell>
          <cell r="G929">
            <v>15</v>
          </cell>
          <cell r="H929">
            <v>10</v>
          </cell>
          <cell r="I929" t="str">
            <v>Pelaksanaan Festival Langkisau</v>
          </cell>
          <cell r="J929" t="str">
            <v>Promosi Produk unggulan daerah(paket)</v>
          </cell>
          <cell r="K929">
            <v>6</v>
          </cell>
          <cell r="L929">
            <v>1275584000</v>
          </cell>
          <cell r="M929">
            <v>2</v>
          </cell>
          <cell r="N929">
            <v>139664200</v>
          </cell>
          <cell r="O929">
            <v>1</v>
          </cell>
          <cell r="P929">
            <v>246479900</v>
          </cell>
          <cell r="R929">
            <v>1200000</v>
          </cell>
          <cell r="S929">
            <v>1</v>
          </cell>
          <cell r="T929">
            <v>225816000</v>
          </cell>
          <cell r="Y929">
            <v>1</v>
          </cell>
          <cell r="Z929">
            <v>227016000</v>
          </cell>
          <cell r="AA929">
            <v>3</v>
          </cell>
          <cell r="AB929">
            <v>366680200</v>
          </cell>
          <cell r="AC929">
            <v>50</v>
          </cell>
          <cell r="AD929">
            <v>28.746064547689532</v>
          </cell>
        </row>
        <row r="930">
          <cell r="I930" t="str">
            <v>Program Penciptaan Iklim Usaha Kecil Menengah yang Kondusif</v>
          </cell>
          <cell r="J930" t="str">
            <v>Jumlah UMKM yang mengases permodalan ke lembaga keuangan (UMKM)</v>
          </cell>
          <cell r="K930">
            <v>1800</v>
          </cell>
          <cell r="L930">
            <v>649835000</v>
          </cell>
          <cell r="M930">
            <v>28</v>
          </cell>
          <cell r="N930">
            <v>40839000</v>
          </cell>
          <cell r="O930">
            <v>100</v>
          </cell>
          <cell r="P930">
            <v>61480000</v>
          </cell>
          <cell r="Q930">
            <v>49</v>
          </cell>
          <cell r="R930">
            <v>15226000</v>
          </cell>
          <cell r="S930">
            <v>20</v>
          </cell>
          <cell r="T930">
            <v>4450000</v>
          </cell>
          <cell r="Y930">
            <v>69</v>
          </cell>
          <cell r="Z930">
            <v>19676000</v>
          </cell>
          <cell r="AA930">
            <v>97</v>
          </cell>
          <cell r="AB930">
            <v>60515000</v>
          </cell>
          <cell r="AC930">
            <v>5.3888888888888893</v>
          </cell>
          <cell r="AD930">
            <v>9.3123639077612008</v>
          </cell>
        </row>
        <row r="931">
          <cell r="H931" t="str">
            <v>01</v>
          </cell>
          <cell r="I931" t="str">
            <v>Penggunaan SKIP (sistem Informasi kredit program) KUR</v>
          </cell>
          <cell r="J931" t="str">
            <v>Jumlah calon debitur potensi untuk dibiayai KUR kedalam SKIP (unitusaha)</v>
          </cell>
          <cell r="K931">
            <v>180</v>
          </cell>
          <cell r="L931">
            <v>649835000</v>
          </cell>
          <cell r="M931">
            <v>28</v>
          </cell>
          <cell r="N931">
            <v>40839000</v>
          </cell>
          <cell r="O931">
            <v>100</v>
          </cell>
          <cell r="P931">
            <v>61480000</v>
          </cell>
          <cell r="Q931">
            <v>49</v>
          </cell>
          <cell r="R931">
            <v>15226000</v>
          </cell>
          <cell r="S931">
            <v>20</v>
          </cell>
          <cell r="T931">
            <v>4450000</v>
          </cell>
          <cell r="Y931">
            <v>69</v>
          </cell>
          <cell r="Z931">
            <v>19676000</v>
          </cell>
          <cell r="AA931">
            <v>97</v>
          </cell>
          <cell r="AB931">
            <v>60515000</v>
          </cell>
          <cell r="AC931">
            <v>53.888888888888886</v>
          </cell>
          <cell r="AD931">
            <v>9.3123639077612008</v>
          </cell>
        </row>
        <row r="932">
          <cell r="I932" t="str">
            <v>Program Pengembangan kewirausahaan dan keunggulan Kompetitif usaha kecil menengah</v>
          </cell>
          <cell r="J932" t="str">
            <v>Persentase peningkatan permodalan UMK pertahun</v>
          </cell>
          <cell r="K932">
            <v>0.3</v>
          </cell>
          <cell r="L932">
            <v>5414840000</v>
          </cell>
          <cell r="M932">
            <v>0.05</v>
          </cell>
          <cell r="P932">
            <v>422934694</v>
          </cell>
          <cell r="R932">
            <v>7713000</v>
          </cell>
          <cell r="T932">
            <v>64401000</v>
          </cell>
          <cell r="Y932">
            <v>0</v>
          </cell>
          <cell r="Z932">
            <v>72114000</v>
          </cell>
          <cell r="AA932">
            <v>0.05</v>
          </cell>
          <cell r="AB932">
            <v>72114000</v>
          </cell>
          <cell r="AC932">
            <v>16.666666666666668</v>
          </cell>
          <cell r="AD932">
            <v>1.3317845033278914</v>
          </cell>
        </row>
        <row r="933">
          <cell r="H933" t="str">
            <v>06</v>
          </cell>
          <cell r="I933" t="str">
            <v>Penyelengaraan Pelatihan Kewirausahaan</v>
          </cell>
          <cell r="J933" t="str">
            <v>jumlah  UMKM ynag mengikuti pelatihan</v>
          </cell>
          <cell r="K933">
            <v>360</v>
          </cell>
          <cell r="L933">
            <v>840511000</v>
          </cell>
          <cell r="M933" t="str">
            <v>0</v>
          </cell>
          <cell r="O933">
            <v>60</v>
          </cell>
          <cell r="P933">
            <v>86822000</v>
          </cell>
          <cell r="Q933">
            <v>0</v>
          </cell>
          <cell r="R933">
            <v>963000</v>
          </cell>
          <cell r="S933">
            <v>0</v>
          </cell>
          <cell r="T933">
            <v>6750000</v>
          </cell>
          <cell r="Y933">
            <v>0</v>
          </cell>
          <cell r="Z933">
            <v>7713000</v>
          </cell>
          <cell r="AA933">
            <v>0</v>
          </cell>
          <cell r="AB933">
            <v>7713000</v>
          </cell>
          <cell r="AC933">
            <v>0</v>
          </cell>
          <cell r="AD933">
            <v>0.91765604495360564</v>
          </cell>
        </row>
        <row r="934">
          <cell r="H934" t="str">
            <v>14</v>
          </cell>
          <cell r="I934" t="str">
            <v>Pendataan validasi data UMKM</v>
          </cell>
          <cell r="J934" t="str">
            <v>jumlah UKM aktif yang didata (unit)</v>
          </cell>
          <cell r="K934" t="str">
            <v>8000</v>
          </cell>
          <cell r="L934">
            <v>755000000</v>
          </cell>
          <cell r="M934">
            <v>5778</v>
          </cell>
          <cell r="N934">
            <v>44078000</v>
          </cell>
          <cell r="O934">
            <v>750</v>
          </cell>
          <cell r="P934">
            <v>49957694</v>
          </cell>
          <cell r="Q934">
            <v>120</v>
          </cell>
          <cell r="R934">
            <v>6250000</v>
          </cell>
          <cell r="S934">
            <v>120</v>
          </cell>
          <cell r="T934">
            <v>17961000</v>
          </cell>
          <cell r="Y934">
            <v>240</v>
          </cell>
          <cell r="Z934">
            <v>24211000</v>
          </cell>
          <cell r="AA934">
            <v>6018</v>
          </cell>
          <cell r="AB934">
            <v>68289000</v>
          </cell>
          <cell r="AC934">
            <v>75.224999999999994</v>
          </cell>
          <cell r="AD934">
            <v>9.0449006622516546</v>
          </cell>
        </row>
        <row r="935">
          <cell r="H935" t="str">
            <v>16</v>
          </cell>
          <cell r="I935" t="str">
            <v>Penyelenggaraan bazar dan promosi produk UMKM</v>
          </cell>
          <cell r="J935" t="str">
            <v>jumlah bazar yang di ikuti (paket)</v>
          </cell>
          <cell r="K935" t="str">
            <v>6</v>
          </cell>
          <cell r="L935">
            <v>940218000</v>
          </cell>
          <cell r="M935" t="str">
            <v>2</v>
          </cell>
          <cell r="N935">
            <v>156703000</v>
          </cell>
          <cell r="Y935">
            <v>0</v>
          </cell>
          <cell r="Z935">
            <v>0</v>
          </cell>
          <cell r="AA935">
            <v>2</v>
          </cell>
          <cell r="AB935">
            <v>156703000</v>
          </cell>
          <cell r="AC935">
            <v>33.333333333333329</v>
          </cell>
          <cell r="AD935">
            <v>16.666666666666664</v>
          </cell>
        </row>
        <row r="936">
          <cell r="H936">
            <v>17</v>
          </cell>
          <cell r="I936" t="str">
            <v>Bintek peningkatan Kapasitas SDM UMKM</v>
          </cell>
          <cell r="J936" t="str">
            <v>Jumlah UMKM yang mengikuti bintek</v>
          </cell>
          <cell r="K936" t="str">
            <v>600</v>
          </cell>
          <cell r="L936">
            <v>590000</v>
          </cell>
          <cell r="M936" t="str">
            <v>60</v>
          </cell>
          <cell r="N936">
            <v>33700000</v>
          </cell>
          <cell r="O936">
            <v>30</v>
          </cell>
          <cell r="P936">
            <v>36404000</v>
          </cell>
          <cell r="Q936">
            <v>0</v>
          </cell>
          <cell r="R936" t="str">
            <v>-</v>
          </cell>
          <cell r="S936">
            <v>30</v>
          </cell>
          <cell r="T936">
            <v>34633000</v>
          </cell>
          <cell r="Y936">
            <v>30</v>
          </cell>
          <cell r="Z936">
            <v>34633000</v>
          </cell>
          <cell r="AA936">
            <v>90</v>
          </cell>
          <cell r="AB936">
            <v>68333000</v>
          </cell>
          <cell r="AC936">
            <v>15</v>
          </cell>
          <cell r="AD936">
            <v>11581.864406779661</v>
          </cell>
        </row>
        <row r="937">
          <cell r="H937" t="str">
            <v>21</v>
          </cell>
          <cell r="I937" t="str">
            <v>Bantuan Sarana dan Prasarana bagi UMKM</v>
          </cell>
          <cell r="J937" t="str">
            <v>Jumlah UMKM yang mendapatkan bantuan binaan (unit usaha)</v>
          </cell>
          <cell r="K937" t="str">
            <v>400</v>
          </cell>
          <cell r="L937">
            <v>1440000</v>
          </cell>
          <cell r="M937" t="str">
            <v>135</v>
          </cell>
          <cell r="N937">
            <v>296546000</v>
          </cell>
          <cell r="O937">
            <v>80</v>
          </cell>
          <cell r="P937">
            <v>200000000</v>
          </cell>
          <cell r="Q937">
            <v>0</v>
          </cell>
          <cell r="R937" t="str">
            <v>-</v>
          </cell>
          <cell r="S937" t="str">
            <v>0</v>
          </cell>
          <cell r="T937" t="str">
            <v>-</v>
          </cell>
          <cell r="Y937">
            <v>0</v>
          </cell>
          <cell r="Z937" t="str">
            <v>-</v>
          </cell>
          <cell r="AA937">
            <v>135</v>
          </cell>
          <cell r="AB937">
            <v>296546000</v>
          </cell>
          <cell r="AC937">
            <v>33.75</v>
          </cell>
          <cell r="AD937">
            <v>20593.472222222223</v>
          </cell>
        </row>
        <row r="938">
          <cell r="H938" t="str">
            <v>24</v>
          </cell>
          <cell r="I938" t="str">
            <v>Pengembangan Produk Unggulan Daerah</v>
          </cell>
          <cell r="J938" t="str">
            <v>Jumlah UMKM ola PUD dengan Pedekatan OVOP yang terbina</v>
          </cell>
          <cell r="K938" t="str">
            <v>600</v>
          </cell>
          <cell r="L938">
            <v>594031</v>
          </cell>
          <cell r="M938" t="str">
            <v>120</v>
          </cell>
          <cell r="N938">
            <v>91497000</v>
          </cell>
          <cell r="O938">
            <v>90</v>
          </cell>
          <cell r="P938">
            <v>49751000</v>
          </cell>
          <cell r="R938">
            <v>500000</v>
          </cell>
          <cell r="S938">
            <v>30</v>
          </cell>
          <cell r="T938">
            <v>5057000</v>
          </cell>
          <cell r="Y938">
            <v>30</v>
          </cell>
          <cell r="Z938">
            <v>5557000</v>
          </cell>
          <cell r="AA938">
            <v>150</v>
          </cell>
          <cell r="AB938">
            <v>97054000</v>
          </cell>
          <cell r="AC938">
            <v>25</v>
          </cell>
          <cell r="AD938">
            <v>16338.204571815277</v>
          </cell>
        </row>
        <row r="939">
          <cell r="I939" t="str">
            <v>Program Peningkatan Kualitas Kelembagaan Koperasi</v>
          </cell>
          <cell r="J939" t="str">
            <v>Persentase koperasi aktif melaksanakan RAT</v>
          </cell>
          <cell r="K939">
            <v>0.51</v>
          </cell>
          <cell r="L939">
            <v>488176592</v>
          </cell>
          <cell r="M939">
            <v>0.43</v>
          </cell>
          <cell r="N939">
            <v>380112000</v>
          </cell>
          <cell r="P939">
            <v>372162192</v>
          </cell>
          <cell r="R939">
            <v>10944000</v>
          </cell>
          <cell r="T939">
            <v>94422000</v>
          </cell>
          <cell r="Y939">
            <v>0</v>
          </cell>
          <cell r="Z939">
            <v>105366000</v>
          </cell>
          <cell r="AA939">
            <v>0.43</v>
          </cell>
          <cell r="AB939">
            <v>485478000</v>
          </cell>
          <cell r="AC939">
            <v>84.313725490196077</v>
          </cell>
          <cell r="AD939" t="str">
            <v>-</v>
          </cell>
        </row>
        <row r="940">
          <cell r="J940" t="str">
            <v>Pesentase Koperasi dengan modal di atas5 M</v>
          </cell>
          <cell r="K940" t="str">
            <v>25</v>
          </cell>
          <cell r="M940" t="str">
            <v>11</v>
          </cell>
        </row>
        <row r="941">
          <cell r="H941" t="str">
            <v>04</v>
          </cell>
          <cell r="I941" t="str">
            <v xml:space="preserve">Sosialisasi prinsip -prinsip pemahaman kopersaian </v>
          </cell>
          <cell r="J941" t="str">
            <v>Jumlah koperasi yang mengikuti bintek</v>
          </cell>
          <cell r="K941" t="str">
            <v>300</v>
          </cell>
          <cell r="L941">
            <v>303432</v>
          </cell>
          <cell r="M941" t="str">
            <v>60</v>
          </cell>
          <cell r="N941">
            <v>21642000</v>
          </cell>
          <cell r="O941" t="str">
            <v>60</v>
          </cell>
          <cell r="P941">
            <v>26447579</v>
          </cell>
          <cell r="Y941">
            <v>0</v>
          </cell>
          <cell r="Z941" t="str">
            <v>-</v>
          </cell>
          <cell r="AB941">
            <v>21642000</v>
          </cell>
          <cell r="AC941">
            <v>0</v>
          </cell>
          <cell r="AD941">
            <v>7132.4052835561179</v>
          </cell>
        </row>
        <row r="942">
          <cell r="H942" t="str">
            <v>05</v>
          </cell>
          <cell r="I942" t="str">
            <v>Pembinaan dan pengawasan dan penghargaan koperasi berprestasi dan peringkatan hari koperasi</v>
          </cell>
          <cell r="J942" t="str">
            <v>Jumlah koperasi yang menerima penghargaan koperasi berprestasi</v>
          </cell>
          <cell r="K942" t="str">
            <v>18</v>
          </cell>
          <cell r="L942">
            <v>211160</v>
          </cell>
          <cell r="M942" t="str">
            <v>6</v>
          </cell>
          <cell r="N942">
            <v>105628000</v>
          </cell>
          <cell r="O942">
            <v>3</v>
          </cell>
          <cell r="P942">
            <v>233121686</v>
          </cell>
          <cell r="R942">
            <v>6914000</v>
          </cell>
          <cell r="T942">
            <v>57554000</v>
          </cell>
          <cell r="Z942">
            <v>64468000</v>
          </cell>
          <cell r="AA942">
            <v>6</v>
          </cell>
          <cell r="AB942">
            <v>170096000</v>
          </cell>
          <cell r="AC942">
            <v>33.333333333333329</v>
          </cell>
          <cell r="AD942">
            <v>80553.135063458991</v>
          </cell>
        </row>
        <row r="943">
          <cell r="J943" t="str">
            <v>Jumlah koperasi yang dibina dan diawasi</v>
          </cell>
          <cell r="K943" t="str">
            <v>350</v>
          </cell>
          <cell r="M943" t="str">
            <v>110</v>
          </cell>
          <cell r="O943" t="str">
            <v>60</v>
          </cell>
          <cell r="Q943" t="str">
            <v>10</v>
          </cell>
          <cell r="S943" t="str">
            <v>25</v>
          </cell>
          <cell r="AC943">
            <v>0</v>
          </cell>
          <cell r="AD943">
            <v>0</v>
          </cell>
        </row>
        <row r="944">
          <cell r="H944">
            <v>11</v>
          </cell>
          <cell r="I944" t="str">
            <v>Pelatihan Akutansi Koperasi</v>
          </cell>
          <cell r="J944" t="str">
            <v>jumlah pengurus koperasi yang mengikuti pelatihan (org)</v>
          </cell>
          <cell r="K944" t="str">
            <v>150</v>
          </cell>
          <cell r="L944">
            <v>18280000</v>
          </cell>
          <cell r="M944" t="str">
            <v>70</v>
          </cell>
          <cell r="N944">
            <v>120353000</v>
          </cell>
          <cell r="O944" t="str">
            <v>40</v>
          </cell>
          <cell r="P944">
            <v>62612979</v>
          </cell>
          <cell r="S944" t="str">
            <v>20</v>
          </cell>
          <cell r="T944">
            <v>26060000</v>
          </cell>
          <cell r="Y944">
            <v>20</v>
          </cell>
          <cell r="Z944">
            <v>26060000</v>
          </cell>
          <cell r="AA944">
            <v>90</v>
          </cell>
          <cell r="AB944">
            <v>146413000</v>
          </cell>
          <cell r="AC944">
            <v>60</v>
          </cell>
          <cell r="AD944">
            <v>800.94638949671776</v>
          </cell>
        </row>
        <row r="945">
          <cell r="H945">
            <v>25</v>
          </cell>
          <cell r="I945" t="str">
            <v>Revitalisasi koperasi/KUD</v>
          </cell>
          <cell r="J945" t="str">
            <v>jumlah koperasi yang direvilisasi</v>
          </cell>
          <cell r="K945" t="str">
            <v>300</v>
          </cell>
          <cell r="L945">
            <v>182802000</v>
          </cell>
          <cell r="M945" t="str">
            <v>60</v>
          </cell>
          <cell r="N945">
            <v>39323000</v>
          </cell>
          <cell r="O945">
            <v>60</v>
          </cell>
          <cell r="P945">
            <v>49979948</v>
          </cell>
          <cell r="R945">
            <v>4030000</v>
          </cell>
          <cell r="S945">
            <v>15</v>
          </cell>
          <cell r="T945">
            <v>10808000</v>
          </cell>
          <cell r="Y945">
            <v>15</v>
          </cell>
          <cell r="Z945">
            <v>14838000</v>
          </cell>
          <cell r="AA945">
            <v>75</v>
          </cell>
          <cell r="AB945">
            <v>54161000</v>
          </cell>
          <cell r="AC945">
            <v>25</v>
          </cell>
          <cell r="AD945">
            <v>29.628231638603513</v>
          </cell>
        </row>
        <row r="946">
          <cell r="H946">
            <v>27</v>
          </cell>
          <cell r="I946" t="str">
            <v>Bintek kelembagaan dan usaha koperasi</v>
          </cell>
          <cell r="J946" t="str">
            <v>jumlah pengurus koperasi yang mengikuti bintek</v>
          </cell>
          <cell r="K946" t="str">
            <v>300</v>
          </cell>
          <cell r="L946">
            <v>286580000</v>
          </cell>
          <cell r="M946" t="str">
            <v>120</v>
          </cell>
          <cell r="N946">
            <v>93166000</v>
          </cell>
          <cell r="Y946">
            <v>0</v>
          </cell>
          <cell r="Z946" t="str">
            <v>-</v>
          </cell>
          <cell r="AA946" t="str">
            <v>120</v>
          </cell>
          <cell r="AB946">
            <v>93166000</v>
          </cell>
          <cell r="AC946">
            <v>40</v>
          </cell>
          <cell r="AD946">
            <v>32.50959592434922</v>
          </cell>
        </row>
        <row r="947">
          <cell r="A947" t="str">
            <v>Rata-Rata Capaian Kinerja</v>
          </cell>
          <cell r="AC947">
            <v>37.958333333333329</v>
          </cell>
          <cell r="AD947">
            <v>47.368338657885516</v>
          </cell>
        </row>
        <row r="948">
          <cell r="A948" t="str">
            <v>Peringkat  Kinerja</v>
          </cell>
          <cell r="AC948" t="str">
            <v>SR</v>
          </cell>
          <cell r="AD948" t="str">
            <v>SR</v>
          </cell>
        </row>
        <row r="949">
          <cell r="A949" t="str">
            <v>XII</v>
          </cell>
          <cell r="I949" t="str">
            <v>URUSAN PENANAMAN MODAL DAN PELAYANAN PERIZINAN</v>
          </cell>
          <cell r="L949">
            <v>4595525970</v>
          </cell>
          <cell r="N949">
            <v>1794440153</v>
          </cell>
          <cell r="P949">
            <v>1733310169</v>
          </cell>
          <cell r="R949">
            <v>243975311</v>
          </cell>
          <cell r="T949">
            <v>687754639</v>
          </cell>
          <cell r="Y949">
            <v>0</v>
          </cell>
          <cell r="Z949">
            <v>931729950</v>
          </cell>
          <cell r="AB949">
            <v>2726170103</v>
          </cell>
        </row>
        <row r="950">
          <cell r="A950">
            <v>1</v>
          </cell>
          <cell r="B950" t="str">
            <v xml:space="preserve">Meningkatnya Pelayanan Administrasi perkantoran </v>
          </cell>
          <cell r="C950" t="str">
            <v>1</v>
          </cell>
          <cell r="D950" t="str">
            <v>02</v>
          </cell>
          <cell r="E950">
            <v>12</v>
          </cell>
          <cell r="F950" t="str">
            <v>.01</v>
          </cell>
          <cell r="I950" t="str">
            <v>Program Pelayanan Administrasi Perkantoran</v>
          </cell>
          <cell r="J950" t="str">
            <v>Terlaksananya administrasi pelayanan perkantoran (bln)</v>
          </cell>
          <cell r="K950">
            <v>72</v>
          </cell>
          <cell r="L950">
            <v>1125270969</v>
          </cell>
          <cell r="M950">
            <v>24</v>
          </cell>
          <cell r="N950">
            <v>652767385</v>
          </cell>
          <cell r="O950">
            <v>12</v>
          </cell>
          <cell r="P950">
            <v>550131434</v>
          </cell>
          <cell r="Q950">
            <v>3</v>
          </cell>
          <cell r="R950">
            <v>133602759</v>
          </cell>
          <cell r="T950">
            <v>291683402</v>
          </cell>
          <cell r="Y950">
            <v>3</v>
          </cell>
          <cell r="Z950">
            <v>425286161</v>
          </cell>
          <cell r="AA950">
            <v>27</v>
          </cell>
          <cell r="AB950">
            <v>1078053546</v>
          </cell>
          <cell r="AC950">
            <v>37.5</v>
          </cell>
          <cell r="AD950">
            <v>95.803906410030208</v>
          </cell>
          <cell r="AE950" t="str">
            <v>DPMP2TSP</v>
          </cell>
        </row>
        <row r="951">
          <cell r="C951" t="str">
            <v>1</v>
          </cell>
          <cell r="D951" t="str">
            <v>02</v>
          </cell>
          <cell r="E951">
            <v>12</v>
          </cell>
          <cell r="F951" t="str">
            <v>.01</v>
          </cell>
          <cell r="H951" t="str">
            <v>02</v>
          </cell>
          <cell r="I951" t="str">
            <v>Penyediaan Jasa Komunikasi, Sumber Daya Air dan Listrik</v>
          </cell>
          <cell r="J951" t="str">
            <v>Rekening listrik air, telpon (bln)</v>
          </cell>
          <cell r="K951">
            <v>72</v>
          </cell>
          <cell r="L951">
            <v>102021120</v>
          </cell>
          <cell r="M951">
            <v>24</v>
          </cell>
          <cell r="N951">
            <v>46344612</v>
          </cell>
          <cell r="O951">
            <v>12</v>
          </cell>
          <cell r="P951">
            <v>42000000</v>
          </cell>
          <cell r="Q951">
            <v>3</v>
          </cell>
          <cell r="R951">
            <v>4774559</v>
          </cell>
          <cell r="S951">
            <v>42.344164285714285</v>
          </cell>
          <cell r="T951">
            <v>17784549</v>
          </cell>
          <cell r="Y951">
            <v>45.344164285714285</v>
          </cell>
          <cell r="Z951">
            <v>22559108</v>
          </cell>
          <cell r="AA951">
            <v>69.344164285714285</v>
          </cell>
          <cell r="AB951">
            <v>68903720</v>
          </cell>
          <cell r="AC951">
            <v>96.311339285714283</v>
          </cell>
          <cell r="AD951">
            <v>67.538682186590378</v>
          </cell>
        </row>
        <row r="952">
          <cell r="C952" t="str">
            <v>1</v>
          </cell>
          <cell r="D952" t="str">
            <v>02</v>
          </cell>
          <cell r="E952">
            <v>12</v>
          </cell>
          <cell r="F952" t="str">
            <v>.01</v>
          </cell>
          <cell r="H952" t="str">
            <v>.07</v>
          </cell>
          <cell r="I952" t="str">
            <v>Penyediaan jasa administrasi keuangan</v>
          </cell>
          <cell r="J952" t="str">
            <v>Honor pengelola kegiatan (bln)</v>
          </cell>
          <cell r="K952">
            <v>72</v>
          </cell>
          <cell r="L952">
            <v>120056200</v>
          </cell>
          <cell r="M952">
            <v>24</v>
          </cell>
          <cell r="N952">
            <v>64030000</v>
          </cell>
          <cell r="O952">
            <v>12</v>
          </cell>
          <cell r="P952">
            <v>67800000</v>
          </cell>
          <cell r="Q952">
            <v>3</v>
          </cell>
          <cell r="R952">
            <v>11250000</v>
          </cell>
          <cell r="S952">
            <v>41.592920353982301</v>
          </cell>
          <cell r="T952">
            <v>28200000</v>
          </cell>
          <cell r="Y952">
            <v>44.592920353982301</v>
          </cell>
          <cell r="Z952">
            <v>39450000</v>
          </cell>
          <cell r="AA952">
            <v>68.592920353982294</v>
          </cell>
          <cell r="AB952">
            <v>103480000</v>
          </cell>
          <cell r="AC952">
            <v>95.267944936086522</v>
          </cell>
          <cell r="AD952">
            <v>86.192966294118918</v>
          </cell>
        </row>
        <row r="953">
          <cell r="C953" t="str">
            <v>1</v>
          </cell>
          <cell r="D953" t="str">
            <v>02</v>
          </cell>
          <cell r="E953">
            <v>12</v>
          </cell>
          <cell r="F953" t="str">
            <v>.01</v>
          </cell>
          <cell r="H953" t="str">
            <v>.08</v>
          </cell>
          <cell r="I953" t="str">
            <v>Penyediaan Jasa Kebersihan Kantor</v>
          </cell>
          <cell r="J953" t="str">
            <v>operasional kebersihan kantor (bln)</v>
          </cell>
          <cell r="K953">
            <v>72</v>
          </cell>
          <cell r="L953">
            <v>32454950</v>
          </cell>
          <cell r="M953">
            <v>24</v>
          </cell>
          <cell r="N953">
            <v>13163000</v>
          </cell>
          <cell r="O953">
            <v>12</v>
          </cell>
          <cell r="P953">
            <v>82018500</v>
          </cell>
          <cell r="Q953">
            <v>3</v>
          </cell>
          <cell r="R953">
            <v>917500</v>
          </cell>
          <cell r="S953">
            <v>51.604820863585651</v>
          </cell>
          <cell r="T953">
            <v>42325500</v>
          </cell>
          <cell r="Y953">
            <v>54.604820863585651</v>
          </cell>
          <cell r="Z953">
            <v>43243000</v>
          </cell>
          <cell r="AA953">
            <v>78.604820863585644</v>
          </cell>
          <cell r="AB953">
            <v>56406000</v>
          </cell>
          <cell r="AC953">
            <v>109.17336231053562</v>
          </cell>
          <cell r="AD953">
            <v>173.79783361243818</v>
          </cell>
        </row>
        <row r="954">
          <cell r="C954" t="str">
            <v>1</v>
          </cell>
          <cell r="D954" t="str">
            <v>02</v>
          </cell>
          <cell r="E954">
            <v>12</v>
          </cell>
          <cell r="F954" t="str">
            <v>.01</v>
          </cell>
          <cell r="H954" t="str">
            <v>.09</v>
          </cell>
          <cell r="I954" t="str">
            <v>Penyediaan Jasa Perbaikan Peralatan Kerja</v>
          </cell>
          <cell r="J954" t="str">
            <v>terpeliharanya peralatan kerja (bln)</v>
          </cell>
          <cell r="K954">
            <v>72</v>
          </cell>
          <cell r="L954">
            <v>22254320</v>
          </cell>
          <cell r="M954">
            <v>24</v>
          </cell>
          <cell r="N954">
            <v>10680000</v>
          </cell>
          <cell r="O954">
            <v>12</v>
          </cell>
          <cell r="P954">
            <v>15200000</v>
          </cell>
          <cell r="Q954">
            <v>3</v>
          </cell>
          <cell r="R954">
            <v>1950000</v>
          </cell>
          <cell r="S954">
            <v>35.39473684210526</v>
          </cell>
          <cell r="T954">
            <v>5380000</v>
          </cell>
          <cell r="Y954">
            <v>38.39473684210526</v>
          </cell>
          <cell r="Z954">
            <v>7330000</v>
          </cell>
          <cell r="AA954">
            <v>62.39473684210526</v>
          </cell>
          <cell r="AB954">
            <v>18010000</v>
          </cell>
          <cell r="AC954">
            <v>86.659356725146196</v>
          </cell>
          <cell r="AD954">
            <v>80.928107441611346</v>
          </cell>
        </row>
        <row r="955">
          <cell r="C955" t="str">
            <v>1</v>
          </cell>
          <cell r="D955" t="str">
            <v>02</v>
          </cell>
          <cell r="E955">
            <v>12</v>
          </cell>
          <cell r="F955" t="str">
            <v>.01</v>
          </cell>
          <cell r="H955" t="str">
            <v>.10</v>
          </cell>
          <cell r="I955" t="str">
            <v>Penyediaan Alat Tulis Kantor</v>
          </cell>
          <cell r="J955" t="str">
            <v>tersedianya alat tulis kantor (bln)</v>
          </cell>
          <cell r="K955">
            <v>72</v>
          </cell>
          <cell r="L955">
            <v>67330829</v>
          </cell>
          <cell r="M955">
            <v>24</v>
          </cell>
          <cell r="N955">
            <v>31906000</v>
          </cell>
          <cell r="O955">
            <v>12</v>
          </cell>
          <cell r="P955">
            <v>32324500</v>
          </cell>
          <cell r="Q955">
            <v>3</v>
          </cell>
          <cell r="R955">
            <v>8113500</v>
          </cell>
          <cell r="S955">
            <v>34.948723104765733</v>
          </cell>
          <cell r="T955">
            <v>11297000</v>
          </cell>
          <cell r="Y955">
            <v>37.948723104765733</v>
          </cell>
          <cell r="Z955">
            <v>19410500</v>
          </cell>
          <cell r="AA955">
            <v>61.948723104765733</v>
          </cell>
          <cell r="AB955">
            <v>51316500</v>
          </cell>
          <cell r="AC955">
            <v>86.039893201063521</v>
          </cell>
          <cell r="AD955">
            <v>76.215458449204604</v>
          </cell>
        </row>
        <row r="956">
          <cell r="C956" t="str">
            <v>1</v>
          </cell>
          <cell r="D956" t="str">
            <v>02</v>
          </cell>
          <cell r="E956">
            <v>12</v>
          </cell>
          <cell r="F956" t="str">
            <v>.01</v>
          </cell>
          <cell r="H956" t="str">
            <v>.11</v>
          </cell>
          <cell r="I956" t="str">
            <v>Penyediaan Barang Cetakan dan Penggandaan</v>
          </cell>
          <cell r="J956" t="str">
            <v>terpenuhinya kebutuhan barang cetakan dan penggandaan (bln)</v>
          </cell>
          <cell r="K956">
            <v>72</v>
          </cell>
          <cell r="L956">
            <v>66396935</v>
          </cell>
          <cell r="M956">
            <v>24</v>
          </cell>
          <cell r="N956">
            <v>45274000</v>
          </cell>
          <cell r="O956">
            <v>12</v>
          </cell>
          <cell r="P956">
            <v>24870700</v>
          </cell>
          <cell r="Q956">
            <v>3</v>
          </cell>
          <cell r="R956">
            <v>7432400</v>
          </cell>
          <cell r="S956">
            <v>53.790202929551647</v>
          </cell>
          <cell r="T956">
            <v>13378000</v>
          </cell>
          <cell r="Y956">
            <v>56.790202929551647</v>
          </cell>
          <cell r="Z956">
            <v>20810400</v>
          </cell>
          <cell r="AA956">
            <v>80.79020292955164</v>
          </cell>
          <cell r="AB956">
            <v>66084400</v>
          </cell>
          <cell r="AC956">
            <v>112.20861517993283</v>
          </cell>
          <cell r="AD956">
            <v>99.529293031372617</v>
          </cell>
        </row>
        <row r="957">
          <cell r="C957" t="str">
            <v>1</v>
          </cell>
          <cell r="D957" t="str">
            <v>02</v>
          </cell>
          <cell r="E957">
            <v>12</v>
          </cell>
          <cell r="F957" t="str">
            <v>.01</v>
          </cell>
          <cell r="H957" t="str">
            <v>.12</v>
          </cell>
          <cell r="I957" t="str">
            <v>Penyediaan Komponen Instalasi Listrik/Penerangan Bangunan Kantor</v>
          </cell>
          <cell r="J957" t="str">
            <v>tersedianya peralatan listrik (bln)</v>
          </cell>
          <cell r="K957">
            <v>72</v>
          </cell>
          <cell r="L957">
            <v>30735562</v>
          </cell>
          <cell r="M957">
            <v>24</v>
          </cell>
          <cell r="N957">
            <v>8061700</v>
          </cell>
          <cell r="O957">
            <v>12</v>
          </cell>
          <cell r="P957">
            <v>14831000</v>
          </cell>
          <cell r="Q957">
            <v>3</v>
          </cell>
          <cell r="R957">
            <v>472200</v>
          </cell>
          <cell r="S957">
            <v>26.498550333760367</v>
          </cell>
          <cell r="T957">
            <v>3930000</v>
          </cell>
          <cell r="Y957">
            <v>29.498550333760367</v>
          </cell>
          <cell r="Z957">
            <v>4402200</v>
          </cell>
          <cell r="AA957">
            <v>53.498550333760363</v>
          </cell>
          <cell r="AB957">
            <v>12463900</v>
          </cell>
          <cell r="AC957">
            <v>74.303542130222723</v>
          </cell>
          <cell r="AD957">
            <v>40.5520484707584</v>
          </cell>
        </row>
        <row r="958">
          <cell r="C958" t="str">
            <v>1</v>
          </cell>
          <cell r="D958" t="str">
            <v>02</v>
          </cell>
          <cell r="E958">
            <v>12</v>
          </cell>
          <cell r="F958" t="str">
            <v>.01</v>
          </cell>
          <cell r="I958" t="str">
            <v>Penyedian peralatan dan perlengkapan kantor</v>
          </cell>
          <cell r="J958" t="str">
            <v>tersedianya peralatan kerja (bln)</v>
          </cell>
          <cell r="K958">
            <v>72</v>
          </cell>
          <cell r="L958">
            <v>86000000</v>
          </cell>
          <cell r="M958">
            <v>24</v>
          </cell>
          <cell r="N958">
            <v>57940000</v>
          </cell>
          <cell r="O958">
            <v>12</v>
          </cell>
          <cell r="P958">
            <v>37650000</v>
          </cell>
          <cell r="Q958">
            <v>3</v>
          </cell>
          <cell r="R958">
            <v>0</v>
          </cell>
          <cell r="S958">
            <v>97.875166002656044</v>
          </cell>
          <cell r="T958">
            <v>36850000</v>
          </cell>
          <cell r="Y958">
            <v>100.87516600265604</v>
          </cell>
          <cell r="Z958">
            <v>36850000</v>
          </cell>
          <cell r="AA958">
            <v>124.87516600265604</v>
          </cell>
          <cell r="AB958">
            <v>94790000</v>
          </cell>
          <cell r="AC958">
            <v>173.4377305592445</v>
          </cell>
          <cell r="AD958">
            <v>110.22093023255815</v>
          </cell>
        </row>
        <row r="959">
          <cell r="C959" t="str">
            <v>1</v>
          </cell>
          <cell r="D959" t="str">
            <v>02</v>
          </cell>
          <cell r="E959">
            <v>12</v>
          </cell>
          <cell r="F959" t="str">
            <v>.01</v>
          </cell>
          <cell r="H959" t="str">
            <v>15</v>
          </cell>
          <cell r="I959" t="str">
            <v>Penyediaan Bahan Bacaan dan Peraturan Perundang-undangan</v>
          </cell>
          <cell r="J959" t="str">
            <v>tersedianya koran, buku (bln)</v>
          </cell>
          <cell r="K959">
            <v>72</v>
          </cell>
          <cell r="L959">
            <v>111271600</v>
          </cell>
          <cell r="M959">
            <v>24</v>
          </cell>
          <cell r="N959">
            <v>18270000</v>
          </cell>
          <cell r="O959">
            <v>12</v>
          </cell>
          <cell r="P959">
            <v>13900000</v>
          </cell>
          <cell r="Q959">
            <v>3</v>
          </cell>
          <cell r="R959">
            <v>7200000</v>
          </cell>
          <cell r="S959">
            <v>71.258992805755398</v>
          </cell>
          <cell r="T959">
            <v>9905000</v>
          </cell>
          <cell r="Y959">
            <v>74.258992805755398</v>
          </cell>
          <cell r="Z959">
            <v>17105000</v>
          </cell>
          <cell r="AA959">
            <v>98.258992805755398</v>
          </cell>
          <cell r="AB959">
            <v>35375000</v>
          </cell>
          <cell r="AC959">
            <v>136.47082334132693</v>
          </cell>
          <cell r="AD959">
            <v>31.791580241499179</v>
          </cell>
        </row>
        <row r="960">
          <cell r="C960" t="str">
            <v>1</v>
          </cell>
          <cell r="D960" t="str">
            <v>02</v>
          </cell>
          <cell r="E960">
            <v>12</v>
          </cell>
          <cell r="F960" t="str">
            <v>.01</v>
          </cell>
          <cell r="H960" t="str">
            <v>.17</v>
          </cell>
          <cell r="I960" t="str">
            <v>Penyediaan Makanan dan Minuman</v>
          </cell>
          <cell r="J960" t="str">
            <v>makan rapat, tamu (bln)</v>
          </cell>
          <cell r="K960">
            <v>72</v>
          </cell>
          <cell r="L960">
            <v>57575733</v>
          </cell>
          <cell r="M960">
            <v>24</v>
          </cell>
          <cell r="N960">
            <v>23225000</v>
          </cell>
          <cell r="O960">
            <v>12</v>
          </cell>
          <cell r="P960">
            <v>32400000</v>
          </cell>
          <cell r="Q960">
            <v>3</v>
          </cell>
          <cell r="R960">
            <v>600000</v>
          </cell>
          <cell r="S960">
            <v>31.327160493827162</v>
          </cell>
          <cell r="T960">
            <v>10150000</v>
          </cell>
          <cell r="Y960">
            <v>34.327160493827165</v>
          </cell>
          <cell r="Z960">
            <v>10750000</v>
          </cell>
          <cell r="AA960">
            <v>58.327160493827165</v>
          </cell>
          <cell r="AB960">
            <v>33975000</v>
          </cell>
          <cell r="AC960">
            <v>81.009945130315515</v>
          </cell>
          <cell r="AD960">
            <v>59.009235713942189</v>
          </cell>
        </row>
        <row r="961">
          <cell r="C961" t="str">
            <v>1</v>
          </cell>
          <cell r="D961" t="str">
            <v>02</v>
          </cell>
          <cell r="E961">
            <v>12</v>
          </cell>
          <cell r="F961" t="str">
            <v>.01</v>
          </cell>
          <cell r="H961" t="str">
            <v>.18</v>
          </cell>
          <cell r="I961" t="str">
            <v>Rapat-rapat Koordinasi dan Konsultasi ke Luar Daerah</v>
          </cell>
          <cell r="J961" t="str">
            <v>operasional rapat ke propinsi dan luar propinsi (bln)</v>
          </cell>
          <cell r="K961">
            <v>72</v>
          </cell>
          <cell r="L961">
            <v>291902400</v>
          </cell>
          <cell r="M961">
            <v>24</v>
          </cell>
          <cell r="N961">
            <v>264598823</v>
          </cell>
          <cell r="O961">
            <v>12</v>
          </cell>
          <cell r="P961">
            <v>98500000</v>
          </cell>
          <cell r="Q961">
            <v>3</v>
          </cell>
          <cell r="R961">
            <v>75256600</v>
          </cell>
          <cell r="S961">
            <v>66.115282233502541</v>
          </cell>
          <cell r="T961">
            <v>65123553</v>
          </cell>
          <cell r="Y961">
            <v>69.115282233502541</v>
          </cell>
          <cell r="Z961">
            <v>140380153</v>
          </cell>
          <cell r="AA961">
            <v>93.115282233502541</v>
          </cell>
          <cell r="AB961">
            <v>404978976</v>
          </cell>
          <cell r="AC961">
            <v>129.32678087986466</v>
          </cell>
          <cell r="AD961">
            <v>138.73780277243353</v>
          </cell>
        </row>
        <row r="962">
          <cell r="C962" t="str">
            <v>1</v>
          </cell>
          <cell r="D962" t="str">
            <v>02</v>
          </cell>
          <cell r="E962">
            <v>12</v>
          </cell>
          <cell r="F962" t="str">
            <v>.01</v>
          </cell>
          <cell r="H962" t="str">
            <v>.20</v>
          </cell>
          <cell r="I962" t="str">
            <v>Rapat-rapat Koordinasi dan Konsultasi Dalam Daerah</v>
          </cell>
          <cell r="J962" t="str">
            <v>survei, peninjauan lapangan (bln)</v>
          </cell>
          <cell r="K962">
            <v>72</v>
          </cell>
          <cell r="L962">
            <v>137271320</v>
          </cell>
          <cell r="M962">
            <v>24</v>
          </cell>
          <cell r="N962">
            <v>69274250</v>
          </cell>
          <cell r="O962">
            <v>12</v>
          </cell>
          <cell r="P962">
            <v>54474000</v>
          </cell>
          <cell r="Q962">
            <v>3</v>
          </cell>
          <cell r="R962">
            <v>15636000</v>
          </cell>
          <cell r="S962">
            <v>62.212798766383962</v>
          </cell>
          <cell r="T962">
            <v>33889800</v>
          </cell>
          <cell r="Y962">
            <v>65.212798766383969</v>
          </cell>
          <cell r="Z962">
            <v>49525800</v>
          </cell>
          <cell r="AA962">
            <v>89.212798766383969</v>
          </cell>
          <cell r="AB962">
            <v>118800050</v>
          </cell>
          <cell r="AC962">
            <v>123.90666495331106</v>
          </cell>
          <cell r="AD962">
            <v>86.543970000434172</v>
          </cell>
        </row>
        <row r="963">
          <cell r="C963" t="str">
            <v>1</v>
          </cell>
          <cell r="D963" t="str">
            <v>02</v>
          </cell>
          <cell r="E963">
            <v>12</v>
          </cell>
          <cell r="F963" t="str">
            <v>.01</v>
          </cell>
          <cell r="H963" t="str">
            <v>.22</v>
          </cell>
          <cell r="I963" t="str">
            <v>Penunjang Operasional Perencanaan dan Pelaporan</v>
          </cell>
          <cell r="J963" t="str">
            <v>cetak RKA, RENSTRA, LKPJ, RKPD, dan laporan lainnya</v>
          </cell>
          <cell r="K963">
            <v>48</v>
          </cell>
          <cell r="L963">
            <v>136650936</v>
          </cell>
          <cell r="M963">
            <v>0</v>
          </cell>
          <cell r="O963">
            <v>12</v>
          </cell>
          <cell r="P963">
            <v>34162734</v>
          </cell>
          <cell r="Q963">
            <v>3</v>
          </cell>
          <cell r="R963">
            <v>0</v>
          </cell>
          <cell r="S963">
            <v>39.428928609753541</v>
          </cell>
          <cell r="T963">
            <v>13470000</v>
          </cell>
          <cell r="Y963">
            <v>42.428928609753541</v>
          </cell>
          <cell r="Z963">
            <v>13470000</v>
          </cell>
          <cell r="AA963">
            <v>42.428928609753541</v>
          </cell>
          <cell r="AB963">
            <v>13470000</v>
          </cell>
          <cell r="AC963">
            <v>88.393601270319877</v>
          </cell>
          <cell r="AD963">
            <v>9.8572321524383852</v>
          </cell>
        </row>
        <row r="964">
          <cell r="A964">
            <v>2</v>
          </cell>
          <cell r="B964" t="str">
            <v>Meningkatnya Sarana dan Prasarana Aparatur</v>
          </cell>
          <cell r="C964" t="str">
            <v>1</v>
          </cell>
          <cell r="D964" t="str">
            <v>02</v>
          </cell>
          <cell r="E964" t="str">
            <v>02</v>
          </cell>
          <cell r="I964" t="str">
            <v>Program Peningkatan Sarana dan Prasarana Aparatur</v>
          </cell>
          <cell r="J964" t="str">
            <v>tersedianya sarpras penunjang (bln)</v>
          </cell>
          <cell r="K964">
            <v>72</v>
          </cell>
          <cell r="L964">
            <v>1123008791</v>
          </cell>
          <cell r="M964">
            <v>24</v>
          </cell>
          <cell r="N964">
            <v>353540486</v>
          </cell>
          <cell r="O964">
            <v>12</v>
          </cell>
          <cell r="P964">
            <v>345633600</v>
          </cell>
          <cell r="Q964">
            <v>3</v>
          </cell>
          <cell r="R964">
            <v>4769000</v>
          </cell>
          <cell r="T964">
            <v>94269495</v>
          </cell>
          <cell r="Y964">
            <v>3</v>
          </cell>
          <cell r="Z964">
            <v>99038495</v>
          </cell>
          <cell r="AA964">
            <v>27</v>
          </cell>
          <cell r="AB964">
            <v>452578981</v>
          </cell>
          <cell r="AC964">
            <v>37.5</v>
          </cell>
          <cell r="AD964">
            <v>40.300573301567326</v>
          </cell>
          <cell r="AE964" t="str">
            <v>DPMP2TSP</v>
          </cell>
        </row>
        <row r="965">
          <cell r="C965" t="str">
            <v>1</v>
          </cell>
          <cell r="D965" t="str">
            <v>02</v>
          </cell>
          <cell r="E965">
            <v>12</v>
          </cell>
          <cell r="F965" t="str">
            <v>02</v>
          </cell>
          <cell r="H965" t="str">
            <v>22</v>
          </cell>
          <cell r="I965" t="str">
            <v>Pemeliharaan rutin/berkala gedung kantor</v>
          </cell>
          <cell r="J965" t="str">
            <v>pemeliharaan rutin (bln)</v>
          </cell>
          <cell r="K965">
            <v>72</v>
          </cell>
          <cell r="L965">
            <v>43234500</v>
          </cell>
          <cell r="M965">
            <v>24</v>
          </cell>
          <cell r="N965">
            <v>20799000</v>
          </cell>
          <cell r="O965">
            <v>12</v>
          </cell>
          <cell r="P965">
            <v>97250000</v>
          </cell>
          <cell r="Q965">
            <v>3</v>
          </cell>
          <cell r="S965">
            <v>15.492030848329049</v>
          </cell>
          <cell r="T965">
            <v>15066000</v>
          </cell>
          <cell r="Y965">
            <v>18.492030848329051</v>
          </cell>
          <cell r="Z965">
            <v>15066000</v>
          </cell>
          <cell r="AA965">
            <v>42.492030848329051</v>
          </cell>
          <cell r="AB965">
            <v>35865000</v>
          </cell>
          <cell r="AC965">
            <v>59.016709511568124</v>
          </cell>
          <cell r="AD965">
            <v>82.954584880130454</v>
          </cell>
        </row>
        <row r="966">
          <cell r="C966" t="str">
            <v>1</v>
          </cell>
          <cell r="D966" t="str">
            <v>02</v>
          </cell>
          <cell r="E966">
            <v>12</v>
          </cell>
          <cell r="F966" t="str">
            <v>02</v>
          </cell>
          <cell r="I966" t="str">
            <v>Pengadaan Kendaraan dinas/operasional</v>
          </cell>
          <cell r="J966" t="str">
            <v>Pengadaan kendaraan dinas (unit)</v>
          </cell>
          <cell r="K966">
            <v>6</v>
          </cell>
          <cell r="L966">
            <v>500000000</v>
          </cell>
          <cell r="M966">
            <v>3</v>
          </cell>
          <cell r="N966">
            <v>185210000</v>
          </cell>
          <cell r="O966">
            <v>3</v>
          </cell>
          <cell r="P966">
            <v>27750000</v>
          </cell>
          <cell r="Q966">
            <v>0</v>
          </cell>
          <cell r="R966">
            <v>0</v>
          </cell>
          <cell r="S966">
            <v>0</v>
          </cell>
          <cell r="T966">
            <v>0</v>
          </cell>
          <cell r="Y966">
            <v>0</v>
          </cell>
          <cell r="Z966">
            <v>0</v>
          </cell>
          <cell r="AA966">
            <v>3</v>
          </cell>
          <cell r="AB966">
            <v>185210000</v>
          </cell>
          <cell r="AC966">
            <v>50</v>
          </cell>
          <cell r="AD966">
            <v>37.042000000000002</v>
          </cell>
        </row>
        <row r="967">
          <cell r="C967" t="str">
            <v>1</v>
          </cell>
          <cell r="D967" t="str">
            <v>02</v>
          </cell>
          <cell r="E967">
            <v>12</v>
          </cell>
          <cell r="F967" t="str">
            <v>02</v>
          </cell>
          <cell r="H967" t="str">
            <v>42</v>
          </cell>
          <cell r="I967" t="str">
            <v>Rehabilitasi sedang/berat gedung kantor</v>
          </cell>
          <cell r="J967" t="str">
            <v>Terlaksananya rehab gedung kantor (paket)</v>
          </cell>
          <cell r="K967">
            <v>4</v>
          </cell>
          <cell r="L967">
            <v>458900000</v>
          </cell>
          <cell r="M967">
            <v>2</v>
          </cell>
          <cell r="N967">
            <v>101294000</v>
          </cell>
          <cell r="O967">
            <v>2</v>
          </cell>
          <cell r="P967">
            <v>165458600</v>
          </cell>
          <cell r="Q967">
            <v>0</v>
          </cell>
          <cell r="S967">
            <v>30.531262805318065</v>
          </cell>
          <cell r="T967">
            <v>50516600</v>
          </cell>
          <cell r="Y967">
            <v>30.531262805318065</v>
          </cell>
          <cell r="Z967">
            <v>50516600</v>
          </cell>
          <cell r="AA967">
            <v>32.531262805318065</v>
          </cell>
          <cell r="AB967">
            <v>151810600</v>
          </cell>
          <cell r="AC967">
            <v>813.28157013295163</v>
          </cell>
          <cell r="AD967">
            <v>33.081412072346914</v>
          </cell>
        </row>
        <row r="968">
          <cell r="C968" t="str">
            <v>1</v>
          </cell>
          <cell r="D968" t="str">
            <v>02</v>
          </cell>
          <cell r="E968">
            <v>12</v>
          </cell>
          <cell r="F968" t="str">
            <v>02</v>
          </cell>
          <cell r="H968" t="str">
            <v>24</v>
          </cell>
          <cell r="I968" t="str">
            <v>Pemeliharaan rutin/berkala kendaraan dinas/operasional</v>
          </cell>
          <cell r="J968" t="str">
            <v>Terlaksananya pemeliharaan rutin kendaraan dinas (bln)</v>
          </cell>
          <cell r="K968">
            <v>72</v>
          </cell>
          <cell r="L968">
            <v>120874291</v>
          </cell>
          <cell r="M968">
            <v>24</v>
          </cell>
          <cell r="N968">
            <v>46237486</v>
          </cell>
          <cell r="O968">
            <v>12</v>
          </cell>
          <cell r="P968">
            <v>55175000</v>
          </cell>
          <cell r="Q968">
            <v>3</v>
          </cell>
          <cell r="R968">
            <v>4769000</v>
          </cell>
          <cell r="S968">
            <v>51.992560036248307</v>
          </cell>
          <cell r="T968">
            <v>28686895</v>
          </cell>
          <cell r="Y968">
            <v>54.992560036248307</v>
          </cell>
          <cell r="Z968">
            <v>33455895</v>
          </cell>
          <cell r="AA968">
            <v>78.992560036248307</v>
          </cell>
          <cell r="AB968">
            <v>79693381</v>
          </cell>
          <cell r="AC968">
            <v>109.71188893923376</v>
          </cell>
          <cell r="AD968">
            <v>65.930794994280461</v>
          </cell>
        </row>
        <row r="969">
          <cell r="A969">
            <v>3</v>
          </cell>
          <cell r="B969" t="str">
            <v>Meningkatnya Promosi dan Kerjasama Investasi</v>
          </cell>
          <cell r="C969" t="str">
            <v>1</v>
          </cell>
          <cell r="D969" t="str">
            <v>02</v>
          </cell>
          <cell r="E969" t="str">
            <v>12</v>
          </cell>
          <cell r="F969" t="str">
            <v>15</v>
          </cell>
          <cell r="I969" t="str">
            <v>Program Peningkatan Promosi dan Kerja Sama Investasi</v>
          </cell>
          <cell r="J969" t="str">
            <v>Jumlah investor yang menanamkan modal</v>
          </cell>
          <cell r="K969">
            <v>5</v>
          </cell>
          <cell r="L969">
            <v>1148948150</v>
          </cell>
          <cell r="M969">
            <v>1</v>
          </cell>
          <cell r="N969">
            <v>305204727</v>
          </cell>
          <cell r="O969">
            <v>1</v>
          </cell>
          <cell r="P969">
            <v>270185500</v>
          </cell>
          <cell r="Q969">
            <v>0</v>
          </cell>
          <cell r="R969">
            <v>28008202</v>
          </cell>
          <cell r="T969">
            <v>73790913</v>
          </cell>
          <cell r="Y969">
            <v>0</v>
          </cell>
          <cell r="Z969">
            <v>101799115</v>
          </cell>
          <cell r="AA969">
            <v>1</v>
          </cell>
          <cell r="AB969">
            <v>407003842</v>
          </cell>
          <cell r="AC969">
            <v>20</v>
          </cell>
          <cell r="AD969">
            <v>35.424039109162585</v>
          </cell>
          <cell r="AE969" t="str">
            <v>DPMP2TSP</v>
          </cell>
        </row>
        <row r="970">
          <cell r="C970" t="str">
            <v>1</v>
          </cell>
          <cell r="D970" t="str">
            <v>02</v>
          </cell>
          <cell r="E970">
            <v>12</v>
          </cell>
          <cell r="F970" t="str">
            <v>15</v>
          </cell>
          <cell r="H970" t="str">
            <v>1</v>
          </cell>
          <cell r="I970" t="str">
            <v>Promosi Investasi di Dalam Negeri</v>
          </cell>
          <cell r="J970" t="str">
            <v>Jumlah promosi yang dilaksanakan (kegiatan)</v>
          </cell>
          <cell r="K970">
            <v>30</v>
          </cell>
          <cell r="L970">
            <v>806063750</v>
          </cell>
          <cell r="M970">
            <v>5</v>
          </cell>
          <cell r="N970">
            <v>229847323</v>
          </cell>
          <cell r="O970">
            <v>5</v>
          </cell>
          <cell r="P970">
            <v>213038100</v>
          </cell>
          <cell r="Q970">
            <v>1</v>
          </cell>
          <cell r="R970">
            <v>23147202</v>
          </cell>
          <cell r="S970">
            <v>27.531302147362375</v>
          </cell>
          <cell r="T970">
            <v>58652163</v>
          </cell>
          <cell r="Y970">
            <v>28.531302147362375</v>
          </cell>
          <cell r="Z970">
            <v>81799365</v>
          </cell>
          <cell r="AA970">
            <v>33.531302147362375</v>
          </cell>
          <cell r="AB970">
            <v>311646688</v>
          </cell>
          <cell r="AC970">
            <v>111.77100715787458</v>
          </cell>
          <cell r="AD970">
            <v>38.662784178050437</v>
          </cell>
        </row>
        <row r="971">
          <cell r="C971" t="str">
            <v>1</v>
          </cell>
          <cell r="D971" t="str">
            <v>02</v>
          </cell>
          <cell r="E971">
            <v>12</v>
          </cell>
          <cell r="F971" t="str">
            <v>15</v>
          </cell>
          <cell r="H971" t="str">
            <v>1</v>
          </cell>
          <cell r="I971" t="str">
            <v>Pelayanan kerjasama Investasi</v>
          </cell>
          <cell r="J971" t="str">
            <v>jumlah MOU antara investor dengan Pemerintahan daerah</v>
          </cell>
          <cell r="K971">
            <v>5</v>
          </cell>
          <cell r="L971">
            <v>342884400</v>
          </cell>
          <cell r="M971">
            <v>1</v>
          </cell>
          <cell r="N971">
            <v>75357404</v>
          </cell>
          <cell r="O971">
            <v>1</v>
          </cell>
          <cell r="P971">
            <v>57147400</v>
          </cell>
          <cell r="Q971">
            <v>0</v>
          </cell>
          <cell r="R971">
            <v>4861000</v>
          </cell>
          <cell r="S971">
            <v>26.490706488834135</v>
          </cell>
          <cell r="T971">
            <v>15138750</v>
          </cell>
          <cell r="Y971">
            <v>26.490706488834135</v>
          </cell>
          <cell r="Z971">
            <v>19999750</v>
          </cell>
          <cell r="AA971">
            <v>27.490706488834135</v>
          </cell>
          <cell r="AB971">
            <v>95357154</v>
          </cell>
          <cell r="AC971">
            <v>549.81412977668265</v>
          </cell>
          <cell r="AD971">
            <v>27.810292331759623</v>
          </cell>
        </row>
        <row r="972">
          <cell r="A972">
            <v>4</v>
          </cell>
          <cell r="B972" t="str">
            <v>Meningkatnya Iklim Investasi dan Realisasi Investasi</v>
          </cell>
          <cell r="C972" t="str">
            <v>1</v>
          </cell>
          <cell r="D972" t="str">
            <v>02</v>
          </cell>
          <cell r="E972" t="str">
            <v>12</v>
          </cell>
          <cell r="F972" t="str">
            <v>16</v>
          </cell>
          <cell r="I972" t="str">
            <v>PROG. PENINGKATAN IKLIM INVESTASI DAN REALISASI INVESTASI</v>
          </cell>
          <cell r="J972" t="str">
            <v>persentase pencapaian target investsi</v>
          </cell>
          <cell r="K972">
            <v>100</v>
          </cell>
          <cell r="L972">
            <v>657257858</v>
          </cell>
          <cell r="M972">
            <v>90</v>
          </cell>
          <cell r="N972">
            <v>305240441</v>
          </cell>
          <cell r="O972">
            <v>10</v>
          </cell>
          <cell r="P972">
            <v>253817571</v>
          </cell>
          <cell r="Q972">
            <v>2</v>
          </cell>
          <cell r="R972">
            <v>36711350</v>
          </cell>
          <cell r="S972">
            <v>41.440835079144307</v>
          </cell>
          <cell r="T972">
            <v>105184121</v>
          </cell>
          <cell r="Y972">
            <v>43.440835079144307</v>
          </cell>
          <cell r="Z972">
            <v>141895471</v>
          </cell>
          <cell r="AA972">
            <v>133.44083507914431</v>
          </cell>
          <cell r="AB972">
            <v>447135912</v>
          </cell>
          <cell r="AC972">
            <v>133.44083507914431</v>
          </cell>
          <cell r="AD972">
            <v>68.030515962275501</v>
          </cell>
          <cell r="AE972" t="str">
            <v>DPMP2TSP</v>
          </cell>
        </row>
        <row r="973">
          <cell r="C973" t="str">
            <v>1</v>
          </cell>
          <cell r="D973" t="str">
            <v>02</v>
          </cell>
          <cell r="E973">
            <v>12</v>
          </cell>
          <cell r="F973" t="str">
            <v>16</v>
          </cell>
          <cell r="H973" t="str">
            <v>1</v>
          </cell>
          <cell r="I973" t="str">
            <v>Pendataan Realisasi Investasi Non Fasilitas dan RT</v>
          </cell>
          <cell r="J973" t="str">
            <v>Tersedianya dokumen data investasi non fasilitasi rumah tangga (dok)</v>
          </cell>
          <cell r="K973">
            <v>6</v>
          </cell>
          <cell r="L973">
            <v>59895000</v>
          </cell>
          <cell r="M973">
            <v>2</v>
          </cell>
          <cell r="N973">
            <v>27085500</v>
          </cell>
          <cell r="O973">
            <v>1</v>
          </cell>
          <cell r="P973">
            <v>27962500</v>
          </cell>
          <cell r="Q973">
            <v>0</v>
          </cell>
          <cell r="R973">
            <v>4617250</v>
          </cell>
          <cell r="S973">
            <v>43.304783191774696</v>
          </cell>
          <cell r="T973">
            <v>12109100</v>
          </cell>
          <cell r="Y973">
            <v>43.304783191774696</v>
          </cell>
          <cell r="Z973">
            <v>16726350</v>
          </cell>
          <cell r="AA973">
            <v>45.304783191774696</v>
          </cell>
          <cell r="AB973">
            <v>43811850</v>
          </cell>
          <cell r="AC973">
            <v>755.07971986291159</v>
          </cell>
          <cell r="AD973">
            <v>73.147758577510643</v>
          </cell>
        </row>
        <row r="974">
          <cell r="C974" t="str">
            <v>1</v>
          </cell>
          <cell r="D974" t="str">
            <v>02</v>
          </cell>
          <cell r="E974">
            <v>12</v>
          </cell>
          <cell r="F974" t="str">
            <v>16</v>
          </cell>
          <cell r="H974" t="str">
            <v>1</v>
          </cell>
          <cell r="I974" t="str">
            <v>Pelayanan Penanaman Modal</v>
          </cell>
          <cell r="J974" t="str">
            <v>Tercapainya pelaksanaan pelayanan perizinan penanaman modal pada investor (bln)</v>
          </cell>
          <cell r="K974">
            <v>72</v>
          </cell>
          <cell r="L974">
            <v>122515607</v>
          </cell>
          <cell r="M974">
            <v>24</v>
          </cell>
          <cell r="N974">
            <v>55636500</v>
          </cell>
          <cell r="O974">
            <v>12</v>
          </cell>
          <cell r="P974">
            <v>53198000</v>
          </cell>
          <cell r="Q974">
            <v>3</v>
          </cell>
          <cell r="R974">
            <v>11343700</v>
          </cell>
          <cell r="S974">
            <v>66.086319034550172</v>
          </cell>
          <cell r="T974">
            <v>35156600</v>
          </cell>
          <cell r="Y974">
            <v>69.086319034550172</v>
          </cell>
          <cell r="Z974">
            <v>46500300</v>
          </cell>
          <cell r="AA974">
            <v>93.086319034550172</v>
          </cell>
          <cell r="AB974">
            <v>102136800</v>
          </cell>
          <cell r="AC974">
            <v>129.28655421465302</v>
          </cell>
          <cell r="AD974">
            <v>83.36635837750859</v>
          </cell>
        </row>
        <row r="975">
          <cell r="C975" t="str">
            <v>1</v>
          </cell>
          <cell r="D975" t="str">
            <v>02</v>
          </cell>
          <cell r="E975">
            <v>12</v>
          </cell>
          <cell r="F975" t="str">
            <v>16</v>
          </cell>
          <cell r="H975" t="str">
            <v>2</v>
          </cell>
          <cell r="I975" t="str">
            <v>Pengembangan sistem informasi perizinan dan penanaman</v>
          </cell>
          <cell r="J975" t="str">
            <v>Terlaksananya sistem pelayananan perizinan secara online (bln)</v>
          </cell>
          <cell r="K975">
            <v>72</v>
          </cell>
          <cell r="L975">
            <v>151854637</v>
          </cell>
          <cell r="M975">
            <v>24</v>
          </cell>
          <cell r="N975">
            <v>81332700</v>
          </cell>
          <cell r="O975">
            <v>12</v>
          </cell>
          <cell r="P975">
            <v>82796200</v>
          </cell>
          <cell r="Q975">
            <v>3</v>
          </cell>
          <cell r="R975">
            <v>0</v>
          </cell>
          <cell r="S975">
            <v>2.3624272611544974</v>
          </cell>
          <cell r="T975">
            <v>1956000</v>
          </cell>
          <cell r="Y975">
            <v>5.3624272611544974</v>
          </cell>
          <cell r="Z975">
            <v>1956000</v>
          </cell>
          <cell r="AA975">
            <v>29.362427261154497</v>
          </cell>
          <cell r="AB975">
            <v>83288700</v>
          </cell>
          <cell r="AC975">
            <v>40.781148973825694</v>
          </cell>
          <cell r="AD975">
            <v>54.847650124770311</v>
          </cell>
        </row>
        <row r="976">
          <cell r="C976" t="str">
            <v>1</v>
          </cell>
          <cell r="D976" t="str">
            <v>02</v>
          </cell>
          <cell r="E976">
            <v>12</v>
          </cell>
          <cell r="F976" t="str">
            <v>16</v>
          </cell>
          <cell r="H976" t="str">
            <v>2</v>
          </cell>
          <cell r="I976" t="str">
            <v>Lokakarya penyusunan LKPM</v>
          </cell>
          <cell r="J976" t="str">
            <v xml:space="preserve"> lokakarya 40 orang peserta</v>
          </cell>
          <cell r="K976">
            <v>240</v>
          </cell>
          <cell r="L976">
            <v>90000000</v>
          </cell>
          <cell r="M976">
            <v>80</v>
          </cell>
          <cell r="N976">
            <v>29925591</v>
          </cell>
          <cell r="O976">
            <v>40</v>
          </cell>
          <cell r="P976">
            <v>49913000</v>
          </cell>
          <cell r="Q976">
            <v>0</v>
          </cell>
          <cell r="R976">
            <v>0</v>
          </cell>
          <cell r="Y976">
            <v>0</v>
          </cell>
          <cell r="Z976">
            <v>0</v>
          </cell>
          <cell r="AA976">
            <v>80</v>
          </cell>
          <cell r="AB976">
            <v>29925591</v>
          </cell>
          <cell r="AC976">
            <v>33.333333333333329</v>
          </cell>
          <cell r="AD976">
            <v>33.250656666666664</v>
          </cell>
        </row>
        <row r="977">
          <cell r="C977" t="str">
            <v>1</v>
          </cell>
          <cell r="D977" t="str">
            <v>02</v>
          </cell>
          <cell r="E977">
            <v>12</v>
          </cell>
          <cell r="F977" t="str">
            <v>16</v>
          </cell>
          <cell r="H977" t="str">
            <v>2</v>
          </cell>
          <cell r="I977" t="str">
            <v>Koordinasi bidang penanaman modal</v>
          </cell>
          <cell r="J977" t="str">
            <v>Tercapainya koordinasi penanaman modal (bln)</v>
          </cell>
          <cell r="K977">
            <v>72</v>
          </cell>
          <cell r="L977">
            <v>105749014</v>
          </cell>
          <cell r="M977">
            <v>24</v>
          </cell>
          <cell r="N977">
            <v>68292150</v>
          </cell>
          <cell r="O977">
            <v>12</v>
          </cell>
          <cell r="P977">
            <v>28772621</v>
          </cell>
          <cell r="Q977">
            <v>3</v>
          </cell>
          <cell r="R977">
            <v>4546000</v>
          </cell>
          <cell r="S977">
            <v>3</v>
          </cell>
          <cell r="T977">
            <v>34840621</v>
          </cell>
          <cell r="Y977">
            <v>6</v>
          </cell>
          <cell r="Z977">
            <v>39386621</v>
          </cell>
          <cell r="AA977">
            <v>30</v>
          </cell>
          <cell r="AB977">
            <v>107678771</v>
          </cell>
          <cell r="AC977">
            <v>41.666666666666671</v>
          </cell>
          <cell r="AD977">
            <v>101.82484632906363</v>
          </cell>
        </row>
        <row r="978">
          <cell r="C978" t="str">
            <v>1</v>
          </cell>
          <cell r="D978" t="str">
            <v>02</v>
          </cell>
          <cell r="E978">
            <v>12</v>
          </cell>
          <cell r="F978" t="str">
            <v>16</v>
          </cell>
          <cell r="H978" t="str">
            <v>2</v>
          </cell>
          <cell r="I978" t="str">
            <v>Pengawasan dan pengendalian penanaman modal</v>
          </cell>
          <cell r="J978" t="str">
            <v>Terlaksananya pengawasan dan pengendalian (bln)</v>
          </cell>
          <cell r="K978">
            <v>72</v>
          </cell>
          <cell r="L978">
            <v>127243600</v>
          </cell>
          <cell r="M978">
            <v>24</v>
          </cell>
          <cell r="N978">
            <v>42968000</v>
          </cell>
          <cell r="O978">
            <v>12</v>
          </cell>
          <cell r="P978">
            <v>11175250</v>
          </cell>
          <cell r="Q978">
            <v>3</v>
          </cell>
          <cell r="R978">
            <v>16204400</v>
          </cell>
          <cell r="T978">
            <v>21121800</v>
          </cell>
          <cell r="Y978">
            <v>3</v>
          </cell>
          <cell r="Z978">
            <v>37326200</v>
          </cell>
          <cell r="AA978">
            <v>27</v>
          </cell>
          <cell r="AB978">
            <v>80294200</v>
          </cell>
          <cell r="AC978">
            <v>37.5</v>
          </cell>
          <cell r="AD978">
            <v>63.102741513129146</v>
          </cell>
        </row>
        <row r="979">
          <cell r="A979">
            <v>5</v>
          </cell>
          <cell r="B979" t="str">
            <v>Meningkatnya Pelayanan Publik bidang perizinan</v>
          </cell>
          <cell r="C979" t="str">
            <v>1</v>
          </cell>
          <cell r="D979" t="str">
            <v>02</v>
          </cell>
          <cell r="E979" t="str">
            <v>12</v>
          </cell>
          <cell r="F979" t="str">
            <v>18</v>
          </cell>
          <cell r="I979" t="str">
            <v>Program Peningkatan pelayanan Publik Bidang Perizinan</v>
          </cell>
          <cell r="J979" t="str">
            <v>Jumlah perizinan dan non perizinan yang diterbitkan</v>
          </cell>
          <cell r="K979">
            <v>19500</v>
          </cell>
          <cell r="L979">
            <v>541040202</v>
          </cell>
          <cell r="M979">
            <v>5000</v>
          </cell>
          <cell r="N979">
            <v>177687114</v>
          </cell>
          <cell r="O979">
            <v>3000</v>
          </cell>
          <cell r="P979">
            <v>313542064</v>
          </cell>
          <cell r="Q979">
            <v>800</v>
          </cell>
          <cell r="R979">
            <v>40884000</v>
          </cell>
          <cell r="T979">
            <v>122826708</v>
          </cell>
          <cell r="Y979">
            <v>800</v>
          </cell>
          <cell r="Z979">
            <v>163710708</v>
          </cell>
          <cell r="AA979">
            <v>5800</v>
          </cell>
          <cell r="AB979">
            <v>341397822</v>
          </cell>
          <cell r="AC979">
            <v>29.743589743589745</v>
          </cell>
          <cell r="AD979">
            <v>63.100268841020437</v>
          </cell>
          <cell r="AE979" t="str">
            <v>DPMP2TSP</v>
          </cell>
        </row>
        <row r="980">
          <cell r="C980" t="str">
            <v>1</v>
          </cell>
          <cell r="D980" t="str">
            <v>02</v>
          </cell>
          <cell r="E980">
            <v>12</v>
          </cell>
          <cell r="F980" t="str">
            <v>18</v>
          </cell>
          <cell r="H980" t="str">
            <v>0</v>
          </cell>
          <cell r="I980" t="str">
            <v>Operasional penyelenggaraan perizinan</v>
          </cell>
          <cell r="J980" t="str">
            <v xml:space="preserve"> jumlah izin yang diterbitkan</v>
          </cell>
          <cell r="K980">
            <v>19500</v>
          </cell>
          <cell r="L980">
            <v>303600000</v>
          </cell>
          <cell r="M980">
            <v>5000</v>
          </cell>
          <cell r="N980">
            <v>62163800</v>
          </cell>
          <cell r="O980">
            <v>3000</v>
          </cell>
          <cell r="P980">
            <v>177687114</v>
          </cell>
          <cell r="Q980">
            <v>800</v>
          </cell>
          <cell r="R980">
            <v>25546750</v>
          </cell>
          <cell r="S980">
            <v>46.082130637790655</v>
          </cell>
          <cell r="T980">
            <v>81882008</v>
          </cell>
          <cell r="Y980">
            <v>846.08213063779067</v>
          </cell>
          <cell r="Z980">
            <v>107428758</v>
          </cell>
          <cell r="AA980">
            <v>5846.0821306377911</v>
          </cell>
          <cell r="AB980">
            <v>169592558</v>
          </cell>
          <cell r="AC980">
            <v>29.979908362245084</v>
          </cell>
          <cell r="AD980">
            <v>55.860526350461136</v>
          </cell>
        </row>
        <row r="981">
          <cell r="C981" t="str">
            <v>1</v>
          </cell>
          <cell r="D981" t="str">
            <v>02</v>
          </cell>
          <cell r="E981">
            <v>12</v>
          </cell>
          <cell r="F981" t="str">
            <v>18</v>
          </cell>
          <cell r="H981" t="str">
            <v>0</v>
          </cell>
          <cell r="I981" t="str">
            <v>Monitoring dan evaluasi pelayanan perizinan</v>
          </cell>
          <cell r="J981" t="str">
            <v>Laporan triwulan hasil monev penanaman modal (dok)</v>
          </cell>
          <cell r="K981">
            <v>24</v>
          </cell>
          <cell r="L981">
            <v>141093801</v>
          </cell>
          <cell r="M981">
            <v>8</v>
          </cell>
          <cell r="N981">
            <v>0</v>
          </cell>
          <cell r="O981">
            <v>4</v>
          </cell>
          <cell r="P981">
            <v>62163800</v>
          </cell>
          <cell r="Q981">
            <v>1</v>
          </cell>
          <cell r="R981">
            <v>11305500</v>
          </cell>
          <cell r="S981">
            <v>1</v>
          </cell>
          <cell r="T981">
            <v>32640200</v>
          </cell>
          <cell r="Y981">
            <v>2</v>
          </cell>
          <cell r="Z981">
            <v>43945700</v>
          </cell>
          <cell r="AA981">
            <v>10</v>
          </cell>
          <cell r="AB981">
            <v>43945700</v>
          </cell>
          <cell r="AC981">
            <v>41.666666666666671</v>
          </cell>
          <cell r="AD981">
            <v>31.14644278383286</v>
          </cell>
        </row>
        <row r="982">
          <cell r="C982" t="str">
            <v>1</v>
          </cell>
          <cell r="D982" t="str">
            <v>02</v>
          </cell>
          <cell r="E982">
            <v>12</v>
          </cell>
          <cell r="F982" t="str">
            <v>18</v>
          </cell>
          <cell r="H982" t="str">
            <v>0</v>
          </cell>
          <cell r="I982" t="str">
            <v>Survey indek kepuasan masyarakat</v>
          </cell>
          <cell r="J982" t="str">
            <v>Jumlah jajak pendapat yang dilakukan</v>
          </cell>
          <cell r="K982">
            <v>6</v>
          </cell>
          <cell r="L982">
            <v>52093801</v>
          </cell>
          <cell r="M982">
            <v>2</v>
          </cell>
          <cell r="N982">
            <v>44252600</v>
          </cell>
          <cell r="O982">
            <v>1</v>
          </cell>
          <cell r="P982">
            <v>29438550</v>
          </cell>
          <cell r="Q982">
            <v>0</v>
          </cell>
          <cell r="R982">
            <v>4031750</v>
          </cell>
          <cell r="S982">
            <v>28.209609508620499</v>
          </cell>
          <cell r="T982">
            <v>8304500</v>
          </cell>
          <cell r="Y982">
            <v>28.209609508620499</v>
          </cell>
          <cell r="Z982">
            <v>12336250</v>
          </cell>
          <cell r="AA982">
            <v>30.209609508620499</v>
          </cell>
          <cell r="AB982">
            <v>56588850</v>
          </cell>
          <cell r="AC982">
            <v>503.4934918103416</v>
          </cell>
          <cell r="AD982">
            <v>108.62875987874258</v>
          </cell>
        </row>
        <row r="983">
          <cell r="C983" t="str">
            <v>1</v>
          </cell>
          <cell r="D983" t="str">
            <v>02</v>
          </cell>
          <cell r="E983">
            <v>12</v>
          </cell>
          <cell r="F983" t="str">
            <v>18</v>
          </cell>
          <cell r="H983" t="str">
            <v>0</v>
          </cell>
          <cell r="I983" t="str">
            <v>Penyusunan Naskah akademis tentang izin gangguan</v>
          </cell>
          <cell r="J983" t="str">
            <v xml:space="preserve"> Naskah akademis ranperda</v>
          </cell>
          <cell r="K983">
            <v>1</v>
          </cell>
          <cell r="L983">
            <v>44252600</v>
          </cell>
          <cell r="M983">
            <v>0</v>
          </cell>
          <cell r="O983">
            <v>1</v>
          </cell>
          <cell r="P983">
            <v>44252600</v>
          </cell>
          <cell r="Q983">
            <v>0</v>
          </cell>
          <cell r="R983">
            <v>0</v>
          </cell>
          <cell r="Y983">
            <v>0</v>
          </cell>
          <cell r="Z983">
            <v>0</v>
          </cell>
          <cell r="AA983">
            <v>0</v>
          </cell>
          <cell r="AB983">
            <v>0</v>
          </cell>
          <cell r="AC983">
            <v>0</v>
          </cell>
          <cell r="AD983">
            <v>0</v>
          </cell>
        </row>
        <row r="984">
          <cell r="A984" t="str">
            <v>Rata-Rata Capaian Kinerja</v>
          </cell>
          <cell r="AC984">
            <v>51.636884964546809</v>
          </cell>
          <cell r="AD984">
            <v>60.53186072481121</v>
          </cell>
        </row>
        <row r="985">
          <cell r="A985" t="str">
            <v>Peringkat  Kinerja</v>
          </cell>
          <cell r="AC985" t="str">
            <v>R</v>
          </cell>
          <cell r="AD985" t="str">
            <v>R</v>
          </cell>
        </row>
        <row r="986">
          <cell r="A986" t="str">
            <v>XII</v>
          </cell>
          <cell r="I986" t="str">
            <v>URUSAN KEPEMUDAAN DAN OLAHRAGA</v>
          </cell>
          <cell r="L986">
            <v>15324154586</v>
          </cell>
          <cell r="N986">
            <v>3601155756</v>
          </cell>
          <cell r="P986">
            <v>2573682997</v>
          </cell>
          <cell r="R986">
            <v>292869457</v>
          </cell>
          <cell r="T986">
            <v>540762869</v>
          </cell>
          <cell r="Z986">
            <v>833632326</v>
          </cell>
          <cell r="AB986">
            <v>4434788082</v>
          </cell>
        </row>
        <row r="987">
          <cell r="A987">
            <v>1</v>
          </cell>
          <cell r="C987">
            <v>3</v>
          </cell>
          <cell r="D987" t="str">
            <v>00</v>
          </cell>
          <cell r="E987" t="str">
            <v>04</v>
          </cell>
          <cell r="F987" t="str">
            <v>01</v>
          </cell>
          <cell r="G987" t="str">
            <v>01</v>
          </cell>
          <cell r="I987" t="str">
            <v>Program Pelayanan Administrasi Perkantoran</v>
          </cell>
          <cell r="J987" t="str">
            <v>cakupan pelayanan administrasi perkantoran (%)</v>
          </cell>
          <cell r="K987">
            <v>600</v>
          </cell>
          <cell r="L987">
            <v>3254776316</v>
          </cell>
          <cell r="M987">
            <v>200</v>
          </cell>
          <cell r="N987">
            <v>1254804777</v>
          </cell>
          <cell r="O987">
            <v>100</v>
          </cell>
          <cell r="P987">
            <v>475364398</v>
          </cell>
          <cell r="Q987">
            <v>25</v>
          </cell>
          <cell r="R987">
            <v>159618971</v>
          </cell>
          <cell r="T987">
            <v>65895939</v>
          </cell>
          <cell r="Y987">
            <v>25</v>
          </cell>
          <cell r="Z987">
            <v>225514910</v>
          </cell>
          <cell r="AA987">
            <v>225</v>
          </cell>
          <cell r="AB987">
            <v>1480319687</v>
          </cell>
          <cell r="AC987">
            <v>37.5</v>
          </cell>
          <cell r="AD987">
            <v>45.481456889156</v>
          </cell>
          <cell r="AE987" t="str">
            <v>DISPARPORA</v>
          </cell>
        </row>
        <row r="988">
          <cell r="I988" t="str">
            <v>Penyediaan Jasa Surat Menyurat</v>
          </cell>
          <cell r="J988" t="str">
            <v>Tersedianya jasa surat menyurat kantor (bln)</v>
          </cell>
          <cell r="K988">
            <v>72</v>
          </cell>
          <cell r="L988">
            <v>56355000</v>
          </cell>
          <cell r="M988">
            <v>24</v>
          </cell>
          <cell r="N988">
            <v>9999000</v>
          </cell>
          <cell r="O988">
            <v>12</v>
          </cell>
          <cell r="P988">
            <v>11589000</v>
          </cell>
          <cell r="Q988">
            <v>3</v>
          </cell>
          <cell r="R988">
            <v>3735000</v>
          </cell>
          <cell r="S988">
            <v>3</v>
          </cell>
          <cell r="T988">
            <v>1950000</v>
          </cell>
          <cell r="Y988">
            <v>6</v>
          </cell>
          <cell r="Z988">
            <v>5685000</v>
          </cell>
          <cell r="AA988">
            <v>30</v>
          </cell>
          <cell r="AB988">
            <v>15684000</v>
          </cell>
          <cell r="AC988">
            <v>41.666666666666671</v>
          </cell>
          <cell r="AD988">
            <v>27.83071599680596</v>
          </cell>
        </row>
        <row r="989">
          <cell r="I989" t="str">
            <v>Penyediaan Jasa Komunikasi, Sumber Daya, Air dan Listrik</v>
          </cell>
          <cell r="J989" t="str">
            <v>Tersedianya jasa telpon, sumber daya air dan listrik (bln)</v>
          </cell>
          <cell r="K989">
            <v>72</v>
          </cell>
          <cell r="L989">
            <v>309900000</v>
          </cell>
          <cell r="M989">
            <v>24</v>
          </cell>
          <cell r="N989">
            <v>75563339</v>
          </cell>
          <cell r="O989">
            <v>12</v>
          </cell>
          <cell r="P989">
            <v>52800000</v>
          </cell>
          <cell r="Q989">
            <v>3</v>
          </cell>
          <cell r="R989">
            <v>13059151</v>
          </cell>
          <cell r="S989">
            <v>3</v>
          </cell>
          <cell r="T989">
            <v>3528939</v>
          </cell>
          <cell r="Y989">
            <v>6</v>
          </cell>
          <cell r="Z989">
            <v>16588090</v>
          </cell>
          <cell r="AA989">
            <v>30</v>
          </cell>
          <cell r="AB989">
            <v>92151429</v>
          </cell>
          <cell r="AC989">
            <v>41.666666666666671</v>
          </cell>
          <cell r="AD989">
            <v>29.735859632139398</v>
          </cell>
        </row>
        <row r="990">
          <cell r="I990" t="str">
            <v>Penyediaan Jasa Administrasi Keuangan</v>
          </cell>
          <cell r="J990" t="str">
            <v>Tersedianya pembayaran/honorarium tenaga administrasi keuangan  (bln)</v>
          </cell>
          <cell r="K990">
            <v>72</v>
          </cell>
          <cell r="L990">
            <v>451800000</v>
          </cell>
          <cell r="M990">
            <v>24</v>
          </cell>
          <cell r="N990">
            <v>127200000</v>
          </cell>
          <cell r="O990">
            <v>12</v>
          </cell>
          <cell r="P990">
            <v>79800000</v>
          </cell>
          <cell r="Q990">
            <v>3</v>
          </cell>
          <cell r="R990">
            <v>21900000</v>
          </cell>
          <cell r="S990">
            <v>3</v>
          </cell>
          <cell r="T990">
            <v>13750000</v>
          </cell>
          <cell r="Y990">
            <v>6</v>
          </cell>
          <cell r="Z990">
            <v>35650000</v>
          </cell>
          <cell r="AA990">
            <v>30</v>
          </cell>
          <cell r="AB990">
            <v>162850000</v>
          </cell>
          <cell r="AC990">
            <v>41.666666666666671</v>
          </cell>
          <cell r="AD990">
            <v>36.044710048694114</v>
          </cell>
        </row>
        <row r="991">
          <cell r="I991" t="str">
            <v>Penyediaan Jasa Kebersihan Kantor</v>
          </cell>
          <cell r="J991" t="str">
            <v>Tersedianya petugas kebersihan kantor (bln)</v>
          </cell>
          <cell r="K991">
            <v>72</v>
          </cell>
          <cell r="L991">
            <v>259514000</v>
          </cell>
          <cell r="M991">
            <v>24</v>
          </cell>
          <cell r="N991">
            <v>97814000</v>
          </cell>
          <cell r="O991">
            <v>12</v>
          </cell>
          <cell r="P991">
            <v>40229350</v>
          </cell>
          <cell r="Q991">
            <v>3</v>
          </cell>
          <cell r="R991">
            <v>13075500</v>
          </cell>
          <cell r="S991">
            <v>3</v>
          </cell>
          <cell r="T991">
            <v>9235000</v>
          </cell>
          <cell r="Y991">
            <v>6</v>
          </cell>
          <cell r="Z991">
            <v>22310500</v>
          </cell>
          <cell r="AA991">
            <v>30</v>
          </cell>
          <cell r="AB991">
            <v>120124500</v>
          </cell>
          <cell r="AC991">
            <v>41.666666666666671</v>
          </cell>
          <cell r="AD991">
            <v>46.288254198232082</v>
          </cell>
        </row>
        <row r="992">
          <cell r="I992" t="str">
            <v>Penyediaan Jasa Perbaikan Peralatan Kerja</v>
          </cell>
          <cell r="J992" t="str">
            <v>Tersedianya jasa perbaikan peralatan kerja(bln)</v>
          </cell>
          <cell r="K992">
            <v>72</v>
          </cell>
          <cell r="L992">
            <v>128883000</v>
          </cell>
          <cell r="M992">
            <v>24</v>
          </cell>
          <cell r="N992">
            <v>52947500</v>
          </cell>
          <cell r="O992">
            <v>12</v>
          </cell>
          <cell r="P992">
            <v>18968000</v>
          </cell>
          <cell r="Q992">
            <v>3</v>
          </cell>
          <cell r="R992">
            <v>2501920</v>
          </cell>
          <cell r="S992">
            <v>3</v>
          </cell>
          <cell r="T992">
            <v>963800</v>
          </cell>
          <cell r="Y992">
            <v>6</v>
          </cell>
          <cell r="Z992">
            <v>3465720</v>
          </cell>
          <cell r="AA992">
            <v>30</v>
          </cell>
          <cell r="AB992">
            <v>56413220</v>
          </cell>
          <cell r="AC992">
            <v>41.666666666666671</v>
          </cell>
          <cell r="AD992">
            <v>43.770877462504757</v>
          </cell>
        </row>
        <row r="993">
          <cell r="I993" t="str">
            <v>Penyediaan Alat Tulis Kantor</v>
          </cell>
          <cell r="J993" t="str">
            <v>Tersedianya alat tulis kantor (bln)</v>
          </cell>
          <cell r="K993">
            <v>72</v>
          </cell>
          <cell r="L993">
            <v>189374496</v>
          </cell>
          <cell r="M993">
            <v>24</v>
          </cell>
          <cell r="N993">
            <v>65841000</v>
          </cell>
          <cell r="O993">
            <v>12</v>
          </cell>
          <cell r="P993">
            <v>30877724</v>
          </cell>
          <cell r="Q993">
            <v>3</v>
          </cell>
          <cell r="R993">
            <v>8765100</v>
          </cell>
          <cell r="S993">
            <v>3</v>
          </cell>
          <cell r="T993">
            <v>5036000</v>
          </cell>
          <cell r="Y993">
            <v>6</v>
          </cell>
          <cell r="Z993">
            <v>13801100</v>
          </cell>
          <cell r="AA993">
            <v>30</v>
          </cell>
          <cell r="AB993">
            <v>79642100</v>
          </cell>
          <cell r="AC993">
            <v>41.666666666666671</v>
          </cell>
          <cell r="AD993">
            <v>42.055346248947906</v>
          </cell>
        </row>
        <row r="994">
          <cell r="I994" t="str">
            <v>Penyediaan Barang Cetakan dan Penggandaan</v>
          </cell>
          <cell r="J994" t="str">
            <v>Tersedianya barang cetakan dan penggadaan (bln)</v>
          </cell>
          <cell r="K994">
            <v>72</v>
          </cell>
          <cell r="L994">
            <v>175469200</v>
          </cell>
          <cell r="M994">
            <v>24</v>
          </cell>
          <cell r="N994">
            <v>69983800</v>
          </cell>
          <cell r="O994">
            <v>12</v>
          </cell>
          <cell r="P994">
            <v>26367300</v>
          </cell>
          <cell r="Q994">
            <v>3</v>
          </cell>
          <cell r="R994">
            <v>6602000</v>
          </cell>
          <cell r="S994">
            <v>3</v>
          </cell>
          <cell r="T994">
            <v>4955200</v>
          </cell>
          <cell r="Y994">
            <v>6</v>
          </cell>
          <cell r="Z994">
            <v>11557200</v>
          </cell>
          <cell r="AA994">
            <v>30</v>
          </cell>
          <cell r="AB994">
            <v>81541000</v>
          </cell>
          <cell r="AC994">
            <v>41.666666666666671</v>
          </cell>
          <cell r="AD994">
            <v>46.47026372719543</v>
          </cell>
        </row>
        <row r="995">
          <cell r="I995" t="str">
            <v>Penyediaan Komponen Instalasi Listrik/Penerangan Bangunan Kantor</v>
          </cell>
          <cell r="J995" t="str">
            <v>Tersedianya komponen instalasi listrik (bln)</v>
          </cell>
          <cell r="K995">
            <v>72</v>
          </cell>
          <cell r="L995">
            <v>60452620</v>
          </cell>
          <cell r="M995">
            <v>24</v>
          </cell>
          <cell r="N995">
            <v>17174000</v>
          </cell>
          <cell r="O995">
            <v>12</v>
          </cell>
          <cell r="P995">
            <v>10799024</v>
          </cell>
          <cell r="Q995">
            <v>3</v>
          </cell>
          <cell r="R995">
            <v>2462000</v>
          </cell>
          <cell r="S995">
            <v>3</v>
          </cell>
          <cell r="T995">
            <v>515000</v>
          </cell>
          <cell r="Y995">
            <v>6</v>
          </cell>
          <cell r="Z995">
            <v>2977000</v>
          </cell>
          <cell r="AA995">
            <v>30</v>
          </cell>
          <cell r="AB995">
            <v>20151000</v>
          </cell>
          <cell r="AC995">
            <v>41.666666666666671</v>
          </cell>
          <cell r="AD995">
            <v>33.333542863816326</v>
          </cell>
        </row>
        <row r="996">
          <cell r="I996" t="str">
            <v>Penyediaan Bahan Bacaan dan Peraturan Perundang-Undangan</v>
          </cell>
          <cell r="J996" t="str">
            <v>Tersedianya bahan bacaan (koran) dan peraturan perundang-undangan  (bln)</v>
          </cell>
          <cell r="K996">
            <v>72</v>
          </cell>
          <cell r="L996">
            <v>79065000</v>
          </cell>
          <cell r="M996">
            <v>24</v>
          </cell>
          <cell r="N996">
            <v>36990000</v>
          </cell>
          <cell r="O996">
            <v>12</v>
          </cell>
          <cell r="P996">
            <v>10500000</v>
          </cell>
          <cell r="Q996">
            <v>3</v>
          </cell>
          <cell r="R996">
            <v>1560000</v>
          </cell>
          <cell r="S996">
            <v>3</v>
          </cell>
          <cell r="T996">
            <v>2220000</v>
          </cell>
          <cell r="Y996">
            <v>6</v>
          </cell>
          <cell r="Z996">
            <v>3780000</v>
          </cell>
          <cell r="AA996">
            <v>30</v>
          </cell>
          <cell r="AB996">
            <v>40770000</v>
          </cell>
          <cell r="AC996">
            <v>41.666666666666671</v>
          </cell>
          <cell r="AD996">
            <v>51.565167899829255</v>
          </cell>
        </row>
        <row r="997">
          <cell r="I997" t="str">
            <v>Penyediaan Makanan dan Minuman</v>
          </cell>
          <cell r="J997" t="str">
            <v>Tersedianya makanan dan minuman rapat dan tamu(bln)</v>
          </cell>
          <cell r="K997">
            <v>72</v>
          </cell>
          <cell r="L997">
            <v>316641000</v>
          </cell>
          <cell r="M997">
            <v>24</v>
          </cell>
          <cell r="N997">
            <v>187096400</v>
          </cell>
          <cell r="O997">
            <v>12</v>
          </cell>
          <cell r="P997">
            <v>32384000</v>
          </cell>
          <cell r="Q997">
            <v>3</v>
          </cell>
          <cell r="R997">
            <v>10967500</v>
          </cell>
          <cell r="S997">
            <v>3</v>
          </cell>
          <cell r="T997">
            <v>4392000</v>
          </cell>
          <cell r="Y997">
            <v>6</v>
          </cell>
          <cell r="Z997">
            <v>15359500</v>
          </cell>
          <cell r="AA997">
            <v>30</v>
          </cell>
          <cell r="AB997">
            <v>202455900</v>
          </cell>
          <cell r="AC997">
            <v>41.666666666666671</v>
          </cell>
          <cell r="AD997">
            <v>63.93862449903834</v>
          </cell>
        </row>
        <row r="998">
          <cell r="I998" t="str">
            <v>Rapat-Rapat Koordinasi dan Konsultasi Keluar Daerah</v>
          </cell>
          <cell r="J998" t="str">
            <v>operasional rapat ke propinsi dan luar propinsi (bln)</v>
          </cell>
          <cell r="K998">
            <v>72</v>
          </cell>
          <cell r="L998">
            <v>798022000</v>
          </cell>
          <cell r="M998">
            <v>24</v>
          </cell>
          <cell r="N998">
            <v>317970738</v>
          </cell>
          <cell r="O998">
            <v>12</v>
          </cell>
          <cell r="P998">
            <v>102850000</v>
          </cell>
          <cell r="Q998">
            <v>3</v>
          </cell>
          <cell r="R998">
            <v>37135800</v>
          </cell>
          <cell r="S998">
            <v>3</v>
          </cell>
          <cell r="T998">
            <v>4100000</v>
          </cell>
          <cell r="Y998">
            <v>6</v>
          </cell>
          <cell r="Z998">
            <v>41235800</v>
          </cell>
          <cell r="AA998">
            <v>30</v>
          </cell>
          <cell r="AB998">
            <v>359206538</v>
          </cell>
          <cell r="AC998">
            <v>41.666666666666671</v>
          </cell>
          <cell r="AD998">
            <v>45.012109691211521</v>
          </cell>
        </row>
        <row r="999">
          <cell r="I999" t="str">
            <v>Rapat-Rapat Koordinasi dan Konsultasi Dalam Daerah</v>
          </cell>
          <cell r="J999" t="str">
            <v>operasional rapat dan kunjungnan lapangan dalam daerah (bln)</v>
          </cell>
          <cell r="K999">
            <v>72</v>
          </cell>
          <cell r="L999">
            <v>429300000</v>
          </cell>
          <cell r="M999">
            <v>24</v>
          </cell>
          <cell r="N999">
            <v>196225000</v>
          </cell>
          <cell r="O999">
            <v>12</v>
          </cell>
          <cell r="P999">
            <v>58200000</v>
          </cell>
          <cell r="Q999">
            <v>3</v>
          </cell>
          <cell r="R999">
            <v>37855000</v>
          </cell>
          <cell r="S999">
            <v>3</v>
          </cell>
          <cell r="T999">
            <v>15250000</v>
          </cell>
          <cell r="Y999">
            <v>6</v>
          </cell>
          <cell r="Z999">
            <v>53105000</v>
          </cell>
          <cell r="AA999">
            <v>30</v>
          </cell>
          <cell r="AB999">
            <v>249330000</v>
          </cell>
          <cell r="AC999">
            <v>41.666666666666671</v>
          </cell>
          <cell r="AD999">
            <v>58.078266946191469</v>
          </cell>
        </row>
        <row r="1000">
          <cell r="A1000">
            <v>2</v>
          </cell>
          <cell r="C1000">
            <v>3</v>
          </cell>
          <cell r="D1000" t="str">
            <v>00</v>
          </cell>
          <cell r="E1000" t="str">
            <v>04</v>
          </cell>
          <cell r="F1000" t="str">
            <v>01</v>
          </cell>
          <cell r="G1000" t="str">
            <v>02</v>
          </cell>
          <cell r="I1000" t="str">
            <v>Program Peningkatan Sarana dan Prasarana Aparatur</v>
          </cell>
          <cell r="J1000" t="str">
            <v>Persentase pemenuhan sarpras bagi aparatur</v>
          </cell>
          <cell r="K1000">
            <v>600</v>
          </cell>
          <cell r="L1000">
            <v>1919225150</v>
          </cell>
          <cell r="M1000">
            <v>200</v>
          </cell>
          <cell r="N1000">
            <v>524624622</v>
          </cell>
          <cell r="O1000">
            <v>100</v>
          </cell>
          <cell r="P1000">
            <v>360285500</v>
          </cell>
          <cell r="Q1000">
            <v>25</v>
          </cell>
          <cell r="R1000">
            <v>78062886</v>
          </cell>
          <cell r="T1000">
            <v>60192700</v>
          </cell>
          <cell r="Y1000">
            <v>25</v>
          </cell>
          <cell r="Z1000">
            <v>138255586</v>
          </cell>
          <cell r="AA1000">
            <v>225</v>
          </cell>
          <cell r="AB1000">
            <v>662880208</v>
          </cell>
          <cell r="AC1000">
            <v>37.5</v>
          </cell>
          <cell r="AD1000">
            <v>34.538949638087018</v>
          </cell>
          <cell r="AE1000" t="str">
            <v>DISPARPORA</v>
          </cell>
        </row>
        <row r="1001">
          <cell r="I1001" t="str">
            <v>Pemeliharaan rutin/berkala Gedung Kantor</v>
          </cell>
          <cell r="J1001" t="str">
            <v>Terpeliharanya secara rutin/berkala Gedung Kantor (bln)</v>
          </cell>
          <cell r="K1001">
            <v>72</v>
          </cell>
          <cell r="L1001">
            <v>404720000</v>
          </cell>
          <cell r="M1001">
            <v>24</v>
          </cell>
          <cell r="N1001">
            <v>168686000</v>
          </cell>
          <cell r="O1001">
            <v>12</v>
          </cell>
          <cell r="P1001">
            <v>59000000</v>
          </cell>
          <cell r="Q1001">
            <v>3</v>
          </cell>
          <cell r="R1001">
            <v>17176000</v>
          </cell>
          <cell r="S1001">
            <v>3</v>
          </cell>
          <cell r="T1001">
            <v>17838000</v>
          </cell>
          <cell r="Y1001">
            <v>6</v>
          </cell>
          <cell r="Z1001">
            <v>35014000</v>
          </cell>
          <cell r="AA1001">
            <v>30</v>
          </cell>
          <cell r="AB1001">
            <v>203700000</v>
          </cell>
          <cell r="AC1001">
            <v>41.666666666666671</v>
          </cell>
          <cell r="AD1001">
            <v>50.331093101403432</v>
          </cell>
        </row>
        <row r="1002">
          <cell r="I1002" t="str">
            <v>Pemeliharan Rutin/ Berkala Kendaraan Dinas/Operasional</v>
          </cell>
          <cell r="J1002" t="str">
            <v>Terpeliharanya kendaraan dinas/operasional (bln)</v>
          </cell>
          <cell r="K1002">
            <v>72</v>
          </cell>
          <cell r="L1002">
            <v>1298965150</v>
          </cell>
          <cell r="M1002">
            <v>24</v>
          </cell>
          <cell r="N1002">
            <v>355938622</v>
          </cell>
          <cell r="O1002">
            <v>12</v>
          </cell>
          <cell r="P1002">
            <v>235745500</v>
          </cell>
          <cell r="Q1002">
            <v>3</v>
          </cell>
          <cell r="R1002">
            <v>60886886</v>
          </cell>
          <cell r="S1002">
            <v>3</v>
          </cell>
          <cell r="T1002">
            <v>42354700</v>
          </cell>
          <cell r="Y1002">
            <v>6</v>
          </cell>
          <cell r="Z1002">
            <v>103241586</v>
          </cell>
          <cell r="AA1002">
            <v>30</v>
          </cell>
          <cell r="AB1002">
            <v>459180208</v>
          </cell>
          <cell r="AC1002">
            <v>41.666666666666671</v>
          </cell>
          <cell r="AD1002">
            <v>35.349694177707541</v>
          </cell>
        </row>
        <row r="1003">
          <cell r="I1003" t="str">
            <v>Pembangunan Tempat Parkir</v>
          </cell>
          <cell r="J1003" t="str">
            <v>Terlaksananya Pembangunan Tempat Parkir (paket)</v>
          </cell>
          <cell r="K1003">
            <v>2</v>
          </cell>
          <cell r="L1003">
            <v>215540000</v>
          </cell>
          <cell r="M1003">
            <v>0</v>
          </cell>
          <cell r="N1003">
            <v>0</v>
          </cell>
          <cell r="O1003">
            <v>1</v>
          </cell>
          <cell r="P1003">
            <v>65540000</v>
          </cell>
          <cell r="Y1003">
            <v>0</v>
          </cell>
          <cell r="Z1003">
            <v>0</v>
          </cell>
          <cell r="AA1003">
            <v>0</v>
          </cell>
          <cell r="AB1003">
            <v>0</v>
          </cell>
          <cell r="AC1003">
            <v>0</v>
          </cell>
          <cell r="AD1003">
            <v>0</v>
          </cell>
        </row>
        <row r="1004">
          <cell r="A1004">
            <v>3</v>
          </cell>
          <cell r="B1004" t="str">
            <v>Meningkatnya Organisasi Pemuda Tk. Kab. yang aktif</v>
          </cell>
          <cell r="C1004">
            <v>13</v>
          </cell>
          <cell r="D1004">
            <v>1</v>
          </cell>
          <cell r="E1004">
            <v>2</v>
          </cell>
          <cell r="F1004">
            <v>13</v>
          </cell>
          <cell r="G1004">
            <v>16</v>
          </cell>
          <cell r="I1004" t="str">
            <v>Program Peningkatan Peran Serta Kepemudaan</v>
          </cell>
          <cell r="J1004" t="str">
            <v>Persentase organisasi kepemudaan yang aktif</v>
          </cell>
          <cell r="K1004">
            <v>80</v>
          </cell>
          <cell r="L1004">
            <v>4874759675</v>
          </cell>
          <cell r="M1004">
            <v>50</v>
          </cell>
          <cell r="N1004">
            <v>964411138</v>
          </cell>
          <cell r="O1004">
            <v>10</v>
          </cell>
          <cell r="P1004">
            <v>925875640</v>
          </cell>
          <cell r="Q1004">
            <v>1</v>
          </cell>
          <cell r="R1004">
            <v>25130400</v>
          </cell>
          <cell r="T1004">
            <v>76603300</v>
          </cell>
          <cell r="Y1004">
            <v>1</v>
          </cell>
          <cell r="Z1004">
            <v>101733700</v>
          </cell>
          <cell r="AA1004">
            <v>51</v>
          </cell>
          <cell r="AB1004">
            <v>1066144838</v>
          </cell>
          <cell r="AC1004">
            <v>63.749999999999993</v>
          </cell>
          <cell r="AD1004">
            <v>21.870715872777872</v>
          </cell>
          <cell r="AE1004" t="str">
            <v>DISPARPORA</v>
          </cell>
        </row>
        <row r="1005">
          <cell r="C1005">
            <v>13</v>
          </cell>
          <cell r="D1005">
            <v>1</v>
          </cell>
          <cell r="E1005">
            <v>2</v>
          </cell>
          <cell r="F1005">
            <v>13</v>
          </cell>
          <cell r="G1005">
            <v>16</v>
          </cell>
          <cell r="H1005">
            <v>2</v>
          </cell>
          <cell r="I1005" t="str">
            <v xml:space="preserve">Peringatan hari-hari Besar Nasional </v>
          </cell>
          <cell r="J1005" t="str">
            <v>Terlaksananya peringatan hari-hari besar nasional (kali)</v>
          </cell>
          <cell r="K1005">
            <v>5</v>
          </cell>
          <cell r="L1005">
            <v>4116009675</v>
          </cell>
          <cell r="M1005">
            <v>1</v>
          </cell>
          <cell r="N1005">
            <v>831775050</v>
          </cell>
          <cell r="O1005">
            <v>1</v>
          </cell>
          <cell r="P1005">
            <v>767792780</v>
          </cell>
          <cell r="Q1005">
            <v>0</v>
          </cell>
          <cell r="R1005">
            <v>1250000</v>
          </cell>
          <cell r="S1005">
            <v>1.63</v>
          </cell>
          <cell r="T1005">
            <v>12483000</v>
          </cell>
          <cell r="Y1005">
            <v>1.63</v>
          </cell>
          <cell r="Z1005">
            <v>13733000</v>
          </cell>
          <cell r="AA1005">
            <v>2.63</v>
          </cell>
          <cell r="AB1005">
            <v>845508050</v>
          </cell>
          <cell r="AC1005">
            <v>52.6</v>
          </cell>
          <cell r="AD1005">
            <v>20.541935436534171</v>
          </cell>
        </row>
        <row r="1006">
          <cell r="C1006">
            <v>13</v>
          </cell>
          <cell r="D1006">
            <v>1</v>
          </cell>
          <cell r="E1006">
            <v>2</v>
          </cell>
          <cell r="F1006">
            <v>13</v>
          </cell>
          <cell r="G1006">
            <v>16</v>
          </cell>
          <cell r="H1006">
            <v>3</v>
          </cell>
          <cell r="I1006" t="str">
            <v>Sosialisasi Bahaya Narkoba bagi Generasi Muda</v>
          </cell>
          <cell r="J1006" t="str">
            <v>Jumlah peserta sosialisasi</v>
          </cell>
          <cell r="K1006">
            <v>400</v>
          </cell>
          <cell r="L1006">
            <v>80000000</v>
          </cell>
          <cell r="O1006">
            <v>100</v>
          </cell>
          <cell r="P1006">
            <v>26285320</v>
          </cell>
          <cell r="Q1006">
            <v>0</v>
          </cell>
          <cell r="R1006">
            <v>3154000</v>
          </cell>
          <cell r="S1006">
            <v>68.75</v>
          </cell>
          <cell r="T1006">
            <v>18420300</v>
          </cell>
          <cell r="Y1006">
            <v>68.75</v>
          </cell>
          <cell r="Z1006">
            <v>21574300</v>
          </cell>
          <cell r="AA1006">
            <v>68.75</v>
          </cell>
          <cell r="AB1006">
            <v>21574300</v>
          </cell>
          <cell r="AC1006">
            <v>17.1875</v>
          </cell>
          <cell r="AD1006">
            <v>26.967875000000003</v>
          </cell>
        </row>
        <row r="1007">
          <cell r="C1007">
            <v>13</v>
          </cell>
          <cell r="D1007">
            <v>1</v>
          </cell>
          <cell r="E1007">
            <v>2</v>
          </cell>
          <cell r="F1007">
            <v>13</v>
          </cell>
          <cell r="G1007">
            <v>16</v>
          </cell>
          <cell r="H1007">
            <v>14</v>
          </cell>
          <cell r="I1007" t="str">
            <v>Penyeleksian dan Pengiriman Anggota Paskibraka tingkat Provinsi dan Nasional</v>
          </cell>
          <cell r="J1007" t="str">
            <v>Jumlah anggota paskibraka yang di seleksi ke tingkat provinsi dan Nasional</v>
          </cell>
          <cell r="K1007">
            <v>500</v>
          </cell>
          <cell r="L1007">
            <v>303750000</v>
          </cell>
          <cell r="M1007">
            <v>96.8</v>
          </cell>
          <cell r="N1007">
            <v>59901900</v>
          </cell>
          <cell r="O1007">
            <v>100</v>
          </cell>
          <cell r="P1007">
            <v>70571200</v>
          </cell>
          <cell r="Q1007">
            <v>2.7142306066071682</v>
          </cell>
          <cell r="R1007">
            <v>20726400</v>
          </cell>
          <cell r="S1007">
            <v>64</v>
          </cell>
          <cell r="T1007">
            <v>45700000</v>
          </cell>
          <cell r="Y1007">
            <v>66.714230606607174</v>
          </cell>
          <cell r="Z1007">
            <v>66426400</v>
          </cell>
          <cell r="AA1007">
            <v>163.51423060660716</v>
          </cell>
          <cell r="AB1007">
            <v>126328300</v>
          </cell>
          <cell r="AC1007">
            <v>32.702846121321436</v>
          </cell>
          <cell r="AD1007">
            <v>41.589563786008235</v>
          </cell>
        </row>
        <row r="1008">
          <cell r="C1008">
            <v>13</v>
          </cell>
          <cell r="D1008">
            <v>1</v>
          </cell>
          <cell r="E1008">
            <v>2</v>
          </cell>
          <cell r="F1008">
            <v>13</v>
          </cell>
          <cell r="G1008">
            <v>16</v>
          </cell>
          <cell r="H1008">
            <v>15</v>
          </cell>
          <cell r="I1008" t="str">
            <v>Penyeleksian Jambore Pemuda Indonesia (JPI)</v>
          </cell>
          <cell r="J1008" t="str">
            <v>Jumlah anggota JPI yang diseleksi</v>
          </cell>
          <cell r="K1008">
            <v>500</v>
          </cell>
          <cell r="L1008">
            <v>250000000</v>
          </cell>
          <cell r="M1008">
            <v>95.47</v>
          </cell>
          <cell r="N1008">
            <v>47734188</v>
          </cell>
          <cell r="O1008">
            <v>100</v>
          </cell>
          <cell r="P1008">
            <v>30000100</v>
          </cell>
          <cell r="Y1008">
            <v>0</v>
          </cell>
          <cell r="Z1008">
            <v>0</v>
          </cell>
          <cell r="AA1008">
            <v>95.47</v>
          </cell>
          <cell r="AB1008">
            <v>47734188</v>
          </cell>
          <cell r="AC1008">
            <v>19.094000000000001</v>
          </cell>
          <cell r="AD1008">
            <v>19.0936752</v>
          </cell>
        </row>
        <row r="1009">
          <cell r="C1009">
            <v>13</v>
          </cell>
          <cell r="D1009">
            <v>1</v>
          </cell>
          <cell r="E1009">
            <v>2</v>
          </cell>
          <cell r="F1009">
            <v>13</v>
          </cell>
          <cell r="G1009">
            <v>16</v>
          </cell>
          <cell r="H1009">
            <v>20</v>
          </cell>
          <cell r="I1009" t="str">
            <v>Peringatan Sumpah Pemuda</v>
          </cell>
          <cell r="J1009" t="str">
            <v>Terlaksananya peringatan sumpah pemuda (kali)</v>
          </cell>
          <cell r="K1009">
            <v>5</v>
          </cell>
          <cell r="L1009">
            <v>125000000</v>
          </cell>
          <cell r="M1009">
            <v>1</v>
          </cell>
          <cell r="N1009">
            <v>25000000</v>
          </cell>
          <cell r="O1009">
            <v>1</v>
          </cell>
          <cell r="P1009">
            <v>31226240</v>
          </cell>
          <cell r="Y1009">
            <v>0</v>
          </cell>
          <cell r="Z1009">
            <v>0</v>
          </cell>
          <cell r="AA1009">
            <v>1</v>
          </cell>
          <cell r="AB1009">
            <v>25000000</v>
          </cell>
          <cell r="AC1009">
            <v>20</v>
          </cell>
          <cell r="AD1009">
            <v>20</v>
          </cell>
        </row>
        <row r="1010">
          <cell r="A1010">
            <v>4</v>
          </cell>
          <cell r="B1010" t="str">
            <v>Meningkatnya jumlah atlit berprestasi Tk. Prop dan Nasional</v>
          </cell>
          <cell r="C1010">
            <v>13</v>
          </cell>
          <cell r="D1010">
            <v>1</v>
          </cell>
          <cell r="E1010">
            <v>2</v>
          </cell>
          <cell r="F1010">
            <v>13</v>
          </cell>
          <cell r="G1010">
            <v>20</v>
          </cell>
          <cell r="I1010" t="str">
            <v>Program pembinaan dan pemasyarakatan olahraga</v>
          </cell>
          <cell r="J1010" t="str">
            <v>Jumlah Atlit dan pemuda berprestasi</v>
          </cell>
          <cell r="K1010">
            <v>215</v>
          </cell>
          <cell r="L1010">
            <v>5025393445</v>
          </cell>
          <cell r="M1010">
            <v>45</v>
          </cell>
          <cell r="N1010">
            <v>807315619</v>
          </cell>
          <cell r="O1010">
            <v>35</v>
          </cell>
          <cell r="P1010">
            <v>782157459</v>
          </cell>
          <cell r="Q1010">
            <v>0</v>
          </cell>
          <cell r="R1010">
            <v>17557200</v>
          </cell>
          <cell r="T1010">
            <v>338070930</v>
          </cell>
          <cell r="Y1010">
            <v>0</v>
          </cell>
          <cell r="Z1010">
            <v>355628130</v>
          </cell>
          <cell r="AA1010">
            <v>45</v>
          </cell>
          <cell r="AB1010">
            <v>1162943749</v>
          </cell>
          <cell r="AC1010">
            <v>20.930232558139537</v>
          </cell>
          <cell r="AD1010">
            <v>23.141347274153574</v>
          </cell>
          <cell r="AE1010" t="str">
            <v>DISPARPORA</v>
          </cell>
        </row>
        <row r="1011">
          <cell r="C1011">
            <v>13</v>
          </cell>
          <cell r="D1011">
            <v>1</v>
          </cell>
          <cell r="E1011">
            <v>2</v>
          </cell>
          <cell r="F1011">
            <v>13</v>
          </cell>
          <cell r="G1011">
            <v>20</v>
          </cell>
          <cell r="H1011">
            <v>19</v>
          </cell>
          <cell r="I1011" t="str">
            <v>Penyelenggaraan Open Tournamen Volly pantai Tingkat Nasional</v>
          </cell>
          <cell r="J1011" t="str">
            <v>Terlaksananya open tournamen Volly pantai tingkat Nasional (kali)</v>
          </cell>
          <cell r="K1011">
            <v>6</v>
          </cell>
          <cell r="L1011">
            <v>2085681345</v>
          </cell>
          <cell r="M1011">
            <v>1</v>
          </cell>
          <cell r="N1011">
            <v>347051059</v>
          </cell>
          <cell r="O1011">
            <v>1</v>
          </cell>
          <cell r="P1011">
            <v>326109059</v>
          </cell>
          <cell r="Q1011">
            <v>2.2447142577208359</v>
          </cell>
          <cell r="R1011">
            <v>7362200</v>
          </cell>
          <cell r="S1011">
            <v>97.56</v>
          </cell>
          <cell r="T1011">
            <v>318088430</v>
          </cell>
          <cell r="Y1011">
            <v>99.804714257720832</v>
          </cell>
          <cell r="Z1011">
            <v>325450630</v>
          </cell>
          <cell r="AA1011">
            <v>100.80471425772083</v>
          </cell>
          <cell r="AB1011">
            <v>672501689</v>
          </cell>
          <cell r="AC1011">
            <v>1680.0785709620141</v>
          </cell>
          <cell r="AD1011">
            <v>32.24374090568471</v>
          </cell>
        </row>
        <row r="1012">
          <cell r="C1012">
            <v>13</v>
          </cell>
          <cell r="D1012">
            <v>1</v>
          </cell>
          <cell r="E1012">
            <v>2</v>
          </cell>
          <cell r="F1012">
            <v>13</v>
          </cell>
          <cell r="G1012">
            <v>20</v>
          </cell>
          <cell r="H1012">
            <v>20</v>
          </cell>
          <cell r="I1012" t="str">
            <v>Penyelenggaraan Paralayang Internasional</v>
          </cell>
          <cell r="J1012" t="str">
            <v>Terlaksananya paralayang internasional (kali)</v>
          </cell>
          <cell r="K1012">
            <v>6</v>
          </cell>
          <cell r="L1012">
            <v>2149712100</v>
          </cell>
          <cell r="M1012">
            <v>1</v>
          </cell>
          <cell r="N1012">
            <v>304681560</v>
          </cell>
          <cell r="O1012">
            <v>1</v>
          </cell>
          <cell r="P1012">
            <v>350716040</v>
          </cell>
          <cell r="Q1012">
            <v>0</v>
          </cell>
          <cell r="R1012">
            <v>1002000</v>
          </cell>
          <cell r="S1012">
            <v>2</v>
          </cell>
          <cell r="T1012">
            <v>5791000</v>
          </cell>
          <cell r="Y1012">
            <v>2</v>
          </cell>
          <cell r="Z1012">
            <v>6793000</v>
          </cell>
          <cell r="AA1012">
            <v>3</v>
          </cell>
          <cell r="AB1012">
            <v>311474560</v>
          </cell>
          <cell r="AC1012">
            <v>50</v>
          </cell>
          <cell r="AD1012">
            <v>14.489129032673725</v>
          </cell>
        </row>
        <row r="1013">
          <cell r="C1013">
            <v>13</v>
          </cell>
          <cell r="D1013">
            <v>1</v>
          </cell>
          <cell r="E1013">
            <v>2</v>
          </cell>
          <cell r="F1013">
            <v>13</v>
          </cell>
          <cell r="G1013">
            <v>20</v>
          </cell>
          <cell r="H1013">
            <v>37</v>
          </cell>
          <cell r="I1013" t="str">
            <v>Olah Raga Massal (  Car Free Day )</v>
          </cell>
          <cell r="J1013" t="str">
            <v>Jumlah olahraga massal yang dilaksankan (kali)</v>
          </cell>
          <cell r="K1013">
            <v>500</v>
          </cell>
          <cell r="L1013">
            <v>500000000</v>
          </cell>
          <cell r="M1013">
            <v>95.78</v>
          </cell>
          <cell r="N1013">
            <v>97583000</v>
          </cell>
          <cell r="O1013">
            <v>100</v>
          </cell>
          <cell r="P1013">
            <v>75010200</v>
          </cell>
          <cell r="Y1013">
            <v>0</v>
          </cell>
          <cell r="Z1013">
            <v>0</v>
          </cell>
          <cell r="AA1013">
            <v>95.78</v>
          </cell>
          <cell r="AB1013">
            <v>97583000</v>
          </cell>
          <cell r="AC1013">
            <v>19.156000000000002</v>
          </cell>
          <cell r="AD1013">
            <v>19.5166</v>
          </cell>
        </row>
        <row r="1014">
          <cell r="C1014">
            <v>13</v>
          </cell>
          <cell r="D1014">
            <v>1</v>
          </cell>
          <cell r="E1014">
            <v>2</v>
          </cell>
          <cell r="F1014">
            <v>13</v>
          </cell>
          <cell r="G1014">
            <v>20</v>
          </cell>
          <cell r="H1014">
            <v>38</v>
          </cell>
          <cell r="I1014" t="str">
            <v>Aktivasi dan Bantuan Untuk club-club Olahraga</v>
          </cell>
          <cell r="J1014" t="str">
            <v>Jumlah kelompok / klub olah raga yang dibantu</v>
          </cell>
          <cell r="K1014">
            <v>500</v>
          </cell>
          <cell r="L1014">
            <v>290000000</v>
          </cell>
          <cell r="M1014">
            <v>100</v>
          </cell>
          <cell r="N1014">
            <v>58000000</v>
          </cell>
          <cell r="O1014">
            <v>80</v>
          </cell>
          <cell r="P1014">
            <v>30322160</v>
          </cell>
          <cell r="Q1014">
            <v>7</v>
          </cell>
          <cell r="R1014">
            <v>9193000</v>
          </cell>
          <cell r="S1014">
            <v>46.8</v>
          </cell>
          <cell r="T1014">
            <v>14191500</v>
          </cell>
          <cell r="Y1014">
            <v>53.8</v>
          </cell>
          <cell r="Z1014">
            <v>23384500</v>
          </cell>
          <cell r="AA1014">
            <v>153.80000000000001</v>
          </cell>
          <cell r="AB1014">
            <v>81384500</v>
          </cell>
          <cell r="AC1014">
            <v>30.760000000000005</v>
          </cell>
          <cell r="AD1014">
            <v>28.063620689655171</v>
          </cell>
        </row>
        <row r="1015">
          <cell r="A1015">
            <v>5</v>
          </cell>
          <cell r="C1015">
            <v>13</v>
          </cell>
          <cell r="D1015">
            <v>1</v>
          </cell>
          <cell r="E1015">
            <v>2</v>
          </cell>
          <cell r="F1015">
            <v>13</v>
          </cell>
          <cell r="G1015">
            <v>22</v>
          </cell>
          <cell r="I1015" t="str">
            <v>Program pembinaan olahraga berprestasi</v>
          </cell>
          <cell r="J1015" t="str">
            <v>Terlaksannya Pembinaan Olahraga Berprestasi</v>
          </cell>
          <cell r="K1015">
            <v>215</v>
          </cell>
          <cell r="L1015">
            <v>250000000</v>
          </cell>
          <cell r="M1015">
            <v>45</v>
          </cell>
          <cell r="N1015">
            <v>49999600</v>
          </cell>
          <cell r="O1015">
            <v>35</v>
          </cell>
          <cell r="P1015">
            <v>30000000</v>
          </cell>
          <cell r="Q1015">
            <v>0</v>
          </cell>
          <cell r="R1015">
            <v>12500000</v>
          </cell>
          <cell r="Y1015">
            <v>0</v>
          </cell>
          <cell r="Z1015">
            <v>12500000</v>
          </cell>
          <cell r="AA1015">
            <v>45</v>
          </cell>
          <cell r="AB1015">
            <v>62499600</v>
          </cell>
          <cell r="AC1015">
            <v>20.930232558139537</v>
          </cell>
          <cell r="AD1015">
            <v>24.999840000000003</v>
          </cell>
          <cell r="AE1015" t="str">
            <v>DISPARPORA</v>
          </cell>
        </row>
        <row r="1016">
          <cell r="C1016">
            <v>13</v>
          </cell>
          <cell r="D1016">
            <v>1</v>
          </cell>
          <cell r="E1016">
            <v>2</v>
          </cell>
          <cell r="F1016">
            <v>13</v>
          </cell>
          <cell r="G1016">
            <v>22</v>
          </cell>
          <cell r="H1016">
            <v>2</v>
          </cell>
          <cell r="I1016" t="str">
            <v>Pengiriman atlit dan pemuda berprestasi</v>
          </cell>
          <cell r="J1016" t="str">
            <v>Jumlah atlit dan pemuda berprestasi yang dikirim (kali)</v>
          </cell>
          <cell r="K1016">
            <v>500</v>
          </cell>
          <cell r="L1016">
            <v>250000000</v>
          </cell>
          <cell r="M1016">
            <v>100</v>
          </cell>
          <cell r="N1016">
            <v>49999600</v>
          </cell>
          <cell r="O1016">
            <v>100</v>
          </cell>
          <cell r="P1016">
            <v>30000000</v>
          </cell>
          <cell r="Q1016">
            <v>0</v>
          </cell>
          <cell r="R1016">
            <v>12500000</v>
          </cell>
          <cell r="Y1016">
            <v>0</v>
          </cell>
          <cell r="Z1016">
            <v>12500000</v>
          </cell>
          <cell r="AA1016">
            <v>100</v>
          </cell>
          <cell r="AB1016">
            <v>62499600</v>
          </cell>
          <cell r="AC1016">
            <v>20</v>
          </cell>
          <cell r="AD1016">
            <v>24.999840000000003</v>
          </cell>
        </row>
        <row r="1017">
          <cell r="A1017" t="str">
            <v>Rata-Rata Capaian Kinerja</v>
          </cell>
          <cell r="AC1017">
            <v>29.215116279069768</v>
          </cell>
          <cell r="AD1017">
            <v>32.040398450349144</v>
          </cell>
        </row>
        <row r="1018">
          <cell r="A1018" t="str">
            <v>Peringkat  Kinerja</v>
          </cell>
          <cell r="AC1018" t="str">
            <v>SR</v>
          </cell>
          <cell r="AD1018" t="str">
            <v>SR</v>
          </cell>
        </row>
        <row r="1019">
          <cell r="A1019" t="str">
            <v>XIII</v>
          </cell>
          <cell r="I1019" t="str">
            <v>URUSAN STATISTIK</v>
          </cell>
          <cell r="L1019">
            <v>212642000</v>
          </cell>
          <cell r="N1019">
            <v>114778000</v>
          </cell>
          <cell r="P1019">
            <v>287729500</v>
          </cell>
          <cell r="R1019">
            <v>2475000</v>
          </cell>
          <cell r="T1019">
            <v>15626900</v>
          </cell>
          <cell r="Z1019">
            <v>18101900</v>
          </cell>
          <cell r="AB1019">
            <v>132879900</v>
          </cell>
        </row>
        <row r="1020">
          <cell r="A1020">
            <v>1</v>
          </cell>
          <cell r="B1020" t="str">
            <v>Meningkatnya kualitas data pemerintah daerah</v>
          </cell>
          <cell r="C1020">
            <v>1</v>
          </cell>
          <cell r="D1020" t="str">
            <v>02</v>
          </cell>
          <cell r="E1020">
            <v>10</v>
          </cell>
          <cell r="F1020" t="str">
            <v>01</v>
          </cell>
          <cell r="G1020">
            <v>19</v>
          </cell>
          <cell r="I1020" t="str">
            <v>Program Peningkatan Akses Informasi dan Komunikasi</v>
          </cell>
          <cell r="J1020" t="str">
            <v>Data Statistik sektoral untuk Perangkat Daerah</v>
          </cell>
          <cell r="K1020">
            <v>24</v>
          </cell>
          <cell r="L1020">
            <v>212642000</v>
          </cell>
          <cell r="M1020">
            <v>8</v>
          </cell>
          <cell r="N1020">
            <v>114778000</v>
          </cell>
          <cell r="O1020">
            <v>4</v>
          </cell>
          <cell r="P1020">
            <v>287729500</v>
          </cell>
          <cell r="Q1020">
            <v>1</v>
          </cell>
          <cell r="R1020">
            <v>2475000</v>
          </cell>
          <cell r="T1020">
            <v>15626900</v>
          </cell>
          <cell r="V1020">
            <v>0</v>
          </cell>
          <cell r="Y1020">
            <v>1</v>
          </cell>
          <cell r="Z1020">
            <v>18101900</v>
          </cell>
          <cell r="AA1020">
            <v>9</v>
          </cell>
          <cell r="AB1020">
            <v>132879900</v>
          </cell>
          <cell r="AC1020">
            <v>37.5</v>
          </cell>
          <cell r="AD1020">
            <v>62.489959650492381</v>
          </cell>
          <cell r="AE1020" t="str">
            <v>Dinas Kominfo</v>
          </cell>
        </row>
        <row r="1021">
          <cell r="C1021">
            <v>1</v>
          </cell>
          <cell r="D1021" t="str">
            <v>02</v>
          </cell>
          <cell r="E1021">
            <v>10</v>
          </cell>
          <cell r="F1021" t="str">
            <v>01</v>
          </cell>
          <cell r="G1021">
            <v>19</v>
          </cell>
          <cell r="H1021">
            <v>21</v>
          </cell>
          <cell r="I1021" t="str">
            <v>Pengumpulan data statistik sektoral</v>
          </cell>
          <cell r="J1021" t="str">
            <v>Data Sektoral Perangkat Daerah (buku)</v>
          </cell>
          <cell r="K1021">
            <v>225</v>
          </cell>
          <cell r="L1021">
            <v>86215000</v>
          </cell>
          <cell r="M1021">
            <v>0</v>
          </cell>
          <cell r="N1021">
            <v>0</v>
          </cell>
          <cell r="O1021">
            <v>0</v>
          </cell>
          <cell r="P1021">
            <v>0</v>
          </cell>
          <cell r="Q1021">
            <v>0</v>
          </cell>
          <cell r="R1021">
            <v>0</v>
          </cell>
          <cell r="S1021">
            <v>0</v>
          </cell>
          <cell r="T1021">
            <v>0</v>
          </cell>
          <cell r="U1021">
            <v>0</v>
          </cell>
          <cell r="V1021">
            <v>0</v>
          </cell>
          <cell r="Y1021">
            <v>0</v>
          </cell>
          <cell r="Z1021">
            <v>0</v>
          </cell>
          <cell r="AA1021">
            <v>0</v>
          </cell>
          <cell r="AB1021">
            <v>0</v>
          </cell>
          <cell r="AC1021">
            <v>0</v>
          </cell>
          <cell r="AD1021">
            <v>0</v>
          </cell>
          <cell r="AE1021" t="str">
            <v>Dinas Kominfo</v>
          </cell>
        </row>
        <row r="1022">
          <cell r="C1022">
            <v>1</v>
          </cell>
          <cell r="D1022" t="str">
            <v>02</v>
          </cell>
          <cell r="E1022">
            <v>10</v>
          </cell>
          <cell r="F1022" t="str">
            <v>01</v>
          </cell>
          <cell r="G1022">
            <v>19</v>
          </cell>
          <cell r="H1022">
            <v>21</v>
          </cell>
          <cell r="I1022" t="str">
            <v>Penyediaan Data Pesisir Selatan Dalam Angka</v>
          </cell>
          <cell r="J1022" t="str">
            <v>Data Pesisir Selatan Dalam Angka (buku)</v>
          </cell>
          <cell r="K1022">
            <v>1250</v>
          </cell>
          <cell r="L1022">
            <v>72969000</v>
          </cell>
          <cell r="M1022">
            <v>250</v>
          </cell>
          <cell r="N1022">
            <v>57389000</v>
          </cell>
          <cell r="O1022">
            <v>250</v>
          </cell>
          <cell r="P1022">
            <v>214912500</v>
          </cell>
          <cell r="Q1022">
            <v>0</v>
          </cell>
          <cell r="R1022">
            <v>2475000</v>
          </cell>
          <cell r="S1022">
            <v>0</v>
          </cell>
          <cell r="T1022">
            <v>15626900</v>
          </cell>
          <cell r="U1022">
            <v>0</v>
          </cell>
          <cell r="V1022">
            <v>0</v>
          </cell>
          <cell r="Y1022">
            <v>0</v>
          </cell>
          <cell r="Z1022">
            <v>18101900</v>
          </cell>
          <cell r="AA1022">
            <v>0</v>
          </cell>
          <cell r="AB1022">
            <v>0</v>
          </cell>
          <cell r="AC1022">
            <v>0</v>
          </cell>
          <cell r="AD1022">
            <v>0</v>
          </cell>
          <cell r="AE1022" t="str">
            <v>Dinas Kominfo</v>
          </cell>
        </row>
        <row r="1023">
          <cell r="C1023">
            <v>1</v>
          </cell>
          <cell r="D1023" t="str">
            <v>02</v>
          </cell>
          <cell r="E1023">
            <v>10</v>
          </cell>
          <cell r="F1023" t="str">
            <v>01</v>
          </cell>
          <cell r="G1023">
            <v>19</v>
          </cell>
          <cell r="H1023">
            <v>21</v>
          </cell>
          <cell r="I1023" t="str">
            <v>Penyelenggaraan Persandian dan Keamanan  informasi daerah</v>
          </cell>
          <cell r="K1023">
            <v>40</v>
          </cell>
          <cell r="L1023">
            <v>53458000</v>
          </cell>
          <cell r="M1023">
            <v>7</v>
          </cell>
          <cell r="N1023">
            <v>57389000</v>
          </cell>
          <cell r="O1023">
            <v>45</v>
          </cell>
          <cell r="P1023">
            <v>72817000</v>
          </cell>
          <cell r="Q1023">
            <v>10</v>
          </cell>
          <cell r="R1023">
            <v>0</v>
          </cell>
          <cell r="S1023">
            <v>0</v>
          </cell>
          <cell r="T1023">
            <v>0</v>
          </cell>
          <cell r="U1023">
            <v>0</v>
          </cell>
          <cell r="V1023">
            <v>0</v>
          </cell>
          <cell r="Y1023">
            <v>10</v>
          </cell>
          <cell r="Z1023">
            <v>0</v>
          </cell>
          <cell r="AA1023">
            <v>0</v>
          </cell>
          <cell r="AB1023">
            <v>0</v>
          </cell>
          <cell r="AC1023">
            <v>0</v>
          </cell>
          <cell r="AD1023">
            <v>0</v>
          </cell>
          <cell r="AE1023" t="str">
            <v>Dinas Kominfo</v>
          </cell>
        </row>
        <row r="1024">
          <cell r="A1024">
            <v>0</v>
          </cell>
          <cell r="AC1024">
            <v>37.5</v>
          </cell>
          <cell r="AD1024">
            <v>62.489959650492381</v>
          </cell>
        </row>
        <row r="1025">
          <cell r="A1025" t="str">
            <v>Peringkat  Kinerja</v>
          </cell>
          <cell r="AC1025" t="str">
            <v>SR</v>
          </cell>
          <cell r="AD1025" t="str">
            <v>R</v>
          </cell>
        </row>
        <row r="1026">
          <cell r="A1026" t="str">
            <v>XIV</v>
          </cell>
          <cell r="I1026" t="str">
            <v>URUSAN KEBUDAYAAN</v>
          </cell>
          <cell r="L1026">
            <v>9641769000</v>
          </cell>
          <cell r="N1026">
            <v>4847558000</v>
          </cell>
          <cell r="P1026">
            <v>1957074110</v>
          </cell>
          <cell r="R1026">
            <v>149402000</v>
          </cell>
          <cell r="T1026">
            <v>1558683230</v>
          </cell>
          <cell r="Z1026">
            <v>1708085230</v>
          </cell>
          <cell r="AB1026">
            <v>6555643230</v>
          </cell>
        </row>
        <row r="1027">
          <cell r="A1027">
            <v>1</v>
          </cell>
          <cell r="C1027" t="str">
            <v>01</v>
          </cell>
          <cell r="D1027" t="str">
            <v>01</v>
          </cell>
          <cell r="E1027" t="str">
            <v>01</v>
          </cell>
          <cell r="F1027" t="str">
            <v>01</v>
          </cell>
          <cell r="G1027" t="str">
            <v>15</v>
          </cell>
          <cell r="I1027" t="str">
            <v>Program Pengembangan Nilai Budaya</v>
          </cell>
          <cell r="J1027" t="str">
            <v>Persentase seni budaya yang dilestarikan</v>
          </cell>
          <cell r="K1027">
            <v>100</v>
          </cell>
          <cell r="L1027">
            <v>7560866000</v>
          </cell>
          <cell r="M1027">
            <v>12</v>
          </cell>
          <cell r="N1027">
            <v>4227558000</v>
          </cell>
          <cell r="O1027">
            <v>37</v>
          </cell>
          <cell r="P1027">
            <v>1470470200</v>
          </cell>
          <cell r="Q1027">
            <v>0.31764705882352939</v>
          </cell>
          <cell r="R1027">
            <v>135000000</v>
          </cell>
          <cell r="S1027">
            <v>2</v>
          </cell>
          <cell r="T1027">
            <v>1231257620</v>
          </cell>
          <cell r="Y1027">
            <v>2.3176470588235292</v>
          </cell>
          <cell r="Z1027">
            <v>1366257620</v>
          </cell>
          <cell r="AA1027">
            <v>14.317647058823528</v>
          </cell>
          <cell r="AB1027">
            <v>5593815620</v>
          </cell>
          <cell r="AC1027">
            <v>14.31764705882353</v>
          </cell>
          <cell r="AD1027">
            <v>73.983795242502651</v>
          </cell>
          <cell r="AE1027" t="str">
            <v>Dinas Pendiidkan dan Kebudayaan</v>
          </cell>
        </row>
        <row r="1028">
          <cell r="C1028" t="str">
            <v>01</v>
          </cell>
          <cell r="D1028" t="str">
            <v>01</v>
          </cell>
          <cell r="E1028" t="str">
            <v>01</v>
          </cell>
          <cell r="F1028" t="str">
            <v>01</v>
          </cell>
          <cell r="G1028" t="str">
            <v>15</v>
          </cell>
          <cell r="H1028" t="str">
            <v>24</v>
          </cell>
          <cell r="I1028" t="str">
            <v>Pagelaran Seni dan Budaya</v>
          </cell>
          <cell r="J1028" t="str">
            <v>Terlaksananya pagelaran seni dan budaya tingkat Kabupaten dan Provinsi (kegiatan)</v>
          </cell>
          <cell r="K1028">
            <v>4</v>
          </cell>
          <cell r="L1028">
            <v>1254144000</v>
          </cell>
          <cell r="M1028">
            <v>0</v>
          </cell>
          <cell r="N1028">
            <v>0</v>
          </cell>
          <cell r="O1028">
            <v>1</v>
          </cell>
          <cell r="P1028">
            <v>313536800</v>
          </cell>
          <cell r="Q1028">
            <v>0</v>
          </cell>
          <cell r="R1028">
            <v>0</v>
          </cell>
          <cell r="S1028">
            <v>1</v>
          </cell>
          <cell r="T1028">
            <v>296773800</v>
          </cell>
          <cell r="Y1028">
            <v>1</v>
          </cell>
          <cell r="Z1028">
            <v>296773800</v>
          </cell>
          <cell r="AA1028">
            <v>1</v>
          </cell>
          <cell r="AB1028">
            <v>296773800</v>
          </cell>
          <cell r="AC1028">
            <v>25</v>
          </cell>
          <cell r="AD1028">
            <v>23.663454914268218</v>
          </cell>
        </row>
        <row r="1029">
          <cell r="C1029" t="str">
            <v>01</v>
          </cell>
          <cell r="D1029" t="str">
            <v>01</v>
          </cell>
          <cell r="E1029" t="str">
            <v>01</v>
          </cell>
          <cell r="F1029" t="str">
            <v>01</v>
          </cell>
          <cell r="G1029" t="str">
            <v>15</v>
          </cell>
          <cell r="H1029" t="str">
            <v>28</v>
          </cell>
          <cell r="I1029" t="str">
            <v>Fasilitasi dan Kegiatan Pendamping Festival Seni dan Budaya</v>
          </cell>
          <cell r="J1029" t="str">
            <v>jumlah  pendampingan festival budaya maritim (kegiatan)</v>
          </cell>
          <cell r="K1029">
            <v>4</v>
          </cell>
          <cell r="L1029">
            <v>1226048000</v>
          </cell>
          <cell r="M1029">
            <v>0</v>
          </cell>
          <cell r="N1029">
            <v>0</v>
          </cell>
          <cell r="O1029">
            <v>1</v>
          </cell>
          <cell r="P1029">
            <v>306512300</v>
          </cell>
          <cell r="Q1029">
            <v>0</v>
          </cell>
          <cell r="R1029">
            <v>0</v>
          </cell>
          <cell r="S1029">
            <v>0</v>
          </cell>
          <cell r="T1029">
            <v>192192000</v>
          </cell>
          <cell r="Y1029">
            <v>0</v>
          </cell>
          <cell r="Z1029">
            <v>192192000</v>
          </cell>
          <cell r="AA1029">
            <v>0</v>
          </cell>
          <cell r="AB1029">
            <v>192192000</v>
          </cell>
          <cell r="AC1029">
            <v>0</v>
          </cell>
          <cell r="AD1029">
            <v>15.675732108367699</v>
          </cell>
        </row>
        <row r="1030">
          <cell r="C1030" t="str">
            <v>01</v>
          </cell>
          <cell r="D1030" t="str">
            <v>01</v>
          </cell>
          <cell r="E1030" t="str">
            <v>01</v>
          </cell>
          <cell r="F1030" t="str">
            <v>01</v>
          </cell>
          <cell r="G1030" t="str">
            <v>15</v>
          </cell>
          <cell r="H1030" t="str">
            <v>34</v>
          </cell>
          <cell r="I1030" t="str">
            <v>Pengiriman Tim Kesenian</v>
          </cell>
          <cell r="J1030" t="str">
            <v>Jumlah Event yang diikuti</v>
          </cell>
          <cell r="K1030">
            <v>6</v>
          </cell>
          <cell r="L1030">
            <v>2457348000</v>
          </cell>
          <cell r="M1030">
            <v>2</v>
          </cell>
          <cell r="N1030">
            <v>819116000</v>
          </cell>
          <cell r="O1030">
            <v>1</v>
          </cell>
          <cell r="P1030">
            <v>425000000</v>
          </cell>
          <cell r="Q1030">
            <v>0.31764705882352939</v>
          </cell>
          <cell r="R1030">
            <v>135000000</v>
          </cell>
          <cell r="S1030">
            <v>1</v>
          </cell>
          <cell r="T1030">
            <v>347902720</v>
          </cell>
          <cell r="Y1030">
            <v>1.3176470588235294</v>
          </cell>
          <cell r="Z1030">
            <v>482902720</v>
          </cell>
          <cell r="AA1030">
            <v>3.3176470588235292</v>
          </cell>
          <cell r="AB1030">
            <v>1302018720</v>
          </cell>
          <cell r="AC1030">
            <v>55.294117647058819</v>
          </cell>
          <cell r="AD1030">
            <v>52.98471034627574</v>
          </cell>
        </row>
        <row r="1031">
          <cell r="C1031" t="str">
            <v>01</v>
          </cell>
          <cell r="D1031" t="str">
            <v>01</v>
          </cell>
          <cell r="E1031" t="str">
            <v>01</v>
          </cell>
          <cell r="F1031" t="str">
            <v>01</v>
          </cell>
          <cell r="G1031" t="str">
            <v>15</v>
          </cell>
          <cell r="H1031" t="str">
            <v>46</v>
          </cell>
          <cell r="I1031" t="str">
            <v>Sumarak Pesisir Selatan</v>
          </cell>
          <cell r="J1031" t="str">
            <v>Jumlah Event yang diselenggarakan</v>
          </cell>
          <cell r="K1031">
            <v>6</v>
          </cell>
          <cell r="L1031">
            <v>2161326000</v>
          </cell>
          <cell r="M1031">
            <v>2</v>
          </cell>
          <cell r="N1031">
            <v>720442000</v>
          </cell>
          <cell r="O1031">
            <v>1</v>
          </cell>
          <cell r="P1031">
            <v>360221100</v>
          </cell>
          <cell r="Q1031">
            <v>0</v>
          </cell>
          <cell r="R1031">
            <v>0</v>
          </cell>
          <cell r="T1031">
            <v>343543100</v>
          </cell>
          <cell r="Y1031">
            <v>0</v>
          </cell>
          <cell r="Z1031">
            <v>343543100</v>
          </cell>
          <cell r="AA1031">
            <v>2</v>
          </cell>
          <cell r="AB1031">
            <v>1063985100</v>
          </cell>
          <cell r="AC1031">
            <v>33.333333333333329</v>
          </cell>
          <cell r="AD1031">
            <v>49.228348708154165</v>
          </cell>
        </row>
        <row r="1032">
          <cell r="C1032" t="str">
            <v>01</v>
          </cell>
          <cell r="D1032" t="str">
            <v>01</v>
          </cell>
          <cell r="E1032" t="str">
            <v>01</v>
          </cell>
          <cell r="F1032" t="str">
            <v>01</v>
          </cell>
          <cell r="G1032" t="str">
            <v>15</v>
          </cell>
          <cell r="H1032">
            <v>54</v>
          </cell>
          <cell r="I1032" t="str">
            <v>Perawatan Cakar Budaya. Museum dan Peninggalan bawah air</v>
          </cell>
          <cell r="J1032" t="str">
            <v>Jumlah cagar budaya (peninggalan sejarah, museum, dan peninggalan bawah air) yang dipelihara</v>
          </cell>
          <cell r="K1032">
            <v>133</v>
          </cell>
          <cell r="L1032">
            <v>462000000</v>
          </cell>
          <cell r="M1032">
            <v>40</v>
          </cell>
          <cell r="N1032">
            <v>2688000000</v>
          </cell>
          <cell r="O1032">
            <v>18</v>
          </cell>
          <cell r="P1032">
            <v>65200000</v>
          </cell>
          <cell r="Q1032">
            <v>0</v>
          </cell>
          <cell r="R1032">
            <v>0</v>
          </cell>
          <cell r="T1032">
            <v>50846000</v>
          </cell>
          <cell r="Y1032">
            <v>0</v>
          </cell>
          <cell r="Z1032">
            <v>50846000</v>
          </cell>
          <cell r="AA1032">
            <v>40</v>
          </cell>
          <cell r="AB1032">
            <v>2738846000</v>
          </cell>
          <cell r="AC1032">
            <v>30.075187969924812</v>
          </cell>
          <cell r="AD1032">
            <v>592.82380952380947</v>
          </cell>
        </row>
        <row r="1033">
          <cell r="A1033">
            <v>2</v>
          </cell>
          <cell r="C1033" t="str">
            <v>01</v>
          </cell>
          <cell r="D1033" t="str">
            <v>01</v>
          </cell>
          <cell r="E1033" t="str">
            <v>01</v>
          </cell>
          <cell r="F1033" t="str">
            <v>01</v>
          </cell>
          <cell r="G1033">
            <v>16</v>
          </cell>
          <cell r="I1033" t="str">
            <v>Program Pengelolaan Kekayaan Budaya</v>
          </cell>
          <cell r="J1033" t="str">
            <v>Persentase cagar budaya yang dilestarikan</v>
          </cell>
          <cell r="K1033">
            <v>100</v>
          </cell>
          <cell r="L1033">
            <v>2080903000</v>
          </cell>
          <cell r="M1033">
            <v>12</v>
          </cell>
          <cell r="N1033">
            <v>620000000</v>
          </cell>
          <cell r="O1033">
            <v>37</v>
          </cell>
          <cell r="P1033">
            <v>486603910</v>
          </cell>
          <cell r="Q1033">
            <v>37</v>
          </cell>
          <cell r="R1033">
            <v>14402000</v>
          </cell>
          <cell r="S1033">
            <v>47</v>
          </cell>
          <cell r="T1033">
            <v>327425610</v>
          </cell>
          <cell r="Y1033">
            <v>84</v>
          </cell>
          <cell r="Z1033">
            <v>341827610</v>
          </cell>
          <cell r="AA1033">
            <v>96</v>
          </cell>
          <cell r="AB1033">
            <v>961827610</v>
          </cell>
          <cell r="AC1033">
            <v>96</v>
          </cell>
          <cell r="AD1033">
            <v>46.221645602894512</v>
          </cell>
          <cell r="AE1033" t="str">
            <v>Dinas Pendiidkan dan Kebudayaan</v>
          </cell>
        </row>
        <row r="1034">
          <cell r="C1034" t="str">
            <v>01</v>
          </cell>
          <cell r="D1034" t="str">
            <v>01</v>
          </cell>
          <cell r="E1034" t="str">
            <v>01</v>
          </cell>
          <cell r="F1034" t="str">
            <v>01</v>
          </cell>
          <cell r="G1034">
            <v>16</v>
          </cell>
          <cell r="H1034">
            <v>15</v>
          </cell>
          <cell r="I1034" t="str">
            <v>Penyusunan Perda tentang Kurikulum Muatan Lokal BAMK Berbasis ABS-SBK</v>
          </cell>
          <cell r="J1034" t="str">
            <v>Ranperda tentang kurikulum muatan lokal BAMK berbasis ABS-SBK</v>
          </cell>
          <cell r="K1034">
            <v>1</v>
          </cell>
          <cell r="L1034">
            <v>128722000</v>
          </cell>
          <cell r="M1034">
            <v>0</v>
          </cell>
          <cell r="N1034">
            <v>0</v>
          </cell>
          <cell r="O1034">
            <v>1</v>
          </cell>
          <cell r="P1034">
            <v>134422000</v>
          </cell>
          <cell r="Q1034">
            <v>1</v>
          </cell>
          <cell r="R1034">
            <v>2396000</v>
          </cell>
          <cell r="S1034">
            <v>1</v>
          </cell>
          <cell r="T1034">
            <v>2396200</v>
          </cell>
          <cell r="Y1034">
            <v>2</v>
          </cell>
          <cell r="Z1034">
            <v>4792200</v>
          </cell>
          <cell r="AA1034">
            <v>2</v>
          </cell>
          <cell r="AB1034">
            <v>4792200</v>
          </cell>
          <cell r="AC1034">
            <v>200</v>
          </cell>
          <cell r="AD1034">
            <v>3.7229067292304343</v>
          </cell>
        </row>
        <row r="1035">
          <cell r="C1035" t="str">
            <v>01</v>
          </cell>
          <cell r="D1035" t="str">
            <v>01</v>
          </cell>
          <cell r="E1035" t="str">
            <v>01</v>
          </cell>
          <cell r="F1035" t="str">
            <v>01</v>
          </cell>
          <cell r="G1035" t="str">
            <v>16</v>
          </cell>
          <cell r="H1035" t="str">
            <v>42</v>
          </cell>
          <cell r="I1035" t="str">
            <v>Paket Seni Tradisional dan Moderen</v>
          </cell>
          <cell r="J1035" t="str">
            <v>jumlah paket seni yang diselenggarakan</v>
          </cell>
          <cell r="K1035">
            <v>36</v>
          </cell>
          <cell r="L1035">
            <v>1860000000</v>
          </cell>
          <cell r="M1035">
            <v>12</v>
          </cell>
          <cell r="N1035">
            <v>620000000</v>
          </cell>
          <cell r="O1035">
            <v>6</v>
          </cell>
          <cell r="P1035">
            <v>310000000</v>
          </cell>
          <cell r="Q1035">
            <v>6</v>
          </cell>
          <cell r="R1035">
            <v>0</v>
          </cell>
          <cell r="S1035">
            <v>6</v>
          </cell>
          <cell r="T1035">
            <v>297425500</v>
          </cell>
          <cell r="Y1035">
            <v>12</v>
          </cell>
          <cell r="Z1035">
            <v>297425500</v>
          </cell>
          <cell r="AA1035">
            <v>24</v>
          </cell>
          <cell r="AB1035">
            <v>917425500</v>
          </cell>
          <cell r="AC1035">
            <v>66.666666666666657</v>
          </cell>
          <cell r="AD1035">
            <v>49.32395161290323</v>
          </cell>
        </row>
        <row r="1036">
          <cell r="C1036" t="str">
            <v>01</v>
          </cell>
          <cell r="D1036" t="str">
            <v>01</v>
          </cell>
          <cell r="E1036" t="str">
            <v>01</v>
          </cell>
          <cell r="F1036" t="str">
            <v>01</v>
          </cell>
          <cell r="G1036">
            <v>16</v>
          </cell>
          <cell r="H1036">
            <v>47</v>
          </cell>
          <cell r="I1036" t="str">
            <v>Pendokumentasian Simbol-simbol Adat Pada Setiap Nagari Yang Ada di Kabupaten Pesisir Selatan</v>
          </cell>
          <cell r="J1036" t="str">
            <v>jumlah simbol-simbol adat yang dilestarikan</v>
          </cell>
          <cell r="K1036">
            <v>60</v>
          </cell>
          <cell r="L1036">
            <v>92181000</v>
          </cell>
          <cell r="M1036">
            <v>0</v>
          </cell>
          <cell r="N1036">
            <v>0</v>
          </cell>
          <cell r="O1036">
            <v>30</v>
          </cell>
          <cell r="P1036">
            <v>42181910</v>
          </cell>
          <cell r="Q1036">
            <v>20</v>
          </cell>
          <cell r="R1036">
            <v>12006000</v>
          </cell>
          <cell r="S1036">
            <v>40</v>
          </cell>
          <cell r="T1036">
            <v>27603910</v>
          </cell>
          <cell r="Y1036">
            <v>60</v>
          </cell>
          <cell r="Z1036">
            <v>39609910</v>
          </cell>
          <cell r="AA1036">
            <v>60</v>
          </cell>
          <cell r="AB1036">
            <v>39609910</v>
          </cell>
          <cell r="AC1036">
            <v>100</v>
          </cell>
          <cell r="AD1036">
            <v>42.969711762727677</v>
          </cell>
        </row>
        <row r="1037">
          <cell r="A1037" t="str">
            <v>Rata-Rata Capaian Kinerja</v>
          </cell>
          <cell r="AC1037">
            <v>55.158823529411762</v>
          </cell>
          <cell r="AD1037">
            <v>60.102720422698582</v>
          </cell>
        </row>
        <row r="1038">
          <cell r="A1038" t="str">
            <v>Peringkat  Kinerja</v>
          </cell>
          <cell r="AC1038" t="str">
            <v>R</v>
          </cell>
          <cell r="AD1038" t="str">
            <v>R</v>
          </cell>
        </row>
        <row r="1039">
          <cell r="A1039" t="str">
            <v>XV</v>
          </cell>
          <cell r="I1039" t="str">
            <v>URUSAN PERPUSTAKAAN</v>
          </cell>
          <cell r="L1039">
            <v>2982476994</v>
          </cell>
          <cell r="N1039">
            <v>890144010</v>
          </cell>
          <cell r="P1039">
            <v>718752291</v>
          </cell>
          <cell r="R1039">
            <v>117463500</v>
          </cell>
          <cell r="T1039">
            <v>285016600</v>
          </cell>
          <cell r="Z1039">
            <v>402480100</v>
          </cell>
          <cell r="AB1039">
            <v>1292624110</v>
          </cell>
        </row>
        <row r="1040">
          <cell r="A1040">
            <v>1</v>
          </cell>
          <cell r="C1040">
            <v>18</v>
          </cell>
          <cell r="D1040">
            <v>19</v>
          </cell>
          <cell r="I1040" t="str">
            <v>Program Pengembangan Budaya Baca dan Pembinaan Perpustakaan</v>
          </cell>
          <cell r="J1040" t="str">
            <v>Peningkatan angka kunjungan ke perpustakaan umum daerah, puskel, OPD, Nagari, TBM dll (org)</v>
          </cell>
          <cell r="K1040">
            <v>160160</v>
          </cell>
          <cell r="L1040">
            <v>2982476994</v>
          </cell>
          <cell r="M1040">
            <v>20160</v>
          </cell>
          <cell r="N1040">
            <v>890144010</v>
          </cell>
          <cell r="O1040">
            <v>20000</v>
          </cell>
          <cell r="P1040">
            <v>718752291</v>
          </cell>
          <cell r="Q1040">
            <v>3200</v>
          </cell>
          <cell r="R1040">
            <v>117463500</v>
          </cell>
          <cell r="T1040">
            <v>285016600</v>
          </cell>
          <cell r="U1040">
            <v>0</v>
          </cell>
          <cell r="V1040">
            <v>0</v>
          </cell>
          <cell r="W1040">
            <v>0</v>
          </cell>
          <cell r="X1040">
            <v>0</v>
          </cell>
          <cell r="Y1040">
            <v>3200</v>
          </cell>
          <cell r="Z1040">
            <v>402480100</v>
          </cell>
          <cell r="AA1040">
            <v>23360</v>
          </cell>
          <cell r="AB1040">
            <v>1292624110</v>
          </cell>
          <cell r="AC1040">
            <v>14.585414585414586</v>
          </cell>
          <cell r="AD1040">
            <v>43.340622998951453</v>
          </cell>
          <cell r="AE1040" t="str">
            <v>Dinas Kearsipan dan Perpustakaan</v>
          </cell>
        </row>
        <row r="1041">
          <cell r="B1041" t="str">
            <v>Terwujudnya Peningkatan Pelayanan Perpustakaan Umum Derah dan Pendekatan ( Aksesbilitas ) Perputakaan kepada Masyarakat Terisolir.</v>
          </cell>
          <cell r="C1041">
            <v>18</v>
          </cell>
          <cell r="D1041">
            <v>19</v>
          </cell>
          <cell r="E1041" t="str">
            <v>03</v>
          </cell>
          <cell r="I1041" t="str">
            <v>Publikasi dan Sosialisasi Minat dan Budaya Baca</v>
          </cell>
          <cell r="J1041" t="str">
            <v>Jumlah publikasi yang dilakukan</v>
          </cell>
          <cell r="K1041">
            <v>100</v>
          </cell>
          <cell r="L1041">
            <v>305759454</v>
          </cell>
          <cell r="M1041">
            <v>33</v>
          </cell>
          <cell r="N1041">
            <v>148626000</v>
          </cell>
          <cell r="O1041">
            <v>20</v>
          </cell>
          <cell r="P1041">
            <v>77133464</v>
          </cell>
          <cell r="Q1041">
            <v>0</v>
          </cell>
          <cell r="R1041">
            <v>0</v>
          </cell>
          <cell r="S1041">
            <v>22</v>
          </cell>
          <cell r="T1041">
            <v>11031000</v>
          </cell>
          <cell r="U1041">
            <v>0</v>
          </cell>
          <cell r="V1041">
            <v>0</v>
          </cell>
          <cell r="W1041">
            <v>0</v>
          </cell>
          <cell r="X1041">
            <v>0</v>
          </cell>
          <cell r="Y1041">
            <v>22</v>
          </cell>
          <cell r="Z1041">
            <v>11031000</v>
          </cell>
          <cell r="AA1041">
            <v>55</v>
          </cell>
          <cell r="AB1041">
            <v>159657000</v>
          </cell>
          <cell r="AC1041">
            <v>55.000000000000007</v>
          </cell>
          <cell r="AD1041">
            <v>52.216537513832684</v>
          </cell>
        </row>
        <row r="1042">
          <cell r="C1042">
            <v>18</v>
          </cell>
          <cell r="D1042">
            <v>19</v>
          </cell>
          <cell r="E1042" t="str">
            <v>05</v>
          </cell>
          <cell r="I1042" t="str">
            <v>Pernyediaan Bahan Pustaka Perpustakaan Umum Daerah</v>
          </cell>
          <cell r="J1042" t="str">
            <v>Penambahan koleksi buku, majalah dan koran (buku)</v>
          </cell>
          <cell r="K1042">
            <v>2500</v>
          </cell>
          <cell r="L1042">
            <v>924898054</v>
          </cell>
          <cell r="M1042">
            <v>600</v>
          </cell>
          <cell r="N1042">
            <v>227200500</v>
          </cell>
          <cell r="O1042">
            <v>300</v>
          </cell>
          <cell r="P1042">
            <v>92697554</v>
          </cell>
          <cell r="Q1042">
            <v>10</v>
          </cell>
          <cell r="R1042">
            <v>12237500</v>
          </cell>
          <cell r="S1042">
            <v>25</v>
          </cell>
          <cell r="T1042">
            <v>32865000</v>
          </cell>
          <cell r="U1042">
            <v>0</v>
          </cell>
          <cell r="V1042">
            <v>0</v>
          </cell>
          <cell r="W1042">
            <v>0</v>
          </cell>
          <cell r="X1042">
            <v>0</v>
          </cell>
          <cell r="Y1042">
            <v>35</v>
          </cell>
          <cell r="Z1042">
            <v>45102500</v>
          </cell>
          <cell r="AA1042">
            <v>635</v>
          </cell>
          <cell r="AB1042">
            <v>272303000</v>
          </cell>
          <cell r="AC1042">
            <v>25.4</v>
          </cell>
          <cell r="AD1042">
            <v>29.44140695532267</v>
          </cell>
        </row>
        <row r="1043">
          <cell r="C1043">
            <v>18</v>
          </cell>
          <cell r="D1043">
            <v>19</v>
          </cell>
          <cell r="E1043" t="str">
            <v>06</v>
          </cell>
          <cell r="I1043" t="str">
            <v>Pelayanan Perpustakaan Umum Daerah dan Kantin Baca</v>
          </cell>
          <cell r="J1043" t="str">
            <v>Terlaksananya Pelayana Pustaka Umum Daerah dan Kantin Baca (bln)</v>
          </cell>
          <cell r="K1043">
            <v>48</v>
          </cell>
          <cell r="L1043">
            <v>311000000</v>
          </cell>
          <cell r="N1043">
            <v>0</v>
          </cell>
          <cell r="O1043">
            <v>12</v>
          </cell>
          <cell r="P1043">
            <v>57388958</v>
          </cell>
          <cell r="Q1043">
            <v>3</v>
          </cell>
          <cell r="R1043">
            <v>9623500</v>
          </cell>
          <cell r="S1043">
            <v>3</v>
          </cell>
          <cell r="T1043">
            <v>26300100</v>
          </cell>
          <cell r="Y1043">
            <v>6</v>
          </cell>
          <cell r="Z1043">
            <v>35923600</v>
          </cell>
          <cell r="AA1043">
            <v>6</v>
          </cell>
          <cell r="AB1043">
            <v>35923600</v>
          </cell>
          <cell r="AC1043">
            <v>12.5</v>
          </cell>
          <cell r="AD1043">
            <v>11.550996784565916</v>
          </cell>
        </row>
        <row r="1044">
          <cell r="C1044">
            <v>18</v>
          </cell>
          <cell r="D1044">
            <v>19</v>
          </cell>
          <cell r="E1044" t="str">
            <v>07</v>
          </cell>
          <cell r="I1044" t="str">
            <v xml:space="preserve">Pelayanan Perpustakaan Keliling </v>
          </cell>
          <cell r="J1044" t="str">
            <v>Terlaksananya Pelayanan  Perpustakaan Keliling (bln)</v>
          </cell>
          <cell r="K1044">
            <v>72</v>
          </cell>
          <cell r="L1044">
            <v>833244056</v>
          </cell>
          <cell r="M1044">
            <v>24</v>
          </cell>
          <cell r="N1044">
            <v>379094510</v>
          </cell>
          <cell r="O1044">
            <v>12</v>
          </cell>
          <cell r="P1044">
            <v>253349546</v>
          </cell>
          <cell r="Q1044">
            <v>3</v>
          </cell>
          <cell r="R1044">
            <v>68078400</v>
          </cell>
          <cell r="S1044">
            <v>3</v>
          </cell>
          <cell r="T1044">
            <v>115624000</v>
          </cell>
          <cell r="U1044">
            <v>0</v>
          </cell>
          <cell r="V1044">
            <v>0</v>
          </cell>
          <cell r="W1044">
            <v>0</v>
          </cell>
          <cell r="X1044">
            <v>0</v>
          </cell>
          <cell r="Y1044">
            <v>6</v>
          </cell>
          <cell r="Z1044">
            <v>183702400</v>
          </cell>
          <cell r="AA1044">
            <v>30</v>
          </cell>
          <cell r="AB1044">
            <v>562796910</v>
          </cell>
          <cell r="AC1044">
            <v>41.666666666666671</v>
          </cell>
          <cell r="AD1044">
            <v>67.542865256274936</v>
          </cell>
        </row>
        <row r="1045">
          <cell r="C1045">
            <v>18</v>
          </cell>
          <cell r="D1045">
            <v>19</v>
          </cell>
          <cell r="E1045">
            <v>13</v>
          </cell>
          <cell r="I1045" t="str">
            <v>Pelaksanaan Rumah Pintar Perintis</v>
          </cell>
          <cell r="J1045" t="str">
            <v>Terlaksananya pelayanan rumah pintar perintis Painan (bln)</v>
          </cell>
          <cell r="K1045">
            <v>72</v>
          </cell>
          <cell r="L1045">
            <v>607575430</v>
          </cell>
          <cell r="M1045">
            <v>24</v>
          </cell>
          <cell r="N1045">
            <v>135223000</v>
          </cell>
          <cell r="O1045">
            <v>12</v>
          </cell>
          <cell r="P1045">
            <v>172352430</v>
          </cell>
          <cell r="Q1045">
            <v>3</v>
          </cell>
          <cell r="R1045">
            <v>27524100</v>
          </cell>
          <cell r="S1045">
            <v>3</v>
          </cell>
          <cell r="T1045">
            <v>63017100</v>
          </cell>
          <cell r="U1045">
            <v>0</v>
          </cell>
          <cell r="V1045">
            <v>0</v>
          </cell>
          <cell r="W1045">
            <v>0</v>
          </cell>
          <cell r="X1045">
            <v>0</v>
          </cell>
          <cell r="Y1045">
            <v>6</v>
          </cell>
          <cell r="Z1045">
            <v>90541200</v>
          </cell>
          <cell r="AA1045">
            <v>30</v>
          </cell>
          <cell r="AB1045">
            <v>225764200</v>
          </cell>
          <cell r="AC1045">
            <v>41.666666666666671</v>
          </cell>
          <cell r="AD1045">
            <v>37.158217540166163</v>
          </cell>
        </row>
        <row r="1046">
          <cell r="C1046">
            <v>18</v>
          </cell>
          <cell r="D1046">
            <v>19</v>
          </cell>
          <cell r="E1046">
            <v>23</v>
          </cell>
          <cell r="I1046" t="str">
            <v>Bintek Pengelola Perpustakaan</v>
          </cell>
          <cell r="J1046" t="str">
            <v>Jumlah peserta bintek (org)</v>
          </cell>
          <cell r="K1046">
            <v>200</v>
          </cell>
          <cell r="L1046">
            <v>65830339</v>
          </cell>
          <cell r="M1046">
            <v>0</v>
          </cell>
          <cell r="N1046">
            <v>0</v>
          </cell>
          <cell r="O1046">
            <v>50</v>
          </cell>
          <cell r="P1046">
            <v>65830339</v>
          </cell>
          <cell r="Q1046">
            <v>0</v>
          </cell>
          <cell r="R1046">
            <v>0</v>
          </cell>
          <cell r="S1046">
            <v>3</v>
          </cell>
          <cell r="T1046">
            <v>36179400</v>
          </cell>
          <cell r="Y1046">
            <v>3</v>
          </cell>
          <cell r="Z1046">
            <v>36179400</v>
          </cell>
          <cell r="AA1046">
            <v>3</v>
          </cell>
          <cell r="AB1046">
            <v>36179400</v>
          </cell>
          <cell r="AC1046">
            <v>1.5</v>
          </cell>
          <cell r="AD1046">
            <v>54.958550342570767</v>
          </cell>
        </row>
        <row r="1047">
          <cell r="A1047" t="str">
            <v>Rata-Rata Capaian Kinerja</v>
          </cell>
          <cell r="AC1047">
            <v>14.585414585414586</v>
          </cell>
          <cell r="AD1047">
            <v>43.340622998951453</v>
          </cell>
        </row>
        <row r="1048">
          <cell r="A1048" t="str">
            <v>Peringkat  Kinerja</v>
          </cell>
          <cell r="AC1048" t="str">
            <v>SR</v>
          </cell>
          <cell r="AD1048" t="str">
            <v>SR</v>
          </cell>
        </row>
        <row r="1049">
          <cell r="A1049" t="str">
            <v>XVI</v>
          </cell>
          <cell r="I1049" t="str">
            <v>URUSAN KEARSIPAN</v>
          </cell>
          <cell r="L1049">
            <v>5018574702</v>
          </cell>
          <cell r="N1049">
            <v>1581807040</v>
          </cell>
          <cell r="P1049">
            <v>1242236924</v>
          </cell>
          <cell r="R1049">
            <v>116082773</v>
          </cell>
          <cell r="T1049">
            <v>514704175</v>
          </cell>
          <cell r="Z1049">
            <v>630786948</v>
          </cell>
          <cell r="AB1049">
            <v>2212593988</v>
          </cell>
        </row>
        <row r="1050">
          <cell r="A1050">
            <v>1</v>
          </cell>
          <cell r="C1050">
            <v>18</v>
          </cell>
          <cell r="D1050" t="str">
            <v>01</v>
          </cell>
          <cell r="F1050" t="str">
            <v/>
          </cell>
          <cell r="I1050" t="str">
            <v>Program Pelayanan Administrasi  Perkantoran</v>
          </cell>
          <cell r="J1050" t="str">
            <v>cakupan pelayanan administrasi perkantoran (bln)</v>
          </cell>
          <cell r="K1050">
            <v>72</v>
          </cell>
          <cell r="L1050">
            <v>4361769359</v>
          </cell>
          <cell r="M1050">
            <v>24</v>
          </cell>
          <cell r="N1050">
            <v>1334507040</v>
          </cell>
          <cell r="O1050">
            <v>12</v>
          </cell>
          <cell r="P1050">
            <v>704549069</v>
          </cell>
          <cell r="Q1050">
            <v>3</v>
          </cell>
          <cell r="R1050">
            <v>111178587</v>
          </cell>
          <cell r="T1050">
            <v>288061189</v>
          </cell>
          <cell r="U1050">
            <v>0</v>
          </cell>
          <cell r="V1050">
            <v>0</v>
          </cell>
          <cell r="W1050">
            <v>0</v>
          </cell>
          <cell r="X1050">
            <v>0</v>
          </cell>
          <cell r="Y1050">
            <v>3</v>
          </cell>
          <cell r="Z1050">
            <v>399239776</v>
          </cell>
          <cell r="AA1050">
            <v>27</v>
          </cell>
          <cell r="AB1050">
            <v>1733746816</v>
          </cell>
          <cell r="AC1050">
            <v>37.5</v>
          </cell>
          <cell r="AD1050">
            <v>39.748704557764306</v>
          </cell>
          <cell r="AE1050" t="str">
            <v>Dinas Kearsipan dan Perpustakaan</v>
          </cell>
        </row>
        <row r="1051">
          <cell r="C1051">
            <v>18</v>
          </cell>
          <cell r="D1051" t="str">
            <v>01</v>
          </cell>
          <cell r="E1051" t="str">
            <v>02</v>
          </cell>
          <cell r="I1051" t="str">
            <v>Penyediaan jasa komunikasi, sumber daya air dan listrik</v>
          </cell>
          <cell r="J1051" t="str">
            <v>Pembayaran rekening telepon, air dan listrik (bln)</v>
          </cell>
          <cell r="K1051">
            <v>72</v>
          </cell>
          <cell r="L1051">
            <v>270119972</v>
          </cell>
          <cell r="M1051">
            <v>24</v>
          </cell>
          <cell r="N1051">
            <v>60119972</v>
          </cell>
          <cell r="O1051">
            <v>12</v>
          </cell>
          <cell r="P1051">
            <v>30000000</v>
          </cell>
          <cell r="Q1051">
            <v>3</v>
          </cell>
          <cell r="R1051">
            <v>10532687</v>
          </cell>
          <cell r="S1051">
            <v>3</v>
          </cell>
          <cell r="T1051">
            <v>19995413</v>
          </cell>
          <cell r="U1051">
            <v>0</v>
          </cell>
          <cell r="V1051">
            <v>0</v>
          </cell>
          <cell r="W1051">
            <v>0</v>
          </cell>
          <cell r="X1051">
            <v>0</v>
          </cell>
          <cell r="Y1051">
            <v>6</v>
          </cell>
          <cell r="Z1051">
            <v>30528100</v>
          </cell>
          <cell r="AA1051">
            <v>30</v>
          </cell>
          <cell r="AB1051">
            <v>90648072</v>
          </cell>
          <cell r="AC1051">
            <v>41.666666666666671</v>
          </cell>
          <cell r="AD1051">
            <v>33.55844861408471</v>
          </cell>
        </row>
        <row r="1052">
          <cell r="C1052">
            <v>18</v>
          </cell>
          <cell r="D1052" t="str">
            <v>01</v>
          </cell>
          <cell r="E1052" t="str">
            <v>03</v>
          </cell>
          <cell r="I1052" t="str">
            <v>Penyediaan Jasa peralatan dan perlengkapan kantor</v>
          </cell>
          <cell r="J1052" t="str">
            <v>Tersedianya peralatan &amp; perlengkapan kantor (bln)</v>
          </cell>
          <cell r="K1052">
            <v>72</v>
          </cell>
          <cell r="L1052">
            <v>799867570</v>
          </cell>
          <cell r="M1052">
            <v>24</v>
          </cell>
          <cell r="N1052">
            <v>325728570</v>
          </cell>
          <cell r="O1052">
            <v>12</v>
          </cell>
          <cell r="P1052">
            <v>109139000</v>
          </cell>
          <cell r="Q1052">
            <v>3</v>
          </cell>
          <cell r="R1052">
            <v>0</v>
          </cell>
          <cell r="S1052">
            <v>3</v>
          </cell>
          <cell r="T1052">
            <v>1045000</v>
          </cell>
          <cell r="U1052">
            <v>0</v>
          </cell>
          <cell r="V1052">
            <v>0</v>
          </cell>
          <cell r="W1052">
            <v>0</v>
          </cell>
          <cell r="X1052">
            <v>0</v>
          </cell>
          <cell r="Y1052">
            <v>6</v>
          </cell>
          <cell r="Z1052">
            <v>1045000</v>
          </cell>
          <cell r="AA1052">
            <v>30</v>
          </cell>
          <cell r="AB1052">
            <v>326773570</v>
          </cell>
          <cell r="AC1052">
            <v>41.666666666666671</v>
          </cell>
          <cell r="AD1052">
            <v>40.853459029474095</v>
          </cell>
        </row>
        <row r="1053">
          <cell r="C1053">
            <v>18</v>
          </cell>
          <cell r="D1053" t="str">
            <v>01</v>
          </cell>
          <cell r="E1053" t="str">
            <v>06</v>
          </cell>
          <cell r="I1053" t="str">
            <v>penyedia Jasa Pemeliharaan dan Perizinan kendaraan dinas/operasional</v>
          </cell>
          <cell r="J1053" t="str">
            <v>Terpeliharannya Kendaraan Dinas perasional (bln)</v>
          </cell>
          <cell r="K1053">
            <v>72</v>
          </cell>
          <cell r="L1053">
            <v>612779217</v>
          </cell>
          <cell r="M1053">
            <v>24</v>
          </cell>
          <cell r="N1053">
            <v>126354217</v>
          </cell>
          <cell r="O1053">
            <v>12</v>
          </cell>
          <cell r="P1053">
            <v>121425000</v>
          </cell>
          <cell r="Q1053">
            <v>3</v>
          </cell>
          <cell r="R1053">
            <v>27219500</v>
          </cell>
          <cell r="S1053">
            <v>3</v>
          </cell>
          <cell r="T1053">
            <v>73918750</v>
          </cell>
          <cell r="Y1053">
            <v>6</v>
          </cell>
          <cell r="Z1053">
            <v>101138250</v>
          </cell>
          <cell r="AA1053">
            <v>30</v>
          </cell>
          <cell r="AB1053">
            <v>227492467</v>
          </cell>
          <cell r="AC1053">
            <v>41.666666666666671</v>
          </cell>
          <cell r="AD1053">
            <v>37.124703431317577</v>
          </cell>
        </row>
        <row r="1054">
          <cell r="C1054">
            <v>18</v>
          </cell>
          <cell r="D1054" t="str">
            <v>01</v>
          </cell>
          <cell r="E1054" t="str">
            <v>07</v>
          </cell>
          <cell r="I1054" t="str">
            <v>Penyediaan jasa administrasi keuangan</v>
          </cell>
          <cell r="J1054" t="str">
            <v>Terlaksananya pengelola administrasi keuangan dan aset (bln)</v>
          </cell>
          <cell r="K1054">
            <v>72</v>
          </cell>
          <cell r="L1054">
            <v>412000000</v>
          </cell>
          <cell r="M1054">
            <v>24</v>
          </cell>
          <cell r="N1054">
            <v>155800000</v>
          </cell>
          <cell r="O1054">
            <v>12</v>
          </cell>
          <cell r="P1054">
            <v>61200000</v>
          </cell>
          <cell r="Q1054">
            <v>3</v>
          </cell>
          <cell r="R1054">
            <v>10300000</v>
          </cell>
          <cell r="S1054">
            <v>3</v>
          </cell>
          <cell r="T1054">
            <v>25750000</v>
          </cell>
          <cell r="U1054">
            <v>0</v>
          </cell>
          <cell r="V1054">
            <v>0</v>
          </cell>
          <cell r="W1054">
            <v>0</v>
          </cell>
          <cell r="X1054">
            <v>0</v>
          </cell>
          <cell r="Y1054">
            <v>6</v>
          </cell>
          <cell r="Z1054">
            <v>36050000</v>
          </cell>
          <cell r="AA1054">
            <v>30</v>
          </cell>
          <cell r="AB1054">
            <v>191850000</v>
          </cell>
          <cell r="AC1054">
            <v>41.666666666666671</v>
          </cell>
          <cell r="AD1054">
            <v>46.565533980582522</v>
          </cell>
        </row>
        <row r="1055">
          <cell r="C1055">
            <v>18</v>
          </cell>
          <cell r="D1055" t="str">
            <v>01</v>
          </cell>
          <cell r="E1055" t="str">
            <v>08</v>
          </cell>
          <cell r="I1055" t="str">
            <v>Penyediaan jasa kebersihan kantor</v>
          </cell>
          <cell r="J1055" t="str">
            <v>Jasa kebersihan kantor (bln)</v>
          </cell>
          <cell r="K1055">
            <v>72</v>
          </cell>
          <cell r="L1055">
            <v>191499000</v>
          </cell>
          <cell r="M1055">
            <v>24</v>
          </cell>
          <cell r="N1055">
            <v>50079000</v>
          </cell>
          <cell r="O1055">
            <v>12</v>
          </cell>
          <cell r="P1055">
            <v>58920000</v>
          </cell>
          <cell r="Q1055">
            <v>3</v>
          </cell>
          <cell r="R1055">
            <v>13427000</v>
          </cell>
          <cell r="S1055">
            <v>3</v>
          </cell>
          <cell r="T1055">
            <v>27125000</v>
          </cell>
          <cell r="U1055">
            <v>0</v>
          </cell>
          <cell r="V1055">
            <v>0</v>
          </cell>
          <cell r="W1055">
            <v>0</v>
          </cell>
          <cell r="X1055">
            <v>0</v>
          </cell>
          <cell r="Y1055">
            <v>6</v>
          </cell>
          <cell r="Z1055">
            <v>40552000</v>
          </cell>
          <cell r="AA1055">
            <v>30</v>
          </cell>
          <cell r="AB1055">
            <v>90631000</v>
          </cell>
          <cell r="AC1055">
            <v>41.666666666666671</v>
          </cell>
          <cell r="AD1055">
            <v>47.327140089504383</v>
          </cell>
        </row>
        <row r="1056">
          <cell r="C1056">
            <v>18</v>
          </cell>
          <cell r="D1056" t="str">
            <v>01</v>
          </cell>
          <cell r="E1056" t="str">
            <v>09</v>
          </cell>
          <cell r="I1056" t="str">
            <v xml:space="preserve">Penyedia Jasa   Perbaikan Peralatan kerja </v>
          </cell>
          <cell r="J1056" t="str">
            <v>Terlaksananya Pemeliharaan Peralatan Kerja (bln)</v>
          </cell>
          <cell r="K1056">
            <v>72</v>
          </cell>
          <cell r="L1056">
            <v>300150000</v>
          </cell>
          <cell r="M1056">
            <v>24</v>
          </cell>
          <cell r="N1056">
            <v>41086750</v>
          </cell>
          <cell r="O1056">
            <v>12</v>
          </cell>
          <cell r="P1056">
            <v>3850000</v>
          </cell>
          <cell r="Q1056">
            <v>3</v>
          </cell>
          <cell r="R1056">
            <v>2180000</v>
          </cell>
          <cell r="S1056">
            <v>3</v>
          </cell>
          <cell r="T1056">
            <v>2425000</v>
          </cell>
          <cell r="U1056">
            <v>0</v>
          </cell>
          <cell r="V1056">
            <v>0</v>
          </cell>
          <cell r="W1056">
            <v>0</v>
          </cell>
          <cell r="X1056">
            <v>0</v>
          </cell>
          <cell r="Y1056">
            <v>6</v>
          </cell>
          <cell r="Z1056">
            <v>4605000</v>
          </cell>
          <cell r="AA1056">
            <v>30</v>
          </cell>
          <cell r="AB1056">
            <v>45691750</v>
          </cell>
          <cell r="AC1056">
            <v>41.666666666666671</v>
          </cell>
          <cell r="AD1056">
            <v>15.222971847409628</v>
          </cell>
        </row>
        <row r="1057">
          <cell r="C1057">
            <v>18</v>
          </cell>
          <cell r="D1057" t="str">
            <v>01</v>
          </cell>
          <cell r="E1057" t="str">
            <v>10</v>
          </cell>
          <cell r="I1057" t="str">
            <v>Penyediaan Alat Tulis Kantor</v>
          </cell>
          <cell r="J1057" t="str">
            <v>Tersedianya ATK (bln)</v>
          </cell>
          <cell r="K1057">
            <v>72</v>
          </cell>
          <cell r="L1057">
            <v>137746669</v>
          </cell>
          <cell r="M1057">
            <v>24</v>
          </cell>
          <cell r="N1057">
            <v>48163000</v>
          </cell>
          <cell r="O1057">
            <v>12</v>
          </cell>
          <cell r="P1057">
            <v>24583669</v>
          </cell>
          <cell r="Q1057">
            <v>3</v>
          </cell>
          <cell r="R1057">
            <v>2588000</v>
          </cell>
          <cell r="S1057">
            <v>3</v>
          </cell>
          <cell r="T1057">
            <v>7773200</v>
          </cell>
          <cell r="U1057">
            <v>0</v>
          </cell>
          <cell r="V1057">
            <v>0</v>
          </cell>
          <cell r="W1057">
            <v>0</v>
          </cell>
          <cell r="X1057">
            <v>0</v>
          </cell>
          <cell r="Y1057">
            <v>6</v>
          </cell>
          <cell r="Z1057">
            <v>10361200</v>
          </cell>
          <cell r="AA1057">
            <v>30</v>
          </cell>
          <cell r="AB1057">
            <v>58524200</v>
          </cell>
          <cell r="AC1057">
            <v>41.666666666666671</v>
          </cell>
          <cell r="AD1057">
            <v>42.486835017404303</v>
          </cell>
        </row>
        <row r="1058">
          <cell r="C1058">
            <v>18</v>
          </cell>
          <cell r="D1058" t="str">
            <v>01</v>
          </cell>
          <cell r="E1058">
            <v>11</v>
          </cell>
          <cell r="I1058" t="str">
            <v>Penyediaan barang cetakan dan penggandaan</v>
          </cell>
          <cell r="J1058" t="str">
            <v>Tersedianya barang cetakan &amp; penggandaan (bln)</v>
          </cell>
          <cell r="K1058">
            <v>72</v>
          </cell>
          <cell r="L1058">
            <v>137268275</v>
          </cell>
          <cell r="M1058">
            <v>24</v>
          </cell>
          <cell r="N1058">
            <v>49260875</v>
          </cell>
          <cell r="O1058">
            <v>12</v>
          </cell>
          <cell r="P1058">
            <v>18007400</v>
          </cell>
          <cell r="Q1058">
            <v>3</v>
          </cell>
          <cell r="R1058">
            <v>5215000</v>
          </cell>
          <cell r="S1058">
            <v>3</v>
          </cell>
          <cell r="T1058">
            <v>9194000</v>
          </cell>
          <cell r="U1058">
            <v>0</v>
          </cell>
          <cell r="V1058">
            <v>0</v>
          </cell>
          <cell r="W1058">
            <v>0</v>
          </cell>
          <cell r="X1058">
            <v>0</v>
          </cell>
          <cell r="Y1058">
            <v>6</v>
          </cell>
          <cell r="Z1058">
            <v>14409000</v>
          </cell>
          <cell r="AA1058">
            <v>30</v>
          </cell>
          <cell r="AB1058">
            <v>63669875</v>
          </cell>
          <cell r="AC1058">
            <v>41.666666666666671</v>
          </cell>
          <cell r="AD1058">
            <v>46.383532538745754</v>
          </cell>
        </row>
        <row r="1059">
          <cell r="C1059">
            <v>18</v>
          </cell>
          <cell r="D1059" t="str">
            <v>01</v>
          </cell>
          <cell r="E1059">
            <v>12</v>
          </cell>
          <cell r="I1059" t="str">
            <v>Penyediaan komponen instalasi listrik/penerangan bangunan kantor</v>
          </cell>
          <cell r="J1059" t="str">
            <v>Komponen instalasi listrik dan bola lampu (bln)</v>
          </cell>
          <cell r="K1059">
            <v>72</v>
          </cell>
          <cell r="L1059">
            <v>134993500</v>
          </cell>
          <cell r="M1059">
            <v>24</v>
          </cell>
          <cell r="N1059">
            <v>69544500</v>
          </cell>
          <cell r="O1059">
            <v>12</v>
          </cell>
          <cell r="P1059">
            <v>30449000</v>
          </cell>
          <cell r="Q1059">
            <v>3</v>
          </cell>
          <cell r="R1059">
            <v>737000</v>
          </cell>
          <cell r="S1059">
            <v>3</v>
          </cell>
          <cell r="T1059">
            <v>12498000</v>
          </cell>
          <cell r="U1059">
            <v>0</v>
          </cell>
          <cell r="V1059">
            <v>0</v>
          </cell>
          <cell r="W1059">
            <v>0</v>
          </cell>
          <cell r="X1059">
            <v>0</v>
          </cell>
          <cell r="Y1059">
            <v>6</v>
          </cell>
          <cell r="Z1059">
            <v>13235000</v>
          </cell>
          <cell r="AA1059">
            <v>30</v>
          </cell>
          <cell r="AB1059">
            <v>82779500</v>
          </cell>
          <cell r="AC1059">
            <v>41.666666666666671</v>
          </cell>
          <cell r="AD1059">
            <v>61.321100645586633</v>
          </cell>
        </row>
        <row r="1060">
          <cell r="C1060">
            <v>18</v>
          </cell>
          <cell r="D1060" t="str">
            <v>01</v>
          </cell>
          <cell r="E1060">
            <v>15</v>
          </cell>
          <cell r="I1060" t="str">
            <v>Penyediaan bahan bacaan dan peraturan perundang-undangan</v>
          </cell>
          <cell r="J1060" t="str">
            <v>Tersedianya bahan bacaan &amp; per-UU (bln)</v>
          </cell>
          <cell r="K1060">
            <v>72</v>
          </cell>
          <cell r="L1060">
            <v>83140000</v>
          </cell>
          <cell r="M1060">
            <v>24</v>
          </cell>
          <cell r="N1060">
            <v>23140000</v>
          </cell>
          <cell r="O1060">
            <v>12</v>
          </cell>
          <cell r="P1060">
            <v>0</v>
          </cell>
          <cell r="Q1060">
            <v>3</v>
          </cell>
          <cell r="R1060">
            <v>0</v>
          </cell>
          <cell r="S1060">
            <v>3</v>
          </cell>
          <cell r="T1060">
            <v>0</v>
          </cell>
          <cell r="U1060">
            <v>0</v>
          </cell>
          <cell r="V1060">
            <v>0</v>
          </cell>
          <cell r="W1060">
            <v>0</v>
          </cell>
          <cell r="X1060">
            <v>0</v>
          </cell>
          <cell r="Y1060">
            <v>6</v>
          </cell>
          <cell r="Z1060">
            <v>0</v>
          </cell>
          <cell r="AA1060">
            <v>30</v>
          </cell>
          <cell r="AB1060">
            <v>23140000</v>
          </cell>
          <cell r="AC1060">
            <v>41.666666666666671</v>
          </cell>
          <cell r="AD1060">
            <v>27.832571566033199</v>
          </cell>
        </row>
        <row r="1061">
          <cell r="C1061">
            <v>18</v>
          </cell>
          <cell r="D1061" t="str">
            <v>01</v>
          </cell>
          <cell r="E1061">
            <v>17</v>
          </cell>
          <cell r="I1061" t="str">
            <v>Penyediaan makanan dan minuman</v>
          </cell>
          <cell r="J1061" t="str">
            <v>Tersedianya makanan &amp; minuman rapat dan tamu (bln)</v>
          </cell>
          <cell r="K1061">
            <v>72</v>
          </cell>
          <cell r="L1061">
            <v>135557500</v>
          </cell>
          <cell r="M1061">
            <v>24</v>
          </cell>
          <cell r="N1061">
            <v>34182500</v>
          </cell>
          <cell r="O1061">
            <v>12</v>
          </cell>
          <cell r="P1061">
            <v>21375000</v>
          </cell>
          <cell r="Q1061">
            <v>3</v>
          </cell>
          <cell r="R1061">
            <v>2612000</v>
          </cell>
          <cell r="S1061">
            <v>3</v>
          </cell>
          <cell r="T1061">
            <v>3834500</v>
          </cell>
          <cell r="U1061">
            <v>0</v>
          </cell>
          <cell r="V1061">
            <v>0</v>
          </cell>
          <cell r="W1061">
            <v>0</v>
          </cell>
          <cell r="X1061">
            <v>0</v>
          </cell>
          <cell r="Y1061">
            <v>6</v>
          </cell>
          <cell r="Z1061">
            <v>6446500</v>
          </cell>
          <cell r="AA1061">
            <v>30</v>
          </cell>
          <cell r="AB1061">
            <v>40629000</v>
          </cell>
          <cell r="AC1061">
            <v>41.666666666666671</v>
          </cell>
          <cell r="AD1061">
            <v>29.97178319163455</v>
          </cell>
        </row>
        <row r="1062">
          <cell r="C1062">
            <v>18</v>
          </cell>
          <cell r="D1062" t="str">
            <v>01</v>
          </cell>
          <cell r="E1062">
            <v>18</v>
          </cell>
          <cell r="I1062" t="str">
            <v>Rapat-rapat kordinasi dan konsultasi ke luar daerah</v>
          </cell>
          <cell r="J1062" t="str">
            <v>operasional untuk rapat koordinasi &amp; konsultasi ke luar daerah (bln)</v>
          </cell>
          <cell r="K1062">
            <v>72</v>
          </cell>
          <cell r="L1062">
            <v>669957656</v>
          </cell>
          <cell r="M1062">
            <v>24</v>
          </cell>
          <cell r="N1062">
            <v>217757656</v>
          </cell>
          <cell r="O1062">
            <v>12</v>
          </cell>
          <cell r="P1062">
            <v>127200000</v>
          </cell>
          <cell r="Q1062">
            <v>3</v>
          </cell>
          <cell r="R1062">
            <v>19362400</v>
          </cell>
          <cell r="S1062">
            <v>3</v>
          </cell>
          <cell r="T1062">
            <v>65312326</v>
          </cell>
          <cell r="U1062">
            <v>0</v>
          </cell>
          <cell r="V1062">
            <v>0</v>
          </cell>
          <cell r="W1062">
            <v>0</v>
          </cell>
          <cell r="X1062">
            <v>0</v>
          </cell>
          <cell r="Y1062">
            <v>6</v>
          </cell>
          <cell r="Z1062">
            <v>84674726</v>
          </cell>
          <cell r="AA1062">
            <v>30</v>
          </cell>
          <cell r="AB1062">
            <v>302432382</v>
          </cell>
          <cell r="AC1062">
            <v>41.666666666666671</v>
          </cell>
          <cell r="AD1062">
            <v>45.142014467851681</v>
          </cell>
        </row>
        <row r="1063">
          <cell r="C1063">
            <v>18</v>
          </cell>
          <cell r="D1063" t="str">
            <v>01</v>
          </cell>
          <cell r="E1063">
            <v>20</v>
          </cell>
          <cell r="I1063" t="str">
            <v>Rapat-rapat Koordinasi dan Konsultasi Dalam Daerah</v>
          </cell>
          <cell r="J1063" t="str">
            <v>operasional untuk rapat koordinasi dan kunjungan lapangan dalam daerah (bln)</v>
          </cell>
          <cell r="K1063">
            <v>72</v>
          </cell>
          <cell r="L1063">
            <v>476690000</v>
          </cell>
          <cell r="M1063">
            <v>24</v>
          </cell>
          <cell r="N1063">
            <v>133290000</v>
          </cell>
          <cell r="O1063">
            <v>12</v>
          </cell>
          <cell r="P1063">
            <v>98400000</v>
          </cell>
          <cell r="Q1063">
            <v>3</v>
          </cell>
          <cell r="R1063">
            <v>17005000</v>
          </cell>
          <cell r="S1063">
            <v>3</v>
          </cell>
          <cell r="T1063">
            <v>39190000</v>
          </cell>
          <cell r="U1063">
            <v>0</v>
          </cell>
          <cell r="V1063">
            <v>0</v>
          </cell>
          <cell r="W1063">
            <v>0</v>
          </cell>
          <cell r="X1063">
            <v>0</v>
          </cell>
          <cell r="Y1063">
            <v>6</v>
          </cell>
          <cell r="Z1063">
            <v>56195000</v>
          </cell>
          <cell r="AA1063">
            <v>30</v>
          </cell>
          <cell r="AB1063">
            <v>189485000</v>
          </cell>
          <cell r="AC1063">
            <v>41.666666666666671</v>
          </cell>
          <cell r="AD1063">
            <v>39.750152090457107</v>
          </cell>
        </row>
        <row r="1064">
          <cell r="A1064">
            <v>2</v>
          </cell>
          <cell r="C1064">
            <v>18</v>
          </cell>
          <cell r="D1064" t="str">
            <v>02</v>
          </cell>
          <cell r="I1064" t="str">
            <v>Program Peningkatan  Sarana dan Prasarana Aparatur</v>
          </cell>
          <cell r="J1064" t="str">
            <v>cakuoan layanan sarpras bagi aparatur (bln)</v>
          </cell>
          <cell r="K1064">
            <v>72</v>
          </cell>
          <cell r="L1064">
            <v>407300000</v>
          </cell>
          <cell r="M1064">
            <v>24</v>
          </cell>
          <cell r="N1064">
            <v>247300000</v>
          </cell>
          <cell r="O1064">
            <v>12</v>
          </cell>
          <cell r="P1064">
            <v>95000000</v>
          </cell>
          <cell r="Q1064">
            <v>3</v>
          </cell>
          <cell r="R1064">
            <v>480000</v>
          </cell>
          <cell r="S1064">
            <v>0</v>
          </cell>
          <cell r="T1064">
            <v>8902200</v>
          </cell>
          <cell r="U1064">
            <v>0</v>
          </cell>
          <cell r="V1064">
            <v>0</v>
          </cell>
          <cell r="W1064">
            <v>0</v>
          </cell>
          <cell r="X1064">
            <v>0</v>
          </cell>
          <cell r="Y1064">
            <v>3</v>
          </cell>
          <cell r="Z1064">
            <v>9382200</v>
          </cell>
          <cell r="AA1064">
            <v>27</v>
          </cell>
          <cell r="AB1064">
            <v>256682200</v>
          </cell>
          <cell r="AC1064">
            <v>37.5</v>
          </cell>
          <cell r="AD1064">
            <v>63.020427203535476</v>
          </cell>
          <cell r="AE1064" t="str">
            <v>Dinas Kearsipan dan Perpustakaan</v>
          </cell>
        </row>
        <row r="1065">
          <cell r="C1065">
            <v>18</v>
          </cell>
          <cell r="D1065" t="str">
            <v>02</v>
          </cell>
          <cell r="E1065">
            <v>22</v>
          </cell>
          <cell r="I1065" t="str">
            <v>Pemeliharaan rutin/berkala  gedung kantor</v>
          </cell>
          <cell r="J1065" t="str">
            <v>Terpeliharanya  Kantor Dinas Kearsipan dan Perpustakaan (bln)</v>
          </cell>
          <cell r="K1065">
            <v>72</v>
          </cell>
          <cell r="L1065">
            <v>407300000</v>
          </cell>
          <cell r="M1065">
            <v>24</v>
          </cell>
          <cell r="N1065">
            <v>247300000</v>
          </cell>
          <cell r="O1065">
            <v>12</v>
          </cell>
          <cell r="P1065">
            <v>95000000</v>
          </cell>
          <cell r="Q1065">
            <v>3</v>
          </cell>
          <cell r="R1065">
            <v>480000</v>
          </cell>
          <cell r="S1065">
            <v>3</v>
          </cell>
          <cell r="T1065">
            <v>8902200</v>
          </cell>
          <cell r="U1065">
            <v>0</v>
          </cell>
          <cell r="V1065">
            <v>0</v>
          </cell>
          <cell r="W1065">
            <v>0</v>
          </cell>
          <cell r="X1065">
            <v>0</v>
          </cell>
          <cell r="Y1065">
            <v>6</v>
          </cell>
          <cell r="Z1065">
            <v>9382200</v>
          </cell>
          <cell r="AA1065">
            <v>30</v>
          </cell>
          <cell r="AB1065">
            <v>256682200</v>
          </cell>
          <cell r="AC1065">
            <v>41.666666666666671</v>
          </cell>
          <cell r="AD1065">
            <v>63.020427203535476</v>
          </cell>
        </row>
        <row r="1066">
          <cell r="A1066">
            <v>3</v>
          </cell>
          <cell r="B1066" t="str">
            <v>Terwujudnya Pengelolaan Arsip Secara Baku</v>
          </cell>
          <cell r="C1066">
            <v>18</v>
          </cell>
          <cell r="D1066">
            <v>16</v>
          </cell>
          <cell r="I1066" t="str">
            <v>Program Penyelamatan  dan Pelestarian Dokumen / Arsip Daerah</v>
          </cell>
          <cell r="J1066" t="str">
            <v>Jumlah dokumen/arsip daerah yang terselamatkan &amp; terlestarikan</v>
          </cell>
          <cell r="K1066">
            <v>360</v>
          </cell>
          <cell r="L1066">
            <v>249505343</v>
          </cell>
          <cell r="M1066">
            <v>33</v>
          </cell>
          <cell r="N1066">
            <v>0</v>
          </cell>
          <cell r="O1066">
            <v>100</v>
          </cell>
          <cell r="P1066">
            <v>249505343</v>
          </cell>
          <cell r="Q1066">
            <v>15</v>
          </cell>
          <cell r="R1066">
            <v>4424186</v>
          </cell>
          <cell r="S1066">
            <v>85</v>
          </cell>
          <cell r="T1066">
            <v>217740786</v>
          </cell>
          <cell r="U1066">
            <v>0</v>
          </cell>
          <cell r="V1066">
            <v>0</v>
          </cell>
          <cell r="W1066">
            <v>0</v>
          </cell>
          <cell r="X1066">
            <v>0</v>
          </cell>
          <cell r="Y1066">
            <v>100</v>
          </cell>
          <cell r="Z1066">
            <v>222164972</v>
          </cell>
          <cell r="AA1066">
            <v>133</v>
          </cell>
          <cell r="AB1066">
            <v>222164972</v>
          </cell>
          <cell r="AC1066">
            <v>36.944444444444443</v>
          </cell>
          <cell r="AD1066">
            <v>89.042170131001967</v>
          </cell>
          <cell r="AE1066" t="str">
            <v>Dinas Kearsipan dan Perpustakaan</v>
          </cell>
        </row>
        <row r="1067">
          <cell r="C1067">
            <v>18</v>
          </cell>
          <cell r="D1067">
            <v>16</v>
          </cell>
          <cell r="E1067">
            <v>14</v>
          </cell>
          <cell r="I1067" t="str">
            <v>Bintek Kearsipan bagi Petugas Unit Arsip ( Setiap OPD, BUMD, dan Nagari )</v>
          </cell>
          <cell r="J1067" t="str">
            <v>Jumlah peserta bimtek</v>
          </cell>
          <cell r="K1067">
            <v>360</v>
          </cell>
          <cell r="L1067">
            <v>249505343</v>
          </cell>
          <cell r="N1067">
            <v>0</v>
          </cell>
          <cell r="O1067">
            <v>100</v>
          </cell>
          <cell r="P1067">
            <v>249505343</v>
          </cell>
          <cell r="Q1067">
            <v>15</v>
          </cell>
          <cell r="R1067">
            <v>4424186</v>
          </cell>
          <cell r="S1067">
            <v>85</v>
          </cell>
          <cell r="T1067">
            <v>217740786</v>
          </cell>
          <cell r="Y1067">
            <v>100</v>
          </cell>
          <cell r="Z1067">
            <v>222164972</v>
          </cell>
          <cell r="AA1067">
            <v>100</v>
          </cell>
          <cell r="AB1067">
            <v>222164972</v>
          </cell>
          <cell r="AC1067">
            <v>27.777777777777779</v>
          </cell>
          <cell r="AD1067">
            <v>89.042170131001967</v>
          </cell>
        </row>
        <row r="1068">
          <cell r="I1068" t="str">
            <v>Program Peningkatan Kualitas Pelayanan Informasi</v>
          </cell>
          <cell r="J1068" t="str">
            <v>Peningkatan pelayanan informasi</v>
          </cell>
          <cell r="K1068">
            <v>100</v>
          </cell>
          <cell r="L1068">
            <v>162554848</v>
          </cell>
          <cell r="M1068">
            <v>60</v>
          </cell>
          <cell r="N1068">
            <v>0</v>
          </cell>
          <cell r="O1068">
            <v>30</v>
          </cell>
          <cell r="P1068">
            <v>162554848</v>
          </cell>
          <cell r="Q1068">
            <v>0</v>
          </cell>
          <cell r="R1068">
            <v>12264025</v>
          </cell>
          <cell r="S1068">
            <v>0</v>
          </cell>
          <cell r="T1068">
            <v>0</v>
          </cell>
          <cell r="Y1068">
            <v>0</v>
          </cell>
          <cell r="Z1068">
            <v>12264025</v>
          </cell>
          <cell r="AA1068">
            <v>60</v>
          </cell>
          <cell r="AB1068">
            <v>12264025</v>
          </cell>
          <cell r="AC1068">
            <v>60</v>
          </cell>
          <cell r="AD1068">
            <v>7.5445458261570879</v>
          </cell>
        </row>
        <row r="1069">
          <cell r="I1069" t="str">
            <v>Pembangunan galeri Peisir Selatan</v>
          </cell>
          <cell r="J1069" t="str">
            <v>gedung galeri dan perlengkapannya (unit)</v>
          </cell>
          <cell r="K1069">
            <v>1</v>
          </cell>
          <cell r="L1069">
            <v>162554848</v>
          </cell>
          <cell r="M1069">
            <v>0</v>
          </cell>
          <cell r="N1069">
            <v>0</v>
          </cell>
          <cell r="O1069">
            <v>1</v>
          </cell>
          <cell r="P1069">
            <v>162554848</v>
          </cell>
          <cell r="Q1069">
            <v>0</v>
          </cell>
          <cell r="R1069">
            <v>12264025</v>
          </cell>
          <cell r="S1069">
            <v>0</v>
          </cell>
          <cell r="T1069">
            <v>0</v>
          </cell>
          <cell r="Y1069">
            <v>0</v>
          </cell>
          <cell r="Z1069">
            <v>12264025</v>
          </cell>
          <cell r="AA1069">
            <v>0</v>
          </cell>
          <cell r="AB1069">
            <v>12264025</v>
          </cell>
          <cell r="AC1069">
            <v>0</v>
          </cell>
          <cell r="AD1069">
            <v>7.5445458261570879</v>
          </cell>
        </row>
        <row r="1070">
          <cell r="I1070" t="str">
            <v>Program Pemeliharaan Rutin Berkala Sarana dan Prasarana kearsipan</v>
          </cell>
          <cell r="J1070" t="str">
            <v>persentase sarpras arsip kondisi baik</v>
          </cell>
          <cell r="K1070">
            <v>100</v>
          </cell>
          <cell r="L1070">
            <v>250000000</v>
          </cell>
          <cell r="M1070">
            <v>60</v>
          </cell>
          <cell r="N1070">
            <v>33000000</v>
          </cell>
          <cell r="O1070">
            <v>30</v>
          </cell>
          <cell r="P1070">
            <v>30627664</v>
          </cell>
          <cell r="Q1070">
            <v>1</v>
          </cell>
          <cell r="R1070">
            <v>1594618</v>
          </cell>
          <cell r="S1070">
            <v>0</v>
          </cell>
          <cell r="T1070">
            <v>0</v>
          </cell>
          <cell r="Y1070">
            <v>1</v>
          </cell>
          <cell r="Z1070">
            <v>1594618</v>
          </cell>
          <cell r="AA1070">
            <v>61</v>
          </cell>
          <cell r="AB1070">
            <v>34594618</v>
          </cell>
          <cell r="AC1070">
            <v>61</v>
          </cell>
          <cell r="AD1070">
            <v>13.837847200000001</v>
          </cell>
        </row>
        <row r="1071">
          <cell r="I1071" t="str">
            <v>Pemelihraan Rutin/Berkala Arsip Daerah</v>
          </cell>
          <cell r="J1071" t="str">
            <v>terlaksanaya perawatan depo arsip (bln)</v>
          </cell>
          <cell r="K1071">
            <v>72</v>
          </cell>
          <cell r="L1071">
            <v>250000000</v>
          </cell>
          <cell r="M1071">
            <v>24</v>
          </cell>
          <cell r="N1071">
            <v>33000000</v>
          </cell>
          <cell r="O1071">
            <v>12</v>
          </cell>
          <cell r="P1071">
            <v>30627664</v>
          </cell>
          <cell r="Q1071">
            <v>3</v>
          </cell>
          <cell r="R1071">
            <v>1594618</v>
          </cell>
          <cell r="S1071">
            <v>3</v>
          </cell>
          <cell r="T1071">
            <v>0</v>
          </cell>
          <cell r="Y1071">
            <v>6</v>
          </cell>
          <cell r="Z1071">
            <v>1594618</v>
          </cell>
          <cell r="AA1071">
            <v>30</v>
          </cell>
          <cell r="AB1071">
            <v>34594618</v>
          </cell>
          <cell r="AC1071">
            <v>41.666666666666671</v>
          </cell>
          <cell r="AD1071">
            <v>13.837847200000001</v>
          </cell>
        </row>
        <row r="1072">
          <cell r="A1072" t="str">
            <v>Rata-Rata Capaian Kinerja</v>
          </cell>
          <cell r="AC1072">
            <v>46.59</v>
          </cell>
          <cell r="AD1072">
            <v>42.638738983691766</v>
          </cell>
        </row>
        <row r="1073">
          <cell r="A1073" t="str">
            <v>Peringkat  Kinerja</v>
          </cell>
          <cell r="AC1073" t="str">
            <v>SR</v>
          </cell>
          <cell r="AD1073" t="str">
            <v>SR</v>
          </cell>
        </row>
        <row r="1074">
          <cell r="I1074" t="str">
            <v>URUSAN PEMERINTAHAN PILIHAN</v>
          </cell>
        </row>
        <row r="1075">
          <cell r="A1075" t="str">
            <v>I</v>
          </cell>
          <cell r="I1075" t="str">
            <v>URUSAN PERIKANAN</v>
          </cell>
          <cell r="L1075">
            <v>23504331267</v>
          </cell>
          <cell r="N1075">
            <v>6393373113</v>
          </cell>
          <cell r="P1075">
            <v>6293410680</v>
          </cell>
          <cell r="R1075">
            <v>166378792</v>
          </cell>
          <cell r="T1075">
            <v>2009031917</v>
          </cell>
          <cell r="Z1075">
            <v>2175410709</v>
          </cell>
          <cell r="AB1075">
            <v>8568783822</v>
          </cell>
        </row>
        <row r="1076">
          <cell r="A1076">
            <v>1</v>
          </cell>
          <cell r="I1076" t="str">
            <v>Program Pelayanan Administrasi Perkantoran</v>
          </cell>
          <cell r="J1076" t="str">
            <v>Lancarnya Pelayanan Adminisitrasi Perkantoran (%)</v>
          </cell>
          <cell r="K1076">
            <v>72</v>
          </cell>
          <cell r="L1076">
            <v>1466630457</v>
          </cell>
          <cell r="M1076">
            <v>24</v>
          </cell>
          <cell r="N1076">
            <v>1466630457</v>
          </cell>
          <cell r="O1076">
            <v>12</v>
          </cell>
          <cell r="P1076">
            <v>599811000</v>
          </cell>
          <cell r="Q1076">
            <v>3</v>
          </cell>
          <cell r="R1076">
            <v>59343047</v>
          </cell>
          <cell r="S1076">
            <v>0</v>
          </cell>
          <cell r="T1076">
            <v>195608095</v>
          </cell>
          <cell r="U1076">
            <v>0</v>
          </cell>
          <cell r="V1076">
            <v>0</v>
          </cell>
          <cell r="W1076">
            <v>0</v>
          </cell>
          <cell r="X1076">
            <v>0</v>
          </cell>
          <cell r="Y1076">
            <v>3</v>
          </cell>
          <cell r="Z1076">
            <v>254951142</v>
          </cell>
          <cell r="AA1076">
            <v>27</v>
          </cell>
          <cell r="AB1076">
            <v>1721581599</v>
          </cell>
          <cell r="AC1076">
            <v>37.5</v>
          </cell>
          <cell r="AD1076">
            <v>117.38346157910181</v>
          </cell>
          <cell r="AE1076" t="str">
            <v>Dinas Perikanan</v>
          </cell>
        </row>
        <row r="1077">
          <cell r="I1077" t="str">
            <v>Penyediaan jasa komunikasi, sumber daya air dan listrik</v>
          </cell>
          <cell r="J1077" t="str">
            <v>Tersedianya Jasa Komunikasi , sumber daya listrik dan air (bulan)</v>
          </cell>
          <cell r="K1077">
            <v>72</v>
          </cell>
          <cell r="L1077">
            <v>287694015</v>
          </cell>
          <cell r="M1077">
            <v>24</v>
          </cell>
          <cell r="N1077">
            <v>79194015</v>
          </cell>
          <cell r="O1077">
            <v>12</v>
          </cell>
          <cell r="P1077">
            <v>51000000</v>
          </cell>
          <cell r="Q1077">
            <v>3</v>
          </cell>
          <cell r="R1077">
            <v>8088647</v>
          </cell>
          <cell r="S1077">
            <v>6</v>
          </cell>
          <cell r="T1077">
            <v>18046795</v>
          </cell>
          <cell r="U1077">
            <v>0</v>
          </cell>
          <cell r="V1077">
            <v>0</v>
          </cell>
          <cell r="W1077">
            <v>0</v>
          </cell>
          <cell r="X1077">
            <v>0</v>
          </cell>
          <cell r="Y1077">
            <v>9</v>
          </cell>
          <cell r="Z1077">
            <v>26135442</v>
          </cell>
          <cell r="AA1077">
            <v>33</v>
          </cell>
          <cell r="AB1077">
            <v>105329457</v>
          </cell>
          <cell r="AC1077">
            <v>45.833333333333329</v>
          </cell>
          <cell r="AD1077">
            <v>36.61162607084475</v>
          </cell>
        </row>
        <row r="1078">
          <cell r="I1078" t="str">
            <v>Penyediaan jasa administrasi keuangan</v>
          </cell>
          <cell r="J1078" t="str">
            <v>Tertibnya Administerasi Keuangan (bulan)</v>
          </cell>
          <cell r="K1078">
            <v>72</v>
          </cell>
          <cell r="L1078">
            <v>677317000</v>
          </cell>
          <cell r="M1078">
            <v>24</v>
          </cell>
          <cell r="N1078">
            <v>188567000</v>
          </cell>
          <cell r="O1078">
            <v>12</v>
          </cell>
          <cell r="P1078">
            <v>121250000</v>
          </cell>
          <cell r="Q1078">
            <v>3</v>
          </cell>
          <cell r="R1078">
            <v>4000000</v>
          </cell>
          <cell r="S1078">
            <v>6</v>
          </cell>
          <cell r="T1078">
            <v>39000000</v>
          </cell>
          <cell r="U1078">
            <v>0</v>
          </cell>
          <cell r="V1078">
            <v>0</v>
          </cell>
          <cell r="W1078">
            <v>0</v>
          </cell>
          <cell r="X1078">
            <v>0</v>
          </cell>
          <cell r="Y1078">
            <v>9</v>
          </cell>
          <cell r="Z1078">
            <v>43000000</v>
          </cell>
          <cell r="AA1078">
            <v>33</v>
          </cell>
          <cell r="AB1078">
            <v>231567000</v>
          </cell>
          <cell r="AC1078">
            <v>45.833333333333329</v>
          </cell>
          <cell r="AD1078">
            <v>34.188865774814452</v>
          </cell>
        </row>
        <row r="1079">
          <cell r="I1079" t="str">
            <v>Penyediaan jasa kebersihan kantor</v>
          </cell>
          <cell r="J1079" t="str">
            <v>Terlaksananya kebersihan Kantor (bulan)</v>
          </cell>
          <cell r="K1079">
            <v>72</v>
          </cell>
          <cell r="L1079">
            <v>429470000</v>
          </cell>
          <cell r="M1079">
            <v>24</v>
          </cell>
          <cell r="N1079">
            <v>133644000</v>
          </cell>
          <cell r="O1079">
            <v>12</v>
          </cell>
          <cell r="P1079">
            <v>70826000</v>
          </cell>
          <cell r="Q1079">
            <v>3</v>
          </cell>
          <cell r="R1079">
            <v>12667500</v>
          </cell>
          <cell r="S1079">
            <v>6</v>
          </cell>
          <cell r="T1079">
            <v>32667500</v>
          </cell>
          <cell r="U1079">
            <v>0</v>
          </cell>
          <cell r="V1079">
            <v>0</v>
          </cell>
          <cell r="W1079">
            <v>0</v>
          </cell>
          <cell r="X1079">
            <v>0</v>
          </cell>
          <cell r="Y1079">
            <v>9</v>
          </cell>
          <cell r="Z1079">
            <v>45335000</v>
          </cell>
          <cell r="AA1079">
            <v>33</v>
          </cell>
          <cell r="AB1079">
            <v>178979000</v>
          </cell>
          <cell r="AC1079">
            <v>45.833333333333329</v>
          </cell>
          <cell r="AD1079">
            <v>41.674389363634248</v>
          </cell>
        </row>
        <row r="1080">
          <cell r="I1080" t="str">
            <v>Penyediaan Jasa Perbaikan Peralatan Kantor</v>
          </cell>
          <cell r="J1080" t="str">
            <v>Tersedianya jasa perbaikan peralatan kerja (bulan)</v>
          </cell>
          <cell r="K1080">
            <v>72</v>
          </cell>
          <cell r="L1080">
            <v>127430000</v>
          </cell>
          <cell r="M1080">
            <v>24</v>
          </cell>
          <cell r="N1080">
            <v>43705000</v>
          </cell>
          <cell r="O1080">
            <v>12</v>
          </cell>
          <cell r="P1080">
            <v>9725000</v>
          </cell>
          <cell r="Q1080">
            <v>3</v>
          </cell>
          <cell r="R1080">
            <v>0</v>
          </cell>
          <cell r="S1080">
            <v>6</v>
          </cell>
          <cell r="T1080">
            <v>150000</v>
          </cell>
          <cell r="U1080">
            <v>0</v>
          </cell>
          <cell r="V1080">
            <v>0</v>
          </cell>
          <cell r="W1080">
            <v>0</v>
          </cell>
          <cell r="X1080">
            <v>0</v>
          </cell>
          <cell r="Y1080">
            <v>9</v>
          </cell>
          <cell r="Z1080">
            <v>150000</v>
          </cell>
          <cell r="AA1080">
            <v>33</v>
          </cell>
          <cell r="AB1080">
            <v>43855000</v>
          </cell>
          <cell r="AC1080">
            <v>45.833333333333329</v>
          </cell>
          <cell r="AD1080">
            <v>34.414972926312487</v>
          </cell>
        </row>
        <row r="1081">
          <cell r="I1081" t="str">
            <v>Penyediaan Alat Tulis Kantor</v>
          </cell>
          <cell r="J1081" t="str">
            <v>Tersedianya ATK (bulan)</v>
          </cell>
          <cell r="K1081">
            <v>72</v>
          </cell>
          <cell r="L1081">
            <v>224562833</v>
          </cell>
          <cell r="M1081">
            <v>24</v>
          </cell>
          <cell r="N1081">
            <v>73582833</v>
          </cell>
          <cell r="O1081">
            <v>12</v>
          </cell>
          <cell r="P1081">
            <v>34980000</v>
          </cell>
          <cell r="Q1081">
            <v>3</v>
          </cell>
          <cell r="R1081">
            <v>4082000</v>
          </cell>
          <cell r="S1081">
            <v>6</v>
          </cell>
          <cell r="T1081">
            <v>13035500</v>
          </cell>
          <cell r="U1081">
            <v>0</v>
          </cell>
          <cell r="V1081">
            <v>0</v>
          </cell>
          <cell r="W1081">
            <v>0</v>
          </cell>
          <cell r="X1081">
            <v>0</v>
          </cell>
          <cell r="Y1081">
            <v>9</v>
          </cell>
          <cell r="Z1081">
            <v>17117500</v>
          </cell>
          <cell r="AA1081">
            <v>33</v>
          </cell>
          <cell r="AB1081">
            <v>90700333</v>
          </cell>
          <cell r="AC1081">
            <v>45.833333333333329</v>
          </cell>
          <cell r="AD1081">
            <v>40.389734930000635</v>
          </cell>
        </row>
        <row r="1082">
          <cell r="I1082" t="str">
            <v>Penyediaan barang cetakan dan penggandaan</v>
          </cell>
          <cell r="J1082" t="str">
            <v>Tersedianya barang cetakan dan penggandaan(bulan)</v>
          </cell>
          <cell r="K1082">
            <v>72</v>
          </cell>
          <cell r="L1082">
            <v>179993000</v>
          </cell>
          <cell r="M1082">
            <v>24</v>
          </cell>
          <cell r="N1082">
            <v>57443000</v>
          </cell>
          <cell r="O1082">
            <v>12</v>
          </cell>
          <cell r="P1082">
            <v>28050000</v>
          </cell>
          <cell r="Q1082">
            <v>3</v>
          </cell>
          <cell r="R1082">
            <v>3466400</v>
          </cell>
          <cell r="S1082">
            <v>6</v>
          </cell>
          <cell r="T1082">
            <v>8014800</v>
          </cell>
          <cell r="U1082">
            <v>0</v>
          </cell>
          <cell r="V1082">
            <v>0</v>
          </cell>
          <cell r="W1082">
            <v>0</v>
          </cell>
          <cell r="X1082">
            <v>0</v>
          </cell>
          <cell r="Y1082">
            <v>9</v>
          </cell>
          <cell r="Z1082">
            <v>11481200</v>
          </cell>
          <cell r="AA1082">
            <v>33</v>
          </cell>
          <cell r="AB1082">
            <v>68924200</v>
          </cell>
          <cell r="AC1082">
            <v>45.833333333333329</v>
          </cell>
          <cell r="AD1082">
            <v>38.292711383220457</v>
          </cell>
        </row>
        <row r="1083">
          <cell r="I1083" t="str">
            <v>Penyediaan komponen instalasi listrik/penerangan bangunan kantor</v>
          </cell>
          <cell r="J1083" t="str">
            <v>Tersedianya komponen instalasi listrik.penerangan bangunan kantor (bulan)</v>
          </cell>
          <cell r="K1083">
            <v>72</v>
          </cell>
          <cell r="L1083">
            <v>148343180</v>
          </cell>
          <cell r="M1083">
            <v>24</v>
          </cell>
          <cell r="N1083">
            <v>117843180</v>
          </cell>
          <cell r="O1083">
            <v>12</v>
          </cell>
          <cell r="P1083">
            <v>6500000</v>
          </cell>
          <cell r="Q1083">
            <v>3</v>
          </cell>
          <cell r="R1083">
            <v>1386000</v>
          </cell>
          <cell r="S1083">
            <v>6</v>
          </cell>
          <cell r="T1083">
            <v>2336000</v>
          </cell>
          <cell r="U1083">
            <v>0</v>
          </cell>
          <cell r="V1083">
            <v>0</v>
          </cell>
          <cell r="W1083">
            <v>0</v>
          </cell>
          <cell r="X1083">
            <v>0</v>
          </cell>
          <cell r="Y1083">
            <v>9</v>
          </cell>
          <cell r="Z1083">
            <v>3722000</v>
          </cell>
          <cell r="AA1083">
            <v>33</v>
          </cell>
          <cell r="AB1083">
            <v>121565180</v>
          </cell>
          <cell r="AC1083">
            <v>45.833333333333329</v>
          </cell>
          <cell r="AD1083">
            <v>81.948614017846992</v>
          </cell>
        </row>
        <row r="1084">
          <cell r="I1084" t="str">
            <v>Penyediaan Peralatan dan Perlengkapan Kantor</v>
          </cell>
          <cell r="J1084" t="str">
            <v>Tersedianya peralatan dan perlengkapan kantor (Bulan)</v>
          </cell>
          <cell r="K1084">
            <v>72</v>
          </cell>
          <cell r="L1084">
            <v>397723601</v>
          </cell>
          <cell r="M1084">
            <v>24</v>
          </cell>
          <cell r="N1084">
            <v>123523601</v>
          </cell>
          <cell r="O1084">
            <v>12</v>
          </cell>
          <cell r="P1084">
            <v>49200000</v>
          </cell>
          <cell r="Q1084">
            <v>3</v>
          </cell>
          <cell r="R1084">
            <v>0</v>
          </cell>
          <cell r="S1084">
            <v>6</v>
          </cell>
          <cell r="T1084">
            <v>5865000</v>
          </cell>
          <cell r="U1084">
            <v>0</v>
          </cell>
          <cell r="V1084">
            <v>0</v>
          </cell>
          <cell r="W1084">
            <v>0</v>
          </cell>
          <cell r="X1084">
            <v>0</v>
          </cell>
          <cell r="Y1084">
            <v>9</v>
          </cell>
          <cell r="Z1084">
            <v>5865000</v>
          </cell>
          <cell r="AA1084">
            <v>33</v>
          </cell>
          <cell r="AB1084">
            <v>129388601</v>
          </cell>
          <cell r="AC1084">
            <v>45.833333333333329</v>
          </cell>
          <cell r="AD1084">
            <v>32.532291439250045</v>
          </cell>
        </row>
        <row r="1085">
          <cell r="I1085" t="str">
            <v>Penyediaan bahan bacaan dan peraturan perundang-undangan</v>
          </cell>
          <cell r="J1085" t="str">
            <v>Tersedianya bahan bacaan dan peraturan perundang-undangan (Bulan)</v>
          </cell>
          <cell r="K1085">
            <v>72</v>
          </cell>
          <cell r="L1085">
            <v>57115000</v>
          </cell>
          <cell r="M1085">
            <v>24</v>
          </cell>
          <cell r="N1085">
            <v>18435000</v>
          </cell>
          <cell r="O1085">
            <v>12</v>
          </cell>
          <cell r="P1085">
            <v>14680000</v>
          </cell>
          <cell r="Q1085">
            <v>3</v>
          </cell>
          <cell r="R1085">
            <v>1155000</v>
          </cell>
          <cell r="S1085">
            <v>6</v>
          </cell>
          <cell r="T1085">
            <v>7435000</v>
          </cell>
          <cell r="U1085">
            <v>0</v>
          </cell>
          <cell r="V1085">
            <v>0</v>
          </cell>
          <cell r="W1085">
            <v>0</v>
          </cell>
          <cell r="X1085">
            <v>0</v>
          </cell>
          <cell r="Y1085">
            <v>9</v>
          </cell>
          <cell r="Z1085">
            <v>8590000</v>
          </cell>
          <cell r="AA1085">
            <v>33</v>
          </cell>
          <cell r="AB1085">
            <v>27025000</v>
          </cell>
          <cell r="AC1085">
            <v>45.833333333333329</v>
          </cell>
          <cell r="AD1085">
            <v>47.316816948262279</v>
          </cell>
        </row>
        <row r="1086">
          <cell r="I1086" t="str">
            <v>Penyediaan makanan dan minuman</v>
          </cell>
          <cell r="J1086" t="str">
            <v>Tersedianya makan dan minum ( Bulan)</v>
          </cell>
          <cell r="K1086">
            <v>72</v>
          </cell>
          <cell r="L1086">
            <v>326243500</v>
          </cell>
          <cell r="M1086">
            <v>24</v>
          </cell>
          <cell r="N1086">
            <v>101143500</v>
          </cell>
          <cell r="O1086">
            <v>12</v>
          </cell>
          <cell r="P1086">
            <v>45100000</v>
          </cell>
          <cell r="Q1086">
            <v>3</v>
          </cell>
          <cell r="R1086">
            <v>4572500</v>
          </cell>
          <cell r="S1086">
            <v>6</v>
          </cell>
          <cell r="T1086">
            <v>11942500</v>
          </cell>
          <cell r="U1086">
            <v>0</v>
          </cell>
          <cell r="V1086">
            <v>0</v>
          </cell>
          <cell r="W1086">
            <v>0</v>
          </cell>
          <cell r="X1086">
            <v>0</v>
          </cell>
          <cell r="Y1086">
            <v>9</v>
          </cell>
          <cell r="Z1086">
            <v>16515000</v>
          </cell>
          <cell r="AA1086">
            <v>33</v>
          </cell>
          <cell r="AB1086">
            <v>117658500</v>
          </cell>
          <cell r="AC1086">
            <v>45.833333333333329</v>
          </cell>
          <cell r="AD1086">
            <v>36.064626574935595</v>
          </cell>
        </row>
        <row r="1087">
          <cell r="I1087" t="str">
            <v>Rapat-rapat kordinasi dan konsultasi ke luar daerah</v>
          </cell>
          <cell r="J1087" t="str">
            <v>Terlaksananya rapat koordinasi dan konsultasi Luar Daerah (bulan)</v>
          </cell>
          <cell r="K1087">
            <v>72</v>
          </cell>
          <cell r="L1087">
            <v>478185328</v>
          </cell>
          <cell r="M1087">
            <v>24</v>
          </cell>
          <cell r="N1087">
            <v>369685328</v>
          </cell>
          <cell r="O1087">
            <v>12</v>
          </cell>
          <cell r="P1087">
            <v>108500000</v>
          </cell>
          <cell r="Q1087">
            <v>3</v>
          </cell>
          <cell r="R1087">
            <v>7100000</v>
          </cell>
          <cell r="S1087">
            <v>6</v>
          </cell>
          <cell r="T1087">
            <v>23945000</v>
          </cell>
          <cell r="U1087">
            <v>0</v>
          </cell>
          <cell r="V1087">
            <v>0</v>
          </cell>
          <cell r="W1087">
            <v>0</v>
          </cell>
          <cell r="X1087">
            <v>0</v>
          </cell>
          <cell r="Y1087">
            <v>9</v>
          </cell>
          <cell r="Z1087">
            <v>31045000</v>
          </cell>
          <cell r="AA1087">
            <v>33</v>
          </cell>
          <cell r="AB1087">
            <v>400730328</v>
          </cell>
          <cell r="AC1087">
            <v>45.833333333333329</v>
          </cell>
          <cell r="AD1087">
            <v>83.802305201635136</v>
          </cell>
        </row>
        <row r="1088">
          <cell r="I1088" t="str">
            <v>Rapat-rapat Koordinasi dan Konsultasi Dalam Daerah</v>
          </cell>
          <cell r="J1088" t="str">
            <v>Terlaksananya rapat koordinasi dan konsultasi Dalam Daerah (Bulan)</v>
          </cell>
          <cell r="K1088">
            <v>72</v>
          </cell>
          <cell r="L1088">
            <v>424400000</v>
          </cell>
          <cell r="M1088">
            <v>24</v>
          </cell>
          <cell r="N1088">
            <v>176400000</v>
          </cell>
          <cell r="O1088">
            <v>12</v>
          </cell>
          <cell r="P1088">
            <v>60000000</v>
          </cell>
          <cell r="Q1088">
            <v>3</v>
          </cell>
          <cell r="R1088">
            <v>12825000</v>
          </cell>
          <cell r="S1088">
            <v>6</v>
          </cell>
          <cell r="T1088">
            <v>33170000</v>
          </cell>
          <cell r="U1088">
            <v>0</v>
          </cell>
          <cell r="V1088">
            <v>0</v>
          </cell>
          <cell r="W1088">
            <v>0</v>
          </cell>
          <cell r="X1088">
            <v>0</v>
          </cell>
          <cell r="Y1088">
            <v>9</v>
          </cell>
          <cell r="Z1088">
            <v>45995000</v>
          </cell>
          <cell r="AA1088">
            <v>33</v>
          </cell>
          <cell r="AB1088">
            <v>222395000</v>
          </cell>
          <cell r="AC1088">
            <v>45.833333333333329</v>
          </cell>
          <cell r="AD1088">
            <v>52.402214891611685</v>
          </cell>
        </row>
        <row r="1089">
          <cell r="A1089">
            <v>2</v>
          </cell>
          <cell r="I1089" t="str">
            <v>Program Peningkatan Sarana dan Prasarana Aparatur</v>
          </cell>
          <cell r="J1089" t="str">
            <v>cakupan layanan Sarana dan prasarana Aparatur (%)</v>
          </cell>
          <cell r="K1089">
            <v>72</v>
          </cell>
          <cell r="L1089">
            <v>987485930</v>
          </cell>
          <cell r="M1089">
            <v>24</v>
          </cell>
          <cell r="N1089">
            <v>987485930</v>
          </cell>
          <cell r="O1089">
            <v>0.12</v>
          </cell>
          <cell r="P1089">
            <v>393301180</v>
          </cell>
          <cell r="Q1089">
            <v>3</v>
          </cell>
          <cell r="R1089">
            <v>37434170</v>
          </cell>
          <cell r="S1089">
            <v>0</v>
          </cell>
          <cell r="T1089">
            <v>28100000</v>
          </cell>
          <cell r="U1089">
            <v>0</v>
          </cell>
          <cell r="V1089">
            <v>0</v>
          </cell>
          <cell r="W1089">
            <v>0</v>
          </cell>
          <cell r="X1089">
            <v>0</v>
          </cell>
          <cell r="Y1089">
            <v>3</v>
          </cell>
          <cell r="Z1089">
            <v>65534170</v>
          </cell>
          <cell r="AA1089">
            <v>27</v>
          </cell>
          <cell r="AB1089">
            <v>1053020100</v>
          </cell>
          <cell r="AC1089">
            <v>37.5</v>
          </cell>
          <cell r="AD1089">
            <v>106.63646620261211</v>
          </cell>
          <cell r="AE1089" t="str">
            <v>Dinas Perikanan</v>
          </cell>
        </row>
        <row r="1090">
          <cell r="I1090" t="str">
            <v>Pemeliharaan rutin/berkala kendaraan dinas/operasional</v>
          </cell>
          <cell r="J1090" t="str">
            <v>Terpeliharanya kendaraan dinas / operasiona (bulan)l</v>
          </cell>
          <cell r="K1090">
            <v>72</v>
          </cell>
          <cell r="L1090">
            <v>1272953095</v>
          </cell>
          <cell r="M1090">
            <v>24</v>
          </cell>
          <cell r="N1090">
            <v>226739095</v>
          </cell>
          <cell r="O1090">
            <v>12</v>
          </cell>
          <cell r="P1090">
            <v>276214000</v>
          </cell>
          <cell r="Q1090">
            <v>3</v>
          </cell>
          <cell r="R1090">
            <v>37434170</v>
          </cell>
          <cell r="S1090">
            <v>0</v>
          </cell>
          <cell r="T1090">
            <v>0</v>
          </cell>
          <cell r="U1090">
            <v>0</v>
          </cell>
          <cell r="V1090">
            <v>0</v>
          </cell>
          <cell r="W1090">
            <v>0</v>
          </cell>
          <cell r="X1090">
            <v>0</v>
          </cell>
          <cell r="Y1090">
            <v>3</v>
          </cell>
          <cell r="Z1090">
            <v>37434170</v>
          </cell>
          <cell r="AA1090">
            <v>27</v>
          </cell>
          <cell r="AB1090">
            <v>264173265</v>
          </cell>
          <cell r="AC1090">
            <v>37.5</v>
          </cell>
          <cell r="AD1090">
            <v>20.752788617085692</v>
          </cell>
        </row>
        <row r="1091">
          <cell r="I1091" t="str">
            <v>Pengadaan Mobiler</v>
          </cell>
          <cell r="J1091" t="str">
            <v>tersedianya mobiler kantor (paket)</v>
          </cell>
          <cell r="K1091">
            <v>2</v>
          </cell>
          <cell r="L1091">
            <v>46389000</v>
          </cell>
          <cell r="M1091">
            <v>1</v>
          </cell>
          <cell r="N1091">
            <v>16389000</v>
          </cell>
          <cell r="O1091">
            <v>1</v>
          </cell>
          <cell r="P1091">
            <v>30000000</v>
          </cell>
          <cell r="Q1091" t="str">
            <v>-</v>
          </cell>
          <cell r="S1091">
            <v>1</v>
          </cell>
          <cell r="T1091">
            <v>28100000</v>
          </cell>
          <cell r="Y1091">
            <v>1</v>
          </cell>
          <cell r="Z1091">
            <v>28100000</v>
          </cell>
          <cell r="AA1091">
            <v>2</v>
          </cell>
          <cell r="AB1091">
            <v>44489000</v>
          </cell>
          <cell r="AC1091">
            <v>100</v>
          </cell>
          <cell r="AD1091">
            <v>95.904201427062446</v>
          </cell>
        </row>
        <row r="1092">
          <cell r="I1092" t="str">
            <v>Pemeliharaan rutin /berkala gedung kantor</v>
          </cell>
          <cell r="J1092" t="str">
            <v>Terpiliharanya gedung kantor dinas perikanan (paket)</v>
          </cell>
          <cell r="K1092">
            <v>5</v>
          </cell>
          <cell r="L1092">
            <v>465557180</v>
          </cell>
          <cell r="M1092">
            <v>1</v>
          </cell>
          <cell r="N1092">
            <v>78470000</v>
          </cell>
          <cell r="O1092">
            <v>1</v>
          </cell>
          <cell r="P1092">
            <v>87087180</v>
          </cell>
          <cell r="Q1092" t="str">
            <v>-</v>
          </cell>
          <cell r="R1092" t="str">
            <v>-</v>
          </cell>
          <cell r="S1092" t="str">
            <v>-</v>
          </cell>
          <cell r="Y1092" t="str">
            <v>-</v>
          </cell>
          <cell r="Z1092">
            <v>0</v>
          </cell>
          <cell r="AA1092">
            <v>1</v>
          </cell>
          <cell r="AB1092">
            <v>78470000</v>
          </cell>
          <cell r="AC1092" t="str">
            <v>0,20</v>
          </cell>
          <cell r="AD1092" t="str">
            <v>0,169</v>
          </cell>
        </row>
        <row r="1093">
          <cell r="A1093">
            <v>3</v>
          </cell>
          <cell r="I1093" t="str">
            <v>Program Peningkatan  Pengembangan Sistem Pelaporan Capaian Kinerja dan Keuangan</v>
          </cell>
          <cell r="J1093" t="str">
            <v>Berkembanya Sistem Pelaporan Capaian Kinerja dan Keuangan</v>
          </cell>
          <cell r="K1093">
            <v>100</v>
          </cell>
          <cell r="L1093">
            <v>270892500</v>
          </cell>
          <cell r="M1093">
            <v>40</v>
          </cell>
          <cell r="N1093">
            <v>52360700</v>
          </cell>
          <cell r="O1093">
            <v>20</v>
          </cell>
          <cell r="P1093">
            <v>218531800</v>
          </cell>
          <cell r="Q1093">
            <v>5</v>
          </cell>
          <cell r="R1093">
            <v>1100000</v>
          </cell>
          <cell r="S1093">
            <v>0</v>
          </cell>
          <cell r="T1093">
            <v>28991800</v>
          </cell>
          <cell r="U1093">
            <v>0</v>
          </cell>
          <cell r="V1093">
            <v>0</v>
          </cell>
          <cell r="W1093">
            <v>0</v>
          </cell>
          <cell r="X1093">
            <v>0</v>
          </cell>
          <cell r="Y1093">
            <v>5</v>
          </cell>
          <cell r="Z1093">
            <v>30091800</v>
          </cell>
          <cell r="AA1093">
            <v>45</v>
          </cell>
          <cell r="AB1093">
            <v>82452500</v>
          </cell>
          <cell r="AC1093">
            <v>45</v>
          </cell>
          <cell r="AD1093">
            <v>30.437350609559143</v>
          </cell>
          <cell r="AE1093" t="str">
            <v>Dinas Perikanan</v>
          </cell>
        </row>
        <row r="1094">
          <cell r="I1094" t="str">
            <v>Monitoring dan Evaluasi Kegiatan</v>
          </cell>
          <cell r="J1094" t="str">
            <v>Terlaksananya monitoring dan terevaluasi program / kegiatan Dinas (bulan)</v>
          </cell>
          <cell r="K1094">
            <v>72</v>
          </cell>
          <cell r="L1094">
            <v>474423200</v>
          </cell>
          <cell r="M1094">
            <v>24</v>
          </cell>
          <cell r="N1094">
            <v>52360700</v>
          </cell>
          <cell r="O1094">
            <v>12</v>
          </cell>
          <cell r="P1094">
            <v>84562500</v>
          </cell>
          <cell r="Q1094">
            <v>3</v>
          </cell>
          <cell r="R1094">
            <v>0</v>
          </cell>
          <cell r="S1094">
            <v>6</v>
          </cell>
          <cell r="T1094">
            <v>9019600</v>
          </cell>
          <cell r="U1094">
            <v>0</v>
          </cell>
          <cell r="V1094">
            <v>0</v>
          </cell>
          <cell r="W1094">
            <v>0</v>
          </cell>
          <cell r="X1094">
            <v>0</v>
          </cell>
          <cell r="Y1094">
            <v>9</v>
          </cell>
          <cell r="Z1094">
            <v>9019600</v>
          </cell>
          <cell r="AA1094">
            <v>33</v>
          </cell>
          <cell r="AB1094">
            <v>61380300</v>
          </cell>
          <cell r="AC1094">
            <v>45.833333333333329</v>
          </cell>
          <cell r="AD1094">
            <v>12.937879091916246</v>
          </cell>
        </row>
        <row r="1095">
          <cell r="I1095" t="str">
            <v>Penyusunan Perencanaan Anggaran</v>
          </cell>
          <cell r="J1095" t="str">
            <v>Tersusunya perencanaan anggaran yang akuntable (kali)</v>
          </cell>
          <cell r="K1095">
            <v>14</v>
          </cell>
          <cell r="L1095">
            <v>261175000</v>
          </cell>
          <cell r="M1095">
            <v>0</v>
          </cell>
          <cell r="N1095">
            <v>0</v>
          </cell>
          <cell r="O1095">
            <v>8</v>
          </cell>
          <cell r="P1095">
            <v>56175000</v>
          </cell>
          <cell r="Q1095">
            <v>0</v>
          </cell>
          <cell r="R1095">
            <v>0</v>
          </cell>
          <cell r="S1095">
            <v>1</v>
          </cell>
          <cell r="T1095">
            <v>580000</v>
          </cell>
          <cell r="U1095">
            <v>0</v>
          </cell>
          <cell r="V1095">
            <v>0</v>
          </cell>
          <cell r="W1095">
            <v>0</v>
          </cell>
          <cell r="X1095">
            <v>0</v>
          </cell>
          <cell r="Y1095">
            <v>1</v>
          </cell>
          <cell r="Z1095">
            <v>580000</v>
          </cell>
          <cell r="AA1095">
            <v>1</v>
          </cell>
          <cell r="AB1095">
            <v>580000</v>
          </cell>
          <cell r="AC1095">
            <v>7.1428571428571423</v>
          </cell>
          <cell r="AD1095">
            <v>0.2220733224849239</v>
          </cell>
        </row>
        <row r="1096">
          <cell r="I1096" t="str">
            <v>Pengembangan dan Peningkatan Data dan Informasi</v>
          </cell>
          <cell r="J1096" t="str">
            <v xml:space="preserve"> Tersusunnya data dan informasi yang valid dan benar (dokumen)</v>
          </cell>
          <cell r="K1096">
            <v>18</v>
          </cell>
          <cell r="L1096">
            <v>377794300</v>
          </cell>
          <cell r="M1096">
            <v>0</v>
          </cell>
          <cell r="N1096">
            <v>0</v>
          </cell>
          <cell r="O1096">
            <v>3</v>
          </cell>
          <cell r="P1096">
            <v>77794300</v>
          </cell>
          <cell r="Q1096">
            <v>0</v>
          </cell>
          <cell r="R1096">
            <v>1100000</v>
          </cell>
          <cell r="S1096">
            <v>0</v>
          </cell>
          <cell r="T1096">
            <v>19392200</v>
          </cell>
          <cell r="U1096">
            <v>0</v>
          </cell>
          <cell r="V1096">
            <v>0</v>
          </cell>
          <cell r="W1096">
            <v>0</v>
          </cell>
          <cell r="X1096">
            <v>0</v>
          </cell>
          <cell r="Y1096">
            <v>0</v>
          </cell>
          <cell r="Z1096">
            <v>20492200</v>
          </cell>
          <cell r="AA1096">
            <v>0</v>
          </cell>
          <cell r="AB1096">
            <v>20492200</v>
          </cell>
          <cell r="AC1096">
            <v>0</v>
          </cell>
          <cell r="AD1096">
            <v>5.4241686547414822</v>
          </cell>
        </row>
        <row r="1097">
          <cell r="A1097">
            <v>4</v>
          </cell>
          <cell r="B1097" t="str">
            <v>Meningkatnya Produksi kelautan dan Perkanan</v>
          </cell>
          <cell r="I1097" t="str">
            <v>Program Pengembangan Budidaya Perikanan</v>
          </cell>
          <cell r="J1097" t="str">
            <v>Jumlah Produksi Perikanan Budidaya ( Ton )</v>
          </cell>
          <cell r="K1097">
            <v>90511</v>
          </cell>
          <cell r="L1097">
            <v>5752372330</v>
          </cell>
          <cell r="M1097">
            <v>24924.23</v>
          </cell>
          <cell r="N1097">
            <v>1480181536</v>
          </cell>
          <cell r="O1097">
            <v>14505</v>
          </cell>
          <cell r="P1097">
            <v>212456500</v>
          </cell>
          <cell r="Q1097">
            <v>3178.5</v>
          </cell>
          <cell r="R1097">
            <v>17739375</v>
          </cell>
          <cell r="S1097">
            <v>0</v>
          </cell>
          <cell r="T1097">
            <v>1486187635</v>
          </cell>
          <cell r="U1097">
            <v>0</v>
          </cell>
          <cell r="V1097">
            <v>0</v>
          </cell>
          <cell r="W1097">
            <v>0</v>
          </cell>
          <cell r="X1097">
            <v>0</v>
          </cell>
          <cell r="Y1097">
            <v>3178.5</v>
          </cell>
          <cell r="Z1097">
            <v>1503927010</v>
          </cell>
          <cell r="AA1097">
            <v>28102.73</v>
          </cell>
          <cell r="AB1097">
            <v>2984108546</v>
          </cell>
          <cell r="AC1097">
            <v>31.048966423970565</v>
          </cell>
          <cell r="AD1097">
            <v>51.876136918974439</v>
          </cell>
          <cell r="AE1097" t="str">
            <v>Dinas Perikanan</v>
          </cell>
        </row>
        <row r="1098">
          <cell r="I1098" t="str">
            <v>Operasional Balai Benih Ikan (BBI) Pincuran</v>
          </cell>
          <cell r="J1098" t="str">
            <v xml:space="preserve"> Beroperasionalnya BBI Pincuran Boga        ( Bulan)</v>
          </cell>
          <cell r="K1098">
            <v>72</v>
          </cell>
          <cell r="L1098">
            <v>638823850</v>
          </cell>
          <cell r="M1098">
            <v>24</v>
          </cell>
          <cell r="N1098">
            <v>154610936</v>
          </cell>
          <cell r="O1098">
            <v>12</v>
          </cell>
          <cell r="P1098">
            <v>212456500</v>
          </cell>
          <cell r="Q1098">
            <v>3</v>
          </cell>
          <cell r="R1098">
            <v>17739375</v>
          </cell>
          <cell r="S1098">
            <v>6</v>
          </cell>
          <cell r="T1098">
            <v>43304175</v>
          </cell>
          <cell r="U1098">
            <v>0</v>
          </cell>
          <cell r="V1098">
            <v>0</v>
          </cell>
          <cell r="W1098">
            <v>0</v>
          </cell>
          <cell r="X1098">
            <v>0</v>
          </cell>
          <cell r="Y1098">
            <v>9</v>
          </cell>
          <cell r="Z1098">
            <v>61043550</v>
          </cell>
          <cell r="AA1098">
            <v>33</v>
          </cell>
          <cell r="AB1098">
            <v>215654486</v>
          </cell>
          <cell r="AC1098">
            <v>45.833333333333329</v>
          </cell>
          <cell r="AD1098">
            <v>33.758051769670146</v>
          </cell>
        </row>
        <row r="1099">
          <cell r="I1099" t="str">
            <v>Program Pengembangan  Perikanan Tangkap</v>
          </cell>
          <cell r="J1099" t="str">
            <v>Jumlah Produksi Perikanan Tangkap        ( Ton )</v>
          </cell>
          <cell r="K1099">
            <v>291080</v>
          </cell>
          <cell r="L1099">
            <v>20229567550</v>
          </cell>
          <cell r="M1099">
            <v>71508.19</v>
          </cell>
          <cell r="N1099">
            <v>3167990120</v>
          </cell>
          <cell r="O1099">
            <v>39440</v>
          </cell>
          <cell r="P1099">
            <v>3597181200</v>
          </cell>
          <cell r="Q1099">
            <v>8111.3</v>
          </cell>
          <cell r="R1099">
            <v>3674500</v>
          </cell>
          <cell r="S1099">
            <v>0</v>
          </cell>
          <cell r="T1099">
            <v>713086980</v>
          </cell>
          <cell r="U1099">
            <v>0</v>
          </cell>
          <cell r="V1099">
            <v>0</v>
          </cell>
          <cell r="W1099">
            <v>0</v>
          </cell>
          <cell r="X1099">
            <v>0</v>
          </cell>
          <cell r="Y1099">
            <v>8111.3</v>
          </cell>
          <cell r="Z1099">
            <v>716761480</v>
          </cell>
          <cell r="AA1099">
            <v>79619.490000000005</v>
          </cell>
          <cell r="AB1099">
            <v>3884751600</v>
          </cell>
          <cell r="AC1099">
            <v>27.35312972378728</v>
          </cell>
          <cell r="AD1099">
            <v>19.203334873068012</v>
          </cell>
        </row>
        <row r="1100">
          <cell r="I1100" t="str">
            <v>Penyediaan Sarana Prasarana Pemberdayaan Skala Kecil Untuk Nelayan ( DAK )</v>
          </cell>
          <cell r="J1100" t="str">
            <v>Tersedianya Sarana dan Prasarana Pemberdayaan Skala Kecil Nelayan (paket)</v>
          </cell>
          <cell r="K1100">
            <v>10</v>
          </cell>
          <cell r="L1100">
            <v>10149080000</v>
          </cell>
          <cell r="M1100">
            <v>1</v>
          </cell>
          <cell r="N1100">
            <v>1340607400</v>
          </cell>
          <cell r="O1100">
            <v>6</v>
          </cell>
          <cell r="P1100">
            <v>1887381000</v>
          </cell>
          <cell r="Q1100">
            <v>0</v>
          </cell>
          <cell r="R1100">
            <v>2307300</v>
          </cell>
          <cell r="S1100">
            <v>1</v>
          </cell>
          <cell r="T1100">
            <v>287248980</v>
          </cell>
          <cell r="U1100">
            <v>0</v>
          </cell>
          <cell r="V1100">
            <v>0</v>
          </cell>
          <cell r="W1100">
            <v>0</v>
          </cell>
          <cell r="X1100">
            <v>0</v>
          </cell>
          <cell r="Y1100">
            <v>1</v>
          </cell>
          <cell r="Z1100">
            <v>289556280</v>
          </cell>
          <cell r="AA1100">
            <v>2</v>
          </cell>
          <cell r="AB1100">
            <v>1630163680</v>
          </cell>
          <cell r="AC1100">
            <v>20</v>
          </cell>
          <cell r="AD1100">
            <v>16.062181793817764</v>
          </cell>
        </row>
        <row r="1101">
          <cell r="I1101" t="str">
            <v>Operasional Balai Sekaya maritim</v>
          </cell>
          <cell r="J1101" t="str">
            <v>Beroperasionalnya Balai Sekaya Maritim ( Bulan)</v>
          </cell>
          <cell r="K1101">
            <v>48</v>
          </cell>
          <cell r="L1101">
            <v>80000000</v>
          </cell>
          <cell r="M1101">
            <v>0</v>
          </cell>
          <cell r="N1101">
            <v>0</v>
          </cell>
          <cell r="O1101">
            <v>12</v>
          </cell>
          <cell r="P1101">
            <v>29800200</v>
          </cell>
          <cell r="Q1101">
            <v>3</v>
          </cell>
          <cell r="R1101">
            <v>0</v>
          </cell>
          <cell r="S1101">
            <v>6</v>
          </cell>
          <cell r="T1101">
            <v>0</v>
          </cell>
          <cell r="U1101">
            <v>0</v>
          </cell>
          <cell r="V1101">
            <v>0</v>
          </cell>
          <cell r="W1101">
            <v>0</v>
          </cell>
          <cell r="X1101">
            <v>0</v>
          </cell>
          <cell r="Y1101">
            <v>9</v>
          </cell>
          <cell r="Z1101">
            <v>0</v>
          </cell>
          <cell r="AA1101">
            <v>9</v>
          </cell>
          <cell r="AB1101">
            <v>0</v>
          </cell>
          <cell r="AC1101">
            <v>18.75</v>
          </cell>
          <cell r="AD1101">
            <v>0</v>
          </cell>
        </row>
        <row r="1102">
          <cell r="I1102" t="str">
            <v>Penyediaan sarana dan prasarana perikanan tangkap</v>
          </cell>
          <cell r="J1102" t="str">
            <v>Tersedianya Sarana dan Prasarana Perikanan Tangkap (paket)</v>
          </cell>
          <cell r="K1102">
            <v>6</v>
          </cell>
          <cell r="L1102">
            <v>5124872250</v>
          </cell>
          <cell r="M1102">
            <v>1</v>
          </cell>
          <cell r="N1102">
            <v>1044872250</v>
          </cell>
          <cell r="O1102">
            <v>1</v>
          </cell>
          <cell r="P1102">
            <v>1680000000</v>
          </cell>
          <cell r="Q1102">
            <v>0</v>
          </cell>
          <cell r="R1102">
            <v>1367200</v>
          </cell>
          <cell r="S1102">
            <v>0</v>
          </cell>
          <cell r="T1102">
            <v>425838000</v>
          </cell>
          <cell r="Y1102">
            <v>0</v>
          </cell>
          <cell r="Z1102">
            <v>427205200</v>
          </cell>
          <cell r="AA1102">
            <v>1</v>
          </cell>
          <cell r="AB1102">
            <v>1472077450</v>
          </cell>
          <cell r="AC1102">
            <v>16.666666666666664</v>
          </cell>
          <cell r="AD1102">
            <v>28.72417844171628</v>
          </cell>
        </row>
        <row r="1103">
          <cell r="I1103" t="str">
            <v>Program Pengembangan Budidaya Perikanan</v>
          </cell>
          <cell r="J1103" t="str">
            <v>Jumlah Pembudidaya Yang Tersertifikasi CBIB   ( orang)</v>
          </cell>
          <cell r="K1103">
            <v>492</v>
          </cell>
          <cell r="L1103">
            <v>660167000</v>
          </cell>
          <cell r="M1103">
            <v>10</v>
          </cell>
          <cell r="N1103">
            <v>45934780</v>
          </cell>
          <cell r="O1103">
            <v>62</v>
          </cell>
          <cell r="P1103">
            <v>60168500</v>
          </cell>
          <cell r="Q1103">
            <v>0</v>
          </cell>
          <cell r="R1103">
            <v>3678000</v>
          </cell>
          <cell r="S1103">
            <v>0</v>
          </cell>
          <cell r="T1103">
            <v>0</v>
          </cell>
          <cell r="U1103">
            <v>0</v>
          </cell>
          <cell r="V1103">
            <v>0</v>
          </cell>
          <cell r="W1103">
            <v>0</v>
          </cell>
          <cell r="X1103">
            <v>0</v>
          </cell>
          <cell r="Y1103">
            <v>0</v>
          </cell>
          <cell r="Z1103">
            <v>3678000</v>
          </cell>
          <cell r="AA1103">
            <v>10</v>
          </cell>
          <cell r="AB1103">
            <v>49612780</v>
          </cell>
          <cell r="AC1103">
            <v>2.0325203252032518</v>
          </cell>
          <cell r="AD1103">
            <v>7.5151863089188042</v>
          </cell>
        </row>
        <row r="1104">
          <cell r="I1104" t="str">
            <v>Penanganan Hama dan Penyakit Ikan</v>
          </cell>
          <cell r="J1104" t="str">
            <v>Tertanganinya Hama dan Penyakit Ikan         ( kasus)</v>
          </cell>
          <cell r="K1104">
            <v>45</v>
          </cell>
          <cell r="L1104">
            <v>3243685000</v>
          </cell>
          <cell r="M1104">
            <v>10</v>
          </cell>
          <cell r="N1104">
            <v>45934780</v>
          </cell>
          <cell r="O1104">
            <v>15</v>
          </cell>
          <cell r="P1104">
            <v>60168500</v>
          </cell>
          <cell r="Q1104">
            <v>0</v>
          </cell>
          <cell r="R1104">
            <v>3678000</v>
          </cell>
          <cell r="S1104">
            <v>4</v>
          </cell>
          <cell r="T1104">
            <v>16709500</v>
          </cell>
          <cell r="U1104">
            <v>0</v>
          </cell>
          <cell r="V1104">
            <v>0</v>
          </cell>
          <cell r="W1104">
            <v>0</v>
          </cell>
          <cell r="X1104">
            <v>0</v>
          </cell>
          <cell r="Y1104">
            <v>4</v>
          </cell>
          <cell r="Z1104">
            <v>20387500</v>
          </cell>
          <cell r="AA1104">
            <v>14</v>
          </cell>
          <cell r="AB1104">
            <v>66322280</v>
          </cell>
          <cell r="AC1104">
            <v>31.111111111111111</v>
          </cell>
          <cell r="AD1104">
            <v>2.0446584671446213</v>
          </cell>
        </row>
        <row r="1105">
          <cell r="A1105">
            <v>5</v>
          </cell>
          <cell r="I1105" t="str">
            <v>Program Pengembangan Budidaya Perikanan</v>
          </cell>
          <cell r="J1105" t="str">
            <v>Jumlah UPR Yang Tersertifikasi CPIB(UPR)</v>
          </cell>
          <cell r="K1105">
            <v>33</v>
          </cell>
          <cell r="L1105">
            <v>838953450</v>
          </cell>
          <cell r="M1105">
            <v>3</v>
          </cell>
          <cell r="N1105">
            <v>57198350</v>
          </cell>
          <cell r="O1105">
            <v>9</v>
          </cell>
          <cell r="P1105">
            <v>77806000</v>
          </cell>
          <cell r="Q1105">
            <v>0</v>
          </cell>
          <cell r="R1105">
            <v>6920600</v>
          </cell>
          <cell r="S1105">
            <v>0</v>
          </cell>
          <cell r="T1105">
            <v>40052750</v>
          </cell>
          <cell r="U1105">
            <v>0</v>
          </cell>
          <cell r="V1105">
            <v>0</v>
          </cell>
          <cell r="W1105">
            <v>0</v>
          </cell>
          <cell r="X1105">
            <v>0</v>
          </cell>
          <cell r="Y1105">
            <v>0</v>
          </cell>
          <cell r="Z1105">
            <v>46973350</v>
          </cell>
          <cell r="AA1105">
            <v>3</v>
          </cell>
          <cell r="AB1105">
            <v>104171700</v>
          </cell>
          <cell r="AC1105">
            <v>9.0909090909090917</v>
          </cell>
          <cell r="AD1105">
            <v>12.416862937985416</v>
          </cell>
          <cell r="AE1105" t="str">
            <v>Dinas Perikanan</v>
          </cell>
        </row>
        <row r="1106">
          <cell r="I1106" t="str">
            <v>Pembinaan Unit Perbenihan Rakyat (UPR)</v>
          </cell>
          <cell r="J1106" t="str">
            <v>Terbinanya Unit Perbenihan Rakyat (UPR)</v>
          </cell>
          <cell r="K1106">
            <v>90</v>
          </cell>
          <cell r="L1106">
            <v>223936450</v>
          </cell>
          <cell r="M1106">
            <v>15</v>
          </cell>
          <cell r="N1106">
            <v>58322650</v>
          </cell>
          <cell r="O1106">
            <v>8</v>
          </cell>
          <cell r="P1106">
            <v>30762000</v>
          </cell>
          <cell r="Q1106">
            <v>0</v>
          </cell>
          <cell r="R1106">
            <v>1744600</v>
          </cell>
          <cell r="S1106">
            <v>2</v>
          </cell>
          <cell r="T1106">
            <v>18257150</v>
          </cell>
          <cell r="U1106">
            <v>0</v>
          </cell>
          <cell r="V1106">
            <v>0</v>
          </cell>
          <cell r="W1106">
            <v>0</v>
          </cell>
          <cell r="X1106">
            <v>0</v>
          </cell>
          <cell r="Y1106">
            <v>2</v>
          </cell>
          <cell r="Z1106">
            <v>20001750</v>
          </cell>
          <cell r="AA1106">
            <v>17</v>
          </cell>
          <cell r="AB1106">
            <v>78324400</v>
          </cell>
          <cell r="AC1106">
            <v>18.888888888888889</v>
          </cell>
          <cell r="AD1106">
            <v>34.976172927631929</v>
          </cell>
        </row>
        <row r="1107">
          <cell r="I1107" t="str">
            <v>Pembinaan Kelompok Pembididaya Ikan (Pokdakan)</v>
          </cell>
          <cell r="J1107" t="str">
            <v>Terbinanya Kelompok Pembudidaya Ikan</v>
          </cell>
          <cell r="K1107">
            <v>400</v>
          </cell>
          <cell r="L1107">
            <v>697621200</v>
          </cell>
          <cell r="M1107">
            <v>10</v>
          </cell>
          <cell r="N1107">
            <v>52106000</v>
          </cell>
          <cell r="O1107">
            <v>20</v>
          </cell>
          <cell r="P1107">
            <v>47044000</v>
          </cell>
          <cell r="Q1107">
            <v>0</v>
          </cell>
          <cell r="R1107">
            <v>5176000</v>
          </cell>
          <cell r="S1107">
            <v>10</v>
          </cell>
          <cell r="T1107">
            <v>21795600</v>
          </cell>
          <cell r="U1107">
            <v>0</v>
          </cell>
          <cell r="V1107">
            <v>0</v>
          </cell>
          <cell r="W1107">
            <v>0</v>
          </cell>
          <cell r="X1107">
            <v>0</v>
          </cell>
          <cell r="Y1107">
            <v>10</v>
          </cell>
          <cell r="Z1107">
            <v>26971600</v>
          </cell>
          <cell r="AA1107">
            <v>20</v>
          </cell>
          <cell r="AB1107">
            <v>79077600</v>
          </cell>
          <cell r="AC1107">
            <v>5</v>
          </cell>
          <cell r="AD1107">
            <v>11.335320658259812</v>
          </cell>
        </row>
        <row r="1108">
          <cell r="A1108">
            <v>6</v>
          </cell>
          <cell r="I1108" t="str">
            <v>Program Pengembangan Budidaya Perikanan</v>
          </cell>
          <cell r="J1108" t="str">
            <v xml:space="preserve">Jumlah  Kelompok Pmbudidayaan Ikan (Pokdakan) Kelompok </v>
          </cell>
          <cell r="K1108">
            <v>460</v>
          </cell>
          <cell r="L1108">
            <v>8570042750</v>
          </cell>
          <cell r="M1108">
            <v>70</v>
          </cell>
          <cell r="N1108">
            <v>1478248485</v>
          </cell>
          <cell r="O1108">
            <v>75</v>
          </cell>
          <cell r="P1108">
            <v>65823000</v>
          </cell>
          <cell r="Q1108">
            <v>0</v>
          </cell>
          <cell r="R1108">
            <v>3489000</v>
          </cell>
          <cell r="S1108">
            <v>0</v>
          </cell>
          <cell r="T1108">
            <v>18257150</v>
          </cell>
          <cell r="U1108">
            <v>0</v>
          </cell>
          <cell r="V1108">
            <v>0</v>
          </cell>
          <cell r="W1108">
            <v>0</v>
          </cell>
          <cell r="X1108">
            <v>0</v>
          </cell>
          <cell r="Y1108">
            <v>0</v>
          </cell>
          <cell r="Z1108">
            <v>21746150</v>
          </cell>
          <cell r="AA1108">
            <v>70</v>
          </cell>
          <cell r="AB1108">
            <v>1499994635</v>
          </cell>
          <cell r="AC1108">
            <v>15.217391304347828</v>
          </cell>
          <cell r="AD1108">
            <v>17.502767241155244</v>
          </cell>
          <cell r="AE1108" t="str">
            <v>Dinas Perikanan</v>
          </cell>
        </row>
        <row r="1109">
          <cell r="I1109" t="str">
            <v>Pendampingan Kegiatan Pusat dan Propinsi Bidang Perikanan  Budidaya</v>
          </cell>
          <cell r="J1109" t="str">
            <v>Tertunjangnya kegiatan pusat dan Propinsi bidang perikanan budidaya (Bulan)</v>
          </cell>
          <cell r="K1109">
            <v>72</v>
          </cell>
          <cell r="L1109">
            <v>358548000</v>
          </cell>
          <cell r="M1109">
            <v>24</v>
          </cell>
          <cell r="N1109">
            <v>84421723</v>
          </cell>
          <cell r="O1109">
            <v>12</v>
          </cell>
          <cell r="P1109">
            <v>65823000</v>
          </cell>
          <cell r="Q1109">
            <v>3</v>
          </cell>
          <cell r="R1109">
            <v>3489000</v>
          </cell>
          <cell r="S1109">
            <v>6</v>
          </cell>
          <cell r="T1109">
            <v>18257150</v>
          </cell>
          <cell r="U1109">
            <v>0</v>
          </cell>
          <cell r="V1109">
            <v>0</v>
          </cell>
          <cell r="W1109">
            <v>0</v>
          </cell>
          <cell r="X1109">
            <v>0</v>
          </cell>
          <cell r="Y1109">
            <v>9</v>
          </cell>
          <cell r="Z1109">
            <v>21746150</v>
          </cell>
          <cell r="AA1109">
            <v>33</v>
          </cell>
          <cell r="AB1109">
            <v>106167873</v>
          </cell>
          <cell r="AC1109">
            <v>45.833333333333329</v>
          </cell>
          <cell r="AD1109">
            <v>29.610504869640884</v>
          </cell>
        </row>
        <row r="1110">
          <cell r="A1110">
            <v>7</v>
          </cell>
          <cell r="I1110" t="str">
            <v>Program Peningkatan Produksi Perikanan Budidaya</v>
          </cell>
          <cell r="J1110" t="str">
            <v>Jumlah Produksi Perikanan Budidaya ( Ton )</v>
          </cell>
          <cell r="K1110">
            <v>90511</v>
          </cell>
          <cell r="L1110">
            <v>960000000</v>
          </cell>
          <cell r="M1110">
            <v>25641</v>
          </cell>
          <cell r="N1110">
            <v>230000000</v>
          </cell>
          <cell r="O1110">
            <v>14505</v>
          </cell>
          <cell r="P1110">
            <v>240000000</v>
          </cell>
          <cell r="Q1110">
            <v>2901</v>
          </cell>
          <cell r="R1110">
            <v>1742000</v>
          </cell>
          <cell r="S1110">
            <v>0</v>
          </cell>
          <cell r="T1110">
            <v>3660000</v>
          </cell>
          <cell r="U1110">
            <v>0</v>
          </cell>
          <cell r="V1110">
            <v>0</v>
          </cell>
          <cell r="W1110">
            <v>0</v>
          </cell>
          <cell r="X1110">
            <v>0</v>
          </cell>
          <cell r="Y1110">
            <v>2901</v>
          </cell>
          <cell r="Z1110">
            <v>5402000</v>
          </cell>
          <cell r="AA1110">
            <v>28542</v>
          </cell>
          <cell r="AB1110">
            <v>235402000</v>
          </cell>
          <cell r="AC1110">
            <v>31.534288649998345</v>
          </cell>
          <cell r="AD1110">
            <v>24.521041666666665</v>
          </cell>
          <cell r="AE1110" t="str">
            <v>Dinas Perikanan</v>
          </cell>
        </row>
        <row r="1111">
          <cell r="I1111" t="str">
            <v>Peningkatan Produksi Ikan</v>
          </cell>
          <cell r="J1111" t="str">
            <v>Tersedianya benih dan pakan berkualitas (Ton)</v>
          </cell>
          <cell r="K1111">
            <v>3</v>
          </cell>
          <cell r="L1111">
            <v>240000000</v>
          </cell>
          <cell r="M1111">
            <v>0</v>
          </cell>
          <cell r="N1111">
            <v>230000000</v>
          </cell>
          <cell r="O1111">
            <v>3</v>
          </cell>
          <cell r="P1111">
            <v>240000000</v>
          </cell>
          <cell r="Q1111">
            <v>0</v>
          </cell>
          <cell r="R1111">
            <v>1742000</v>
          </cell>
          <cell r="S1111">
            <v>0</v>
          </cell>
          <cell r="T1111">
            <v>3660000</v>
          </cell>
          <cell r="U1111">
            <v>0</v>
          </cell>
          <cell r="V1111">
            <v>0</v>
          </cell>
          <cell r="W1111">
            <v>0</v>
          </cell>
          <cell r="X1111">
            <v>0</v>
          </cell>
          <cell r="Y1111">
            <v>0</v>
          </cell>
          <cell r="Z1111">
            <v>5402000</v>
          </cell>
          <cell r="AA1111">
            <v>0</v>
          </cell>
          <cell r="AB1111">
            <v>235402000</v>
          </cell>
          <cell r="AC1111">
            <v>0</v>
          </cell>
          <cell r="AD1111">
            <v>98.084166666666661</v>
          </cell>
        </row>
        <row r="1112">
          <cell r="A1112">
            <v>8</v>
          </cell>
          <cell r="B1112" t="str">
            <v>Meningkatnya kemampuan pelaku utama kelautan dan Perikanan</v>
          </cell>
          <cell r="I1112" t="str">
            <v>Program Pengembangan  Perikanan Tangkap</v>
          </cell>
          <cell r="J1112" t="str">
            <v>Jumlah Kelompok Usaha Bersama (KUB) kelompok</v>
          </cell>
          <cell r="K1112">
            <v>95</v>
          </cell>
          <cell r="L1112">
            <v>1606937250</v>
          </cell>
          <cell r="M1112">
            <v>55</v>
          </cell>
          <cell r="N1112">
            <v>212198500</v>
          </cell>
          <cell r="O1112">
            <v>25</v>
          </cell>
          <cell r="P1112">
            <v>396456500</v>
          </cell>
          <cell r="Q1112">
            <v>0</v>
          </cell>
          <cell r="R1112">
            <v>14165500</v>
          </cell>
          <cell r="S1112">
            <v>0</v>
          </cell>
          <cell r="T1112">
            <v>86106400</v>
          </cell>
          <cell r="U1112">
            <v>0</v>
          </cell>
          <cell r="V1112">
            <v>0</v>
          </cell>
          <cell r="W1112">
            <v>0</v>
          </cell>
          <cell r="X1112">
            <v>0</v>
          </cell>
          <cell r="Y1112">
            <v>0</v>
          </cell>
          <cell r="Z1112">
            <v>100271900</v>
          </cell>
          <cell r="AA1112">
            <v>55</v>
          </cell>
          <cell r="AB1112">
            <v>312470400</v>
          </cell>
          <cell r="AC1112">
            <v>57.894736842105267</v>
          </cell>
          <cell r="AD1112">
            <v>19.445090341891071</v>
          </cell>
          <cell r="AE1112" t="str">
            <v>Dinas Perikanan</v>
          </cell>
        </row>
        <row r="1113">
          <cell r="I1113" t="str">
            <v>Pendampingan Asuransi Nelayan</v>
          </cell>
          <cell r="J1113" t="str">
            <v>Tersalurkannya Asuransi nelayan (%)</v>
          </cell>
          <cell r="K1113">
            <v>100</v>
          </cell>
          <cell r="L1113">
            <v>240000000</v>
          </cell>
          <cell r="M1113">
            <v>100</v>
          </cell>
          <cell r="N1113">
            <v>59029600</v>
          </cell>
          <cell r="O1113">
            <v>100</v>
          </cell>
          <cell r="P1113">
            <v>50470500</v>
          </cell>
          <cell r="Q1113">
            <v>25</v>
          </cell>
          <cell r="R1113">
            <v>8703000</v>
          </cell>
          <cell r="S1113">
            <v>6</v>
          </cell>
          <cell r="T1113">
            <v>16602000</v>
          </cell>
          <cell r="U1113">
            <v>0</v>
          </cell>
          <cell r="V1113">
            <v>0</v>
          </cell>
          <cell r="W1113">
            <v>0</v>
          </cell>
          <cell r="X1113">
            <v>0</v>
          </cell>
          <cell r="Y1113">
            <v>31</v>
          </cell>
          <cell r="Z1113">
            <v>25305000</v>
          </cell>
          <cell r="AA1113">
            <v>131</v>
          </cell>
          <cell r="AB1113">
            <v>84334600</v>
          </cell>
          <cell r="AC1113">
            <v>131</v>
          </cell>
          <cell r="AD1113">
            <v>35.139416666666669</v>
          </cell>
        </row>
        <row r="1114">
          <cell r="I1114" t="str">
            <v>Pro Gerakan Anti Kemiskinan Nelayan ( Pro Gakin )</v>
          </cell>
          <cell r="J1114" t="str">
            <v>Terlaksananya Kegiatan Pro Gerakan Anti Kemiskinan (KUB)</v>
          </cell>
          <cell r="K1114">
            <v>20</v>
          </cell>
          <cell r="L1114">
            <v>373038750</v>
          </cell>
          <cell r="M1114">
            <v>4</v>
          </cell>
          <cell r="N1114">
            <v>59442500</v>
          </cell>
          <cell r="O1114">
            <v>4</v>
          </cell>
          <cell r="P1114">
            <v>61455000</v>
          </cell>
          <cell r="Q1114">
            <v>0</v>
          </cell>
          <cell r="R1114">
            <v>0</v>
          </cell>
          <cell r="S1114">
            <v>1</v>
          </cell>
          <cell r="T1114">
            <v>14307800</v>
          </cell>
          <cell r="U1114">
            <v>0</v>
          </cell>
          <cell r="V1114">
            <v>0</v>
          </cell>
          <cell r="W1114">
            <v>0</v>
          </cell>
          <cell r="X1114">
            <v>0</v>
          </cell>
          <cell r="Y1114">
            <v>1</v>
          </cell>
          <cell r="Z1114">
            <v>14307800</v>
          </cell>
          <cell r="AA1114">
            <v>5</v>
          </cell>
          <cell r="AB1114">
            <v>73750300</v>
          </cell>
          <cell r="AC1114">
            <v>25</v>
          </cell>
          <cell r="AD1114">
            <v>19.770144522519441</v>
          </cell>
        </row>
        <row r="1115">
          <cell r="I1115" t="str">
            <v>Sosialisasi dan Pendampingan Kredit Usaha Rakyat ( KUR ) Perikanan</v>
          </cell>
          <cell r="J1115" t="str">
            <v xml:space="preserve"> Tersalurkanya KUR  Perikanan ke Nelayan (KUB)</v>
          </cell>
          <cell r="K1115">
            <v>425</v>
          </cell>
          <cell r="L1115">
            <v>305236000</v>
          </cell>
          <cell r="M1115">
            <v>75</v>
          </cell>
          <cell r="N1115">
            <v>29297000</v>
          </cell>
          <cell r="O1115">
            <v>25</v>
          </cell>
          <cell r="P1115">
            <v>52619000</v>
          </cell>
          <cell r="Q1115">
            <v>0</v>
          </cell>
          <cell r="R1115">
            <v>0</v>
          </cell>
          <cell r="S1115">
            <v>1</v>
          </cell>
          <cell r="T1115">
            <v>3500000</v>
          </cell>
          <cell r="U1115">
            <v>0</v>
          </cell>
          <cell r="V1115">
            <v>0</v>
          </cell>
          <cell r="W1115">
            <v>0</v>
          </cell>
          <cell r="X1115">
            <v>0</v>
          </cell>
          <cell r="Y1115">
            <v>1</v>
          </cell>
          <cell r="Z1115">
            <v>3500000</v>
          </cell>
          <cell r="AA1115">
            <v>76</v>
          </cell>
          <cell r="AB1115">
            <v>32797000</v>
          </cell>
          <cell r="AC1115">
            <v>17.882352941176471</v>
          </cell>
          <cell r="AD1115">
            <v>10.744800744342083</v>
          </cell>
        </row>
        <row r="1116">
          <cell r="I1116" t="str">
            <v>Pendampingan Kegiatan Pusat dan Provinsi Bidang Pemberdayaan Nelayan Kecil</v>
          </cell>
          <cell r="J1116" t="str">
            <v>Terdampinginya kegiatan Provinsi dan Pusat ( Bulan)</v>
          </cell>
          <cell r="K1116">
            <v>72</v>
          </cell>
          <cell r="L1116">
            <v>308662500</v>
          </cell>
          <cell r="M1116">
            <v>24</v>
          </cell>
          <cell r="N1116">
            <v>64429400</v>
          </cell>
          <cell r="O1116">
            <v>12</v>
          </cell>
          <cell r="P1116">
            <v>88853000</v>
          </cell>
          <cell r="Q1116">
            <v>3</v>
          </cell>
          <cell r="R1116">
            <v>4466000</v>
          </cell>
          <cell r="S1116">
            <v>6</v>
          </cell>
          <cell r="T1116">
            <v>28651900</v>
          </cell>
          <cell r="U1116">
            <v>0</v>
          </cell>
          <cell r="V1116">
            <v>0</v>
          </cell>
          <cell r="W1116">
            <v>0</v>
          </cell>
          <cell r="X1116">
            <v>0</v>
          </cell>
          <cell r="Y1116">
            <v>9</v>
          </cell>
          <cell r="Z1116">
            <v>33117900</v>
          </cell>
          <cell r="AA1116">
            <v>33</v>
          </cell>
          <cell r="AB1116">
            <v>97547300</v>
          </cell>
          <cell r="AC1116">
            <v>45.833333333333329</v>
          </cell>
          <cell r="AD1116">
            <v>31.603223585631557</v>
          </cell>
        </row>
        <row r="1117">
          <cell r="I1117" t="str">
            <v>Penguatan Kelembagaan KUB Perikanan Tangkap</v>
          </cell>
          <cell r="J1117" t="str">
            <v>Terbentuknya kelembagaab KUB yag lebih yang berbadan hukum (KUB)</v>
          </cell>
          <cell r="K1117">
            <v>96</v>
          </cell>
          <cell r="L1117">
            <v>380000000</v>
          </cell>
          <cell r="M1117">
            <v>0</v>
          </cell>
          <cell r="N1117">
            <v>0</v>
          </cell>
          <cell r="O1117">
            <v>1</v>
          </cell>
          <cell r="P1117">
            <v>143059000</v>
          </cell>
          <cell r="Q1117">
            <v>0</v>
          </cell>
          <cell r="R1117">
            <v>996500</v>
          </cell>
          <cell r="S1117">
            <v>0</v>
          </cell>
          <cell r="T1117">
            <v>23044700</v>
          </cell>
          <cell r="U1117">
            <v>0</v>
          </cell>
          <cell r="V1117">
            <v>0</v>
          </cell>
          <cell r="W1117">
            <v>0</v>
          </cell>
          <cell r="X1117">
            <v>0</v>
          </cell>
          <cell r="Y1117">
            <v>0</v>
          </cell>
          <cell r="Z1117">
            <v>24041200</v>
          </cell>
          <cell r="AA1117">
            <v>0</v>
          </cell>
          <cell r="AB1117">
            <v>24041200</v>
          </cell>
          <cell r="AC1117">
            <v>0</v>
          </cell>
          <cell r="AD1117">
            <v>6.3266315789473682</v>
          </cell>
        </row>
        <row r="1118">
          <cell r="A1118">
            <v>9</v>
          </cell>
          <cell r="I1118" t="str">
            <v>Program Peningkatan Daya Saing Produk Perikanan</v>
          </cell>
          <cell r="J1118" t="str">
            <v>Terbinanya Kelompok Pengolah Pemasar (Poklahsar)</v>
          </cell>
          <cell r="K1118">
            <v>308</v>
          </cell>
          <cell r="L1118">
            <v>1930245400</v>
          </cell>
          <cell r="M1118">
            <v>54</v>
          </cell>
          <cell r="N1118">
            <v>295168005</v>
          </cell>
          <cell r="O1118">
            <v>48</v>
          </cell>
          <cell r="P1118">
            <v>277075000</v>
          </cell>
          <cell r="Q1118">
            <v>0</v>
          </cell>
          <cell r="R1118">
            <v>23770100</v>
          </cell>
          <cell r="T1118">
            <v>91224787</v>
          </cell>
          <cell r="Y1118">
            <v>0</v>
          </cell>
          <cell r="Z1118">
            <v>114994887</v>
          </cell>
          <cell r="AA1118">
            <v>54</v>
          </cell>
          <cell r="AB1118">
            <v>410162892</v>
          </cell>
          <cell r="AC1118">
            <v>17.532467532467532</v>
          </cell>
          <cell r="AD1118">
            <v>21.249261466961659</v>
          </cell>
          <cell r="AE1118" t="str">
            <v>Dinas Perikanan</v>
          </cell>
        </row>
        <row r="1119">
          <cell r="I1119" t="str">
            <v>Gerakan Masyarakat Makan Ikan (GEMARAKIN )</v>
          </cell>
          <cell r="J1119" t="str">
            <v>Terciptanya variasi menu makanan hasil olahan perikanan (orang)</v>
          </cell>
          <cell r="K1119">
            <v>750</v>
          </cell>
          <cell r="L1119">
            <v>682796500</v>
          </cell>
          <cell r="M1119">
            <v>100</v>
          </cell>
          <cell r="N1119">
            <v>75571076</v>
          </cell>
          <cell r="O1119">
            <v>100</v>
          </cell>
          <cell r="P1119">
            <v>99700000</v>
          </cell>
          <cell r="Q1119">
            <v>0</v>
          </cell>
          <cell r="R1119">
            <v>8190100</v>
          </cell>
          <cell r="S1119">
            <v>0</v>
          </cell>
          <cell r="T1119">
            <v>24748900</v>
          </cell>
          <cell r="U1119">
            <v>0</v>
          </cell>
          <cell r="V1119">
            <v>0</v>
          </cell>
          <cell r="W1119">
            <v>0</v>
          </cell>
          <cell r="X1119">
            <v>0</v>
          </cell>
          <cell r="Y1119">
            <v>0</v>
          </cell>
          <cell r="Z1119">
            <v>32939000</v>
          </cell>
          <cell r="AA1119">
            <v>100</v>
          </cell>
          <cell r="AB1119">
            <v>108510076</v>
          </cell>
          <cell r="AC1119">
            <v>13.333333333333334</v>
          </cell>
          <cell r="AD1119">
            <v>15.892008233785615</v>
          </cell>
        </row>
        <row r="1120">
          <cell r="I1120" t="str">
            <v xml:space="preserve">Promosi dan Publikasi Produk Hasil Kelautan dan Perikanan </v>
          </cell>
          <cell r="J1120" t="str">
            <v>Dikenalnya produk kelautan dan perikanan Kab.Pessel (kali)</v>
          </cell>
          <cell r="K1120">
            <v>23</v>
          </cell>
          <cell r="L1120">
            <v>674811400</v>
          </cell>
          <cell r="M1120">
            <v>2</v>
          </cell>
          <cell r="N1120">
            <v>105830579</v>
          </cell>
          <cell r="O1120">
            <v>4</v>
          </cell>
          <cell r="P1120">
            <v>79600000</v>
          </cell>
          <cell r="Q1120">
            <v>0</v>
          </cell>
          <cell r="R1120">
            <v>0</v>
          </cell>
          <cell r="S1120">
            <v>2</v>
          </cell>
          <cell r="T1120">
            <v>31147687</v>
          </cell>
          <cell r="U1120">
            <v>0</v>
          </cell>
          <cell r="V1120">
            <v>0</v>
          </cell>
          <cell r="W1120">
            <v>0</v>
          </cell>
          <cell r="X1120">
            <v>0</v>
          </cell>
          <cell r="Y1120">
            <v>2</v>
          </cell>
          <cell r="Z1120">
            <v>31147687</v>
          </cell>
          <cell r="AA1120">
            <v>4</v>
          </cell>
          <cell r="AB1120">
            <v>136978266</v>
          </cell>
          <cell r="AC1120">
            <v>17.391304347826086</v>
          </cell>
          <cell r="AD1120">
            <v>20.298748065014909</v>
          </cell>
        </row>
        <row r="1121">
          <cell r="I1121" t="str">
            <v>Pendampingan Kegiatan Pusat dan Propinsi Bidang P2HP</v>
          </cell>
          <cell r="J1121" t="str">
            <v>Tertunjangnya kegiatan Propinsi (bulan)</v>
          </cell>
          <cell r="K1121">
            <v>72</v>
          </cell>
          <cell r="L1121">
            <v>328137500</v>
          </cell>
          <cell r="M1121">
            <v>24</v>
          </cell>
          <cell r="N1121">
            <v>56295450</v>
          </cell>
          <cell r="O1121">
            <v>12</v>
          </cell>
          <cell r="P1121">
            <v>48875000</v>
          </cell>
          <cell r="Q1121">
            <v>3</v>
          </cell>
          <cell r="R1121">
            <v>9515000</v>
          </cell>
          <cell r="S1121">
            <v>6</v>
          </cell>
          <cell r="T1121">
            <v>18365100</v>
          </cell>
          <cell r="U1121">
            <v>0</v>
          </cell>
          <cell r="V1121">
            <v>0</v>
          </cell>
          <cell r="W1121">
            <v>0</v>
          </cell>
          <cell r="X1121">
            <v>0</v>
          </cell>
          <cell r="Y1121">
            <v>9</v>
          </cell>
          <cell r="Z1121">
            <v>27880100</v>
          </cell>
          <cell r="AA1121">
            <v>33</v>
          </cell>
          <cell r="AB1121">
            <v>84175550</v>
          </cell>
          <cell r="AC1121">
            <v>45.833333333333329</v>
          </cell>
          <cell r="AD1121">
            <v>25.652523713382347</v>
          </cell>
        </row>
        <row r="1122">
          <cell r="I1122" t="str">
            <v>Pembinaan Poklahsar Bidang P2HP</v>
          </cell>
          <cell r="J1122" t="str">
            <v>Terbinanya Poklahsar Bidang P2HP (kelompok)</v>
          </cell>
          <cell r="K1122">
            <v>302</v>
          </cell>
          <cell r="L1122">
            <v>244500000</v>
          </cell>
          <cell r="M1122">
            <v>37</v>
          </cell>
          <cell r="N1122">
            <v>57470900</v>
          </cell>
          <cell r="O1122">
            <v>54</v>
          </cell>
          <cell r="P1122">
            <v>48900000</v>
          </cell>
          <cell r="Q1122">
            <v>0</v>
          </cell>
          <cell r="R1122">
            <v>6065000</v>
          </cell>
          <cell r="S1122">
            <v>0</v>
          </cell>
          <cell r="T1122">
            <v>16963100</v>
          </cell>
          <cell r="U1122">
            <v>0</v>
          </cell>
          <cell r="V1122">
            <v>0</v>
          </cell>
          <cell r="W1122">
            <v>0</v>
          </cell>
          <cell r="X1122">
            <v>0</v>
          </cell>
          <cell r="Y1122">
            <v>0</v>
          </cell>
          <cell r="Z1122">
            <v>23028100</v>
          </cell>
          <cell r="AA1122">
            <v>37</v>
          </cell>
          <cell r="AB1122">
            <v>80499000</v>
          </cell>
          <cell r="AC1122">
            <v>12.251655629139073</v>
          </cell>
          <cell r="AD1122">
            <v>32.923926380368094</v>
          </cell>
        </row>
        <row r="1123">
          <cell r="A1123">
            <v>10</v>
          </cell>
          <cell r="I1123" t="str">
            <v>Program Peningkatan Daya Saing Produk Perikanan</v>
          </cell>
          <cell r="J1123" t="str">
            <v>Jumlah UPI yang menerapkan cara Pengolahan Ikan Yang Baik ( Kelompok)</v>
          </cell>
          <cell r="K1123">
            <v>57</v>
          </cell>
          <cell r="L1123">
            <v>1120771200</v>
          </cell>
          <cell r="M1123">
            <v>3</v>
          </cell>
          <cell r="N1123">
            <v>133901150</v>
          </cell>
          <cell r="O1123">
            <v>9</v>
          </cell>
          <cell r="P1123">
            <v>154800000</v>
          </cell>
          <cell r="Q1123">
            <v>0</v>
          </cell>
          <cell r="R1123">
            <v>675000</v>
          </cell>
          <cell r="S1123">
            <v>0</v>
          </cell>
          <cell r="T1123">
            <v>30843300</v>
          </cell>
          <cell r="U1123">
            <v>0</v>
          </cell>
          <cell r="V1123">
            <v>0</v>
          </cell>
          <cell r="W1123">
            <v>0</v>
          </cell>
          <cell r="X1123">
            <v>0</v>
          </cell>
          <cell r="Y1123">
            <v>0</v>
          </cell>
          <cell r="Z1123">
            <v>31518300</v>
          </cell>
          <cell r="AA1123">
            <v>3</v>
          </cell>
          <cell r="AB1123">
            <v>165419450</v>
          </cell>
          <cell r="AC1123">
            <v>5.2631578947368416</v>
          </cell>
          <cell r="AD1123">
            <v>14.759430827630119</v>
          </cell>
          <cell r="AE1123" t="str">
            <v>Dinas Perikanan</v>
          </cell>
        </row>
        <row r="1124">
          <cell r="I1124" t="str">
            <v>Pengawasan mutu Hasil Perikanan</v>
          </cell>
          <cell r="J1124" t="str">
            <v>Terlaksananya Pengawasan terhadap Muu Hasil Perikanan (kali)</v>
          </cell>
          <cell r="K1124">
            <v>22</v>
          </cell>
          <cell r="L1124">
            <v>640771200</v>
          </cell>
          <cell r="M1124">
            <v>6</v>
          </cell>
          <cell r="N1124">
            <v>133901150</v>
          </cell>
          <cell r="O1124">
            <v>5</v>
          </cell>
          <cell r="P1124">
            <v>80500000</v>
          </cell>
          <cell r="Q1124">
            <v>0</v>
          </cell>
          <cell r="R1124">
            <v>675000</v>
          </cell>
          <cell r="S1124">
            <v>2</v>
          </cell>
          <cell r="T1124">
            <v>25651700</v>
          </cell>
          <cell r="U1124">
            <v>0</v>
          </cell>
          <cell r="V1124">
            <v>0</v>
          </cell>
          <cell r="W1124">
            <v>0</v>
          </cell>
          <cell r="X1124">
            <v>0</v>
          </cell>
          <cell r="Y1124">
            <v>2</v>
          </cell>
          <cell r="Z1124">
            <v>26326700</v>
          </cell>
          <cell r="AA1124">
            <v>8</v>
          </cell>
          <cell r="AB1124">
            <v>160227850</v>
          </cell>
          <cell r="AC1124">
            <v>36.363636363636367</v>
          </cell>
          <cell r="AD1124">
            <v>25.005469971184723</v>
          </cell>
        </row>
        <row r="1125">
          <cell r="I1125" t="str">
            <v>Pelatihan Cara Pengolahan yang baik(GMP/SSOP)</v>
          </cell>
          <cell r="J1125" t="str">
            <v xml:space="preserve"> Terjaminya mutu hasil olahan perikanan (kali)</v>
          </cell>
          <cell r="K1125">
            <v>8</v>
          </cell>
          <cell r="L1125">
            <v>480000000</v>
          </cell>
          <cell r="M1125">
            <v>0</v>
          </cell>
          <cell r="N1125">
            <v>0</v>
          </cell>
          <cell r="O1125">
            <v>5</v>
          </cell>
          <cell r="P1125">
            <v>74300000</v>
          </cell>
          <cell r="Q1125">
            <v>0</v>
          </cell>
          <cell r="R1125">
            <v>0</v>
          </cell>
          <cell r="S1125">
            <v>0</v>
          </cell>
          <cell r="T1125">
            <v>5191600</v>
          </cell>
          <cell r="U1125">
            <v>0</v>
          </cell>
          <cell r="V1125">
            <v>0</v>
          </cell>
          <cell r="W1125">
            <v>0</v>
          </cell>
          <cell r="X1125">
            <v>0</v>
          </cell>
          <cell r="Y1125">
            <v>0</v>
          </cell>
          <cell r="Z1125">
            <v>5191600</v>
          </cell>
          <cell r="AA1125">
            <v>0</v>
          </cell>
          <cell r="AB1125">
            <v>5191600</v>
          </cell>
          <cell r="AC1125">
            <v>0</v>
          </cell>
          <cell r="AD1125">
            <v>1.0815833333333333</v>
          </cell>
        </row>
        <row r="1126">
          <cell r="A1126" t="str">
            <v>Rata-Rata Capaian Kinerja</v>
          </cell>
          <cell r="AC1126">
            <v>28.758191773853547</v>
          </cell>
          <cell r="AD1126">
            <v>41.622786979253775</v>
          </cell>
        </row>
        <row r="1127">
          <cell r="A1127" t="str">
            <v>Peringkat  Kinerja</v>
          </cell>
          <cell r="AC1127" t="str">
            <v>SR</v>
          </cell>
          <cell r="AD1127" t="str">
            <v>SR</v>
          </cell>
        </row>
        <row r="1128">
          <cell r="A1128" t="str">
            <v>II</v>
          </cell>
          <cell r="I1128" t="str">
            <v>URUSAN PARIWISATA</v>
          </cell>
          <cell r="L1128">
            <v>21668068210</v>
          </cell>
          <cell r="N1128">
            <v>5073708984</v>
          </cell>
          <cell r="P1128">
            <v>5423792000</v>
          </cell>
          <cell r="R1128">
            <v>384031464</v>
          </cell>
          <cell r="T1128">
            <v>785027866</v>
          </cell>
          <cell r="Z1128">
            <v>1169059330</v>
          </cell>
          <cell r="AB1128">
            <v>6242768314</v>
          </cell>
        </row>
        <row r="1129">
          <cell r="A1129">
            <v>1</v>
          </cell>
          <cell r="B1129" t="str">
            <v>Meningkatnya Jumlah Wisatawan</v>
          </cell>
          <cell r="C1129" t="str">
            <v>2</v>
          </cell>
          <cell r="D1129" t="str">
            <v>01</v>
          </cell>
          <cell r="E1129" t="str">
            <v>02</v>
          </cell>
          <cell r="F1129">
            <v>13</v>
          </cell>
          <cell r="G1129">
            <v>16</v>
          </cell>
          <cell r="I1129" t="str">
            <v>Program Pengembangan Destinasi Wisata</v>
          </cell>
          <cell r="J1129" t="str">
            <v>jumlah destinasi wisata unggulan (Kawasan)</v>
          </cell>
          <cell r="K1129">
            <v>10</v>
          </cell>
          <cell r="L1129">
            <v>8278502805</v>
          </cell>
          <cell r="M1129">
            <v>3</v>
          </cell>
          <cell r="N1129">
            <v>2910690034</v>
          </cell>
          <cell r="O1129">
            <v>2</v>
          </cell>
          <cell r="P1129">
            <v>2710629400</v>
          </cell>
          <cell r="Q1129">
            <v>0</v>
          </cell>
          <cell r="R1129">
            <v>166099200</v>
          </cell>
          <cell r="T1129">
            <v>231106950</v>
          </cell>
          <cell r="Y1129">
            <v>0</v>
          </cell>
          <cell r="Z1129">
            <v>397206150</v>
          </cell>
          <cell r="AA1129">
            <v>3</v>
          </cell>
          <cell r="AB1129">
            <v>3307896184</v>
          </cell>
          <cell r="AC1129">
            <v>30</v>
          </cell>
          <cell r="AD1129">
            <v>39.95766217536481</v>
          </cell>
          <cell r="AE1129" t="str">
            <v>DISPARPORA</v>
          </cell>
        </row>
        <row r="1130">
          <cell r="C1130">
            <v>2</v>
          </cell>
          <cell r="D1130">
            <v>1</v>
          </cell>
          <cell r="E1130" t="str">
            <v>02</v>
          </cell>
          <cell r="F1130">
            <v>13</v>
          </cell>
          <cell r="G1130">
            <v>16</v>
          </cell>
          <cell r="H1130">
            <v>8</v>
          </cell>
          <cell r="I1130" t="str">
            <v>Pemeliharaan rutin/berkala kawasan Objek wisata</v>
          </cell>
          <cell r="J1130" t="str">
            <v>terpeliharanya objek wisata (bln)</v>
          </cell>
          <cell r="K1130">
            <v>72</v>
          </cell>
          <cell r="L1130">
            <v>1229153425</v>
          </cell>
          <cell r="M1130">
            <v>24</v>
          </cell>
          <cell r="N1130">
            <v>495895500</v>
          </cell>
          <cell r="O1130">
            <v>12</v>
          </cell>
          <cell r="P1130">
            <v>188189000</v>
          </cell>
          <cell r="Q1130">
            <v>3</v>
          </cell>
          <cell r="R1130">
            <v>13421700</v>
          </cell>
          <cell r="S1130">
            <v>58.22</v>
          </cell>
          <cell r="T1130">
            <v>109556000</v>
          </cell>
          <cell r="Y1130">
            <v>61.22</v>
          </cell>
          <cell r="Z1130">
            <v>122977700</v>
          </cell>
          <cell r="AA1130">
            <v>85.22</v>
          </cell>
          <cell r="AB1130">
            <v>618873200</v>
          </cell>
          <cell r="AC1130">
            <v>118.36111111111111</v>
          </cell>
          <cell r="AD1130">
            <v>50.349548511407349</v>
          </cell>
        </row>
        <row r="1131">
          <cell r="C1131">
            <v>2</v>
          </cell>
          <cell r="D1131">
            <v>1</v>
          </cell>
          <cell r="E1131" t="str">
            <v>02</v>
          </cell>
          <cell r="F1131">
            <v>13</v>
          </cell>
          <cell r="G1131">
            <v>16</v>
          </cell>
          <cell r="H1131">
            <v>16</v>
          </cell>
          <cell r="I1131" t="str">
            <v>Pengawasan dan Monitoring Obyek Wisata Se Kabupaten Pesisir Selatan</v>
          </cell>
          <cell r="J1131" t="str">
            <v>pengawasan dan monitoring objek wisata yang di laksanakan (bln)</v>
          </cell>
          <cell r="K1131">
            <v>72</v>
          </cell>
          <cell r="L1131">
            <v>318716500</v>
          </cell>
          <cell r="M1131">
            <v>24</v>
          </cell>
          <cell r="N1131">
            <v>80069050</v>
          </cell>
          <cell r="O1131">
            <v>12</v>
          </cell>
          <cell r="P1131">
            <v>33438000</v>
          </cell>
          <cell r="Q1131">
            <v>3</v>
          </cell>
          <cell r="R1131">
            <v>11227000</v>
          </cell>
          <cell r="S1131">
            <v>2.15</v>
          </cell>
          <cell r="T1131">
            <v>720000</v>
          </cell>
          <cell r="Y1131">
            <v>5.15</v>
          </cell>
          <cell r="Z1131">
            <v>11947000</v>
          </cell>
          <cell r="AA1131">
            <v>29.15</v>
          </cell>
          <cell r="AB1131">
            <v>92016050</v>
          </cell>
          <cell r="AC1131">
            <v>40.486111111111114</v>
          </cell>
          <cell r="AD1131">
            <v>28.870814658167998</v>
          </cell>
        </row>
        <row r="1132">
          <cell r="C1132">
            <v>2</v>
          </cell>
          <cell r="D1132">
            <v>1</v>
          </cell>
          <cell r="E1132" t="str">
            <v>02</v>
          </cell>
          <cell r="F1132">
            <v>13</v>
          </cell>
          <cell r="G1132">
            <v>16</v>
          </cell>
          <cell r="H1132">
            <v>18</v>
          </cell>
          <cell r="I1132" t="str">
            <v>Pelaksanaan Pengelolaan Objek Wisata Pantai Carocok Painan</v>
          </cell>
          <cell r="J1132" t="str">
            <v>pengelolaan objek wisata carocok painan (bln)</v>
          </cell>
          <cell r="K1132">
            <v>72</v>
          </cell>
          <cell r="L1132">
            <v>1847355680</v>
          </cell>
          <cell r="M1132">
            <v>24</v>
          </cell>
          <cell r="N1132">
            <v>263614800</v>
          </cell>
          <cell r="O1132">
            <v>12</v>
          </cell>
          <cell r="P1132">
            <v>473350000</v>
          </cell>
          <cell r="Q1132">
            <v>3</v>
          </cell>
          <cell r="R1132">
            <v>66395000</v>
          </cell>
          <cell r="S1132">
            <v>18.350000000000001</v>
          </cell>
          <cell r="T1132">
            <v>86869600</v>
          </cell>
          <cell r="Y1132">
            <v>21.35</v>
          </cell>
          <cell r="Z1132">
            <v>153264600</v>
          </cell>
          <cell r="AA1132">
            <v>45.35</v>
          </cell>
          <cell r="AB1132">
            <v>416879400</v>
          </cell>
          <cell r="AC1132">
            <v>62.986111111111107</v>
          </cell>
          <cell r="AD1132">
            <v>22.56627700411217</v>
          </cell>
        </row>
        <row r="1133">
          <cell r="C1133">
            <v>2</v>
          </cell>
          <cell r="D1133">
            <v>1</v>
          </cell>
          <cell r="E1133" t="str">
            <v>02</v>
          </cell>
          <cell r="F1133">
            <v>13</v>
          </cell>
          <cell r="G1133">
            <v>16</v>
          </cell>
          <cell r="H1133">
            <v>94</v>
          </cell>
          <cell r="I1133" t="str">
            <v>Pembangunan Sarana dan prasarana obyek wisata (DAK)</v>
          </cell>
          <cell r="J1133" t="str">
            <v>Jumlah objek yang dibangun (unit)</v>
          </cell>
          <cell r="K1133">
            <v>10</v>
          </cell>
          <cell r="L1133">
            <v>4000000000</v>
          </cell>
          <cell r="M1133">
            <v>4</v>
          </cell>
          <cell r="N1133">
            <v>1991088284</v>
          </cell>
          <cell r="O1133">
            <v>2</v>
          </cell>
          <cell r="P1133">
            <v>1681980000</v>
          </cell>
          <cell r="Q1133">
            <v>0</v>
          </cell>
          <cell r="R1133">
            <v>1150000</v>
          </cell>
          <cell r="S1133">
            <v>0.53</v>
          </cell>
          <cell r="T1133">
            <v>8971600</v>
          </cell>
          <cell r="Y1133">
            <v>0.53</v>
          </cell>
          <cell r="Z1133">
            <v>10121600</v>
          </cell>
          <cell r="AA1133">
            <v>4.53</v>
          </cell>
          <cell r="AB1133">
            <v>2001209884</v>
          </cell>
          <cell r="AC1133">
            <v>45.300000000000004</v>
          </cell>
          <cell r="AD1133">
            <v>50.030247100000004</v>
          </cell>
        </row>
        <row r="1134">
          <cell r="C1134">
            <v>2</v>
          </cell>
          <cell r="D1134">
            <v>1</v>
          </cell>
          <cell r="E1134" t="str">
            <v>02</v>
          </cell>
          <cell r="F1134">
            <v>13</v>
          </cell>
          <cell r="G1134">
            <v>16</v>
          </cell>
          <cell r="H1134">
            <v>93</v>
          </cell>
          <cell r="I1134" t="str">
            <v>Pelaksanaan Pengelolaan Objek Wisata Mandeh</v>
          </cell>
          <cell r="J1134" t="str">
            <v>pengelolaan objek wisata Mandeh (bln)</v>
          </cell>
          <cell r="K1134">
            <v>60</v>
          </cell>
          <cell r="L1134">
            <v>425912000</v>
          </cell>
          <cell r="M1134">
            <v>12</v>
          </cell>
          <cell r="N1134">
            <v>80022400</v>
          </cell>
          <cell r="O1134">
            <v>12</v>
          </cell>
          <cell r="P1134">
            <v>263672500</v>
          </cell>
          <cell r="Q1134">
            <v>3</v>
          </cell>
          <cell r="R1134">
            <v>73580500</v>
          </cell>
          <cell r="S1134">
            <v>6.62</v>
          </cell>
          <cell r="T1134">
            <v>22218000</v>
          </cell>
          <cell r="Y1134">
            <v>9.620000000000001</v>
          </cell>
          <cell r="Z1134">
            <v>95798500</v>
          </cell>
          <cell r="AA1134">
            <v>21.62</v>
          </cell>
          <cell r="AB1134">
            <v>175820900</v>
          </cell>
          <cell r="AC1134">
            <v>36.033333333333331</v>
          </cell>
          <cell r="AD1134">
            <v>41.281039275718925</v>
          </cell>
        </row>
        <row r="1135">
          <cell r="C1135">
            <v>2</v>
          </cell>
          <cell r="D1135">
            <v>1</v>
          </cell>
          <cell r="E1135" t="str">
            <v>02</v>
          </cell>
          <cell r="F1135">
            <v>13</v>
          </cell>
          <cell r="G1135">
            <v>16</v>
          </cell>
          <cell r="H1135">
            <v>98</v>
          </cell>
          <cell r="I1135" t="str">
            <v>Pembuatan Perencanaan (DED dan RAB Obyek Wisata)</v>
          </cell>
          <cell r="J1135" t="str">
            <v>Jumlah pembuatan DED dan RAB yang di buat setiap tahunnya</v>
          </cell>
          <cell r="K1135">
            <v>20</v>
          </cell>
          <cell r="L1135">
            <v>457365200</v>
          </cell>
          <cell r="O1135">
            <v>5</v>
          </cell>
          <cell r="P1135">
            <v>69999900</v>
          </cell>
          <cell r="Q1135">
            <v>0</v>
          </cell>
          <cell r="R1135">
            <v>325000</v>
          </cell>
          <cell r="S1135">
            <v>3.96</v>
          </cell>
          <cell r="T1135">
            <v>2771750</v>
          </cell>
          <cell r="Y1135">
            <v>3.96</v>
          </cell>
          <cell r="Z1135">
            <v>3096750</v>
          </cell>
          <cell r="AA1135">
            <v>3.96</v>
          </cell>
          <cell r="AB1135">
            <v>3096750</v>
          </cell>
          <cell r="AC1135">
            <v>19.8</v>
          </cell>
          <cell r="AD1135">
            <v>0.67708474540695263</v>
          </cell>
        </row>
        <row r="1136">
          <cell r="A1136">
            <v>2</v>
          </cell>
          <cell r="C1136" t="str">
            <v>2</v>
          </cell>
          <cell r="D1136" t="str">
            <v>01</v>
          </cell>
          <cell r="E1136" t="str">
            <v>02</v>
          </cell>
          <cell r="F1136" t="str">
            <v>15</v>
          </cell>
          <cell r="I1136" t="str">
            <v>Program Pengembangan Pemasaran Pariwisata</v>
          </cell>
          <cell r="J1136" t="str">
            <v xml:space="preserve">Angka kunjungan wisata </v>
          </cell>
          <cell r="K1136">
            <v>7030423</v>
          </cell>
          <cell r="L1136">
            <v>8762661425</v>
          </cell>
          <cell r="M1136">
            <v>1984312</v>
          </cell>
          <cell r="N1136">
            <v>1488105550</v>
          </cell>
          <cell r="O1136">
            <v>1050909</v>
          </cell>
          <cell r="P1136">
            <v>1462480600</v>
          </cell>
          <cell r="Q1136">
            <v>175151.5</v>
          </cell>
          <cell r="R1136">
            <v>57978600</v>
          </cell>
          <cell r="T1136">
            <v>225811100</v>
          </cell>
          <cell r="Y1136">
            <v>175151.5</v>
          </cell>
          <cell r="Z1136">
            <v>283789700</v>
          </cell>
          <cell r="AA1136">
            <v>2159463.5</v>
          </cell>
          <cell r="AB1136">
            <v>1771895250</v>
          </cell>
          <cell r="AC1136">
            <v>30.71598252338444</v>
          </cell>
          <cell r="AD1136">
            <v>20.220971278711708</v>
          </cell>
          <cell r="AE1136" t="str">
            <v>DISPARPORA</v>
          </cell>
        </row>
        <row r="1137">
          <cell r="C1137" t="str">
            <v>2</v>
          </cell>
          <cell r="D1137" t="str">
            <v>01</v>
          </cell>
          <cell r="E1137" t="str">
            <v>02</v>
          </cell>
          <cell r="F1137">
            <v>13</v>
          </cell>
          <cell r="G1137">
            <v>15</v>
          </cell>
          <cell r="H1137">
            <v>11</v>
          </cell>
          <cell r="I1137" t="str">
            <v>Pelaksanaan Tour De Singkarak</v>
          </cell>
          <cell r="J1137" t="str">
            <v>Terlaksananya Tour de singkarak (kali)</v>
          </cell>
          <cell r="K1137">
            <v>5</v>
          </cell>
          <cell r="L1137">
            <v>3369697000</v>
          </cell>
          <cell r="M1137">
            <v>1</v>
          </cell>
          <cell r="N1137">
            <v>585839100</v>
          </cell>
          <cell r="O1137">
            <v>1</v>
          </cell>
          <cell r="P1137">
            <v>525007000</v>
          </cell>
          <cell r="Q1137">
            <v>3.9562857399818192</v>
          </cell>
          <cell r="R1137">
            <v>1250000</v>
          </cell>
          <cell r="S1137">
            <v>0.55000000000000004</v>
          </cell>
          <cell r="T1137">
            <v>2921600</v>
          </cell>
          <cell r="Y1137">
            <v>4.506285739981819</v>
          </cell>
          <cell r="Z1137">
            <v>4171600</v>
          </cell>
          <cell r="AA1137">
            <v>5.506285739981819</v>
          </cell>
          <cell r="AB1137">
            <v>590010700</v>
          </cell>
          <cell r="AC1137">
            <v>110.12571479963637</v>
          </cell>
          <cell r="AD1137">
            <v>17.509310184268791</v>
          </cell>
        </row>
        <row r="1138">
          <cell r="C1138" t="str">
            <v>2</v>
          </cell>
          <cell r="D1138" t="str">
            <v>01</v>
          </cell>
          <cell r="E1138" t="str">
            <v>02</v>
          </cell>
          <cell r="F1138">
            <v>13</v>
          </cell>
          <cell r="G1138">
            <v>15</v>
          </cell>
          <cell r="H1138">
            <v>14</v>
          </cell>
          <cell r="I1138" t="str">
            <v>Pelaksanaan Promosi Pariwisata</v>
          </cell>
          <cell r="J1138" t="str">
            <v>Jenis promosi pariwisata yang dilakukan (kali)</v>
          </cell>
          <cell r="K1138">
            <v>30</v>
          </cell>
          <cell r="L1138">
            <v>3080681500</v>
          </cell>
          <cell r="M1138">
            <v>12</v>
          </cell>
          <cell r="N1138">
            <v>447533050</v>
          </cell>
          <cell r="O1138">
            <v>6</v>
          </cell>
          <cell r="P1138">
            <v>536075000</v>
          </cell>
          <cell r="Q1138">
            <v>1</v>
          </cell>
          <cell r="R1138">
            <v>44583800</v>
          </cell>
          <cell r="S1138">
            <v>17.97</v>
          </cell>
          <cell r="T1138">
            <v>96890300</v>
          </cell>
          <cell r="Y1138">
            <v>18.97</v>
          </cell>
          <cell r="Z1138">
            <v>141474100</v>
          </cell>
          <cell r="AA1138">
            <v>30.97</v>
          </cell>
          <cell r="AB1138">
            <v>589007150</v>
          </cell>
          <cell r="AC1138">
            <v>103.23333333333333</v>
          </cell>
          <cell r="AD1138">
            <v>19.119378293406832</v>
          </cell>
        </row>
        <row r="1139">
          <cell r="C1139" t="str">
            <v>2</v>
          </cell>
          <cell r="D1139" t="str">
            <v>01</v>
          </cell>
          <cell r="E1139" t="str">
            <v>02</v>
          </cell>
          <cell r="F1139">
            <v>13</v>
          </cell>
          <cell r="G1139">
            <v>15</v>
          </cell>
          <cell r="H1139">
            <v>28</v>
          </cell>
          <cell r="I1139" t="str">
            <v>Pembuatan Pusat Informasi Pariwisata</v>
          </cell>
          <cell r="J1139" t="str">
            <v>Jumlah Pusat informasi di kawasan mandeh</v>
          </cell>
          <cell r="K1139">
            <v>5</v>
          </cell>
          <cell r="L1139">
            <v>423782925</v>
          </cell>
          <cell r="M1139">
            <v>1</v>
          </cell>
          <cell r="N1139">
            <v>77612400</v>
          </cell>
          <cell r="O1139">
            <v>1</v>
          </cell>
          <cell r="P1139">
            <v>58436000</v>
          </cell>
          <cell r="Q1139">
            <v>0</v>
          </cell>
          <cell r="R1139">
            <v>12144800</v>
          </cell>
          <cell r="S1139">
            <v>59.02</v>
          </cell>
          <cell r="T1139">
            <v>34486000</v>
          </cell>
          <cell r="Y1139">
            <v>59.02</v>
          </cell>
          <cell r="Z1139">
            <v>46630800</v>
          </cell>
          <cell r="AA1139">
            <v>60.02</v>
          </cell>
          <cell r="AB1139">
            <v>124243200</v>
          </cell>
          <cell r="AC1139">
            <v>1200.4000000000001</v>
          </cell>
          <cell r="AD1139">
            <v>29.317651247982678</v>
          </cell>
        </row>
        <row r="1140">
          <cell r="C1140" t="str">
            <v>2</v>
          </cell>
          <cell r="D1140" t="str">
            <v>01</v>
          </cell>
          <cell r="E1140" t="str">
            <v>02</v>
          </cell>
          <cell r="F1140">
            <v>13</v>
          </cell>
          <cell r="G1140">
            <v>15</v>
          </cell>
          <cell r="H1140">
            <v>30</v>
          </cell>
          <cell r="I1140" t="str">
            <v>Festifal pesona mandeh</v>
          </cell>
          <cell r="J1140" t="str">
            <v>Terlaksananya festival mandeh (kali)</v>
          </cell>
          <cell r="K1140">
            <v>5</v>
          </cell>
          <cell r="L1140">
            <v>1888500000</v>
          </cell>
          <cell r="M1140">
            <v>1</v>
          </cell>
          <cell r="N1140">
            <v>377121000</v>
          </cell>
          <cell r="O1140">
            <v>1</v>
          </cell>
          <cell r="P1140">
            <v>342962600</v>
          </cell>
          <cell r="Q1140">
            <v>0</v>
          </cell>
          <cell r="R1140">
            <v>0</v>
          </cell>
          <cell r="Y1140">
            <v>0</v>
          </cell>
          <cell r="Z1140">
            <v>0</v>
          </cell>
          <cell r="AA1140">
            <v>1</v>
          </cell>
          <cell r="AB1140">
            <v>377121000</v>
          </cell>
          <cell r="AC1140">
            <v>20</v>
          </cell>
          <cell r="AD1140">
            <v>19.969340746624304</v>
          </cell>
        </row>
        <row r="1141">
          <cell r="A1141">
            <v>3</v>
          </cell>
          <cell r="C1141" t="str">
            <v>2</v>
          </cell>
          <cell r="D1141" t="str">
            <v>01</v>
          </cell>
          <cell r="E1141" t="str">
            <v>02</v>
          </cell>
          <cell r="F1141">
            <v>13</v>
          </cell>
          <cell r="G1141">
            <v>17</v>
          </cell>
          <cell r="I1141" t="str">
            <v>Program Pengembangan Kemitraan</v>
          </cell>
          <cell r="J1141" t="str">
            <v>Jumlah kelompok sadar wisata yang dibina</v>
          </cell>
          <cell r="K1141">
            <v>37</v>
          </cell>
          <cell r="L1141">
            <v>794592000</v>
          </cell>
          <cell r="M1141">
            <v>28</v>
          </cell>
          <cell r="N1141">
            <v>149577500</v>
          </cell>
          <cell r="O1141">
            <v>2</v>
          </cell>
          <cell r="P1141">
            <v>161521000</v>
          </cell>
          <cell r="Q1141">
            <v>0</v>
          </cell>
          <cell r="R1141">
            <v>19983500</v>
          </cell>
          <cell r="T1141">
            <v>45756600</v>
          </cell>
          <cell r="Y1141">
            <v>0</v>
          </cell>
          <cell r="Z1141">
            <v>65740100</v>
          </cell>
          <cell r="AA1141">
            <v>28</v>
          </cell>
          <cell r="AB1141">
            <v>215317600</v>
          </cell>
          <cell r="AC1141">
            <v>75.675675675675677</v>
          </cell>
          <cell r="AD1141">
            <v>27.097881680157865</v>
          </cell>
          <cell r="AE1141" t="str">
            <v>DISPARPORA</v>
          </cell>
        </row>
        <row r="1142">
          <cell r="C1142">
            <v>2</v>
          </cell>
          <cell r="D1142">
            <v>1</v>
          </cell>
          <cell r="E1142">
            <v>2</v>
          </cell>
          <cell r="F1142">
            <v>13</v>
          </cell>
          <cell r="G1142">
            <v>17</v>
          </cell>
          <cell r="H1142">
            <v>1</v>
          </cell>
          <cell r="I1142" t="str">
            <v>Pelaksanaan Famtrip</v>
          </cell>
          <cell r="J1142" t="str">
            <v>Jumlah pelaksanaan famtrip yang dilaksanakan (%)</v>
          </cell>
          <cell r="K1142">
            <v>10</v>
          </cell>
          <cell r="L1142">
            <v>594592000</v>
          </cell>
          <cell r="M1142">
            <v>4</v>
          </cell>
          <cell r="N1142">
            <v>90550000</v>
          </cell>
          <cell r="O1142">
            <v>2</v>
          </cell>
          <cell r="P1142">
            <v>78591000</v>
          </cell>
          <cell r="Q1142">
            <v>0</v>
          </cell>
          <cell r="R1142">
            <v>17121000</v>
          </cell>
          <cell r="S1142">
            <v>12.17</v>
          </cell>
          <cell r="T1142">
            <v>9562000</v>
          </cell>
          <cell r="Y1142">
            <v>12.17</v>
          </cell>
          <cell r="Z1142">
            <v>26683000</v>
          </cell>
          <cell r="AA1142">
            <v>16.170000000000002</v>
          </cell>
          <cell r="AB1142">
            <v>117233000</v>
          </cell>
          <cell r="AC1142">
            <v>161.70000000000002</v>
          </cell>
          <cell r="AD1142">
            <v>19.716545126742371</v>
          </cell>
        </row>
        <row r="1143">
          <cell r="C1143">
            <v>2</v>
          </cell>
          <cell r="D1143">
            <v>1</v>
          </cell>
          <cell r="E1143">
            <v>2</v>
          </cell>
          <cell r="F1143">
            <v>13</v>
          </cell>
          <cell r="I1143" t="str">
            <v>Pelatihan dan sertifikasi pelaku wisata</v>
          </cell>
          <cell r="J1143" t="str">
            <v>Jumlah Pelatihan dan sertifikasi pelaku wisata (kali)</v>
          </cell>
          <cell r="K1143">
            <v>40</v>
          </cell>
          <cell r="L1143">
            <v>200000000</v>
          </cell>
          <cell r="M1143">
            <v>10</v>
          </cell>
          <cell r="N1143">
            <v>59027500</v>
          </cell>
          <cell r="O1143">
            <v>3</v>
          </cell>
          <cell r="P1143">
            <v>82930000</v>
          </cell>
          <cell r="Q1143">
            <v>0</v>
          </cell>
          <cell r="R1143">
            <v>2862500</v>
          </cell>
          <cell r="S1143">
            <v>43.65</v>
          </cell>
          <cell r="T1143">
            <v>36194600</v>
          </cell>
          <cell r="Y1143">
            <v>43.65</v>
          </cell>
          <cell r="Z1143">
            <v>39057100</v>
          </cell>
          <cell r="AA1143">
            <v>53.65</v>
          </cell>
          <cell r="AB1143">
            <v>98084600</v>
          </cell>
          <cell r="AC1143">
            <v>134.125</v>
          </cell>
          <cell r="AD1143">
            <v>49.042299999999997</v>
          </cell>
        </row>
        <row r="1144">
          <cell r="A1144">
            <v>4</v>
          </cell>
          <cell r="B1144" t="str">
            <v>Meningkatnya Pelaku ekonomi kreatif yang aktif</v>
          </cell>
          <cell r="C1144">
            <v>2</v>
          </cell>
          <cell r="D1144">
            <v>1</v>
          </cell>
          <cell r="E1144">
            <v>2</v>
          </cell>
          <cell r="F1144">
            <v>13</v>
          </cell>
          <cell r="G1144">
            <v>18</v>
          </cell>
          <cell r="I1144" t="str">
            <v>Program Pengembangan Ekonomi Kreatif</v>
          </cell>
          <cell r="J1144" t="str">
            <v xml:space="preserve">Jumlah  kelompok ekonomi kreatif yang berkembang </v>
          </cell>
          <cell r="K1144">
            <v>10</v>
          </cell>
          <cell r="L1144">
            <v>3832311980</v>
          </cell>
          <cell r="M1144">
            <v>4</v>
          </cell>
          <cell r="N1144">
            <v>525335900</v>
          </cell>
          <cell r="O1144">
            <v>2</v>
          </cell>
          <cell r="P1144">
            <v>1089161000</v>
          </cell>
          <cell r="Q1144">
            <v>0</v>
          </cell>
          <cell r="R1144">
            <v>139970164</v>
          </cell>
          <cell r="T1144">
            <v>282353216</v>
          </cell>
          <cell r="Y1144">
            <v>0</v>
          </cell>
          <cell r="Z1144">
            <v>422323380</v>
          </cell>
          <cell r="AA1144">
            <v>4</v>
          </cell>
          <cell r="AB1144">
            <v>947659280</v>
          </cell>
          <cell r="AC1144">
            <v>40</v>
          </cell>
          <cell r="AD1144">
            <v>24.728134999071759</v>
          </cell>
          <cell r="AE1144" t="str">
            <v>DISPARPORA</v>
          </cell>
        </row>
        <row r="1145">
          <cell r="C1145">
            <v>2</v>
          </cell>
          <cell r="D1145">
            <v>1</v>
          </cell>
          <cell r="E1145">
            <v>2</v>
          </cell>
          <cell r="F1145">
            <v>13</v>
          </cell>
          <cell r="G1145">
            <v>18</v>
          </cell>
          <cell r="H1145">
            <v>5</v>
          </cell>
          <cell r="I1145" t="str">
            <v>Pemilihan Uda dan Uni Duta Wisata 2017</v>
          </cell>
          <cell r="J1145" t="str">
            <v xml:space="preserve">Jumlah event pemilihan Uda-uni </v>
          </cell>
          <cell r="K1145">
            <v>6</v>
          </cell>
          <cell r="L1145">
            <v>939685480</v>
          </cell>
          <cell r="M1145">
            <v>2</v>
          </cell>
          <cell r="N1145">
            <v>165984000</v>
          </cell>
          <cell r="O1145">
            <v>1</v>
          </cell>
          <cell r="P1145">
            <v>224800000</v>
          </cell>
          <cell r="Q1145">
            <v>0</v>
          </cell>
          <cell r="R1145">
            <v>9646000</v>
          </cell>
          <cell r="S1145">
            <v>76.02</v>
          </cell>
          <cell r="T1145">
            <v>170885800</v>
          </cell>
          <cell r="Y1145">
            <v>76.02</v>
          </cell>
          <cell r="Z1145">
            <v>180531800</v>
          </cell>
          <cell r="AA1145">
            <v>78.02</v>
          </cell>
          <cell r="AB1145">
            <v>346515800</v>
          </cell>
          <cell r="AC1145">
            <v>1300.3333333333333</v>
          </cell>
          <cell r="AD1145">
            <v>36.87572143819866</v>
          </cell>
        </row>
        <row r="1146">
          <cell r="C1146">
            <v>2</v>
          </cell>
          <cell r="D1146">
            <v>1</v>
          </cell>
          <cell r="E1146">
            <v>2</v>
          </cell>
          <cell r="F1146">
            <v>13</v>
          </cell>
          <cell r="G1146">
            <v>18</v>
          </cell>
          <cell r="H1146">
            <v>14</v>
          </cell>
          <cell r="I1146" t="str">
            <v>Pembinaan Uda Uni Kab. Pessel</v>
          </cell>
          <cell r="J1146" t="str">
            <v>pembinaan yang dilakukan (bln)</v>
          </cell>
          <cell r="K1146">
            <v>72</v>
          </cell>
          <cell r="L1146">
            <v>100000000</v>
          </cell>
          <cell r="M1146">
            <v>24</v>
          </cell>
          <cell r="N1146">
            <v>0</v>
          </cell>
          <cell r="O1146">
            <v>12</v>
          </cell>
          <cell r="P1146">
            <v>99820000</v>
          </cell>
          <cell r="Q1146">
            <v>3</v>
          </cell>
          <cell r="R1146">
            <v>5452000</v>
          </cell>
          <cell r="S1146">
            <v>32.159999999999997</v>
          </cell>
          <cell r="T1146">
            <v>32094830</v>
          </cell>
          <cell r="Y1146">
            <v>35.159999999999997</v>
          </cell>
          <cell r="Z1146">
            <v>37546830</v>
          </cell>
          <cell r="AA1146">
            <v>59.16</v>
          </cell>
          <cell r="AB1146">
            <v>37546830</v>
          </cell>
          <cell r="AC1146">
            <v>82.166666666666671</v>
          </cell>
          <cell r="AD1146">
            <v>37.54683</v>
          </cell>
        </row>
        <row r="1147">
          <cell r="C1147">
            <v>2</v>
          </cell>
          <cell r="D1147">
            <v>1</v>
          </cell>
          <cell r="E1147">
            <v>2</v>
          </cell>
          <cell r="F1147">
            <v>13</v>
          </cell>
          <cell r="G1147">
            <v>18</v>
          </cell>
          <cell r="H1147">
            <v>23</v>
          </cell>
          <cell r="I1147" t="str">
            <v>Aktifasi Ekonomi Kreatif</v>
          </cell>
          <cell r="J1147" t="str">
            <v>Jumlah kelompok yang difasilitasi</v>
          </cell>
          <cell r="K1147">
            <v>48</v>
          </cell>
          <cell r="L1147">
            <v>823777000</v>
          </cell>
          <cell r="M1147">
            <v>10</v>
          </cell>
          <cell r="N1147">
            <v>109989000</v>
          </cell>
          <cell r="O1147">
            <v>6</v>
          </cell>
          <cell r="P1147">
            <v>298038000</v>
          </cell>
          <cell r="Q1147">
            <v>1</v>
          </cell>
          <cell r="R1147">
            <v>37816000</v>
          </cell>
          <cell r="S1147">
            <v>9.93</v>
          </cell>
          <cell r="T1147">
            <v>29602200</v>
          </cell>
          <cell r="Y1147">
            <v>10.93</v>
          </cell>
          <cell r="Z1147">
            <v>67418200</v>
          </cell>
          <cell r="AA1147">
            <v>20.93</v>
          </cell>
          <cell r="AB1147">
            <v>177407200</v>
          </cell>
          <cell r="AC1147">
            <v>43.604166666666664</v>
          </cell>
          <cell r="AD1147">
            <v>21.535828264202568</v>
          </cell>
        </row>
        <row r="1148">
          <cell r="C1148">
            <v>2</v>
          </cell>
          <cell r="D1148">
            <v>1</v>
          </cell>
          <cell r="E1148">
            <v>2</v>
          </cell>
          <cell r="F1148">
            <v>13</v>
          </cell>
          <cell r="G1148">
            <v>18</v>
          </cell>
          <cell r="H1148">
            <v>25</v>
          </cell>
          <cell r="I1148" t="str">
            <v>Pendataan dan Pembinaan Ekonomi Kreatif</v>
          </cell>
          <cell r="J1148" t="str">
            <v>Buku hasil pendataan (dokumen)</v>
          </cell>
          <cell r="K1148">
            <v>5</v>
          </cell>
          <cell r="L1148">
            <v>802185000</v>
          </cell>
          <cell r="M1148">
            <v>1</v>
          </cell>
          <cell r="N1148">
            <v>74705800</v>
          </cell>
          <cell r="O1148">
            <v>1</v>
          </cell>
          <cell r="P1148">
            <v>167515000</v>
          </cell>
          <cell r="Q1148">
            <v>0</v>
          </cell>
          <cell r="R1148">
            <v>11669000</v>
          </cell>
          <cell r="S1148">
            <v>23.31</v>
          </cell>
          <cell r="T1148">
            <v>44082000</v>
          </cell>
          <cell r="Y1148">
            <v>23.31</v>
          </cell>
          <cell r="Z1148">
            <v>55751000</v>
          </cell>
          <cell r="AA1148">
            <v>24.31</v>
          </cell>
          <cell r="AB1148">
            <v>130456800</v>
          </cell>
          <cell r="AC1148">
            <v>486.2</v>
          </cell>
          <cell r="AD1148">
            <v>16.262682548289984</v>
          </cell>
        </row>
        <row r="1149">
          <cell r="C1149">
            <v>2</v>
          </cell>
          <cell r="D1149">
            <v>1</v>
          </cell>
          <cell r="E1149">
            <v>2</v>
          </cell>
          <cell r="F1149">
            <v>13</v>
          </cell>
          <cell r="G1149">
            <v>18</v>
          </cell>
          <cell r="H1149">
            <v>26</v>
          </cell>
          <cell r="I1149" t="str">
            <v>Partisipasi Ekonomi Kreatif</v>
          </cell>
          <cell r="J1149" t="str">
            <v>Jumlah pelaku ekonomi kreatif yang berpartisipasi dalam iven-iven (%)</v>
          </cell>
          <cell r="K1149">
            <v>10</v>
          </cell>
          <cell r="L1149">
            <v>1166664500</v>
          </cell>
          <cell r="M1149">
            <v>2</v>
          </cell>
          <cell r="N1149">
            <v>174657100</v>
          </cell>
          <cell r="O1149">
            <v>2</v>
          </cell>
          <cell r="P1149">
            <v>298988000</v>
          </cell>
          <cell r="Q1149">
            <v>1</v>
          </cell>
          <cell r="R1149">
            <v>75387164</v>
          </cell>
          <cell r="S1149">
            <v>1.91</v>
          </cell>
          <cell r="T1149">
            <v>5688386</v>
          </cell>
          <cell r="Y1149">
            <v>2.91</v>
          </cell>
          <cell r="Z1149">
            <v>81075550</v>
          </cell>
          <cell r="AA1149">
            <v>4.91</v>
          </cell>
          <cell r="AB1149">
            <v>255732650</v>
          </cell>
          <cell r="AC1149">
            <v>49.1</v>
          </cell>
          <cell r="AD1149">
            <v>21.919982137109685</v>
          </cell>
        </row>
        <row r="1150">
          <cell r="A1150" t="str">
            <v>Rata-Rata Capaian Kinerja</v>
          </cell>
          <cell r="AC1150">
            <v>44.097914549765029</v>
          </cell>
          <cell r="AD1150">
            <v>28.001162533326536</v>
          </cell>
        </row>
        <row r="1151">
          <cell r="A1151" t="str">
            <v>Peringkat  Kinerja</v>
          </cell>
          <cell r="AC1151" t="str">
            <v>SR</v>
          </cell>
          <cell r="AD1151" t="str">
            <v>SR</v>
          </cell>
        </row>
        <row r="1152">
          <cell r="A1152" t="str">
            <v>III</v>
          </cell>
          <cell r="I1152" t="str">
            <v>URUSAN PERTANIAN</v>
          </cell>
          <cell r="L1152">
            <v>83461778624.614746</v>
          </cell>
          <cell r="N1152">
            <v>21036107344.333336</v>
          </cell>
          <cell r="P1152">
            <v>16801113549.639999</v>
          </cell>
          <cell r="R1152">
            <v>636236048.64600003</v>
          </cell>
          <cell r="T1152">
            <v>1496100109.7420001</v>
          </cell>
          <cell r="Z1152">
            <v>2132336158.388</v>
          </cell>
          <cell r="AB1152">
            <v>23556410502.721336</v>
          </cell>
        </row>
        <row r="1153">
          <cell r="A1153" t="str">
            <v>DINAS TANAMAN PANGAN, HORTIKULTURA DAN PERKEBUNAN</v>
          </cell>
          <cell r="L1153">
            <v>60903605000</v>
          </cell>
          <cell r="N1153">
            <v>14544124100</v>
          </cell>
          <cell r="P1153">
            <v>11750039618.389999</v>
          </cell>
          <cell r="R1153">
            <v>441363100</v>
          </cell>
          <cell r="T1153">
            <v>564976019</v>
          </cell>
          <cell r="Z1153">
            <v>1006339119</v>
          </cell>
          <cell r="AB1153">
            <v>15938430219</v>
          </cell>
        </row>
        <row r="1154">
          <cell r="A1154">
            <v>1</v>
          </cell>
          <cell r="I1154" t="str">
            <v>Program Pelayanan Administrasi Perkantoran</v>
          </cell>
          <cell r="J1154" t="str">
            <v>Tercapainya pelayanan administrasi yang prima (%)</v>
          </cell>
          <cell r="K1154">
            <v>100</v>
          </cell>
          <cell r="L1154">
            <v>6474148000</v>
          </cell>
          <cell r="M1154">
            <v>33.333333333333329</v>
          </cell>
          <cell r="N1154">
            <v>1393924000</v>
          </cell>
          <cell r="O1154">
            <v>50</v>
          </cell>
          <cell r="P1154">
            <v>908865660</v>
          </cell>
          <cell r="Q1154">
            <v>0</v>
          </cell>
          <cell r="R1154">
            <v>121580000</v>
          </cell>
          <cell r="S1154">
            <v>6</v>
          </cell>
          <cell r="T1154">
            <v>453252019</v>
          </cell>
          <cell r="Y1154">
            <v>6</v>
          </cell>
          <cell r="Z1154">
            <v>574832019</v>
          </cell>
          <cell r="AA1154">
            <v>39.333333333333329</v>
          </cell>
          <cell r="AB1154">
            <v>1968756019</v>
          </cell>
          <cell r="AC1154">
            <v>39.333333333333329</v>
          </cell>
          <cell r="AD1154">
            <v>30.409499736490424</v>
          </cell>
          <cell r="AE1154" t="str">
            <v>Distanhorbun</v>
          </cell>
        </row>
        <row r="1155">
          <cell r="I1155" t="str">
            <v>Penyediaan Jasa Komunikasi, Sumber Daya Air dan Listrik</v>
          </cell>
          <cell r="J1155" t="str">
            <v>Tersedianya jasa komunikasi, sumber daya air dan listrik (bulan)</v>
          </cell>
          <cell r="K1155">
            <v>72</v>
          </cell>
          <cell r="L1155">
            <v>961416000</v>
          </cell>
          <cell r="M1155">
            <v>24</v>
          </cell>
          <cell r="N1155">
            <v>156305000</v>
          </cell>
          <cell r="O1155">
            <v>12</v>
          </cell>
          <cell r="P1155">
            <v>131100000</v>
          </cell>
          <cell r="Q1155">
            <v>3</v>
          </cell>
          <cell r="R1155">
            <v>21470000</v>
          </cell>
          <cell r="S1155">
            <v>6</v>
          </cell>
          <cell r="T1155">
            <v>38550028</v>
          </cell>
          <cell r="Y1155">
            <v>9</v>
          </cell>
          <cell r="Z1155">
            <v>60020028</v>
          </cell>
          <cell r="AA1155">
            <v>33</v>
          </cell>
          <cell r="AB1155">
            <v>216325028</v>
          </cell>
          <cell r="AC1155">
            <v>45.833333333333329</v>
          </cell>
          <cell r="AD1155">
            <v>22.500668597152533</v>
          </cell>
        </row>
        <row r="1156">
          <cell r="I1156" t="str">
            <v>Penyediaan jasa administrasi keuangan</v>
          </cell>
          <cell r="J1156" t="str">
            <v>Tersedianya layanan jasa administrasi keuangan perkantoran (bulan)</v>
          </cell>
          <cell r="K1156">
            <v>72</v>
          </cell>
          <cell r="L1156">
            <v>1182633000</v>
          </cell>
          <cell r="M1156">
            <v>24</v>
          </cell>
          <cell r="N1156">
            <v>336834000</v>
          </cell>
          <cell r="O1156">
            <v>12</v>
          </cell>
          <cell r="P1156">
            <v>194500000</v>
          </cell>
          <cell r="Q1156">
            <v>3</v>
          </cell>
          <cell r="R1156">
            <v>17500000</v>
          </cell>
          <cell r="S1156">
            <v>6</v>
          </cell>
          <cell r="T1156">
            <v>63000000</v>
          </cell>
          <cell r="Y1156">
            <v>9</v>
          </cell>
          <cell r="Z1156">
            <v>80500000</v>
          </cell>
          <cell r="AA1156">
            <v>33</v>
          </cell>
          <cell r="AB1156">
            <v>417334000</v>
          </cell>
          <cell r="AC1156">
            <v>45.833333333333329</v>
          </cell>
          <cell r="AD1156">
            <v>35.288546827291306</v>
          </cell>
        </row>
        <row r="1157">
          <cell r="I1157" t="str">
            <v>Penyediaan jasa kebersihan kantor</v>
          </cell>
          <cell r="J1157" t="str">
            <v>Tersedianya layanan jasa kebersihan kantor/ cleaning service (bulan)</v>
          </cell>
          <cell r="K1157">
            <v>72</v>
          </cell>
          <cell r="L1157">
            <v>622241000</v>
          </cell>
          <cell r="M1157">
            <v>24</v>
          </cell>
          <cell r="N1157">
            <v>16353000</v>
          </cell>
          <cell r="O1157">
            <v>12</v>
          </cell>
          <cell r="P1157">
            <v>130550000</v>
          </cell>
          <cell r="Q1157">
            <v>0</v>
          </cell>
          <cell r="R1157">
            <v>0</v>
          </cell>
          <cell r="S1157">
            <v>6</v>
          </cell>
          <cell r="T1157">
            <v>15520000</v>
          </cell>
          <cell r="Y1157">
            <v>6</v>
          </cell>
          <cell r="Z1157">
            <v>15520000</v>
          </cell>
          <cell r="AA1157">
            <v>30</v>
          </cell>
          <cell r="AB1157">
            <v>31873000</v>
          </cell>
          <cell r="AC1157">
            <v>41.666666666666671</v>
          </cell>
          <cell r="AD1157">
            <v>5.1222918451211026</v>
          </cell>
        </row>
        <row r="1158">
          <cell r="I1158" t="str">
            <v>Penyediaan Jasa Perbaikan Peralatan Kerja</v>
          </cell>
          <cell r="J1158" t="str">
            <v>Terpeliharanya peralatan kerja dinas (bulan)</v>
          </cell>
          <cell r="K1158">
            <v>72</v>
          </cell>
          <cell r="L1158">
            <v>215116000</v>
          </cell>
          <cell r="M1158">
            <v>24</v>
          </cell>
          <cell r="N1158">
            <v>47473000</v>
          </cell>
          <cell r="O1158">
            <v>12</v>
          </cell>
          <cell r="P1158">
            <v>20250000</v>
          </cell>
          <cell r="Q1158">
            <v>0</v>
          </cell>
          <cell r="R1158">
            <v>0</v>
          </cell>
          <cell r="S1158">
            <v>6</v>
          </cell>
          <cell r="T1158">
            <v>38815000</v>
          </cell>
          <cell r="Y1158">
            <v>6</v>
          </cell>
          <cell r="Z1158">
            <v>38815000</v>
          </cell>
          <cell r="AA1158">
            <v>30</v>
          </cell>
          <cell r="AB1158">
            <v>86288000</v>
          </cell>
          <cell r="AC1158">
            <v>41.666666666666671</v>
          </cell>
          <cell r="AD1158">
            <v>40.112311497052758</v>
          </cell>
        </row>
        <row r="1159">
          <cell r="I1159" t="str">
            <v>Penyediaan Alat Tulis Kantor</v>
          </cell>
          <cell r="J1159" t="str">
            <v>Tersedianya ATK dinas dan UPTD/ BPK (bulan)</v>
          </cell>
          <cell r="K1159">
            <v>72</v>
          </cell>
          <cell r="L1159">
            <v>724094000</v>
          </cell>
          <cell r="M1159">
            <v>24</v>
          </cell>
          <cell r="N1159">
            <v>213527000</v>
          </cell>
          <cell r="O1159">
            <v>12</v>
          </cell>
          <cell r="P1159">
            <v>110000000</v>
          </cell>
          <cell r="Q1159">
            <v>3</v>
          </cell>
          <cell r="R1159">
            <v>9816000</v>
          </cell>
          <cell r="S1159">
            <v>6</v>
          </cell>
          <cell r="T1159">
            <v>24689991</v>
          </cell>
          <cell r="Y1159">
            <v>9</v>
          </cell>
          <cell r="Z1159">
            <v>34505991</v>
          </cell>
          <cell r="AA1159">
            <v>33</v>
          </cell>
          <cell r="AB1159">
            <v>248032991</v>
          </cell>
          <cell r="AC1159">
            <v>45.833333333333329</v>
          </cell>
          <cell r="AD1159">
            <v>34.254253038970077</v>
          </cell>
        </row>
        <row r="1160">
          <cell r="I1160" t="str">
            <v>Penyediaan barang cetakan dan penggandaan</v>
          </cell>
          <cell r="J1160" t="str">
            <v>Tersedianya cetakan dan penggandaan dinas (bulan)</v>
          </cell>
          <cell r="K1160">
            <v>72</v>
          </cell>
          <cell r="L1160">
            <v>291174000</v>
          </cell>
          <cell r="M1160">
            <v>24</v>
          </cell>
          <cell r="N1160">
            <v>70027000</v>
          </cell>
          <cell r="O1160">
            <v>12</v>
          </cell>
          <cell r="P1160">
            <v>34233160</v>
          </cell>
          <cell r="Q1160">
            <v>3</v>
          </cell>
          <cell r="R1160">
            <v>6315000</v>
          </cell>
          <cell r="S1160">
            <v>6</v>
          </cell>
          <cell r="T1160">
            <v>194248000</v>
          </cell>
          <cell r="Y1160">
            <v>9</v>
          </cell>
          <cell r="Z1160">
            <v>200563000</v>
          </cell>
          <cell r="AA1160">
            <v>33</v>
          </cell>
          <cell r="AB1160">
            <v>270590000</v>
          </cell>
          <cell r="AC1160">
            <v>45.833333333333329</v>
          </cell>
          <cell r="AD1160">
            <v>92.930687492701963</v>
          </cell>
        </row>
        <row r="1161">
          <cell r="I1161" t="str">
            <v>Penyediaan komponen instalasi listrik/penerangan bangunan kantor</v>
          </cell>
          <cell r="J1161" t="str">
            <v>Tersedianya komponen listrik kantor (bulan)</v>
          </cell>
          <cell r="K1161">
            <v>72</v>
          </cell>
          <cell r="L1161">
            <v>58613000</v>
          </cell>
          <cell r="M1161">
            <v>24</v>
          </cell>
          <cell r="N1161">
            <v>12146000</v>
          </cell>
          <cell r="O1161">
            <v>12</v>
          </cell>
          <cell r="P1161">
            <v>7607500</v>
          </cell>
          <cell r="Q1161">
            <v>0</v>
          </cell>
          <cell r="R1161">
            <v>0</v>
          </cell>
          <cell r="S1161">
            <v>6</v>
          </cell>
          <cell r="T1161">
            <v>2820000</v>
          </cell>
          <cell r="Y1161">
            <v>6</v>
          </cell>
          <cell r="Z1161">
            <v>2820000</v>
          </cell>
          <cell r="AA1161">
            <v>30</v>
          </cell>
          <cell r="AB1161">
            <v>14966000</v>
          </cell>
          <cell r="AC1161">
            <v>41.666666666666671</v>
          </cell>
          <cell r="AD1161">
            <v>25.533584699640009</v>
          </cell>
        </row>
        <row r="1162">
          <cell r="I1162" t="str">
            <v>Penyediaan bahan bacaan dan peraturan perundang-undangan</v>
          </cell>
          <cell r="J1162" t="str">
            <v>Teredianya bahan bacaan dan perundang - undangan (bulan)</v>
          </cell>
          <cell r="K1162">
            <v>72</v>
          </cell>
          <cell r="L1162">
            <v>83448000</v>
          </cell>
          <cell r="M1162">
            <v>24</v>
          </cell>
          <cell r="N1162">
            <v>25790000</v>
          </cell>
          <cell r="O1162">
            <v>12</v>
          </cell>
          <cell r="P1162">
            <v>16400000</v>
          </cell>
          <cell r="Q1162">
            <v>3</v>
          </cell>
          <cell r="R1162">
            <v>1095000</v>
          </cell>
          <cell r="S1162">
            <v>6</v>
          </cell>
          <cell r="T1162">
            <v>1770000</v>
          </cell>
          <cell r="Y1162">
            <v>9</v>
          </cell>
          <cell r="Z1162">
            <v>2865000</v>
          </cell>
          <cell r="AA1162">
            <v>33</v>
          </cell>
          <cell r="AB1162">
            <v>28655000</v>
          </cell>
          <cell r="AC1162">
            <v>45.833333333333329</v>
          </cell>
          <cell r="AD1162">
            <v>34.33874988016489</v>
          </cell>
        </row>
        <row r="1163">
          <cell r="I1163" t="str">
            <v>Penyediaan Makanan dan Minuman</v>
          </cell>
          <cell r="J1163" t="str">
            <v>Tersedianya makan minum rapat dinas dan tamu dinas (bulan)</v>
          </cell>
          <cell r="K1163">
            <v>72</v>
          </cell>
          <cell r="L1163">
            <v>289824000</v>
          </cell>
          <cell r="M1163">
            <v>24</v>
          </cell>
          <cell r="N1163">
            <v>56037000</v>
          </cell>
          <cell r="O1163">
            <v>12</v>
          </cell>
          <cell r="P1163">
            <v>45100000</v>
          </cell>
          <cell r="Q1163">
            <v>3</v>
          </cell>
          <cell r="R1163">
            <v>6772000</v>
          </cell>
          <cell r="S1163">
            <v>6</v>
          </cell>
          <cell r="T1163">
            <v>9534000</v>
          </cell>
          <cell r="Y1163">
            <v>9</v>
          </cell>
          <cell r="Z1163">
            <v>16306000</v>
          </cell>
          <cell r="AA1163">
            <v>33</v>
          </cell>
          <cell r="AB1163">
            <v>72343000</v>
          </cell>
          <cell r="AC1163">
            <v>45.833333333333329</v>
          </cell>
          <cell r="AD1163">
            <v>24.961010820359942</v>
          </cell>
        </row>
        <row r="1164">
          <cell r="I1164" t="str">
            <v>Rapat-rapat Koordinasi dan Konsultasi ke Luar Daerah</v>
          </cell>
          <cell r="J1164" t="str">
            <v>Lancarnya koordinasi dan konsultasi dengan lembaga di luar daerah (bulan)</v>
          </cell>
          <cell r="K1164">
            <v>72</v>
          </cell>
          <cell r="L1164">
            <v>1266580000</v>
          </cell>
          <cell r="M1164">
            <v>24</v>
          </cell>
          <cell r="N1164">
            <v>295007000</v>
          </cell>
          <cell r="O1164">
            <v>12</v>
          </cell>
          <cell r="P1164">
            <v>143000000</v>
          </cell>
          <cell r="Q1164">
            <v>3</v>
          </cell>
          <cell r="R1164">
            <v>40932000</v>
          </cell>
          <cell r="S1164">
            <v>6</v>
          </cell>
          <cell r="T1164">
            <v>28680000</v>
          </cell>
          <cell r="Y1164">
            <v>9</v>
          </cell>
          <cell r="Z1164">
            <v>69612000</v>
          </cell>
          <cell r="AA1164">
            <v>33</v>
          </cell>
          <cell r="AB1164">
            <v>364619000</v>
          </cell>
          <cell r="AC1164">
            <v>45.833333333333329</v>
          </cell>
          <cell r="AD1164">
            <v>28.787680209698557</v>
          </cell>
        </row>
        <row r="1165">
          <cell r="I1165" t="str">
            <v>Rapat-rapat Koordinasi dan Konsultasi Dalam Daerah</v>
          </cell>
          <cell r="J1165" t="str">
            <v>Lancarnya koordinasi dan konsultasi dengan lembaga di dalam daerah (bulan)</v>
          </cell>
          <cell r="K1165">
            <v>72</v>
          </cell>
          <cell r="L1165">
            <v>779009000</v>
          </cell>
          <cell r="M1165">
            <v>24</v>
          </cell>
          <cell r="N1165">
            <v>164425000</v>
          </cell>
          <cell r="O1165">
            <v>12</v>
          </cell>
          <cell r="P1165">
            <v>76125000</v>
          </cell>
          <cell r="Q1165">
            <v>3</v>
          </cell>
          <cell r="R1165">
            <v>17680000</v>
          </cell>
          <cell r="S1165">
            <v>6</v>
          </cell>
          <cell r="T1165">
            <v>35625000</v>
          </cell>
          <cell r="Y1165">
            <v>9</v>
          </cell>
          <cell r="Z1165">
            <v>53305000</v>
          </cell>
          <cell r="AA1165">
            <v>33</v>
          </cell>
          <cell r="AB1165">
            <v>217730000</v>
          </cell>
          <cell r="AC1165">
            <v>45.833333333333329</v>
          </cell>
          <cell r="AD1165">
            <v>27.949612905627536</v>
          </cell>
        </row>
        <row r="1166">
          <cell r="A1166">
            <v>2</v>
          </cell>
          <cell r="I1166" t="str">
            <v>Program Peningkatan Prasarana dan Sarana Aparatur</v>
          </cell>
          <cell r="J1166" t="str">
            <v>Meningkatnya sarana dan prasarana kantor yang representatif (%)</v>
          </cell>
          <cell r="K1166">
            <v>80</v>
          </cell>
          <cell r="L1166">
            <v>2891920000</v>
          </cell>
          <cell r="M1166">
            <v>26.666666666666664</v>
          </cell>
          <cell r="N1166">
            <v>693320000</v>
          </cell>
          <cell r="O1166">
            <v>40</v>
          </cell>
          <cell r="P1166">
            <v>544213980</v>
          </cell>
          <cell r="Q1166">
            <v>0</v>
          </cell>
          <cell r="R1166">
            <v>22029000</v>
          </cell>
          <cell r="S1166">
            <v>0</v>
          </cell>
          <cell r="T1166">
            <v>111724000</v>
          </cell>
          <cell r="Y1166">
            <v>0</v>
          </cell>
          <cell r="Z1166">
            <v>133753000</v>
          </cell>
          <cell r="AA1166">
            <v>26.666666666666664</v>
          </cell>
          <cell r="AB1166">
            <v>827073000</v>
          </cell>
          <cell r="AC1166">
            <v>33.333333333333329</v>
          </cell>
          <cell r="AD1166">
            <v>28.599442584857123</v>
          </cell>
          <cell r="AE1166" t="str">
            <v>Distanhorbun</v>
          </cell>
        </row>
        <row r="1167">
          <cell r="I1167" t="str">
            <v>Pengadaan Kendaraan Dinas/Operasional</v>
          </cell>
          <cell r="J1167" t="str">
            <v>Tersedianya kendaraan roda dua dinas (unit)</v>
          </cell>
          <cell r="K1167">
            <v>36</v>
          </cell>
          <cell r="L1167">
            <v>813000000</v>
          </cell>
          <cell r="M1167">
            <v>3</v>
          </cell>
          <cell r="N1167">
            <v>54600000</v>
          </cell>
          <cell r="O1167">
            <v>16</v>
          </cell>
          <cell r="P1167">
            <v>320750000</v>
          </cell>
          <cell r="Q1167">
            <v>0</v>
          </cell>
          <cell r="R1167">
            <v>0</v>
          </cell>
          <cell r="S1167">
            <v>0</v>
          </cell>
          <cell r="T1167">
            <v>0</v>
          </cell>
          <cell r="U1167">
            <v>0</v>
          </cell>
          <cell r="V1167">
            <v>0</v>
          </cell>
          <cell r="W1167">
            <v>0</v>
          </cell>
          <cell r="X1167">
            <v>0</v>
          </cell>
          <cell r="Y1167">
            <v>0</v>
          </cell>
          <cell r="Z1167">
            <v>0</v>
          </cell>
          <cell r="AA1167">
            <v>3</v>
          </cell>
          <cell r="AB1167">
            <v>54600000</v>
          </cell>
          <cell r="AC1167">
            <v>8.3333333333333321</v>
          </cell>
          <cell r="AD1167">
            <v>6.7158671586715872</v>
          </cell>
        </row>
        <row r="1168">
          <cell r="I1168" t="str">
            <v>Pengadaan Meubiler</v>
          </cell>
          <cell r="J1168" t="str">
            <v>Tersedianya mebeleur yang representatif (unit)</v>
          </cell>
          <cell r="K1168">
            <v>6</v>
          </cell>
          <cell r="L1168">
            <v>302338000</v>
          </cell>
          <cell r="M1168">
            <v>4</v>
          </cell>
          <cell r="N1168">
            <v>62250000</v>
          </cell>
          <cell r="O1168">
            <v>2</v>
          </cell>
          <cell r="P1168">
            <v>8250000</v>
          </cell>
          <cell r="Q1168">
            <v>0</v>
          </cell>
          <cell r="R1168">
            <v>0</v>
          </cell>
          <cell r="S1168">
            <v>3</v>
          </cell>
          <cell r="T1168">
            <v>111724000</v>
          </cell>
          <cell r="U1168">
            <v>3</v>
          </cell>
          <cell r="V1168">
            <v>0</v>
          </cell>
          <cell r="W1168">
            <v>6</v>
          </cell>
          <cell r="X1168">
            <v>0</v>
          </cell>
          <cell r="Y1168">
            <v>12</v>
          </cell>
          <cell r="Z1168">
            <v>111724000</v>
          </cell>
          <cell r="AA1168">
            <v>16</v>
          </cell>
          <cell r="AB1168">
            <v>173974000</v>
          </cell>
          <cell r="AC1168">
            <v>266.66666666666663</v>
          </cell>
          <cell r="AD1168">
            <v>57.542882469289339</v>
          </cell>
        </row>
        <row r="1169">
          <cell r="I1169" t="str">
            <v>Pemeliharaan Rutin/Berkala Gedung Kantor</v>
          </cell>
          <cell r="J1169" t="str">
            <v>Terpeliharanya gedung kantor (paket)</v>
          </cell>
          <cell r="K1169">
            <v>5</v>
          </cell>
          <cell r="L1169">
            <v>617450000</v>
          </cell>
          <cell r="M1169">
            <v>1</v>
          </cell>
          <cell r="N1169">
            <v>370726000</v>
          </cell>
          <cell r="O1169">
            <v>1</v>
          </cell>
          <cell r="P1169">
            <v>10000000</v>
          </cell>
          <cell r="Q1169">
            <v>0</v>
          </cell>
          <cell r="R1169">
            <v>0</v>
          </cell>
          <cell r="S1169">
            <v>0</v>
          </cell>
          <cell r="T1169">
            <v>0</v>
          </cell>
          <cell r="U1169">
            <v>0</v>
          </cell>
          <cell r="V1169">
            <v>0</v>
          </cell>
          <cell r="W1169">
            <v>0</v>
          </cell>
          <cell r="X1169">
            <v>0</v>
          </cell>
          <cell r="Y1169">
            <v>0</v>
          </cell>
          <cell r="Z1169">
            <v>0</v>
          </cell>
          <cell r="AA1169">
            <v>1</v>
          </cell>
          <cell r="AB1169">
            <v>370726000</v>
          </cell>
          <cell r="AC1169">
            <v>20</v>
          </cell>
          <cell r="AD1169">
            <v>60.041460847032148</v>
          </cell>
        </row>
        <row r="1170">
          <cell r="I1170" t="str">
            <v>Pemeliharaan Rutin/Berkala Kendaraan Dinas/Operasional</v>
          </cell>
          <cell r="J1170" t="str">
            <v>Terpeliharanya kendaraan dinas roda empat dan roda dua (unit)</v>
          </cell>
          <cell r="K1170">
            <v>72</v>
          </cell>
          <cell r="L1170">
            <v>966132000</v>
          </cell>
          <cell r="M1170">
            <v>12</v>
          </cell>
          <cell r="N1170">
            <v>205744000</v>
          </cell>
          <cell r="O1170">
            <v>25</v>
          </cell>
          <cell r="P1170">
            <v>176713980</v>
          </cell>
          <cell r="Q1170">
            <v>3</v>
          </cell>
          <cell r="R1170">
            <v>22029000</v>
          </cell>
          <cell r="S1170">
            <v>3</v>
          </cell>
          <cell r="T1170">
            <v>0</v>
          </cell>
          <cell r="U1170">
            <v>6</v>
          </cell>
          <cell r="V1170">
            <v>0</v>
          </cell>
          <cell r="W1170">
            <v>12</v>
          </cell>
          <cell r="X1170">
            <v>0</v>
          </cell>
          <cell r="Y1170">
            <v>24</v>
          </cell>
          <cell r="Z1170">
            <v>22029000</v>
          </cell>
          <cell r="AA1170">
            <v>36</v>
          </cell>
          <cell r="AB1170">
            <v>227773000</v>
          </cell>
          <cell r="AC1170">
            <v>50</v>
          </cell>
          <cell r="AD1170">
            <v>23.575763974280946</v>
          </cell>
        </row>
        <row r="1171">
          <cell r="I1171" t="str">
            <v>Pengadaan Peralatan Kantor</v>
          </cell>
          <cell r="J1171" t="str">
            <v>Tersedianya peralatan dan perlengkapan kantor yang representati (paket)</v>
          </cell>
          <cell r="K1171">
            <v>5</v>
          </cell>
          <cell r="L1171">
            <v>193000000</v>
          </cell>
          <cell r="M1171">
            <v>1</v>
          </cell>
          <cell r="N1171">
            <v>0</v>
          </cell>
          <cell r="O1171">
            <v>3</v>
          </cell>
          <cell r="P1171">
            <v>28500000</v>
          </cell>
          <cell r="Q1171">
            <v>0</v>
          </cell>
          <cell r="R1171">
            <v>0</v>
          </cell>
          <cell r="S1171">
            <v>0</v>
          </cell>
          <cell r="T1171">
            <v>0</v>
          </cell>
          <cell r="U1171">
            <v>0</v>
          </cell>
          <cell r="V1171">
            <v>0</v>
          </cell>
          <cell r="W1171">
            <v>0</v>
          </cell>
          <cell r="X1171">
            <v>0</v>
          </cell>
          <cell r="Y1171">
            <v>0</v>
          </cell>
          <cell r="Z1171">
            <v>0</v>
          </cell>
          <cell r="AA1171">
            <v>1</v>
          </cell>
          <cell r="AB1171">
            <v>0</v>
          </cell>
          <cell r="AC1171">
            <v>20</v>
          </cell>
          <cell r="AD1171">
            <v>0</v>
          </cell>
        </row>
        <row r="1172">
          <cell r="A1172">
            <v>3</v>
          </cell>
          <cell r="B1172" t="str">
            <v>Meningkatkan produksi pertanian</v>
          </cell>
          <cell r="I1172" t="str">
            <v>Program Peningkatan Penerapan Teknologi Pertanian/ Perkebunan</v>
          </cell>
          <cell r="J1172" t="str">
            <v>Jumlah kelompok tani pemanfaat alsintan (kelompok)</v>
          </cell>
          <cell r="K1172">
            <v>27</v>
          </cell>
          <cell r="L1172">
            <v>5601639000</v>
          </cell>
          <cell r="M1172">
            <v>22</v>
          </cell>
          <cell r="N1172">
            <v>897759200</v>
          </cell>
          <cell r="O1172">
            <v>24</v>
          </cell>
          <cell r="P1172">
            <v>1239232507</v>
          </cell>
          <cell r="Q1172">
            <v>24</v>
          </cell>
          <cell r="R1172">
            <v>17168000</v>
          </cell>
          <cell r="S1172">
            <v>0</v>
          </cell>
          <cell r="U1172">
            <v>0</v>
          </cell>
          <cell r="W1172">
            <v>0</v>
          </cell>
          <cell r="Y1172">
            <v>24</v>
          </cell>
          <cell r="Z1172">
            <v>17168000</v>
          </cell>
          <cell r="AA1172">
            <v>46</v>
          </cell>
          <cell r="AB1172">
            <v>914927200</v>
          </cell>
          <cell r="AC1172">
            <v>170.37037037037038</v>
          </cell>
          <cell r="AD1172">
            <v>16.333205335081395</v>
          </cell>
          <cell r="AE1172" t="str">
            <v>Distanhorbun</v>
          </cell>
        </row>
        <row r="1173">
          <cell r="J1173" t="str">
            <v>Jumlah kelompok tani yang menggunakan teknologi tepat guna (kelompok)</v>
          </cell>
          <cell r="K1173">
            <v>123</v>
          </cell>
          <cell r="M1173">
            <v>120</v>
          </cell>
          <cell r="O1173">
            <v>123</v>
          </cell>
          <cell r="Q1173">
            <v>32</v>
          </cell>
          <cell r="S1173">
            <v>0</v>
          </cell>
          <cell r="U1173">
            <v>0</v>
          </cell>
          <cell r="W1173">
            <v>0</v>
          </cell>
          <cell r="Y1173">
            <v>32</v>
          </cell>
          <cell r="Z1173">
            <v>0</v>
          </cell>
          <cell r="AA1173">
            <v>152</v>
          </cell>
          <cell r="AB1173">
            <v>0</v>
          </cell>
          <cell r="AC1173">
            <v>123.57723577235772</v>
          </cell>
          <cell r="AD1173" t="e">
            <v>#DIV/0!</v>
          </cell>
        </row>
        <row r="1174">
          <cell r="I1174" t="str">
            <v>Pengadaan sarana dan prasarana teknologi pertanian/perkebunan tepat guna</v>
          </cell>
          <cell r="J1174" t="str">
            <v>Jumlah alat dan mesin pertanian (unit)</v>
          </cell>
          <cell r="K1174">
            <v>148</v>
          </cell>
          <cell r="L1174">
            <v>1137662000</v>
          </cell>
          <cell r="M1174">
            <v>33</v>
          </cell>
          <cell r="N1174">
            <v>778195000</v>
          </cell>
          <cell r="O1174">
            <v>31</v>
          </cell>
          <cell r="P1174">
            <v>752283787</v>
          </cell>
          <cell r="Q1174">
            <v>0</v>
          </cell>
          <cell r="R1174">
            <v>10843000</v>
          </cell>
          <cell r="S1174">
            <v>0</v>
          </cell>
          <cell r="T1174">
            <v>0</v>
          </cell>
          <cell r="U1174">
            <v>0</v>
          </cell>
          <cell r="V1174">
            <v>0</v>
          </cell>
          <cell r="W1174">
            <v>0</v>
          </cell>
          <cell r="X1174">
            <v>0</v>
          </cell>
          <cell r="Y1174">
            <v>0</v>
          </cell>
          <cell r="Z1174">
            <v>10843000</v>
          </cell>
          <cell r="AA1174">
            <v>33</v>
          </cell>
          <cell r="AB1174">
            <v>789038000</v>
          </cell>
          <cell r="AC1174">
            <v>22.297297297297298</v>
          </cell>
          <cell r="AD1174">
            <v>69.356100493819781</v>
          </cell>
        </row>
        <row r="1175">
          <cell r="I1175" t="str">
            <v>Pemeliharaan rutin berkala sarana dan prasarana teknologi pertanian/perkebunan tepat guna</v>
          </cell>
          <cell r="J1175" t="str">
            <v>Jumlah alat dan mesin pertanian bribage tanam yang dipelihara (unit)</v>
          </cell>
          <cell r="K1175">
            <v>50</v>
          </cell>
          <cell r="L1175">
            <v>332806000</v>
          </cell>
          <cell r="M1175">
            <v>50</v>
          </cell>
          <cell r="N1175">
            <v>49756200</v>
          </cell>
          <cell r="O1175">
            <v>50</v>
          </cell>
          <cell r="P1175">
            <v>51725000</v>
          </cell>
          <cell r="Q1175">
            <v>0</v>
          </cell>
          <cell r="R1175">
            <v>6190000</v>
          </cell>
          <cell r="S1175">
            <v>0</v>
          </cell>
          <cell r="T1175">
            <v>0</v>
          </cell>
          <cell r="U1175">
            <v>0</v>
          </cell>
          <cell r="V1175">
            <v>0</v>
          </cell>
          <cell r="W1175">
            <v>0</v>
          </cell>
          <cell r="X1175">
            <v>0</v>
          </cell>
          <cell r="Y1175">
            <v>0</v>
          </cell>
          <cell r="Z1175">
            <v>6190000</v>
          </cell>
          <cell r="AA1175">
            <v>50</v>
          </cell>
          <cell r="AB1175">
            <v>55946200</v>
          </cell>
          <cell r="AC1175">
            <v>100</v>
          </cell>
          <cell r="AD1175">
            <v>16.810454138447025</v>
          </cell>
        </row>
        <row r="1176">
          <cell r="I1176" t="str">
            <v>Pelatihan dan Bimbingan Pengoperasian Teknologi Pertanian/Perkebunan Tepat Guna</v>
          </cell>
          <cell r="J1176" t="str">
            <v>Jumlah petani yang dilatih menjadi operator alsintan (orang)</v>
          </cell>
          <cell r="K1176">
            <v>125</v>
          </cell>
          <cell r="L1176">
            <v>408538000</v>
          </cell>
          <cell r="M1176">
            <v>25</v>
          </cell>
          <cell r="N1176">
            <v>9686000</v>
          </cell>
          <cell r="O1176">
            <v>50</v>
          </cell>
          <cell r="P1176">
            <v>22590000</v>
          </cell>
          <cell r="Q1176">
            <v>0</v>
          </cell>
          <cell r="R1176">
            <v>0</v>
          </cell>
          <cell r="S1176">
            <v>0</v>
          </cell>
          <cell r="T1176">
            <v>0</v>
          </cell>
          <cell r="U1176">
            <v>0</v>
          </cell>
          <cell r="V1176">
            <v>0</v>
          </cell>
          <cell r="W1176">
            <v>0</v>
          </cell>
          <cell r="X1176">
            <v>0</v>
          </cell>
          <cell r="Y1176">
            <v>0</v>
          </cell>
          <cell r="Z1176">
            <v>0</v>
          </cell>
          <cell r="AA1176">
            <v>25</v>
          </cell>
          <cell r="AB1176">
            <v>9686000</v>
          </cell>
          <cell r="AC1176">
            <v>20</v>
          </cell>
          <cell r="AD1176">
            <v>2.3708932828769904</v>
          </cell>
        </row>
        <row r="1177">
          <cell r="I1177" t="str">
            <v>Pengembangan Teknologi Budidaya Padi SRI</v>
          </cell>
          <cell r="J1177" t="str">
            <v>Jumlah petani yang mengikuti sosialisasi dan pembinaan budidaya padi SRI (orang)</v>
          </cell>
          <cell r="K1177">
            <v>240</v>
          </cell>
          <cell r="L1177">
            <v>3722633000</v>
          </cell>
          <cell r="M1177">
            <v>60</v>
          </cell>
          <cell r="N1177">
            <v>60122000</v>
          </cell>
          <cell r="O1177">
            <v>60</v>
          </cell>
          <cell r="P1177">
            <v>412633720</v>
          </cell>
          <cell r="Q1177">
            <v>0</v>
          </cell>
          <cell r="R1177">
            <v>135000</v>
          </cell>
          <cell r="S1177">
            <v>0</v>
          </cell>
          <cell r="T1177">
            <v>0</v>
          </cell>
          <cell r="U1177">
            <v>0</v>
          </cell>
          <cell r="V1177">
            <v>0</v>
          </cell>
          <cell r="W1177">
            <v>0</v>
          </cell>
          <cell r="X1177">
            <v>0</v>
          </cell>
          <cell r="Y1177">
            <v>0</v>
          </cell>
          <cell r="Z1177">
            <v>135000</v>
          </cell>
          <cell r="AA1177">
            <v>60</v>
          </cell>
          <cell r="AB1177">
            <v>60257000</v>
          </cell>
          <cell r="AC1177">
            <v>25</v>
          </cell>
          <cell r="AD1177">
            <v>1.6186661430229625</v>
          </cell>
        </row>
        <row r="1178">
          <cell r="A1178">
            <v>4</v>
          </cell>
          <cell r="I1178" t="str">
            <v>Program Peningkatan Produksi Pertanian/ Perkebunan</v>
          </cell>
          <cell r="J1178" t="str">
            <v>Jumlah Produksi Padi (Ton)</v>
          </cell>
          <cell r="K1178">
            <v>1796305</v>
          </cell>
          <cell r="L1178">
            <v>21986966000</v>
          </cell>
          <cell r="M1178">
            <v>647192.19999999995</v>
          </cell>
          <cell r="N1178">
            <v>3216043900</v>
          </cell>
          <cell r="O1178">
            <v>296078</v>
          </cell>
          <cell r="P1178">
            <v>2675797830.3899999</v>
          </cell>
          <cell r="Q1178">
            <v>109610</v>
          </cell>
          <cell r="R1178">
            <v>112234200</v>
          </cell>
          <cell r="S1178">
            <v>0</v>
          </cell>
          <cell r="T1178">
            <v>0</v>
          </cell>
          <cell r="U1178">
            <v>0</v>
          </cell>
          <cell r="V1178">
            <v>0</v>
          </cell>
          <cell r="W1178">
            <v>0</v>
          </cell>
          <cell r="X1178">
            <v>0</v>
          </cell>
          <cell r="Y1178">
            <v>109610</v>
          </cell>
          <cell r="Z1178">
            <v>112234200</v>
          </cell>
          <cell r="AA1178">
            <v>756802.2</v>
          </cell>
          <cell r="AB1178">
            <v>3328278100</v>
          </cell>
          <cell r="AC1178">
            <v>42.131052354694773</v>
          </cell>
          <cell r="AD1178">
            <v>15.137505101886273</v>
          </cell>
        </row>
        <row r="1179">
          <cell r="J1179" t="str">
            <v>Jumlah Produksi jagung (Ton)</v>
          </cell>
          <cell r="K1179">
            <v>775968</v>
          </cell>
          <cell r="M1179">
            <v>327261.09999999998</v>
          </cell>
          <cell r="O1179">
            <v>117398</v>
          </cell>
          <cell r="Q1179">
            <v>34684</v>
          </cell>
          <cell r="S1179">
            <v>0</v>
          </cell>
          <cell r="U1179">
            <v>0</v>
          </cell>
          <cell r="W1179">
            <v>0</v>
          </cell>
          <cell r="Y1179">
            <v>34684</v>
          </cell>
          <cell r="Z1179">
            <v>0</v>
          </cell>
          <cell r="AA1179">
            <v>361945.1</v>
          </cell>
          <cell r="AB1179">
            <v>0</v>
          </cell>
          <cell r="AC1179">
            <v>46.644333271475105</v>
          </cell>
        </row>
        <row r="1180">
          <cell r="J1180" t="str">
            <v>Jumlah Produksi Cabe (Ton)</v>
          </cell>
          <cell r="K1180">
            <v>18455</v>
          </cell>
          <cell r="M1180">
            <v>8241</v>
          </cell>
          <cell r="O1180">
            <v>2991</v>
          </cell>
          <cell r="Q1180">
            <v>750</v>
          </cell>
          <cell r="S1180">
            <v>0</v>
          </cell>
          <cell r="U1180">
            <v>0</v>
          </cell>
          <cell r="W1180">
            <v>0</v>
          </cell>
          <cell r="Y1180">
            <v>750</v>
          </cell>
          <cell r="Z1180">
            <v>0</v>
          </cell>
          <cell r="AA1180">
            <v>8991</v>
          </cell>
          <cell r="AB1180">
            <v>0</v>
          </cell>
          <cell r="AC1180">
            <v>48.718504470333244</v>
          </cell>
        </row>
        <row r="1181">
          <cell r="J1181" t="str">
            <v>Jumlah produksi bawang merah (Ton)</v>
          </cell>
          <cell r="K1181">
            <v>1509</v>
          </cell>
          <cell r="M1181">
            <v>1552</v>
          </cell>
          <cell r="O1181">
            <v>250</v>
          </cell>
          <cell r="Q1181">
            <v>15</v>
          </cell>
          <cell r="S1181">
            <v>0</v>
          </cell>
          <cell r="U1181">
            <v>0</v>
          </cell>
          <cell r="W1181">
            <v>0</v>
          </cell>
          <cell r="Y1181">
            <v>15</v>
          </cell>
          <cell r="Z1181">
            <v>0</v>
          </cell>
          <cell r="AA1181">
            <v>1567</v>
          </cell>
          <cell r="AB1181">
            <v>0</v>
          </cell>
          <cell r="AC1181">
            <v>103.84360503644798</v>
          </cell>
        </row>
        <row r="1182">
          <cell r="J1182" t="str">
            <v>Jumlah produksi Buah-buahan (Ton)</v>
          </cell>
          <cell r="K1182">
            <v>179202</v>
          </cell>
          <cell r="M1182">
            <v>64362</v>
          </cell>
          <cell r="O1182">
            <v>29713</v>
          </cell>
          <cell r="Q1182">
            <v>12547</v>
          </cell>
          <cell r="S1182">
            <v>0</v>
          </cell>
          <cell r="U1182">
            <v>0</v>
          </cell>
          <cell r="W1182">
            <v>0</v>
          </cell>
          <cell r="Y1182">
            <v>12547</v>
          </cell>
          <cell r="Z1182">
            <v>0</v>
          </cell>
          <cell r="AA1182">
            <v>76909</v>
          </cell>
          <cell r="AB1182">
            <v>0</v>
          </cell>
          <cell r="AC1182">
            <v>42.917489760158929</v>
          </cell>
        </row>
        <row r="1183">
          <cell r="J1183" t="str">
            <v>Jumlah Produksi Kelapa Sawit (Ton)</v>
          </cell>
          <cell r="K1183">
            <v>1063225</v>
          </cell>
          <cell r="M1183">
            <v>333218.40000000002</v>
          </cell>
          <cell r="O1183">
            <v>166740</v>
          </cell>
          <cell r="Q1183">
            <v>83800</v>
          </cell>
          <cell r="S1183">
            <v>0</v>
          </cell>
          <cell r="U1183">
            <v>0</v>
          </cell>
          <cell r="W1183">
            <v>0</v>
          </cell>
          <cell r="Y1183">
            <v>83800</v>
          </cell>
          <cell r="Z1183">
            <v>0</v>
          </cell>
          <cell r="AA1183">
            <v>417018.4</v>
          </cell>
          <cell r="AB1183">
            <v>0</v>
          </cell>
          <cell r="AC1183">
            <v>39.22202732253286</v>
          </cell>
        </row>
        <row r="1184">
          <cell r="J1184" t="str">
            <v>Jumlah Produksi Karet (Ton)</v>
          </cell>
          <cell r="K1184">
            <v>66118</v>
          </cell>
          <cell r="M1184">
            <v>20938</v>
          </cell>
          <cell r="O1184">
            <v>10963</v>
          </cell>
          <cell r="Q1184">
            <v>2957</v>
          </cell>
          <cell r="S1184">
            <v>0</v>
          </cell>
          <cell r="U1184">
            <v>0</v>
          </cell>
          <cell r="W1184">
            <v>0</v>
          </cell>
          <cell r="Y1184">
            <v>2957</v>
          </cell>
          <cell r="Z1184">
            <v>0</v>
          </cell>
          <cell r="AA1184">
            <v>23895</v>
          </cell>
          <cell r="AB1184">
            <v>0</v>
          </cell>
          <cell r="AC1184">
            <v>36.139931637375597</v>
          </cell>
        </row>
        <row r="1185">
          <cell r="J1185" t="str">
            <v>Jumlah Produksi gambir (Ton)</v>
          </cell>
          <cell r="K1185">
            <v>41090</v>
          </cell>
          <cell r="M1185">
            <v>11177</v>
          </cell>
          <cell r="O1185">
            <v>6817</v>
          </cell>
          <cell r="Q1185">
            <v>2577</v>
          </cell>
          <cell r="S1185">
            <v>0</v>
          </cell>
          <cell r="U1185">
            <v>0</v>
          </cell>
          <cell r="W1185">
            <v>0</v>
          </cell>
          <cell r="Y1185">
            <v>2577</v>
          </cell>
          <cell r="Z1185">
            <v>0</v>
          </cell>
          <cell r="AA1185">
            <v>13754</v>
          </cell>
          <cell r="AB1185">
            <v>0</v>
          </cell>
          <cell r="AC1185">
            <v>33.472864443903624</v>
          </cell>
        </row>
        <row r="1186">
          <cell r="J1186" t="str">
            <v>Jumlah Produksi Pala (Ton)</v>
          </cell>
          <cell r="K1186">
            <v>1783</v>
          </cell>
          <cell r="M1186">
            <v>496.9</v>
          </cell>
          <cell r="O1186">
            <v>288</v>
          </cell>
          <cell r="Q1186">
            <v>134</v>
          </cell>
          <cell r="S1186">
            <v>0</v>
          </cell>
          <cell r="U1186">
            <v>0</v>
          </cell>
          <cell r="W1186">
            <v>0</v>
          </cell>
          <cell r="Y1186">
            <v>134</v>
          </cell>
          <cell r="Z1186">
            <v>0</v>
          </cell>
          <cell r="AA1186">
            <v>630.9</v>
          </cell>
          <cell r="AB1186">
            <v>0</v>
          </cell>
          <cell r="AC1186">
            <v>35.384183959618618</v>
          </cell>
        </row>
        <row r="1187">
          <cell r="J1187" t="str">
            <v>Jumlah Produksi kakao (Ton)</v>
          </cell>
          <cell r="K1187">
            <v>8547</v>
          </cell>
          <cell r="M1187">
            <v>2198.3000000000002</v>
          </cell>
          <cell r="O1187">
            <v>1424</v>
          </cell>
          <cell r="Q1187">
            <v>226</v>
          </cell>
          <cell r="S1187">
            <v>0</v>
          </cell>
          <cell r="U1187">
            <v>0</v>
          </cell>
          <cell r="W1187">
            <v>0</v>
          </cell>
          <cell r="Y1187">
            <v>226</v>
          </cell>
          <cell r="Z1187">
            <v>0</v>
          </cell>
          <cell r="AA1187">
            <v>2424.3000000000002</v>
          </cell>
          <cell r="AB1187">
            <v>0</v>
          </cell>
          <cell r="AC1187">
            <v>28.364338364338366</v>
          </cell>
        </row>
        <row r="1188">
          <cell r="J1188" t="str">
            <v>Jumlah Produksi Kopi (Ton)</v>
          </cell>
          <cell r="K1188">
            <v>7315</v>
          </cell>
          <cell r="M1188">
            <v>1989</v>
          </cell>
          <cell r="O1188">
            <v>1234</v>
          </cell>
          <cell r="Q1188">
            <v>661</v>
          </cell>
          <cell r="S1188">
            <v>0</v>
          </cell>
          <cell r="U1188">
            <v>0</v>
          </cell>
          <cell r="W1188">
            <v>0</v>
          </cell>
          <cell r="Y1188">
            <v>661</v>
          </cell>
          <cell r="Z1188">
            <v>0</v>
          </cell>
          <cell r="AA1188">
            <v>2650</v>
          </cell>
          <cell r="AB1188">
            <v>0</v>
          </cell>
          <cell r="AC1188">
            <v>36.226930963773071</v>
          </cell>
        </row>
        <row r="1189">
          <cell r="J1189" t="str">
            <v>Jumlah Produksi Cengkeh (Ton)</v>
          </cell>
          <cell r="K1189">
            <v>1970</v>
          </cell>
          <cell r="M1189">
            <v>722.4</v>
          </cell>
          <cell r="O1189">
            <v>325</v>
          </cell>
          <cell r="Q1189">
            <v>53</v>
          </cell>
          <cell r="S1189">
            <v>0</v>
          </cell>
          <cell r="U1189">
            <v>0</v>
          </cell>
          <cell r="W1189">
            <v>0</v>
          </cell>
          <cell r="Y1189">
            <v>53</v>
          </cell>
          <cell r="Z1189">
            <v>0</v>
          </cell>
          <cell r="AA1189">
            <v>775.4</v>
          </cell>
          <cell r="AB1189">
            <v>0</v>
          </cell>
          <cell r="AC1189">
            <v>39.360406091370557</v>
          </cell>
        </row>
        <row r="1190">
          <cell r="I1190" t="str">
            <v>Pengembangan Bibit Unggul Perkebunan</v>
          </cell>
          <cell r="J1190" t="str">
            <v>Tersedianya bibit unggul tanaman Perkebunan (batang)</v>
          </cell>
          <cell r="K1190">
            <v>23250</v>
          </cell>
          <cell r="L1190">
            <v>4573073000</v>
          </cell>
          <cell r="M1190">
            <v>7407</v>
          </cell>
          <cell r="N1190">
            <v>372540000</v>
          </cell>
          <cell r="O1190">
            <v>82040</v>
          </cell>
          <cell r="P1190">
            <v>622722037.75</v>
          </cell>
          <cell r="Q1190">
            <v>0</v>
          </cell>
          <cell r="R1190">
            <v>9046200</v>
          </cell>
          <cell r="S1190">
            <v>0</v>
          </cell>
          <cell r="T1190">
            <v>0</v>
          </cell>
          <cell r="U1190">
            <v>0</v>
          </cell>
          <cell r="V1190">
            <v>0</v>
          </cell>
          <cell r="W1190">
            <v>0</v>
          </cell>
          <cell r="X1190">
            <v>0</v>
          </cell>
          <cell r="Y1190">
            <v>0</v>
          </cell>
          <cell r="Z1190">
            <v>9046200</v>
          </cell>
          <cell r="AA1190">
            <v>7407</v>
          </cell>
          <cell r="AB1190">
            <v>381586200</v>
          </cell>
          <cell r="AC1190">
            <v>31.85806451612903</v>
          </cell>
          <cell r="AD1190">
            <v>8.344196561043308</v>
          </cell>
        </row>
        <row r="1191">
          <cell r="I1191" t="str">
            <v>Pembenahan dan Pengolahan Data Statistik Pertanian</v>
          </cell>
          <cell r="J1191" t="str">
            <v>Jumlah buku statistik pertanian (buku)</v>
          </cell>
          <cell r="K1191">
            <v>6</v>
          </cell>
          <cell r="L1191">
            <v>1016642000</v>
          </cell>
          <cell r="M1191">
            <v>2</v>
          </cell>
          <cell r="N1191">
            <v>288962000</v>
          </cell>
          <cell r="O1191">
            <v>1</v>
          </cell>
          <cell r="P1191">
            <v>195647200</v>
          </cell>
          <cell r="Q1191">
            <v>0</v>
          </cell>
          <cell r="R1191">
            <v>13039900</v>
          </cell>
          <cell r="S1191">
            <v>0</v>
          </cell>
          <cell r="T1191">
            <v>0</v>
          </cell>
          <cell r="U1191">
            <v>0</v>
          </cell>
          <cell r="V1191">
            <v>0</v>
          </cell>
          <cell r="W1191">
            <v>0</v>
          </cell>
          <cell r="X1191">
            <v>0</v>
          </cell>
          <cell r="Y1191">
            <v>0</v>
          </cell>
          <cell r="Z1191">
            <v>13039900</v>
          </cell>
          <cell r="AA1191">
            <v>2</v>
          </cell>
          <cell r="AB1191">
            <v>302001900</v>
          </cell>
          <cell r="AC1191">
            <v>33.333333333333329</v>
          </cell>
          <cell r="AD1191">
            <v>29.705825649540351</v>
          </cell>
        </row>
        <row r="1192">
          <cell r="I1192" t="str">
            <v>Pengendalian Hama Penyakit/OPT</v>
          </cell>
          <cell r="J1192" t="str">
            <v>Jumlah pengamatan dan pengendalian OPT</v>
          </cell>
          <cell r="K1192">
            <v>15</v>
          </cell>
          <cell r="L1192">
            <v>651000000</v>
          </cell>
          <cell r="M1192">
            <v>15</v>
          </cell>
          <cell r="N1192">
            <v>249321000</v>
          </cell>
          <cell r="O1192">
            <v>15</v>
          </cell>
          <cell r="P1192">
            <v>147579020</v>
          </cell>
          <cell r="Q1192">
            <v>0</v>
          </cell>
          <cell r="R1192">
            <v>7000000</v>
          </cell>
          <cell r="S1192">
            <v>0</v>
          </cell>
          <cell r="T1192">
            <v>0</v>
          </cell>
          <cell r="U1192">
            <v>0</v>
          </cell>
          <cell r="V1192">
            <v>0</v>
          </cell>
          <cell r="W1192">
            <v>0</v>
          </cell>
          <cell r="X1192">
            <v>0</v>
          </cell>
          <cell r="Y1192">
            <v>0</v>
          </cell>
          <cell r="Z1192">
            <v>7000000</v>
          </cell>
          <cell r="AA1192">
            <v>15</v>
          </cell>
          <cell r="AB1192">
            <v>256321000</v>
          </cell>
          <cell r="AC1192">
            <v>100</v>
          </cell>
          <cell r="AD1192">
            <v>39.373425499231949</v>
          </cell>
        </row>
        <row r="1193">
          <cell r="I1193" t="str">
            <v>Pengembangan Bibit Unggul Pertanian</v>
          </cell>
          <cell r="J1193" t="str">
            <v>Jumlah pertemuan kelompok penangkar (kali)</v>
          </cell>
          <cell r="K1193">
            <v>10</v>
          </cell>
          <cell r="L1193">
            <v>1231119000</v>
          </cell>
          <cell r="M1193">
            <v>2</v>
          </cell>
          <cell r="N1193">
            <v>232176000</v>
          </cell>
          <cell r="O1193">
            <v>4</v>
          </cell>
          <cell r="P1193">
            <v>387027680</v>
          </cell>
          <cell r="Q1193">
            <v>0</v>
          </cell>
          <cell r="R1193">
            <v>6335000</v>
          </cell>
          <cell r="S1193">
            <v>0</v>
          </cell>
          <cell r="T1193">
            <v>0</v>
          </cell>
          <cell r="U1193">
            <v>0</v>
          </cell>
          <cell r="V1193">
            <v>0</v>
          </cell>
          <cell r="W1193">
            <v>0</v>
          </cell>
          <cell r="X1193">
            <v>0</v>
          </cell>
          <cell r="Y1193">
            <v>0</v>
          </cell>
          <cell r="Z1193">
            <v>6335000</v>
          </cell>
          <cell r="AA1193">
            <v>2</v>
          </cell>
          <cell r="AB1193">
            <v>238511000</v>
          </cell>
          <cell r="AC1193">
            <v>20</v>
          </cell>
          <cell r="AD1193">
            <v>19.373513039763012</v>
          </cell>
        </row>
        <row r="1194">
          <cell r="I1194" t="str">
            <v>Pengembangan Tanaman Hortikultura</v>
          </cell>
          <cell r="J1194" t="str">
            <v>Jumlah petani yang mengikuti pelatihan penangkar tanaman hortikultura (orang)</v>
          </cell>
          <cell r="K1194">
            <v>145</v>
          </cell>
          <cell r="L1194">
            <v>2341856000</v>
          </cell>
          <cell r="M1194">
            <v>125</v>
          </cell>
          <cell r="N1194">
            <v>640563000</v>
          </cell>
          <cell r="O1194">
            <v>25</v>
          </cell>
          <cell r="P1194">
            <v>314562430</v>
          </cell>
          <cell r="Q1194">
            <v>0</v>
          </cell>
          <cell r="R1194">
            <v>4481400</v>
          </cell>
          <cell r="S1194">
            <v>0</v>
          </cell>
          <cell r="T1194">
            <v>0</v>
          </cell>
          <cell r="U1194">
            <v>0</v>
          </cell>
          <cell r="V1194">
            <v>0</v>
          </cell>
          <cell r="W1194">
            <v>0</v>
          </cell>
          <cell r="X1194">
            <v>0</v>
          </cell>
          <cell r="Y1194">
            <v>0</v>
          </cell>
          <cell r="Z1194">
            <v>4481400</v>
          </cell>
          <cell r="AA1194">
            <v>125</v>
          </cell>
          <cell r="AB1194">
            <v>645044400</v>
          </cell>
          <cell r="AC1194">
            <v>86.206896551724128</v>
          </cell>
          <cell r="AD1194">
            <v>27.544153013678041</v>
          </cell>
        </row>
        <row r="1195">
          <cell r="I1195" t="str">
            <v>Pengujian Mutu Pupuk dan Pestisida</v>
          </cell>
          <cell r="J1195" t="str">
            <v>Jumlah sampel pupuk dan pestisida yang diuji (sampel)</v>
          </cell>
          <cell r="K1195">
            <v>16</v>
          </cell>
          <cell r="L1195">
            <v>113765000</v>
          </cell>
          <cell r="M1195">
            <v>8</v>
          </cell>
          <cell r="N1195">
            <v>54004000</v>
          </cell>
          <cell r="O1195">
            <v>0</v>
          </cell>
          <cell r="P1195">
            <v>28638000</v>
          </cell>
          <cell r="Q1195">
            <v>0</v>
          </cell>
          <cell r="R1195">
            <v>4893600</v>
          </cell>
          <cell r="S1195">
            <v>0</v>
          </cell>
          <cell r="T1195">
            <v>0</v>
          </cell>
          <cell r="U1195">
            <v>0</v>
          </cell>
          <cell r="V1195">
            <v>0</v>
          </cell>
          <cell r="W1195">
            <v>0</v>
          </cell>
          <cell r="X1195">
            <v>0</v>
          </cell>
          <cell r="Y1195">
            <v>0</v>
          </cell>
          <cell r="Z1195">
            <v>4893600</v>
          </cell>
          <cell r="AA1195">
            <v>8</v>
          </cell>
          <cell r="AB1195">
            <v>58897600</v>
          </cell>
          <cell r="AC1195">
            <v>50</v>
          </cell>
          <cell r="AD1195">
            <v>51.771282907748429</v>
          </cell>
        </row>
        <row r="1196">
          <cell r="I1196" t="str">
            <v>Penyusunan Data Base Lahan Pertanian Pangan Berkelanjutan (LP2B)</v>
          </cell>
          <cell r="J1196" t="str">
            <v>Jumlah peta LP2B (peta)</v>
          </cell>
          <cell r="K1196">
            <v>15</v>
          </cell>
          <cell r="L1196">
            <v>2295690000</v>
          </cell>
          <cell r="M1196">
            <v>4</v>
          </cell>
          <cell r="N1196">
            <v>532998000</v>
          </cell>
          <cell r="O1196">
            <v>2</v>
          </cell>
          <cell r="P1196">
            <v>343819360</v>
          </cell>
          <cell r="Q1196">
            <v>0</v>
          </cell>
          <cell r="R1196">
            <v>0</v>
          </cell>
          <cell r="S1196">
            <v>0</v>
          </cell>
          <cell r="T1196">
            <v>0</v>
          </cell>
          <cell r="U1196">
            <v>0</v>
          </cell>
          <cell r="V1196">
            <v>0</v>
          </cell>
          <cell r="W1196">
            <v>0</v>
          </cell>
          <cell r="X1196">
            <v>0</v>
          </cell>
          <cell r="Y1196">
            <v>0</v>
          </cell>
          <cell r="Z1196">
            <v>0</v>
          </cell>
          <cell r="AA1196">
            <v>4</v>
          </cell>
          <cell r="AB1196">
            <v>532998000</v>
          </cell>
          <cell r="AC1196">
            <v>26.666666666666668</v>
          </cell>
          <cell r="AD1196">
            <v>23.21733335075729</v>
          </cell>
        </row>
        <row r="1197">
          <cell r="I1197" t="str">
            <v>Sekolah Lapang Budidaya Kakao</v>
          </cell>
          <cell r="J1197" t="str">
            <v>Jumlah petani yang mengikuti sekolah lapang (orang)</v>
          </cell>
          <cell r="K1197">
            <v>60</v>
          </cell>
          <cell r="L1197">
            <v>276655000</v>
          </cell>
          <cell r="M1197">
            <v>11</v>
          </cell>
          <cell r="N1197">
            <v>161181000</v>
          </cell>
          <cell r="O1197">
            <v>1</v>
          </cell>
          <cell r="P1197">
            <v>50310100</v>
          </cell>
          <cell r="Q1197">
            <v>0</v>
          </cell>
          <cell r="R1197">
            <v>525000</v>
          </cell>
          <cell r="S1197">
            <v>0</v>
          </cell>
          <cell r="T1197">
            <v>0</v>
          </cell>
          <cell r="U1197">
            <v>0</v>
          </cell>
          <cell r="V1197">
            <v>0</v>
          </cell>
          <cell r="W1197">
            <v>0</v>
          </cell>
          <cell r="X1197">
            <v>0</v>
          </cell>
          <cell r="Y1197">
            <v>0</v>
          </cell>
          <cell r="Z1197">
            <v>525000</v>
          </cell>
          <cell r="AA1197">
            <v>11</v>
          </cell>
          <cell r="AB1197">
            <v>161706000</v>
          </cell>
          <cell r="AC1197">
            <v>18.333333333333332</v>
          </cell>
          <cell r="AD1197">
            <v>58.450416583831846</v>
          </cell>
        </row>
        <row r="1198">
          <cell r="I1198" t="str">
            <v>Pelatihan Teknis Budidaya Tanaman Karet</v>
          </cell>
          <cell r="J1198" t="str">
            <v>Jumlah petani yang mengikuti pelatihan teknis budidaya tanaman karet (orang)</v>
          </cell>
          <cell r="K1198">
            <v>140</v>
          </cell>
          <cell r="L1198">
            <v>1969770000</v>
          </cell>
          <cell r="M1198">
            <v>65</v>
          </cell>
          <cell r="N1198">
            <v>416676000</v>
          </cell>
          <cell r="O1198">
            <v>25</v>
          </cell>
          <cell r="P1198">
            <v>124570998.14</v>
          </cell>
          <cell r="Q1198">
            <v>0</v>
          </cell>
          <cell r="R1198">
            <v>3206200</v>
          </cell>
          <cell r="S1198">
            <v>0</v>
          </cell>
          <cell r="T1198">
            <v>0</v>
          </cell>
          <cell r="U1198">
            <v>0</v>
          </cell>
          <cell r="V1198">
            <v>0</v>
          </cell>
          <cell r="W1198">
            <v>0</v>
          </cell>
          <cell r="X1198">
            <v>0</v>
          </cell>
          <cell r="Y1198">
            <v>0</v>
          </cell>
          <cell r="Z1198">
            <v>3206200</v>
          </cell>
          <cell r="AA1198">
            <v>65</v>
          </cell>
          <cell r="AB1198">
            <v>419882200</v>
          </cell>
          <cell r="AC1198">
            <v>46.428571428571431</v>
          </cell>
          <cell r="AD1198">
            <v>21.316305964655772</v>
          </cell>
        </row>
        <row r="1199">
          <cell r="I1199" t="str">
            <v>Pengendalian Hama Perkebunan</v>
          </cell>
          <cell r="J1199" t="str">
            <v>Jumlah gerakan pengendalian hama perkebunan (gerakan)</v>
          </cell>
          <cell r="K1199">
            <v>90</v>
          </cell>
          <cell r="L1199">
            <v>750377000</v>
          </cell>
          <cell r="M1199">
            <v>24</v>
          </cell>
          <cell r="N1199">
            <v>230717900</v>
          </cell>
          <cell r="O1199">
            <v>15</v>
          </cell>
          <cell r="P1199">
            <v>155015584.5</v>
          </cell>
          <cell r="Q1199">
            <v>0</v>
          </cell>
          <cell r="R1199">
            <v>18345000</v>
          </cell>
          <cell r="S1199">
            <v>0</v>
          </cell>
          <cell r="T1199">
            <v>0</v>
          </cell>
          <cell r="U1199">
            <v>0</v>
          </cell>
          <cell r="V1199">
            <v>0</v>
          </cell>
          <cell r="W1199">
            <v>0</v>
          </cell>
          <cell r="X1199">
            <v>0</v>
          </cell>
          <cell r="Y1199">
            <v>0</v>
          </cell>
          <cell r="Z1199">
            <v>18345000</v>
          </cell>
          <cell r="AA1199">
            <v>24</v>
          </cell>
          <cell r="AB1199">
            <v>249062900</v>
          </cell>
          <cell r="AC1199">
            <v>26.666666666666668</v>
          </cell>
          <cell r="AD1199">
            <v>33.191702304308365</v>
          </cell>
        </row>
        <row r="1200">
          <cell r="I1200" t="str">
            <v>Pembinaan dan Pengembangan Tanaman Perkebunan</v>
          </cell>
          <cell r="J1200" t="str">
            <v>Jumlah kelompok penangkar yang dibina (kelompok)</v>
          </cell>
          <cell r="K1200">
            <v>40</v>
          </cell>
          <cell r="L1200">
            <v>342046000</v>
          </cell>
          <cell r="M1200">
            <v>0</v>
          </cell>
          <cell r="N1200">
            <v>0</v>
          </cell>
          <cell r="O1200">
            <v>2</v>
          </cell>
          <cell r="P1200">
            <v>92229500</v>
          </cell>
          <cell r="Q1200">
            <v>0</v>
          </cell>
          <cell r="R1200">
            <v>9516200</v>
          </cell>
          <cell r="S1200">
            <v>0</v>
          </cell>
          <cell r="T1200">
            <v>0</v>
          </cell>
          <cell r="U1200">
            <v>0</v>
          </cell>
          <cell r="V1200">
            <v>0</v>
          </cell>
          <cell r="W1200">
            <v>0</v>
          </cell>
          <cell r="X1200">
            <v>0</v>
          </cell>
          <cell r="Y1200">
            <v>0</v>
          </cell>
          <cell r="Z1200">
            <v>9516200</v>
          </cell>
          <cell r="AA1200">
            <v>0</v>
          </cell>
          <cell r="AB1200">
            <v>9516200</v>
          </cell>
          <cell r="AC1200">
            <v>0</v>
          </cell>
          <cell r="AD1200">
            <v>2.782140413862463</v>
          </cell>
        </row>
        <row r="1201">
          <cell r="I1201" t="str">
            <v>Penunjang Kegiatan Provinsi dan Pusat Bidang Tanaman Pangan Hortikultura Perkebunan</v>
          </cell>
          <cell r="J1201" t="str">
            <v>Terfasilitasinya kegiatan pusat dan provinsi yang ada di daerah (bulan)</v>
          </cell>
          <cell r="K1201">
            <v>60</v>
          </cell>
          <cell r="L1201">
            <v>415837000</v>
          </cell>
          <cell r="M1201">
            <v>12</v>
          </cell>
          <cell r="N1201">
            <v>36905000</v>
          </cell>
          <cell r="O1201">
            <v>12</v>
          </cell>
          <cell r="P1201">
            <v>213675920</v>
          </cell>
          <cell r="Q1201">
            <v>0</v>
          </cell>
          <cell r="R1201">
            <v>35845700</v>
          </cell>
          <cell r="S1201">
            <v>0</v>
          </cell>
          <cell r="T1201">
            <v>0</v>
          </cell>
          <cell r="U1201">
            <v>0</v>
          </cell>
          <cell r="V1201">
            <v>0</v>
          </cell>
          <cell r="W1201">
            <v>0</v>
          </cell>
          <cell r="X1201">
            <v>0</v>
          </cell>
          <cell r="Y1201">
            <v>0</v>
          </cell>
          <cell r="Z1201">
            <v>35845700</v>
          </cell>
          <cell r="AA1201">
            <v>12</v>
          </cell>
          <cell r="AB1201">
            <v>72750700</v>
          </cell>
          <cell r="AC1201">
            <v>20</v>
          </cell>
          <cell r="AD1201">
            <v>17.495004052068477</v>
          </cell>
        </row>
        <row r="1202">
          <cell r="I1202" t="str">
            <v>LOAN IPDMIP</v>
          </cell>
          <cell r="J1202" t="str">
            <v>Jumlah petani yang mengikuti SL Budidaya Padi (orang)</v>
          </cell>
          <cell r="K1202">
            <v>720</v>
          </cell>
          <cell r="L1202">
            <v>6009136000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row>
        <row r="1203">
          <cell r="I1203" t="str">
            <v>Program Pemberdayaan Penyuluh Pertanian Lapangan</v>
          </cell>
          <cell r="J1203" t="str">
            <v>Rasio Penyuluh Terhadap Kelompok Tani</v>
          </cell>
          <cell r="K1203">
            <v>0.10299999999999999</v>
          </cell>
          <cell r="L1203">
            <v>6072687000</v>
          </cell>
          <cell r="M1203">
            <v>9.7000000000000003E-2</v>
          </cell>
          <cell r="N1203">
            <v>387967000</v>
          </cell>
          <cell r="O1203">
            <v>0.10299999999999999</v>
          </cell>
          <cell r="P1203">
            <v>560307750</v>
          </cell>
          <cell r="Q1203">
            <v>0</v>
          </cell>
          <cell r="R1203">
            <v>75927600</v>
          </cell>
          <cell r="S1203">
            <v>0</v>
          </cell>
          <cell r="T1203">
            <v>0</v>
          </cell>
          <cell r="U1203">
            <v>0</v>
          </cell>
          <cell r="V1203">
            <v>0</v>
          </cell>
          <cell r="W1203">
            <v>0</v>
          </cell>
          <cell r="X1203">
            <v>0</v>
          </cell>
          <cell r="Y1203">
            <v>0</v>
          </cell>
          <cell r="Z1203">
            <v>75927600</v>
          </cell>
          <cell r="AA1203">
            <v>9.7000000000000003E-2</v>
          </cell>
          <cell r="AB1203">
            <v>463894600</v>
          </cell>
          <cell r="AC1203">
            <v>94.174757281553397</v>
          </cell>
          <cell r="AD1203">
            <v>7.6390335941898533</v>
          </cell>
        </row>
        <row r="1204">
          <cell r="J1204" t="str">
            <v>Jumlah Penyuluh Berprestasi (orang)</v>
          </cell>
          <cell r="K1204">
            <v>10</v>
          </cell>
          <cell r="M1204">
            <v>4</v>
          </cell>
          <cell r="O1204">
            <v>2</v>
          </cell>
          <cell r="Q1204">
            <v>0</v>
          </cell>
          <cell r="S1204">
            <v>0</v>
          </cell>
          <cell r="U1204">
            <v>0</v>
          </cell>
          <cell r="W1204">
            <v>0</v>
          </cell>
          <cell r="Y1204">
            <v>0</v>
          </cell>
          <cell r="Z1204">
            <v>0</v>
          </cell>
          <cell r="AA1204">
            <v>4</v>
          </cell>
          <cell r="AB1204">
            <v>0</v>
          </cell>
          <cell r="AC1204">
            <v>40</v>
          </cell>
          <cell r="AD1204" t="e">
            <v>#DIV/0!</v>
          </cell>
        </row>
        <row r="1205">
          <cell r="I1205" t="str">
            <v>Peningkatan Kapasitas Tenaga Penyuluh Pertanian/Perkebunan</v>
          </cell>
          <cell r="J1205" t="str">
            <v>Jumlah PPL yang difasilitasi operasional (orang)</v>
          </cell>
          <cell r="K1205">
            <v>780</v>
          </cell>
          <cell r="L1205">
            <v>5358687000</v>
          </cell>
          <cell r="M1205">
            <v>156</v>
          </cell>
          <cell r="N1205">
            <v>310710000</v>
          </cell>
          <cell r="O1205">
            <v>156</v>
          </cell>
          <cell r="P1205">
            <v>517182250</v>
          </cell>
          <cell r="Q1205">
            <v>0</v>
          </cell>
          <cell r="R1205">
            <v>75927600</v>
          </cell>
          <cell r="S1205">
            <v>0</v>
          </cell>
          <cell r="T1205">
            <v>0</v>
          </cell>
          <cell r="U1205">
            <v>0</v>
          </cell>
          <cell r="V1205">
            <v>0</v>
          </cell>
          <cell r="W1205">
            <v>0</v>
          </cell>
          <cell r="X1205">
            <v>0</v>
          </cell>
          <cell r="Y1205">
            <v>0</v>
          </cell>
          <cell r="Z1205">
            <v>75927600</v>
          </cell>
          <cell r="AA1205">
            <v>156</v>
          </cell>
          <cell r="AB1205">
            <v>386637600</v>
          </cell>
          <cell r="AC1205">
            <v>20</v>
          </cell>
          <cell r="AD1205">
            <v>7.2151555035776482</v>
          </cell>
        </row>
        <row r="1206">
          <cell r="I1206" t="str">
            <v>Penyusunan Programa Penyuluh Pertanian/Perkebunan</v>
          </cell>
          <cell r="J1206" t="str">
            <v>Jumlah programa penyuluhan yang dihasilkan (dokumen)</v>
          </cell>
          <cell r="K1206">
            <v>64</v>
          </cell>
          <cell r="L1206">
            <v>714000000</v>
          </cell>
          <cell r="M1206">
            <v>16</v>
          </cell>
          <cell r="N1206">
            <v>77257000</v>
          </cell>
          <cell r="O1206">
            <v>16</v>
          </cell>
          <cell r="P1206">
            <v>43125500</v>
          </cell>
          <cell r="Q1206">
            <v>0</v>
          </cell>
          <cell r="R1206">
            <v>0</v>
          </cell>
          <cell r="S1206">
            <v>0</v>
          </cell>
          <cell r="T1206">
            <v>0</v>
          </cell>
          <cell r="U1206">
            <v>0</v>
          </cell>
          <cell r="V1206">
            <v>0</v>
          </cell>
          <cell r="W1206">
            <v>0</v>
          </cell>
          <cell r="X1206">
            <v>0</v>
          </cell>
          <cell r="Y1206">
            <v>0</v>
          </cell>
          <cell r="Z1206">
            <v>0</v>
          </cell>
          <cell r="AA1206">
            <v>16</v>
          </cell>
          <cell r="AB1206">
            <v>77257000</v>
          </cell>
          <cell r="AC1206">
            <v>25</v>
          </cell>
          <cell r="AD1206">
            <v>10.820308123249301</v>
          </cell>
        </row>
        <row r="1207">
          <cell r="A1207">
            <v>5</v>
          </cell>
          <cell r="I1207" t="str">
            <v>Program Peningkatan Kelembagaan Petani</v>
          </cell>
          <cell r="J1207" t="str">
            <v>Jumlah Gapoktan Berprestasi (gapoktan)</v>
          </cell>
          <cell r="K1207">
            <v>6</v>
          </cell>
          <cell r="L1207">
            <v>1404994000</v>
          </cell>
          <cell r="M1207">
            <v>2</v>
          </cell>
          <cell r="N1207">
            <v>226411000</v>
          </cell>
          <cell r="O1207">
            <v>1</v>
          </cell>
          <cell r="P1207">
            <v>399033880</v>
          </cell>
          <cell r="Q1207">
            <v>0</v>
          </cell>
          <cell r="R1207">
            <v>0</v>
          </cell>
          <cell r="S1207">
            <v>0</v>
          </cell>
          <cell r="T1207">
            <v>0</v>
          </cell>
          <cell r="U1207">
            <v>0</v>
          </cell>
          <cell r="V1207">
            <v>0</v>
          </cell>
          <cell r="W1207">
            <v>0</v>
          </cell>
          <cell r="X1207">
            <v>0</v>
          </cell>
          <cell r="Y1207">
            <v>0</v>
          </cell>
          <cell r="Z1207">
            <v>0</v>
          </cell>
          <cell r="AA1207">
            <v>2</v>
          </cell>
          <cell r="AB1207">
            <v>226411000</v>
          </cell>
          <cell r="AC1207">
            <v>33.333333333333329</v>
          </cell>
          <cell r="AD1207">
            <v>16.114730739063653</v>
          </cell>
          <cell r="AE1207" t="str">
            <v>Distanhorbun</v>
          </cell>
        </row>
        <row r="1208">
          <cell r="J1208" t="str">
            <v>Jumlah Kelompok Tani Berprestasi (kelompok)</v>
          </cell>
          <cell r="K1208">
            <v>7</v>
          </cell>
          <cell r="M1208">
            <v>3</v>
          </cell>
          <cell r="O1208">
            <v>1</v>
          </cell>
          <cell r="Q1208">
            <v>0</v>
          </cell>
          <cell r="S1208">
            <v>0</v>
          </cell>
          <cell r="U1208">
            <v>0</v>
          </cell>
          <cell r="W1208">
            <v>0</v>
          </cell>
          <cell r="Y1208">
            <v>0</v>
          </cell>
          <cell r="Z1208">
            <v>0</v>
          </cell>
          <cell r="AA1208">
            <v>3</v>
          </cell>
          <cell r="AB1208">
            <v>0</v>
          </cell>
          <cell r="AC1208">
            <v>42.857142857142854</v>
          </cell>
        </row>
        <row r="1209">
          <cell r="J1209" t="str">
            <v>Jumlah Petani Berprestasi (orang)</v>
          </cell>
          <cell r="K1209">
            <v>5</v>
          </cell>
          <cell r="M1209">
            <v>1</v>
          </cell>
          <cell r="O1209">
            <v>1</v>
          </cell>
          <cell r="Q1209">
            <v>0</v>
          </cell>
          <cell r="S1209">
            <v>0</v>
          </cell>
          <cell r="U1209">
            <v>0</v>
          </cell>
          <cell r="W1209">
            <v>0</v>
          </cell>
          <cell r="Y1209">
            <v>0</v>
          </cell>
          <cell r="Z1209">
            <v>0</v>
          </cell>
          <cell r="AA1209">
            <v>1</v>
          </cell>
          <cell r="AB1209">
            <v>0</v>
          </cell>
          <cell r="AC1209">
            <v>20</v>
          </cell>
        </row>
        <row r="1210">
          <cell r="I1210" t="str">
            <v>Peningkatan Kemampuan Kelembagaan  Petani (LKMA)</v>
          </cell>
          <cell r="J1210" t="str">
            <v>Jumlah LKMA yang dibina</v>
          </cell>
          <cell r="K1210">
            <v>145</v>
          </cell>
          <cell r="L1210">
            <v>210390000</v>
          </cell>
          <cell r="M1210">
            <v>145</v>
          </cell>
          <cell r="N1210">
            <v>98984000</v>
          </cell>
          <cell r="O1210">
            <v>145</v>
          </cell>
          <cell r="P1210">
            <v>116040880</v>
          </cell>
          <cell r="Q1210">
            <v>0</v>
          </cell>
          <cell r="R1210">
            <v>16248200</v>
          </cell>
          <cell r="S1210">
            <v>0</v>
          </cell>
          <cell r="T1210">
            <v>0</v>
          </cell>
          <cell r="U1210">
            <v>0</v>
          </cell>
          <cell r="V1210">
            <v>0</v>
          </cell>
          <cell r="W1210">
            <v>0</v>
          </cell>
          <cell r="X1210">
            <v>0</v>
          </cell>
          <cell r="Y1210">
            <v>0</v>
          </cell>
          <cell r="Z1210">
            <v>16248200</v>
          </cell>
          <cell r="AA1210">
            <v>145</v>
          </cell>
          <cell r="AB1210">
            <v>115232200</v>
          </cell>
          <cell r="AC1210">
            <v>100</v>
          </cell>
          <cell r="AD1210">
            <v>54.770759066495557</v>
          </cell>
        </row>
        <row r="1211">
          <cell r="I1211" t="str">
            <v>Fasilitasi Pembentukan Kelompok Tani Berbadan Hukum</v>
          </cell>
          <cell r="J1211" t="str">
            <v>Jumlah kelompok tani yang berbadan hukum (kelompok)</v>
          </cell>
          <cell r="K1211">
            <v>465</v>
          </cell>
          <cell r="L1211">
            <v>813146000</v>
          </cell>
          <cell r="M1211">
            <v>50</v>
          </cell>
          <cell r="N1211">
            <v>93633000</v>
          </cell>
          <cell r="O1211">
            <v>115</v>
          </cell>
          <cell r="P1211">
            <v>246496500</v>
          </cell>
          <cell r="Q1211">
            <v>0</v>
          </cell>
          <cell r="R1211">
            <v>24988700</v>
          </cell>
          <cell r="S1211">
            <v>0</v>
          </cell>
          <cell r="T1211">
            <v>0</v>
          </cell>
          <cell r="U1211">
            <v>0</v>
          </cell>
          <cell r="V1211">
            <v>0</v>
          </cell>
          <cell r="W1211">
            <v>0</v>
          </cell>
          <cell r="X1211">
            <v>0</v>
          </cell>
          <cell r="Y1211">
            <v>0</v>
          </cell>
          <cell r="Z1211">
            <v>24988700</v>
          </cell>
          <cell r="AA1211">
            <v>50</v>
          </cell>
          <cell r="AB1211">
            <v>118621700</v>
          </cell>
          <cell r="AC1211">
            <v>10.75268817204301</v>
          </cell>
          <cell r="AD1211">
            <v>14.587995267762494</v>
          </cell>
        </row>
        <row r="1212">
          <cell r="I1212" t="str">
            <v>Fasilitasi Asuransi Usaha Tanaman Padi</v>
          </cell>
          <cell r="J1212" t="str">
            <v>Luas lahan usaha tani yang difasilitasi (ha)</v>
          </cell>
          <cell r="K1212">
            <v>10600</v>
          </cell>
          <cell r="L1212">
            <v>381458000</v>
          </cell>
          <cell r="M1212">
            <v>168</v>
          </cell>
          <cell r="N1212">
            <v>33794000</v>
          </cell>
          <cell r="O1212">
            <v>2000</v>
          </cell>
          <cell r="P1212">
            <v>36496500</v>
          </cell>
          <cell r="Q1212">
            <v>0</v>
          </cell>
          <cell r="R1212">
            <v>2000000</v>
          </cell>
          <cell r="S1212">
            <v>0</v>
          </cell>
          <cell r="T1212">
            <v>0</v>
          </cell>
          <cell r="U1212">
            <v>0</v>
          </cell>
          <cell r="V1212">
            <v>0</v>
          </cell>
          <cell r="W1212">
            <v>0</v>
          </cell>
          <cell r="X1212">
            <v>0</v>
          </cell>
          <cell r="Y1212">
            <v>0</v>
          </cell>
          <cell r="Z1212">
            <v>2000000</v>
          </cell>
          <cell r="AA1212">
            <v>168</v>
          </cell>
          <cell r="AB1212">
            <v>35794000</v>
          </cell>
          <cell r="AC1212">
            <v>1.5849056603773584</v>
          </cell>
          <cell r="AD1212">
            <v>9.3834707883961013</v>
          </cell>
        </row>
        <row r="1213">
          <cell r="A1213">
            <v>6</v>
          </cell>
          <cell r="B1213" t="str">
            <v>Meningkatkan nilai tambah hasil pertanian</v>
          </cell>
          <cell r="I1213" t="str">
            <v>Program Peningkatan Nilai Tambah, Daya Saing, Industri Hilir, Pemasaran dan Ekspor Hasil Pertanian</v>
          </cell>
          <cell r="J1213" t="str">
            <v>Jumlah Diversifikasi Hasil Olahan Tanaman Pangan (jenis)</v>
          </cell>
          <cell r="K1213">
            <v>6</v>
          </cell>
          <cell r="L1213">
            <v>3299958000</v>
          </cell>
          <cell r="M1213">
            <v>2</v>
          </cell>
          <cell r="N1213">
            <v>421180000</v>
          </cell>
          <cell r="O1213">
            <v>3</v>
          </cell>
          <cell r="P1213">
            <v>914979716</v>
          </cell>
          <cell r="R1213">
            <v>27570800</v>
          </cell>
          <cell r="S1213">
            <v>0</v>
          </cell>
          <cell r="T1213">
            <v>0</v>
          </cell>
          <cell r="U1213">
            <v>0</v>
          </cell>
          <cell r="V1213">
            <v>0</v>
          </cell>
          <cell r="W1213">
            <v>0</v>
          </cell>
          <cell r="X1213">
            <v>0</v>
          </cell>
          <cell r="Y1213">
            <v>0</v>
          </cell>
          <cell r="Z1213">
            <v>27570800</v>
          </cell>
          <cell r="AA1213">
            <v>2</v>
          </cell>
          <cell r="AB1213">
            <v>448750800</v>
          </cell>
          <cell r="AC1213">
            <v>33.333333333333329</v>
          </cell>
          <cell r="AD1213">
            <v>13.598682165045735</v>
          </cell>
          <cell r="AE1213" t="str">
            <v>Distanhorbun</v>
          </cell>
        </row>
        <row r="1214">
          <cell r="I1214" t="str">
            <v>Peningkatan Nilai Tambah dan Penekanan Susut Hasil Komoditi Tanaman Pangan</v>
          </cell>
          <cell r="J1214" t="str">
            <v>Terlaksananya revitalisasi RMU</v>
          </cell>
          <cell r="K1214">
            <v>2</v>
          </cell>
          <cell r="L1214">
            <v>1276126000</v>
          </cell>
          <cell r="M1214">
            <v>1</v>
          </cell>
          <cell r="N1214">
            <v>99826000</v>
          </cell>
          <cell r="O1214">
            <v>1</v>
          </cell>
          <cell r="P1214">
            <v>482127720</v>
          </cell>
          <cell r="Q1214">
            <v>0</v>
          </cell>
          <cell r="R1214">
            <v>15368700</v>
          </cell>
          <cell r="S1214">
            <v>0</v>
          </cell>
          <cell r="T1214">
            <v>0</v>
          </cell>
          <cell r="U1214">
            <v>0</v>
          </cell>
          <cell r="V1214">
            <v>0</v>
          </cell>
          <cell r="W1214">
            <v>0</v>
          </cell>
          <cell r="X1214">
            <v>0</v>
          </cell>
          <cell r="Y1214">
            <v>0</v>
          </cell>
          <cell r="Z1214">
            <v>15368700</v>
          </cell>
          <cell r="AA1214">
            <v>1</v>
          </cell>
          <cell r="AB1214">
            <v>115194700</v>
          </cell>
          <cell r="AC1214">
            <v>50</v>
          </cell>
          <cell r="AD1214">
            <v>9.0269064340041663</v>
          </cell>
        </row>
        <row r="1215">
          <cell r="I1215" t="str">
            <v>Pengembangan Pasca Panen Komoditi Tanaman Perkebunan</v>
          </cell>
          <cell r="J1215" t="str">
            <v xml:space="preserve">Terlaksananya pelatihan pengolahan hasil karet, gambir, dan kelapa </v>
          </cell>
          <cell r="K1215">
            <v>30</v>
          </cell>
          <cell r="L1215">
            <v>323920000</v>
          </cell>
          <cell r="M1215">
            <v>6</v>
          </cell>
          <cell r="N1215">
            <v>216899000</v>
          </cell>
          <cell r="O1215">
            <v>3</v>
          </cell>
          <cell r="P1215">
            <v>50752079</v>
          </cell>
          <cell r="Q1215">
            <v>0</v>
          </cell>
          <cell r="R1215">
            <v>1904800</v>
          </cell>
          <cell r="S1215">
            <v>0</v>
          </cell>
          <cell r="T1215">
            <v>0</v>
          </cell>
          <cell r="U1215">
            <v>0</v>
          </cell>
          <cell r="V1215">
            <v>0</v>
          </cell>
          <cell r="W1215">
            <v>0</v>
          </cell>
          <cell r="X1215">
            <v>0</v>
          </cell>
          <cell r="Y1215">
            <v>0</v>
          </cell>
          <cell r="Z1215">
            <v>1904800</v>
          </cell>
          <cell r="AA1215">
            <v>6</v>
          </cell>
          <cell r="AB1215">
            <v>218803800</v>
          </cell>
          <cell r="AC1215">
            <v>20</v>
          </cell>
          <cell r="AD1215">
            <v>67.548715732279575</v>
          </cell>
        </row>
        <row r="1216">
          <cell r="I1216" t="str">
            <v>Peningkatan Kelompok Pengolahan Hasil Tanaman Hortikultura</v>
          </cell>
          <cell r="J1216" t="str">
            <v>Tersedianya sarana pengolahan hasil tanaman hortikultura</v>
          </cell>
          <cell r="K1216">
            <v>16</v>
          </cell>
          <cell r="L1216">
            <v>153810000</v>
          </cell>
          <cell r="M1216">
            <v>8</v>
          </cell>
          <cell r="N1216">
            <v>70820000</v>
          </cell>
          <cell r="O1216">
            <v>5</v>
          </cell>
          <cell r="P1216">
            <v>61252020</v>
          </cell>
          <cell r="Q1216">
            <v>0</v>
          </cell>
          <cell r="R1216">
            <v>2479300</v>
          </cell>
          <cell r="S1216">
            <v>0</v>
          </cell>
          <cell r="T1216">
            <v>0</v>
          </cell>
          <cell r="U1216">
            <v>0</v>
          </cell>
          <cell r="V1216">
            <v>0</v>
          </cell>
          <cell r="W1216">
            <v>0</v>
          </cell>
          <cell r="X1216">
            <v>0</v>
          </cell>
          <cell r="Y1216">
            <v>0</v>
          </cell>
          <cell r="Z1216">
            <v>2479300</v>
          </cell>
          <cell r="AA1216">
            <v>8</v>
          </cell>
          <cell r="AB1216">
            <v>73299300</v>
          </cell>
          <cell r="AC1216">
            <v>50</v>
          </cell>
          <cell r="AD1216">
            <v>47.655744099863469</v>
          </cell>
        </row>
        <row r="1217">
          <cell r="I1217" t="str">
            <v>Promosi Atas Hasil Produksi Pertanian Unggulan Daerah</v>
          </cell>
          <cell r="J1217" t="str">
            <v>Jumlah kegiatan promosi yang diikuti (kegiatan)</v>
          </cell>
          <cell r="K1217">
            <v>12</v>
          </cell>
          <cell r="L1217">
            <v>208902000</v>
          </cell>
          <cell r="M1217">
            <v>3</v>
          </cell>
          <cell r="N1217">
            <v>33635000</v>
          </cell>
          <cell r="O1217">
            <v>3</v>
          </cell>
          <cell r="P1217">
            <v>42057300</v>
          </cell>
          <cell r="Q1217">
            <v>0</v>
          </cell>
          <cell r="R1217">
            <v>0</v>
          </cell>
          <cell r="S1217">
            <v>0</v>
          </cell>
          <cell r="T1217">
            <v>0</v>
          </cell>
          <cell r="U1217">
            <v>0</v>
          </cell>
          <cell r="V1217">
            <v>0</v>
          </cell>
          <cell r="W1217">
            <v>0</v>
          </cell>
          <cell r="X1217">
            <v>0</v>
          </cell>
          <cell r="Y1217">
            <v>0</v>
          </cell>
          <cell r="Z1217">
            <v>0</v>
          </cell>
          <cell r="AA1217">
            <v>3</v>
          </cell>
          <cell r="AB1217">
            <v>33635000</v>
          </cell>
          <cell r="AC1217">
            <v>25</v>
          </cell>
          <cell r="AD1217">
            <v>16.100851116791606</v>
          </cell>
        </row>
        <row r="1218">
          <cell r="I1218" t="str">
            <v>Penumbuhan Agrowisata</v>
          </cell>
          <cell r="J1218" t="str">
            <v>Jumlah peserta yang mengikuti pelatihan budidaya sehat tanaman jeruk pada lokasi agrowisata (orang)</v>
          </cell>
          <cell r="K1218">
            <v>105</v>
          </cell>
          <cell r="L1218">
            <v>330000000</v>
          </cell>
          <cell r="M1218">
            <v>0</v>
          </cell>
          <cell r="N1218">
            <v>0</v>
          </cell>
          <cell r="O1218">
            <v>20</v>
          </cell>
          <cell r="P1218">
            <v>41049000</v>
          </cell>
          <cell r="Q1218">
            <v>0</v>
          </cell>
          <cell r="R1218">
            <v>1288000</v>
          </cell>
          <cell r="S1218">
            <v>0</v>
          </cell>
          <cell r="T1218">
            <v>0</v>
          </cell>
          <cell r="U1218">
            <v>0</v>
          </cell>
          <cell r="V1218">
            <v>0</v>
          </cell>
          <cell r="W1218">
            <v>0</v>
          </cell>
          <cell r="X1218">
            <v>0</v>
          </cell>
          <cell r="Y1218">
            <v>0</v>
          </cell>
          <cell r="Z1218">
            <v>1288000</v>
          </cell>
          <cell r="AA1218">
            <v>0</v>
          </cell>
          <cell r="AB1218">
            <v>1288000</v>
          </cell>
          <cell r="AC1218">
            <v>0</v>
          </cell>
          <cell r="AD1218">
            <v>0.39030303030303032</v>
          </cell>
        </row>
        <row r="1219">
          <cell r="I1219" t="str">
            <v>Pengembangan Jaringan Pemasaran Produksi Perkebunan</v>
          </cell>
          <cell r="J1219" t="str">
            <v>Rapat - rapat koordinasi dan asosiasi bidang perkebunan yang dilaksanakan (bulan)</v>
          </cell>
          <cell r="K1219">
            <v>48</v>
          </cell>
          <cell r="L1219">
            <v>447200000</v>
          </cell>
          <cell r="M1219">
            <v>0</v>
          </cell>
          <cell r="N1219">
            <v>0</v>
          </cell>
          <cell r="O1219">
            <v>30</v>
          </cell>
          <cell r="P1219">
            <v>49832057</v>
          </cell>
          <cell r="Q1219">
            <v>0</v>
          </cell>
          <cell r="R1219">
            <v>4872000</v>
          </cell>
          <cell r="S1219">
            <v>0</v>
          </cell>
          <cell r="T1219">
            <v>0</v>
          </cell>
          <cell r="U1219">
            <v>0</v>
          </cell>
          <cell r="V1219">
            <v>0</v>
          </cell>
          <cell r="W1219">
            <v>0</v>
          </cell>
          <cell r="X1219">
            <v>0</v>
          </cell>
          <cell r="Y1219">
            <v>0</v>
          </cell>
          <cell r="Z1219">
            <v>4872000</v>
          </cell>
          <cell r="AA1219">
            <v>0</v>
          </cell>
          <cell r="AB1219">
            <v>4872000</v>
          </cell>
          <cell r="AC1219">
            <v>0</v>
          </cell>
          <cell r="AD1219">
            <v>1.0894454382826477</v>
          </cell>
        </row>
        <row r="1220">
          <cell r="I1220" t="str">
            <v>Penilaian Uji Mutu Hasil Usaha Tanaman Perkebunan</v>
          </cell>
          <cell r="J1220" t="str">
            <v>Dokumen hasil uji rendemen tanaman perkebunan (dokumen)</v>
          </cell>
          <cell r="K1220">
            <v>2</v>
          </cell>
          <cell r="L1220">
            <v>560000000</v>
          </cell>
          <cell r="M1220">
            <v>0</v>
          </cell>
          <cell r="N1220">
            <v>0</v>
          </cell>
          <cell r="O1220">
            <v>1</v>
          </cell>
          <cell r="P1220">
            <v>187909540</v>
          </cell>
          <cell r="Q1220">
            <v>0</v>
          </cell>
          <cell r="R1220">
            <v>1658000</v>
          </cell>
          <cell r="S1220">
            <v>0</v>
          </cell>
          <cell r="T1220">
            <v>0</v>
          </cell>
          <cell r="U1220">
            <v>0</v>
          </cell>
          <cell r="V1220">
            <v>0</v>
          </cell>
          <cell r="W1220">
            <v>0</v>
          </cell>
          <cell r="X1220">
            <v>0</v>
          </cell>
          <cell r="Y1220">
            <v>0</v>
          </cell>
          <cell r="Z1220">
            <v>1658000</v>
          </cell>
          <cell r="AA1220">
            <v>0</v>
          </cell>
          <cell r="AB1220">
            <v>1658000</v>
          </cell>
          <cell r="AC1220">
            <v>0</v>
          </cell>
          <cell r="AD1220">
            <v>0.2960714285714286</v>
          </cell>
        </row>
        <row r="1221">
          <cell r="A1221">
            <v>7</v>
          </cell>
          <cell r="I1221" t="str">
            <v>Program Penyediaan dan Pengembangan Sarana dan Prasarana Pertanian/ Perkebunan</v>
          </cell>
          <cell r="J1221" t="str">
            <v>Meningkatnya sarana dan prasarana pertanian/perkebunan yang memadai (%)</v>
          </cell>
          <cell r="K1221">
            <v>6.9</v>
          </cell>
          <cell r="L1221">
            <v>19243980000</v>
          </cell>
          <cell r="M1221">
            <v>4.0599999999999996</v>
          </cell>
          <cell r="N1221">
            <v>7695486000</v>
          </cell>
          <cell r="O1221">
            <v>4.6399999999999997</v>
          </cell>
          <cell r="P1221">
            <v>4507608295</v>
          </cell>
          <cell r="Q1221">
            <v>0</v>
          </cell>
          <cell r="R1221">
            <v>64853500</v>
          </cell>
          <cell r="S1221">
            <v>0</v>
          </cell>
          <cell r="T1221">
            <v>0</v>
          </cell>
          <cell r="U1221">
            <v>0</v>
          </cell>
          <cell r="V1221">
            <v>0</v>
          </cell>
          <cell r="W1221">
            <v>0</v>
          </cell>
          <cell r="X1221">
            <v>0</v>
          </cell>
          <cell r="Y1221">
            <v>0</v>
          </cell>
          <cell r="Z1221">
            <v>64853500</v>
          </cell>
          <cell r="AA1221">
            <v>4.0599999999999996</v>
          </cell>
          <cell r="AB1221">
            <v>7760339500</v>
          </cell>
          <cell r="AC1221">
            <v>58.840579710144915</v>
          </cell>
          <cell r="AD1221">
            <v>40.32606300775619</v>
          </cell>
          <cell r="AE1221" t="str">
            <v>Distanhorbun</v>
          </cell>
        </row>
        <row r="1222">
          <cell r="I1222" t="str">
            <v>Pengembangan Prasarana dan sarana pertanian (penunjang satker 08)</v>
          </cell>
          <cell r="J1222" t="str">
            <v>Terfasilitasinya kegiatan pusat (satker 08) (kegiatan)</v>
          </cell>
          <cell r="K1222">
            <v>4</v>
          </cell>
          <cell r="L1222">
            <v>464100000</v>
          </cell>
          <cell r="M1222">
            <v>1</v>
          </cell>
          <cell r="N1222">
            <v>62250000</v>
          </cell>
          <cell r="O1222">
            <v>1</v>
          </cell>
          <cell r="P1222">
            <v>95676250</v>
          </cell>
          <cell r="Q1222">
            <v>0</v>
          </cell>
          <cell r="R1222">
            <v>16683700</v>
          </cell>
          <cell r="S1222">
            <v>0</v>
          </cell>
          <cell r="T1222">
            <v>0</v>
          </cell>
          <cell r="U1222">
            <v>0</v>
          </cell>
          <cell r="V1222">
            <v>0</v>
          </cell>
          <cell r="W1222">
            <v>0</v>
          </cell>
          <cell r="X1222">
            <v>0</v>
          </cell>
          <cell r="Y1222">
            <v>0</v>
          </cell>
          <cell r="Z1222">
            <v>16683700</v>
          </cell>
          <cell r="AA1222">
            <v>1</v>
          </cell>
          <cell r="AB1222">
            <v>78933700</v>
          </cell>
          <cell r="AC1222">
            <v>25</v>
          </cell>
          <cell r="AD1222">
            <v>17.007907778496016</v>
          </cell>
        </row>
        <row r="1223">
          <cell r="I1223" t="str">
            <v>Pembangunan/Rehabilitasi Infrastruktur Pertanian</v>
          </cell>
          <cell r="J1223" t="str">
            <v>Panjang Jalan Produksi/ Jalan Usaha Tani yang dibangun/ direhabilitasi (paket)</v>
          </cell>
          <cell r="K1223">
            <v>21</v>
          </cell>
          <cell r="L1223">
            <v>4226880000</v>
          </cell>
          <cell r="M1223">
            <v>13</v>
          </cell>
          <cell r="N1223">
            <v>2261697000</v>
          </cell>
          <cell r="O1223">
            <v>8</v>
          </cell>
          <cell r="P1223">
            <v>1945199045</v>
          </cell>
          <cell r="Q1223">
            <v>0</v>
          </cell>
          <cell r="R1223">
            <v>11532500</v>
          </cell>
          <cell r="S1223">
            <v>0</v>
          </cell>
          <cell r="T1223">
            <v>0</v>
          </cell>
          <cell r="U1223">
            <v>0</v>
          </cell>
          <cell r="V1223">
            <v>0</v>
          </cell>
          <cell r="W1223">
            <v>0</v>
          </cell>
          <cell r="X1223">
            <v>0</v>
          </cell>
          <cell r="Y1223">
            <v>0</v>
          </cell>
          <cell r="Z1223">
            <v>11532500</v>
          </cell>
          <cell r="AA1223">
            <v>13</v>
          </cell>
          <cell r="AB1223">
            <v>2273229500</v>
          </cell>
          <cell r="AC1223">
            <v>61.904761904761905</v>
          </cell>
          <cell r="AD1223">
            <v>53.7803178703914</v>
          </cell>
        </row>
        <row r="1224">
          <cell r="I1224" t="str">
            <v>DAK Bidang Pertanian dan Pendamping</v>
          </cell>
          <cell r="J1224" t="str">
            <v>Jumlah embung/ dam parit saluran yang dibangun/ direhabilitasi (unit)</v>
          </cell>
          <cell r="K1224">
            <v>51</v>
          </cell>
          <cell r="L1224">
            <v>13230000000</v>
          </cell>
          <cell r="M1224">
            <v>24</v>
          </cell>
          <cell r="N1224">
            <v>5334634000</v>
          </cell>
          <cell r="O1224">
            <v>12</v>
          </cell>
          <cell r="P1224">
            <v>2423233000</v>
          </cell>
          <cell r="Q1224">
            <v>0</v>
          </cell>
          <cell r="R1224">
            <v>8629500</v>
          </cell>
          <cell r="S1224">
            <v>0</v>
          </cell>
          <cell r="T1224">
            <v>0</v>
          </cell>
          <cell r="U1224">
            <v>0</v>
          </cell>
          <cell r="V1224">
            <v>0</v>
          </cell>
          <cell r="W1224">
            <v>0</v>
          </cell>
          <cell r="X1224">
            <v>0</v>
          </cell>
          <cell r="Y1224">
            <v>0</v>
          </cell>
          <cell r="Z1224">
            <v>8629500</v>
          </cell>
          <cell r="AA1224">
            <v>24</v>
          </cell>
          <cell r="AB1224">
            <v>5343263500</v>
          </cell>
          <cell r="AC1224">
            <v>47.058823529411761</v>
          </cell>
          <cell r="AD1224">
            <v>40.387479213907781</v>
          </cell>
        </row>
        <row r="1225">
          <cell r="I1225" t="str">
            <v>Penunjang DAK Bidang Pertanian</v>
          </cell>
          <cell r="J1225" t="str">
            <v>Lancarnya pelaksanaan kegiatan DAK Bidang Pertanian (kegiatan)</v>
          </cell>
          <cell r="K1225">
            <v>4</v>
          </cell>
          <cell r="L1225">
            <v>1323000000</v>
          </cell>
          <cell r="M1225">
            <v>2</v>
          </cell>
          <cell r="N1225">
            <v>36905000</v>
          </cell>
          <cell r="O1225">
            <v>1</v>
          </cell>
          <cell r="P1225">
            <v>43500000</v>
          </cell>
          <cell r="Q1225">
            <v>0</v>
          </cell>
          <cell r="R1225">
            <v>28007800</v>
          </cell>
          <cell r="S1225">
            <v>0</v>
          </cell>
          <cell r="T1225">
            <v>0</v>
          </cell>
          <cell r="U1225">
            <v>0</v>
          </cell>
          <cell r="V1225">
            <v>0</v>
          </cell>
          <cell r="W1225">
            <v>0</v>
          </cell>
          <cell r="X1225">
            <v>0</v>
          </cell>
          <cell r="Y1225">
            <v>0</v>
          </cell>
          <cell r="Z1225">
            <v>28007800</v>
          </cell>
          <cell r="AA1225">
            <v>2</v>
          </cell>
          <cell r="AB1225">
            <v>64912800</v>
          </cell>
          <cell r="AC1225">
            <v>50</v>
          </cell>
          <cell r="AD1225">
            <v>4.9064852607709746</v>
          </cell>
        </row>
        <row r="1226">
          <cell r="A1226" t="str">
            <v>Rata-Rata Capaian Kinerja</v>
          </cell>
          <cell r="AC1226">
            <v>51.781158558065336</v>
          </cell>
          <cell r="AD1226">
            <v>22.931304095740114</v>
          </cell>
        </row>
        <row r="1227">
          <cell r="A1227" t="str">
            <v>Peringkat  Kinerja</v>
          </cell>
          <cell r="AC1227" t="str">
            <v>R</v>
          </cell>
          <cell r="AD1227" t="str">
            <v>SR</v>
          </cell>
        </row>
        <row r="1228">
          <cell r="A1228" t="str">
            <v>DINAS PETERNAKAN</v>
          </cell>
          <cell r="L1228">
            <v>22558173624.614754</v>
          </cell>
          <cell r="N1228">
            <v>6491983244.333334</v>
          </cell>
          <cell r="P1228">
            <v>5051073931.25</v>
          </cell>
          <cell r="R1228">
            <v>194872948.646</v>
          </cell>
          <cell r="T1228">
            <v>931124090.74199998</v>
          </cell>
          <cell r="Z1228">
            <v>1125997039.388</v>
          </cell>
          <cell r="AB1228">
            <v>7617980283.7213345</v>
          </cell>
        </row>
        <row r="1229">
          <cell r="A1229">
            <v>1</v>
          </cell>
          <cell r="B1229" t="str">
            <v>Tersedianya sarana prasarana pelayanan administrasi perkantoran</v>
          </cell>
          <cell r="C1229">
            <v>2</v>
          </cell>
          <cell r="D1229" t="str">
            <v>00</v>
          </cell>
          <cell r="E1229" t="str">
            <v>03</v>
          </cell>
          <cell r="F1229" t="str">
            <v>02</v>
          </cell>
          <cell r="G1229" t="str">
            <v>01</v>
          </cell>
          <cell r="I1229" t="str">
            <v>Program pelayanan administrasi peerkantoran</v>
          </cell>
          <cell r="J1229" t="str">
            <v>terlaksananya pelayanan administrasi perkantoran</v>
          </cell>
          <cell r="K1229">
            <v>72</v>
          </cell>
          <cell r="L1229">
            <v>3067772264</v>
          </cell>
          <cell r="M1229">
            <v>24</v>
          </cell>
          <cell r="N1229">
            <v>1105940872</v>
          </cell>
          <cell r="O1229">
            <v>12</v>
          </cell>
          <cell r="P1229">
            <v>561930701</v>
          </cell>
          <cell r="Q1229">
            <v>3</v>
          </cell>
          <cell r="R1229">
            <v>132839590</v>
          </cell>
          <cell r="S1229">
            <v>6</v>
          </cell>
          <cell r="T1229">
            <v>254466579</v>
          </cell>
          <cell r="Y1229">
            <v>9</v>
          </cell>
          <cell r="Z1229">
            <v>387306169</v>
          </cell>
          <cell r="AA1229">
            <v>33</v>
          </cell>
          <cell r="AB1229">
            <v>1493247041</v>
          </cell>
          <cell r="AC1229">
            <v>45.833333333333329</v>
          </cell>
          <cell r="AD1229">
            <v>48.675289835660365</v>
          </cell>
          <cell r="AE1229" t="str">
            <v>Disnakkeswan</v>
          </cell>
        </row>
        <row r="1230">
          <cell r="I1230" t="str">
            <v>Penyediaan jasa komunikasi, sumber daya air dan listrik</v>
          </cell>
          <cell r="J1230" t="str">
            <v>Terlaksananya pembayaran rekening listrik, air dan telpon kantor (bln)</v>
          </cell>
          <cell r="K1230">
            <v>72</v>
          </cell>
          <cell r="L1230">
            <v>257400000</v>
          </cell>
          <cell r="M1230">
            <v>24</v>
          </cell>
          <cell r="N1230">
            <v>81289040.000000015</v>
          </cell>
          <cell r="O1230">
            <v>12</v>
          </cell>
          <cell r="P1230">
            <v>56000000</v>
          </cell>
          <cell r="Q1230">
            <v>3</v>
          </cell>
          <cell r="R1230">
            <v>23653751</v>
          </cell>
          <cell r="S1230">
            <v>6</v>
          </cell>
          <cell r="T1230">
            <v>38550009</v>
          </cell>
          <cell r="Y1230">
            <v>9</v>
          </cell>
          <cell r="Z1230">
            <v>62203760</v>
          </cell>
          <cell r="AA1230">
            <v>33</v>
          </cell>
          <cell r="AB1230">
            <v>143492800</v>
          </cell>
          <cell r="AC1230">
            <v>45.833333333333329</v>
          </cell>
          <cell r="AD1230">
            <v>55.747008547008548</v>
          </cell>
        </row>
        <row r="1231">
          <cell r="I1231" t="str">
            <v>Penyediaan jasa administrasi keuangan</v>
          </cell>
          <cell r="J1231" t="str">
            <v>Terlaksananya pembayaran honor jasa administrasi keuangan (bln)</v>
          </cell>
          <cell r="K1231">
            <v>72</v>
          </cell>
          <cell r="L1231">
            <v>572400000</v>
          </cell>
          <cell r="M1231">
            <v>24</v>
          </cell>
          <cell r="N1231">
            <v>238250000</v>
          </cell>
          <cell r="O1231">
            <v>20</v>
          </cell>
          <cell r="P1231">
            <v>140920000</v>
          </cell>
          <cell r="Q1231">
            <v>3</v>
          </cell>
          <cell r="R1231">
            <v>31800000</v>
          </cell>
          <cell r="S1231">
            <v>6</v>
          </cell>
          <cell r="T1231">
            <v>63000000</v>
          </cell>
          <cell r="Y1231">
            <v>9</v>
          </cell>
          <cell r="Z1231">
            <v>94800000</v>
          </cell>
          <cell r="AA1231">
            <v>33</v>
          </cell>
          <cell r="AB1231">
            <v>333050000</v>
          </cell>
          <cell r="AC1231">
            <v>45.833333333333329</v>
          </cell>
          <cell r="AD1231">
            <v>58.184835779175401</v>
          </cell>
        </row>
        <row r="1232">
          <cell r="I1232" t="str">
            <v>Penyediaan jasa kebersihan kantor</v>
          </cell>
          <cell r="J1232" t="str">
            <v>Terlaksananya pemeliharaan kebersihan kantor (bln)</v>
          </cell>
          <cell r="K1232">
            <v>72</v>
          </cell>
          <cell r="L1232">
            <v>41172000</v>
          </cell>
          <cell r="M1232">
            <v>24</v>
          </cell>
          <cell r="N1232">
            <v>12320000</v>
          </cell>
          <cell r="O1232">
            <v>12</v>
          </cell>
          <cell r="P1232">
            <v>30858000</v>
          </cell>
          <cell r="Q1232">
            <v>3</v>
          </cell>
          <cell r="R1232">
            <v>5049500</v>
          </cell>
          <cell r="S1232">
            <v>6</v>
          </cell>
          <cell r="T1232">
            <v>15520000</v>
          </cell>
          <cell r="Y1232">
            <v>9</v>
          </cell>
          <cell r="Z1232">
            <v>20569500</v>
          </cell>
          <cell r="AA1232">
            <v>33</v>
          </cell>
          <cell r="AB1232">
            <v>32889500</v>
          </cell>
          <cell r="AC1232">
            <v>45.833333333333329</v>
          </cell>
          <cell r="AD1232">
            <v>79.883173030214707</v>
          </cell>
        </row>
        <row r="1233">
          <cell r="I1233" t="str">
            <v>Penyediaan jasa perbaikan peralatan kerja</v>
          </cell>
          <cell r="J1233" t="str">
            <v>Terlaksananya perbaikan peralatan dan perlengkapan kantor (bln)</v>
          </cell>
          <cell r="K1233">
            <v>72</v>
          </cell>
          <cell r="L1233">
            <v>93900000</v>
          </cell>
          <cell r="M1233">
            <v>24</v>
          </cell>
          <cell r="N1233">
            <v>35183500</v>
          </cell>
          <cell r="O1233">
            <v>12</v>
          </cell>
          <cell r="P1233">
            <v>20040000</v>
          </cell>
          <cell r="Q1233">
            <v>3</v>
          </cell>
          <cell r="R1233">
            <v>1377000</v>
          </cell>
          <cell r="S1233">
            <v>6</v>
          </cell>
          <cell r="T1233">
            <v>3881500</v>
          </cell>
          <cell r="Y1233">
            <v>9</v>
          </cell>
          <cell r="Z1233">
            <v>5258500</v>
          </cell>
          <cell r="AA1233">
            <v>33</v>
          </cell>
          <cell r="AB1233">
            <v>40442000</v>
          </cell>
          <cell r="AC1233">
            <v>45.833333333333329</v>
          </cell>
          <cell r="AD1233">
            <v>43.0692225772098</v>
          </cell>
        </row>
        <row r="1234">
          <cell r="I1234" t="str">
            <v>Penyediaan alat tulis kantor</v>
          </cell>
          <cell r="J1234" t="str">
            <v>Tersedianya ATK (bln)</v>
          </cell>
          <cell r="K1234">
            <v>72</v>
          </cell>
          <cell r="L1234">
            <v>209496264</v>
          </cell>
          <cell r="M1234">
            <v>24</v>
          </cell>
          <cell r="N1234">
            <v>69757807.999999985</v>
          </cell>
          <cell r="O1234">
            <v>12</v>
          </cell>
          <cell r="P1234">
            <v>35034001</v>
          </cell>
          <cell r="Q1234">
            <v>3</v>
          </cell>
          <cell r="R1234">
            <v>8873765</v>
          </cell>
          <cell r="S1234">
            <v>6</v>
          </cell>
          <cell r="T1234">
            <v>24424800</v>
          </cell>
          <cell r="Y1234">
            <v>9</v>
          </cell>
          <cell r="Z1234">
            <v>33298565</v>
          </cell>
          <cell r="AA1234">
            <v>33</v>
          </cell>
          <cell r="AB1234">
            <v>103056372.99999999</v>
          </cell>
          <cell r="AC1234">
            <v>45.833333333333329</v>
          </cell>
          <cell r="AD1234">
            <v>49.192463403547848</v>
          </cell>
        </row>
        <row r="1235">
          <cell r="I1235" t="str">
            <v>Penyediaan barang cetakan dan penggandaan</v>
          </cell>
          <cell r="J1235" t="str">
            <v>Terlaksananya administrasi perkantoran (bln)</v>
          </cell>
          <cell r="K1235">
            <v>72</v>
          </cell>
          <cell r="L1235">
            <v>136962000</v>
          </cell>
          <cell r="M1235">
            <v>24</v>
          </cell>
          <cell r="N1235">
            <v>46333900</v>
          </cell>
          <cell r="O1235">
            <v>12</v>
          </cell>
          <cell r="P1235">
            <v>26970400</v>
          </cell>
          <cell r="Q1235">
            <v>3</v>
          </cell>
          <cell r="R1235">
            <v>11503200</v>
          </cell>
          <cell r="S1235">
            <v>6</v>
          </cell>
          <cell r="T1235">
            <v>19424800</v>
          </cell>
          <cell r="Y1235">
            <v>9</v>
          </cell>
          <cell r="Z1235">
            <v>30928000</v>
          </cell>
          <cell r="AA1235">
            <v>33</v>
          </cell>
          <cell r="AB1235">
            <v>77261900</v>
          </cell>
          <cell r="AC1235">
            <v>45.833333333333329</v>
          </cell>
          <cell r="AD1235">
            <v>56.411194345876957</v>
          </cell>
        </row>
        <row r="1236">
          <cell r="I1236" t="str">
            <v>Penyediaan komponen instalasi listrik/penerangan bangunan kantor</v>
          </cell>
          <cell r="J1236" t="str">
            <v>Tersedianya komponen listrik /penerangan gedung kantor (bln)</v>
          </cell>
          <cell r="K1236">
            <v>72</v>
          </cell>
          <cell r="L1236">
            <v>55482000</v>
          </cell>
          <cell r="M1236">
            <v>24</v>
          </cell>
          <cell r="N1236">
            <v>65634000</v>
          </cell>
          <cell r="O1236">
            <v>12</v>
          </cell>
          <cell r="P1236">
            <v>5570800</v>
          </cell>
          <cell r="Q1236">
            <v>3</v>
          </cell>
          <cell r="R1236">
            <v>248400</v>
          </cell>
          <cell r="S1236">
            <v>6</v>
          </cell>
          <cell r="T1236">
            <v>2820000</v>
          </cell>
          <cell r="Y1236">
            <v>9</v>
          </cell>
          <cell r="Z1236">
            <v>3068400</v>
          </cell>
          <cell r="AA1236">
            <v>33</v>
          </cell>
          <cell r="AB1236">
            <v>68702400</v>
          </cell>
          <cell r="AC1236">
            <v>45.833333333333329</v>
          </cell>
          <cell r="AD1236">
            <v>123.82826862766304</v>
          </cell>
        </row>
        <row r="1237">
          <cell r="I1237" t="str">
            <v>Penyediaan bahan bacaan dan peraturan perundang-undangan</v>
          </cell>
          <cell r="J1237" t="str">
            <v>Tersedianya bahan bacaan dan peraturan perundang-undangan (bln)</v>
          </cell>
          <cell r="K1237">
            <v>72</v>
          </cell>
          <cell r="L1237">
            <v>36000000</v>
          </cell>
          <cell r="M1237">
            <v>24</v>
          </cell>
          <cell r="N1237">
            <v>12793000</v>
          </cell>
          <cell r="O1237">
            <v>12</v>
          </cell>
          <cell r="P1237">
            <v>5420000</v>
          </cell>
          <cell r="Q1237">
            <v>3</v>
          </cell>
          <cell r="R1237">
            <v>600000</v>
          </cell>
          <cell r="S1237">
            <v>6</v>
          </cell>
          <cell r="T1237">
            <v>1770000</v>
          </cell>
          <cell r="Y1237">
            <v>9</v>
          </cell>
          <cell r="Z1237">
            <v>2370000</v>
          </cell>
          <cell r="AA1237">
            <v>33</v>
          </cell>
          <cell r="AB1237">
            <v>15163000</v>
          </cell>
          <cell r="AC1237">
            <v>45.833333333333329</v>
          </cell>
          <cell r="AD1237">
            <v>42.11944444444444</v>
          </cell>
        </row>
        <row r="1238">
          <cell r="I1238" t="str">
            <v>Penyediaan makanan dan minuman</v>
          </cell>
          <cell r="J1238" t="str">
            <v>Tersedianya makanan dan minuman untuk peserta rapat dan tamu dinas (bln)</v>
          </cell>
          <cell r="K1238">
            <v>72</v>
          </cell>
          <cell r="L1238">
            <v>164340000</v>
          </cell>
          <cell r="M1238">
            <v>24</v>
          </cell>
          <cell r="N1238">
            <v>51227000</v>
          </cell>
          <cell r="O1238">
            <v>12</v>
          </cell>
          <cell r="P1238">
            <v>50722500</v>
          </cell>
          <cell r="Q1238">
            <v>3</v>
          </cell>
          <cell r="R1238">
            <v>2772500</v>
          </cell>
          <cell r="S1238">
            <v>6</v>
          </cell>
          <cell r="T1238">
            <v>9534000</v>
          </cell>
          <cell r="Y1238">
            <v>9</v>
          </cell>
          <cell r="Z1238">
            <v>12306500</v>
          </cell>
          <cell r="AA1238">
            <v>33</v>
          </cell>
          <cell r="AB1238">
            <v>63533500</v>
          </cell>
          <cell r="AC1238">
            <v>45.833333333333329</v>
          </cell>
          <cell r="AD1238">
            <v>38.659790677862965</v>
          </cell>
        </row>
        <row r="1239">
          <cell r="I1239" t="str">
            <v>Rapat-rapat koordinasai dan konsultasi keluar daerah</v>
          </cell>
          <cell r="J1239" t="str">
            <v>Terlaksananya koordinasi dan konsultasi keluar daerah (bln)</v>
          </cell>
          <cell r="K1239">
            <v>72</v>
          </cell>
          <cell r="L1239">
            <v>859440000</v>
          </cell>
          <cell r="M1239">
            <v>24</v>
          </cell>
          <cell r="N1239">
            <v>297637624</v>
          </cell>
          <cell r="O1239">
            <v>12</v>
          </cell>
          <cell r="P1239">
            <v>104800000</v>
          </cell>
          <cell r="Q1239">
            <v>3</v>
          </cell>
          <cell r="R1239">
            <v>16450000</v>
          </cell>
          <cell r="S1239">
            <v>6</v>
          </cell>
          <cell r="T1239">
            <v>28680000</v>
          </cell>
          <cell r="Y1239">
            <v>9</v>
          </cell>
          <cell r="Z1239">
            <v>45130000</v>
          </cell>
          <cell r="AA1239">
            <v>33</v>
          </cell>
          <cell r="AB1239">
            <v>342767624</v>
          </cell>
          <cell r="AC1239">
            <v>45.833333333333329</v>
          </cell>
          <cell r="AD1239">
            <v>39.882670576189142</v>
          </cell>
        </row>
        <row r="1240">
          <cell r="I1240" t="str">
            <v>Rapat-rapat koordinasai dan konsultasi dalam daerah</v>
          </cell>
          <cell r="J1240" t="str">
            <v>Terlaksananya koordinasi dan konsultasi dalam daerah (bln)</v>
          </cell>
          <cell r="K1240">
            <v>72</v>
          </cell>
          <cell r="L1240">
            <v>534900000</v>
          </cell>
          <cell r="M1240">
            <v>24</v>
          </cell>
          <cell r="N1240">
            <v>195515000</v>
          </cell>
          <cell r="O1240">
            <v>12</v>
          </cell>
          <cell r="P1240">
            <v>59025000</v>
          </cell>
          <cell r="Q1240">
            <v>3</v>
          </cell>
          <cell r="R1240">
            <v>19275000</v>
          </cell>
          <cell r="S1240">
            <v>6</v>
          </cell>
          <cell r="T1240">
            <v>35625000</v>
          </cell>
          <cell r="Y1240">
            <v>9</v>
          </cell>
          <cell r="Z1240">
            <v>54900000</v>
          </cell>
          <cell r="AA1240">
            <v>33</v>
          </cell>
          <cell r="AB1240">
            <v>250415000</v>
          </cell>
          <cell r="AC1240">
            <v>45.833333333333329</v>
          </cell>
          <cell r="AD1240">
            <v>46.815292578051967</v>
          </cell>
        </row>
        <row r="1241">
          <cell r="I1241" t="str">
            <v>Penunjang operasional perencanaan</v>
          </cell>
          <cell r="J1241" t="str">
            <v>Terlaksananya penunjang operasional perencanaan (bln)</v>
          </cell>
          <cell r="K1241">
            <v>48</v>
          </cell>
          <cell r="L1241">
            <v>106280000</v>
          </cell>
          <cell r="M1241">
            <v>24</v>
          </cell>
          <cell r="N1241">
            <v>0</v>
          </cell>
          <cell r="O1241">
            <v>12</v>
          </cell>
          <cell r="P1241">
            <v>26570000</v>
          </cell>
          <cell r="Q1241">
            <v>3</v>
          </cell>
          <cell r="R1241">
            <v>11236474</v>
          </cell>
          <cell r="S1241">
            <v>6</v>
          </cell>
          <cell r="T1241">
            <v>11236470</v>
          </cell>
          <cell r="Y1241">
            <v>9</v>
          </cell>
          <cell r="Z1241">
            <v>22472944</v>
          </cell>
          <cell r="AA1241">
            <v>33</v>
          </cell>
          <cell r="AB1241">
            <v>22472944</v>
          </cell>
          <cell r="AC1241">
            <v>68.75</v>
          </cell>
          <cell r="AD1241">
            <v>21.145035754610465</v>
          </cell>
        </row>
        <row r="1242">
          <cell r="A1242">
            <v>2</v>
          </cell>
          <cell r="I1242" t="str">
            <v>Program Peningkatan  Sarana dan Prasarana Aparatur</v>
          </cell>
          <cell r="J1242" t="str">
            <v>tersedianyan sarpras bagi aparatur (bln)</v>
          </cell>
          <cell r="K1242">
            <v>72</v>
          </cell>
          <cell r="L1242">
            <v>2325952700</v>
          </cell>
          <cell r="M1242">
            <v>24</v>
          </cell>
          <cell r="N1242">
            <v>817575650</v>
          </cell>
          <cell r="O1242">
            <v>12</v>
          </cell>
          <cell r="P1242">
            <v>605630000</v>
          </cell>
          <cell r="Q1242">
            <v>3</v>
          </cell>
          <cell r="R1242">
            <v>76082.5</v>
          </cell>
          <cell r="S1242">
            <v>3</v>
          </cell>
          <cell r="T1242">
            <v>356519300</v>
          </cell>
          <cell r="Y1242">
            <v>6</v>
          </cell>
          <cell r="Z1242">
            <v>356595382.5</v>
          </cell>
          <cell r="AA1242">
            <v>30</v>
          </cell>
          <cell r="AB1242">
            <v>1174171032.5</v>
          </cell>
          <cell r="AC1242">
            <v>41.666666666666671</v>
          </cell>
          <cell r="AD1242">
            <v>50.481294503538265</v>
          </cell>
          <cell r="AE1242" t="str">
            <v>Disnakkeswan</v>
          </cell>
        </row>
        <row r="1243">
          <cell r="I1243" t="str">
            <v>Pengadaan mobeleur</v>
          </cell>
          <cell r="J1243" t="str">
            <v>Tersedianya mobeleur kantor</v>
          </cell>
          <cell r="K1243">
            <v>24</v>
          </cell>
          <cell r="L1243">
            <v>334550000</v>
          </cell>
          <cell r="M1243">
            <v>12</v>
          </cell>
          <cell r="N1243">
            <v>113725000</v>
          </cell>
          <cell r="O1243">
            <v>3</v>
          </cell>
          <cell r="P1243">
            <v>127050000</v>
          </cell>
          <cell r="Q1243">
            <v>3</v>
          </cell>
          <cell r="R1243">
            <v>17590000</v>
          </cell>
          <cell r="S1243">
            <v>3</v>
          </cell>
          <cell r="T1243">
            <v>111724000</v>
          </cell>
          <cell r="Y1243">
            <v>6</v>
          </cell>
          <cell r="Z1243">
            <v>129314000</v>
          </cell>
          <cell r="AA1243">
            <v>18</v>
          </cell>
          <cell r="AB1243">
            <v>243039000</v>
          </cell>
          <cell r="AC1243">
            <v>75</v>
          </cell>
          <cell r="AD1243">
            <v>72.646540128530873</v>
          </cell>
        </row>
        <row r="1244">
          <cell r="I1244" t="str">
            <v>Pemeliharaan rutin/berkala gedung kator</v>
          </cell>
          <cell r="J1244" t="str">
            <v>Terpeliharanya gedung kantor (bln)</v>
          </cell>
          <cell r="K1244">
            <v>72</v>
          </cell>
          <cell r="L1244">
            <v>502384000</v>
          </cell>
          <cell r="M1244">
            <v>24</v>
          </cell>
          <cell r="N1244">
            <v>200737000</v>
          </cell>
          <cell r="O1244">
            <v>12</v>
          </cell>
          <cell r="P1244">
            <v>134000000</v>
          </cell>
          <cell r="Q1244">
            <v>3</v>
          </cell>
          <cell r="R1244">
            <v>29000000</v>
          </cell>
          <cell r="S1244">
            <v>6</v>
          </cell>
          <cell r="T1244">
            <v>60000000</v>
          </cell>
          <cell r="Y1244">
            <v>9</v>
          </cell>
          <cell r="Z1244">
            <v>89000000</v>
          </cell>
          <cell r="AA1244">
            <v>33</v>
          </cell>
          <cell r="AB1244">
            <v>289737000</v>
          </cell>
          <cell r="AC1244">
            <v>45.833333333333329</v>
          </cell>
          <cell r="AD1244">
            <v>57.672417911398455</v>
          </cell>
        </row>
        <row r="1245">
          <cell r="I1245" t="str">
            <v xml:space="preserve">Pemeliharaan rutin/berkala kendaraan operasional </v>
          </cell>
          <cell r="J1245" t="str">
            <v>terpeliharanya kendaraan dinas/operasional (bln)</v>
          </cell>
          <cell r="K1245">
            <v>72</v>
          </cell>
          <cell r="L1245">
            <v>929598700</v>
          </cell>
          <cell r="M1245">
            <v>24</v>
          </cell>
          <cell r="N1245">
            <v>309910700</v>
          </cell>
          <cell r="O1245">
            <v>12</v>
          </cell>
          <cell r="P1245">
            <v>210400000</v>
          </cell>
          <cell r="Q1245">
            <v>3</v>
          </cell>
          <cell r="R1245">
            <v>29492500</v>
          </cell>
          <cell r="S1245">
            <v>6</v>
          </cell>
          <cell r="T1245">
            <v>79805300</v>
          </cell>
          <cell r="Y1245">
            <v>9</v>
          </cell>
          <cell r="Z1245">
            <v>109297800</v>
          </cell>
          <cell r="AA1245">
            <v>33</v>
          </cell>
          <cell r="AB1245">
            <v>419208500</v>
          </cell>
          <cell r="AC1245">
            <v>45.833333333333329</v>
          </cell>
          <cell r="AD1245">
            <v>45.095641807588585</v>
          </cell>
        </row>
        <row r="1246">
          <cell r="I1246" t="str">
            <v>Pengadaan peralatan kantor</v>
          </cell>
          <cell r="J1246" t="str">
            <v>tersedianya peralatan kantor (unit)</v>
          </cell>
          <cell r="K1246">
            <v>24</v>
          </cell>
          <cell r="L1246">
            <v>559420000</v>
          </cell>
          <cell r="M1246">
            <v>19</v>
          </cell>
          <cell r="N1246">
            <v>193202950</v>
          </cell>
          <cell r="O1246">
            <v>4</v>
          </cell>
          <cell r="P1246">
            <v>134180000</v>
          </cell>
          <cell r="Q1246">
            <v>0</v>
          </cell>
          <cell r="R1246">
            <v>0</v>
          </cell>
          <cell r="S1246">
            <v>3</v>
          </cell>
          <cell r="T1246">
            <v>104990000</v>
          </cell>
          <cell r="Y1246">
            <v>3</v>
          </cell>
          <cell r="Z1246">
            <v>104990000</v>
          </cell>
          <cell r="AA1246">
            <v>22</v>
          </cell>
          <cell r="AB1246">
            <v>298192950</v>
          </cell>
          <cell r="AC1246">
            <v>91.666666666666657</v>
          </cell>
          <cell r="AD1246">
            <v>53.303948732615922</v>
          </cell>
        </row>
        <row r="1247">
          <cell r="A1247">
            <v>3</v>
          </cell>
          <cell r="I1247" t="str">
            <v>Program Peningkatan Pengembangan Sistem Pelaporan Capaian Kinerja dan Keuangan</v>
          </cell>
          <cell r="J1247" t="str">
            <v>tersedianya pelaporan kinerja dan keuangan (bln0</v>
          </cell>
          <cell r="K1247">
            <v>72</v>
          </cell>
          <cell r="L1247">
            <v>156000000</v>
          </cell>
          <cell r="M1247">
            <v>24</v>
          </cell>
          <cell r="N1247">
            <v>53074277</v>
          </cell>
          <cell r="O1247">
            <v>12</v>
          </cell>
          <cell r="P1247">
            <v>26838458</v>
          </cell>
          <cell r="Q1247">
            <v>3</v>
          </cell>
          <cell r="R1247">
            <v>4842098</v>
          </cell>
          <cell r="S1247">
            <v>4</v>
          </cell>
          <cell r="T1247">
            <v>11467700</v>
          </cell>
          <cell r="Y1247">
            <v>7</v>
          </cell>
          <cell r="Z1247">
            <v>16309798</v>
          </cell>
          <cell r="AA1247">
            <v>31</v>
          </cell>
          <cell r="AB1247">
            <v>69384075</v>
          </cell>
          <cell r="AC1247">
            <v>43.055555555555557</v>
          </cell>
          <cell r="AD1247">
            <v>44.476971153846158</v>
          </cell>
          <cell r="AE1247" t="str">
            <v>Disnakkeswan</v>
          </cell>
        </row>
        <row r="1248">
          <cell r="I1248" t="str">
            <v>Penyusunan Laporan Tahunan dan Statistik</v>
          </cell>
          <cell r="J1248" t="str">
            <v>Tersusunnya laporan tahunan (dok)</v>
          </cell>
          <cell r="K1248">
            <v>24</v>
          </cell>
          <cell r="L1248">
            <v>156000000</v>
          </cell>
          <cell r="M1248">
            <v>8</v>
          </cell>
          <cell r="N1248">
            <v>53074277</v>
          </cell>
          <cell r="O1248">
            <v>4</v>
          </cell>
          <cell r="P1248">
            <v>26838458</v>
          </cell>
          <cell r="Q1248">
            <v>4</v>
          </cell>
          <cell r="R1248">
            <v>4842098</v>
          </cell>
          <cell r="S1248">
            <v>4</v>
          </cell>
          <cell r="T1248">
            <v>11467700</v>
          </cell>
          <cell r="Y1248">
            <v>8</v>
          </cell>
          <cell r="Z1248">
            <v>16309798</v>
          </cell>
          <cell r="AA1248">
            <v>16</v>
          </cell>
          <cell r="AB1248">
            <v>69384075</v>
          </cell>
          <cell r="AC1248">
            <v>66.666666666666657</v>
          </cell>
          <cell r="AD1248">
            <v>44.476971153846158</v>
          </cell>
        </row>
        <row r="1249">
          <cell r="A1249">
            <v>4</v>
          </cell>
          <cell r="B1249" t="str">
            <v>Meningkatkan nilai Produksi peternakan</v>
          </cell>
          <cell r="C1249">
            <v>2</v>
          </cell>
          <cell r="D1249" t="str">
            <v>00</v>
          </cell>
          <cell r="E1249" t="str">
            <v>03</v>
          </cell>
          <cell r="F1249" t="str">
            <v>02</v>
          </cell>
          <cell r="G1249">
            <v>22</v>
          </cell>
          <cell r="I1249" t="str">
            <v>Program Peningkatan Produksi Hasil Peternakan</v>
          </cell>
          <cell r="J1249" t="str">
            <v>Populasi ternak (ekor)</v>
          </cell>
          <cell r="L1249">
            <v>8060005320</v>
          </cell>
          <cell r="N1249">
            <v>2504517101</v>
          </cell>
          <cell r="P1249">
            <v>2080186324.25</v>
          </cell>
          <cell r="Q1249">
            <v>0</v>
          </cell>
          <cell r="R1249">
            <v>114013.14599999999</v>
          </cell>
          <cell r="T1249">
            <v>37897554.741999999</v>
          </cell>
          <cell r="Y1249">
            <v>0</v>
          </cell>
          <cell r="Z1249">
            <v>38011567.887999997</v>
          </cell>
          <cell r="AA1249">
            <v>0</v>
          </cell>
          <cell r="AB1249">
            <v>2542528668.888</v>
          </cell>
          <cell r="AD1249">
            <v>31.544999884541021</v>
          </cell>
          <cell r="AE1249" t="str">
            <v>Disnakkeswan</v>
          </cell>
        </row>
        <row r="1250">
          <cell r="J1250" t="str">
            <v>- Sapi Potong</v>
          </cell>
          <cell r="K1250">
            <v>84471.905973590474</v>
          </cell>
          <cell r="M1250">
            <v>81786</v>
          </cell>
          <cell r="O1250">
            <v>82280.52853597491</v>
          </cell>
          <cell r="Q1250">
            <v>0</v>
          </cell>
          <cell r="Y1250">
            <v>0</v>
          </cell>
          <cell r="Z1250">
            <v>0</v>
          </cell>
          <cell r="AA1250">
            <v>81786</v>
          </cell>
          <cell r="AB1250">
            <v>0</v>
          </cell>
          <cell r="AC1250">
            <v>96.82035590101377</v>
          </cell>
        </row>
        <row r="1251">
          <cell r="J1251" t="str">
            <v>- Kerbau</v>
          </cell>
          <cell r="K1251">
            <v>8665.7098756537853</v>
          </cell>
          <cell r="M1251">
            <v>8506</v>
          </cell>
          <cell r="O1251">
            <v>8466.0549479395941</v>
          </cell>
          <cell r="Q1251">
            <v>0</v>
          </cell>
          <cell r="Y1251">
            <v>0</v>
          </cell>
          <cell r="Z1251">
            <v>0</v>
          </cell>
          <cell r="AA1251">
            <v>8506</v>
          </cell>
          <cell r="AB1251">
            <v>0</v>
          </cell>
          <cell r="AC1251">
            <v>98.156990276093964</v>
          </cell>
        </row>
        <row r="1252">
          <cell r="J1252" t="str">
            <v>- Kambing</v>
          </cell>
          <cell r="K1252">
            <v>41919.639869005288</v>
          </cell>
          <cell r="M1252">
            <v>40856</v>
          </cell>
          <cell r="O1252">
            <v>41794.132048669002</v>
          </cell>
          <cell r="Q1252">
            <v>0</v>
          </cell>
          <cell r="Y1252">
            <v>0</v>
          </cell>
          <cell r="Z1252">
            <v>0</v>
          </cell>
          <cell r="AA1252">
            <v>40856</v>
          </cell>
          <cell r="AB1252">
            <v>0</v>
          </cell>
          <cell r="AC1252">
            <v>97.462669354199946</v>
          </cell>
        </row>
        <row r="1253">
          <cell r="J1253" t="str">
            <v>- Ayam Buras</v>
          </cell>
          <cell r="K1253">
            <v>813634.56146209792</v>
          </cell>
          <cell r="M1253">
            <v>787857</v>
          </cell>
          <cell r="O1253">
            <v>796547.35583316814</v>
          </cell>
          <cell r="Q1253">
            <v>0</v>
          </cell>
          <cell r="Y1253">
            <v>0</v>
          </cell>
          <cell r="Z1253">
            <v>0</v>
          </cell>
          <cell r="AA1253">
            <v>787857</v>
          </cell>
          <cell r="AB1253">
            <v>0</v>
          </cell>
          <cell r="AC1253">
            <v>96.83180107101451</v>
          </cell>
        </row>
        <row r="1254">
          <cell r="J1254" t="str">
            <v>- Ayam Ras Petelur</v>
          </cell>
          <cell r="K1254">
            <v>114310.15814531251</v>
          </cell>
          <cell r="M1254">
            <v>97500</v>
          </cell>
          <cell r="O1254">
            <v>98745.412500000006</v>
          </cell>
          <cell r="Q1254">
            <v>0</v>
          </cell>
          <cell r="Y1254">
            <v>0</v>
          </cell>
          <cell r="Z1254">
            <v>0</v>
          </cell>
          <cell r="AA1254">
            <v>97500</v>
          </cell>
          <cell r="AB1254">
            <v>0</v>
          </cell>
          <cell r="AC1254">
            <v>85.294256942639151</v>
          </cell>
        </row>
        <row r="1255">
          <cell r="J1255" t="str">
            <v>- Ayam Ras Pedaging</v>
          </cell>
          <cell r="K1255">
            <v>2107620.2392578125</v>
          </cell>
          <cell r="M1255">
            <v>1734200</v>
          </cell>
          <cell r="O1255">
            <v>1079101.5625</v>
          </cell>
          <cell r="Q1255">
            <v>0</v>
          </cell>
          <cell r="Y1255">
            <v>0</v>
          </cell>
          <cell r="Z1255">
            <v>0</v>
          </cell>
          <cell r="AA1255">
            <v>1734200</v>
          </cell>
          <cell r="AB1255">
            <v>0</v>
          </cell>
          <cell r="AC1255">
            <v>82.282375529411766</v>
          </cell>
        </row>
        <row r="1256">
          <cell r="J1256" t="str">
            <v>- Itik</v>
          </cell>
          <cell r="K1256">
            <v>157021.12219705051</v>
          </cell>
          <cell r="M1256">
            <v>157266</v>
          </cell>
          <cell r="O1256">
            <v>152403.154221</v>
          </cell>
          <cell r="Q1256">
            <v>0</v>
          </cell>
          <cell r="Y1256">
            <v>0</v>
          </cell>
          <cell r="Z1256">
            <v>0</v>
          </cell>
          <cell r="AA1256">
            <v>157266</v>
          </cell>
          <cell r="AB1256">
            <v>0</v>
          </cell>
          <cell r="AC1256">
            <v>100.15595214167567</v>
          </cell>
        </row>
        <row r="1257">
          <cell r="J1257" t="str">
            <v>Produksi ternak (kg)</v>
          </cell>
          <cell r="Y1257">
            <v>0</v>
          </cell>
          <cell r="Z1257">
            <v>0</v>
          </cell>
        </row>
        <row r="1258">
          <cell r="J1258" t="str">
            <v xml:space="preserve">- Daging Sapi </v>
          </cell>
          <cell r="K1258">
            <v>1397267.2210386631</v>
          </cell>
          <cell r="M1258">
            <v>1354022</v>
          </cell>
          <cell r="O1258">
            <v>1367562.0584000191</v>
          </cell>
          <cell r="Q1258">
            <v>0</v>
          </cell>
          <cell r="Y1258">
            <v>0</v>
          </cell>
          <cell r="Z1258">
            <v>0</v>
          </cell>
          <cell r="AA1258">
            <v>1354022</v>
          </cell>
          <cell r="AB1258">
            <v>0</v>
          </cell>
          <cell r="AC1258">
            <v>96.905014274469508</v>
          </cell>
        </row>
        <row r="1259">
          <cell r="J1259" t="str">
            <v>- Daging Kerbau</v>
          </cell>
          <cell r="K1259">
            <v>55113.991256118708</v>
          </cell>
          <cell r="M1259">
            <v>40520</v>
          </cell>
          <cell r="O1259">
            <v>40925.199999999997</v>
          </cell>
          <cell r="Q1259">
            <v>0</v>
          </cell>
          <cell r="Y1259">
            <v>0</v>
          </cell>
          <cell r="Z1259">
            <v>0</v>
          </cell>
          <cell r="AA1259">
            <v>40520</v>
          </cell>
          <cell r="AB1259">
            <v>0</v>
          </cell>
          <cell r="AC1259">
            <v>73.520351323678639</v>
          </cell>
        </row>
        <row r="1260">
          <cell r="J1260" t="str">
            <v>- Daging Kambing</v>
          </cell>
          <cell r="K1260">
            <v>50704.49636868095</v>
          </cell>
          <cell r="M1260">
            <v>44958</v>
          </cell>
          <cell r="O1260">
            <v>41708.836600000002</v>
          </cell>
          <cell r="Q1260">
            <v>0</v>
          </cell>
          <cell r="Y1260">
            <v>0</v>
          </cell>
          <cell r="Z1260">
            <v>0</v>
          </cell>
          <cell r="AA1260">
            <v>44958</v>
          </cell>
          <cell r="AB1260">
            <v>0</v>
          </cell>
          <cell r="AC1260">
            <v>88.6666927388506</v>
          </cell>
        </row>
        <row r="1261">
          <cell r="J1261" t="str">
            <v>- Daging Ayam Buras</v>
          </cell>
          <cell r="K1261">
            <v>872623.06716810004</v>
          </cell>
          <cell r="M1261">
            <v>965301</v>
          </cell>
          <cell r="O1261">
            <v>974954.01</v>
          </cell>
          <cell r="Q1261">
            <v>0</v>
          </cell>
          <cell r="Y1261">
            <v>0</v>
          </cell>
          <cell r="Z1261">
            <v>0</v>
          </cell>
          <cell r="AA1261">
            <v>965301</v>
          </cell>
          <cell r="AB1261">
            <v>0</v>
          </cell>
          <cell r="AC1261">
            <v>110.62061459510406</v>
          </cell>
        </row>
        <row r="1262">
          <cell r="J1262" t="str">
            <v>- Daging Ayam Ras Petelur</v>
          </cell>
          <cell r="K1262">
            <v>47152.940234941409</v>
          </cell>
          <cell r="M1262">
            <v>71162</v>
          </cell>
          <cell r="O1262">
            <v>71174.441699999996</v>
          </cell>
          <cell r="Q1262">
            <v>0</v>
          </cell>
          <cell r="Y1262">
            <v>0</v>
          </cell>
          <cell r="Z1262">
            <v>0</v>
          </cell>
          <cell r="AA1262">
            <v>71162</v>
          </cell>
          <cell r="AB1262">
            <v>0</v>
          </cell>
          <cell r="AC1262">
            <v>150.91741818311328</v>
          </cell>
        </row>
        <row r="1263">
          <cell r="J1263" t="str">
            <v>- Daging Ayam Ras Pedaging</v>
          </cell>
          <cell r="K1263">
            <v>1686623.0964660645</v>
          </cell>
          <cell r="M1263">
            <v>1886261</v>
          </cell>
          <cell r="O1263">
            <v>1894581.297271</v>
          </cell>
          <cell r="Q1263">
            <v>0</v>
          </cell>
          <cell r="Y1263">
            <v>0</v>
          </cell>
          <cell r="Z1263">
            <v>0</v>
          </cell>
          <cell r="AA1263">
            <v>1886261</v>
          </cell>
          <cell r="AB1263">
            <v>0</v>
          </cell>
          <cell r="AC1263">
            <v>111.83654510318466</v>
          </cell>
        </row>
        <row r="1264">
          <cell r="J1264" t="str">
            <v>- Daging Itik</v>
          </cell>
          <cell r="K1264">
            <v>64771.212906283334</v>
          </cell>
          <cell r="M1264">
            <v>92447</v>
          </cell>
          <cell r="O1264">
            <v>94227.657099999997</v>
          </cell>
          <cell r="Q1264">
            <v>0</v>
          </cell>
          <cell r="Y1264">
            <v>0</v>
          </cell>
          <cell r="Z1264">
            <v>0</v>
          </cell>
          <cell r="AA1264">
            <v>92447</v>
          </cell>
          <cell r="AB1264">
            <v>0</v>
          </cell>
          <cell r="AC1264">
            <v>142.72852993159233</v>
          </cell>
        </row>
        <row r="1265">
          <cell r="J1265" t="str">
            <v>- Telur Ayam Ras</v>
          </cell>
          <cell r="K1265">
            <v>727012.60580418748</v>
          </cell>
          <cell r="M1265">
            <v>751725</v>
          </cell>
          <cell r="O1265">
            <v>628020.82349999994</v>
          </cell>
          <cell r="Q1265">
            <v>0</v>
          </cell>
          <cell r="Y1265">
            <v>0</v>
          </cell>
          <cell r="Z1265">
            <v>0</v>
          </cell>
          <cell r="AA1265">
            <v>751725</v>
          </cell>
          <cell r="AB1265">
            <v>0</v>
          </cell>
          <cell r="AC1265">
            <v>103.39916997291634</v>
          </cell>
        </row>
        <row r="1266">
          <cell r="J1266" t="str">
            <v>- Telur Ayam Buras</v>
          </cell>
          <cell r="K1266">
            <v>341726.51581408113</v>
          </cell>
          <cell r="M1266">
            <v>503243</v>
          </cell>
          <cell r="O1266">
            <v>334549.88944993058</v>
          </cell>
          <cell r="Q1266">
            <v>0</v>
          </cell>
          <cell r="Y1266">
            <v>0</v>
          </cell>
          <cell r="Z1266">
            <v>0</v>
          </cell>
          <cell r="AA1266">
            <v>503243</v>
          </cell>
          <cell r="AB1266">
            <v>0</v>
          </cell>
          <cell r="AC1266">
            <v>147.26483802439057</v>
          </cell>
        </row>
        <row r="1267">
          <cell r="J1267" t="str">
            <v>- Telur Itik</v>
          </cell>
          <cell r="K1267">
            <v>716016.31721855025</v>
          </cell>
          <cell r="M1267">
            <v>863392</v>
          </cell>
          <cell r="O1267">
            <v>694958.38324776001</v>
          </cell>
          <cell r="Q1267">
            <v>0</v>
          </cell>
          <cell r="Y1267">
            <v>0</v>
          </cell>
          <cell r="Z1267">
            <v>0</v>
          </cell>
          <cell r="AA1267">
            <v>863392</v>
          </cell>
          <cell r="AB1267">
            <v>0</v>
          </cell>
          <cell r="AC1267">
            <v>120.58272685096729</v>
          </cell>
        </row>
        <row r="1268">
          <cell r="I1268" t="str">
            <v>Pembibitan dan Perawatan Ternak</v>
          </cell>
          <cell r="J1268" t="str">
            <v>Terlaksananya operasionnal pemeliharaan ternak di P4 Lengayang (bln)</v>
          </cell>
          <cell r="K1268">
            <v>60</v>
          </cell>
          <cell r="L1268">
            <v>1985984000</v>
          </cell>
          <cell r="M1268">
            <v>24</v>
          </cell>
          <cell r="N1268">
            <v>575394900</v>
          </cell>
          <cell r="O1268">
            <v>12</v>
          </cell>
          <cell r="P1268">
            <v>207376323</v>
          </cell>
          <cell r="Q1268">
            <v>3</v>
          </cell>
          <cell r="R1268">
            <v>19455634</v>
          </cell>
          <cell r="S1268">
            <v>6</v>
          </cell>
          <cell r="T1268">
            <v>76597.899000000005</v>
          </cell>
          <cell r="Y1268">
            <v>9</v>
          </cell>
          <cell r="Z1268">
            <v>19532231.899</v>
          </cell>
          <cell r="AA1268">
            <v>33</v>
          </cell>
          <cell r="AB1268">
            <v>594927131.89900005</v>
          </cell>
          <cell r="AC1268">
            <v>55.000000000000007</v>
          </cell>
          <cell r="AD1268">
            <v>29.956290277212709</v>
          </cell>
        </row>
        <row r="1269">
          <cell r="I1269" t="str">
            <v>Pembelian dan Pendistribusian Vaksin dan Pakan Ternak</v>
          </cell>
          <cell r="J1269" t="str">
            <v>Tersedianya vaksin dan obat2an ternak</v>
          </cell>
          <cell r="K1269">
            <v>68000</v>
          </cell>
          <cell r="L1269">
            <v>1424584627</v>
          </cell>
          <cell r="M1269">
            <v>22000</v>
          </cell>
          <cell r="N1269">
            <v>513802112</v>
          </cell>
          <cell r="O1269">
            <v>11000</v>
          </cell>
          <cell r="P1269">
            <v>227091844</v>
          </cell>
          <cell r="Q1269">
            <v>0</v>
          </cell>
          <cell r="R1269">
            <v>4542000</v>
          </cell>
          <cell r="S1269">
            <v>11000</v>
          </cell>
          <cell r="T1269">
            <v>208016</v>
          </cell>
          <cell r="Y1269">
            <v>11000</v>
          </cell>
          <cell r="Z1269">
            <v>4750016</v>
          </cell>
          <cell r="AA1269">
            <v>33000</v>
          </cell>
          <cell r="AB1269">
            <v>518552128</v>
          </cell>
          <cell r="AC1269">
            <v>48.529411764705884</v>
          </cell>
          <cell r="AD1269">
            <v>36.400233315166894</v>
          </cell>
        </row>
        <row r="1270">
          <cell r="I1270" t="str">
            <v>Peningkatan Mutu Genetik Melalui IB</v>
          </cell>
          <cell r="J1270" t="str">
            <v>Terlayaninya akseptor IB</v>
          </cell>
          <cell r="K1270">
            <v>35000</v>
          </cell>
          <cell r="L1270">
            <v>2208956866</v>
          </cell>
          <cell r="M1270">
            <v>16361</v>
          </cell>
          <cell r="N1270">
            <v>671583750.99999988</v>
          </cell>
          <cell r="O1270">
            <v>4000</v>
          </cell>
          <cell r="P1270">
            <v>375310808</v>
          </cell>
          <cell r="Q1270">
            <v>2900</v>
          </cell>
          <cell r="R1270">
            <v>26576936</v>
          </cell>
          <cell r="S1270">
            <v>4261</v>
          </cell>
          <cell r="T1270">
            <v>67110.736000000004</v>
          </cell>
          <cell r="Y1270">
            <v>7161</v>
          </cell>
          <cell r="Z1270">
            <v>26644046.736000001</v>
          </cell>
          <cell r="AA1270">
            <v>23522</v>
          </cell>
          <cell r="AB1270">
            <v>698227797.73599982</v>
          </cell>
          <cell r="AC1270">
            <v>67.205714285714294</v>
          </cell>
          <cell r="AD1270">
            <v>31.60893761589638</v>
          </cell>
        </row>
        <row r="1271">
          <cell r="I1271" t="str">
            <v>Pemberdayaan Kelembagaan dan Usaha Peternakan</v>
          </cell>
          <cell r="J1271" t="str">
            <v>Jumlah petani ternak yang dilatih dan mendapat sosialisasi</v>
          </cell>
          <cell r="K1271">
            <v>740</v>
          </cell>
          <cell r="L1271">
            <v>1319818845</v>
          </cell>
          <cell r="M1271">
            <v>160</v>
          </cell>
          <cell r="N1271">
            <v>430581378</v>
          </cell>
          <cell r="O1271">
            <v>80</v>
          </cell>
          <cell r="P1271">
            <v>173912936</v>
          </cell>
          <cell r="Q1271">
            <v>150</v>
          </cell>
          <cell r="R1271">
            <v>19816700</v>
          </cell>
          <cell r="S1271">
            <v>150</v>
          </cell>
          <cell r="T1271">
            <v>60375.868000000002</v>
          </cell>
          <cell r="Y1271">
            <v>300</v>
          </cell>
          <cell r="Z1271">
            <v>19877075.868000001</v>
          </cell>
          <cell r="AA1271">
            <v>460</v>
          </cell>
          <cell r="AB1271">
            <v>450458453.86800003</v>
          </cell>
          <cell r="AC1271">
            <v>62.162162162162161</v>
          </cell>
          <cell r="AD1271">
            <v>34.130324443730764</v>
          </cell>
        </row>
        <row r="1272">
          <cell r="I1272" t="str">
            <v>Budidaya Itik Bayang</v>
          </cell>
          <cell r="J1272" t="str">
            <v xml:space="preserve">Terlaksananya penetasan telur itik yang distribusikan ke kelompok tani ternak </v>
          </cell>
          <cell r="K1272">
            <v>31000</v>
          </cell>
          <cell r="L1272">
            <v>687301760</v>
          </cell>
          <cell r="M1272">
            <v>8000</v>
          </cell>
          <cell r="N1272">
            <v>226268340</v>
          </cell>
          <cell r="O1272">
            <v>1500</v>
          </cell>
          <cell r="P1272">
            <v>113528833</v>
          </cell>
          <cell r="Q1272">
            <v>0</v>
          </cell>
          <cell r="R1272">
            <v>5070751</v>
          </cell>
          <cell r="S1272">
            <v>0</v>
          </cell>
          <cell r="T1272">
            <v>35887.392999999996</v>
          </cell>
          <cell r="Y1272">
            <v>0</v>
          </cell>
          <cell r="Z1272">
            <v>5106638.3930000002</v>
          </cell>
          <cell r="AA1272">
            <v>8000</v>
          </cell>
          <cell r="AB1272">
            <v>231374978.39300001</v>
          </cell>
          <cell r="AC1272">
            <v>25.806451612903224</v>
          </cell>
          <cell r="AD1272">
            <v>33.664249367410321</v>
          </cell>
        </row>
        <row r="1273">
          <cell r="I1273" t="str">
            <v>Budidaya ayam lokal</v>
          </cell>
          <cell r="J1273" t="str">
            <v>Terlaksananya penetasan telur ayam lokal dan budidaya ayam lokal</v>
          </cell>
          <cell r="K1273">
            <v>6000</v>
          </cell>
          <cell r="L1273">
            <v>433359222</v>
          </cell>
          <cell r="M1273">
            <v>1500</v>
          </cell>
          <cell r="N1273">
            <v>86886620</v>
          </cell>
          <cell r="O1273">
            <v>1500</v>
          </cell>
          <cell r="P1273">
            <v>63212339</v>
          </cell>
          <cell r="Q1273">
            <v>0</v>
          </cell>
          <cell r="R1273">
            <v>4625225</v>
          </cell>
          <cell r="S1273">
            <v>0</v>
          </cell>
          <cell r="T1273">
            <v>20225.224999999999</v>
          </cell>
          <cell r="Y1273">
            <v>0</v>
          </cell>
          <cell r="Z1273">
            <v>4645450.2249999996</v>
          </cell>
          <cell r="AA1273">
            <v>1500</v>
          </cell>
          <cell r="AB1273">
            <v>91532070.224999994</v>
          </cell>
          <cell r="AC1273">
            <v>25</v>
          </cell>
          <cell r="AD1273">
            <v>21.121523571730982</v>
          </cell>
        </row>
        <row r="1274">
          <cell r="I1274" t="str">
            <v>Peningkatan Sarana Prasarana Peternakan (DAK)</v>
          </cell>
          <cell r="J1274" t="str">
            <v>Terlaksananya pembangunan sarana prasarana petternakan</v>
          </cell>
          <cell r="K1274">
            <v>12</v>
          </cell>
          <cell r="L1274">
            <v>3000000000</v>
          </cell>
          <cell r="M1274">
            <v>4</v>
          </cell>
          <cell r="N1274">
            <v>563116434</v>
          </cell>
          <cell r="O1274">
            <v>4</v>
          </cell>
          <cell r="P1274">
            <v>500000000</v>
          </cell>
          <cell r="Q1274">
            <v>0</v>
          </cell>
          <cell r="R1274">
            <v>30000000</v>
          </cell>
          <cell r="S1274">
            <v>3</v>
          </cell>
          <cell r="T1274">
            <v>79500</v>
          </cell>
          <cell r="Y1274">
            <v>3</v>
          </cell>
          <cell r="Z1274">
            <v>30079500</v>
          </cell>
          <cell r="AA1274">
            <v>7</v>
          </cell>
          <cell r="AB1274">
            <v>593195934</v>
          </cell>
          <cell r="AC1274">
            <v>58.333333333333336</v>
          </cell>
          <cell r="AD1274">
            <v>19.773197800000002</v>
          </cell>
        </row>
        <row r="1275">
          <cell r="I1275" t="str">
            <v>Pengembangan ternak untuk menunjang percepatan pembangunan</v>
          </cell>
          <cell r="J1275" t="str">
            <v>Terdistribusikannya ternak kepada masyarakat</v>
          </cell>
          <cell r="K1275">
            <v>240</v>
          </cell>
          <cell r="L1275">
            <v>2400000000</v>
          </cell>
          <cell r="M1275">
            <v>65</v>
          </cell>
          <cell r="N1275">
            <v>725135000</v>
          </cell>
          <cell r="O1275">
            <v>971</v>
          </cell>
          <cell r="P1275">
            <v>419753241.25</v>
          </cell>
          <cell r="Q1275">
            <v>0</v>
          </cell>
          <cell r="R1275">
            <v>3925900</v>
          </cell>
          <cell r="S1275">
            <v>41.405084745762707</v>
          </cell>
          <cell r="T1275">
            <v>259261.62100000001</v>
          </cell>
          <cell r="Y1275">
            <v>41.405084745762707</v>
          </cell>
          <cell r="Z1275">
            <v>4185161.6209999998</v>
          </cell>
          <cell r="AA1275">
            <v>106.40508474576271</v>
          </cell>
          <cell r="AB1275">
            <v>729320161.62100005</v>
          </cell>
          <cell r="AC1275">
            <v>44.335451977401128</v>
          </cell>
          <cell r="AD1275">
            <v>30.388340067541669</v>
          </cell>
        </row>
        <row r="1276">
          <cell r="A1276">
            <v>5</v>
          </cell>
          <cell r="I1276" t="str">
            <v>Program Pengembangan Agribisnis Peternakan</v>
          </cell>
          <cell r="J1276" t="str">
            <v>Jumlah kelompok tani yang menerima bantuan ternak  (kelp)</v>
          </cell>
          <cell r="K1276">
            <v>20</v>
          </cell>
          <cell r="L1276">
            <v>562226021</v>
          </cell>
          <cell r="M1276">
            <v>4</v>
          </cell>
          <cell r="N1276">
            <v>167722221</v>
          </cell>
          <cell r="O1276">
            <v>4</v>
          </cell>
          <cell r="P1276">
            <v>68821234</v>
          </cell>
          <cell r="Q1276">
            <v>0</v>
          </cell>
          <cell r="R1276">
            <v>3844061</v>
          </cell>
          <cell r="T1276">
            <v>18545290</v>
          </cell>
          <cell r="Y1276">
            <v>0</v>
          </cell>
          <cell r="Z1276">
            <v>22389351</v>
          </cell>
          <cell r="AA1276">
            <v>4</v>
          </cell>
          <cell r="AB1276">
            <v>190111572</v>
          </cell>
          <cell r="AC1276">
            <v>20</v>
          </cell>
          <cell r="AD1276">
            <v>33.814082753028607</v>
          </cell>
          <cell r="AE1276" t="str">
            <v>Disnakkeswan</v>
          </cell>
        </row>
        <row r="1277">
          <cell r="I1277" t="str">
            <v>Pencapaian swasembada daging sapi dan kerbau</v>
          </cell>
          <cell r="J1277" t="str">
            <v>tersedianya operasional kegiatan APBN (bln)</v>
          </cell>
          <cell r="K1277">
            <v>72</v>
          </cell>
          <cell r="L1277">
            <v>562226021</v>
          </cell>
          <cell r="M1277">
            <v>24</v>
          </cell>
          <cell r="N1277">
            <v>167722221</v>
          </cell>
          <cell r="O1277">
            <v>3</v>
          </cell>
          <cell r="P1277">
            <v>68821234</v>
          </cell>
          <cell r="Q1277">
            <v>3</v>
          </cell>
          <cell r="R1277">
            <v>3844061</v>
          </cell>
          <cell r="S1277">
            <v>6</v>
          </cell>
          <cell r="T1277">
            <v>18545290</v>
          </cell>
          <cell r="Y1277">
            <v>9</v>
          </cell>
          <cell r="Z1277">
            <v>22389351</v>
          </cell>
          <cell r="AA1277">
            <v>33</v>
          </cell>
          <cell r="AB1277">
            <v>190111572</v>
          </cell>
          <cell r="AC1277">
            <v>45.833333333333329</v>
          </cell>
          <cell r="AD1277">
            <v>33.814082753028607</v>
          </cell>
        </row>
        <row r="1278">
          <cell r="A1278">
            <v>6</v>
          </cell>
          <cell r="B1278" t="str">
            <v>Meningkatkan nilai Produksi peternakan</v>
          </cell>
          <cell r="C1278">
            <v>2</v>
          </cell>
          <cell r="D1278" t="str">
            <v>00</v>
          </cell>
          <cell r="E1278" t="str">
            <v>03</v>
          </cell>
          <cell r="F1278" t="str">
            <v>02</v>
          </cell>
          <cell r="G1278">
            <v>21</v>
          </cell>
          <cell r="I1278" t="str">
            <v>Program Pencegahan   dan penanggulangan penyakit menular</v>
          </cell>
          <cell r="J1278" t="str">
            <v xml:space="preserve">-Jumlah hewan ternak yang divaksinasi </v>
          </cell>
          <cell r="K1278">
            <v>70000</v>
          </cell>
          <cell r="L1278">
            <v>130509219.614751</v>
          </cell>
          <cell r="M1278">
            <v>22000</v>
          </cell>
          <cell r="N1278">
            <v>83584000</v>
          </cell>
          <cell r="O1278">
            <v>11000</v>
          </cell>
          <cell r="P1278">
            <v>569703518</v>
          </cell>
          <cell r="Q1278">
            <v>0</v>
          </cell>
          <cell r="R1278">
            <v>0</v>
          </cell>
          <cell r="S1278">
            <v>3</v>
          </cell>
          <cell r="T1278">
            <v>63477000</v>
          </cell>
          <cell r="Y1278">
            <v>3</v>
          </cell>
          <cell r="Z1278">
            <v>63477000</v>
          </cell>
          <cell r="AA1278">
            <v>22003</v>
          </cell>
          <cell r="AB1278">
            <v>147061000</v>
          </cell>
          <cell r="AC1278">
            <v>31.432857142857141</v>
          </cell>
          <cell r="AD1278">
            <v>112.6824606216389</v>
          </cell>
          <cell r="AE1278" t="str">
            <v>Disnakkeswan</v>
          </cell>
        </row>
        <row r="1279">
          <cell r="I1279" t="str">
            <v>Pemeliharaan kesehatan dan pencegahan penyakit menular ternak</v>
          </cell>
          <cell r="J1279" t="str">
            <v xml:space="preserve">- biosecurity </v>
          </cell>
          <cell r="K1279">
            <v>720</v>
          </cell>
          <cell r="L1279">
            <v>130509219.614751</v>
          </cell>
          <cell r="M1279">
            <v>240</v>
          </cell>
          <cell r="N1279">
            <v>83584000</v>
          </cell>
          <cell r="O1279">
            <v>120</v>
          </cell>
          <cell r="P1279">
            <v>274039616</v>
          </cell>
          <cell r="Q1279">
            <v>0</v>
          </cell>
          <cell r="S1279">
            <v>3</v>
          </cell>
          <cell r="T1279">
            <v>63476630</v>
          </cell>
          <cell r="Y1279">
            <v>3</v>
          </cell>
          <cell r="Z1279">
            <v>63476630</v>
          </cell>
          <cell r="AA1279">
            <v>243</v>
          </cell>
          <cell r="AB1279">
            <v>147060630</v>
          </cell>
          <cell r="AC1279">
            <v>33.75</v>
          </cell>
          <cell r="AD1279">
            <v>112.68217711676382</v>
          </cell>
        </row>
        <row r="1280">
          <cell r="J1280" t="str">
            <v>- vaksin SE</v>
          </cell>
          <cell r="K1280">
            <v>35000</v>
          </cell>
          <cell r="M1280">
            <v>22000</v>
          </cell>
          <cell r="O1280">
            <v>5250</v>
          </cell>
          <cell r="Q1280">
            <v>0</v>
          </cell>
          <cell r="Y1280">
            <v>0</v>
          </cell>
          <cell r="Z1280">
            <v>0</v>
          </cell>
          <cell r="AA1280">
            <v>22000</v>
          </cell>
          <cell r="AB1280">
            <v>0</v>
          </cell>
          <cell r="AC1280">
            <v>62.857142857142854</v>
          </cell>
          <cell r="AD1280" t="e">
            <v>#DIV/0!</v>
          </cell>
        </row>
        <row r="1281">
          <cell r="J1281" t="str">
            <v>- vaksin rabies</v>
          </cell>
          <cell r="K1281">
            <v>35000</v>
          </cell>
          <cell r="M1281">
            <v>22000</v>
          </cell>
          <cell r="O1281">
            <v>5250</v>
          </cell>
          <cell r="Q1281">
            <v>0</v>
          </cell>
          <cell r="Y1281">
            <v>0</v>
          </cell>
          <cell r="Z1281">
            <v>0</v>
          </cell>
          <cell r="AA1281">
            <v>22000</v>
          </cell>
          <cell r="AB1281">
            <v>0</v>
          </cell>
          <cell r="AC1281">
            <v>62.857142857142854</v>
          </cell>
          <cell r="AD1281" t="e">
            <v>#DIV/0!</v>
          </cell>
        </row>
        <row r="1282">
          <cell r="J1282" t="str">
            <v>- penanganan gangguan reproduksi</v>
          </cell>
          <cell r="K1282">
            <v>250</v>
          </cell>
          <cell r="M1282">
            <v>100</v>
          </cell>
          <cell r="O1282">
            <v>100</v>
          </cell>
          <cell r="Q1282">
            <v>0</v>
          </cell>
          <cell r="Y1282">
            <v>0</v>
          </cell>
          <cell r="Z1282">
            <v>0</v>
          </cell>
          <cell r="AA1282">
            <v>100</v>
          </cell>
          <cell r="AB1282">
            <v>0</v>
          </cell>
          <cell r="AC1282">
            <v>40</v>
          </cell>
          <cell r="AD1282" t="e">
            <v>#DIV/0!</v>
          </cell>
        </row>
        <row r="1283">
          <cell r="I1283" t="str">
            <v>Pengendalian dan pemberantasan penyakit rabies</v>
          </cell>
          <cell r="J1283" t="str">
            <v>jumlah ternak yang dikendalikan dari penyakit endekmik</v>
          </cell>
          <cell r="K1283">
            <v>30300</v>
          </cell>
          <cell r="L1283">
            <v>1362291000</v>
          </cell>
          <cell r="M1283">
            <v>5302</v>
          </cell>
          <cell r="N1283">
            <v>474514000</v>
          </cell>
          <cell r="O1283">
            <v>4000</v>
          </cell>
          <cell r="P1283">
            <v>165695675</v>
          </cell>
          <cell r="Q1283" t="str">
            <v>-</v>
          </cell>
          <cell r="R1283">
            <v>4331510</v>
          </cell>
          <cell r="S1283" t="str">
            <v>-</v>
          </cell>
          <cell r="T1283">
            <v>9321510</v>
          </cell>
        </row>
        <row r="1284">
          <cell r="I1284" t="str">
            <v>Pengawasan perdagangan ternak antar daerah</v>
          </cell>
          <cell r="J1284" t="str">
            <v>terlaksananya pengawasan lalu lintas ternak (%)</v>
          </cell>
          <cell r="K1284">
            <v>33.33</v>
          </cell>
          <cell r="L1284">
            <v>740626820</v>
          </cell>
          <cell r="M1284">
            <v>13.33</v>
          </cell>
          <cell r="N1284">
            <v>120423280</v>
          </cell>
          <cell r="O1284">
            <v>20</v>
          </cell>
          <cell r="P1284">
            <v>94611610</v>
          </cell>
          <cell r="Q1284" t="str">
            <v>-</v>
          </cell>
          <cell r="R1284">
            <v>13901950</v>
          </cell>
          <cell r="S1284">
            <v>0</v>
          </cell>
          <cell r="T1284">
            <v>42065140</v>
          </cell>
        </row>
        <row r="1285">
          <cell r="I1285" t="str">
            <v>Penyusunan ranperda rabies</v>
          </cell>
          <cell r="J1285" t="str">
            <v xml:space="preserve"> ranperda rabies (dok)</v>
          </cell>
          <cell r="K1285">
            <v>1</v>
          </cell>
          <cell r="L1285">
            <v>75076460</v>
          </cell>
          <cell r="M1285">
            <v>1</v>
          </cell>
          <cell r="N1285">
            <v>26742190</v>
          </cell>
          <cell r="O1285">
            <v>1</v>
          </cell>
          <cell r="P1285">
            <v>35356617</v>
          </cell>
          <cell r="Q1285">
            <v>0</v>
          </cell>
          <cell r="R1285" t="str">
            <v>0</v>
          </cell>
          <cell r="S1285">
            <v>0</v>
          </cell>
          <cell r="T1285">
            <v>0</v>
          </cell>
        </row>
        <row r="1286">
          <cell r="A1286">
            <v>7</v>
          </cell>
          <cell r="B1286" t="str">
            <v>Meningkatkan nilai Produksi peternakan</v>
          </cell>
          <cell r="C1286">
            <v>2</v>
          </cell>
          <cell r="D1286" t="str">
            <v>00</v>
          </cell>
          <cell r="E1286" t="str">
            <v>03</v>
          </cell>
          <cell r="F1286" t="str">
            <v>02</v>
          </cell>
          <cell r="G1286">
            <v>23</v>
          </cell>
          <cell r="I1286" t="str">
            <v>Program Peningkatan Pemasaran Hasil Produksi Ternak</v>
          </cell>
          <cell r="J1286" t="str">
            <v>Even Promosi yang diikuti</v>
          </cell>
          <cell r="K1286">
            <v>20</v>
          </cell>
          <cell r="L1286">
            <v>3272485100</v>
          </cell>
          <cell r="M1286">
            <v>7</v>
          </cell>
          <cell r="N1286">
            <v>1090828366.6666667</v>
          </cell>
          <cell r="O1286">
            <v>3</v>
          </cell>
          <cell r="P1286">
            <v>913327596</v>
          </cell>
          <cell r="Q1286">
            <v>0</v>
          </cell>
          <cell r="R1286">
            <v>15972132</v>
          </cell>
          <cell r="S1286">
            <v>1</v>
          </cell>
          <cell r="T1286">
            <v>139604160</v>
          </cell>
          <cell r="Y1286">
            <v>1</v>
          </cell>
          <cell r="Z1286">
            <v>155576292</v>
          </cell>
          <cell r="AA1286">
            <v>8</v>
          </cell>
          <cell r="AB1286">
            <v>1246404658.6666667</v>
          </cell>
          <cell r="AC1286">
            <v>40</v>
          </cell>
          <cell r="AD1286">
            <v>38.087405154775702</v>
          </cell>
          <cell r="AE1286" t="str">
            <v>Disnakkeswan</v>
          </cell>
        </row>
        <row r="1287">
          <cell r="I1287" t="str">
            <v>Promosi atas hasil Produksi Peternakan Unggulan Daerah</v>
          </cell>
          <cell r="J1287" t="str">
            <v>Even Promosi (kegiatan)</v>
          </cell>
          <cell r="K1287">
            <v>20</v>
          </cell>
          <cell r="L1287">
            <v>2269262100</v>
          </cell>
          <cell r="M1287">
            <v>7</v>
          </cell>
          <cell r="N1287">
            <v>756420700</v>
          </cell>
          <cell r="O1287">
            <v>3</v>
          </cell>
          <cell r="P1287">
            <v>913327596</v>
          </cell>
          <cell r="Q1287">
            <v>0</v>
          </cell>
          <cell r="R1287">
            <v>13919632</v>
          </cell>
          <cell r="S1287">
            <v>1</v>
          </cell>
          <cell r="T1287">
            <v>139604160</v>
          </cell>
          <cell r="Y1287">
            <v>1</v>
          </cell>
          <cell r="Z1287">
            <v>153523792</v>
          </cell>
          <cell r="AA1287">
            <v>8</v>
          </cell>
          <cell r="AB1287">
            <v>909944492</v>
          </cell>
          <cell r="AC1287">
            <v>40</v>
          </cell>
          <cell r="AD1287">
            <v>40.098695166151153</v>
          </cell>
        </row>
        <row r="1288">
          <cell r="A1288">
            <v>8</v>
          </cell>
          <cell r="C1288">
            <v>2</v>
          </cell>
          <cell r="D1288" t="str">
            <v>00</v>
          </cell>
          <cell r="E1288" t="str">
            <v>03</v>
          </cell>
          <cell r="F1288" t="str">
            <v>02</v>
          </cell>
          <cell r="G1288">
            <v>24</v>
          </cell>
          <cell r="I1288" t="str">
            <v>Program Peningkatan Penerapan Teknologi Peternakan</v>
          </cell>
          <cell r="J1288" t="str">
            <v>Jumlah teknologi yang diterapkan</v>
          </cell>
          <cell r="K1288">
            <v>4</v>
          </cell>
          <cell r="L1288">
            <v>1003223000</v>
          </cell>
          <cell r="M1288">
            <v>2</v>
          </cell>
          <cell r="N1288">
            <v>334407666.66666669</v>
          </cell>
          <cell r="O1288">
            <v>1</v>
          </cell>
          <cell r="P1288">
            <v>160740142</v>
          </cell>
          <cell r="Q1288">
            <v>0</v>
          </cell>
          <cell r="R1288">
            <v>2052500</v>
          </cell>
          <cell r="S1288">
            <v>1</v>
          </cell>
          <cell r="T1288">
            <v>2052500</v>
          </cell>
          <cell r="Y1288">
            <v>1</v>
          </cell>
          <cell r="Z1288">
            <v>4105000</v>
          </cell>
          <cell r="AA1288">
            <v>3</v>
          </cell>
          <cell r="AB1288">
            <v>338512666.66666669</v>
          </cell>
          <cell r="AC1288">
            <v>75</v>
          </cell>
          <cell r="AD1288">
            <v>33.742514542296846</v>
          </cell>
          <cell r="AE1288" t="str">
            <v>Disnakkeswan</v>
          </cell>
        </row>
        <row r="1289">
          <cell r="I1289" t="str">
            <v>Penerapan Teknologi Peternakan</v>
          </cell>
          <cell r="J1289" t="str">
            <v xml:space="preserve">jumlah teknologi yang diterapkan kelompok </v>
          </cell>
          <cell r="K1289">
            <v>4</v>
          </cell>
          <cell r="L1289">
            <v>1003223000</v>
          </cell>
          <cell r="M1289">
            <v>2</v>
          </cell>
          <cell r="N1289">
            <v>334407666.66666669</v>
          </cell>
          <cell r="O1289">
            <v>1</v>
          </cell>
          <cell r="P1289">
            <v>160740142</v>
          </cell>
          <cell r="Q1289">
            <v>0</v>
          </cell>
          <cell r="R1289">
            <v>2052500</v>
          </cell>
          <cell r="S1289">
            <v>1</v>
          </cell>
          <cell r="T1289">
            <v>2052500</v>
          </cell>
          <cell r="Y1289">
            <v>1</v>
          </cell>
          <cell r="Z1289">
            <v>4105000</v>
          </cell>
          <cell r="AA1289">
            <v>3</v>
          </cell>
          <cell r="AB1289">
            <v>338512666.66666669</v>
          </cell>
          <cell r="AC1289">
            <v>75</v>
          </cell>
          <cell r="AD1289">
            <v>33.742514542296846</v>
          </cell>
        </row>
        <row r="1290">
          <cell r="A1290">
            <v>9</v>
          </cell>
          <cell r="C1290">
            <v>2</v>
          </cell>
          <cell r="D1290" t="str">
            <v>00</v>
          </cell>
          <cell r="E1290" t="str">
            <v>03</v>
          </cell>
          <cell r="F1290" t="str">
            <v>02</v>
          </cell>
          <cell r="G1290">
            <v>32</v>
          </cell>
          <cell r="I1290" t="str">
            <v>Program Peningkatan Sarana Prasarana Peternakan</v>
          </cell>
          <cell r="J1290" t="str">
            <v xml:space="preserve">Jumlah sarana prasarana peternakan yang tersedia </v>
          </cell>
          <cell r="K1290">
            <v>24</v>
          </cell>
          <cell r="L1290">
            <v>3980000000</v>
          </cell>
          <cell r="M1290">
            <v>13</v>
          </cell>
          <cell r="N1290">
            <v>334333089.99999994</v>
          </cell>
          <cell r="O1290">
            <v>5</v>
          </cell>
          <cell r="P1290">
            <v>63895958</v>
          </cell>
          <cell r="Q1290">
            <v>0</v>
          </cell>
          <cell r="R1290">
            <v>35132472</v>
          </cell>
          <cell r="S1290">
            <v>2</v>
          </cell>
          <cell r="T1290">
            <v>47094007</v>
          </cell>
          <cell r="Y1290">
            <v>2</v>
          </cell>
          <cell r="Z1290">
            <v>82226479</v>
          </cell>
          <cell r="AA1290">
            <v>15</v>
          </cell>
          <cell r="AB1290">
            <v>416559568.99999994</v>
          </cell>
          <cell r="AC1290">
            <v>62.5</v>
          </cell>
          <cell r="AD1290">
            <v>10.466320829145728</v>
          </cell>
          <cell r="AE1290" t="str">
            <v>Disnakkeswan</v>
          </cell>
        </row>
        <row r="1291">
          <cell r="I1291" t="str">
            <v>Peningkatan Sarana Prasarana Peternakan</v>
          </cell>
          <cell r="J1291" t="str">
            <v>Tersedianya sarana prasarana peternakan</v>
          </cell>
          <cell r="K1291">
            <v>12</v>
          </cell>
          <cell r="L1291">
            <v>3980000000</v>
          </cell>
          <cell r="M1291">
            <v>9</v>
          </cell>
          <cell r="N1291">
            <v>334333089.99999994</v>
          </cell>
          <cell r="O1291">
            <v>1</v>
          </cell>
          <cell r="P1291">
            <v>63895958</v>
          </cell>
          <cell r="Q1291">
            <v>0</v>
          </cell>
          <cell r="R1291">
            <v>35132472</v>
          </cell>
          <cell r="S1291">
            <v>2</v>
          </cell>
          <cell r="T1291">
            <v>47094007</v>
          </cell>
          <cell r="Y1291">
            <v>2</v>
          </cell>
          <cell r="Z1291">
            <v>82226479</v>
          </cell>
          <cell r="AA1291">
            <v>11</v>
          </cell>
          <cell r="AB1291">
            <v>416559568.99999994</v>
          </cell>
          <cell r="AC1291">
            <v>91.666666666666657</v>
          </cell>
          <cell r="AD1291">
            <v>10.466320829145728</v>
          </cell>
        </row>
        <row r="1292">
          <cell r="A1292" t="str">
            <v>Rata-Rata Capaian Kinerja</v>
          </cell>
          <cell r="AC1292">
            <v>86.51738859650915</v>
          </cell>
          <cell r="AD1292">
            <v>44.885704364274623</v>
          </cell>
        </row>
        <row r="1293">
          <cell r="A1293" t="str">
            <v>Peringkat  Kinerja</v>
          </cell>
          <cell r="AC1293" t="str">
            <v>T</v>
          </cell>
          <cell r="AD1293" t="str">
            <v>SR</v>
          </cell>
        </row>
        <row r="1294">
          <cell r="A1294" t="str">
            <v>IV</v>
          </cell>
          <cell r="I1294" t="str">
            <v>URUSAN PERDAGANGAN</v>
          </cell>
          <cell r="L1294">
            <v>68203701000</v>
          </cell>
          <cell r="N1294">
            <v>12955870390</v>
          </cell>
          <cell r="P1294">
            <v>18107918831</v>
          </cell>
          <cell r="R1294">
            <v>223208550</v>
          </cell>
          <cell r="T1294">
            <v>208835197</v>
          </cell>
          <cell r="Y1294">
            <v>0</v>
          </cell>
          <cell r="Z1294">
            <v>432043747</v>
          </cell>
          <cell r="AB1294">
            <v>13387914137</v>
          </cell>
        </row>
        <row r="1295">
          <cell r="A1295">
            <v>1</v>
          </cell>
          <cell r="C1295" t="str">
            <v>06</v>
          </cell>
          <cell r="D1295">
            <v>1</v>
          </cell>
          <cell r="E1295" t="str">
            <v>02</v>
          </cell>
          <cell r="F1295">
            <v>11</v>
          </cell>
          <cell r="G1295">
            <v>15</v>
          </cell>
          <cell r="I1295" t="str">
            <v>Program Perlindungan Konsumen dan Pengamanan Perdagangan</v>
          </cell>
          <cell r="J1295" t="str">
            <v>Jumlah pasar rakyat memenuhi syarat pengelolaan SNI  8152:2015</v>
          </cell>
          <cell r="K1295">
            <v>9</v>
          </cell>
          <cell r="L1295">
            <v>4912360000</v>
          </cell>
          <cell r="M1295">
            <v>1</v>
          </cell>
          <cell r="N1295">
            <v>265519390</v>
          </cell>
          <cell r="O1295">
            <v>1</v>
          </cell>
          <cell r="P1295">
            <v>372216839</v>
          </cell>
          <cell r="R1295">
            <v>31675000</v>
          </cell>
          <cell r="T1295">
            <v>100322000</v>
          </cell>
          <cell r="Y1295">
            <v>0</v>
          </cell>
          <cell r="Z1295">
            <v>131997000</v>
          </cell>
          <cell r="AA1295">
            <v>1</v>
          </cell>
          <cell r="AB1295">
            <v>397516390</v>
          </cell>
          <cell r="AC1295">
            <v>11.111111111111111</v>
          </cell>
          <cell r="AD1295">
            <v>8.0921673085848767</v>
          </cell>
          <cell r="AE1295" t="str">
            <v>DKUPP</v>
          </cell>
        </row>
        <row r="1296">
          <cell r="J1296" t="str">
            <v>Koefesien variasi  harga bahan  kebutuhan pokok antarwaktu</v>
          </cell>
          <cell r="K1296" t="str">
            <v>&lt; 9 %</v>
          </cell>
          <cell r="M1296" t="str">
            <v>&lt; 9 %</v>
          </cell>
          <cell r="O1296" t="str">
            <v>&lt; 9 %</v>
          </cell>
          <cell r="Q1296" t="str">
            <v>&lt; 9 %</v>
          </cell>
          <cell r="Y1296" t="str">
            <v>&lt; 9 %</v>
          </cell>
          <cell r="Z1296">
            <v>0</v>
          </cell>
          <cell r="AA1296" t="str">
            <v>&lt; 9 %</v>
          </cell>
          <cell r="AB1296">
            <v>0</v>
          </cell>
        </row>
        <row r="1297">
          <cell r="C1297" t="str">
            <v>06</v>
          </cell>
          <cell r="D1297">
            <v>1</v>
          </cell>
          <cell r="E1297" t="str">
            <v>02</v>
          </cell>
          <cell r="F1297">
            <v>11</v>
          </cell>
          <cell r="G1297">
            <v>15</v>
          </cell>
          <cell r="H1297" t="str">
            <v>03</v>
          </cell>
          <cell r="I1297" t="str">
            <v>Peningkatan pengawasan peredaran barang</v>
          </cell>
          <cell r="J1297" t="str">
            <v xml:space="preserve">Jumlah kecamatan yang diawasi barang beredar </v>
          </cell>
          <cell r="K1297">
            <v>42</v>
          </cell>
          <cell r="L1297">
            <v>540000000</v>
          </cell>
          <cell r="M1297">
            <v>12</v>
          </cell>
          <cell r="N1297">
            <v>56637070</v>
          </cell>
          <cell r="O1297">
            <v>15</v>
          </cell>
          <cell r="P1297">
            <v>70860000</v>
          </cell>
          <cell r="R1297">
            <v>17202500</v>
          </cell>
          <cell r="S1297">
            <v>3</v>
          </cell>
          <cell r="T1297">
            <v>14873000</v>
          </cell>
          <cell r="Y1297">
            <v>3</v>
          </cell>
          <cell r="Z1297">
            <v>32075500</v>
          </cell>
          <cell r="AA1297">
            <v>15</v>
          </cell>
          <cell r="AB1297">
            <v>88712570</v>
          </cell>
          <cell r="AC1297">
            <v>35.714285714285715</v>
          </cell>
          <cell r="AD1297">
            <v>16.428253703703703</v>
          </cell>
        </row>
        <row r="1298">
          <cell r="C1298" t="str">
            <v>06</v>
          </cell>
          <cell r="D1298">
            <v>1</v>
          </cell>
          <cell r="E1298" t="str">
            <v>02</v>
          </cell>
          <cell r="F1298">
            <v>11</v>
          </cell>
          <cell r="G1298">
            <v>15</v>
          </cell>
          <cell r="H1298" t="str">
            <v>04</v>
          </cell>
          <cell r="I1298" t="str">
            <v xml:space="preserve">Operasionalisasi dan perlengkapan UPTD Kemetrologian </v>
          </cell>
          <cell r="J1298" t="str">
            <v>Terlaksana-nya persiapan pelayanan UPTD(bulan)</v>
          </cell>
          <cell r="K1298">
            <v>72</v>
          </cell>
          <cell r="L1298">
            <v>2378725000</v>
          </cell>
          <cell r="M1298">
            <v>24</v>
          </cell>
          <cell r="N1298">
            <v>61521800</v>
          </cell>
          <cell r="O1298">
            <v>12</v>
          </cell>
          <cell r="P1298">
            <v>107497463</v>
          </cell>
          <cell r="Q1298">
            <v>3</v>
          </cell>
          <cell r="R1298">
            <v>6000000</v>
          </cell>
          <cell r="S1298">
            <v>3</v>
          </cell>
          <cell r="T1298">
            <v>12620000</v>
          </cell>
          <cell r="Y1298">
            <v>6</v>
          </cell>
          <cell r="Z1298">
            <v>18620000</v>
          </cell>
          <cell r="AA1298">
            <v>30</v>
          </cell>
          <cell r="AB1298">
            <v>80141800</v>
          </cell>
          <cell r="AC1298">
            <v>41.666666666666671</v>
          </cell>
          <cell r="AD1298">
            <v>3.3691073999726746</v>
          </cell>
        </row>
        <row r="1299">
          <cell r="C1299" t="str">
            <v>06</v>
          </cell>
          <cell r="D1299">
            <v>1</v>
          </cell>
          <cell r="E1299" t="str">
            <v>02</v>
          </cell>
          <cell r="F1299">
            <v>11</v>
          </cell>
          <cell r="G1299">
            <v>15</v>
          </cell>
          <cell r="H1299">
            <v>22</v>
          </cell>
          <cell r="I1299" t="str">
            <v>Pemantauan harga dan Operasi Pasar</v>
          </cell>
          <cell r="J1299" t="str">
            <v>Jumlah Kecamatan yang dilaksana-kan pemantauan harga barang (kecamatan)</v>
          </cell>
          <cell r="K1299">
            <v>30</v>
          </cell>
          <cell r="L1299">
            <v>1713635000</v>
          </cell>
          <cell r="M1299">
            <v>7</v>
          </cell>
          <cell r="N1299">
            <v>147360520</v>
          </cell>
          <cell r="O1299">
            <v>4</v>
          </cell>
          <cell r="P1299">
            <v>124892916</v>
          </cell>
          <cell r="R1299">
            <v>4472500</v>
          </cell>
          <cell r="S1299">
            <v>1</v>
          </cell>
          <cell r="T1299">
            <v>64829000</v>
          </cell>
          <cell r="Y1299">
            <v>1</v>
          </cell>
          <cell r="Z1299">
            <v>69301500</v>
          </cell>
          <cell r="AA1299">
            <v>8</v>
          </cell>
          <cell r="AB1299">
            <v>216662020</v>
          </cell>
          <cell r="AC1299">
            <v>26.666666666666668</v>
          </cell>
          <cell r="AD1299">
            <v>12.643417063727105</v>
          </cell>
        </row>
        <row r="1300">
          <cell r="J1300" t="str">
            <v>Jumlah papan display informasi harga 9unit)</v>
          </cell>
          <cell r="K1300">
            <v>5</v>
          </cell>
          <cell r="L1300">
            <v>0</v>
          </cell>
          <cell r="M1300">
            <v>1</v>
          </cell>
          <cell r="N1300">
            <v>0</v>
          </cell>
          <cell r="P1300">
            <v>0</v>
          </cell>
          <cell r="R1300">
            <v>0</v>
          </cell>
          <cell r="Y1300">
            <v>0</v>
          </cell>
          <cell r="Z1300">
            <v>0</v>
          </cell>
          <cell r="AA1300">
            <v>1</v>
          </cell>
          <cell r="AB1300">
            <v>0</v>
          </cell>
          <cell r="AC1300">
            <v>20</v>
          </cell>
        </row>
        <row r="1301">
          <cell r="C1301" t="str">
            <v>06</v>
          </cell>
          <cell r="D1301">
            <v>1</v>
          </cell>
          <cell r="E1301" t="str">
            <v>02</v>
          </cell>
          <cell r="F1301">
            <v>11</v>
          </cell>
          <cell r="G1301">
            <v>15</v>
          </cell>
          <cell r="H1301">
            <v>24</v>
          </cell>
          <cell r="I1301" t="str">
            <v>Pembuatan Database Perdagangan</v>
          </cell>
          <cell r="J1301" t="str">
            <v>Database perdagangan(dok)</v>
          </cell>
          <cell r="K1301">
            <v>5</v>
          </cell>
          <cell r="L1301">
            <v>280000000</v>
          </cell>
          <cell r="N1301">
            <v>0</v>
          </cell>
          <cell r="O1301">
            <v>1</v>
          </cell>
          <cell r="P1301">
            <v>68966460</v>
          </cell>
          <cell r="R1301">
            <v>4000000</v>
          </cell>
          <cell r="T1301">
            <v>8000000</v>
          </cell>
          <cell r="Y1301">
            <v>0</v>
          </cell>
          <cell r="Z1301">
            <v>12000000</v>
          </cell>
          <cell r="AA1301">
            <v>0</v>
          </cell>
          <cell r="AB1301">
            <v>12000000</v>
          </cell>
          <cell r="AC1301">
            <v>0</v>
          </cell>
          <cell r="AD1301">
            <v>4.2857142857142856</v>
          </cell>
        </row>
        <row r="1302">
          <cell r="A1302">
            <v>2</v>
          </cell>
          <cell r="B1302" t="str">
            <v>Meningkatkan infrastruktur pasar rakyat</v>
          </cell>
          <cell r="C1302" t="str">
            <v>06</v>
          </cell>
          <cell r="D1302">
            <v>1</v>
          </cell>
          <cell r="E1302" t="str">
            <v>02</v>
          </cell>
          <cell r="F1302">
            <v>11</v>
          </cell>
          <cell r="G1302">
            <v>18</v>
          </cell>
          <cell r="I1302" t="str">
            <v>Program Peningkatan Efiseiensi Perdagangan Dalam Negeri</v>
          </cell>
          <cell r="J1302" t="str">
            <v>Jumlah pasar rakyat memenuhi syarat teknis SNI  8152:2015</v>
          </cell>
          <cell r="K1302">
            <v>9</v>
          </cell>
          <cell r="L1302">
            <v>63291341000</v>
          </cell>
          <cell r="M1302">
            <v>3</v>
          </cell>
          <cell r="N1302">
            <v>12690351000</v>
          </cell>
          <cell r="O1302">
            <v>3</v>
          </cell>
          <cell r="P1302">
            <v>17735701992</v>
          </cell>
          <cell r="Q1302">
            <v>0</v>
          </cell>
          <cell r="R1302">
            <v>191533550</v>
          </cell>
          <cell r="T1302">
            <v>108513197</v>
          </cell>
          <cell r="Y1302">
            <v>0</v>
          </cell>
          <cell r="Z1302">
            <v>300046747</v>
          </cell>
          <cell r="AA1302">
            <v>3</v>
          </cell>
          <cell r="AB1302">
            <v>12990397747</v>
          </cell>
          <cell r="AC1302">
            <v>33.333333333333329</v>
          </cell>
          <cell r="AD1302">
            <v>20.524763011420472</v>
          </cell>
          <cell r="AE1302" t="str">
            <v>DKUPP</v>
          </cell>
        </row>
        <row r="1303">
          <cell r="C1303" t="str">
            <v>06</v>
          </cell>
          <cell r="D1303">
            <v>1</v>
          </cell>
          <cell r="E1303" t="str">
            <v>02</v>
          </cell>
          <cell r="F1303">
            <v>11</v>
          </cell>
          <cell r="G1303">
            <v>18</v>
          </cell>
          <cell r="H1303" t="str">
            <v>06</v>
          </cell>
          <cell r="I1303" t="str">
            <v>Peningkatan sistem dan Jaringan Informasi Perdagangan</v>
          </cell>
          <cell r="J1303" t="str">
            <v>Jumlah Promosi Produk Unggulan Daerah(paket)</v>
          </cell>
          <cell r="K1303">
            <v>12</v>
          </cell>
          <cell r="L1303">
            <v>938850000</v>
          </cell>
          <cell r="M1303">
            <v>4</v>
          </cell>
          <cell r="N1303">
            <v>273801120</v>
          </cell>
          <cell r="O1303">
            <v>2</v>
          </cell>
          <cell r="P1303">
            <v>223106200</v>
          </cell>
          <cell r="R1303">
            <v>75878800</v>
          </cell>
          <cell r="S1303">
            <v>1</v>
          </cell>
          <cell r="T1303">
            <v>27304000</v>
          </cell>
          <cell r="Y1303">
            <v>1</v>
          </cell>
          <cell r="Z1303">
            <v>103182800</v>
          </cell>
          <cell r="AA1303">
            <v>5</v>
          </cell>
          <cell r="AB1303">
            <v>376983920</v>
          </cell>
          <cell r="AC1303">
            <v>41.666666666666671</v>
          </cell>
          <cell r="AD1303">
            <v>40.153796666134099</v>
          </cell>
        </row>
        <row r="1304">
          <cell r="C1304" t="str">
            <v>06</v>
          </cell>
          <cell r="D1304">
            <v>1</v>
          </cell>
          <cell r="E1304" t="str">
            <v>02</v>
          </cell>
          <cell r="F1304">
            <v>11</v>
          </cell>
          <cell r="G1304">
            <v>18</v>
          </cell>
          <cell r="H1304">
            <v>11</v>
          </cell>
          <cell r="I1304" t="str">
            <v>Pelayanan Administrasi Penerimaan/ Tagihan dan pengelolaan Pasar</v>
          </cell>
          <cell r="J1304" t="str">
            <v>Data Realisasi PAD Pasar</v>
          </cell>
          <cell r="K1304">
            <v>72</v>
          </cell>
          <cell r="L1304">
            <v>1378644000</v>
          </cell>
          <cell r="M1304">
            <v>24</v>
          </cell>
          <cell r="N1304">
            <v>404461680</v>
          </cell>
          <cell r="O1304">
            <v>12</v>
          </cell>
          <cell r="P1304">
            <v>88950000</v>
          </cell>
          <cell r="R1304">
            <v>12238500</v>
          </cell>
          <cell r="S1304">
            <v>3</v>
          </cell>
          <cell r="T1304">
            <v>16532000</v>
          </cell>
          <cell r="Y1304">
            <v>3</v>
          </cell>
          <cell r="Z1304">
            <v>28770500</v>
          </cell>
          <cell r="AA1304">
            <v>27</v>
          </cell>
          <cell r="AB1304">
            <v>433232180</v>
          </cell>
          <cell r="AC1304">
            <v>37.5</v>
          </cell>
          <cell r="AD1304">
            <v>31.424514232825878</v>
          </cell>
        </row>
        <row r="1305">
          <cell r="C1305" t="str">
            <v>06</v>
          </cell>
          <cell r="D1305">
            <v>1</v>
          </cell>
          <cell r="E1305" t="str">
            <v>02</v>
          </cell>
          <cell r="F1305">
            <v>11</v>
          </cell>
          <cell r="G1305">
            <v>18</v>
          </cell>
          <cell r="H1305">
            <v>12</v>
          </cell>
          <cell r="I1305" t="str">
            <v>Pengamanan dan Pengelolaan Pasar</v>
          </cell>
          <cell r="J1305" t="str">
            <v>Operasional pengelolaan pasar (bln)</v>
          </cell>
          <cell r="K1305">
            <v>72</v>
          </cell>
          <cell r="L1305">
            <v>2105724000</v>
          </cell>
          <cell r="M1305">
            <v>24</v>
          </cell>
          <cell r="N1305">
            <v>597707970</v>
          </cell>
          <cell r="O1305">
            <v>12</v>
          </cell>
          <cell r="P1305">
            <v>355992400</v>
          </cell>
          <cell r="R1305">
            <v>35041000</v>
          </cell>
          <cell r="T1305">
            <v>55800000</v>
          </cell>
          <cell r="Y1305">
            <v>0</v>
          </cell>
          <cell r="Z1305">
            <v>90841000</v>
          </cell>
          <cell r="AA1305">
            <v>24</v>
          </cell>
          <cell r="AB1305">
            <v>688548970</v>
          </cell>
          <cell r="AC1305">
            <v>33.333333333333329</v>
          </cell>
          <cell r="AD1305">
            <v>32.698918281788117</v>
          </cell>
        </row>
        <row r="1306">
          <cell r="C1306" t="str">
            <v>06</v>
          </cell>
          <cell r="D1306">
            <v>1</v>
          </cell>
          <cell r="E1306" t="str">
            <v>02</v>
          </cell>
          <cell r="F1306">
            <v>11</v>
          </cell>
          <cell r="G1306">
            <v>18</v>
          </cell>
          <cell r="H1306">
            <v>34</v>
          </cell>
          <cell r="I1306" t="str">
            <v>Peningkatan Pasar Nagari dalam Kabupaten Pesisir Selatan</v>
          </cell>
          <cell r="J1306" t="str">
            <v>Pasar Nagari yang terbangun / direvitalisasi (unit)</v>
          </cell>
          <cell r="K1306">
            <v>20</v>
          </cell>
          <cell r="L1306">
            <v>8677932000</v>
          </cell>
          <cell r="M1306">
            <v>7</v>
          </cell>
          <cell r="N1306">
            <v>1233405100</v>
          </cell>
          <cell r="O1306">
            <v>1</v>
          </cell>
          <cell r="P1306">
            <v>150000000</v>
          </cell>
          <cell r="R1306">
            <v>0</v>
          </cell>
          <cell r="T1306">
            <v>1975000</v>
          </cell>
          <cell r="Y1306">
            <v>0</v>
          </cell>
          <cell r="Z1306">
            <v>1975000</v>
          </cell>
          <cell r="AA1306">
            <v>7</v>
          </cell>
          <cell r="AB1306">
            <v>1235380100</v>
          </cell>
          <cell r="AC1306">
            <v>35</v>
          </cell>
          <cell r="AD1306">
            <v>14.235881313658599</v>
          </cell>
        </row>
        <row r="1307">
          <cell r="C1307" t="str">
            <v>06</v>
          </cell>
          <cell r="D1307">
            <v>1</v>
          </cell>
          <cell r="E1307" t="str">
            <v>02</v>
          </cell>
          <cell r="F1307">
            <v>11</v>
          </cell>
          <cell r="G1307">
            <v>18</v>
          </cell>
          <cell r="H1307">
            <v>43</v>
          </cell>
          <cell r="I1307" t="str">
            <v>Pemeliharaan rutin/ berkala bangunan Pasar Kab. Pesisir Selatan</v>
          </cell>
          <cell r="J1307" t="str">
            <v>Jumlah bangunan Pasar yang direhap</v>
          </cell>
          <cell r="K1307">
            <v>15</v>
          </cell>
          <cell r="L1307">
            <v>9104405000</v>
          </cell>
          <cell r="M1307">
            <v>3</v>
          </cell>
          <cell r="N1307">
            <v>639325000</v>
          </cell>
          <cell r="O1307">
            <v>4</v>
          </cell>
          <cell r="P1307">
            <v>806000000</v>
          </cell>
          <cell r="R1307">
            <v>3243000</v>
          </cell>
          <cell r="S1307">
            <v>3</v>
          </cell>
          <cell r="T1307">
            <v>558211</v>
          </cell>
          <cell r="Y1307">
            <v>3</v>
          </cell>
          <cell r="Z1307">
            <v>3801211</v>
          </cell>
          <cell r="AA1307">
            <v>6</v>
          </cell>
          <cell r="AB1307">
            <v>643126211</v>
          </cell>
          <cell r="AC1307">
            <v>40</v>
          </cell>
          <cell r="AD1307">
            <v>7.0639016058710036</v>
          </cell>
        </row>
        <row r="1308">
          <cell r="C1308" t="str">
            <v>06</v>
          </cell>
          <cell r="D1308">
            <v>1</v>
          </cell>
          <cell r="E1308" t="str">
            <v>02</v>
          </cell>
          <cell r="F1308">
            <v>11</v>
          </cell>
          <cell r="G1308">
            <v>18</v>
          </cell>
          <cell r="H1308">
            <v>50</v>
          </cell>
          <cell r="I1308" t="str">
            <v>Revitalisasi pasar hilalang kecamatan pancung soal (Alokasi dana bantuan keuangan yang bersifat khusus propinsi TA 2016)</v>
          </cell>
          <cell r="J1308" t="str">
            <v>Jumlah bangunan Pasar yang direhap</v>
          </cell>
          <cell r="K1308">
            <v>1</v>
          </cell>
          <cell r="L1308">
            <v>213855000</v>
          </cell>
          <cell r="M1308">
            <v>1</v>
          </cell>
          <cell r="N1308">
            <v>213855120</v>
          </cell>
          <cell r="P1308">
            <v>0</v>
          </cell>
          <cell r="R1308">
            <v>0</v>
          </cell>
          <cell r="Y1308">
            <v>0</v>
          </cell>
          <cell r="Z1308">
            <v>0</v>
          </cell>
          <cell r="AA1308">
            <v>1</v>
          </cell>
          <cell r="AB1308">
            <v>213855120</v>
          </cell>
          <cell r="AC1308">
            <v>100</v>
          </cell>
          <cell r="AD1308">
            <v>100.00005611278671</v>
          </cell>
        </row>
        <row r="1309">
          <cell r="C1309" t="str">
            <v>06</v>
          </cell>
          <cell r="D1309">
            <v>1</v>
          </cell>
          <cell r="E1309" t="str">
            <v>02</v>
          </cell>
          <cell r="F1309">
            <v>11</v>
          </cell>
          <cell r="G1309">
            <v>18</v>
          </cell>
          <cell r="H1309">
            <v>51</v>
          </cell>
          <cell r="I1309" t="str">
            <v>Revitalisasi pasar balai jumat lagan  kecamatan LSB (Alokasi dana bantuan keuangan yang bersifat khusus propinsi TA 2016)</v>
          </cell>
          <cell r="J1309" t="str">
            <v>Jumlah bangunan Pasar yang direhap</v>
          </cell>
          <cell r="K1309">
            <v>1</v>
          </cell>
          <cell r="L1309">
            <v>199436000</v>
          </cell>
          <cell r="M1309">
            <v>1</v>
          </cell>
          <cell r="N1309">
            <v>199435570</v>
          </cell>
          <cell r="P1309">
            <v>0</v>
          </cell>
          <cell r="R1309">
            <v>0</v>
          </cell>
          <cell r="Y1309">
            <v>0</v>
          </cell>
          <cell r="Z1309">
            <v>0</v>
          </cell>
          <cell r="AA1309">
            <v>1</v>
          </cell>
          <cell r="AB1309">
            <v>199435570</v>
          </cell>
          <cell r="AC1309">
            <v>100</v>
          </cell>
          <cell r="AD1309">
            <v>99.999784391985401</v>
          </cell>
        </row>
        <row r="1310">
          <cell r="C1310" t="str">
            <v>06</v>
          </cell>
          <cell r="D1310">
            <v>1</v>
          </cell>
          <cell r="E1310" t="str">
            <v>02</v>
          </cell>
          <cell r="F1310">
            <v>11</v>
          </cell>
          <cell r="G1310">
            <v>18</v>
          </cell>
          <cell r="H1310">
            <v>56</v>
          </cell>
          <cell r="I1310" t="str">
            <v>Pembangunan Pasar dalam Kab. Pesisir Selatan</v>
          </cell>
          <cell r="J1310" t="str">
            <v>Jumlah Pasar Rakyat yang dibangun/ direvitalisa-si</v>
          </cell>
          <cell r="K1310">
            <v>24</v>
          </cell>
          <cell r="L1310">
            <v>24524919000</v>
          </cell>
          <cell r="M1310">
            <v>6</v>
          </cell>
          <cell r="N1310">
            <v>8980783440</v>
          </cell>
          <cell r="O1310">
            <v>7</v>
          </cell>
          <cell r="P1310">
            <v>11758961000</v>
          </cell>
          <cell r="R1310">
            <v>11659250</v>
          </cell>
          <cell r="T1310">
            <v>1844986</v>
          </cell>
          <cell r="Y1310">
            <v>0</v>
          </cell>
          <cell r="Z1310">
            <v>13504236</v>
          </cell>
          <cell r="AA1310">
            <v>6</v>
          </cell>
          <cell r="AB1310">
            <v>8994287676</v>
          </cell>
          <cell r="AC1310">
            <v>25</v>
          </cell>
          <cell r="AD1310">
            <v>36.674076990835317</v>
          </cell>
        </row>
        <row r="1311">
          <cell r="C1311" t="str">
            <v>06</v>
          </cell>
          <cell r="D1311">
            <v>1</v>
          </cell>
          <cell r="E1311" t="str">
            <v>02</v>
          </cell>
          <cell r="F1311">
            <v>11</v>
          </cell>
          <cell r="G1311">
            <v>18</v>
          </cell>
          <cell r="H1311">
            <v>58</v>
          </cell>
          <cell r="I1311" t="str">
            <v>Rehab Pasar Asam Kumbang Kecamatan IV Nagar Bayang Utara (Bantuan Keuangan yang bersifat Khusus Propinsi TA 2017)</v>
          </cell>
          <cell r="J1311" t="str">
            <v>Jumlah Pasar yang direvitalisasi</v>
          </cell>
          <cell r="K1311">
            <v>1</v>
          </cell>
          <cell r="L1311">
            <v>147576000</v>
          </cell>
          <cell r="M1311">
            <v>1</v>
          </cell>
          <cell r="N1311">
            <v>147576000</v>
          </cell>
          <cell r="P1311">
            <v>0</v>
          </cell>
          <cell r="Q1311">
            <v>0</v>
          </cell>
          <cell r="R1311">
            <v>0</v>
          </cell>
          <cell r="Y1311">
            <v>0</v>
          </cell>
          <cell r="Z1311">
            <v>0</v>
          </cell>
          <cell r="AA1311">
            <v>1</v>
          </cell>
          <cell r="AB1311">
            <v>147576000</v>
          </cell>
          <cell r="AC1311">
            <v>100</v>
          </cell>
          <cell r="AD1311">
            <v>100</v>
          </cell>
        </row>
        <row r="1312">
          <cell r="C1312" t="str">
            <v>06</v>
          </cell>
          <cell r="D1312">
            <v>1</v>
          </cell>
          <cell r="E1312" t="str">
            <v>02</v>
          </cell>
          <cell r="F1312">
            <v>11</v>
          </cell>
          <cell r="G1312">
            <v>18</v>
          </cell>
          <cell r="H1312">
            <v>60</v>
          </cell>
          <cell r="I1312" t="str">
            <v>Penunjang Percepatan Pembangunan Pasar dalam Kab. Pesisir Selatan</v>
          </cell>
          <cell r="J1312" t="str">
            <v>Penunjang Operasional Percepatan Pembangu-nan Pasar Kabupaten</v>
          </cell>
          <cell r="K1312">
            <v>48</v>
          </cell>
          <cell r="L1312">
            <v>800000000</v>
          </cell>
          <cell r="N1312">
            <v>0</v>
          </cell>
          <cell r="O1312">
            <v>12</v>
          </cell>
          <cell r="P1312">
            <v>411093392</v>
          </cell>
          <cell r="R1312">
            <v>53473000</v>
          </cell>
          <cell r="S1312">
            <v>3</v>
          </cell>
          <cell r="T1312">
            <v>700000</v>
          </cell>
          <cell r="Y1312">
            <v>3</v>
          </cell>
          <cell r="Z1312">
            <v>54173000</v>
          </cell>
          <cell r="AA1312">
            <v>3</v>
          </cell>
          <cell r="AB1312">
            <v>54173000</v>
          </cell>
          <cell r="AC1312">
            <v>6.25</v>
          </cell>
          <cell r="AD1312">
            <v>6.7716250000000002</v>
          </cell>
        </row>
        <row r="1313">
          <cell r="C1313" t="str">
            <v>06</v>
          </cell>
          <cell r="D1313">
            <v>1</v>
          </cell>
          <cell r="E1313" t="str">
            <v>02</v>
          </cell>
          <cell r="F1313">
            <v>11</v>
          </cell>
          <cell r="G1313">
            <v>18</v>
          </cell>
          <cell r="H1313">
            <v>63</v>
          </cell>
          <cell r="I1313" t="str">
            <v>Pembuatan buku Profil Pasar Kab. Pesisir Selatan</v>
          </cell>
          <cell r="J1313" t="str">
            <v>Data profil Pasar  (dok)</v>
          </cell>
          <cell r="K1313">
            <v>4</v>
          </cell>
          <cell r="L1313">
            <v>200000000</v>
          </cell>
          <cell r="N1313">
            <v>0</v>
          </cell>
          <cell r="O1313">
            <v>1</v>
          </cell>
          <cell r="P1313">
            <v>44555000</v>
          </cell>
          <cell r="R1313">
            <v>0</v>
          </cell>
          <cell r="T1313">
            <v>3799000</v>
          </cell>
          <cell r="Y1313">
            <v>0</v>
          </cell>
          <cell r="Z1313">
            <v>3799000</v>
          </cell>
          <cell r="AA1313">
            <v>0</v>
          </cell>
          <cell r="AB1313">
            <v>3799000</v>
          </cell>
          <cell r="AC1313">
            <v>0</v>
          </cell>
          <cell r="AD1313">
            <v>1.8995000000000002</v>
          </cell>
        </row>
        <row r="1314">
          <cell r="C1314" t="str">
            <v>06</v>
          </cell>
          <cell r="D1314">
            <v>1</v>
          </cell>
          <cell r="E1314" t="str">
            <v>02</v>
          </cell>
          <cell r="F1314">
            <v>11</v>
          </cell>
          <cell r="G1314">
            <v>18</v>
          </cell>
          <cell r="H1314">
            <v>65</v>
          </cell>
          <cell r="I1314" t="str">
            <v>Pembangunan Pasar Kabupaten (DAK)</v>
          </cell>
          <cell r="J1314" t="str">
            <v>Jumlah Pasar Rakyat yang dibangun</v>
          </cell>
          <cell r="K1314">
            <v>15</v>
          </cell>
          <cell r="L1314">
            <v>15000000000</v>
          </cell>
          <cell r="N1314">
            <v>0</v>
          </cell>
          <cell r="O1314">
            <v>3</v>
          </cell>
          <cell r="P1314">
            <v>3897044000</v>
          </cell>
          <cell r="R1314">
            <v>0</v>
          </cell>
          <cell r="Y1314">
            <v>0</v>
          </cell>
          <cell r="Z1314">
            <v>0</v>
          </cell>
          <cell r="AA1314">
            <v>0</v>
          </cell>
          <cell r="AB1314">
            <v>0</v>
          </cell>
          <cell r="AC1314">
            <v>0</v>
          </cell>
          <cell r="AD1314">
            <v>0</v>
          </cell>
        </row>
        <row r="1315">
          <cell r="A1315" t="str">
            <v>Rata-Rata Capaian Kinerja</v>
          </cell>
          <cell r="AC1315">
            <v>22.222222222222221</v>
          </cell>
          <cell r="AD1315">
            <v>14.308465160002674</v>
          </cell>
        </row>
        <row r="1316">
          <cell r="A1316" t="str">
            <v>Peringkat  Kinerja</v>
          </cell>
          <cell r="AC1316" t="str">
            <v>SR</v>
          </cell>
          <cell r="AD1316" t="str">
            <v>SR</v>
          </cell>
        </row>
        <row r="1317">
          <cell r="A1317" t="str">
            <v>V</v>
          </cell>
          <cell r="I1317" t="str">
            <v>URUSAN PERINDUSTRIAN</v>
          </cell>
          <cell r="L1317">
            <v>8560475000</v>
          </cell>
          <cell r="N1317">
            <v>1162534600</v>
          </cell>
          <cell r="P1317">
            <v>2562497332</v>
          </cell>
          <cell r="R1317">
            <v>35033510</v>
          </cell>
          <cell r="T1317">
            <v>480080000</v>
          </cell>
          <cell r="Z1317">
            <v>515113510</v>
          </cell>
          <cell r="AB1317">
            <v>1677648110</v>
          </cell>
        </row>
        <row r="1318">
          <cell r="A1318">
            <v>1</v>
          </cell>
          <cell r="B1318" t="str">
            <v>Meningkatkan pengembangan produk IKM</v>
          </cell>
          <cell r="C1318" t="str">
            <v>07</v>
          </cell>
          <cell r="D1318">
            <v>1</v>
          </cell>
          <cell r="E1318" t="str">
            <v>02</v>
          </cell>
          <cell r="F1318">
            <v>11</v>
          </cell>
          <cell r="G1318">
            <v>16</v>
          </cell>
          <cell r="I1318" t="str">
            <v>Program Pengembangan Industri Kecil dan Menengah</v>
          </cell>
          <cell r="J1318" t="str">
            <v>Jumlah fasilitasi  legalitas produk IKM</v>
          </cell>
          <cell r="K1318">
            <v>170</v>
          </cell>
          <cell r="L1318">
            <v>3938996000</v>
          </cell>
          <cell r="M1318">
            <v>10</v>
          </cell>
          <cell r="N1318">
            <v>1076661100</v>
          </cell>
          <cell r="O1318">
            <v>25</v>
          </cell>
          <cell r="P1318">
            <v>1300229291</v>
          </cell>
          <cell r="Q1318">
            <v>0</v>
          </cell>
          <cell r="R1318">
            <v>26260670</v>
          </cell>
          <cell r="T1318">
            <v>158920000</v>
          </cell>
          <cell r="Y1318">
            <v>0</v>
          </cell>
          <cell r="Z1318">
            <v>185180670</v>
          </cell>
          <cell r="AA1318">
            <v>10</v>
          </cell>
          <cell r="AB1318">
            <v>1261841770</v>
          </cell>
          <cell r="AC1318">
            <v>5.8823529411764701</v>
          </cell>
          <cell r="AD1318">
            <v>32.034603995535917</v>
          </cell>
          <cell r="AE1318" t="str">
            <v>DKUPP</v>
          </cell>
        </row>
        <row r="1319">
          <cell r="C1319" t="str">
            <v>07</v>
          </cell>
          <cell r="D1319">
            <v>1</v>
          </cell>
          <cell r="E1319" t="str">
            <v>02</v>
          </cell>
          <cell r="F1319">
            <v>11</v>
          </cell>
          <cell r="G1319">
            <v>16</v>
          </cell>
          <cell r="H1319" t="str">
            <v>09</v>
          </cell>
          <cell r="I1319" t="str">
            <v>Fasilitasi kerjasama kemitraan industri mikro, kecil dan menengah dengan swasta</v>
          </cell>
          <cell r="J1319" t="str">
            <v>jumlah IKM yang mengikuti sosialisasi (unit usaha)</v>
          </cell>
          <cell r="K1319">
            <v>60</v>
          </cell>
          <cell r="L1319">
            <v>120000000</v>
          </cell>
          <cell r="M1319">
            <v>30</v>
          </cell>
          <cell r="N1319">
            <v>66425899.999999993</v>
          </cell>
          <cell r="R1319">
            <v>0</v>
          </cell>
          <cell r="Y1319">
            <v>0</v>
          </cell>
          <cell r="Z1319">
            <v>0</v>
          </cell>
          <cell r="AA1319">
            <v>30</v>
          </cell>
          <cell r="AB1319">
            <v>66425899.999999993</v>
          </cell>
          <cell r="AC1319">
            <v>50</v>
          </cell>
          <cell r="AD1319">
            <v>55.354916666666668</v>
          </cell>
        </row>
        <row r="1320">
          <cell r="C1320" t="str">
            <v>07</v>
          </cell>
          <cell r="D1320">
            <v>1</v>
          </cell>
          <cell r="E1320" t="str">
            <v>02</v>
          </cell>
          <cell r="F1320">
            <v>11</v>
          </cell>
          <cell r="G1320">
            <v>16</v>
          </cell>
          <cell r="H1320">
            <v>10</v>
          </cell>
          <cell r="I1320" t="str">
            <v>Pemutakhiran Data IKM</v>
          </cell>
          <cell r="J1320" t="str">
            <v>Data IKM (dok)</v>
          </cell>
          <cell r="K1320">
            <v>6</v>
          </cell>
          <cell r="L1320">
            <v>366210000</v>
          </cell>
          <cell r="M1320">
            <v>2</v>
          </cell>
          <cell r="N1320">
            <v>96984920.000000015</v>
          </cell>
          <cell r="O1320">
            <v>1</v>
          </cell>
          <cell r="P1320">
            <v>74602916</v>
          </cell>
          <cell r="R1320">
            <v>7195000</v>
          </cell>
          <cell r="T1320">
            <v>13299000</v>
          </cell>
          <cell r="Y1320">
            <v>0</v>
          </cell>
          <cell r="Z1320">
            <v>20494000</v>
          </cell>
          <cell r="AA1320">
            <v>2</v>
          </cell>
          <cell r="AB1320">
            <v>117478920.00000001</v>
          </cell>
          <cell r="AC1320">
            <v>33.333333333333329</v>
          </cell>
          <cell r="AD1320">
            <v>32.079659211927584</v>
          </cell>
        </row>
        <row r="1321">
          <cell r="C1321" t="str">
            <v>07</v>
          </cell>
          <cell r="D1321">
            <v>1</v>
          </cell>
          <cell r="E1321" t="str">
            <v>02</v>
          </cell>
          <cell r="F1321">
            <v>11</v>
          </cell>
          <cell r="G1321">
            <v>16</v>
          </cell>
          <cell r="H1321">
            <v>15</v>
          </cell>
          <cell r="I1321" t="str">
            <v>Penunjang Operasional Dekranasda dan Pembinaan IKM</v>
          </cell>
          <cell r="J1321" t="str">
            <v>Jumlah Promosi Produk unggulan daerah</v>
          </cell>
          <cell r="K1321">
            <v>36</v>
          </cell>
          <cell r="L1321">
            <v>2143803000</v>
          </cell>
          <cell r="M1321">
            <v>12</v>
          </cell>
          <cell r="N1321">
            <v>816000730</v>
          </cell>
          <cell r="O1321">
            <v>6</v>
          </cell>
          <cell r="P1321">
            <v>963378363</v>
          </cell>
          <cell r="R1321">
            <v>10489670</v>
          </cell>
          <cell r="S1321">
            <v>3</v>
          </cell>
          <cell r="T1321">
            <v>123506000</v>
          </cell>
          <cell r="Y1321">
            <v>3</v>
          </cell>
          <cell r="Z1321">
            <v>133995670</v>
          </cell>
          <cell r="AA1321">
            <v>15</v>
          </cell>
          <cell r="AB1321">
            <v>949996400</v>
          </cell>
          <cell r="AC1321">
            <v>41.666666666666671</v>
          </cell>
          <cell r="AD1321">
            <v>44.313605307950404</v>
          </cell>
        </row>
        <row r="1322">
          <cell r="C1322" t="str">
            <v>07</v>
          </cell>
          <cell r="D1322">
            <v>1</v>
          </cell>
          <cell r="E1322" t="str">
            <v>02</v>
          </cell>
          <cell r="F1322">
            <v>11</v>
          </cell>
          <cell r="G1322">
            <v>16</v>
          </cell>
          <cell r="H1322">
            <v>20</v>
          </cell>
          <cell r="I1322" t="str">
            <v>Penyusunan Rencana Pembangunan Industri Kabupaten (REPIK)</v>
          </cell>
          <cell r="J1322" t="str">
            <v>Perda REPIK (dok)</v>
          </cell>
          <cell r="K1322">
            <v>3</v>
          </cell>
          <cell r="L1322">
            <v>133983000</v>
          </cell>
          <cell r="M1322">
            <v>1</v>
          </cell>
          <cell r="N1322">
            <v>97249550</v>
          </cell>
          <cell r="O1322">
            <v>1</v>
          </cell>
          <cell r="P1322">
            <v>54846499</v>
          </cell>
          <cell r="R1322">
            <v>1352000</v>
          </cell>
          <cell r="T1322">
            <v>12418000</v>
          </cell>
          <cell r="Y1322">
            <v>0</v>
          </cell>
          <cell r="Z1322">
            <v>13770000</v>
          </cell>
          <cell r="AA1322">
            <v>1</v>
          </cell>
          <cell r="AB1322">
            <v>111019550</v>
          </cell>
          <cell r="AC1322">
            <v>33.333333333333329</v>
          </cell>
          <cell r="AD1322">
            <v>82.860922654366604</v>
          </cell>
        </row>
        <row r="1323">
          <cell r="A1323" t="str">
            <v xml:space="preserve"> </v>
          </cell>
          <cell r="C1323" t="str">
            <v>07</v>
          </cell>
          <cell r="D1323">
            <v>1</v>
          </cell>
          <cell r="E1323" t="str">
            <v>02</v>
          </cell>
          <cell r="F1323">
            <v>11</v>
          </cell>
          <cell r="G1323">
            <v>16</v>
          </cell>
          <cell r="H1323">
            <v>22</v>
          </cell>
          <cell r="I1323" t="str">
            <v>Fasilitasi IKM terhadap Pemanfaatan sumber daya</v>
          </cell>
          <cell r="J1323" t="str">
            <v>Jumlah  IKM yang difasilitasi (unit)</v>
          </cell>
          <cell r="K1323">
            <v>125</v>
          </cell>
          <cell r="L1323">
            <v>575000000</v>
          </cell>
          <cell r="N1323">
            <v>0</v>
          </cell>
          <cell r="O1323">
            <v>25</v>
          </cell>
          <cell r="P1323">
            <v>98247410</v>
          </cell>
          <cell r="R1323">
            <v>0</v>
          </cell>
          <cell r="T1323">
            <v>15000</v>
          </cell>
          <cell r="Y1323">
            <v>0</v>
          </cell>
          <cell r="Z1323">
            <v>15000</v>
          </cell>
          <cell r="AA1323">
            <v>0</v>
          </cell>
          <cell r="AB1323">
            <v>15000</v>
          </cell>
          <cell r="AC1323">
            <v>0</v>
          </cell>
          <cell r="AD1323">
            <v>2.6086956521739132E-3</v>
          </cell>
        </row>
        <row r="1324">
          <cell r="A1324" t="str">
            <v xml:space="preserve"> </v>
          </cell>
          <cell r="C1324" t="str">
            <v>07</v>
          </cell>
          <cell r="D1324">
            <v>1</v>
          </cell>
          <cell r="E1324" t="str">
            <v>02</v>
          </cell>
          <cell r="F1324">
            <v>11</v>
          </cell>
          <cell r="G1324">
            <v>16</v>
          </cell>
          <cell r="H1324">
            <v>24</v>
          </cell>
          <cell r="I1324" t="str">
            <v>Pengembangan Sentra Industri Kecil Menengah</v>
          </cell>
          <cell r="J1324" t="str">
            <v xml:space="preserve">Jumlah IKM yang dilatih </v>
          </cell>
          <cell r="K1324">
            <v>250</v>
          </cell>
          <cell r="L1324">
            <v>600000000</v>
          </cell>
          <cell r="N1324">
            <v>0</v>
          </cell>
          <cell r="O1324">
            <v>40</v>
          </cell>
          <cell r="P1324">
            <v>109154103</v>
          </cell>
          <cell r="R1324">
            <v>7224000</v>
          </cell>
          <cell r="T1324">
            <v>9682000</v>
          </cell>
          <cell r="Y1324">
            <v>0</v>
          </cell>
          <cell r="Z1324">
            <v>16906000</v>
          </cell>
          <cell r="AA1324">
            <v>0</v>
          </cell>
          <cell r="AB1324">
            <v>16906000</v>
          </cell>
          <cell r="AC1324">
            <v>0</v>
          </cell>
          <cell r="AD1324">
            <v>2.8176666666666668</v>
          </cell>
        </row>
        <row r="1325">
          <cell r="A1325">
            <v>2</v>
          </cell>
          <cell r="B1325" t="str">
            <v>Meningkatkan pengembangan potensi sentra IKM</v>
          </cell>
          <cell r="C1325" t="str">
            <v>07</v>
          </cell>
          <cell r="D1325">
            <v>1</v>
          </cell>
          <cell r="E1325" t="str">
            <v>02</v>
          </cell>
          <cell r="F1325">
            <v>11</v>
          </cell>
          <cell r="G1325">
            <v>19</v>
          </cell>
          <cell r="I1325" t="str">
            <v>Program Pengembangan Sentra-sentra Industri Potensial</v>
          </cell>
          <cell r="J1325" t="str">
            <v>Jumlah kelembagaan sentra IKM</v>
          </cell>
          <cell r="K1325">
            <v>6</v>
          </cell>
          <cell r="L1325">
            <v>4563754000</v>
          </cell>
          <cell r="M1325">
            <v>1</v>
          </cell>
          <cell r="N1325">
            <v>85873500</v>
          </cell>
          <cell r="O1325">
            <v>3</v>
          </cell>
          <cell r="P1325">
            <v>1204543008</v>
          </cell>
          <cell r="R1325">
            <v>8772840</v>
          </cell>
          <cell r="T1325">
            <v>295856000</v>
          </cell>
          <cell r="Y1325">
            <v>0</v>
          </cell>
          <cell r="Z1325">
            <v>304628840</v>
          </cell>
          <cell r="AA1325">
            <v>1</v>
          </cell>
          <cell r="AB1325">
            <v>390502340</v>
          </cell>
          <cell r="AC1325">
            <v>16.666666666666664</v>
          </cell>
          <cell r="AD1325">
            <v>8.5566036206158351</v>
          </cell>
          <cell r="AE1325" t="str">
            <v>DKUPP</v>
          </cell>
        </row>
        <row r="1326">
          <cell r="A1326" t="str">
            <v xml:space="preserve"> </v>
          </cell>
          <cell r="B1326" t="str">
            <v>Meningkatkan pembinaan dan pengawasan kepada kelompok  IKM</v>
          </cell>
          <cell r="C1326" t="str">
            <v>07</v>
          </cell>
          <cell r="D1326">
            <v>1</v>
          </cell>
          <cell r="E1326" t="str">
            <v>02</v>
          </cell>
          <cell r="F1326">
            <v>11</v>
          </cell>
          <cell r="G1326">
            <v>19</v>
          </cell>
          <cell r="H1326">
            <v>5</v>
          </cell>
          <cell r="I1326" t="str">
            <v>Penumbuhan dan Penataan Sentra-sentra Industri Unggulan</v>
          </cell>
          <cell r="J1326" t="str">
            <v>Jumlah IKM sentra yang dibina dan dilatih</v>
          </cell>
          <cell r="K1326">
            <v>240</v>
          </cell>
          <cell r="L1326">
            <v>1146383000</v>
          </cell>
          <cell r="M1326">
            <v>25</v>
          </cell>
          <cell r="N1326">
            <v>85873500</v>
          </cell>
          <cell r="O1326">
            <v>40</v>
          </cell>
          <cell r="P1326">
            <v>104513085</v>
          </cell>
          <cell r="R1326">
            <v>2952000</v>
          </cell>
          <cell r="T1326">
            <v>14663000</v>
          </cell>
          <cell r="Y1326">
            <v>0</v>
          </cell>
          <cell r="Z1326">
            <v>17615000</v>
          </cell>
          <cell r="AA1326">
            <v>25</v>
          </cell>
          <cell r="AB1326">
            <v>103488500</v>
          </cell>
          <cell r="AC1326">
            <v>10.416666666666668</v>
          </cell>
          <cell r="AD1326">
            <v>9.027393113819727</v>
          </cell>
        </row>
        <row r="1327">
          <cell r="A1327" t="str">
            <v xml:space="preserve"> </v>
          </cell>
          <cell r="B1327" t="str">
            <v>Meningkatkan ketersediaan infrastruktur kelompok IKM</v>
          </cell>
          <cell r="C1327" t="str">
            <v>07</v>
          </cell>
          <cell r="D1327">
            <v>1</v>
          </cell>
          <cell r="E1327" t="str">
            <v>02</v>
          </cell>
          <cell r="F1327">
            <v>11</v>
          </cell>
          <cell r="G1327">
            <v>19</v>
          </cell>
          <cell r="H1327" t="str">
            <v>07</v>
          </cell>
          <cell r="I1327" t="str">
            <v>Pembangunan Sentra IKM (DAK) 2018</v>
          </cell>
          <cell r="J1327" t="str">
            <v>Jumlah sarana sentra  IKM yang dibangun</v>
          </cell>
          <cell r="K1327">
            <v>3</v>
          </cell>
          <cell r="L1327">
            <v>3106701000</v>
          </cell>
          <cell r="N1327">
            <v>0</v>
          </cell>
          <cell r="O1327">
            <v>1</v>
          </cell>
          <cell r="P1327">
            <v>1000000000</v>
          </cell>
          <cell r="R1327">
            <v>0</v>
          </cell>
          <cell r="T1327">
            <v>273835000</v>
          </cell>
          <cell r="Y1327">
            <v>0</v>
          </cell>
          <cell r="Z1327">
            <v>273835000</v>
          </cell>
          <cell r="AA1327">
            <v>0</v>
          </cell>
          <cell r="AB1327">
            <v>273835000</v>
          </cell>
          <cell r="AC1327">
            <v>0</v>
          </cell>
          <cell r="AD1327">
            <v>8.8143339188418839</v>
          </cell>
        </row>
        <row r="1328">
          <cell r="A1328" t="str">
            <v xml:space="preserve"> </v>
          </cell>
          <cell r="B1328" t="str">
            <v>Meningkatkan ketersediaan infrastruktur kelompok IKM</v>
          </cell>
          <cell r="C1328" t="str">
            <v>07</v>
          </cell>
          <cell r="D1328">
            <v>1</v>
          </cell>
          <cell r="E1328" t="str">
            <v>02</v>
          </cell>
          <cell r="F1328">
            <v>11</v>
          </cell>
          <cell r="G1328">
            <v>19</v>
          </cell>
          <cell r="H1328" t="str">
            <v>08</v>
          </cell>
          <cell r="I1328" t="str">
            <v>Pembangunan Gedung Sentra IKM (Penunjang DAK)</v>
          </cell>
          <cell r="J1328" t="str">
            <v>Penunjang Operasional Pembangun-an Sentra IKM</v>
          </cell>
          <cell r="K1328">
            <v>24</v>
          </cell>
          <cell r="L1328">
            <v>310670000</v>
          </cell>
          <cell r="N1328">
            <v>0</v>
          </cell>
          <cell r="O1328">
            <v>12</v>
          </cell>
          <cell r="P1328">
            <v>100029923</v>
          </cell>
          <cell r="Q1328">
            <v>3</v>
          </cell>
          <cell r="R1328">
            <v>5820840</v>
          </cell>
          <cell r="T1328">
            <v>7358000</v>
          </cell>
          <cell r="Y1328">
            <v>3</v>
          </cell>
          <cell r="Z1328">
            <v>13178840</v>
          </cell>
          <cell r="AA1328">
            <v>3</v>
          </cell>
          <cell r="AB1328">
            <v>13178840</v>
          </cell>
          <cell r="AC1328">
            <v>12.5</v>
          </cell>
          <cell r="AD1328">
            <v>4.2420703640518882</v>
          </cell>
        </row>
        <row r="1329">
          <cell r="A1329">
            <v>10</v>
          </cell>
          <cell r="B1329" t="str">
            <v>Meningkatkan pengembangan produk IKM</v>
          </cell>
          <cell r="C1329" t="str">
            <v>07</v>
          </cell>
          <cell r="D1329">
            <v>1</v>
          </cell>
          <cell r="E1329" t="str">
            <v>02</v>
          </cell>
          <cell r="F1329">
            <v>11</v>
          </cell>
          <cell r="G1329">
            <v>20</v>
          </cell>
          <cell r="I1329" t="str">
            <v>Program Peningkatan Iklim Usaha Industri</v>
          </cell>
          <cell r="J1329" t="str">
            <v>Jumlah IKM yang dibina</v>
          </cell>
          <cell r="K1329">
            <v>50</v>
          </cell>
          <cell r="L1329">
            <v>57725000</v>
          </cell>
          <cell r="N1329">
            <v>0</v>
          </cell>
          <cell r="O1329">
            <v>50</v>
          </cell>
          <cell r="P1329">
            <v>57725033</v>
          </cell>
          <cell r="Q1329">
            <v>0</v>
          </cell>
          <cell r="R1329">
            <v>0</v>
          </cell>
          <cell r="T1329">
            <v>25304000</v>
          </cell>
          <cell r="Y1329">
            <v>0</v>
          </cell>
          <cell r="Z1329">
            <v>25304000</v>
          </cell>
          <cell r="AA1329">
            <v>0</v>
          </cell>
          <cell r="AB1329">
            <v>25304000</v>
          </cell>
          <cell r="AC1329">
            <v>0</v>
          </cell>
          <cell r="AD1329">
            <v>43.835426591598093</v>
          </cell>
          <cell r="AE1329" t="str">
            <v>DKUPP</v>
          </cell>
        </row>
        <row r="1330">
          <cell r="A1330" t="str">
            <v xml:space="preserve"> </v>
          </cell>
          <cell r="B1330" t="str">
            <v>Meningkatkan sumber daya IKM</v>
          </cell>
          <cell r="C1330" t="str">
            <v>07</v>
          </cell>
          <cell r="D1330">
            <v>1</v>
          </cell>
          <cell r="E1330" t="str">
            <v>02</v>
          </cell>
          <cell r="F1330">
            <v>11</v>
          </cell>
          <cell r="G1330">
            <v>20</v>
          </cell>
          <cell r="H1330" t="str">
            <v>02</v>
          </cell>
          <cell r="I1330" t="str">
            <v>Pembinaan dan Pengawasan Indutri Kecil dan Menengah</v>
          </cell>
          <cell r="J1330" t="str">
            <v>Jumlah IKM yang dibina</v>
          </cell>
          <cell r="K1330">
            <v>50</v>
          </cell>
          <cell r="L1330">
            <v>57725000</v>
          </cell>
          <cell r="O1330">
            <v>50</v>
          </cell>
          <cell r="P1330">
            <v>57725033</v>
          </cell>
          <cell r="R1330">
            <v>0</v>
          </cell>
          <cell r="T1330">
            <v>25304000</v>
          </cell>
          <cell r="Y1330">
            <v>0</v>
          </cell>
          <cell r="Z1330">
            <v>25304000</v>
          </cell>
          <cell r="AA1330">
            <v>0</v>
          </cell>
          <cell r="AB1330">
            <v>25304000</v>
          </cell>
          <cell r="AC1330">
            <v>0</v>
          </cell>
          <cell r="AD1330">
            <v>43.835426591598093</v>
          </cell>
        </row>
        <row r="1331">
          <cell r="A1331" t="str">
            <v>Rata-Rata Capaian Kinerja</v>
          </cell>
          <cell r="AC1331">
            <v>7.5163398692810448</v>
          </cell>
          <cell r="AD1331">
            <v>28.142211402583282</v>
          </cell>
        </row>
        <row r="1332">
          <cell r="A1332" t="str">
            <v>Peringkat  Kinerja</v>
          </cell>
          <cell r="AC1332" t="str">
            <v>SR</v>
          </cell>
          <cell r="AD1332" t="str">
            <v>SR</v>
          </cell>
        </row>
        <row r="1333">
          <cell r="A1333" t="str">
            <v>VI</v>
          </cell>
          <cell r="I1333" t="str">
            <v>URUSAN TRANSMIGRASI</v>
          </cell>
          <cell r="L1333">
            <v>10467693929.6</v>
          </cell>
          <cell r="N1333">
            <v>1409033280</v>
          </cell>
          <cell r="P1333">
            <v>695342700</v>
          </cell>
          <cell r="R1333">
            <v>43811400</v>
          </cell>
          <cell r="T1333">
            <v>132702400</v>
          </cell>
          <cell r="Z1333">
            <v>176513800</v>
          </cell>
          <cell r="AB1333">
            <v>1585547080</v>
          </cell>
        </row>
        <row r="1334">
          <cell r="A1334">
            <v>1</v>
          </cell>
          <cell r="I1334" t="str">
            <v>Program Pengembangan Wilayah Transmigrasi</v>
          </cell>
          <cell r="J1334" t="str">
            <v>Persentase sarana dan prasarana pendukung di wilayah KTM dalam kondisi baik (persen)</v>
          </cell>
          <cell r="K1334">
            <v>100</v>
          </cell>
          <cell r="L1334">
            <v>10467693929.6</v>
          </cell>
          <cell r="M1334">
            <v>60</v>
          </cell>
          <cell r="N1334">
            <v>1409033280</v>
          </cell>
          <cell r="O1334">
            <v>70</v>
          </cell>
          <cell r="P1334">
            <v>695342700</v>
          </cell>
          <cell r="Q1334">
            <v>1</v>
          </cell>
          <cell r="R1334">
            <v>43811400</v>
          </cell>
          <cell r="T1334">
            <v>132702400</v>
          </cell>
          <cell r="Y1334">
            <v>1</v>
          </cell>
          <cell r="Z1334">
            <v>176513800</v>
          </cell>
          <cell r="AA1334">
            <v>61</v>
          </cell>
          <cell r="AB1334">
            <v>1585547080</v>
          </cell>
          <cell r="AC1334">
            <v>61</v>
          </cell>
          <cell r="AD1334">
            <v>15.147052356168652</v>
          </cell>
          <cell r="AE1334" t="str">
            <v>Dinas Nakertran</v>
          </cell>
        </row>
        <row r="1335">
          <cell r="C1335" t="str">
            <v>02</v>
          </cell>
          <cell r="D1335" t="str">
            <v>01</v>
          </cell>
          <cell r="E1335" t="str">
            <v>01</v>
          </cell>
          <cell r="F1335" t="str">
            <v>15</v>
          </cell>
          <cell r="H1335" t="str">
            <v>06</v>
          </cell>
          <cell r="I1335" t="str">
            <v>Fasilitasi Dukungan KTM Lunang Silaut</v>
          </cell>
          <cell r="J1335" t="str">
            <v xml:space="preserve">Adanya Fasilitas Dukungan KTM </v>
          </cell>
          <cell r="K1335">
            <v>12</v>
          </cell>
          <cell r="L1335">
            <v>5318496000</v>
          </cell>
          <cell r="M1335">
            <v>4</v>
          </cell>
          <cell r="N1335">
            <v>342248000</v>
          </cell>
          <cell r="O1335">
            <v>2</v>
          </cell>
          <cell r="P1335">
            <v>342248000</v>
          </cell>
          <cell r="Q1335">
            <v>1</v>
          </cell>
          <cell r="R1335">
            <v>11225000</v>
          </cell>
          <cell r="S1335">
            <v>1</v>
          </cell>
          <cell r="T1335">
            <v>20757000</v>
          </cell>
          <cell r="Y1335">
            <v>2</v>
          </cell>
          <cell r="Z1335">
            <v>31982000</v>
          </cell>
          <cell r="AA1335">
            <v>6</v>
          </cell>
          <cell r="AB1335">
            <v>374230000</v>
          </cell>
          <cell r="AC1335">
            <v>50</v>
          </cell>
          <cell r="AD1335">
            <v>7.0363877306667142</v>
          </cell>
        </row>
        <row r="1336">
          <cell r="C1336" t="str">
            <v>02</v>
          </cell>
          <cell r="D1336" t="str">
            <v>01</v>
          </cell>
          <cell r="E1336" t="str">
            <v>01</v>
          </cell>
          <cell r="F1336" t="str">
            <v>15</v>
          </cell>
          <cell r="H1336" t="str">
            <v>07</v>
          </cell>
          <cell r="I1336" t="str">
            <v>Pendampingan dana pembantuan KTM Lunang Silaut.</v>
          </cell>
          <cell r="J1336" t="str">
            <v>Adanya pemdampingan dana pembantuan KTM Lunang Silaut.</v>
          </cell>
          <cell r="K1336">
            <v>6</v>
          </cell>
          <cell r="L1336">
            <v>1440871940</v>
          </cell>
          <cell r="M1336">
            <v>2</v>
          </cell>
          <cell r="N1336">
            <v>504646040</v>
          </cell>
          <cell r="O1336">
            <v>1</v>
          </cell>
          <cell r="P1336">
            <v>108725900</v>
          </cell>
          <cell r="Q1336">
            <v>1</v>
          </cell>
          <cell r="R1336">
            <v>21426400</v>
          </cell>
          <cell r="S1336">
            <v>1</v>
          </cell>
          <cell r="T1336">
            <v>65838600</v>
          </cell>
          <cell r="Y1336">
            <v>2</v>
          </cell>
          <cell r="Z1336">
            <v>87265000</v>
          </cell>
          <cell r="AA1336">
            <v>4</v>
          </cell>
          <cell r="AB1336">
            <v>591911040</v>
          </cell>
          <cell r="AC1336">
            <v>66.666666666666657</v>
          </cell>
          <cell r="AD1336">
            <v>41.080058787181322</v>
          </cell>
        </row>
        <row r="1337">
          <cell r="C1337" t="str">
            <v>02</v>
          </cell>
          <cell r="D1337" t="str">
            <v>01</v>
          </cell>
          <cell r="E1337" t="str">
            <v>01</v>
          </cell>
          <cell r="F1337" t="str">
            <v>15</v>
          </cell>
          <cell r="H1337" t="str">
            <v>12</v>
          </cell>
          <cell r="I1337" t="str">
            <v>Pembinaan Usaha Transmigrasi</v>
          </cell>
          <cell r="J1337" t="str">
            <v>Jumlah kelompok tyang dibina</v>
          </cell>
          <cell r="K1337">
            <v>6</v>
          </cell>
          <cell r="L1337">
            <v>2168672789.5999999</v>
          </cell>
          <cell r="M1337">
            <v>2</v>
          </cell>
          <cell r="N1337">
            <v>310189240</v>
          </cell>
          <cell r="O1337">
            <v>1</v>
          </cell>
          <cell r="P1337">
            <v>115165600</v>
          </cell>
          <cell r="Q1337">
            <v>1</v>
          </cell>
          <cell r="R1337">
            <v>11160000</v>
          </cell>
          <cell r="S1337">
            <v>1</v>
          </cell>
          <cell r="T1337">
            <v>30886600</v>
          </cell>
          <cell r="Y1337">
            <v>2</v>
          </cell>
          <cell r="Z1337">
            <v>42046600</v>
          </cell>
          <cell r="AA1337">
            <v>4</v>
          </cell>
          <cell r="AB1337">
            <v>352235840</v>
          </cell>
          <cell r="AC1337">
            <v>66.666666666666657</v>
          </cell>
          <cell r="AD1337">
            <v>16.242000254218528</v>
          </cell>
        </row>
        <row r="1338">
          <cell r="C1338" t="str">
            <v>02</v>
          </cell>
          <cell r="D1338" t="str">
            <v>01</v>
          </cell>
          <cell r="E1338" t="str">
            <v>01</v>
          </cell>
          <cell r="F1338" t="str">
            <v>15</v>
          </cell>
          <cell r="H1338" t="str">
            <v>11</v>
          </cell>
          <cell r="I1338" t="str">
            <v>Perencanaan Fasilitas dukungan KTM</v>
          </cell>
          <cell r="J1338" t="str">
            <v>Jumlah dokumen perencanaan yang disusun</v>
          </cell>
          <cell r="K1338">
            <v>6</v>
          </cell>
          <cell r="L1338">
            <v>1539653200</v>
          </cell>
          <cell r="M1338">
            <v>2</v>
          </cell>
          <cell r="N1338">
            <v>251950000</v>
          </cell>
          <cell r="O1338">
            <v>1</v>
          </cell>
          <cell r="P1338">
            <v>129203200</v>
          </cell>
          <cell r="Q1338">
            <v>0</v>
          </cell>
          <cell r="R1338">
            <v>0</v>
          </cell>
          <cell r="S1338">
            <v>1</v>
          </cell>
          <cell r="T1338">
            <v>15220200</v>
          </cell>
          <cell r="Y1338">
            <v>1</v>
          </cell>
          <cell r="Z1338">
            <v>15220200</v>
          </cell>
          <cell r="AA1338">
            <v>3</v>
          </cell>
          <cell r="AB1338">
            <v>267170200</v>
          </cell>
          <cell r="AC1338">
            <v>50</v>
          </cell>
          <cell r="AD1338">
            <v>17.352622006046555</v>
          </cell>
        </row>
        <row r="1339">
          <cell r="A1339" t="str">
            <v>Rata-Rata Capaian Kinerja</v>
          </cell>
          <cell r="AC1339">
            <v>61</v>
          </cell>
          <cell r="AD1339">
            <v>15.147052356168652</v>
          </cell>
        </row>
        <row r="1340">
          <cell r="A1340" t="str">
            <v>Peringkat  Kinerja</v>
          </cell>
          <cell r="AC1340" t="str">
            <v>R</v>
          </cell>
          <cell r="AD1340" t="str">
            <v>SR</v>
          </cell>
        </row>
        <row r="1341">
          <cell r="I1341" t="str">
            <v>PENUNJANG URUSAN</v>
          </cell>
        </row>
        <row r="1342">
          <cell r="A1342" t="str">
            <v>I</v>
          </cell>
          <cell r="I1342" t="str">
            <v>INSPEKTORAT</v>
          </cell>
          <cell r="L1342">
            <v>37139000000</v>
          </cell>
          <cell r="N1342">
            <v>6152072105</v>
          </cell>
          <cell r="P1342">
            <v>3246219817</v>
          </cell>
          <cell r="R1342">
            <v>713637226</v>
          </cell>
          <cell r="T1342">
            <v>616317264</v>
          </cell>
          <cell r="Z1342">
            <v>1329954490</v>
          </cell>
          <cell r="AB1342">
            <v>7482026595</v>
          </cell>
        </row>
        <row r="1343">
          <cell r="A1343">
            <v>1</v>
          </cell>
          <cell r="B1343" t="str">
            <v>Meningkatkan Akuntabilitas Keuangan dan Kinerja Pemerintah Dearah</v>
          </cell>
          <cell r="C1343">
            <v>3</v>
          </cell>
          <cell r="D1343" t="str">
            <v>00</v>
          </cell>
          <cell r="E1343" t="str">
            <v>01</v>
          </cell>
          <cell r="F1343" t="str">
            <v>01</v>
          </cell>
          <cell r="I1343" t="str">
            <v>Program Pelayanan Administrasi Perkantoran</v>
          </cell>
          <cell r="J1343" t="str">
            <v>Persentase pemenuhan layanan adminstrasi perkantoran</v>
          </cell>
          <cell r="K1343">
            <v>67</v>
          </cell>
          <cell r="L1343">
            <v>6057500000</v>
          </cell>
          <cell r="M1343">
            <v>22</v>
          </cell>
          <cell r="N1343">
            <v>1165404355</v>
          </cell>
          <cell r="O1343">
            <v>11.166666666666666</v>
          </cell>
          <cell r="P1343">
            <v>511677878</v>
          </cell>
          <cell r="Q1343">
            <v>2.5</v>
          </cell>
          <cell r="R1343">
            <v>95913325</v>
          </cell>
          <cell r="S1343">
            <v>22.326241578003874</v>
          </cell>
          <cell r="T1343">
            <v>133483814</v>
          </cell>
          <cell r="U1343">
            <v>0</v>
          </cell>
          <cell r="V1343">
            <v>0</v>
          </cell>
          <cell r="W1343">
            <v>0</v>
          </cell>
          <cell r="X1343">
            <v>0</v>
          </cell>
          <cell r="Y1343">
            <v>24.826241578003874</v>
          </cell>
          <cell r="Z1343">
            <v>229397139</v>
          </cell>
          <cell r="AA1343">
            <v>46.826241578003874</v>
          </cell>
          <cell r="AB1343">
            <v>1394801494</v>
          </cell>
          <cell r="AC1343">
            <v>69.889912802990864</v>
          </cell>
          <cell r="AD1343">
            <v>23.026025489063144</v>
          </cell>
          <cell r="AE1343" t="str">
            <v>Inspektorat</v>
          </cell>
        </row>
        <row r="1344">
          <cell r="C1344">
            <v>3</v>
          </cell>
          <cell r="D1344" t="str">
            <v>00</v>
          </cell>
          <cell r="E1344" t="str">
            <v>01</v>
          </cell>
          <cell r="F1344" t="str">
            <v>01</v>
          </cell>
          <cell r="G1344" t="str">
            <v>02</v>
          </cell>
          <cell r="I1344" t="str">
            <v>Penyediaan jasa komunikasi, sumber daya air dan listrik</v>
          </cell>
          <cell r="J1344" t="str">
            <v>Jumlah Tagihan Rekening listrik, telepon dan air (bln)</v>
          </cell>
          <cell r="K1344">
            <v>72</v>
          </cell>
          <cell r="L1344">
            <v>433500000</v>
          </cell>
          <cell r="M1344">
            <v>24</v>
          </cell>
          <cell r="N1344">
            <v>95873912</v>
          </cell>
          <cell r="O1344">
            <v>12</v>
          </cell>
          <cell r="P1344">
            <v>49800000</v>
          </cell>
          <cell r="Q1344">
            <v>3</v>
          </cell>
          <cell r="R1344">
            <v>7860525</v>
          </cell>
          <cell r="S1344">
            <v>13.013682730923694</v>
          </cell>
          <cell r="T1344">
            <v>6480814</v>
          </cell>
          <cell r="U1344">
            <v>0</v>
          </cell>
          <cell r="V1344">
            <v>0</v>
          </cell>
          <cell r="W1344">
            <v>0</v>
          </cell>
          <cell r="X1344">
            <v>0</v>
          </cell>
          <cell r="Y1344">
            <v>16.013682730923694</v>
          </cell>
          <cell r="Z1344">
            <v>14341339</v>
          </cell>
          <cell r="AA1344">
            <v>40.013682730923691</v>
          </cell>
          <cell r="AB1344">
            <v>110215251</v>
          </cell>
          <cell r="AC1344">
            <v>55.574559348505126</v>
          </cell>
          <cell r="AD1344">
            <v>25.424510034602076</v>
          </cell>
        </row>
        <row r="1345">
          <cell r="C1345">
            <v>3</v>
          </cell>
          <cell r="D1345" t="str">
            <v>00</v>
          </cell>
          <cell r="E1345" t="str">
            <v>01</v>
          </cell>
          <cell r="F1345" t="str">
            <v>01</v>
          </cell>
          <cell r="G1345" t="str">
            <v>07</v>
          </cell>
          <cell r="I1345" t="str">
            <v>Penyediaan jasa administrasi keuangan</v>
          </cell>
          <cell r="J1345" t="str">
            <v>Jumlah biaya honorarium pengelola keuangan (bln)</v>
          </cell>
          <cell r="K1345">
            <v>72</v>
          </cell>
          <cell r="L1345">
            <v>481000000</v>
          </cell>
          <cell r="M1345">
            <v>24</v>
          </cell>
          <cell r="N1345">
            <v>130725000</v>
          </cell>
          <cell r="O1345">
            <v>12</v>
          </cell>
          <cell r="P1345">
            <v>82800000</v>
          </cell>
          <cell r="Q1345">
            <v>3</v>
          </cell>
          <cell r="R1345">
            <v>12950000</v>
          </cell>
          <cell r="S1345">
            <v>25</v>
          </cell>
          <cell r="T1345">
            <v>20700000</v>
          </cell>
          <cell r="U1345">
            <v>0</v>
          </cell>
          <cell r="V1345">
            <v>0</v>
          </cell>
          <cell r="W1345">
            <v>0</v>
          </cell>
          <cell r="X1345">
            <v>0</v>
          </cell>
          <cell r="Y1345">
            <v>28</v>
          </cell>
          <cell r="Z1345">
            <v>33650000</v>
          </cell>
          <cell r="AA1345">
            <v>52</v>
          </cell>
          <cell r="AB1345">
            <v>164375000</v>
          </cell>
          <cell r="AC1345">
            <v>72.222222222222214</v>
          </cell>
          <cell r="AD1345">
            <v>34.173596673596677</v>
          </cell>
        </row>
        <row r="1346">
          <cell r="C1346">
            <v>3</v>
          </cell>
          <cell r="D1346" t="str">
            <v>00</v>
          </cell>
          <cell r="E1346" t="str">
            <v>01</v>
          </cell>
          <cell r="F1346" t="str">
            <v>01</v>
          </cell>
          <cell r="G1346" t="str">
            <v>08</v>
          </cell>
          <cell r="I1346" t="str">
            <v>Penyediaan jasa kebersihan kantor</v>
          </cell>
          <cell r="J1346" t="str">
            <v>Jumlah sarana Kebersihan (bln)</v>
          </cell>
          <cell r="K1346">
            <v>72</v>
          </cell>
          <cell r="L1346">
            <v>433000000</v>
          </cell>
          <cell r="M1346">
            <v>24</v>
          </cell>
          <cell r="N1346">
            <v>110145400</v>
          </cell>
          <cell r="O1346">
            <v>12</v>
          </cell>
          <cell r="P1346">
            <v>57205391</v>
          </cell>
          <cell r="Q1346">
            <v>3</v>
          </cell>
          <cell r="R1346">
            <v>12830000</v>
          </cell>
          <cell r="S1346">
            <v>30.399232827549415</v>
          </cell>
          <cell r="T1346">
            <v>17390000</v>
          </cell>
          <cell r="U1346">
            <v>0</v>
          </cell>
          <cell r="V1346">
            <v>0</v>
          </cell>
          <cell r="W1346">
            <v>0</v>
          </cell>
          <cell r="X1346">
            <v>0</v>
          </cell>
          <cell r="Y1346">
            <v>33.399232827549412</v>
          </cell>
          <cell r="Z1346">
            <v>30220000</v>
          </cell>
          <cell r="AA1346">
            <v>57.399232827549412</v>
          </cell>
          <cell r="AB1346">
            <v>140365400</v>
          </cell>
          <cell r="AC1346">
            <v>79.72115670492974</v>
          </cell>
          <cell r="AD1346">
            <v>32.416951501154735</v>
          </cell>
        </row>
        <row r="1347">
          <cell r="C1347">
            <v>3</v>
          </cell>
          <cell r="D1347" t="str">
            <v>00</v>
          </cell>
          <cell r="E1347" t="str">
            <v>01</v>
          </cell>
          <cell r="F1347" t="str">
            <v>01</v>
          </cell>
          <cell r="G1347" t="str">
            <v>09</v>
          </cell>
          <cell r="I1347" t="str">
            <v>Penyediaan jasa perbaikan perlatan kerja</v>
          </cell>
          <cell r="J1347" t="str">
            <v>Jumlah Perbaikan Peralatan Kerja (bln)</v>
          </cell>
          <cell r="K1347">
            <v>72</v>
          </cell>
          <cell r="L1347">
            <v>310500000</v>
          </cell>
          <cell r="M1347">
            <v>24</v>
          </cell>
          <cell r="N1347">
            <v>61981900</v>
          </cell>
          <cell r="O1347">
            <v>12</v>
          </cell>
          <cell r="P1347">
            <v>24350000</v>
          </cell>
          <cell r="Q1347">
            <v>3</v>
          </cell>
          <cell r="R1347">
            <v>6350000</v>
          </cell>
          <cell r="S1347">
            <v>0</v>
          </cell>
          <cell r="T1347">
            <v>0</v>
          </cell>
          <cell r="U1347">
            <v>0</v>
          </cell>
          <cell r="V1347">
            <v>0</v>
          </cell>
          <cell r="W1347">
            <v>0</v>
          </cell>
          <cell r="X1347">
            <v>0</v>
          </cell>
          <cell r="Y1347">
            <v>3</v>
          </cell>
          <cell r="Z1347">
            <v>6350000</v>
          </cell>
          <cell r="AA1347">
            <v>27</v>
          </cell>
          <cell r="AB1347">
            <v>68331900</v>
          </cell>
          <cell r="AC1347">
            <v>37.5</v>
          </cell>
          <cell r="AD1347">
            <v>22.00705314009662</v>
          </cell>
        </row>
        <row r="1348">
          <cell r="C1348">
            <v>3</v>
          </cell>
          <cell r="D1348" t="str">
            <v>00</v>
          </cell>
          <cell r="E1348" t="str">
            <v>01</v>
          </cell>
          <cell r="F1348" t="str">
            <v>01</v>
          </cell>
          <cell r="G1348" t="str">
            <v>10</v>
          </cell>
          <cell r="I1348" t="str">
            <v>Penyediaan Alat       Tulis Kantor</v>
          </cell>
          <cell r="J1348" t="str">
            <v>Jumlah ATK (bln)</v>
          </cell>
          <cell r="K1348">
            <v>72</v>
          </cell>
          <cell r="L1348">
            <v>458500000</v>
          </cell>
          <cell r="M1348">
            <v>24</v>
          </cell>
          <cell r="N1348">
            <v>70373500</v>
          </cell>
          <cell r="O1348">
            <v>12</v>
          </cell>
          <cell r="P1348">
            <v>31655923</v>
          </cell>
          <cell r="Q1348">
            <v>3</v>
          </cell>
          <cell r="R1348">
            <v>5240000</v>
          </cell>
          <cell r="S1348">
            <v>28.871374244876701</v>
          </cell>
          <cell r="T1348">
            <v>9139500</v>
          </cell>
          <cell r="U1348">
            <v>0</v>
          </cell>
          <cell r="V1348">
            <v>0</v>
          </cell>
          <cell r="W1348">
            <v>0</v>
          </cell>
          <cell r="X1348">
            <v>0</v>
          </cell>
          <cell r="Y1348">
            <v>31.871374244876701</v>
          </cell>
          <cell r="Z1348">
            <v>14379500</v>
          </cell>
          <cell r="AA1348">
            <v>55.871374244876705</v>
          </cell>
          <cell r="AB1348">
            <v>84753000</v>
          </cell>
          <cell r="AC1348">
            <v>77.5991308956621</v>
          </cell>
          <cell r="AD1348">
            <v>18.484841875681571</v>
          </cell>
        </row>
        <row r="1349">
          <cell r="C1349">
            <v>3</v>
          </cell>
          <cell r="D1349" t="str">
            <v>00</v>
          </cell>
          <cell r="E1349" t="str">
            <v>01</v>
          </cell>
          <cell r="F1349" t="str">
            <v>01</v>
          </cell>
          <cell r="G1349" t="str">
            <v>11</v>
          </cell>
          <cell r="I1349" t="str">
            <v>Penyediaan barang cetakan dan penggandaan</v>
          </cell>
          <cell r="J1349" t="str">
            <v>Jumlah cetakan penggandaan (bln)</v>
          </cell>
          <cell r="K1349">
            <v>72</v>
          </cell>
          <cell r="L1349">
            <v>343500000</v>
          </cell>
          <cell r="M1349">
            <v>24</v>
          </cell>
          <cell r="N1349">
            <v>85041500</v>
          </cell>
          <cell r="O1349">
            <v>12</v>
          </cell>
          <cell r="P1349">
            <v>22793564</v>
          </cell>
          <cell r="Q1349">
            <v>3</v>
          </cell>
          <cell r="R1349">
            <v>3800000</v>
          </cell>
          <cell r="S1349">
            <v>26.323220010701263</v>
          </cell>
          <cell r="T1349">
            <v>6000000</v>
          </cell>
          <cell r="U1349">
            <v>0</v>
          </cell>
          <cell r="V1349">
            <v>0</v>
          </cell>
          <cell r="W1349">
            <v>0</v>
          </cell>
          <cell r="X1349">
            <v>0</v>
          </cell>
          <cell r="Y1349">
            <v>29.323220010701263</v>
          </cell>
          <cell r="Z1349">
            <v>9800000</v>
          </cell>
          <cell r="AA1349">
            <v>53.323220010701263</v>
          </cell>
          <cell r="AB1349">
            <v>94841500</v>
          </cell>
          <cell r="AC1349">
            <v>74.060027792640653</v>
          </cell>
          <cell r="AD1349">
            <v>27.610334788937408</v>
          </cell>
        </row>
        <row r="1350">
          <cell r="C1350">
            <v>3</v>
          </cell>
          <cell r="D1350" t="str">
            <v>00</v>
          </cell>
          <cell r="E1350" t="str">
            <v>01</v>
          </cell>
          <cell r="F1350" t="str">
            <v>01</v>
          </cell>
          <cell r="G1350" t="str">
            <v>12</v>
          </cell>
          <cell r="I1350" t="str">
            <v>Penyediaan komponen instalasi listrik/penerangan bangunan kantor</v>
          </cell>
          <cell r="J1350" t="str">
            <v>Jumlah komponen instalasi listrik penerangan bangunan (bln)</v>
          </cell>
          <cell r="K1350">
            <v>72</v>
          </cell>
          <cell r="L1350">
            <v>218500000</v>
          </cell>
          <cell r="M1350">
            <v>24</v>
          </cell>
          <cell r="N1350">
            <v>43378000</v>
          </cell>
          <cell r="O1350">
            <v>12</v>
          </cell>
          <cell r="P1350">
            <v>12738000</v>
          </cell>
          <cell r="Q1350">
            <v>0</v>
          </cell>
          <cell r="R1350">
            <v>0</v>
          </cell>
          <cell r="S1350">
            <v>15.701051970482022</v>
          </cell>
          <cell r="T1350">
            <v>2000000</v>
          </cell>
          <cell r="U1350">
            <v>0</v>
          </cell>
          <cell r="V1350">
            <v>0</v>
          </cell>
          <cell r="W1350">
            <v>0</v>
          </cell>
          <cell r="X1350">
            <v>0</v>
          </cell>
          <cell r="Y1350">
            <v>15.701051970482022</v>
          </cell>
          <cell r="Z1350">
            <v>2000000</v>
          </cell>
          <cell r="AA1350">
            <v>39.70105197048202</v>
          </cell>
          <cell r="AB1350">
            <v>45378000</v>
          </cell>
          <cell r="AC1350">
            <v>55.140349959002812</v>
          </cell>
          <cell r="AD1350">
            <v>20.76796338672769</v>
          </cell>
        </row>
        <row r="1351">
          <cell r="C1351">
            <v>3</v>
          </cell>
          <cell r="D1351" t="str">
            <v>00</v>
          </cell>
          <cell r="E1351" t="str">
            <v>01</v>
          </cell>
          <cell r="F1351" t="str">
            <v>01</v>
          </cell>
          <cell r="G1351" t="str">
            <v>15</v>
          </cell>
          <cell r="I1351" t="str">
            <v>Penyediaan bahan bacaan dan peraturan perundang-undangan</v>
          </cell>
          <cell r="J1351" t="str">
            <v>Jumlah surat Kabar dean Buku Per-UU (bln)</v>
          </cell>
          <cell r="K1351">
            <v>72</v>
          </cell>
          <cell r="L1351">
            <v>158500000</v>
          </cell>
          <cell r="M1351">
            <v>24</v>
          </cell>
          <cell r="N1351">
            <v>21300000</v>
          </cell>
          <cell r="O1351">
            <v>12</v>
          </cell>
          <cell r="P1351">
            <v>6400000</v>
          </cell>
          <cell r="Q1351">
            <v>3</v>
          </cell>
          <cell r="R1351">
            <v>720000</v>
          </cell>
          <cell r="S1351">
            <v>22.5</v>
          </cell>
          <cell r="T1351">
            <v>1440000</v>
          </cell>
          <cell r="U1351">
            <v>0</v>
          </cell>
          <cell r="V1351">
            <v>0</v>
          </cell>
          <cell r="W1351">
            <v>0</v>
          </cell>
          <cell r="X1351">
            <v>0</v>
          </cell>
          <cell r="Y1351">
            <v>25.5</v>
          </cell>
          <cell r="Z1351">
            <v>2160000</v>
          </cell>
          <cell r="AA1351">
            <v>49.5</v>
          </cell>
          <cell r="AB1351">
            <v>23460000</v>
          </cell>
          <cell r="AC1351">
            <v>68.75</v>
          </cell>
          <cell r="AD1351">
            <v>14.801261829652997</v>
          </cell>
        </row>
        <row r="1352">
          <cell r="C1352">
            <v>3</v>
          </cell>
          <cell r="D1352" t="str">
            <v>00</v>
          </cell>
          <cell r="E1352" t="str">
            <v>01</v>
          </cell>
          <cell r="F1352" t="str">
            <v>01</v>
          </cell>
          <cell r="G1352" t="str">
            <v>17</v>
          </cell>
          <cell r="I1352" t="str">
            <v>Penyediaan makanan dan minuman</v>
          </cell>
          <cell r="J1352" t="str">
            <v>Jumlah biaya jamuan makan dan minum (bln)</v>
          </cell>
          <cell r="K1352">
            <v>72</v>
          </cell>
          <cell r="L1352">
            <v>320500000</v>
          </cell>
          <cell r="M1352">
            <v>24</v>
          </cell>
          <cell r="N1352">
            <v>80407500</v>
          </cell>
          <cell r="O1352">
            <v>12</v>
          </cell>
          <cell r="P1352">
            <v>43610000</v>
          </cell>
          <cell r="Q1352">
            <v>3</v>
          </cell>
          <cell r="R1352">
            <v>11715000</v>
          </cell>
          <cell r="S1352">
            <v>28.319192845677598</v>
          </cell>
          <cell r="T1352">
            <v>12350000</v>
          </cell>
          <cell r="U1352">
            <v>0</v>
          </cell>
          <cell r="V1352">
            <v>0</v>
          </cell>
          <cell r="W1352">
            <v>0</v>
          </cell>
          <cell r="X1352">
            <v>0</v>
          </cell>
          <cell r="Y1352">
            <v>31.319192845677598</v>
          </cell>
          <cell r="Z1352">
            <v>24065000</v>
          </cell>
          <cell r="AA1352">
            <v>55.319192845677598</v>
          </cell>
          <cell r="AB1352">
            <v>104472500</v>
          </cell>
          <cell r="AC1352">
            <v>76.832212285663331</v>
          </cell>
          <cell r="AD1352">
            <v>32.596723868954754</v>
          </cell>
        </row>
        <row r="1353">
          <cell r="C1353">
            <v>3</v>
          </cell>
          <cell r="D1353" t="str">
            <v>00</v>
          </cell>
          <cell r="E1353" t="str">
            <v>01</v>
          </cell>
          <cell r="F1353" t="str">
            <v>01</v>
          </cell>
          <cell r="G1353" t="str">
            <v>18</v>
          </cell>
          <cell r="I1353" t="str">
            <v>Rapat-rapat kordinasi dan konsultasi ke luar daerah</v>
          </cell>
          <cell r="J1353" t="str">
            <v>Jumlah Koordinasi dan Kosultasi yang diikuti luar daerah (bln)</v>
          </cell>
          <cell r="K1353">
            <v>72</v>
          </cell>
          <cell r="L1353">
            <v>1935000000</v>
          </cell>
          <cell r="M1353">
            <v>24</v>
          </cell>
          <cell r="N1353">
            <v>363777643</v>
          </cell>
          <cell r="O1353">
            <v>12</v>
          </cell>
          <cell r="P1353">
            <v>92000000</v>
          </cell>
          <cell r="Q1353">
            <v>3</v>
          </cell>
          <cell r="R1353">
            <v>28447800</v>
          </cell>
          <cell r="S1353">
            <v>42.672282608695653</v>
          </cell>
          <cell r="T1353">
            <v>39258500</v>
          </cell>
          <cell r="U1353">
            <v>0</v>
          </cell>
          <cell r="V1353">
            <v>0</v>
          </cell>
          <cell r="W1353">
            <v>0</v>
          </cell>
          <cell r="X1353">
            <v>0</v>
          </cell>
          <cell r="Y1353">
            <v>45.672282608695653</v>
          </cell>
          <cell r="Z1353">
            <v>67706300</v>
          </cell>
          <cell r="AA1353">
            <v>69.672282608695653</v>
          </cell>
          <cell r="AB1353">
            <v>431483943</v>
          </cell>
          <cell r="AC1353">
            <v>96.767059178743963</v>
          </cell>
          <cell r="AD1353">
            <v>22.298911782945734</v>
          </cell>
        </row>
        <row r="1354">
          <cell r="C1354">
            <v>3</v>
          </cell>
          <cell r="D1354" t="str">
            <v>00</v>
          </cell>
          <cell r="E1354" t="str">
            <v>01</v>
          </cell>
          <cell r="F1354" t="str">
            <v>01</v>
          </cell>
          <cell r="G1354" t="str">
            <v>20</v>
          </cell>
          <cell r="I1354" t="str">
            <v>Rapat-rapat Koordinasi dan Konsultasi Dalam Daerah</v>
          </cell>
          <cell r="J1354" t="str">
            <v>Jumlah Koordinasi dan Kosultasi yang diikuti dalam daerah (bln)</v>
          </cell>
          <cell r="K1354">
            <v>72</v>
          </cell>
          <cell r="L1354">
            <v>725000000</v>
          </cell>
          <cell r="M1354">
            <v>24</v>
          </cell>
          <cell r="N1354">
            <v>102400000</v>
          </cell>
          <cell r="O1354">
            <v>12</v>
          </cell>
          <cell r="P1354">
            <v>53325000</v>
          </cell>
          <cell r="Q1354">
            <v>3</v>
          </cell>
          <cell r="R1354">
            <v>6000000</v>
          </cell>
          <cell r="S1354">
            <v>35.114861697140178</v>
          </cell>
          <cell r="T1354">
            <v>18725000</v>
          </cell>
          <cell r="U1354">
            <v>0</v>
          </cell>
          <cell r="V1354">
            <v>0</v>
          </cell>
          <cell r="W1354">
            <v>0</v>
          </cell>
          <cell r="X1354">
            <v>0</v>
          </cell>
          <cell r="Y1354">
            <v>38.114861697140178</v>
          </cell>
          <cell r="Z1354">
            <v>24725000</v>
          </cell>
          <cell r="AA1354">
            <v>62.114861697140178</v>
          </cell>
          <cell r="AB1354">
            <v>127125000</v>
          </cell>
          <cell r="AC1354">
            <v>86.270641246028021</v>
          </cell>
          <cell r="AD1354">
            <v>17.53448275862069</v>
          </cell>
        </row>
        <row r="1355">
          <cell r="C1355">
            <v>3</v>
          </cell>
          <cell r="D1355" t="str">
            <v>00</v>
          </cell>
          <cell r="E1355" t="str">
            <v>01</v>
          </cell>
          <cell r="F1355" t="str">
            <v>01</v>
          </cell>
          <cell r="G1355" t="str">
            <v>40</v>
          </cell>
          <cell r="I1355" t="str">
            <v>Kegiatan Penyebarluaskan Informasi Pembangunan</v>
          </cell>
          <cell r="J1355" t="str">
            <v>Jumlah kegiatan penyampaian nformasi pembangunan   (keg)</v>
          </cell>
          <cell r="K1355">
            <v>12</v>
          </cell>
          <cell r="L1355">
            <v>240000000</v>
          </cell>
          <cell r="M1355">
            <v>0</v>
          </cell>
          <cell r="N1355">
            <v>0</v>
          </cell>
          <cell r="O1355">
            <v>2</v>
          </cell>
          <cell r="P1355">
            <v>35000000</v>
          </cell>
          <cell r="Q1355">
            <v>0</v>
          </cell>
          <cell r="R1355">
            <v>0</v>
          </cell>
          <cell r="T1355">
            <v>11040000</v>
          </cell>
          <cell r="Y1355">
            <v>0</v>
          </cell>
          <cell r="Z1355">
            <v>11040000</v>
          </cell>
          <cell r="AA1355">
            <v>0</v>
          </cell>
          <cell r="AB1355">
            <v>11040000</v>
          </cell>
          <cell r="AC1355">
            <v>0</v>
          </cell>
          <cell r="AD1355">
            <v>4.5999999999999996</v>
          </cell>
        </row>
        <row r="1356">
          <cell r="A1356">
            <v>2</v>
          </cell>
          <cell r="C1356">
            <v>3</v>
          </cell>
          <cell r="D1356" t="str">
            <v>00</v>
          </cell>
          <cell r="E1356" t="str">
            <v>01</v>
          </cell>
          <cell r="F1356" t="str">
            <v>02</v>
          </cell>
          <cell r="I1356" t="str">
            <v>Program Peningkatan Sarana dan Prasarana Aparatur</v>
          </cell>
          <cell r="J1356" t="str">
            <v>Persentase sarana dan prasarana aparatur dalam kondisi baik</v>
          </cell>
          <cell r="K1356">
            <v>72</v>
          </cell>
          <cell r="L1356">
            <v>7276000000</v>
          </cell>
          <cell r="M1356">
            <v>12</v>
          </cell>
          <cell r="N1356">
            <v>602529100</v>
          </cell>
          <cell r="O1356">
            <v>6</v>
          </cell>
          <cell r="P1356">
            <v>277742000</v>
          </cell>
          <cell r="Q1356">
            <v>1.125</v>
          </cell>
          <cell r="R1356">
            <v>49440500</v>
          </cell>
          <cell r="S1356">
            <v>21.453795248828051</v>
          </cell>
          <cell r="T1356">
            <v>59586200</v>
          </cell>
          <cell r="U1356">
            <v>0</v>
          </cell>
          <cell r="V1356">
            <v>0</v>
          </cell>
          <cell r="W1356">
            <v>0</v>
          </cell>
          <cell r="X1356">
            <v>0</v>
          </cell>
          <cell r="Y1356">
            <v>22.578795248828051</v>
          </cell>
          <cell r="Z1356">
            <v>109026700</v>
          </cell>
          <cell r="AA1356">
            <v>34.578795248828051</v>
          </cell>
          <cell r="AB1356">
            <v>711555800</v>
          </cell>
          <cell r="AC1356">
            <v>48.026104512261178</v>
          </cell>
          <cell r="AD1356">
            <v>9.7794914788345242</v>
          </cell>
          <cell r="AE1356" t="str">
            <v>Inspektorat</v>
          </cell>
        </row>
        <row r="1357">
          <cell r="C1357">
            <v>3</v>
          </cell>
          <cell r="D1357" t="str">
            <v>00</v>
          </cell>
          <cell r="E1357" t="str">
            <v>01</v>
          </cell>
          <cell r="F1357" t="str">
            <v>02</v>
          </cell>
          <cell r="G1357" t="str">
            <v>07</v>
          </cell>
          <cell r="I1357" t="str">
            <v>Pengadaan perlengkapan gedung kantor</v>
          </cell>
          <cell r="J1357" t="str">
            <v>Jumlah pengadaan perlengkapan gedung kantor (bln)</v>
          </cell>
          <cell r="K1357">
            <v>72</v>
          </cell>
          <cell r="L1357">
            <v>335000000</v>
          </cell>
          <cell r="M1357">
            <v>24</v>
          </cell>
          <cell r="N1357">
            <v>156000000</v>
          </cell>
          <cell r="O1357">
            <v>12</v>
          </cell>
          <cell r="P1357">
            <v>3000000</v>
          </cell>
          <cell r="Q1357">
            <v>3</v>
          </cell>
          <cell r="R1357">
            <v>3000000</v>
          </cell>
          <cell r="S1357">
            <v>0</v>
          </cell>
          <cell r="T1357">
            <v>0</v>
          </cell>
          <cell r="U1357">
            <v>0</v>
          </cell>
          <cell r="V1357">
            <v>0</v>
          </cell>
          <cell r="W1357">
            <v>0</v>
          </cell>
          <cell r="X1357">
            <v>0</v>
          </cell>
          <cell r="Y1357">
            <v>3</v>
          </cell>
          <cell r="Z1357">
            <v>3000000</v>
          </cell>
          <cell r="AA1357">
            <v>27</v>
          </cell>
          <cell r="AB1357">
            <v>159000000</v>
          </cell>
          <cell r="AC1357">
            <v>37.5</v>
          </cell>
          <cell r="AD1357">
            <v>47.462686567164184</v>
          </cell>
        </row>
        <row r="1358">
          <cell r="C1358">
            <v>3</v>
          </cell>
          <cell r="D1358" t="str">
            <v>00</v>
          </cell>
          <cell r="E1358" t="str">
            <v>01</v>
          </cell>
          <cell r="F1358" t="str">
            <v>02</v>
          </cell>
          <cell r="G1358" t="str">
            <v>09</v>
          </cell>
          <cell r="I1358" t="str">
            <v>Pengadaan peralatan  gedung kantor</v>
          </cell>
          <cell r="J1358" t="str">
            <v>Jumlah pengadaan peralatan gedung kantor (bln)</v>
          </cell>
          <cell r="K1358">
            <v>72</v>
          </cell>
          <cell r="L1358">
            <v>395000000</v>
          </cell>
          <cell r="M1358">
            <v>24</v>
          </cell>
          <cell r="N1358">
            <v>84230000</v>
          </cell>
          <cell r="O1358">
            <v>12</v>
          </cell>
          <cell r="P1358">
            <v>9000000</v>
          </cell>
          <cell r="Q1358">
            <v>3</v>
          </cell>
          <cell r="R1358">
            <v>9000000</v>
          </cell>
          <cell r="S1358">
            <v>0</v>
          </cell>
          <cell r="T1358">
            <v>0</v>
          </cell>
          <cell r="U1358">
            <v>0</v>
          </cell>
          <cell r="V1358">
            <v>0</v>
          </cell>
          <cell r="W1358">
            <v>0</v>
          </cell>
          <cell r="X1358">
            <v>0</v>
          </cell>
          <cell r="Y1358">
            <v>3</v>
          </cell>
          <cell r="Z1358">
            <v>9000000</v>
          </cell>
          <cell r="AA1358">
            <v>27</v>
          </cell>
          <cell r="AB1358">
            <v>93230000</v>
          </cell>
          <cell r="AC1358">
            <v>37.5</v>
          </cell>
          <cell r="AD1358">
            <v>23.60253164556962</v>
          </cell>
        </row>
        <row r="1359">
          <cell r="C1359">
            <v>3</v>
          </cell>
          <cell r="D1359" t="str">
            <v>00</v>
          </cell>
          <cell r="E1359" t="str">
            <v>01</v>
          </cell>
          <cell r="F1359" t="str">
            <v>02</v>
          </cell>
          <cell r="I1359" t="str">
            <v>Pengadaan Mobileur</v>
          </cell>
          <cell r="J1359" t="str">
            <v>Jumlah Pengadaan Mobileur (bln)</v>
          </cell>
          <cell r="K1359">
            <v>72</v>
          </cell>
          <cell r="L1359">
            <v>487000000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row>
        <row r="1360">
          <cell r="C1360">
            <v>3</v>
          </cell>
          <cell r="D1360" t="str">
            <v>00</v>
          </cell>
          <cell r="E1360" t="str">
            <v>01</v>
          </cell>
          <cell r="F1360" t="str">
            <v>02</v>
          </cell>
          <cell r="G1360">
            <v>22</v>
          </cell>
          <cell r="I1360" t="str">
            <v>Pemel. Rutin/Berkala Gedung Kantor</v>
          </cell>
          <cell r="J1360" t="str">
            <v>Jumlah pemeliharaan gedung kantor</v>
          </cell>
          <cell r="K1360">
            <v>72</v>
          </cell>
          <cell r="L1360">
            <v>690000000</v>
          </cell>
          <cell r="M1360">
            <v>24</v>
          </cell>
          <cell r="N1360">
            <v>69965000</v>
          </cell>
          <cell r="O1360">
            <v>12</v>
          </cell>
          <cell r="P1360">
            <v>40000000</v>
          </cell>
          <cell r="Q1360">
            <v>0</v>
          </cell>
          <cell r="R1360">
            <v>0</v>
          </cell>
          <cell r="S1360">
            <v>100</v>
          </cell>
          <cell r="T1360">
            <v>40000000</v>
          </cell>
          <cell r="U1360">
            <v>0</v>
          </cell>
          <cell r="V1360">
            <v>0</v>
          </cell>
          <cell r="W1360">
            <v>0</v>
          </cell>
          <cell r="X1360">
            <v>0</v>
          </cell>
          <cell r="Y1360">
            <v>100</v>
          </cell>
          <cell r="Z1360">
            <v>40000000</v>
          </cell>
          <cell r="AA1360">
            <v>124</v>
          </cell>
          <cell r="AB1360">
            <v>109965000</v>
          </cell>
          <cell r="AC1360">
            <v>172.22222222222223</v>
          </cell>
          <cell r="AD1360">
            <v>15.936956521739132</v>
          </cell>
        </row>
        <row r="1361">
          <cell r="C1361">
            <v>3</v>
          </cell>
          <cell r="D1361" t="str">
            <v>00</v>
          </cell>
          <cell r="E1361" t="str">
            <v>01</v>
          </cell>
          <cell r="F1361" t="str">
            <v>02</v>
          </cell>
          <cell r="G1361">
            <v>24</v>
          </cell>
          <cell r="I1361" t="str">
            <v>Pemel. Rutin/Berkala Kendaraan Dinas/Operasional</v>
          </cell>
          <cell r="J1361" t="str">
            <v>Jumlah pemeliharaan kendaraan dinas (bln)</v>
          </cell>
          <cell r="K1361">
            <v>72</v>
          </cell>
          <cell r="L1361">
            <v>1170000000</v>
          </cell>
          <cell r="M1361">
            <v>24</v>
          </cell>
          <cell r="N1361">
            <v>292334100</v>
          </cell>
          <cell r="O1361">
            <v>12</v>
          </cell>
          <cell r="P1361">
            <v>225742000</v>
          </cell>
          <cell r="Q1361">
            <v>3</v>
          </cell>
          <cell r="R1361">
            <v>37440500</v>
          </cell>
          <cell r="S1361">
            <v>8.6763650539111019</v>
          </cell>
          <cell r="T1361">
            <v>19586200</v>
          </cell>
          <cell r="U1361">
            <v>0</v>
          </cell>
          <cell r="V1361">
            <v>0</v>
          </cell>
          <cell r="W1361">
            <v>0</v>
          </cell>
          <cell r="X1361">
            <v>0</v>
          </cell>
          <cell r="Y1361">
            <v>11.676365053911102</v>
          </cell>
          <cell r="Z1361">
            <v>57026700</v>
          </cell>
          <cell r="AA1361">
            <v>35.676365053911098</v>
          </cell>
          <cell r="AB1361">
            <v>349360800</v>
          </cell>
          <cell r="AC1361">
            <v>49.550507019320975</v>
          </cell>
          <cell r="AD1361">
            <v>29.859897435897437</v>
          </cell>
        </row>
        <row r="1362">
          <cell r="C1362">
            <v>3</v>
          </cell>
          <cell r="D1362" t="str">
            <v>00</v>
          </cell>
          <cell r="E1362" t="str">
            <v>01</v>
          </cell>
          <cell r="F1362" t="str">
            <v>02</v>
          </cell>
          <cell r="I1362" t="str">
            <v>Pemel. Rutin/Berkala peralatan gedung kantor</v>
          </cell>
          <cell r="J1362" t="str">
            <v>Jumlah pemeliharaan rutin/berkala peralatan gedung kantor</v>
          </cell>
          <cell r="K1362">
            <v>72</v>
          </cell>
          <cell r="L1362">
            <v>720000000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row>
        <row r="1363">
          <cell r="C1363">
            <v>3</v>
          </cell>
          <cell r="D1363" t="str">
            <v>00</v>
          </cell>
          <cell r="E1363" t="str">
            <v>01</v>
          </cell>
          <cell r="F1363" t="str">
            <v>02</v>
          </cell>
          <cell r="I1363" t="str">
            <v>Pengadaan kendaraan roda 4 dan roda 2</v>
          </cell>
          <cell r="J1363" t="str">
            <v>Jumlah Pengadaan kendaraan roda 4</v>
          </cell>
          <cell r="K1363">
            <v>72</v>
          </cell>
          <cell r="L1363">
            <v>2900000000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row>
        <row r="1364">
          <cell r="C1364">
            <v>3</v>
          </cell>
          <cell r="D1364" t="str">
            <v>00</v>
          </cell>
          <cell r="E1364" t="str">
            <v>01</v>
          </cell>
          <cell r="F1364" t="str">
            <v>02</v>
          </cell>
          <cell r="I1364" t="str">
            <v>Rehabilitasi sedang/berat gedung kantor</v>
          </cell>
          <cell r="J1364" t="str">
            <v>Persentase Rehabilitasi sedang/berat gedung kantor</v>
          </cell>
          <cell r="K1364">
            <v>72</v>
          </cell>
          <cell r="L1364">
            <v>579000000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row>
        <row r="1365">
          <cell r="A1365">
            <v>3</v>
          </cell>
          <cell r="C1365">
            <v>3</v>
          </cell>
          <cell r="D1365" t="str">
            <v>00</v>
          </cell>
          <cell r="E1365" t="str">
            <v>01</v>
          </cell>
          <cell r="F1365">
            <v>20</v>
          </cell>
          <cell r="I1365" t="str">
            <v>Program Peningkatan Profesionalisme Tenaga Pemeriksaan dan Aparatur Pengawasan</v>
          </cell>
          <cell r="J1365" t="str">
            <v>Terlaksananya Peningkatan Profesionalisme Tenaga Pemeriksa dan Aparatur Pengawasan</v>
          </cell>
          <cell r="K1365">
            <v>3484</v>
          </cell>
          <cell r="L1365">
            <v>21645500000</v>
          </cell>
          <cell r="M1365">
            <v>700</v>
          </cell>
          <cell r="N1365">
            <v>3878403300</v>
          </cell>
          <cell r="O1365">
            <v>540.83333333333337</v>
          </cell>
          <cell r="P1365">
            <v>2228250939</v>
          </cell>
          <cell r="Q1365">
            <v>70.833333333333329</v>
          </cell>
          <cell r="R1365">
            <v>521970350</v>
          </cell>
          <cell r="S1365">
            <v>10.055195799600474</v>
          </cell>
          <cell r="T1365">
            <v>423247250</v>
          </cell>
          <cell r="U1365">
            <v>0</v>
          </cell>
          <cell r="V1365">
            <v>0</v>
          </cell>
          <cell r="W1365">
            <v>0</v>
          </cell>
          <cell r="X1365">
            <v>0</v>
          </cell>
          <cell r="Y1365">
            <v>80.888529132933797</v>
          </cell>
          <cell r="Z1365">
            <v>945217600</v>
          </cell>
          <cell r="AA1365">
            <v>780.88852913293385</v>
          </cell>
          <cell r="AB1365">
            <v>4823620900</v>
          </cell>
          <cell r="AC1365">
            <v>22.41356283389592</v>
          </cell>
          <cell r="AD1365">
            <v>22.284636067542905</v>
          </cell>
          <cell r="AE1365" t="str">
            <v>Inspektorat</v>
          </cell>
        </row>
        <row r="1366">
          <cell r="C1366">
            <v>3</v>
          </cell>
          <cell r="D1366" t="str">
            <v>00</v>
          </cell>
          <cell r="E1366" t="str">
            <v>01</v>
          </cell>
          <cell r="F1366">
            <v>20</v>
          </cell>
          <cell r="G1366" t="str">
            <v>01</v>
          </cell>
          <cell r="I1366" t="str">
            <v>Pelaksanaan Pengawasan Internal Secara Berkala</v>
          </cell>
          <cell r="J1366" t="str">
            <v>Jumlah Pengawasan Internal secara Berkala(kegiatan)</v>
          </cell>
          <cell r="K1366">
            <v>1424</v>
          </cell>
          <cell r="L1366">
            <v>9750000000</v>
          </cell>
          <cell r="M1366">
            <v>256</v>
          </cell>
          <cell r="N1366">
            <v>1844678200</v>
          </cell>
          <cell r="O1366">
            <v>200</v>
          </cell>
          <cell r="P1366">
            <v>1051610535</v>
          </cell>
          <cell r="Q1366">
            <v>60</v>
          </cell>
          <cell r="R1366">
            <v>265681000</v>
          </cell>
          <cell r="S1366">
            <v>22.613219636488331</v>
          </cell>
          <cell r="T1366">
            <v>237803000</v>
          </cell>
          <cell r="U1366">
            <v>0</v>
          </cell>
          <cell r="V1366">
            <v>0</v>
          </cell>
          <cell r="W1366">
            <v>0</v>
          </cell>
          <cell r="X1366">
            <v>0</v>
          </cell>
          <cell r="Y1366">
            <v>82.613219636488338</v>
          </cell>
          <cell r="Z1366">
            <v>503484000</v>
          </cell>
          <cell r="AA1366">
            <v>338.61321963648834</v>
          </cell>
          <cell r="AB1366">
            <v>2348162200</v>
          </cell>
          <cell r="AC1366">
            <v>23.779018232899464</v>
          </cell>
          <cell r="AD1366">
            <v>24.083714871794871</v>
          </cell>
        </row>
        <row r="1367">
          <cell r="C1367">
            <v>3</v>
          </cell>
          <cell r="D1367" t="str">
            <v>00</v>
          </cell>
          <cell r="E1367" t="str">
            <v>01</v>
          </cell>
          <cell r="F1367">
            <v>20</v>
          </cell>
          <cell r="G1367" t="str">
            <v>02</v>
          </cell>
          <cell r="I1367" t="str">
            <v>Penanganan Kasus Pengaduan di Lingkungan Pemda</v>
          </cell>
          <cell r="J1367" t="str">
            <v>Jumlah kasus pengaduan dilingkungan Pemerintahan Daerah (kasus)</v>
          </cell>
          <cell r="K1367">
            <v>280</v>
          </cell>
          <cell r="L1367">
            <v>650000000</v>
          </cell>
          <cell r="M1367">
            <v>63</v>
          </cell>
          <cell r="N1367">
            <v>934211350</v>
          </cell>
          <cell r="O1367">
            <v>45</v>
          </cell>
          <cell r="P1367">
            <v>632026454</v>
          </cell>
          <cell r="Q1367">
            <v>10</v>
          </cell>
          <cell r="R1367">
            <v>169913350</v>
          </cell>
          <cell r="S1367">
            <v>21.089536546519302</v>
          </cell>
          <cell r="T1367">
            <v>133291450</v>
          </cell>
          <cell r="U1367">
            <v>0</v>
          </cell>
          <cell r="V1367">
            <v>0</v>
          </cell>
          <cell r="W1367">
            <v>0</v>
          </cell>
          <cell r="X1367">
            <v>0</v>
          </cell>
          <cell r="Y1367">
            <v>31.089536546519302</v>
          </cell>
          <cell r="Z1367">
            <v>303204800</v>
          </cell>
          <cell r="AA1367">
            <v>94.089536546519298</v>
          </cell>
          <cell r="AB1367">
            <v>1237416150</v>
          </cell>
          <cell r="AC1367">
            <v>33.603405909471178</v>
          </cell>
          <cell r="AD1367">
            <v>190.37171538461538</v>
          </cell>
        </row>
        <row r="1368">
          <cell r="C1368">
            <v>3</v>
          </cell>
          <cell r="D1368" t="str">
            <v>00</v>
          </cell>
          <cell r="E1368" t="str">
            <v>01</v>
          </cell>
          <cell r="F1368">
            <v>20</v>
          </cell>
          <cell r="G1368" t="str">
            <v>05</v>
          </cell>
          <cell r="I1368" t="str">
            <v>Inventarisasi temuan Pengawasan</v>
          </cell>
          <cell r="J1368" t="str">
            <v>Jumlah temuan pengawasan yang telah terinventarisir</v>
          </cell>
          <cell r="K1368">
            <v>9600</v>
          </cell>
          <cell r="L1368">
            <v>321500000</v>
          </cell>
          <cell r="M1368">
            <v>2279</v>
          </cell>
          <cell r="N1368">
            <v>67647770</v>
          </cell>
          <cell r="O1368">
            <v>1500</v>
          </cell>
          <cell r="P1368">
            <v>24345000</v>
          </cell>
          <cell r="Q1368">
            <v>55</v>
          </cell>
          <cell r="R1368">
            <v>900000</v>
          </cell>
          <cell r="S1368">
            <v>5.5452865064695009</v>
          </cell>
          <cell r="T1368">
            <v>1350000</v>
          </cell>
          <cell r="U1368">
            <v>0</v>
          </cell>
          <cell r="V1368">
            <v>0</v>
          </cell>
          <cell r="W1368">
            <v>0</v>
          </cell>
          <cell r="X1368">
            <v>0</v>
          </cell>
          <cell r="Y1368">
            <v>60.545286506469502</v>
          </cell>
          <cell r="Z1368">
            <v>2250000</v>
          </cell>
          <cell r="AA1368">
            <v>2339.5452865064694</v>
          </cell>
          <cell r="AB1368">
            <v>69897770</v>
          </cell>
          <cell r="AC1368">
            <v>24.370263401109057</v>
          </cell>
          <cell r="AD1368">
            <v>21.741141524105753</v>
          </cell>
        </row>
        <row r="1369">
          <cell r="C1369">
            <v>3</v>
          </cell>
          <cell r="D1369" t="str">
            <v>00</v>
          </cell>
          <cell r="E1369" t="str">
            <v>01</v>
          </cell>
          <cell r="F1369">
            <v>20</v>
          </cell>
          <cell r="G1369" t="str">
            <v>06</v>
          </cell>
          <cell r="I1369" t="str">
            <v>Tindak Lanjut Hasil Temuan Pengawasan</v>
          </cell>
          <cell r="J1369" t="str">
            <v>Jumlah  Hasil Temuan Pengawasan yang telah ditindak lanjuti</v>
          </cell>
          <cell r="K1369">
            <v>9600</v>
          </cell>
          <cell r="L1369">
            <v>9100000000</v>
          </cell>
          <cell r="M1369">
            <v>1602</v>
          </cell>
          <cell r="N1369">
            <v>696422600</v>
          </cell>
          <cell r="O1369">
            <v>1500</v>
          </cell>
          <cell r="P1369">
            <v>458379450</v>
          </cell>
          <cell r="Q1369">
            <v>300</v>
          </cell>
          <cell r="R1369">
            <v>85476000</v>
          </cell>
          <cell r="S1369">
            <v>11.083132108125703</v>
          </cell>
          <cell r="T1369">
            <v>50802800</v>
          </cell>
          <cell r="U1369">
            <v>0</v>
          </cell>
          <cell r="V1369">
            <v>0</v>
          </cell>
          <cell r="W1369">
            <v>0</v>
          </cell>
          <cell r="X1369">
            <v>0</v>
          </cell>
          <cell r="Y1369">
            <v>311.08313210812571</v>
          </cell>
          <cell r="Z1369">
            <v>136278800</v>
          </cell>
          <cell r="AA1369">
            <v>1913.0831321081257</v>
          </cell>
          <cell r="AB1369">
            <v>832701400</v>
          </cell>
          <cell r="AC1369">
            <v>19.927949292792977</v>
          </cell>
          <cell r="AD1369">
            <v>9.1505648351648361</v>
          </cell>
        </row>
        <row r="1370">
          <cell r="I1370" t="str">
            <v>Pelaksanaan Matuitas SPIP</v>
          </cell>
          <cell r="J1370" t="str">
            <v>Jumlah OPD yang mengimplemtasikan SPIP</v>
          </cell>
          <cell r="K1370">
            <v>45</v>
          </cell>
          <cell r="L1370">
            <v>666000000</v>
          </cell>
          <cell r="M1370">
            <v>42</v>
          </cell>
          <cell r="N1370">
            <v>59563500</v>
          </cell>
          <cell r="O1370">
            <v>0</v>
          </cell>
          <cell r="P1370">
            <v>0</v>
          </cell>
          <cell r="Q1370">
            <v>0</v>
          </cell>
          <cell r="R1370">
            <v>0</v>
          </cell>
          <cell r="S1370">
            <v>0</v>
          </cell>
          <cell r="T1370">
            <v>0</v>
          </cell>
          <cell r="U1370">
            <v>0</v>
          </cell>
          <cell r="V1370">
            <v>0</v>
          </cell>
          <cell r="W1370">
            <v>0</v>
          </cell>
          <cell r="X1370">
            <v>0</v>
          </cell>
          <cell r="Y1370">
            <v>0</v>
          </cell>
          <cell r="Z1370">
            <v>0</v>
          </cell>
          <cell r="AA1370">
            <v>42</v>
          </cell>
          <cell r="AB1370">
            <v>59563500</v>
          </cell>
          <cell r="AC1370">
            <v>93.333333333333329</v>
          </cell>
          <cell r="AD1370">
            <v>8.9434684684684687</v>
          </cell>
        </row>
        <row r="1371">
          <cell r="C1371">
            <v>3</v>
          </cell>
          <cell r="D1371" t="str">
            <v>00</v>
          </cell>
          <cell r="E1371" t="str">
            <v>01</v>
          </cell>
          <cell r="F1371">
            <v>20</v>
          </cell>
          <cell r="G1371" t="str">
            <v>15</v>
          </cell>
          <cell r="I1371" t="str">
            <v>Review Laporan Keuangan Pemerintah Daerah</v>
          </cell>
          <cell r="J1371" t="str">
            <v>Jumlah LKPD yang direview</v>
          </cell>
          <cell r="K1371">
            <v>6</v>
          </cell>
          <cell r="L1371">
            <v>300500000</v>
          </cell>
          <cell r="M1371">
            <v>1</v>
          </cell>
          <cell r="N1371">
            <v>96993600</v>
          </cell>
          <cell r="O1371">
            <v>1</v>
          </cell>
          <cell r="P1371">
            <v>16986500</v>
          </cell>
          <cell r="Q1371">
            <v>0</v>
          </cell>
          <cell r="R1371">
            <v>0</v>
          </cell>
          <cell r="S1371">
            <v>0</v>
          </cell>
          <cell r="T1371">
            <v>0</v>
          </cell>
          <cell r="U1371">
            <v>0</v>
          </cell>
          <cell r="V1371">
            <v>0</v>
          </cell>
          <cell r="W1371">
            <v>0</v>
          </cell>
          <cell r="X1371">
            <v>0</v>
          </cell>
          <cell r="Y1371">
            <v>0</v>
          </cell>
          <cell r="Z1371">
            <v>0</v>
          </cell>
          <cell r="AA1371">
            <v>1</v>
          </cell>
          <cell r="AB1371">
            <v>96993600</v>
          </cell>
          <cell r="AC1371">
            <v>16.666666666666664</v>
          </cell>
          <cell r="AD1371">
            <v>32.277404326123126</v>
          </cell>
        </row>
        <row r="1372">
          <cell r="C1372">
            <v>3</v>
          </cell>
          <cell r="D1372" t="str">
            <v>00</v>
          </cell>
          <cell r="E1372" t="str">
            <v>01</v>
          </cell>
          <cell r="F1372">
            <v>20</v>
          </cell>
          <cell r="G1372" t="str">
            <v>18</v>
          </cell>
          <cell r="I1372" t="str">
            <v>Evaluasi Laporan Akuntabilitas kinerja Instansi Pemerintah</v>
          </cell>
          <cell r="J1372" t="str">
            <v>Jumlah Akuntabilitas Kinerja Instansi Pemerintah yang dievaluasi</v>
          </cell>
          <cell r="K1372">
            <v>45</v>
          </cell>
          <cell r="L1372">
            <v>307500000</v>
          </cell>
          <cell r="M1372">
            <v>45</v>
          </cell>
          <cell r="N1372">
            <v>72584230</v>
          </cell>
          <cell r="O1372">
            <v>45</v>
          </cell>
          <cell r="P1372">
            <v>23362500</v>
          </cell>
          <cell r="Q1372">
            <v>0</v>
          </cell>
          <cell r="R1372">
            <v>0</v>
          </cell>
          <cell r="S1372">
            <v>0</v>
          </cell>
          <cell r="T1372">
            <v>0</v>
          </cell>
          <cell r="U1372">
            <v>0</v>
          </cell>
          <cell r="V1372">
            <v>0</v>
          </cell>
          <cell r="W1372">
            <v>0</v>
          </cell>
          <cell r="X1372">
            <v>0</v>
          </cell>
          <cell r="Y1372">
            <v>0</v>
          </cell>
          <cell r="Z1372">
            <v>0</v>
          </cell>
          <cell r="AA1372">
            <v>45</v>
          </cell>
          <cell r="AB1372">
            <v>72584230</v>
          </cell>
          <cell r="AC1372">
            <v>100</v>
          </cell>
          <cell r="AD1372">
            <v>23.604627642276423</v>
          </cell>
        </row>
        <row r="1373">
          <cell r="C1373">
            <v>3</v>
          </cell>
          <cell r="D1373" t="str">
            <v>00</v>
          </cell>
          <cell r="E1373" t="str">
            <v>01</v>
          </cell>
          <cell r="F1373">
            <v>20</v>
          </cell>
          <cell r="G1373" t="str">
            <v>22</v>
          </cell>
          <cell r="I1373" t="str">
            <v>Evaluasi Rencana Kerja dan Anggaran (RKA)/RKA Perubahan OPD</v>
          </cell>
          <cell r="J1373" t="str">
            <v>Jumlah Rencana Kerja dan Anggaran (RKA) dan Perubahan RKA yang di evaluasi</v>
          </cell>
          <cell r="K1373">
            <v>45</v>
          </cell>
          <cell r="L1373">
            <v>550000000</v>
          </cell>
          <cell r="M1373">
            <v>45</v>
          </cell>
          <cell r="N1373">
            <v>106302050</v>
          </cell>
          <cell r="O1373">
            <v>45</v>
          </cell>
          <cell r="P1373">
            <v>21540500</v>
          </cell>
          <cell r="Q1373">
            <v>0</v>
          </cell>
          <cell r="R1373">
            <v>0</v>
          </cell>
          <cell r="S1373">
            <v>0</v>
          </cell>
          <cell r="T1373">
            <v>0</v>
          </cell>
          <cell r="U1373">
            <v>0</v>
          </cell>
          <cell r="V1373">
            <v>0</v>
          </cell>
          <cell r="W1373">
            <v>0</v>
          </cell>
          <cell r="X1373">
            <v>0</v>
          </cell>
          <cell r="Y1373">
            <v>0</v>
          </cell>
          <cell r="Z1373">
            <v>0</v>
          </cell>
          <cell r="AA1373">
            <v>45</v>
          </cell>
          <cell r="AB1373">
            <v>106302050</v>
          </cell>
          <cell r="AC1373">
            <v>100</v>
          </cell>
          <cell r="AD1373">
            <v>19.327645454545454</v>
          </cell>
        </row>
        <row r="1374">
          <cell r="A1374">
            <v>4</v>
          </cell>
          <cell r="C1374">
            <v>3</v>
          </cell>
          <cell r="D1374" t="str">
            <v>00</v>
          </cell>
          <cell r="E1374" t="str">
            <v>01</v>
          </cell>
          <cell r="F1374">
            <v>21</v>
          </cell>
          <cell r="I1374" t="str">
            <v>Program Peningkatan Profesionalisme Tenaga Pemeriksa dan Aparatur Pengawasan</v>
          </cell>
          <cell r="K1374">
            <v>42</v>
          </cell>
          <cell r="L1374">
            <v>2160000000</v>
          </cell>
          <cell r="M1374">
            <v>14</v>
          </cell>
          <cell r="N1374">
            <v>505735350</v>
          </cell>
          <cell r="O1374">
            <v>7</v>
          </cell>
          <cell r="P1374">
            <v>228549000</v>
          </cell>
          <cell r="Q1374">
            <v>2</v>
          </cell>
          <cell r="R1374">
            <v>46313051</v>
          </cell>
          <cell r="S1374">
            <v>0</v>
          </cell>
          <cell r="T1374">
            <v>0</v>
          </cell>
          <cell r="U1374">
            <v>0</v>
          </cell>
          <cell r="V1374">
            <v>0</v>
          </cell>
          <cell r="W1374">
            <v>0</v>
          </cell>
          <cell r="X1374">
            <v>0</v>
          </cell>
          <cell r="Y1374">
            <v>2</v>
          </cell>
          <cell r="Z1374">
            <v>46313051</v>
          </cell>
          <cell r="AA1374">
            <v>16</v>
          </cell>
          <cell r="AB1374">
            <v>552048401</v>
          </cell>
          <cell r="AC1374">
            <v>38.095238095238095</v>
          </cell>
          <cell r="AD1374">
            <v>25.557796342592592</v>
          </cell>
          <cell r="AE1374" t="str">
            <v>Inspektorat</v>
          </cell>
        </row>
        <row r="1375">
          <cell r="C1375">
            <v>3</v>
          </cell>
          <cell r="D1375" t="str">
            <v>00</v>
          </cell>
          <cell r="E1375" t="str">
            <v>01</v>
          </cell>
          <cell r="F1375">
            <v>21</v>
          </cell>
          <cell r="G1375" t="str">
            <v>01</v>
          </cell>
          <cell r="I1375" t="str">
            <v>Pelatihan Pengembangan Tenaga Pemeriksa dan Aparatur Pengawasan</v>
          </cell>
          <cell r="J1375" t="str">
            <v xml:space="preserve">Jumlah APIP yang  mengikuti diklat </v>
          </cell>
          <cell r="K1375">
            <v>72</v>
          </cell>
          <cell r="L1375">
            <v>1725000000</v>
          </cell>
          <cell r="M1375">
            <v>24</v>
          </cell>
          <cell r="N1375">
            <v>445983350</v>
          </cell>
          <cell r="O1375">
            <v>12</v>
          </cell>
          <cell r="P1375">
            <v>199785000</v>
          </cell>
          <cell r="Q1375">
            <v>4</v>
          </cell>
          <cell r="R1375">
            <v>46313051</v>
          </cell>
          <cell r="S1375">
            <v>0</v>
          </cell>
          <cell r="T1375">
            <v>0</v>
          </cell>
          <cell r="U1375">
            <v>0</v>
          </cell>
          <cell r="V1375">
            <v>0</v>
          </cell>
          <cell r="W1375">
            <v>0</v>
          </cell>
          <cell r="X1375">
            <v>0</v>
          </cell>
          <cell r="Y1375">
            <v>4</v>
          </cell>
          <cell r="Z1375">
            <v>46313051</v>
          </cell>
          <cell r="AA1375">
            <v>28</v>
          </cell>
          <cell r="AB1375">
            <v>492296401</v>
          </cell>
          <cell r="AC1375">
            <v>38.888888888888893</v>
          </cell>
          <cell r="AD1375">
            <v>28.538921797101452</v>
          </cell>
        </row>
        <row r="1376">
          <cell r="C1376">
            <v>3</v>
          </cell>
          <cell r="D1376" t="str">
            <v>00</v>
          </cell>
          <cell r="E1376" t="str">
            <v>01</v>
          </cell>
          <cell r="F1376">
            <v>21</v>
          </cell>
          <cell r="G1376" t="str">
            <v>03</v>
          </cell>
          <cell r="I1376" t="str">
            <v>Pelatihan Khusus Aparatur Pengawasan Pada Kantor Sendiri</v>
          </cell>
          <cell r="J1376" t="str">
            <v>Jumlah APIP yang mengikuti Pelatihan Kantor Sendiri</v>
          </cell>
          <cell r="K1376">
            <v>12</v>
          </cell>
          <cell r="L1376">
            <v>435000000</v>
          </cell>
          <cell r="M1376">
            <v>4</v>
          </cell>
          <cell r="N1376">
            <v>59752000</v>
          </cell>
          <cell r="O1376">
            <v>2</v>
          </cell>
          <cell r="P1376">
            <v>28764000</v>
          </cell>
          <cell r="Q1376">
            <v>0</v>
          </cell>
          <cell r="R1376">
            <v>0</v>
          </cell>
          <cell r="S1376">
            <v>0</v>
          </cell>
          <cell r="T1376">
            <v>0</v>
          </cell>
          <cell r="U1376">
            <v>0</v>
          </cell>
          <cell r="V1376">
            <v>0</v>
          </cell>
          <cell r="W1376">
            <v>0</v>
          </cell>
          <cell r="X1376">
            <v>0</v>
          </cell>
          <cell r="Y1376">
            <v>0</v>
          </cell>
          <cell r="Z1376">
            <v>0</v>
          </cell>
          <cell r="AA1376">
            <v>4</v>
          </cell>
          <cell r="AB1376">
            <v>59752000</v>
          </cell>
          <cell r="AC1376">
            <v>33.333333333333329</v>
          </cell>
          <cell r="AD1376">
            <v>13.736091954022989</v>
          </cell>
        </row>
        <row r="1377">
          <cell r="A1377" t="str">
            <v>Rata-Rata Capaian Kinerja</v>
          </cell>
          <cell r="AC1377">
            <v>44.606204561096519</v>
          </cell>
          <cell r="AD1377">
            <v>20.16198734450829</v>
          </cell>
        </row>
        <row r="1378">
          <cell r="A1378" t="str">
            <v>Peringkat  Kinerja</v>
          </cell>
          <cell r="AC1378" t="str">
            <v>SR</v>
          </cell>
          <cell r="AD1378" t="str">
            <v>SR</v>
          </cell>
        </row>
        <row r="1379">
          <cell r="A1379" t="str">
            <v>II</v>
          </cell>
          <cell r="I1379" t="str">
            <v>PERENCANAAN</v>
          </cell>
          <cell r="L1379">
            <v>26002297500</v>
          </cell>
          <cell r="N1379">
            <v>7477446131</v>
          </cell>
          <cell r="P1379">
            <v>3545561784</v>
          </cell>
          <cell r="R1379">
            <v>457361149</v>
          </cell>
          <cell r="T1379">
            <v>1156281145</v>
          </cell>
          <cell r="Z1379">
            <v>1848930605</v>
          </cell>
          <cell r="AB1379">
            <v>9148822589</v>
          </cell>
        </row>
        <row r="1380">
          <cell r="A1380">
            <v>1</v>
          </cell>
          <cell r="I1380" t="str">
            <v>PROGRAM PELAYANAN ADM PERKATORAN</v>
          </cell>
          <cell r="J1380" t="str">
            <v>Terpenuhinya kebutuhan adm perkantoran untuk aparatur</v>
          </cell>
          <cell r="K1380">
            <v>72</v>
          </cell>
          <cell r="L1380">
            <v>5660000000</v>
          </cell>
          <cell r="M1380">
            <v>24</v>
          </cell>
          <cell r="N1380">
            <v>1890267065</v>
          </cell>
          <cell r="O1380">
            <v>12</v>
          </cell>
          <cell r="P1380">
            <v>954818742</v>
          </cell>
          <cell r="Q1380">
            <v>3</v>
          </cell>
          <cell r="R1380">
            <v>149497180</v>
          </cell>
          <cell r="S1380">
            <v>3</v>
          </cell>
          <cell r="T1380">
            <v>388861659</v>
          </cell>
          <cell r="Y1380">
            <v>6</v>
          </cell>
          <cell r="Z1380">
            <v>538358839</v>
          </cell>
          <cell r="AA1380">
            <v>30</v>
          </cell>
          <cell r="AB1380">
            <v>2428625904</v>
          </cell>
          <cell r="AC1380">
            <v>41.666666666666671</v>
          </cell>
          <cell r="AD1380">
            <v>42.908584876325087</v>
          </cell>
          <cell r="AE1380" t="str">
            <v>Bapedalitbang</v>
          </cell>
        </row>
        <row r="1381">
          <cell r="I1381" t="str">
            <v>Penyediaan Jasa Surat menyurat</v>
          </cell>
          <cell r="J1381" t="str">
            <v>Jumlahbulan pelayanan  pramu  kantor (bln)</v>
          </cell>
          <cell r="K1381">
            <v>72</v>
          </cell>
          <cell r="L1381">
            <v>395000000</v>
          </cell>
          <cell r="M1381">
            <v>24</v>
          </cell>
          <cell r="N1381">
            <v>91000000</v>
          </cell>
          <cell r="O1381">
            <v>12</v>
          </cell>
          <cell r="P1381">
            <v>65000000</v>
          </cell>
          <cell r="Q1381">
            <v>3</v>
          </cell>
          <cell r="R1381">
            <v>10000000</v>
          </cell>
          <cell r="S1381">
            <v>3</v>
          </cell>
          <cell r="T1381">
            <v>35000000</v>
          </cell>
          <cell r="U1381">
            <v>0</v>
          </cell>
          <cell r="V1381">
            <v>0</v>
          </cell>
          <cell r="W1381">
            <v>0</v>
          </cell>
          <cell r="X1381">
            <v>0</v>
          </cell>
          <cell r="Y1381">
            <v>6</v>
          </cell>
          <cell r="Z1381">
            <v>45000000</v>
          </cell>
          <cell r="AA1381">
            <v>30</v>
          </cell>
          <cell r="AB1381">
            <v>136000000</v>
          </cell>
          <cell r="AC1381">
            <v>41.666666666666671</v>
          </cell>
          <cell r="AD1381">
            <v>34.430379746835442</v>
          </cell>
        </row>
        <row r="1382">
          <cell r="I1382" t="str">
            <v>Penyediaan Jasa Komunikasi Sumber Daya Air dan Listrik</v>
          </cell>
          <cell r="J1382" t="str">
            <v>ketersediaan listrik, air, telfon (bln)</v>
          </cell>
          <cell r="K1382">
            <v>72</v>
          </cell>
          <cell r="L1382">
            <v>690000000</v>
          </cell>
          <cell r="M1382">
            <v>24</v>
          </cell>
          <cell r="N1382">
            <v>221704221.00000003</v>
          </cell>
          <cell r="O1382">
            <v>12</v>
          </cell>
          <cell r="P1382">
            <v>114000000</v>
          </cell>
          <cell r="Q1382">
            <v>3</v>
          </cell>
          <cell r="R1382">
            <v>20559380</v>
          </cell>
          <cell r="S1382">
            <v>3</v>
          </cell>
          <cell r="T1382">
            <v>44241346</v>
          </cell>
          <cell r="U1382">
            <v>0</v>
          </cell>
          <cell r="V1382">
            <v>0</v>
          </cell>
          <cell r="W1382">
            <v>0</v>
          </cell>
          <cell r="X1382">
            <v>0</v>
          </cell>
          <cell r="Y1382">
            <v>6</v>
          </cell>
          <cell r="Z1382">
            <v>64800726</v>
          </cell>
          <cell r="AA1382">
            <v>30</v>
          </cell>
          <cell r="AB1382">
            <v>286504947</v>
          </cell>
          <cell r="AC1382">
            <v>41.666666666666671</v>
          </cell>
          <cell r="AD1382">
            <v>41.522456086956524</v>
          </cell>
        </row>
        <row r="1383">
          <cell r="I1383" t="str">
            <v>Penyediaan Jasa Administrasi Keuangan</v>
          </cell>
          <cell r="J1383" t="str">
            <v>ketersediaan layanan administrasi keuangan (bln)</v>
          </cell>
          <cell r="K1383">
            <v>72</v>
          </cell>
          <cell r="L1383">
            <v>375000000</v>
          </cell>
          <cell r="M1383">
            <v>24</v>
          </cell>
          <cell r="N1383">
            <v>187218115.99999997</v>
          </cell>
          <cell r="O1383">
            <v>12</v>
          </cell>
          <cell r="P1383">
            <v>75687985</v>
          </cell>
          <cell r="Q1383">
            <v>3</v>
          </cell>
          <cell r="R1383">
            <v>12924000</v>
          </cell>
          <cell r="S1383">
            <v>3</v>
          </cell>
          <cell r="T1383">
            <v>24124000</v>
          </cell>
          <cell r="U1383">
            <v>0</v>
          </cell>
          <cell r="V1383">
            <v>0</v>
          </cell>
          <cell r="W1383">
            <v>0</v>
          </cell>
          <cell r="X1383">
            <v>0</v>
          </cell>
          <cell r="Y1383">
            <v>6</v>
          </cell>
          <cell r="Z1383">
            <v>37048000</v>
          </cell>
          <cell r="AA1383">
            <v>30</v>
          </cell>
          <cell r="AB1383">
            <v>224266115.99999997</v>
          </cell>
          <cell r="AC1383">
            <v>41.666666666666671</v>
          </cell>
          <cell r="AD1383">
            <v>59.804297599999991</v>
          </cell>
        </row>
        <row r="1384">
          <cell r="I1384" t="str">
            <v>Penyediaan Jasa Kebersihan Kantor</v>
          </cell>
          <cell r="J1384" t="str">
            <v>Ketersediaan jasa kebersihan kantor (bln)</v>
          </cell>
          <cell r="K1384">
            <v>72</v>
          </cell>
          <cell r="L1384">
            <v>375000000</v>
          </cell>
          <cell r="M1384">
            <v>24</v>
          </cell>
          <cell r="N1384">
            <v>94250000</v>
          </cell>
          <cell r="O1384">
            <v>12</v>
          </cell>
          <cell r="P1384">
            <v>65000000</v>
          </cell>
          <cell r="Q1384">
            <v>3</v>
          </cell>
          <cell r="R1384">
            <v>10000000</v>
          </cell>
          <cell r="S1384">
            <v>3</v>
          </cell>
          <cell r="T1384">
            <v>35000000</v>
          </cell>
          <cell r="U1384">
            <v>0</v>
          </cell>
          <cell r="V1384">
            <v>0</v>
          </cell>
          <cell r="W1384">
            <v>0</v>
          </cell>
          <cell r="X1384">
            <v>0</v>
          </cell>
          <cell r="Y1384">
            <v>6</v>
          </cell>
          <cell r="Z1384">
            <v>45000000</v>
          </cell>
          <cell r="AA1384">
            <v>30</v>
          </cell>
          <cell r="AB1384">
            <v>139250000</v>
          </cell>
          <cell r="AC1384">
            <v>41.666666666666671</v>
          </cell>
          <cell r="AD1384">
            <v>37.133333333333333</v>
          </cell>
        </row>
        <row r="1385">
          <cell r="I1385" t="str">
            <v>Penyediaan Jasa Perbaikan Peralatan Kerja</v>
          </cell>
          <cell r="J1385" t="str">
            <v>ketersediaan perawatan bagi peralatan kerja (bln)</v>
          </cell>
          <cell r="K1385">
            <v>72</v>
          </cell>
          <cell r="L1385">
            <v>360000000</v>
          </cell>
          <cell r="M1385">
            <v>24</v>
          </cell>
          <cell r="N1385">
            <v>92990500</v>
          </cell>
          <cell r="O1385">
            <v>12</v>
          </cell>
          <cell r="P1385">
            <v>44250000</v>
          </cell>
          <cell r="Q1385">
            <v>3</v>
          </cell>
          <cell r="R1385">
            <v>460000</v>
          </cell>
          <cell r="S1385">
            <v>3</v>
          </cell>
          <cell r="T1385">
            <v>11295000</v>
          </cell>
          <cell r="U1385">
            <v>0</v>
          </cell>
          <cell r="V1385">
            <v>0</v>
          </cell>
          <cell r="W1385">
            <v>0</v>
          </cell>
          <cell r="X1385">
            <v>0</v>
          </cell>
          <cell r="Y1385">
            <v>6</v>
          </cell>
          <cell r="Z1385">
            <v>11755000</v>
          </cell>
          <cell r="AA1385">
            <v>30</v>
          </cell>
          <cell r="AB1385">
            <v>104745500</v>
          </cell>
          <cell r="AC1385">
            <v>41.666666666666671</v>
          </cell>
          <cell r="AD1385">
            <v>29.095972222222223</v>
          </cell>
        </row>
        <row r="1386">
          <cell r="I1386" t="str">
            <v>Penyediaan Alat Tulis Kantor</v>
          </cell>
          <cell r="J1386" t="str">
            <v>ketersediaan ATK (bln)</v>
          </cell>
          <cell r="K1386">
            <v>72</v>
          </cell>
          <cell r="L1386">
            <v>390000000</v>
          </cell>
          <cell r="M1386">
            <v>24</v>
          </cell>
          <cell r="N1386">
            <v>69995249.000000015</v>
          </cell>
          <cell r="O1386">
            <v>12</v>
          </cell>
          <cell r="P1386">
            <v>37814729</v>
          </cell>
          <cell r="Q1386">
            <v>3</v>
          </cell>
          <cell r="R1386">
            <v>9112300</v>
          </cell>
          <cell r="S1386">
            <v>3</v>
          </cell>
          <cell r="T1386">
            <v>17220650</v>
          </cell>
          <cell r="U1386">
            <v>0</v>
          </cell>
          <cell r="V1386">
            <v>0</v>
          </cell>
          <cell r="W1386">
            <v>0</v>
          </cell>
          <cell r="X1386">
            <v>0</v>
          </cell>
          <cell r="Y1386">
            <v>6</v>
          </cell>
          <cell r="Z1386">
            <v>26332950</v>
          </cell>
          <cell r="AA1386">
            <v>30</v>
          </cell>
          <cell r="AB1386">
            <v>96328199.000000015</v>
          </cell>
          <cell r="AC1386">
            <v>41.666666666666671</v>
          </cell>
          <cell r="AD1386">
            <v>24.69953820512821</v>
          </cell>
        </row>
        <row r="1387">
          <cell r="I1387" t="str">
            <v>Peny. Barang Cetakan dan Penggandaan</v>
          </cell>
          <cell r="J1387" t="str">
            <v>Ketersediaan barang cetak dan penggandaan (bln)</v>
          </cell>
          <cell r="K1387">
            <v>72</v>
          </cell>
          <cell r="L1387">
            <v>390000000</v>
          </cell>
          <cell r="M1387">
            <v>24</v>
          </cell>
          <cell r="N1387">
            <v>102273300</v>
          </cell>
          <cell r="O1387">
            <v>12</v>
          </cell>
          <cell r="P1387">
            <v>37710630</v>
          </cell>
          <cell r="Q1387">
            <v>3</v>
          </cell>
          <cell r="R1387">
            <v>9970000</v>
          </cell>
          <cell r="S1387">
            <v>3</v>
          </cell>
          <cell r="T1387">
            <v>18066880</v>
          </cell>
          <cell r="U1387">
            <v>0</v>
          </cell>
          <cell r="V1387">
            <v>0</v>
          </cell>
          <cell r="W1387">
            <v>0</v>
          </cell>
          <cell r="X1387">
            <v>0</v>
          </cell>
          <cell r="Y1387">
            <v>6</v>
          </cell>
          <cell r="Z1387">
            <v>28036880</v>
          </cell>
          <cell r="AA1387">
            <v>30</v>
          </cell>
          <cell r="AB1387">
            <v>130310180</v>
          </cell>
          <cell r="AC1387">
            <v>41.666666666666671</v>
          </cell>
          <cell r="AD1387">
            <v>33.412866666666666</v>
          </cell>
        </row>
        <row r="1388">
          <cell r="I1388" t="str">
            <v>Penyediaan Komponen Instalasi Listrik/ Penerangan Bangunan Kantor</v>
          </cell>
          <cell r="J1388" t="str">
            <v>Ketersediaan komponen instalasi listrik/ penerangan (bln)</v>
          </cell>
          <cell r="K1388">
            <v>72</v>
          </cell>
          <cell r="L1388">
            <v>165000000</v>
          </cell>
          <cell r="M1388">
            <v>24</v>
          </cell>
          <cell r="N1388">
            <v>54113400</v>
          </cell>
          <cell r="O1388">
            <v>12</v>
          </cell>
          <cell r="P1388">
            <v>24661665</v>
          </cell>
          <cell r="Q1388">
            <v>3</v>
          </cell>
          <cell r="R1388">
            <v>6563700</v>
          </cell>
          <cell r="S1388">
            <v>3</v>
          </cell>
          <cell r="T1388">
            <v>21671300</v>
          </cell>
          <cell r="U1388">
            <v>0</v>
          </cell>
          <cell r="V1388">
            <v>0</v>
          </cell>
          <cell r="W1388">
            <v>0</v>
          </cell>
          <cell r="X1388">
            <v>0</v>
          </cell>
          <cell r="Y1388">
            <v>6</v>
          </cell>
          <cell r="Z1388">
            <v>28235000</v>
          </cell>
          <cell r="AA1388">
            <v>30</v>
          </cell>
          <cell r="AB1388">
            <v>82348400</v>
          </cell>
          <cell r="AC1388">
            <v>41.666666666666671</v>
          </cell>
          <cell r="AD1388">
            <v>49.908121212121216</v>
          </cell>
        </row>
        <row r="1389">
          <cell r="I1389" t="str">
            <v>Peny. Bahan Bacaan dan Peraturan Perundang-undangan</v>
          </cell>
          <cell r="J1389" t="str">
            <v>ketersediaan bahan bacaan dan peraturan perundang undangan (bln)</v>
          </cell>
          <cell r="K1389">
            <v>72</v>
          </cell>
          <cell r="L1389">
            <v>60000000</v>
          </cell>
          <cell r="M1389">
            <v>24</v>
          </cell>
          <cell r="N1389">
            <v>11371500</v>
          </cell>
          <cell r="O1389">
            <v>12</v>
          </cell>
          <cell r="P1389">
            <v>5400000</v>
          </cell>
          <cell r="Q1389">
            <v>3</v>
          </cell>
          <cell r="R1389">
            <v>1305000</v>
          </cell>
          <cell r="S1389">
            <v>3</v>
          </cell>
          <cell r="T1389">
            <v>2610000</v>
          </cell>
          <cell r="U1389">
            <v>0</v>
          </cell>
          <cell r="V1389">
            <v>0</v>
          </cell>
          <cell r="W1389">
            <v>0</v>
          </cell>
          <cell r="X1389">
            <v>0</v>
          </cell>
          <cell r="Y1389">
            <v>6</v>
          </cell>
          <cell r="Z1389">
            <v>3915000</v>
          </cell>
          <cell r="AA1389">
            <v>30</v>
          </cell>
          <cell r="AB1389">
            <v>15286500</v>
          </cell>
          <cell r="AC1389">
            <v>41.666666666666671</v>
          </cell>
          <cell r="AD1389">
            <v>25.477499999999999</v>
          </cell>
        </row>
        <row r="1390">
          <cell r="I1390" t="str">
            <v>Peny. Makanan dan Minuman</v>
          </cell>
          <cell r="J1390" t="str">
            <v>Ketersediaan makan dan minum pegawai, rapat dan tamu (bln)</v>
          </cell>
          <cell r="K1390">
            <v>72</v>
          </cell>
          <cell r="L1390">
            <v>255000000</v>
          </cell>
          <cell r="M1390">
            <v>24</v>
          </cell>
          <cell r="N1390">
            <v>124565225</v>
          </cell>
          <cell r="O1390">
            <v>12</v>
          </cell>
          <cell r="P1390">
            <v>45400000</v>
          </cell>
          <cell r="Q1390">
            <v>3</v>
          </cell>
          <cell r="R1390">
            <v>8889000</v>
          </cell>
          <cell r="S1390">
            <v>3</v>
          </cell>
          <cell r="T1390">
            <v>18737400</v>
          </cell>
          <cell r="U1390">
            <v>0</v>
          </cell>
          <cell r="V1390">
            <v>0</v>
          </cell>
          <cell r="W1390">
            <v>0</v>
          </cell>
          <cell r="X1390">
            <v>0</v>
          </cell>
          <cell r="Y1390">
            <v>6</v>
          </cell>
          <cell r="Z1390">
            <v>27626400</v>
          </cell>
          <cell r="AA1390">
            <v>30</v>
          </cell>
          <cell r="AB1390">
            <v>152191625</v>
          </cell>
          <cell r="AC1390">
            <v>41.666666666666671</v>
          </cell>
          <cell r="AD1390">
            <v>59.682990196078435</v>
          </cell>
        </row>
        <row r="1391">
          <cell r="I1391" t="str">
            <v>Rapat-rapat Koordinasi dan Konsultasi ke Luar Daerah</v>
          </cell>
          <cell r="J1391" t="str">
            <v>Ketersediaan operasional untuk rapat-rapat koordinasi  dan konsultasi keluar daerah (bln)</v>
          </cell>
          <cell r="K1391">
            <v>72</v>
          </cell>
          <cell r="L1391">
            <v>1200000000</v>
          </cell>
          <cell r="M1391">
            <v>24</v>
          </cell>
          <cell r="N1391">
            <v>570853453.99999988</v>
          </cell>
          <cell r="O1391">
            <v>12</v>
          </cell>
          <cell r="P1391">
            <v>299425000</v>
          </cell>
          <cell r="Q1391">
            <v>3</v>
          </cell>
          <cell r="R1391">
            <v>37763000</v>
          </cell>
          <cell r="S1391">
            <v>3</v>
          </cell>
          <cell r="T1391">
            <v>97280283</v>
          </cell>
          <cell r="U1391">
            <v>0</v>
          </cell>
          <cell r="V1391">
            <v>0</v>
          </cell>
          <cell r="W1391">
            <v>0</v>
          </cell>
          <cell r="X1391">
            <v>0</v>
          </cell>
          <cell r="Y1391">
            <v>6</v>
          </cell>
          <cell r="Z1391">
            <v>135043283</v>
          </cell>
          <cell r="AA1391">
            <v>30</v>
          </cell>
          <cell r="AB1391">
            <v>705896736.99999988</v>
          </cell>
          <cell r="AC1391">
            <v>41.666666666666671</v>
          </cell>
          <cell r="AD1391">
            <v>58.824728083333319</v>
          </cell>
        </row>
        <row r="1392">
          <cell r="I1392" t="str">
            <v>Penyediaan Jasa Pengamanan Kantor</v>
          </cell>
          <cell r="J1392" t="str">
            <v>Tersedianya jasa pengaman kantor (bln)</v>
          </cell>
          <cell r="K1392">
            <v>72</v>
          </cell>
          <cell r="L1392">
            <v>330000000</v>
          </cell>
          <cell r="M1392">
            <v>24</v>
          </cell>
          <cell r="N1392">
            <v>91000000</v>
          </cell>
          <cell r="O1392">
            <v>12</v>
          </cell>
          <cell r="P1392">
            <v>52000000</v>
          </cell>
          <cell r="Q1392">
            <v>3</v>
          </cell>
          <cell r="R1392">
            <v>8000000</v>
          </cell>
          <cell r="S1392">
            <v>3</v>
          </cell>
          <cell r="T1392">
            <v>28000000</v>
          </cell>
          <cell r="U1392">
            <v>0</v>
          </cell>
          <cell r="V1392">
            <v>0</v>
          </cell>
          <cell r="W1392">
            <v>0</v>
          </cell>
          <cell r="X1392">
            <v>0</v>
          </cell>
          <cell r="Y1392">
            <v>6</v>
          </cell>
          <cell r="Z1392">
            <v>36000000</v>
          </cell>
          <cell r="AA1392">
            <v>30</v>
          </cell>
          <cell r="AB1392">
            <v>127000000</v>
          </cell>
          <cell r="AC1392">
            <v>41.666666666666671</v>
          </cell>
          <cell r="AD1392">
            <v>38.484848484848484</v>
          </cell>
        </row>
        <row r="1393">
          <cell r="I1393" t="str">
            <v>Rapat-rapat dan Koordinasi Dalam Daerah</v>
          </cell>
          <cell r="J1393" t="str">
            <v>Ketersediaan operasional untuk rapat-rapat koordinasi  dan konsultasi dalam daerah (bln)</v>
          </cell>
          <cell r="K1393">
            <v>72</v>
          </cell>
          <cell r="L1393">
            <v>375000000</v>
          </cell>
          <cell r="M1393">
            <v>24</v>
          </cell>
          <cell r="N1393">
            <v>113820000</v>
          </cell>
          <cell r="O1393">
            <v>12</v>
          </cell>
          <cell r="P1393">
            <v>48075000</v>
          </cell>
          <cell r="Q1393">
            <v>3</v>
          </cell>
          <cell r="R1393">
            <v>7684000</v>
          </cell>
          <cell r="S1393">
            <v>3</v>
          </cell>
          <cell r="T1393">
            <v>19838000</v>
          </cell>
          <cell r="U1393">
            <v>0</v>
          </cell>
          <cell r="V1393">
            <v>0</v>
          </cell>
          <cell r="W1393">
            <v>0</v>
          </cell>
          <cell r="X1393">
            <v>0</v>
          </cell>
          <cell r="Y1393">
            <v>6</v>
          </cell>
          <cell r="Z1393">
            <v>27522000</v>
          </cell>
          <cell r="AA1393">
            <v>30</v>
          </cell>
          <cell r="AB1393">
            <v>141342000</v>
          </cell>
          <cell r="AC1393">
            <v>41.666666666666671</v>
          </cell>
          <cell r="AD1393">
            <v>37.691200000000002</v>
          </cell>
        </row>
        <row r="1394">
          <cell r="I1394" t="str">
            <v>Penunjang  operasional perencanaan dan pelaporan</v>
          </cell>
          <cell r="J1394" t="str">
            <v>Jumlah dokumen perencanaan yang tersedia</v>
          </cell>
          <cell r="K1394">
            <v>72</v>
          </cell>
          <cell r="L1394">
            <v>300000000</v>
          </cell>
          <cell r="M1394">
            <v>24</v>
          </cell>
          <cell r="N1394">
            <v>65112100</v>
          </cell>
          <cell r="O1394">
            <v>12</v>
          </cell>
          <cell r="P1394">
            <v>40393733</v>
          </cell>
          <cell r="Q1394">
            <v>3</v>
          </cell>
          <cell r="R1394">
            <v>6266800</v>
          </cell>
          <cell r="S1394">
            <v>3</v>
          </cell>
          <cell r="T1394">
            <v>15776800</v>
          </cell>
          <cell r="U1394">
            <v>0</v>
          </cell>
          <cell r="V1394">
            <v>0</v>
          </cell>
          <cell r="W1394">
            <v>0</v>
          </cell>
          <cell r="X1394">
            <v>0</v>
          </cell>
          <cell r="Y1394">
            <v>6</v>
          </cell>
          <cell r="Z1394">
            <v>22043600</v>
          </cell>
          <cell r="AA1394">
            <v>30</v>
          </cell>
          <cell r="AB1394">
            <v>87155700</v>
          </cell>
          <cell r="AC1394">
            <v>41.666666666666671</v>
          </cell>
          <cell r="AD1394">
            <v>29.051900000000003</v>
          </cell>
        </row>
        <row r="1395">
          <cell r="A1395">
            <v>2</v>
          </cell>
          <cell r="I1395" t="str">
            <v>PROGRAM PENINGKATAN SARANA DAN PRASARANA APARATUR</v>
          </cell>
          <cell r="J1395" t="str">
            <v>Terpenuhinya sarana dan prasarana bagi aparatur (bln)</v>
          </cell>
          <cell r="K1395">
            <v>72</v>
          </cell>
          <cell r="L1395">
            <v>3762309000</v>
          </cell>
          <cell r="M1395">
            <v>24</v>
          </cell>
          <cell r="N1395">
            <v>1148682745</v>
          </cell>
          <cell r="O1395">
            <v>12</v>
          </cell>
          <cell r="P1395">
            <v>363655764</v>
          </cell>
          <cell r="Q1395">
            <v>3</v>
          </cell>
          <cell r="R1395">
            <v>38469712</v>
          </cell>
          <cell r="S1395">
            <v>3</v>
          </cell>
          <cell r="T1395">
            <v>146211852</v>
          </cell>
          <cell r="Y1395">
            <v>6</v>
          </cell>
          <cell r="Z1395">
            <v>184681564</v>
          </cell>
          <cell r="AA1395">
            <v>30</v>
          </cell>
          <cell r="AB1395">
            <v>1333364309</v>
          </cell>
          <cell r="AC1395">
            <v>41.666666666666671</v>
          </cell>
          <cell r="AD1395">
            <v>35.440053142897085</v>
          </cell>
          <cell r="AE1395" t="str">
            <v>Bapedalitbang</v>
          </cell>
        </row>
        <row r="1396">
          <cell r="I1396" t="str">
            <v>Pengadaan Peralatan Gedung Kantor</v>
          </cell>
          <cell r="J1396" t="str">
            <v>Ketersediaan peralatan gedung kantor (bln)</v>
          </cell>
          <cell r="K1396">
            <v>72</v>
          </cell>
          <cell r="L1396">
            <v>1536500000</v>
          </cell>
          <cell r="M1396">
            <v>24</v>
          </cell>
          <cell r="N1396">
            <v>356235140</v>
          </cell>
          <cell r="O1396">
            <v>12</v>
          </cell>
          <cell r="P1396">
            <v>60050000</v>
          </cell>
          <cell r="Q1396">
            <v>3</v>
          </cell>
          <cell r="R1396">
            <v>0</v>
          </cell>
          <cell r="S1396">
            <v>0</v>
          </cell>
          <cell r="T1396">
            <v>0</v>
          </cell>
          <cell r="U1396">
            <v>0</v>
          </cell>
          <cell r="V1396">
            <v>0</v>
          </cell>
          <cell r="W1396">
            <v>0</v>
          </cell>
          <cell r="X1396">
            <v>0</v>
          </cell>
          <cell r="Y1396">
            <v>3</v>
          </cell>
          <cell r="Z1396">
            <v>0</v>
          </cell>
          <cell r="AA1396">
            <v>27</v>
          </cell>
          <cell r="AB1396">
            <v>356235140</v>
          </cell>
          <cell r="AC1396">
            <v>37.5</v>
          </cell>
          <cell r="AD1396">
            <v>23.184844777090792</v>
          </cell>
        </row>
        <row r="1397">
          <cell r="I1397" t="str">
            <v>Pemeliharaan Rutin/ berkala Gedung Kantor</v>
          </cell>
          <cell r="J1397" t="str">
            <v>Terlaksanaya pemeliharaan gedung kantor (bln)</v>
          </cell>
          <cell r="K1397">
            <v>72</v>
          </cell>
          <cell r="L1397">
            <v>831277000</v>
          </cell>
          <cell r="M1397">
            <v>24</v>
          </cell>
          <cell r="N1397">
            <v>294856650</v>
          </cell>
          <cell r="O1397">
            <v>12</v>
          </cell>
          <cell r="P1397">
            <v>85577014</v>
          </cell>
          <cell r="Q1397">
            <v>3</v>
          </cell>
          <cell r="R1397">
            <v>879000</v>
          </cell>
          <cell r="S1397">
            <v>3</v>
          </cell>
          <cell r="T1397">
            <v>30015000</v>
          </cell>
          <cell r="U1397">
            <v>0</v>
          </cell>
          <cell r="V1397">
            <v>0</v>
          </cell>
          <cell r="W1397">
            <v>0</v>
          </cell>
          <cell r="X1397">
            <v>0</v>
          </cell>
          <cell r="Y1397">
            <v>6</v>
          </cell>
          <cell r="Z1397">
            <v>30894000</v>
          </cell>
          <cell r="AA1397">
            <v>30</v>
          </cell>
          <cell r="AB1397">
            <v>325750650</v>
          </cell>
          <cell r="AC1397">
            <v>41.666666666666671</v>
          </cell>
          <cell r="AD1397">
            <v>39.186775286697454</v>
          </cell>
        </row>
        <row r="1398">
          <cell r="I1398" t="str">
            <v>Pemeliharaan Rutin/ berkala Kendaraan Dinas/ Operasional</v>
          </cell>
          <cell r="J1398" t="str">
            <v>Tersediannya BBM, service, suku cadang, jasa KIR dan pembayaran STNK bagi kendaraan dinas operasional (bln)</v>
          </cell>
          <cell r="K1398">
            <v>72</v>
          </cell>
          <cell r="L1398">
            <v>1394532000</v>
          </cell>
          <cell r="M1398">
            <v>24</v>
          </cell>
          <cell r="N1398">
            <v>497590954.99999994</v>
          </cell>
          <cell r="O1398">
            <v>12</v>
          </cell>
          <cell r="P1398">
            <v>218028750</v>
          </cell>
          <cell r="Q1398">
            <v>3</v>
          </cell>
          <cell r="R1398">
            <v>37590712</v>
          </cell>
          <cell r="S1398">
            <v>3</v>
          </cell>
          <cell r="T1398">
            <v>116196852</v>
          </cell>
          <cell r="U1398">
            <v>0</v>
          </cell>
          <cell r="V1398">
            <v>0</v>
          </cell>
          <cell r="W1398">
            <v>0</v>
          </cell>
          <cell r="X1398">
            <v>0</v>
          </cell>
          <cell r="Y1398">
            <v>6</v>
          </cell>
          <cell r="Z1398">
            <v>153787564</v>
          </cell>
          <cell r="AA1398">
            <v>30</v>
          </cell>
          <cell r="AB1398">
            <v>651378519</v>
          </cell>
          <cell r="AC1398">
            <v>41.666666666666671</v>
          </cell>
          <cell r="AD1398">
            <v>46.70947091927615</v>
          </cell>
        </row>
        <row r="1399">
          <cell r="A1399">
            <v>3</v>
          </cell>
          <cell r="I1399" t="str">
            <v>PROGRAM KERJASAMA PEMBANGUNAN</v>
          </cell>
          <cell r="J1399" t="str">
            <v>Persentase program/kegiatan lintas daerah / kewenangan yang diselaraskan (%)</v>
          </cell>
          <cell r="K1399">
            <v>100</v>
          </cell>
          <cell r="L1399">
            <v>595000000</v>
          </cell>
          <cell r="M1399">
            <v>0</v>
          </cell>
          <cell r="N1399">
            <v>0</v>
          </cell>
          <cell r="O1399">
            <v>80</v>
          </cell>
          <cell r="P1399">
            <v>90896450</v>
          </cell>
          <cell r="Q1399">
            <v>20</v>
          </cell>
          <cell r="R1399">
            <v>29502000</v>
          </cell>
          <cell r="S1399">
            <v>15</v>
          </cell>
          <cell r="T1399">
            <v>47188124</v>
          </cell>
          <cell r="U1399">
            <v>0</v>
          </cell>
          <cell r="V1399">
            <v>0</v>
          </cell>
          <cell r="W1399">
            <v>0</v>
          </cell>
          <cell r="X1399">
            <v>0</v>
          </cell>
          <cell r="Y1399">
            <v>35</v>
          </cell>
          <cell r="Z1399">
            <v>76690124</v>
          </cell>
          <cell r="AA1399">
            <v>35</v>
          </cell>
          <cell r="AB1399">
            <v>76690124</v>
          </cell>
          <cell r="AC1399">
            <v>35</v>
          </cell>
          <cell r="AD1399">
            <v>12.889096470588235</v>
          </cell>
          <cell r="AE1399" t="str">
            <v>Bapedalitbang</v>
          </cell>
        </row>
        <row r="1400">
          <cell r="B1400" t="str">
            <v>Mewujudkan Perencanaan Pembangunan Berbasis Peta Berstandar</v>
          </cell>
          <cell r="I1400" t="str">
            <v>Koordinasi Kerjasama Pembangunan Antar Daerah (Koordinasi Spasial,Kerjjasama Wilayah dan Perbatasan)</v>
          </cell>
          <cell r="J1400" t="str">
            <v>Jumlah MOU dengan Daerah ,dan Instans9 lainya</v>
          </cell>
          <cell r="K1400">
            <v>6</v>
          </cell>
          <cell r="L1400">
            <v>595000000</v>
          </cell>
          <cell r="M1400">
            <v>0</v>
          </cell>
          <cell r="O1400">
            <v>1</v>
          </cell>
          <cell r="P1400">
            <v>90896450</v>
          </cell>
          <cell r="Q1400" t="str">
            <v>0</v>
          </cell>
          <cell r="R1400">
            <v>29502000</v>
          </cell>
          <cell r="S1400" t="str">
            <v>0</v>
          </cell>
          <cell r="T1400">
            <v>47188124</v>
          </cell>
          <cell r="Y1400">
            <v>0</v>
          </cell>
          <cell r="Z1400">
            <v>76690124</v>
          </cell>
          <cell r="AA1400">
            <v>0</v>
          </cell>
          <cell r="AB1400">
            <v>76690124</v>
          </cell>
          <cell r="AC1400">
            <v>0</v>
          </cell>
          <cell r="AD1400">
            <v>12.889096470588235</v>
          </cell>
        </row>
        <row r="1401">
          <cell r="J1401" t="str">
            <v>Jumlah peta tematik yang dihasilkan</v>
          </cell>
          <cell r="K1401">
            <v>484</v>
          </cell>
          <cell r="M1401">
            <v>0</v>
          </cell>
          <cell r="O1401">
            <v>212</v>
          </cell>
          <cell r="Q1401">
            <v>40</v>
          </cell>
          <cell r="S1401">
            <v>5</v>
          </cell>
          <cell r="Y1401">
            <v>45</v>
          </cell>
          <cell r="Z1401">
            <v>0</v>
          </cell>
          <cell r="AA1401">
            <v>45</v>
          </cell>
          <cell r="AB1401">
            <v>0</v>
          </cell>
          <cell r="AC1401">
            <v>9.2975206611570247</v>
          </cell>
          <cell r="AD1401" t="e">
            <v>#DIV/0!</v>
          </cell>
        </row>
        <row r="1402">
          <cell r="A1402">
            <v>4</v>
          </cell>
          <cell r="I1402" t="str">
            <v>PROGRAM PENGEMBANGAN DATA INFORMASI</v>
          </cell>
          <cell r="J1402" t="str">
            <v>Persentase pemenuhan data berbasis peta untuk perencanaan (%)</v>
          </cell>
          <cell r="K1402">
            <v>100</v>
          </cell>
          <cell r="L1402">
            <v>1792350000</v>
          </cell>
          <cell r="M1402">
            <v>60</v>
          </cell>
          <cell r="N1402">
            <v>216415739</v>
          </cell>
          <cell r="O1402">
            <v>15</v>
          </cell>
          <cell r="P1402">
            <v>61115802</v>
          </cell>
          <cell r="Q1402">
            <v>2</v>
          </cell>
          <cell r="R1402">
            <v>2701900</v>
          </cell>
          <cell r="S1402">
            <v>5</v>
          </cell>
          <cell r="T1402">
            <v>54658800</v>
          </cell>
          <cell r="U1402">
            <v>0</v>
          </cell>
          <cell r="V1402">
            <v>0</v>
          </cell>
          <cell r="W1402">
            <v>0</v>
          </cell>
          <cell r="X1402">
            <v>0</v>
          </cell>
          <cell r="Y1402">
            <v>7</v>
          </cell>
          <cell r="Z1402">
            <v>57360700</v>
          </cell>
          <cell r="AA1402">
            <v>67</v>
          </cell>
          <cell r="AB1402">
            <v>273776439</v>
          </cell>
          <cell r="AC1402">
            <v>67</v>
          </cell>
          <cell r="AD1402">
            <v>15.274719725500042</v>
          </cell>
          <cell r="AE1402" t="str">
            <v>Bapedalitbang</v>
          </cell>
        </row>
        <row r="1403">
          <cell r="I1403" t="str">
            <v>Forum Data kabupaten Pesisir Selatan</v>
          </cell>
          <cell r="J1403" t="str">
            <v>dokumen SIPD (dok)</v>
          </cell>
          <cell r="K1403">
            <v>6</v>
          </cell>
          <cell r="L1403">
            <v>700000000</v>
          </cell>
          <cell r="M1403">
            <v>2</v>
          </cell>
          <cell r="N1403">
            <v>216415739</v>
          </cell>
          <cell r="O1403">
            <v>1</v>
          </cell>
          <cell r="P1403">
            <v>61115802</v>
          </cell>
          <cell r="Q1403">
            <v>0.2</v>
          </cell>
          <cell r="R1403">
            <v>2701900</v>
          </cell>
          <cell r="S1403">
            <v>0.4</v>
          </cell>
          <cell r="T1403">
            <v>7781500</v>
          </cell>
          <cell r="U1403">
            <v>0</v>
          </cell>
          <cell r="V1403">
            <v>0</v>
          </cell>
          <cell r="W1403">
            <v>0</v>
          </cell>
          <cell r="X1403">
            <v>0</v>
          </cell>
          <cell r="Y1403">
            <v>0.60000000000000009</v>
          </cell>
          <cell r="Z1403">
            <v>10483400</v>
          </cell>
          <cell r="AA1403">
            <v>2.6</v>
          </cell>
          <cell r="AB1403">
            <v>226899139</v>
          </cell>
          <cell r="AC1403">
            <v>43.333333333333336</v>
          </cell>
          <cell r="AD1403">
            <v>32.414162714285716</v>
          </cell>
        </row>
        <row r="1404">
          <cell r="J1404" t="str">
            <v>dokumen SDP2D (dok)</v>
          </cell>
          <cell r="K1404">
            <v>6</v>
          </cell>
          <cell r="M1404">
            <v>2</v>
          </cell>
          <cell r="O1404">
            <v>1</v>
          </cell>
          <cell r="Q1404">
            <v>0.2</v>
          </cell>
          <cell r="S1404">
            <v>0.4</v>
          </cell>
          <cell r="Y1404">
            <v>0.60000000000000009</v>
          </cell>
          <cell r="Z1404">
            <v>0</v>
          </cell>
          <cell r="AA1404">
            <v>2.6</v>
          </cell>
          <cell r="AB1404">
            <v>0</v>
          </cell>
          <cell r="AC1404">
            <v>43.333333333333336</v>
          </cell>
        </row>
        <row r="1405">
          <cell r="I1405" t="str">
            <v xml:space="preserve">Koordinasi Penyusunan Profil Daerah </v>
          </cell>
          <cell r="J1405" t="str">
            <v>Tersedianya data informasi bagi pengambilan kebijakan daerah (Laporan)</v>
          </cell>
          <cell r="K1405">
            <v>6</v>
          </cell>
          <cell r="L1405">
            <v>700000000</v>
          </cell>
          <cell r="M1405">
            <v>2</v>
          </cell>
          <cell r="N1405">
            <v>169734150</v>
          </cell>
          <cell r="O1405">
            <v>1</v>
          </cell>
          <cell r="P1405">
            <v>61915018</v>
          </cell>
          <cell r="Q1405">
            <v>0</v>
          </cell>
          <cell r="R1405">
            <v>0</v>
          </cell>
          <cell r="S1405">
            <v>0</v>
          </cell>
          <cell r="T1405">
            <v>11737300</v>
          </cell>
          <cell r="U1405">
            <v>0</v>
          </cell>
          <cell r="V1405">
            <v>0</v>
          </cell>
          <cell r="W1405">
            <v>0</v>
          </cell>
          <cell r="X1405">
            <v>0</v>
          </cell>
          <cell r="Y1405">
            <v>0</v>
          </cell>
          <cell r="Z1405">
            <v>11737300</v>
          </cell>
          <cell r="AA1405">
            <v>2</v>
          </cell>
          <cell r="AB1405">
            <v>181471450</v>
          </cell>
          <cell r="AC1405">
            <v>33.333333333333329</v>
          </cell>
          <cell r="AD1405">
            <v>25.924492857142855</v>
          </cell>
        </row>
        <row r="1406">
          <cell r="I1406" t="str">
            <v>Penyebarluasan Informasi Pembangunan</v>
          </cell>
          <cell r="J1406" t="str">
            <v>tersebarnya informasi  pelaksanaan pembanggunan (%)</v>
          </cell>
          <cell r="K1406">
            <v>95</v>
          </cell>
          <cell r="L1406">
            <v>350000000</v>
          </cell>
          <cell r="M1406">
            <v>85</v>
          </cell>
          <cell r="N1406">
            <v>65751880.000000007</v>
          </cell>
          <cell r="O1406">
            <v>85</v>
          </cell>
          <cell r="P1406">
            <v>59200000</v>
          </cell>
          <cell r="Q1406">
            <v>10.39</v>
          </cell>
          <cell r="R1406">
            <v>6150000</v>
          </cell>
          <cell r="S1406">
            <v>0</v>
          </cell>
          <cell r="T1406">
            <v>35140000</v>
          </cell>
          <cell r="U1406">
            <v>0</v>
          </cell>
          <cell r="V1406">
            <v>0</v>
          </cell>
          <cell r="W1406">
            <v>0</v>
          </cell>
          <cell r="X1406">
            <v>0</v>
          </cell>
          <cell r="Y1406">
            <v>10.39</v>
          </cell>
          <cell r="Z1406">
            <v>41290000</v>
          </cell>
          <cell r="AA1406">
            <v>95.39</v>
          </cell>
          <cell r="AB1406">
            <v>107041880</v>
          </cell>
          <cell r="AC1406">
            <v>100.41052631578948</v>
          </cell>
          <cell r="AD1406">
            <v>30.583394285714288</v>
          </cell>
        </row>
        <row r="1407">
          <cell r="I1407" t="str">
            <v>Penyedian Data Statistik Daerah</v>
          </cell>
          <cell r="J1407" t="str">
            <v>Tersedianya data informasi bagi pengambilan kebijakan daerah</v>
          </cell>
          <cell r="K1407">
            <v>1</v>
          </cell>
          <cell r="L1407">
            <v>42350000</v>
          </cell>
          <cell r="M1407">
            <v>1</v>
          </cell>
          <cell r="N1407">
            <v>37682673</v>
          </cell>
          <cell r="P1407">
            <v>0</v>
          </cell>
          <cell r="Q1407">
            <v>0</v>
          </cell>
          <cell r="R1407">
            <v>0</v>
          </cell>
          <cell r="S1407">
            <v>0</v>
          </cell>
          <cell r="T1407">
            <v>0</v>
          </cell>
          <cell r="U1407">
            <v>0</v>
          </cell>
          <cell r="V1407">
            <v>0</v>
          </cell>
          <cell r="W1407">
            <v>0</v>
          </cell>
          <cell r="X1407">
            <v>0</v>
          </cell>
          <cell r="Y1407">
            <v>0</v>
          </cell>
          <cell r="Z1407">
            <v>0</v>
          </cell>
          <cell r="AA1407">
            <v>1</v>
          </cell>
          <cell r="AB1407">
            <v>37682673</v>
          </cell>
          <cell r="AC1407">
            <v>100</v>
          </cell>
          <cell r="AD1407">
            <v>88.979157024793381</v>
          </cell>
        </row>
        <row r="1408">
          <cell r="A1408">
            <v>5</v>
          </cell>
          <cell r="I1408" t="str">
            <v>PROGRAM PERENCANAAN PRASARANA WILAYAH DAN SDA</v>
          </cell>
          <cell r="J1408" t="str">
            <v>Terwujudnya singkronisasi rencana pembangunan daerah (%)</v>
          </cell>
          <cell r="K1408">
            <v>100</v>
          </cell>
          <cell r="L1408">
            <v>2229000000</v>
          </cell>
          <cell r="M1408">
            <v>80</v>
          </cell>
          <cell r="N1408">
            <v>243940964</v>
          </cell>
          <cell r="O1408">
            <v>10</v>
          </cell>
          <cell r="P1408">
            <v>302907700</v>
          </cell>
          <cell r="Q1408">
            <v>2</v>
          </cell>
          <cell r="R1408">
            <v>31718962</v>
          </cell>
          <cell r="S1408">
            <v>0</v>
          </cell>
          <cell r="T1408">
            <v>75132342</v>
          </cell>
          <cell r="U1408">
            <v>0</v>
          </cell>
          <cell r="V1408">
            <v>0</v>
          </cell>
          <cell r="W1408">
            <v>0</v>
          </cell>
          <cell r="X1408">
            <v>0</v>
          </cell>
          <cell r="Y1408">
            <v>2</v>
          </cell>
          <cell r="Z1408">
            <v>106851304</v>
          </cell>
          <cell r="AA1408">
            <v>82</v>
          </cell>
          <cell r="AB1408">
            <v>350792268</v>
          </cell>
          <cell r="AC1408">
            <v>82</v>
          </cell>
          <cell r="AD1408">
            <v>15.737652220726783</v>
          </cell>
          <cell r="AE1408" t="str">
            <v>Bapedalitbang</v>
          </cell>
        </row>
        <row r="1409">
          <cell r="I1409" t="str">
            <v>Koordinasi Perencanaan Bidang Prasarana Wilayah</v>
          </cell>
          <cell r="J1409" t="str">
            <v>terlaksanaya koordinasi dengan instansi mitra kerja (bln)</v>
          </cell>
          <cell r="K1409">
            <v>72</v>
          </cell>
          <cell r="L1409">
            <v>1254000000</v>
          </cell>
          <cell r="M1409">
            <v>24</v>
          </cell>
          <cell r="N1409">
            <v>243940964</v>
          </cell>
          <cell r="O1409">
            <v>12</v>
          </cell>
          <cell r="P1409">
            <v>101169500</v>
          </cell>
          <cell r="Q1409">
            <v>3</v>
          </cell>
          <cell r="R1409">
            <v>25910562</v>
          </cell>
          <cell r="S1409">
            <v>0</v>
          </cell>
          <cell r="T1409">
            <v>59842041</v>
          </cell>
          <cell r="U1409">
            <v>0</v>
          </cell>
          <cell r="V1409">
            <v>0</v>
          </cell>
          <cell r="W1409">
            <v>0</v>
          </cell>
          <cell r="X1409">
            <v>0</v>
          </cell>
          <cell r="Y1409">
            <v>3</v>
          </cell>
          <cell r="Z1409">
            <v>85752603</v>
          </cell>
          <cell r="AA1409">
            <v>27</v>
          </cell>
          <cell r="AB1409">
            <v>329693567</v>
          </cell>
          <cell r="AC1409">
            <v>37.5</v>
          </cell>
          <cell r="AD1409">
            <v>26.291353030303032</v>
          </cell>
        </row>
        <row r="1410">
          <cell r="I1410" t="str">
            <v>Koordinasi program IPDMIP Kab, Pessel</v>
          </cell>
          <cell r="J1410" t="str">
            <v>Terkoordinasikannya kegiatan IPDMIP (bln)</v>
          </cell>
          <cell r="K1410">
            <v>48</v>
          </cell>
          <cell r="L1410">
            <v>975000000</v>
          </cell>
          <cell r="M1410">
            <v>0</v>
          </cell>
          <cell r="N1410">
            <v>0</v>
          </cell>
          <cell r="O1410">
            <v>12</v>
          </cell>
          <cell r="P1410">
            <v>201738200</v>
          </cell>
          <cell r="Q1410">
            <v>3</v>
          </cell>
          <cell r="R1410">
            <v>5808400</v>
          </cell>
          <cell r="S1410">
            <v>3</v>
          </cell>
          <cell r="T1410">
            <v>15290301</v>
          </cell>
          <cell r="U1410">
            <v>0</v>
          </cell>
          <cell r="V1410">
            <v>0</v>
          </cell>
          <cell r="W1410">
            <v>0</v>
          </cell>
          <cell r="X1410">
            <v>0</v>
          </cell>
          <cell r="Y1410">
            <v>6</v>
          </cell>
          <cell r="Z1410">
            <v>21098701</v>
          </cell>
          <cell r="AA1410">
            <v>6</v>
          </cell>
          <cell r="AB1410">
            <v>21098701</v>
          </cell>
          <cell r="AC1410">
            <v>0.125</v>
          </cell>
          <cell r="AD1410">
            <v>2.1639693333333335E-2</v>
          </cell>
        </row>
        <row r="1411">
          <cell r="A1411">
            <v>6</v>
          </cell>
          <cell r="I1411" t="str">
            <v>PROGRAM PERENCANAAN TATA RUANG</v>
          </cell>
          <cell r="J1411" t="str">
            <v>Persentase kesesuaian rencana pembangunan dengan RTRW</v>
          </cell>
          <cell r="K1411">
            <v>100</v>
          </cell>
          <cell r="L1411">
            <v>810000000</v>
          </cell>
          <cell r="M1411">
            <v>85</v>
          </cell>
          <cell r="N1411">
            <v>1007779015</v>
          </cell>
          <cell r="O1411">
            <v>5</v>
          </cell>
          <cell r="P1411">
            <v>198670406</v>
          </cell>
          <cell r="Q1411">
            <v>1</v>
          </cell>
          <cell r="R1411">
            <v>1</v>
          </cell>
          <cell r="S1411">
            <v>1</v>
          </cell>
          <cell r="T1411">
            <v>95715300</v>
          </cell>
          <cell r="U1411">
            <v>0</v>
          </cell>
          <cell r="V1411">
            <v>0</v>
          </cell>
          <cell r="W1411">
            <v>0</v>
          </cell>
          <cell r="X1411">
            <v>0</v>
          </cell>
          <cell r="Y1411">
            <v>2</v>
          </cell>
          <cell r="Z1411">
            <v>95715301</v>
          </cell>
          <cell r="AA1411">
            <v>87</v>
          </cell>
          <cell r="AB1411">
            <v>1103494316</v>
          </cell>
          <cell r="AC1411">
            <v>87</v>
          </cell>
          <cell r="AD1411">
            <v>136.2338661728395</v>
          </cell>
          <cell r="AE1411" t="str">
            <v>Bapedalitbang</v>
          </cell>
        </row>
        <row r="1412">
          <cell r="I1412" t="str">
            <v>Pengesahan perubahan RTRW Kab. Pessel</v>
          </cell>
          <cell r="J1412" t="str">
            <v>Ranperda RTRW / Revisi RTRW (dok)</v>
          </cell>
          <cell r="K1412">
            <v>1</v>
          </cell>
          <cell r="L1412">
            <v>810000000</v>
          </cell>
          <cell r="M1412">
            <v>0</v>
          </cell>
          <cell r="N1412">
            <v>1007779015</v>
          </cell>
          <cell r="O1412">
            <v>1</v>
          </cell>
          <cell r="P1412">
            <v>198670406</v>
          </cell>
          <cell r="Q1412">
            <v>0.5</v>
          </cell>
          <cell r="R1412">
            <v>31326400</v>
          </cell>
          <cell r="S1412">
            <v>0.2</v>
          </cell>
          <cell r="T1412">
            <v>95715300</v>
          </cell>
          <cell r="U1412">
            <v>0</v>
          </cell>
          <cell r="V1412">
            <v>0</v>
          </cell>
          <cell r="W1412">
            <v>0</v>
          </cell>
          <cell r="X1412">
            <v>0</v>
          </cell>
          <cell r="Y1412">
            <v>0.7</v>
          </cell>
          <cell r="Z1412">
            <v>127041700</v>
          </cell>
          <cell r="AA1412">
            <v>0.7</v>
          </cell>
          <cell r="AB1412">
            <v>1134820715</v>
          </cell>
          <cell r="AC1412">
            <v>70</v>
          </cell>
          <cell r="AD1412">
            <v>140.10132283950617</v>
          </cell>
        </row>
        <row r="1413">
          <cell r="A1413">
            <v>7</v>
          </cell>
          <cell r="I1413" t="str">
            <v>PROGRAM PERENCANAAN PEMBANGUNAN EKONOMI</v>
          </cell>
          <cell r="J1413" t="str">
            <v>Terwujudnya singkronisasi rencana pembangunan daerah (%)</v>
          </cell>
          <cell r="K1413">
            <v>100</v>
          </cell>
          <cell r="L1413">
            <v>932612000</v>
          </cell>
          <cell r="M1413">
            <v>80</v>
          </cell>
          <cell r="N1413">
            <v>287280483</v>
          </cell>
          <cell r="O1413">
            <v>10</v>
          </cell>
          <cell r="P1413">
            <v>112099447</v>
          </cell>
          <cell r="Q1413">
            <v>3</v>
          </cell>
          <cell r="R1413">
            <v>10167000</v>
          </cell>
          <cell r="S1413">
            <v>0</v>
          </cell>
          <cell r="T1413">
            <v>40793700</v>
          </cell>
          <cell r="U1413">
            <v>0</v>
          </cell>
          <cell r="V1413">
            <v>0</v>
          </cell>
          <cell r="W1413">
            <v>0</v>
          </cell>
          <cell r="X1413">
            <v>0</v>
          </cell>
          <cell r="Y1413">
            <v>3</v>
          </cell>
          <cell r="Z1413">
            <v>50960700</v>
          </cell>
          <cell r="AA1413">
            <v>83</v>
          </cell>
          <cell r="AB1413">
            <v>338241183</v>
          </cell>
          <cell r="AC1413">
            <v>83</v>
          </cell>
          <cell r="AD1413">
            <v>36.268156854082939</v>
          </cell>
          <cell r="AE1413" t="str">
            <v>Bapedalitbang</v>
          </cell>
        </row>
        <row r="1414">
          <cell r="I1414" t="str">
            <v>Koordinasi penanggulangan kemiskinan daerah</v>
          </cell>
          <cell r="J1414" t="str">
            <v>Buku Strategi Penanggulangan Kemiskinan Daerah (dok)</v>
          </cell>
          <cell r="K1414">
            <v>6</v>
          </cell>
          <cell r="L1414">
            <v>932612000</v>
          </cell>
          <cell r="M1414">
            <v>2</v>
          </cell>
          <cell r="N1414">
            <v>287280483</v>
          </cell>
          <cell r="O1414">
            <v>1</v>
          </cell>
          <cell r="P1414">
            <v>112099447</v>
          </cell>
          <cell r="Q1414">
            <v>17.5</v>
          </cell>
          <cell r="R1414">
            <v>10167000</v>
          </cell>
          <cell r="S1414">
            <v>25</v>
          </cell>
          <cell r="T1414">
            <v>40793700</v>
          </cell>
          <cell r="U1414">
            <v>0</v>
          </cell>
          <cell r="V1414">
            <v>0</v>
          </cell>
          <cell r="W1414">
            <v>0</v>
          </cell>
          <cell r="X1414">
            <v>0</v>
          </cell>
          <cell r="Y1414">
            <v>42.5</v>
          </cell>
          <cell r="Z1414">
            <v>50960700</v>
          </cell>
          <cell r="AA1414">
            <v>44.5</v>
          </cell>
          <cell r="AB1414">
            <v>338241183</v>
          </cell>
          <cell r="AC1414">
            <v>741.66666666666674</v>
          </cell>
          <cell r="AD1414">
            <v>36.268156854082939</v>
          </cell>
        </row>
        <row r="1415">
          <cell r="A1415">
            <v>8</v>
          </cell>
          <cell r="B1415" t="str">
            <v>Meningkatnya Keselaranasan Dokumen Perencanaan Pembangunan</v>
          </cell>
          <cell r="I1415" t="str">
            <v>PROGRAM PERENCANAAN PEMBANGUNAN DAERAH</v>
          </cell>
          <cell r="J1415" t="str">
            <v>Terwujudnya singkronisasi rencana pembangunan daerah (%)</v>
          </cell>
          <cell r="K1415">
            <v>100</v>
          </cell>
          <cell r="L1415">
            <v>8790000000</v>
          </cell>
          <cell r="M1415">
            <v>90</v>
          </cell>
          <cell r="N1415">
            <v>2233999002</v>
          </cell>
          <cell r="O1415">
            <v>5</v>
          </cell>
          <cell r="P1415">
            <v>1028222464</v>
          </cell>
          <cell r="Q1415">
            <v>1</v>
          </cell>
          <cell r="R1415">
            <v>146427050</v>
          </cell>
          <cell r="S1415">
            <v>1</v>
          </cell>
          <cell r="T1415">
            <v>289198744</v>
          </cell>
          <cell r="U1415">
            <v>0</v>
          </cell>
          <cell r="V1415">
            <v>0</v>
          </cell>
          <cell r="W1415">
            <v>0</v>
          </cell>
          <cell r="X1415">
            <v>0</v>
          </cell>
          <cell r="Y1415">
            <v>2</v>
          </cell>
          <cell r="Z1415">
            <v>435625794</v>
          </cell>
          <cell r="AA1415">
            <v>92</v>
          </cell>
          <cell r="AB1415">
            <v>2669624796</v>
          </cell>
          <cell r="AC1415">
            <v>92</v>
          </cell>
          <cell r="AD1415">
            <v>30.3711580887372</v>
          </cell>
          <cell r="AE1415" t="str">
            <v>Bapedalitbang</v>
          </cell>
        </row>
        <row r="1416">
          <cell r="I1416" t="str">
            <v>Penyelenggaraan Musrenbang RKPD</v>
          </cell>
          <cell r="J1416" t="str">
            <v>terselenggaranya musrenbang kabupaten (kali)</v>
          </cell>
          <cell r="K1416">
            <v>6</v>
          </cell>
          <cell r="L1416">
            <v>1050000000</v>
          </cell>
          <cell r="M1416">
            <v>2</v>
          </cell>
          <cell r="N1416">
            <v>299954806</v>
          </cell>
          <cell r="O1416">
            <v>1</v>
          </cell>
          <cell r="P1416">
            <v>174872452</v>
          </cell>
          <cell r="Q1416">
            <v>1</v>
          </cell>
          <cell r="R1416">
            <v>77930200</v>
          </cell>
          <cell r="S1416">
            <v>1</v>
          </cell>
          <cell r="T1416">
            <v>130060576</v>
          </cell>
          <cell r="U1416">
            <v>0</v>
          </cell>
          <cell r="V1416">
            <v>0</v>
          </cell>
          <cell r="W1416">
            <v>0</v>
          </cell>
          <cell r="X1416">
            <v>0</v>
          </cell>
          <cell r="Y1416">
            <v>2</v>
          </cell>
          <cell r="Z1416">
            <v>207990776</v>
          </cell>
          <cell r="AA1416">
            <v>4</v>
          </cell>
          <cell r="AB1416">
            <v>507945582</v>
          </cell>
          <cell r="AC1416">
            <v>66.666666666666657</v>
          </cell>
          <cell r="AD1416">
            <v>48.375769714285717</v>
          </cell>
        </row>
        <row r="1417">
          <cell r="I1417" t="str">
            <v>Penyusunan Rancangan RKPD</v>
          </cell>
          <cell r="J1417" t="str">
            <v>Perbup tentang RKPD (dok)</v>
          </cell>
          <cell r="K1417">
            <v>6</v>
          </cell>
          <cell r="L1417">
            <v>700000000</v>
          </cell>
          <cell r="M1417">
            <v>2</v>
          </cell>
          <cell r="N1417">
            <v>157512224.99999997</v>
          </cell>
          <cell r="O1417">
            <v>1</v>
          </cell>
          <cell r="P1417">
            <v>64692289</v>
          </cell>
          <cell r="Q1417">
            <v>0.4</v>
          </cell>
          <cell r="R1417">
            <v>16129600</v>
          </cell>
          <cell r="S1417">
            <v>0.9</v>
          </cell>
          <cell r="T1417">
            <v>27453500</v>
          </cell>
          <cell r="U1417">
            <v>0</v>
          </cell>
          <cell r="V1417">
            <v>0</v>
          </cell>
          <cell r="W1417">
            <v>0</v>
          </cell>
          <cell r="X1417">
            <v>0</v>
          </cell>
          <cell r="Y1417">
            <v>1.3</v>
          </cell>
          <cell r="Z1417">
            <v>43583100</v>
          </cell>
          <cell r="AA1417">
            <v>3.3</v>
          </cell>
          <cell r="AB1417">
            <v>201095324.99999997</v>
          </cell>
          <cell r="AC1417">
            <v>54.999999999999993</v>
          </cell>
          <cell r="AD1417">
            <v>28.727903571428566</v>
          </cell>
        </row>
        <row r="1418">
          <cell r="I1418" t="str">
            <v xml:space="preserve">Penyusunan Nota Kesepakatan KUA dan PPA APBD Kab. Pessel </v>
          </cell>
          <cell r="J1418" t="str">
            <v>Nota kesepakatan KUARAPBD (dok)</v>
          </cell>
          <cell r="K1418">
            <v>6</v>
          </cell>
          <cell r="L1418">
            <v>1190000000</v>
          </cell>
          <cell r="M1418">
            <v>2</v>
          </cell>
          <cell r="N1418">
            <v>283467800</v>
          </cell>
          <cell r="O1418">
            <v>1</v>
          </cell>
          <cell r="P1418">
            <v>80143796</v>
          </cell>
          <cell r="Q1418">
            <v>0.2</v>
          </cell>
          <cell r="R1418">
            <v>8493200</v>
          </cell>
          <cell r="S1418">
            <v>0.2</v>
          </cell>
          <cell r="T1418">
            <v>8673200</v>
          </cell>
          <cell r="U1418">
            <v>0</v>
          </cell>
          <cell r="V1418">
            <v>0</v>
          </cell>
          <cell r="W1418">
            <v>0</v>
          </cell>
          <cell r="X1418">
            <v>0</v>
          </cell>
          <cell r="Y1418">
            <v>0.4</v>
          </cell>
          <cell r="Z1418">
            <v>17166400</v>
          </cell>
          <cell r="AA1418">
            <v>2.4</v>
          </cell>
          <cell r="AB1418">
            <v>300634200</v>
          </cell>
          <cell r="AC1418">
            <v>40</v>
          </cell>
          <cell r="AD1418">
            <v>25.2633781512605</v>
          </cell>
        </row>
        <row r="1419">
          <cell r="J1419" t="str">
            <v>Nota kesepakatan PPAS RAPBD (dok)</v>
          </cell>
          <cell r="K1419">
            <v>6</v>
          </cell>
          <cell r="M1419">
            <v>2</v>
          </cell>
          <cell r="O1419">
            <v>1</v>
          </cell>
          <cell r="Y1419">
            <v>0</v>
          </cell>
          <cell r="Z1419">
            <v>0</v>
          </cell>
          <cell r="AA1419">
            <v>2</v>
          </cell>
          <cell r="AB1419">
            <v>0</v>
          </cell>
          <cell r="AC1419">
            <v>33.333333333333329</v>
          </cell>
        </row>
        <row r="1420">
          <cell r="I1420" t="str">
            <v xml:space="preserve">Penyusunan Nota Kesepakatan KUA dan PPA APBD Perubahan </v>
          </cell>
          <cell r="J1420" t="str">
            <v>Nota kesepakatan KUPA  P-APBD (dok)</v>
          </cell>
          <cell r="K1420">
            <v>6</v>
          </cell>
          <cell r="L1420">
            <v>1190000000</v>
          </cell>
          <cell r="M1420">
            <v>2</v>
          </cell>
          <cell r="N1420">
            <v>254892159.99999997</v>
          </cell>
          <cell r="O1420">
            <v>1</v>
          </cell>
          <cell r="P1420">
            <v>80032882</v>
          </cell>
          <cell r="Q1420">
            <v>0.1</v>
          </cell>
          <cell r="R1420">
            <v>0</v>
          </cell>
          <cell r="S1420">
            <v>0</v>
          </cell>
          <cell r="T1420">
            <v>0</v>
          </cell>
          <cell r="U1420">
            <v>0</v>
          </cell>
          <cell r="V1420">
            <v>0</v>
          </cell>
          <cell r="W1420">
            <v>0</v>
          </cell>
          <cell r="X1420">
            <v>0</v>
          </cell>
          <cell r="Y1420">
            <v>0.1</v>
          </cell>
          <cell r="Z1420">
            <v>0</v>
          </cell>
          <cell r="AA1420">
            <v>2.1</v>
          </cell>
          <cell r="AB1420">
            <v>254892159.99999997</v>
          </cell>
          <cell r="AC1420">
            <v>35</v>
          </cell>
          <cell r="AD1420">
            <v>21.419509243697476</v>
          </cell>
        </row>
        <row r="1421">
          <cell r="J1421" t="str">
            <v>Nota kesepakatan  PPAS P-APBD (dok)</v>
          </cell>
          <cell r="K1421">
            <v>6</v>
          </cell>
          <cell r="M1421">
            <v>2</v>
          </cell>
          <cell r="O1421">
            <v>1</v>
          </cell>
          <cell r="Q1421">
            <v>0.1</v>
          </cell>
          <cell r="Z1421">
            <v>0</v>
          </cell>
          <cell r="AA1421">
            <v>2</v>
          </cell>
          <cell r="AB1421">
            <v>0</v>
          </cell>
          <cell r="AC1421">
            <v>33.333333333333329</v>
          </cell>
        </row>
        <row r="1422">
          <cell r="I1422" t="str">
            <v>Penyusunan PERDA RPJMD Kab. Pessel Th. 2016 - 2021</v>
          </cell>
          <cell r="J1422" t="str">
            <v xml:space="preserve"> Perda/ RPJMD Revisi perda RPJMD (dok)</v>
          </cell>
          <cell r="K1422">
            <v>1</v>
          </cell>
          <cell r="L1422">
            <v>1100000000</v>
          </cell>
          <cell r="M1422">
            <v>0.7</v>
          </cell>
          <cell r="N1422">
            <v>455684367.99999994</v>
          </cell>
          <cell r="O1422">
            <v>0.3</v>
          </cell>
          <cell r="P1422">
            <v>104079136</v>
          </cell>
          <cell r="Q1422">
            <v>0.05</v>
          </cell>
          <cell r="R1422">
            <v>3115900</v>
          </cell>
          <cell r="S1422">
            <v>0.05</v>
          </cell>
          <cell r="T1422">
            <v>5358400</v>
          </cell>
          <cell r="U1422">
            <v>0</v>
          </cell>
          <cell r="V1422">
            <v>0</v>
          </cell>
          <cell r="W1422">
            <v>0</v>
          </cell>
          <cell r="X1422">
            <v>0</v>
          </cell>
          <cell r="Y1422">
            <v>0.1</v>
          </cell>
          <cell r="Z1422">
            <v>8474300</v>
          </cell>
          <cell r="AA1422">
            <v>0.79999999999999993</v>
          </cell>
          <cell r="AB1422">
            <v>464158667.99999994</v>
          </cell>
          <cell r="AC1422">
            <v>80</v>
          </cell>
          <cell r="AD1422">
            <v>42.196242545454538</v>
          </cell>
        </row>
        <row r="1423">
          <cell r="I1423" t="str">
            <v>Fasilitasi dan sinkronisasi RPJM  Nagari</v>
          </cell>
          <cell r="J1423" t="str">
            <v>RPJMD Nagari yang telah singkron dengan RPJMD (dok)</v>
          </cell>
          <cell r="K1423">
            <v>182</v>
          </cell>
          <cell r="L1423">
            <v>500000000</v>
          </cell>
          <cell r="M1423">
            <v>37</v>
          </cell>
          <cell r="N1423">
            <v>155578950</v>
          </cell>
          <cell r="O1423">
            <v>104</v>
          </cell>
          <cell r="P1423">
            <v>126200005</v>
          </cell>
          <cell r="Q1423">
            <v>5</v>
          </cell>
          <cell r="R1423">
            <v>270000</v>
          </cell>
          <cell r="S1423">
            <v>5</v>
          </cell>
          <cell r="T1423">
            <v>2360000</v>
          </cell>
          <cell r="U1423">
            <v>0</v>
          </cell>
          <cell r="V1423">
            <v>0</v>
          </cell>
          <cell r="W1423">
            <v>0</v>
          </cell>
          <cell r="X1423">
            <v>0</v>
          </cell>
          <cell r="Y1423">
            <v>10</v>
          </cell>
          <cell r="Z1423">
            <v>2630000</v>
          </cell>
          <cell r="AA1423">
            <v>47</v>
          </cell>
          <cell r="AB1423">
            <v>158208950</v>
          </cell>
          <cell r="AC1423">
            <v>25.824175824175828</v>
          </cell>
          <cell r="AD1423">
            <v>31.641789999999997</v>
          </cell>
        </row>
        <row r="1424">
          <cell r="I1424" t="str">
            <v>Koodinasi penyusunan  perencanaan dan penganggaran daerah</v>
          </cell>
          <cell r="J1424" t="str">
            <v>Terlaksananya rapat dan Pertemuan Penyusunan Perencanaan Anggaran (bln)</v>
          </cell>
          <cell r="K1424">
            <v>48</v>
          </cell>
          <cell r="L1424">
            <v>400000000</v>
          </cell>
          <cell r="M1424" t="str">
            <v>0</v>
          </cell>
          <cell r="N1424">
            <v>0</v>
          </cell>
          <cell r="O1424">
            <v>12</v>
          </cell>
          <cell r="P1424">
            <v>98921396</v>
          </cell>
          <cell r="Q1424">
            <v>3</v>
          </cell>
          <cell r="R1424">
            <v>9553500</v>
          </cell>
          <cell r="S1424">
            <v>3</v>
          </cell>
          <cell r="T1424">
            <v>24436618</v>
          </cell>
          <cell r="U1424">
            <v>0</v>
          </cell>
          <cell r="V1424">
            <v>0</v>
          </cell>
          <cell r="W1424">
            <v>0</v>
          </cell>
          <cell r="X1424">
            <v>0</v>
          </cell>
          <cell r="Y1424">
            <v>6</v>
          </cell>
          <cell r="Z1424">
            <v>33990118</v>
          </cell>
          <cell r="AA1424">
            <v>6</v>
          </cell>
          <cell r="AB1424">
            <v>33990118</v>
          </cell>
          <cell r="AC1424">
            <v>12.5</v>
          </cell>
          <cell r="AD1424">
            <v>8.4975295000000006</v>
          </cell>
        </row>
        <row r="1425">
          <cell r="I1425" t="str">
            <v>Pengelolaan Sistem Informasi perencanaan pembangunan Daerah</v>
          </cell>
          <cell r="J1425" t="str">
            <v>Terkelolanya psistem perencanaan pembangunan secara onlone (bln)</v>
          </cell>
          <cell r="K1425">
            <v>72</v>
          </cell>
          <cell r="L1425">
            <v>1250000000</v>
          </cell>
          <cell r="M1425">
            <v>24</v>
          </cell>
          <cell r="N1425">
            <v>382558049</v>
          </cell>
          <cell r="O1425">
            <v>12</v>
          </cell>
          <cell r="P1425">
            <v>105954870</v>
          </cell>
          <cell r="Q1425">
            <v>3</v>
          </cell>
          <cell r="R1425">
            <v>12632000</v>
          </cell>
          <cell r="S1425">
            <v>3</v>
          </cell>
          <cell r="T1425">
            <v>32702200</v>
          </cell>
          <cell r="U1425">
            <v>0</v>
          </cell>
          <cell r="V1425">
            <v>0</v>
          </cell>
          <cell r="W1425">
            <v>0</v>
          </cell>
          <cell r="X1425">
            <v>0</v>
          </cell>
          <cell r="Y1425">
            <v>6</v>
          </cell>
          <cell r="Z1425">
            <v>45334200</v>
          </cell>
          <cell r="AA1425">
            <v>30</v>
          </cell>
          <cell r="AB1425">
            <v>427892249</v>
          </cell>
          <cell r="AC1425">
            <v>41.666666666666671</v>
          </cell>
          <cell r="AD1425">
            <v>34.231379920000002</v>
          </cell>
        </row>
        <row r="1426">
          <cell r="I1426" t="str">
            <v>Evaluasi RKPD</v>
          </cell>
          <cell r="J1426" t="str">
            <v>Laporan triwulan  evaluasi RKPD (dok)</v>
          </cell>
          <cell r="K1426">
            <v>20</v>
          </cell>
          <cell r="L1426">
            <v>450000000</v>
          </cell>
          <cell r="M1426">
            <v>4</v>
          </cell>
          <cell r="N1426">
            <v>68338950</v>
          </cell>
          <cell r="O1426">
            <v>4</v>
          </cell>
          <cell r="P1426">
            <v>64810964</v>
          </cell>
          <cell r="Q1426">
            <v>1</v>
          </cell>
          <cell r="R1426">
            <v>6559650</v>
          </cell>
          <cell r="S1426">
            <v>1</v>
          </cell>
          <cell r="T1426">
            <v>22154250</v>
          </cell>
          <cell r="U1426">
            <v>0</v>
          </cell>
          <cell r="V1426">
            <v>0</v>
          </cell>
          <cell r="W1426">
            <v>0</v>
          </cell>
          <cell r="X1426">
            <v>0</v>
          </cell>
          <cell r="Y1426">
            <v>2</v>
          </cell>
          <cell r="Z1426">
            <v>28713900</v>
          </cell>
          <cell r="AA1426">
            <v>6</v>
          </cell>
          <cell r="AB1426">
            <v>97052850</v>
          </cell>
          <cell r="AC1426">
            <v>30</v>
          </cell>
          <cell r="AD1426">
            <v>21.567299999999999</v>
          </cell>
        </row>
        <row r="1427">
          <cell r="I1427" t="str">
            <v>Monitoring, Evaluasi Pengendalian dan Pelaporan Pelaksanaan Rencana pembangunan</v>
          </cell>
          <cell r="J1427" t="str">
            <v>Laporan triwulan hasil monev pelaksanaan DAK dan TP (dok)</v>
          </cell>
          <cell r="K1427">
            <v>24</v>
          </cell>
          <cell r="L1427">
            <v>960000000</v>
          </cell>
          <cell r="M1427">
            <v>8</v>
          </cell>
          <cell r="N1427">
            <v>176011694.00000003</v>
          </cell>
          <cell r="O1427">
            <v>4</v>
          </cell>
          <cell r="P1427">
            <v>70780510</v>
          </cell>
          <cell r="Q1427">
            <v>1</v>
          </cell>
          <cell r="R1427">
            <v>11743000</v>
          </cell>
          <cell r="S1427">
            <v>1</v>
          </cell>
          <cell r="T1427">
            <v>36000000</v>
          </cell>
          <cell r="U1427">
            <v>0</v>
          </cell>
          <cell r="V1427">
            <v>0</v>
          </cell>
          <cell r="W1427">
            <v>0</v>
          </cell>
          <cell r="X1427">
            <v>0</v>
          </cell>
          <cell r="Y1427">
            <v>2</v>
          </cell>
          <cell r="Z1427">
            <v>47743000</v>
          </cell>
          <cell r="AA1427">
            <v>10</v>
          </cell>
          <cell r="AB1427">
            <v>223754694.00000003</v>
          </cell>
          <cell r="AC1427">
            <v>41.666666666666671</v>
          </cell>
          <cell r="AD1427">
            <v>23.307780625000003</v>
          </cell>
        </row>
        <row r="1428">
          <cell r="I1428" t="str">
            <v>Penyusunan Perjanjian Kinerja</v>
          </cell>
          <cell r="J1428" t="str">
            <v>Perjanjian Kinerja Eselon,II,III,IV dengan Renja dan Renstra (dok)</v>
          </cell>
          <cell r="K1428">
            <v>10</v>
          </cell>
          <cell r="L1428">
            <v>525000000</v>
          </cell>
          <cell r="M1428">
            <v>2</v>
          </cell>
          <cell r="N1428">
            <v>76246300</v>
          </cell>
          <cell r="O1428">
            <v>2</v>
          </cell>
          <cell r="P1428">
            <v>57734164</v>
          </cell>
          <cell r="Q1428">
            <v>0.5</v>
          </cell>
          <cell r="R1428">
            <v>18661420</v>
          </cell>
          <cell r="S1428">
            <v>0.5</v>
          </cell>
          <cell r="T1428">
            <v>21337820</v>
          </cell>
          <cell r="U1428">
            <v>0</v>
          </cell>
          <cell r="V1428">
            <v>0</v>
          </cell>
          <cell r="W1428">
            <v>0</v>
          </cell>
          <cell r="X1428">
            <v>0</v>
          </cell>
          <cell r="Y1428">
            <v>1</v>
          </cell>
          <cell r="Z1428">
            <v>39999240</v>
          </cell>
          <cell r="AA1428">
            <v>3</v>
          </cell>
          <cell r="AB1428">
            <v>116245540</v>
          </cell>
          <cell r="AC1428">
            <v>30</v>
          </cell>
          <cell r="AD1428">
            <v>22.142007619047618</v>
          </cell>
        </row>
        <row r="1429">
          <cell r="A1429">
            <v>9</v>
          </cell>
          <cell r="B1429" t="str">
            <v>Meningkatnya Efektifitas Pelaksanaan Program Kegiatan Pembangunan</v>
          </cell>
          <cell r="I1429" t="str">
            <v>PROGRAM  PERENCANAAN PENGEMBANGAN KOTA-KOTA MENENGAH DAN BESAR</v>
          </cell>
          <cell r="J1429" t="str">
            <v>Terwujudnya singkronisasi rencana pembangunan kawasan perkotaan (%)</v>
          </cell>
          <cell r="K1429">
            <v>100</v>
          </cell>
          <cell r="L1429">
            <v>1787000000</v>
          </cell>
          <cell r="M1429">
            <v>80</v>
          </cell>
          <cell r="N1429">
            <v>329273993</v>
          </cell>
          <cell r="O1429">
            <v>10</v>
          </cell>
          <cell r="P1429">
            <v>172623600</v>
          </cell>
          <cell r="Q1429">
            <v>2</v>
          </cell>
          <cell r="R1429">
            <v>65234100</v>
          </cell>
          <cell r="S1429">
            <v>0</v>
          </cell>
          <cell r="T1429">
            <v>54959347</v>
          </cell>
          <cell r="U1429">
            <v>0</v>
          </cell>
          <cell r="V1429">
            <v>0</v>
          </cell>
          <cell r="W1429">
            <v>0</v>
          </cell>
          <cell r="X1429">
            <v>0</v>
          </cell>
          <cell r="Y1429">
            <v>2</v>
          </cell>
          <cell r="Z1429">
            <v>120193447</v>
          </cell>
          <cell r="AA1429">
            <v>82</v>
          </cell>
          <cell r="AB1429">
            <v>449467440</v>
          </cell>
          <cell r="AC1429">
            <v>82</v>
          </cell>
          <cell r="AD1429">
            <v>25.152067151650808</v>
          </cell>
          <cell r="AE1429" t="str">
            <v>Bapedalitbang</v>
          </cell>
        </row>
        <row r="1430">
          <cell r="I1430" t="str">
            <v>Koordinasi program pembangunan sanitasi dan permukiman (PPSP)</v>
          </cell>
          <cell r="J1430" t="str">
            <v>Terkoordinasikannya pelaksanaan program AMPL dan PPSP  (dok)</v>
          </cell>
          <cell r="K1430">
            <v>5</v>
          </cell>
          <cell r="L1430">
            <v>527000000</v>
          </cell>
          <cell r="M1430">
            <v>1</v>
          </cell>
          <cell r="N1430">
            <v>106804793</v>
          </cell>
          <cell r="O1430">
            <v>1</v>
          </cell>
          <cell r="P1430">
            <v>59914600</v>
          </cell>
          <cell r="Q1430">
            <v>0</v>
          </cell>
          <cell r="R1430">
            <v>59914600</v>
          </cell>
          <cell r="S1430">
            <v>0</v>
          </cell>
          <cell r="T1430">
            <v>30809847</v>
          </cell>
          <cell r="U1430">
            <v>0</v>
          </cell>
          <cell r="V1430">
            <v>0</v>
          </cell>
          <cell r="W1430">
            <v>0</v>
          </cell>
          <cell r="X1430">
            <v>0</v>
          </cell>
          <cell r="Y1430">
            <v>0</v>
          </cell>
          <cell r="Z1430">
            <v>90724447</v>
          </cell>
          <cell r="AA1430">
            <v>1</v>
          </cell>
          <cell r="AB1430">
            <v>197529240</v>
          </cell>
          <cell r="AC1430">
            <v>20</v>
          </cell>
          <cell r="AD1430">
            <v>37.481829222011385</v>
          </cell>
        </row>
        <row r="1431">
          <cell r="I1431" t="str">
            <v xml:space="preserve">Penunjang Program Penyediaan Air Minum dan Sanitasi Masyarakat (PAMSIMAS) </v>
          </cell>
          <cell r="J1431" t="str">
            <v>Terkoordinasikannya pelaksanaan program Pamsimas</v>
          </cell>
          <cell r="K1431">
            <v>6</v>
          </cell>
          <cell r="L1431">
            <v>1260000000</v>
          </cell>
          <cell r="M1431">
            <v>2</v>
          </cell>
          <cell r="N1431">
            <v>222469200</v>
          </cell>
          <cell r="O1431">
            <v>1</v>
          </cell>
          <cell r="P1431">
            <v>112709000</v>
          </cell>
          <cell r="Q1431">
            <v>0</v>
          </cell>
          <cell r="R1431">
            <v>5319500</v>
          </cell>
          <cell r="S1431">
            <v>0</v>
          </cell>
          <cell r="T1431">
            <v>24149500</v>
          </cell>
          <cell r="U1431">
            <v>0</v>
          </cell>
          <cell r="V1431">
            <v>0</v>
          </cell>
          <cell r="W1431">
            <v>0</v>
          </cell>
          <cell r="X1431">
            <v>0</v>
          </cell>
          <cell r="Y1431">
            <v>0</v>
          </cell>
          <cell r="Z1431">
            <v>29469000</v>
          </cell>
          <cell r="AA1431">
            <v>2</v>
          </cell>
          <cell r="AB1431">
            <v>251938200</v>
          </cell>
          <cell r="AC1431">
            <v>33.333333333333329</v>
          </cell>
          <cell r="AD1431">
            <v>19.995095238095235</v>
          </cell>
        </row>
        <row r="1432">
          <cell r="A1432">
            <v>10</v>
          </cell>
          <cell r="I1432" t="str">
            <v>PROGRAM PERENCANAAN SOSIAL BUDAYA</v>
          </cell>
          <cell r="J1432" t="str">
            <v>Terwujudnya singkronisasi rencana pembangunan daerah (%)</v>
          </cell>
          <cell r="K1432">
            <v>100</v>
          </cell>
          <cell r="L1432">
            <v>1398918000</v>
          </cell>
          <cell r="M1432">
            <v>80</v>
          </cell>
          <cell r="N1432">
            <v>258780709</v>
          </cell>
          <cell r="O1432">
            <v>8</v>
          </cell>
          <cell r="P1432">
            <v>125451809</v>
          </cell>
          <cell r="Q1432">
            <v>2</v>
          </cell>
          <cell r="R1432">
            <v>9893000</v>
          </cell>
          <cell r="S1432">
            <v>0</v>
          </cell>
          <cell r="T1432">
            <v>23790400</v>
          </cell>
          <cell r="U1432">
            <v>0</v>
          </cell>
          <cell r="V1432">
            <v>0</v>
          </cell>
          <cell r="W1432">
            <v>0</v>
          </cell>
          <cell r="X1432">
            <v>0</v>
          </cell>
          <cell r="Y1432">
            <v>2</v>
          </cell>
          <cell r="Z1432">
            <v>33683400</v>
          </cell>
          <cell r="AA1432">
            <v>82</v>
          </cell>
          <cell r="AB1432">
            <v>292464109</v>
          </cell>
          <cell r="AC1432">
            <v>82</v>
          </cell>
          <cell r="AD1432">
            <v>20.906451200141824</v>
          </cell>
          <cell r="AE1432" t="str">
            <v>Bapedalitbang</v>
          </cell>
        </row>
        <row r="1433">
          <cell r="I1433" t="str">
            <v>Koordinasi Perencanaan Pembangunan Bidang Sosial Budaya</v>
          </cell>
          <cell r="J1433" t="str">
            <v>Terkoordinasikannya perencanaan pembangunan lingkup bidang sosial budaya (bln)</v>
          </cell>
          <cell r="K1433">
            <v>72</v>
          </cell>
          <cell r="L1433">
            <v>1398918000</v>
          </cell>
          <cell r="M1433">
            <v>24</v>
          </cell>
          <cell r="N1433">
            <v>258780709</v>
          </cell>
          <cell r="O1433">
            <v>12</v>
          </cell>
          <cell r="P1433">
            <v>125451809</v>
          </cell>
          <cell r="Q1433">
            <v>3</v>
          </cell>
          <cell r="R1433">
            <v>9893000</v>
          </cell>
          <cell r="S1433">
            <v>0</v>
          </cell>
          <cell r="T1433">
            <v>23790400</v>
          </cell>
          <cell r="U1433">
            <v>0</v>
          </cell>
          <cell r="V1433">
            <v>0</v>
          </cell>
          <cell r="W1433">
            <v>0</v>
          </cell>
          <cell r="X1433">
            <v>0</v>
          </cell>
          <cell r="Y1433">
            <v>3</v>
          </cell>
          <cell r="Z1433">
            <v>33683400</v>
          </cell>
          <cell r="AA1433">
            <v>27</v>
          </cell>
          <cell r="AB1433">
            <v>292464109</v>
          </cell>
          <cell r="AC1433">
            <v>37.5</v>
          </cell>
          <cell r="AD1433">
            <v>20.906451200141824</v>
          </cell>
        </row>
        <row r="1434">
          <cell r="A1434">
            <v>11</v>
          </cell>
          <cell r="I1434" t="str">
            <v>PROGRAM PERENCANAAN PEMBANGUNAN EKONOMI</v>
          </cell>
          <cell r="J1434" t="str">
            <v>Terwujudnya singkronisasi rencana pembangunan daerah (%)</v>
          </cell>
          <cell r="K1434">
            <v>100</v>
          </cell>
          <cell r="L1434">
            <v>1299458500</v>
          </cell>
          <cell r="M1434">
            <v>80</v>
          </cell>
          <cell r="N1434">
            <v>330469848</v>
          </cell>
          <cell r="O1434">
            <v>10</v>
          </cell>
          <cell r="P1434">
            <v>135099600</v>
          </cell>
          <cell r="Q1434">
            <v>3</v>
          </cell>
          <cell r="R1434">
            <v>23024824</v>
          </cell>
          <cell r="S1434">
            <v>0</v>
          </cell>
          <cell r="T1434">
            <v>49389024</v>
          </cell>
          <cell r="U1434">
            <v>0</v>
          </cell>
          <cell r="V1434">
            <v>0</v>
          </cell>
          <cell r="W1434">
            <v>0</v>
          </cell>
          <cell r="X1434">
            <v>0</v>
          </cell>
          <cell r="Y1434">
            <v>3</v>
          </cell>
          <cell r="Z1434">
            <v>72413848</v>
          </cell>
          <cell r="AA1434">
            <v>83</v>
          </cell>
          <cell r="AB1434">
            <v>402883696</v>
          </cell>
          <cell r="AC1434">
            <v>83</v>
          </cell>
          <cell r="AD1434">
            <v>31.003967883545336</v>
          </cell>
          <cell r="AE1434" t="str">
            <v>Bapedalitbang</v>
          </cell>
        </row>
        <row r="1435">
          <cell r="I1435" t="str">
            <v>Koordinasi Perencanaan Pembangunan Bidang Ekonomi</v>
          </cell>
          <cell r="J1435" t="str">
            <v>Terkoordinasikannya perencanaan pembangunan lingkup bidan ekonomi</v>
          </cell>
          <cell r="K1435">
            <v>6</v>
          </cell>
          <cell r="L1435">
            <v>600000000</v>
          </cell>
          <cell r="M1435">
            <v>2</v>
          </cell>
          <cell r="N1435">
            <v>168055682</v>
          </cell>
          <cell r="O1435">
            <v>1</v>
          </cell>
          <cell r="P1435">
            <v>89223600</v>
          </cell>
          <cell r="Q1435">
            <v>1</v>
          </cell>
          <cell r="R1435">
            <v>11947700</v>
          </cell>
          <cell r="S1435">
            <v>0</v>
          </cell>
          <cell r="T1435">
            <v>30490100</v>
          </cell>
          <cell r="U1435">
            <v>0</v>
          </cell>
          <cell r="V1435">
            <v>0</v>
          </cell>
          <cell r="W1435">
            <v>0</v>
          </cell>
          <cell r="X1435">
            <v>0</v>
          </cell>
          <cell r="Y1435">
            <v>1</v>
          </cell>
          <cell r="Z1435">
            <v>42437800</v>
          </cell>
          <cell r="AA1435">
            <v>3</v>
          </cell>
          <cell r="AB1435">
            <v>210493482</v>
          </cell>
          <cell r="AC1435">
            <v>50</v>
          </cell>
          <cell r="AD1435">
            <v>35.082247000000002</v>
          </cell>
        </row>
        <row r="1436">
          <cell r="I1436" t="str">
            <v>koodinasi percepatan pemb. Kawasan perdesaan</v>
          </cell>
          <cell r="J1436" t="str">
            <v>Terwujudnya akselerasi pembangunan di Kawasan Pedesaan</v>
          </cell>
          <cell r="K1436">
            <v>6</v>
          </cell>
          <cell r="L1436">
            <v>699458500</v>
          </cell>
          <cell r="M1436">
            <v>2</v>
          </cell>
          <cell r="N1436">
            <v>162414166</v>
          </cell>
          <cell r="O1436">
            <v>1</v>
          </cell>
          <cell r="P1436">
            <v>45876000</v>
          </cell>
          <cell r="Q1436">
            <v>1</v>
          </cell>
          <cell r="R1436">
            <v>11077124</v>
          </cell>
          <cell r="S1436">
            <v>0</v>
          </cell>
          <cell r="T1436">
            <v>18898924</v>
          </cell>
          <cell r="U1436">
            <v>0</v>
          </cell>
          <cell r="V1436">
            <v>0</v>
          </cell>
          <cell r="W1436">
            <v>0</v>
          </cell>
          <cell r="X1436">
            <v>0</v>
          </cell>
          <cell r="Y1436">
            <v>1</v>
          </cell>
          <cell r="Z1436">
            <v>29976048</v>
          </cell>
          <cell r="AA1436">
            <v>3</v>
          </cell>
          <cell r="AB1436">
            <v>192390214</v>
          </cell>
          <cell r="AC1436">
            <v>50</v>
          </cell>
          <cell r="AD1436">
            <v>27.505593827224917</v>
          </cell>
        </row>
        <row r="1437">
          <cell r="A1437">
            <v>8</v>
          </cell>
          <cell r="B1437" t="str">
            <v>Terwujudnya Akurasi Keputusan Pembangunan</v>
          </cell>
          <cell r="I1437" t="str">
            <v>PROGRAM PERENCANAAN PEMBANGUNAN DAERAH</v>
          </cell>
          <cell r="J1437" t="str">
            <v xml:space="preserve">Terwujudnya sistem perencanaan daerah yang berkualitas dan partisipatif </v>
          </cell>
          <cell r="K1437">
            <v>100</v>
          </cell>
          <cell r="L1437">
            <v>525000000</v>
          </cell>
          <cell r="M1437">
            <v>90</v>
          </cell>
          <cell r="N1437">
            <v>76246300</v>
          </cell>
          <cell r="O1437">
            <v>5</v>
          </cell>
          <cell r="P1437">
            <v>57734164</v>
          </cell>
          <cell r="Q1437">
            <v>0</v>
          </cell>
          <cell r="R1437">
            <v>18661420</v>
          </cell>
          <cell r="S1437">
            <v>0</v>
          </cell>
          <cell r="U1437">
            <v>0</v>
          </cell>
          <cell r="V1437">
            <v>0</v>
          </cell>
          <cell r="W1437">
            <v>0</v>
          </cell>
          <cell r="X1437">
            <v>0</v>
          </cell>
          <cell r="Y1437">
            <v>0</v>
          </cell>
          <cell r="Z1437">
            <v>76395584</v>
          </cell>
          <cell r="AA1437">
            <v>90</v>
          </cell>
          <cell r="AB1437">
            <v>152641884</v>
          </cell>
          <cell r="AC1437">
            <v>90</v>
          </cell>
          <cell r="AD1437">
            <v>29.074644571428571</v>
          </cell>
          <cell r="AE1437" t="str">
            <v>Bapedalitbang</v>
          </cell>
        </row>
        <row r="1438">
          <cell r="I1438" t="str">
            <v>Penyusunan Perjanjian Kinerja</v>
          </cell>
          <cell r="J1438" t="str">
            <v>Persentase Peningkatan Sinkronisasi Perjanjian Kinerja Eselon,II,III,IV dengan Renja dan Renstra</v>
          </cell>
          <cell r="K1438">
            <v>10</v>
          </cell>
          <cell r="L1438">
            <v>525000000</v>
          </cell>
          <cell r="M1438">
            <v>2</v>
          </cell>
          <cell r="N1438">
            <v>76246300</v>
          </cell>
          <cell r="O1438">
            <v>2</v>
          </cell>
          <cell r="P1438">
            <v>57734164</v>
          </cell>
          <cell r="Q1438">
            <v>1</v>
          </cell>
          <cell r="R1438">
            <v>18661420</v>
          </cell>
          <cell r="S1438">
            <v>0</v>
          </cell>
          <cell r="T1438">
            <v>0</v>
          </cell>
          <cell r="U1438">
            <v>0</v>
          </cell>
          <cell r="V1438">
            <v>0</v>
          </cell>
          <cell r="W1438">
            <v>0</v>
          </cell>
          <cell r="X1438">
            <v>0</v>
          </cell>
          <cell r="Y1438">
            <v>1</v>
          </cell>
          <cell r="Z1438">
            <v>76395584</v>
          </cell>
          <cell r="AA1438">
            <v>3</v>
          </cell>
          <cell r="AB1438">
            <v>152641884</v>
          </cell>
          <cell r="AC1438">
            <v>30</v>
          </cell>
          <cell r="AD1438">
            <v>29.074644571428571</v>
          </cell>
        </row>
        <row r="1439">
          <cell r="A1439" t="str">
            <v>Rata-Rata Capaian Kinerja</v>
          </cell>
          <cell r="AC1439">
            <v>72.194444444444443</v>
          </cell>
          <cell r="AD1439">
            <v>35.938368196538612</v>
          </cell>
        </row>
        <row r="1440">
          <cell r="A1440" t="str">
            <v>Peringkat  Kinerja</v>
          </cell>
          <cell r="AC1440" t="str">
            <v>S</v>
          </cell>
          <cell r="AD1440" t="str">
            <v>SR</v>
          </cell>
        </row>
        <row r="1441">
          <cell r="A1441" t="str">
            <v>III</v>
          </cell>
          <cell r="I1441" t="str">
            <v>KEUANGAN</v>
          </cell>
          <cell r="L1441">
            <v>63475356108.593796</v>
          </cell>
          <cell r="N1441">
            <v>15537727230</v>
          </cell>
          <cell r="P1441">
            <v>6232605147.8500004</v>
          </cell>
          <cell r="R1441">
            <v>1298053254</v>
          </cell>
          <cell r="T1441">
            <v>3272968405</v>
          </cell>
          <cell r="Z1441">
            <v>3771982679.75</v>
          </cell>
          <cell r="AB1441">
            <v>20641542939.75</v>
          </cell>
        </row>
        <row r="1442">
          <cell r="A1442" t="str">
            <v>BADAN PENGELOLAAN KEUANGAN DAERAH</v>
          </cell>
          <cell r="L1442">
            <v>49211791077</v>
          </cell>
          <cell r="N1442">
            <v>13440148360</v>
          </cell>
          <cell r="P1442">
            <v>6491291032.6000004</v>
          </cell>
          <cell r="R1442">
            <v>666714178</v>
          </cell>
          <cell r="T1442">
            <v>2940593356</v>
          </cell>
          <cell r="Z1442">
            <v>3771982679.75</v>
          </cell>
          <cell r="AB1442">
            <v>17100190944.75</v>
          </cell>
        </row>
        <row r="1443">
          <cell r="A1443">
            <v>1</v>
          </cell>
          <cell r="C1443">
            <v>3</v>
          </cell>
          <cell r="D1443" t="str">
            <v>00</v>
          </cell>
          <cell r="E1443" t="str">
            <v>03</v>
          </cell>
          <cell r="F1443" t="str">
            <v>01</v>
          </cell>
          <cell r="I1443" t="str">
            <v>Program Pelayanan Administrasi Perkantoran</v>
          </cell>
          <cell r="K1443">
            <v>72</v>
          </cell>
          <cell r="L1443">
            <v>9596926960</v>
          </cell>
          <cell r="M1443">
            <v>24</v>
          </cell>
          <cell r="N1443">
            <v>2241606193</v>
          </cell>
          <cell r="O1443">
            <v>12</v>
          </cell>
          <cell r="P1443">
            <v>1529446674.8499999</v>
          </cell>
          <cell r="Q1443">
            <v>3</v>
          </cell>
          <cell r="R1443">
            <v>161531792</v>
          </cell>
          <cell r="T1443">
            <v>717928717</v>
          </cell>
          <cell r="Y1443">
            <v>3</v>
          </cell>
          <cell r="Z1443">
            <v>879460509</v>
          </cell>
          <cell r="AA1443">
            <v>27</v>
          </cell>
          <cell r="AB1443">
            <v>3121066702</v>
          </cell>
          <cell r="AC1443">
            <v>37.5</v>
          </cell>
          <cell r="AD1443">
            <v>32.521521889336128</v>
          </cell>
          <cell r="AE1443" t="str">
            <v>BPKD</v>
          </cell>
        </row>
        <row r="1444">
          <cell r="C1444">
            <v>3</v>
          </cell>
          <cell r="D1444" t="str">
            <v>00</v>
          </cell>
          <cell r="E1444" t="str">
            <v>03</v>
          </cell>
          <cell r="F1444" t="str">
            <v>01</v>
          </cell>
          <cell r="G1444" t="str">
            <v>02</v>
          </cell>
          <cell r="I1444" t="str">
            <v>Penyediaan Jasa Komunikasi Sumber Daya Air dan Listrik</v>
          </cell>
          <cell r="J1444" t="str">
            <v>Tersedianya dana untuk jasa pelayanan rek air, listrik dan Telp (bulan)</v>
          </cell>
          <cell r="K1444">
            <v>72</v>
          </cell>
          <cell r="L1444">
            <v>1032900000</v>
          </cell>
          <cell r="M1444">
            <v>24</v>
          </cell>
          <cell r="N1444">
            <v>287896053</v>
          </cell>
          <cell r="O1444">
            <v>12</v>
          </cell>
          <cell r="P1444">
            <v>167400000</v>
          </cell>
          <cell r="Q1444">
            <v>3</v>
          </cell>
          <cell r="R1444">
            <v>42712654</v>
          </cell>
          <cell r="S1444">
            <v>3</v>
          </cell>
          <cell r="T1444">
            <v>95178867</v>
          </cell>
          <cell r="U1444">
            <v>0</v>
          </cell>
          <cell r="V1444">
            <v>0</v>
          </cell>
          <cell r="W1444">
            <v>0</v>
          </cell>
          <cell r="X1444">
            <v>0</v>
          </cell>
          <cell r="Y1444">
            <v>6</v>
          </cell>
          <cell r="Z1444">
            <v>137891521</v>
          </cell>
          <cell r="AA1444">
            <v>30</v>
          </cell>
          <cell r="AB1444">
            <v>425787574</v>
          </cell>
          <cell r="AC1444">
            <v>0.41666666666666669</v>
          </cell>
          <cell r="AD1444">
            <v>0.41222535966695711</v>
          </cell>
        </row>
        <row r="1445">
          <cell r="C1445">
            <v>3</v>
          </cell>
          <cell r="D1445" t="str">
            <v>00</v>
          </cell>
          <cell r="E1445" t="str">
            <v>03</v>
          </cell>
          <cell r="F1445" t="str">
            <v>01</v>
          </cell>
          <cell r="G1445" t="str">
            <v>07</v>
          </cell>
          <cell r="I1445" t="str">
            <v>Penyediaan Jasa Administrasi Keuangan</v>
          </cell>
          <cell r="J1445" t="str">
            <v>Tersedianya dana Administrasi Jasa Pengelolaan Keuangan Daerah dalam 1 Tahun (bulan)</v>
          </cell>
          <cell r="K1445">
            <v>72</v>
          </cell>
          <cell r="L1445">
            <v>4152757712</v>
          </cell>
          <cell r="M1445">
            <v>24</v>
          </cell>
          <cell r="N1445">
            <v>461759940</v>
          </cell>
          <cell r="O1445">
            <v>12</v>
          </cell>
          <cell r="P1445">
            <v>841996200.35000002</v>
          </cell>
          <cell r="Q1445">
            <v>3</v>
          </cell>
          <cell r="R1445">
            <v>30434566</v>
          </cell>
          <cell r="S1445">
            <v>3</v>
          </cell>
          <cell r="T1445">
            <v>372127357</v>
          </cell>
          <cell r="U1445">
            <v>0</v>
          </cell>
          <cell r="V1445">
            <v>0</v>
          </cell>
          <cell r="W1445">
            <v>0</v>
          </cell>
          <cell r="X1445">
            <v>0</v>
          </cell>
          <cell r="Y1445">
            <v>6</v>
          </cell>
          <cell r="Z1445">
            <v>402561923</v>
          </cell>
          <cell r="AA1445">
            <v>30</v>
          </cell>
          <cell r="AB1445">
            <v>864321863</v>
          </cell>
          <cell r="AC1445">
            <v>0.41666666666666669</v>
          </cell>
          <cell r="AD1445">
            <v>0.20813202284891694</v>
          </cell>
        </row>
        <row r="1446">
          <cell r="C1446">
            <v>3</v>
          </cell>
          <cell r="D1446" t="str">
            <v>00</v>
          </cell>
          <cell r="E1446" t="str">
            <v>03</v>
          </cell>
          <cell r="F1446" t="str">
            <v>01</v>
          </cell>
          <cell r="G1446" t="str">
            <v>08</v>
          </cell>
          <cell r="I1446" t="str">
            <v>Penyediaan Jasa Kebersihan Kantor</v>
          </cell>
          <cell r="J1446" t="str">
            <v>Tersedianya Jasa Kebersihan Kantor (bulan)</v>
          </cell>
          <cell r="K1446">
            <v>72</v>
          </cell>
          <cell r="L1446">
            <v>957500000</v>
          </cell>
          <cell r="M1446">
            <v>24</v>
          </cell>
          <cell r="N1446">
            <v>287010570</v>
          </cell>
          <cell r="O1446">
            <v>12</v>
          </cell>
          <cell r="P1446">
            <v>152250000</v>
          </cell>
          <cell r="Q1446">
            <v>3</v>
          </cell>
          <cell r="R1446">
            <v>0</v>
          </cell>
          <cell r="S1446">
            <v>3</v>
          </cell>
          <cell r="T1446">
            <v>14343000</v>
          </cell>
          <cell r="U1446">
            <v>0</v>
          </cell>
          <cell r="V1446">
            <v>0</v>
          </cell>
          <cell r="W1446">
            <v>0</v>
          </cell>
          <cell r="X1446">
            <v>0</v>
          </cell>
          <cell r="Y1446">
            <v>6</v>
          </cell>
          <cell r="Z1446">
            <v>14343000</v>
          </cell>
          <cell r="AA1446">
            <v>30</v>
          </cell>
          <cell r="AB1446">
            <v>301353570</v>
          </cell>
          <cell r="AC1446">
            <v>0.41666666666666669</v>
          </cell>
          <cell r="AD1446">
            <v>0.31472957702349869</v>
          </cell>
        </row>
        <row r="1447">
          <cell r="C1447">
            <v>3</v>
          </cell>
          <cell r="D1447" t="str">
            <v>00</v>
          </cell>
          <cell r="E1447" t="str">
            <v>03</v>
          </cell>
          <cell r="F1447" t="str">
            <v>01</v>
          </cell>
          <cell r="G1447">
            <v>10</v>
          </cell>
          <cell r="I1447" t="str">
            <v>Penyediaan alat Tulis Kantor</v>
          </cell>
          <cell r="J1447" t="str">
            <v>Tersedianya Alat  Tulis Kantor (bulan)</v>
          </cell>
          <cell r="K1447">
            <v>72</v>
          </cell>
          <cell r="L1447">
            <v>320908386</v>
          </cell>
          <cell r="M1447">
            <v>24</v>
          </cell>
          <cell r="N1447">
            <v>109499082</v>
          </cell>
          <cell r="O1447">
            <v>12</v>
          </cell>
          <cell r="P1447">
            <v>31898768</v>
          </cell>
          <cell r="Q1447">
            <v>3</v>
          </cell>
          <cell r="R1447">
            <v>1695300</v>
          </cell>
          <cell r="S1447">
            <v>3</v>
          </cell>
          <cell r="T1447">
            <v>14151548</v>
          </cell>
          <cell r="U1447">
            <v>0</v>
          </cell>
          <cell r="V1447">
            <v>0</v>
          </cell>
          <cell r="W1447">
            <v>0</v>
          </cell>
          <cell r="X1447">
            <v>0</v>
          </cell>
          <cell r="Y1447">
            <v>6</v>
          </cell>
          <cell r="Z1447">
            <v>15846848</v>
          </cell>
          <cell r="AA1447">
            <v>30</v>
          </cell>
          <cell r="AB1447">
            <v>125345930</v>
          </cell>
          <cell r="AC1447">
            <v>0.41666666666666669</v>
          </cell>
          <cell r="AD1447">
            <v>0.39059724042238025</v>
          </cell>
        </row>
        <row r="1448">
          <cell r="C1448">
            <v>3</v>
          </cell>
          <cell r="D1448" t="str">
            <v>00</v>
          </cell>
          <cell r="E1448" t="str">
            <v>03</v>
          </cell>
          <cell r="F1448" t="str">
            <v>01</v>
          </cell>
          <cell r="G1448">
            <v>11</v>
          </cell>
          <cell r="I1448" t="str">
            <v xml:space="preserve">Penyediaan Barang Cetakan dan Penggandaan </v>
          </cell>
          <cell r="J1448" t="str">
            <v>Tersedianya Barang Cetakan dan Penggandaan (bulan)</v>
          </cell>
          <cell r="K1448">
            <v>72</v>
          </cell>
          <cell r="L1448">
            <v>243141229</v>
          </cell>
          <cell r="M1448">
            <v>24</v>
          </cell>
          <cell r="N1448">
            <v>79200836</v>
          </cell>
          <cell r="O1448">
            <v>12</v>
          </cell>
          <cell r="P1448">
            <v>34130529.5</v>
          </cell>
          <cell r="Q1448">
            <v>3</v>
          </cell>
          <cell r="R1448">
            <v>2475000</v>
          </cell>
          <cell r="S1448">
            <v>3</v>
          </cell>
          <cell r="T1448">
            <v>19240950</v>
          </cell>
          <cell r="U1448">
            <v>0</v>
          </cell>
          <cell r="V1448">
            <v>0</v>
          </cell>
          <cell r="W1448">
            <v>0</v>
          </cell>
          <cell r="X1448">
            <v>0</v>
          </cell>
          <cell r="Y1448">
            <v>6</v>
          </cell>
          <cell r="Z1448">
            <v>21715950</v>
          </cell>
          <cell r="AA1448">
            <v>30</v>
          </cell>
          <cell r="AB1448">
            <v>100916786</v>
          </cell>
          <cell r="AC1448">
            <v>0.41666666666666669</v>
          </cell>
          <cell r="AD1448">
            <v>0.41505419058320214</v>
          </cell>
        </row>
        <row r="1449">
          <cell r="C1449">
            <v>3</v>
          </cell>
          <cell r="D1449" t="str">
            <v>00</v>
          </cell>
          <cell r="E1449" t="str">
            <v>03</v>
          </cell>
          <cell r="F1449" t="str">
            <v>01</v>
          </cell>
          <cell r="G1449">
            <v>12</v>
          </cell>
          <cell r="I1449" t="str">
            <v>Penyediaan Komponen Instalasi Listrik/Penerangan bangunan kantor</v>
          </cell>
          <cell r="J1449" t="str">
            <v>Tersedianya Komponen Instalasi listrik/Penerangan Kantor (bulan)</v>
          </cell>
          <cell r="K1449">
            <v>72</v>
          </cell>
          <cell r="L1449">
            <v>131754000</v>
          </cell>
          <cell r="M1449">
            <v>24</v>
          </cell>
          <cell r="N1449">
            <v>26495020</v>
          </cell>
          <cell r="O1449">
            <v>12</v>
          </cell>
          <cell r="P1449">
            <v>14850000</v>
          </cell>
          <cell r="Q1449">
            <v>3</v>
          </cell>
          <cell r="R1449">
            <v>7451000</v>
          </cell>
          <cell r="S1449">
            <v>3</v>
          </cell>
          <cell r="T1449">
            <v>10256000</v>
          </cell>
          <cell r="U1449">
            <v>0</v>
          </cell>
          <cell r="V1449">
            <v>0</v>
          </cell>
          <cell r="W1449">
            <v>0</v>
          </cell>
          <cell r="X1449">
            <v>0</v>
          </cell>
          <cell r="Y1449">
            <v>6</v>
          </cell>
          <cell r="Z1449">
            <v>17707000</v>
          </cell>
          <cell r="AA1449">
            <v>30</v>
          </cell>
          <cell r="AB1449">
            <v>44202020</v>
          </cell>
          <cell r="AC1449">
            <v>0.41666666666666669</v>
          </cell>
          <cell r="AD1449">
            <v>0.3354890174112361</v>
          </cell>
        </row>
        <row r="1450">
          <cell r="C1450">
            <v>3</v>
          </cell>
          <cell r="D1450" t="str">
            <v>00</v>
          </cell>
          <cell r="E1450" t="str">
            <v>03</v>
          </cell>
          <cell r="F1450" t="str">
            <v>01</v>
          </cell>
          <cell r="G1450">
            <v>15</v>
          </cell>
          <cell r="I1450" t="str">
            <v>Penyediaan bahan bacaan dan peraturan perundang undangan</v>
          </cell>
          <cell r="J1450" t="str">
            <v xml:space="preserve">Tersedianya bahan bacaan dan peraturan perundang undangan (bulan) </v>
          </cell>
          <cell r="K1450">
            <v>72</v>
          </cell>
          <cell r="L1450">
            <v>123740000</v>
          </cell>
          <cell r="M1450">
            <v>24</v>
          </cell>
          <cell r="N1450">
            <v>14390000</v>
          </cell>
          <cell r="O1450">
            <v>12</v>
          </cell>
          <cell r="P1450">
            <v>13900000</v>
          </cell>
          <cell r="Q1450">
            <v>3</v>
          </cell>
          <cell r="R1450">
            <v>680000</v>
          </cell>
          <cell r="S1450">
            <v>3</v>
          </cell>
          <cell r="T1450">
            <v>10080000</v>
          </cell>
          <cell r="U1450">
            <v>0</v>
          </cell>
          <cell r="V1450">
            <v>0</v>
          </cell>
          <cell r="W1450">
            <v>0</v>
          </cell>
          <cell r="X1450">
            <v>0</v>
          </cell>
          <cell r="Y1450">
            <v>6</v>
          </cell>
          <cell r="Z1450">
            <v>10760000</v>
          </cell>
          <cell r="AA1450">
            <v>30</v>
          </cell>
          <cell r="AB1450">
            <v>25150000</v>
          </cell>
          <cell r="AC1450">
            <v>0.41666666666666669</v>
          </cell>
          <cell r="AD1450">
            <v>0.20324874737352513</v>
          </cell>
        </row>
        <row r="1451">
          <cell r="C1451">
            <v>3</v>
          </cell>
          <cell r="D1451" t="str">
            <v>00</v>
          </cell>
          <cell r="E1451" t="str">
            <v>03</v>
          </cell>
          <cell r="F1451" t="str">
            <v>01</v>
          </cell>
          <cell r="G1451">
            <v>17</v>
          </cell>
          <cell r="I1451" t="str">
            <v>Penyediaan makanan dan minuman</v>
          </cell>
          <cell r="J1451" t="str">
            <v>Tersedianya makan mimum rapat, tamu dan pegawai ( piket kantor) (bulan)</v>
          </cell>
          <cell r="K1451">
            <v>72</v>
          </cell>
          <cell r="L1451">
            <v>408485000</v>
          </cell>
          <cell r="M1451">
            <v>24</v>
          </cell>
          <cell r="N1451">
            <v>126600450</v>
          </cell>
          <cell r="O1451">
            <v>12</v>
          </cell>
          <cell r="P1451">
            <v>63475000</v>
          </cell>
          <cell r="Q1451">
            <v>3</v>
          </cell>
          <cell r="R1451">
            <v>8565200</v>
          </cell>
          <cell r="S1451">
            <v>3</v>
          </cell>
          <cell r="T1451">
            <v>33318200</v>
          </cell>
          <cell r="U1451">
            <v>0</v>
          </cell>
          <cell r="V1451">
            <v>0</v>
          </cell>
          <cell r="W1451">
            <v>0</v>
          </cell>
          <cell r="X1451">
            <v>0</v>
          </cell>
          <cell r="Y1451">
            <v>6</v>
          </cell>
          <cell r="Z1451">
            <v>41883400</v>
          </cell>
          <cell r="AA1451">
            <v>30</v>
          </cell>
          <cell r="AB1451">
            <v>168483850</v>
          </cell>
          <cell r="AC1451">
            <v>0.41666666666666669</v>
          </cell>
          <cell r="AD1451">
            <v>0.41246031066012218</v>
          </cell>
        </row>
        <row r="1452">
          <cell r="C1452">
            <v>3</v>
          </cell>
          <cell r="D1452" t="str">
            <v>00</v>
          </cell>
          <cell r="E1452" t="str">
            <v>03</v>
          </cell>
          <cell r="F1452" t="str">
            <v>01</v>
          </cell>
          <cell r="G1452">
            <v>18</v>
          </cell>
          <cell r="I1452" t="str">
            <v>Rapat - rapat koordinasi dan konsultasi ke Luar Daerah</v>
          </cell>
          <cell r="J1452" t="str">
            <v>Terselenggaranya rapat-rapat koordinasi dan konsultasi ke Luar Daerah (bulan)</v>
          </cell>
          <cell r="K1452">
            <v>72</v>
          </cell>
          <cell r="L1452">
            <v>1329898900</v>
          </cell>
          <cell r="M1452">
            <v>24</v>
          </cell>
          <cell r="N1452">
            <v>572719419</v>
          </cell>
          <cell r="O1452">
            <v>12</v>
          </cell>
          <cell r="P1452">
            <v>126594700</v>
          </cell>
          <cell r="Q1452">
            <v>3</v>
          </cell>
          <cell r="R1452">
            <v>48368792</v>
          </cell>
          <cell r="S1452">
            <v>3</v>
          </cell>
          <cell r="T1452">
            <v>94232672</v>
          </cell>
          <cell r="U1452">
            <v>0</v>
          </cell>
          <cell r="V1452">
            <v>0</v>
          </cell>
          <cell r="W1452">
            <v>0</v>
          </cell>
          <cell r="X1452">
            <v>0</v>
          </cell>
          <cell r="Y1452">
            <v>6</v>
          </cell>
          <cell r="Z1452">
            <v>142601464</v>
          </cell>
          <cell r="AA1452">
            <v>30</v>
          </cell>
          <cell r="AB1452">
            <v>715320883</v>
          </cell>
          <cell r="AC1452">
            <v>0.41666666666666669</v>
          </cell>
          <cell r="AD1452">
            <v>0.53787613705071868</v>
          </cell>
        </row>
        <row r="1453">
          <cell r="C1453">
            <v>3</v>
          </cell>
          <cell r="D1453" t="str">
            <v>00</v>
          </cell>
          <cell r="E1453" t="str">
            <v>03</v>
          </cell>
          <cell r="F1453" t="str">
            <v>01</v>
          </cell>
          <cell r="G1453">
            <v>20</v>
          </cell>
          <cell r="I1453" t="str">
            <v>Rapat - rapat koordinasi dan konsultasi ke  Dalam Daerah</v>
          </cell>
          <cell r="J1453" t="str">
            <v>Terselenggaranya rapat-rapat koordinasi dan konsultasi ke Dalam Daerah (bulan)</v>
          </cell>
          <cell r="K1453">
            <v>72</v>
          </cell>
          <cell r="L1453">
            <v>313189600</v>
          </cell>
          <cell r="M1453">
            <v>24</v>
          </cell>
          <cell r="N1453">
            <v>134588874</v>
          </cell>
          <cell r="O1453">
            <v>12</v>
          </cell>
          <cell r="P1453">
            <v>47300000</v>
          </cell>
          <cell r="Q1453">
            <v>3</v>
          </cell>
          <cell r="R1453">
            <v>14347000</v>
          </cell>
          <cell r="S1453">
            <v>3</v>
          </cell>
          <cell r="T1453">
            <v>43964793</v>
          </cell>
          <cell r="U1453">
            <v>0</v>
          </cell>
          <cell r="V1453">
            <v>0</v>
          </cell>
          <cell r="W1453">
            <v>0</v>
          </cell>
          <cell r="X1453">
            <v>0</v>
          </cell>
          <cell r="Y1453">
            <v>6</v>
          </cell>
          <cell r="Z1453">
            <v>58311793</v>
          </cell>
          <cell r="AA1453">
            <v>30</v>
          </cell>
          <cell r="AB1453">
            <v>192900667</v>
          </cell>
          <cell r="AC1453">
            <v>0.41666666666666669</v>
          </cell>
          <cell r="AD1453">
            <v>0.61592296487495113</v>
          </cell>
        </row>
        <row r="1454">
          <cell r="C1454">
            <v>3</v>
          </cell>
          <cell r="D1454" t="str">
            <v>00</v>
          </cell>
          <cell r="E1454" t="str">
            <v>03</v>
          </cell>
          <cell r="F1454" t="str">
            <v>01</v>
          </cell>
          <cell r="G1454">
            <v>22</v>
          </cell>
          <cell r="I1454" t="str">
            <v>Penunjang Operasional Perencanaan dan Pelaporan</v>
          </cell>
          <cell r="J1454" t="str">
            <v>Tersusunnya Dokumen Anggaran dan Pelaporan Pelaksanaan Pertanggungjawaban SKPD (bulan)</v>
          </cell>
          <cell r="K1454">
            <v>72</v>
          </cell>
          <cell r="L1454">
            <v>582652133</v>
          </cell>
          <cell r="M1454">
            <v>24</v>
          </cell>
          <cell r="N1454">
            <v>120861449</v>
          </cell>
          <cell r="O1454">
            <v>12</v>
          </cell>
          <cell r="P1454">
            <v>35651477</v>
          </cell>
          <cell r="Q1454">
            <v>3</v>
          </cell>
          <cell r="R1454">
            <v>4802280</v>
          </cell>
          <cell r="S1454">
            <v>3</v>
          </cell>
          <cell r="T1454">
            <v>11035330</v>
          </cell>
          <cell r="U1454">
            <v>0</v>
          </cell>
          <cell r="V1454">
            <v>0</v>
          </cell>
          <cell r="W1454">
            <v>0</v>
          </cell>
          <cell r="X1454">
            <v>0</v>
          </cell>
          <cell r="Y1454">
            <v>6</v>
          </cell>
          <cell r="Z1454">
            <v>15837610</v>
          </cell>
          <cell r="AA1454">
            <v>30</v>
          </cell>
          <cell r="AB1454">
            <v>136699059</v>
          </cell>
          <cell r="AC1454">
            <v>0.41666666666666669</v>
          </cell>
          <cell r="AD1454">
            <v>0.234615221085958</v>
          </cell>
        </row>
        <row r="1455">
          <cell r="I1455" t="str">
            <v>Penyusunan Rencana Strategis</v>
          </cell>
          <cell r="J1455" t="str">
            <v>Tersusunnya Renstra SKPD</v>
          </cell>
          <cell r="M1455">
            <v>1</v>
          </cell>
          <cell r="N1455">
            <v>20584500</v>
          </cell>
          <cell r="O1455">
            <v>1</v>
          </cell>
          <cell r="P1455">
            <v>0</v>
          </cell>
          <cell r="Q1455">
            <v>0</v>
          </cell>
          <cell r="R1455">
            <v>0</v>
          </cell>
          <cell r="S1455">
            <v>0</v>
          </cell>
          <cell r="T1455">
            <v>0</v>
          </cell>
          <cell r="U1455">
            <v>0</v>
          </cell>
          <cell r="V1455">
            <v>0</v>
          </cell>
          <cell r="W1455">
            <v>0</v>
          </cell>
          <cell r="X1455">
            <v>0</v>
          </cell>
          <cell r="Y1455">
            <v>0</v>
          </cell>
          <cell r="Z1455">
            <v>0</v>
          </cell>
          <cell r="AA1455">
            <v>1</v>
          </cell>
          <cell r="AB1455">
            <v>20584500</v>
          </cell>
        </row>
        <row r="1456">
          <cell r="A1456">
            <v>2</v>
          </cell>
          <cell r="C1456">
            <v>3</v>
          </cell>
          <cell r="D1456" t="str">
            <v>00</v>
          </cell>
          <cell r="E1456" t="str">
            <v>03</v>
          </cell>
          <cell r="F1456" t="str">
            <v>02</v>
          </cell>
          <cell r="I1456" t="str">
            <v>Program Penyediaan Sarana Prasana Aparatur</v>
          </cell>
          <cell r="K1456">
            <v>72</v>
          </cell>
          <cell r="L1456">
            <v>17905015886</v>
          </cell>
          <cell r="M1456">
            <v>24</v>
          </cell>
          <cell r="N1456">
            <v>5698867511</v>
          </cell>
          <cell r="O1456">
            <v>12</v>
          </cell>
          <cell r="P1456">
            <v>1824490750</v>
          </cell>
          <cell r="Q1456">
            <v>3</v>
          </cell>
          <cell r="R1456">
            <v>220256402</v>
          </cell>
          <cell r="T1456">
            <v>1477227251</v>
          </cell>
          <cell r="Y1456">
            <v>3</v>
          </cell>
          <cell r="Z1456">
            <v>1697483653</v>
          </cell>
          <cell r="AA1456">
            <v>27</v>
          </cell>
          <cell r="AB1456">
            <v>7396351164</v>
          </cell>
          <cell r="AC1456">
            <v>37.5</v>
          </cell>
          <cell r="AD1456">
            <v>41.308822126112915</v>
          </cell>
          <cell r="AE1456" t="str">
            <v>BPKD</v>
          </cell>
        </row>
        <row r="1457">
          <cell r="C1457">
            <v>3</v>
          </cell>
          <cell r="D1457" t="str">
            <v>00</v>
          </cell>
          <cell r="E1457" t="str">
            <v>03</v>
          </cell>
          <cell r="F1457" t="str">
            <v>02</v>
          </cell>
          <cell r="G1457" t="str">
            <v>05</v>
          </cell>
          <cell r="I1457" t="str">
            <v>Pengadaan Kendaraan Dinas/Operasional</v>
          </cell>
          <cell r="J1457" t="str">
            <v>Tersedianyan Kendaraan Dinas Jabatan dan Operasional (unit)</v>
          </cell>
          <cell r="K1457">
            <v>35</v>
          </cell>
          <cell r="L1457">
            <v>13655656840</v>
          </cell>
          <cell r="M1457">
            <v>17</v>
          </cell>
          <cell r="N1457">
            <v>4540713960</v>
          </cell>
          <cell r="O1457">
            <v>3</v>
          </cell>
          <cell r="P1457">
            <v>1400330000</v>
          </cell>
          <cell r="Q1457">
            <v>0</v>
          </cell>
          <cell r="R1457">
            <v>132407889</v>
          </cell>
          <cell r="S1457">
            <v>0</v>
          </cell>
          <cell r="T1457">
            <v>1254173389</v>
          </cell>
          <cell r="U1457">
            <v>0</v>
          </cell>
          <cell r="V1457">
            <v>0</v>
          </cell>
          <cell r="W1457">
            <v>0</v>
          </cell>
          <cell r="X1457">
            <v>0</v>
          </cell>
          <cell r="Y1457">
            <v>0</v>
          </cell>
          <cell r="Z1457">
            <v>1386581278</v>
          </cell>
          <cell r="AA1457">
            <v>17</v>
          </cell>
          <cell r="AB1457">
            <v>5927295238</v>
          </cell>
          <cell r="AC1457">
            <v>0.48571428571428571</v>
          </cell>
          <cell r="AD1457">
            <v>0.43405420240481085</v>
          </cell>
        </row>
        <row r="1458">
          <cell r="C1458">
            <v>3</v>
          </cell>
          <cell r="D1458" t="str">
            <v>00</v>
          </cell>
          <cell r="E1458" t="str">
            <v>03</v>
          </cell>
          <cell r="F1458" t="str">
            <v>02</v>
          </cell>
          <cell r="G1458" t="str">
            <v>07</v>
          </cell>
          <cell r="I1458" t="str">
            <v>Pengadaan Perlengkapan gedung kantor</v>
          </cell>
          <cell r="J1458" t="str">
            <v>Terpenuhinya kebutuhan Perlengkapan gedung kantor (unit)</v>
          </cell>
          <cell r="K1458">
            <v>25</v>
          </cell>
          <cell r="L1458">
            <v>448000000</v>
          </cell>
          <cell r="M1458">
            <v>3</v>
          </cell>
          <cell r="N1458">
            <v>128838700</v>
          </cell>
          <cell r="O1458">
            <v>0</v>
          </cell>
          <cell r="P1458">
            <v>0</v>
          </cell>
          <cell r="Q1458">
            <v>0</v>
          </cell>
          <cell r="R1458">
            <v>0</v>
          </cell>
          <cell r="S1458">
            <v>0</v>
          </cell>
          <cell r="T1458">
            <v>0</v>
          </cell>
          <cell r="U1458">
            <v>0</v>
          </cell>
          <cell r="V1458">
            <v>0</v>
          </cell>
          <cell r="W1458">
            <v>0</v>
          </cell>
          <cell r="X1458">
            <v>0</v>
          </cell>
          <cell r="Y1458">
            <v>0</v>
          </cell>
          <cell r="Z1458">
            <v>0</v>
          </cell>
          <cell r="AA1458">
            <v>3</v>
          </cell>
          <cell r="AB1458">
            <v>128838700</v>
          </cell>
          <cell r="AC1458">
            <v>0.12</v>
          </cell>
          <cell r="AD1458">
            <v>0.28758638392857144</v>
          </cell>
        </row>
        <row r="1459">
          <cell r="C1459">
            <v>3</v>
          </cell>
          <cell r="D1459" t="str">
            <v>00</v>
          </cell>
          <cell r="E1459" t="str">
            <v>03</v>
          </cell>
          <cell r="F1459" t="str">
            <v>02</v>
          </cell>
          <cell r="G1459" t="str">
            <v>09</v>
          </cell>
          <cell r="I1459" t="str">
            <v>Pengadaan Peralatan gedung kantor</v>
          </cell>
          <cell r="J1459" t="str">
            <v>Terpenuhinya kebutuhan peralatan gedung kantor (unit)</v>
          </cell>
          <cell r="K1459">
            <v>33</v>
          </cell>
          <cell r="L1459">
            <v>225043296</v>
          </cell>
          <cell r="M1459">
            <v>7</v>
          </cell>
          <cell r="N1459">
            <v>210539500</v>
          </cell>
          <cell r="O1459">
            <v>0</v>
          </cell>
          <cell r="P1459">
            <v>0</v>
          </cell>
          <cell r="Q1459">
            <v>0</v>
          </cell>
          <cell r="R1459">
            <v>0</v>
          </cell>
          <cell r="S1459">
            <v>0</v>
          </cell>
          <cell r="T1459">
            <v>0</v>
          </cell>
          <cell r="U1459">
            <v>0</v>
          </cell>
          <cell r="V1459">
            <v>0</v>
          </cell>
          <cell r="W1459">
            <v>0</v>
          </cell>
          <cell r="X1459">
            <v>0</v>
          </cell>
          <cell r="Y1459">
            <v>0</v>
          </cell>
          <cell r="Z1459">
            <v>0</v>
          </cell>
          <cell r="AA1459">
            <v>7</v>
          </cell>
          <cell r="AB1459">
            <v>210539500</v>
          </cell>
          <cell r="AC1459">
            <v>0.21212121212121213</v>
          </cell>
          <cell r="AD1459">
            <v>0.93555108613410998</v>
          </cell>
        </row>
        <row r="1460">
          <cell r="C1460">
            <v>3</v>
          </cell>
          <cell r="D1460" t="str">
            <v>00</v>
          </cell>
          <cell r="E1460" t="str">
            <v>03</v>
          </cell>
          <cell r="F1460" t="str">
            <v>02</v>
          </cell>
          <cell r="G1460" t="str">
            <v>10</v>
          </cell>
          <cell r="I1460" t="str">
            <v>Pengadaan Meubiler</v>
          </cell>
          <cell r="K1460">
            <v>50</v>
          </cell>
          <cell r="L1460">
            <v>159000000</v>
          </cell>
          <cell r="M1460">
            <v>8</v>
          </cell>
          <cell r="N1460">
            <v>22930000</v>
          </cell>
          <cell r="O1460">
            <v>0</v>
          </cell>
          <cell r="P1460">
            <v>0</v>
          </cell>
          <cell r="Q1460">
            <v>0</v>
          </cell>
          <cell r="R1460">
            <v>0</v>
          </cell>
          <cell r="S1460">
            <v>0</v>
          </cell>
          <cell r="T1460">
            <v>0</v>
          </cell>
          <cell r="U1460">
            <v>0</v>
          </cell>
          <cell r="V1460">
            <v>0</v>
          </cell>
          <cell r="W1460">
            <v>0</v>
          </cell>
          <cell r="X1460">
            <v>0</v>
          </cell>
          <cell r="Y1460">
            <v>0</v>
          </cell>
          <cell r="Z1460">
            <v>0</v>
          </cell>
          <cell r="AA1460">
            <v>8</v>
          </cell>
          <cell r="AB1460">
            <v>22930000</v>
          </cell>
          <cell r="AC1460">
            <v>0.16</v>
          </cell>
          <cell r="AD1460">
            <v>0.14421383647798741</v>
          </cell>
        </row>
        <row r="1461">
          <cell r="C1461">
            <v>3</v>
          </cell>
          <cell r="D1461" t="str">
            <v>00</v>
          </cell>
          <cell r="E1461" t="str">
            <v>03</v>
          </cell>
          <cell r="F1461" t="str">
            <v>02</v>
          </cell>
          <cell r="G1461">
            <v>22</v>
          </cell>
          <cell r="I1461" t="str">
            <v>Pemeliharaan Rutin Berkala Gedung Kantor</v>
          </cell>
          <cell r="J1461" t="str">
            <v>Terpeliharanya Gedung Kantor (unit)</v>
          </cell>
          <cell r="K1461">
            <v>6</v>
          </cell>
          <cell r="L1461">
            <v>1244800000</v>
          </cell>
          <cell r="M1461">
            <v>2</v>
          </cell>
          <cell r="N1461">
            <v>484921280</v>
          </cell>
          <cell r="O1461">
            <v>1</v>
          </cell>
          <cell r="P1461">
            <v>185400000</v>
          </cell>
          <cell r="Q1461" t="str">
            <v>0</v>
          </cell>
          <cell r="R1461">
            <v>35947000</v>
          </cell>
          <cell r="S1461" t="str">
            <v>-</v>
          </cell>
          <cell r="T1461">
            <v>129897000</v>
          </cell>
          <cell r="U1461">
            <v>0</v>
          </cell>
          <cell r="V1461">
            <v>0</v>
          </cell>
          <cell r="W1461">
            <v>0</v>
          </cell>
          <cell r="X1461">
            <v>0</v>
          </cell>
          <cell r="Y1461">
            <v>0</v>
          </cell>
          <cell r="Z1461">
            <v>165844000</v>
          </cell>
          <cell r="AA1461">
            <v>2</v>
          </cell>
          <cell r="AB1461">
            <v>650765280</v>
          </cell>
          <cell r="AC1461">
            <v>0.33333333333333331</v>
          </cell>
          <cell r="AD1461">
            <v>0.5227870179948586</v>
          </cell>
        </row>
        <row r="1462">
          <cell r="C1462">
            <v>3</v>
          </cell>
          <cell r="D1462" t="str">
            <v>00</v>
          </cell>
          <cell r="E1462" t="str">
            <v>03</v>
          </cell>
          <cell r="F1462" t="str">
            <v>02</v>
          </cell>
          <cell r="G1462">
            <v>24</v>
          </cell>
          <cell r="I1462" t="str">
            <v>Pemeliharaan Rutin/Berkala Kendaraan Dinas/Operasional</v>
          </cell>
          <cell r="J1462" t="str">
            <v>Terpeliharanya Kendaraan Dinas Opeasional (Kendaraan Roda4 dan Roda 2) (bulan)</v>
          </cell>
          <cell r="K1462">
            <v>72</v>
          </cell>
          <cell r="L1462">
            <v>1402115750</v>
          </cell>
          <cell r="M1462">
            <v>24</v>
          </cell>
          <cell r="N1462">
            <v>263493151</v>
          </cell>
          <cell r="O1462">
            <v>12</v>
          </cell>
          <cell r="P1462">
            <v>203760750</v>
          </cell>
          <cell r="Q1462">
            <v>3</v>
          </cell>
          <cell r="R1462">
            <v>36781786</v>
          </cell>
          <cell r="S1462">
            <v>3</v>
          </cell>
          <cell r="T1462">
            <v>69247135</v>
          </cell>
          <cell r="U1462">
            <v>0</v>
          </cell>
          <cell r="V1462">
            <v>0</v>
          </cell>
          <cell r="W1462">
            <v>0</v>
          </cell>
          <cell r="X1462">
            <v>0</v>
          </cell>
          <cell r="Y1462">
            <v>6</v>
          </cell>
          <cell r="Z1462">
            <v>106028921</v>
          </cell>
          <cell r="AA1462">
            <v>30</v>
          </cell>
          <cell r="AB1462">
            <v>369522072</v>
          </cell>
          <cell r="AC1462">
            <v>0.41666666666666669</v>
          </cell>
          <cell r="AD1462">
            <v>0.26354605317000396</v>
          </cell>
        </row>
        <row r="1463">
          <cell r="C1463">
            <v>3</v>
          </cell>
          <cell r="D1463" t="str">
            <v>00</v>
          </cell>
          <cell r="E1463" t="str">
            <v>03</v>
          </cell>
          <cell r="F1463" t="str">
            <v>02</v>
          </cell>
          <cell r="G1463">
            <v>26</v>
          </cell>
          <cell r="I1463" t="str">
            <v>Pemeliharaan Rutin/Berkala Perlengkapan Gedung Kantor</v>
          </cell>
          <cell r="J1463" t="str">
            <v>Terpeliharanya Perlengkapan Kantor (buan)</v>
          </cell>
          <cell r="K1463">
            <v>72</v>
          </cell>
          <cell r="L1463">
            <v>770400000</v>
          </cell>
          <cell r="M1463">
            <v>24</v>
          </cell>
          <cell r="N1463">
            <v>47430920</v>
          </cell>
          <cell r="O1463">
            <v>12</v>
          </cell>
          <cell r="P1463">
            <v>35000000</v>
          </cell>
          <cell r="Q1463">
            <v>3</v>
          </cell>
          <cell r="R1463">
            <v>15119727</v>
          </cell>
          <cell r="S1463">
            <v>3</v>
          </cell>
          <cell r="T1463">
            <v>23909727</v>
          </cell>
          <cell r="U1463">
            <v>0</v>
          </cell>
          <cell r="V1463">
            <v>0</v>
          </cell>
          <cell r="W1463">
            <v>0</v>
          </cell>
          <cell r="X1463">
            <v>0</v>
          </cell>
          <cell r="Y1463">
            <v>6</v>
          </cell>
          <cell r="Z1463">
            <v>39029454</v>
          </cell>
          <cell r="AA1463">
            <v>30</v>
          </cell>
          <cell r="AB1463">
            <v>86460374</v>
          </cell>
          <cell r="AC1463">
            <v>0.41666666666666669</v>
          </cell>
          <cell r="AD1463">
            <v>0.11222789979231568</v>
          </cell>
        </row>
        <row r="1464">
          <cell r="A1464">
            <v>3</v>
          </cell>
          <cell r="C1464">
            <v>3</v>
          </cell>
          <cell r="D1464" t="str">
            <v>00</v>
          </cell>
          <cell r="E1464" t="str">
            <v>03</v>
          </cell>
          <cell r="F1464" t="str">
            <v>06</v>
          </cell>
          <cell r="I1464" t="str">
            <v>Program Peningkatan Pengembangan Sistem Pelaporan Capaian Kinerja dan Keuangan</v>
          </cell>
          <cell r="J1464" t="str">
            <v xml:space="preserve">Tercapainya Optimalisasi Sistem Pelaporan Capainan Kinerja dan Keuangan </v>
          </cell>
          <cell r="K1464">
            <v>0.9</v>
          </cell>
          <cell r="L1464">
            <v>1106753905</v>
          </cell>
          <cell r="M1464">
            <v>0.6</v>
          </cell>
          <cell r="N1464">
            <v>295593761</v>
          </cell>
          <cell r="O1464">
            <v>0.1</v>
          </cell>
          <cell r="P1464">
            <v>179930626</v>
          </cell>
          <cell r="R1464">
            <v>1409463</v>
          </cell>
          <cell r="T1464">
            <v>32554126</v>
          </cell>
          <cell r="Y1464">
            <v>0</v>
          </cell>
          <cell r="Z1464">
            <v>33963589</v>
          </cell>
          <cell r="AA1464">
            <v>0.6</v>
          </cell>
          <cell r="AB1464">
            <v>329557350</v>
          </cell>
          <cell r="AC1464">
            <v>66.666666666666657</v>
          </cell>
          <cell r="AD1464">
            <v>29.776931304344483</v>
          </cell>
          <cell r="AE1464" t="str">
            <v>BPKD</v>
          </cell>
        </row>
        <row r="1465">
          <cell r="C1465">
            <v>3</v>
          </cell>
          <cell r="D1465" t="str">
            <v>00</v>
          </cell>
          <cell r="E1465" t="str">
            <v>03</v>
          </cell>
          <cell r="F1465" t="str">
            <v>06</v>
          </cell>
          <cell r="G1465" t="str">
            <v>02</v>
          </cell>
          <cell r="I1465" t="str">
            <v>Penyusunan Laporan Keuangan Semesteran</v>
          </cell>
          <cell r="J1465" t="str">
            <v>Tersedianya informasi keuangan semester (buku)</v>
          </cell>
          <cell r="K1465">
            <v>1080</v>
          </cell>
          <cell r="L1465">
            <v>452640035</v>
          </cell>
          <cell r="M1465">
            <v>440</v>
          </cell>
          <cell r="N1465">
            <v>115508498</v>
          </cell>
          <cell r="O1465">
            <v>160</v>
          </cell>
          <cell r="P1465">
            <v>58165001</v>
          </cell>
          <cell r="Q1465">
            <v>0</v>
          </cell>
          <cell r="R1465">
            <v>0</v>
          </cell>
          <cell r="S1465">
            <v>0</v>
          </cell>
          <cell r="T1465">
            <v>9140730</v>
          </cell>
          <cell r="U1465">
            <v>0</v>
          </cell>
          <cell r="V1465">
            <v>0</v>
          </cell>
          <cell r="W1465">
            <v>0</v>
          </cell>
          <cell r="X1465">
            <v>0</v>
          </cell>
          <cell r="Y1465">
            <v>0</v>
          </cell>
          <cell r="Z1465">
            <v>9140730</v>
          </cell>
          <cell r="AA1465">
            <v>440</v>
          </cell>
          <cell r="AB1465">
            <v>124649228</v>
          </cell>
          <cell r="AC1465">
            <v>0.40740740740740738</v>
          </cell>
          <cell r="AD1465">
            <v>0.27538268460941595</v>
          </cell>
        </row>
        <row r="1466">
          <cell r="C1466">
            <v>3</v>
          </cell>
          <cell r="D1466" t="str">
            <v>00</v>
          </cell>
          <cell r="E1466" t="str">
            <v>03</v>
          </cell>
          <cell r="F1466" t="str">
            <v>06</v>
          </cell>
          <cell r="G1466" t="str">
            <v>04</v>
          </cell>
          <cell r="I1466" t="str">
            <v>Penyusunan Pelaporan Keuangan Akhir Tahun</v>
          </cell>
          <cell r="J1466" t="str">
            <v>Terpenuhinya informasi keuangan daerah yang transparansi (buku)</v>
          </cell>
          <cell r="K1466">
            <v>540</v>
          </cell>
          <cell r="L1466">
            <v>654113870</v>
          </cell>
          <cell r="M1466">
            <v>180</v>
          </cell>
          <cell r="N1466">
            <v>180085263</v>
          </cell>
          <cell r="O1466">
            <v>90</v>
          </cell>
          <cell r="P1466">
            <v>121765625</v>
          </cell>
          <cell r="Q1466">
            <v>0</v>
          </cell>
          <cell r="R1466">
            <v>1409463</v>
          </cell>
          <cell r="S1466">
            <v>0</v>
          </cell>
          <cell r="T1466">
            <v>23413396</v>
          </cell>
          <cell r="U1466">
            <v>0</v>
          </cell>
          <cell r="V1466">
            <v>0</v>
          </cell>
          <cell r="W1466">
            <v>0</v>
          </cell>
          <cell r="X1466">
            <v>0</v>
          </cell>
          <cell r="Y1466">
            <v>0</v>
          </cell>
          <cell r="Z1466">
            <v>24822859</v>
          </cell>
          <cell r="AA1466">
            <v>180</v>
          </cell>
          <cell r="AB1466">
            <v>204908122</v>
          </cell>
          <cell r="AC1466">
            <v>0.33333333333333331</v>
          </cell>
          <cell r="AD1466">
            <v>0.31326062845907854</v>
          </cell>
        </row>
        <row r="1467">
          <cell r="A1467">
            <v>4</v>
          </cell>
          <cell r="C1467">
            <v>3</v>
          </cell>
          <cell r="D1467" t="str">
            <v>00</v>
          </cell>
          <cell r="E1467" t="str">
            <v>03</v>
          </cell>
          <cell r="F1467">
            <v>15</v>
          </cell>
          <cell r="I1467" t="str">
            <v>Program Pengembangan Pemasaran Pariwisata</v>
          </cell>
          <cell r="J1467" t="str">
            <v>Tersosialisanya program PD melalui promosi</v>
          </cell>
          <cell r="K1467">
            <v>100</v>
          </cell>
          <cell r="L1467">
            <v>116000000</v>
          </cell>
          <cell r="M1467">
            <v>80</v>
          </cell>
          <cell r="N1467">
            <v>14802291</v>
          </cell>
          <cell r="O1467">
            <v>5</v>
          </cell>
          <cell r="P1467">
            <v>16000000</v>
          </cell>
          <cell r="Q1467">
            <v>0</v>
          </cell>
          <cell r="R1467">
            <v>0</v>
          </cell>
          <cell r="T1467">
            <v>15541362</v>
          </cell>
          <cell r="Y1467">
            <v>0</v>
          </cell>
          <cell r="Z1467">
            <v>15541362</v>
          </cell>
          <cell r="AA1467">
            <v>80</v>
          </cell>
          <cell r="AB1467">
            <v>30343653</v>
          </cell>
          <cell r="AC1467">
            <v>80</v>
          </cell>
          <cell r="AD1467">
            <v>26.158321551724139</v>
          </cell>
          <cell r="AE1467" t="str">
            <v>BPKD</v>
          </cell>
        </row>
        <row r="1468">
          <cell r="C1468">
            <v>3</v>
          </cell>
          <cell r="D1468" t="str">
            <v>00</v>
          </cell>
          <cell r="E1468" t="str">
            <v>03</v>
          </cell>
          <cell r="F1468">
            <v>15</v>
          </cell>
          <cell r="G1468">
            <v>10</v>
          </cell>
          <cell r="I1468" t="str">
            <v>Pelaksanaan Festival Langkisau</v>
          </cell>
          <cell r="J1468" t="str">
            <v>Terlaksananya Pameran pada Festival Langkisau (persen)</v>
          </cell>
          <cell r="K1468">
            <v>6</v>
          </cell>
          <cell r="L1468">
            <v>116000000</v>
          </cell>
          <cell r="M1468">
            <v>2</v>
          </cell>
          <cell r="N1468">
            <v>14802291</v>
          </cell>
          <cell r="O1468">
            <v>1</v>
          </cell>
          <cell r="P1468">
            <v>16000000</v>
          </cell>
          <cell r="Q1468">
            <v>25</v>
          </cell>
          <cell r="R1468">
            <v>0</v>
          </cell>
          <cell r="S1468">
            <v>75</v>
          </cell>
          <cell r="T1468">
            <v>15541362</v>
          </cell>
          <cell r="U1468">
            <v>0</v>
          </cell>
          <cell r="V1468">
            <v>0</v>
          </cell>
          <cell r="W1468">
            <v>0</v>
          </cell>
          <cell r="X1468">
            <v>0</v>
          </cell>
          <cell r="Y1468">
            <v>100</v>
          </cell>
          <cell r="Z1468">
            <v>15541362</v>
          </cell>
          <cell r="AA1468">
            <v>102</v>
          </cell>
          <cell r="AB1468">
            <v>30343653</v>
          </cell>
          <cell r="AC1468">
            <v>17</v>
          </cell>
          <cell r="AD1468">
            <v>0.2615832155172414</v>
          </cell>
        </row>
        <row r="1469">
          <cell r="A1469">
            <v>5</v>
          </cell>
          <cell r="C1469">
            <v>3</v>
          </cell>
          <cell r="D1469" t="str">
            <v>00</v>
          </cell>
          <cell r="E1469" t="str">
            <v>03</v>
          </cell>
          <cell r="F1469">
            <v>20</v>
          </cell>
          <cell r="I1469" t="str">
            <v>Program Peningkatan Sistem Pegawasan Internal dan Pengendalian Pelaksanaan Kebijakan KDH</v>
          </cell>
          <cell r="J1469" t="str">
            <v>Tercapainya pencegahan kerugian negara</v>
          </cell>
          <cell r="K1469">
            <v>100</v>
          </cell>
          <cell r="L1469">
            <v>838611213</v>
          </cell>
          <cell r="M1469">
            <v>95</v>
          </cell>
          <cell r="N1469">
            <v>257419968</v>
          </cell>
          <cell r="O1469">
            <v>3</v>
          </cell>
          <cell r="P1469">
            <v>118893022</v>
          </cell>
          <cell r="Q1469">
            <v>0</v>
          </cell>
          <cell r="S1469">
            <v>1</v>
          </cell>
          <cell r="T1469">
            <v>12786540</v>
          </cell>
          <cell r="Y1469">
            <v>1</v>
          </cell>
          <cell r="Z1469">
            <v>12786540</v>
          </cell>
          <cell r="AA1469">
            <v>96</v>
          </cell>
          <cell r="AB1469">
            <v>270206508</v>
          </cell>
          <cell r="AC1469">
            <v>96</v>
          </cell>
          <cell r="AD1469">
            <v>32.220712507930656</v>
          </cell>
          <cell r="AE1469" t="str">
            <v>BPKD</v>
          </cell>
        </row>
        <row r="1470">
          <cell r="C1470">
            <v>3</v>
          </cell>
          <cell r="D1470" t="str">
            <v>00</v>
          </cell>
          <cell r="E1470" t="str">
            <v>03</v>
          </cell>
          <cell r="F1470">
            <v>20</v>
          </cell>
          <cell r="G1470">
            <v>33</v>
          </cell>
          <cell r="I1470" t="str">
            <v>Penanganan Kasus dan Penyelesaian Ganti Kerugian Negara/Daerah</v>
          </cell>
          <cell r="J1470" t="str">
            <v>Terlaksananya peningkatan sistem Pengawasan Internal (persen)</v>
          </cell>
          <cell r="K1470">
            <v>6</v>
          </cell>
          <cell r="L1470">
            <v>838611213</v>
          </cell>
          <cell r="M1470">
            <v>2</v>
          </cell>
          <cell r="N1470">
            <v>257419968</v>
          </cell>
          <cell r="O1470">
            <v>1</v>
          </cell>
          <cell r="P1470">
            <v>118893022</v>
          </cell>
          <cell r="S1470">
            <v>1</v>
          </cell>
          <cell r="T1470">
            <v>12786540</v>
          </cell>
          <cell r="U1470">
            <v>0</v>
          </cell>
          <cell r="V1470">
            <v>0</v>
          </cell>
          <cell r="W1470">
            <v>0</v>
          </cell>
          <cell r="X1470">
            <v>0</v>
          </cell>
          <cell r="Y1470">
            <v>1</v>
          </cell>
          <cell r="Z1470">
            <v>12786540</v>
          </cell>
          <cell r="AA1470">
            <v>3</v>
          </cell>
          <cell r="AB1470">
            <v>270206508</v>
          </cell>
          <cell r="AC1470">
            <v>0.5</v>
          </cell>
          <cell r="AD1470">
            <v>0.32220712507930654</v>
          </cell>
        </row>
        <row r="1471">
          <cell r="A1471">
            <v>6</v>
          </cell>
          <cell r="C1471">
            <v>3</v>
          </cell>
          <cell r="D1471" t="str">
            <v>00</v>
          </cell>
          <cell r="E1471" t="str">
            <v>03</v>
          </cell>
          <cell r="F1471">
            <v>17</v>
          </cell>
          <cell r="I1471" t="str">
            <v>Program Peningkatan dan Pengembangan Pengelolaan Keuangan Daerah</v>
          </cell>
          <cell r="J1471" t="str">
            <v>dokumen apbd dan p-apbd tepat waktu (dokumen)</v>
          </cell>
          <cell r="K1471">
            <v>4</v>
          </cell>
          <cell r="L1471">
            <v>17868881298</v>
          </cell>
          <cell r="M1471">
            <v>4</v>
          </cell>
          <cell r="N1471">
            <v>4433625297</v>
          </cell>
          <cell r="O1471">
            <v>4</v>
          </cell>
          <cell r="P1471">
            <v>2505710841</v>
          </cell>
          <cell r="R1471">
            <v>235502538</v>
          </cell>
          <cell r="T1471">
            <v>684555360</v>
          </cell>
          <cell r="Y1471">
            <v>0</v>
          </cell>
          <cell r="Z1471">
            <v>920057898</v>
          </cell>
          <cell r="AA1471">
            <v>4</v>
          </cell>
          <cell r="AB1471">
            <v>5353683195</v>
          </cell>
          <cell r="AC1471">
            <v>100</v>
          </cell>
          <cell r="AD1471">
            <v>29.960930993476452</v>
          </cell>
          <cell r="AE1471" t="str">
            <v>BPKD</v>
          </cell>
        </row>
        <row r="1472">
          <cell r="J1472" t="str">
            <v>Persentase perangkat daerah yang tertib Penatausahaan Barang Milik Daerah (persen)</v>
          </cell>
          <cell r="K1472">
            <v>0.75</v>
          </cell>
          <cell r="M1472">
            <v>0.75</v>
          </cell>
          <cell r="O1472">
            <v>0.75</v>
          </cell>
          <cell r="Y1472">
            <v>0</v>
          </cell>
          <cell r="Z1472">
            <v>0</v>
          </cell>
          <cell r="AA1472">
            <v>0.75</v>
          </cell>
          <cell r="AB1472">
            <v>0</v>
          </cell>
          <cell r="AC1472">
            <v>100</v>
          </cell>
        </row>
        <row r="1473">
          <cell r="J1473" t="str">
            <v>Persentase penyelesaian administrasi keuangan sesuai SOP</v>
          </cell>
          <cell r="K1473">
            <v>1</v>
          </cell>
          <cell r="M1473">
            <v>1</v>
          </cell>
          <cell r="O1473">
            <v>1</v>
          </cell>
          <cell r="Y1473">
            <v>0</v>
          </cell>
          <cell r="Z1473">
            <v>0</v>
          </cell>
          <cell r="AA1473">
            <v>1</v>
          </cell>
          <cell r="AB1473">
            <v>0</v>
          </cell>
          <cell r="AC1473">
            <v>100</v>
          </cell>
        </row>
        <row r="1474">
          <cell r="C1474">
            <v>3</v>
          </cell>
          <cell r="D1474" t="str">
            <v>00</v>
          </cell>
          <cell r="E1474" t="str">
            <v>03</v>
          </cell>
          <cell r="F1474">
            <v>17</v>
          </cell>
          <cell r="G1474" t="str">
            <v>02</v>
          </cell>
          <cell r="I1474" t="str">
            <v xml:space="preserve">Penyusunan Standar Satuan Harga </v>
          </cell>
          <cell r="J1474" t="str">
            <v>Tersusunnya Standar Harga (buku)</v>
          </cell>
          <cell r="K1474">
            <v>790</v>
          </cell>
          <cell r="L1474">
            <v>486666048</v>
          </cell>
          <cell r="M1474">
            <v>230</v>
          </cell>
          <cell r="N1474">
            <v>160014900</v>
          </cell>
          <cell r="O1474">
            <v>0</v>
          </cell>
          <cell r="P1474">
            <v>0</v>
          </cell>
          <cell r="Q1474">
            <v>0</v>
          </cell>
          <cell r="R1474">
            <v>0</v>
          </cell>
          <cell r="S1474">
            <v>0</v>
          </cell>
          <cell r="T1474">
            <v>0</v>
          </cell>
          <cell r="U1474">
            <v>0</v>
          </cell>
          <cell r="V1474">
            <v>0</v>
          </cell>
          <cell r="W1474">
            <v>0</v>
          </cell>
          <cell r="X1474">
            <v>0</v>
          </cell>
          <cell r="Y1474">
            <v>0</v>
          </cell>
          <cell r="Z1474">
            <v>0</v>
          </cell>
          <cell r="AA1474">
            <v>230</v>
          </cell>
          <cell r="AB1474">
            <v>160014900</v>
          </cell>
          <cell r="AC1474">
            <v>0.29113924050632911</v>
          </cell>
          <cell r="AD1474">
            <v>0.32879815770505527</v>
          </cell>
        </row>
        <row r="1475">
          <cell r="C1475">
            <v>3</v>
          </cell>
          <cell r="D1475" t="str">
            <v>00</v>
          </cell>
          <cell r="E1475" t="str">
            <v>03</v>
          </cell>
          <cell r="F1475">
            <v>17</v>
          </cell>
          <cell r="G1475" t="str">
            <v>06</v>
          </cell>
          <cell r="I1475" t="str">
            <v xml:space="preserve">Penyusunan Rancangan Peraturan Daerah tentang APBD </v>
          </cell>
          <cell r="J1475" t="str">
            <v>Tersedianyan Buku Rancangan Perda tentang APBD (buku)</v>
          </cell>
          <cell r="K1475">
            <v>600</v>
          </cell>
          <cell r="L1475">
            <v>1221430489</v>
          </cell>
          <cell r="M1475">
            <v>200</v>
          </cell>
          <cell r="N1475">
            <v>357334505</v>
          </cell>
          <cell r="O1475">
            <v>100</v>
          </cell>
          <cell r="P1475">
            <v>196890457</v>
          </cell>
          <cell r="Q1475">
            <v>0</v>
          </cell>
          <cell r="R1475">
            <v>42616407</v>
          </cell>
          <cell r="S1475">
            <v>0</v>
          </cell>
          <cell r="T1475">
            <v>57446067</v>
          </cell>
          <cell r="U1475">
            <v>0</v>
          </cell>
          <cell r="V1475">
            <v>0</v>
          </cell>
          <cell r="W1475">
            <v>0</v>
          </cell>
          <cell r="X1475">
            <v>0</v>
          </cell>
          <cell r="Y1475">
            <v>0</v>
          </cell>
          <cell r="Z1475">
            <v>100062474</v>
          </cell>
          <cell r="AA1475">
            <v>200</v>
          </cell>
          <cell r="AB1475">
            <v>457396979</v>
          </cell>
          <cell r="AC1475">
            <v>0.33333333333333331</v>
          </cell>
          <cell r="AD1475">
            <v>0.37447647092424924</v>
          </cell>
        </row>
        <row r="1476">
          <cell r="C1476">
            <v>3</v>
          </cell>
          <cell r="D1476" t="str">
            <v>00</v>
          </cell>
          <cell r="E1476" t="str">
            <v>03</v>
          </cell>
          <cell r="F1476">
            <v>17</v>
          </cell>
          <cell r="G1476" t="str">
            <v>07</v>
          </cell>
          <cell r="I1476" t="str">
            <v>Penyusunan Rancangan Peraturan KDH Tentang Penjabaran APBD</v>
          </cell>
          <cell r="J1476" t="str">
            <v>Tersedianyan Buku Rancangan Perda tentang Penjabaran  APBD (buku)</v>
          </cell>
          <cell r="K1476">
            <v>600</v>
          </cell>
          <cell r="L1476">
            <v>1058850607</v>
          </cell>
          <cell r="M1476">
            <v>200</v>
          </cell>
          <cell r="N1476">
            <v>281189370</v>
          </cell>
          <cell r="O1476">
            <v>100</v>
          </cell>
          <cell r="P1476">
            <v>167936775</v>
          </cell>
          <cell r="Q1476">
            <v>0</v>
          </cell>
          <cell r="R1476">
            <v>46548395</v>
          </cell>
          <cell r="S1476">
            <v>0</v>
          </cell>
          <cell r="T1476">
            <v>64926457</v>
          </cell>
          <cell r="U1476">
            <v>0</v>
          </cell>
          <cell r="V1476">
            <v>0</v>
          </cell>
          <cell r="W1476">
            <v>0</v>
          </cell>
          <cell r="X1476">
            <v>0</v>
          </cell>
          <cell r="Y1476">
            <v>0</v>
          </cell>
          <cell r="Z1476">
            <v>111474852</v>
          </cell>
          <cell r="AA1476">
            <v>200</v>
          </cell>
          <cell r="AB1476">
            <v>392664222</v>
          </cell>
          <cell r="AC1476">
            <v>0.33333333333333331</v>
          </cell>
          <cell r="AD1476">
            <v>0.37084005940414971</v>
          </cell>
        </row>
        <row r="1477">
          <cell r="C1477">
            <v>3</v>
          </cell>
          <cell r="D1477" t="str">
            <v>00</v>
          </cell>
          <cell r="E1477" t="str">
            <v>03</v>
          </cell>
          <cell r="F1477">
            <v>17</v>
          </cell>
          <cell r="G1477" t="str">
            <v>08</v>
          </cell>
          <cell r="I1477" t="str">
            <v>Penyusunan Rancangan Peraturan Daerah tentang  Perubahan APBD</v>
          </cell>
          <cell r="J1477" t="str">
            <v>Tersedianyan Buku Rancangan Perda tentang Perubahan  APBD (buku)</v>
          </cell>
          <cell r="K1477">
            <v>600</v>
          </cell>
          <cell r="L1477">
            <v>1711872584</v>
          </cell>
          <cell r="M1477">
            <v>200</v>
          </cell>
          <cell r="N1477">
            <v>284256381</v>
          </cell>
          <cell r="O1477">
            <v>100</v>
          </cell>
          <cell r="P1477">
            <v>153557528</v>
          </cell>
          <cell r="Q1477">
            <v>0</v>
          </cell>
          <cell r="R1477">
            <v>0</v>
          </cell>
          <cell r="S1477">
            <v>0</v>
          </cell>
          <cell r="T1477">
            <v>2435000</v>
          </cell>
          <cell r="U1477">
            <v>0</v>
          </cell>
          <cell r="V1477">
            <v>0</v>
          </cell>
          <cell r="W1477">
            <v>0</v>
          </cell>
          <cell r="X1477">
            <v>0</v>
          </cell>
          <cell r="Y1477">
            <v>0</v>
          </cell>
          <cell r="Z1477">
            <v>2435000</v>
          </cell>
          <cell r="AA1477">
            <v>200</v>
          </cell>
          <cell r="AB1477">
            <v>286691381</v>
          </cell>
          <cell r="AC1477">
            <v>0.33333333333333331</v>
          </cell>
          <cell r="AD1477">
            <v>0.16747238297964354</v>
          </cell>
        </row>
        <row r="1478">
          <cell r="C1478">
            <v>3</v>
          </cell>
          <cell r="D1478" t="str">
            <v>00</v>
          </cell>
          <cell r="E1478" t="str">
            <v>03</v>
          </cell>
          <cell r="F1478">
            <v>17</v>
          </cell>
          <cell r="G1478" t="str">
            <v>09</v>
          </cell>
          <cell r="I1478" t="str">
            <v>Penyusunan Rancangan Peraturan KDH tentang Penjabaran  Perubahan APBD</v>
          </cell>
          <cell r="J1478" t="str">
            <v>Tersedianyan Buku Rancangan Perda tentang Penjabaran  Perubahan  APBD (buku)</v>
          </cell>
          <cell r="K1478">
            <v>600</v>
          </cell>
          <cell r="L1478">
            <v>1071506464</v>
          </cell>
          <cell r="M1478">
            <v>200</v>
          </cell>
          <cell r="N1478">
            <v>280639120</v>
          </cell>
          <cell r="O1478">
            <v>100</v>
          </cell>
          <cell r="P1478">
            <v>151435488</v>
          </cell>
          <cell r="Q1478">
            <v>0</v>
          </cell>
          <cell r="R1478">
            <v>0</v>
          </cell>
          <cell r="S1478">
            <v>0</v>
          </cell>
          <cell r="T1478">
            <v>0</v>
          </cell>
          <cell r="U1478">
            <v>0</v>
          </cell>
          <cell r="V1478">
            <v>0</v>
          </cell>
          <cell r="W1478">
            <v>0</v>
          </cell>
          <cell r="X1478">
            <v>0</v>
          </cell>
          <cell r="Y1478">
            <v>0</v>
          </cell>
          <cell r="Z1478">
            <v>0</v>
          </cell>
          <cell r="AA1478">
            <v>200</v>
          </cell>
          <cell r="AB1478">
            <v>280639120</v>
          </cell>
          <cell r="AC1478">
            <v>0.33333333333333331</v>
          </cell>
          <cell r="AD1478">
            <v>0.26191080448768994</v>
          </cell>
        </row>
        <row r="1479">
          <cell r="C1479">
            <v>3</v>
          </cell>
          <cell r="D1479" t="str">
            <v>00</v>
          </cell>
          <cell r="E1479" t="str">
            <v>03</v>
          </cell>
          <cell r="F1479">
            <v>17</v>
          </cell>
          <cell r="G1479">
            <v>10</v>
          </cell>
          <cell r="I1479" t="str">
            <v>Penyusunan Rancangan Peraturan Daerah tentang Pertanggungjawaban Pelaksanaan APBD</v>
          </cell>
          <cell r="J1479" t="str">
            <v>Tercapainya Peningkatan dan Pengembangan Pengelolaan Keuangan Daerah (buku)</v>
          </cell>
          <cell r="K1479">
            <v>540</v>
          </cell>
          <cell r="L1479">
            <v>850803806</v>
          </cell>
          <cell r="M1479">
            <v>180</v>
          </cell>
          <cell r="N1479">
            <v>204884903</v>
          </cell>
          <cell r="O1479">
            <v>90</v>
          </cell>
          <cell r="P1479">
            <v>110112302</v>
          </cell>
          <cell r="Q1479">
            <v>0</v>
          </cell>
          <cell r="R1479">
            <v>7112966</v>
          </cell>
          <cell r="S1479">
            <v>45</v>
          </cell>
          <cell r="T1479">
            <v>30362970</v>
          </cell>
          <cell r="U1479">
            <v>0</v>
          </cell>
          <cell r="V1479">
            <v>0</v>
          </cell>
          <cell r="W1479">
            <v>0</v>
          </cell>
          <cell r="X1479">
            <v>0</v>
          </cell>
          <cell r="Y1479">
            <v>45</v>
          </cell>
          <cell r="Z1479">
            <v>37475936</v>
          </cell>
          <cell r="AA1479">
            <v>225</v>
          </cell>
          <cell r="AB1479">
            <v>242360839</v>
          </cell>
          <cell r="AC1479">
            <v>0.41666666666666669</v>
          </cell>
          <cell r="AD1479">
            <v>0.28486101882811748</v>
          </cell>
        </row>
        <row r="1480">
          <cell r="C1480">
            <v>3</v>
          </cell>
          <cell r="D1480" t="str">
            <v>00</v>
          </cell>
          <cell r="E1480" t="str">
            <v>03</v>
          </cell>
          <cell r="F1480">
            <v>17</v>
          </cell>
          <cell r="G1480">
            <v>11</v>
          </cell>
          <cell r="I1480" t="str">
            <v>Penyusunan Rancangan Peraturan Bupati tentang Penjabaran Pertanggungjawaban Pelaksanaan APBD</v>
          </cell>
          <cell r="J1480" t="str">
            <v>Tercapainya Peningkatan dan Pengembangan Pengelolaan Keuangan Daerah (buku)</v>
          </cell>
          <cell r="K1480">
            <v>540</v>
          </cell>
          <cell r="L1480">
            <v>841680012</v>
          </cell>
          <cell r="M1480">
            <v>180</v>
          </cell>
          <cell r="N1480">
            <v>194962670</v>
          </cell>
          <cell r="O1480">
            <v>90</v>
          </cell>
          <cell r="P1480">
            <v>113935421</v>
          </cell>
          <cell r="Q1480">
            <v>0</v>
          </cell>
          <cell r="R1480">
            <v>7139115</v>
          </cell>
          <cell r="S1480">
            <v>45</v>
          </cell>
          <cell r="T1480">
            <v>28899815</v>
          </cell>
          <cell r="U1480">
            <v>0</v>
          </cell>
          <cell r="V1480">
            <v>0</v>
          </cell>
          <cell r="W1480">
            <v>0</v>
          </cell>
          <cell r="X1480">
            <v>0</v>
          </cell>
          <cell r="Y1480">
            <v>45</v>
          </cell>
          <cell r="Z1480">
            <v>36038930</v>
          </cell>
          <cell r="AA1480">
            <v>225</v>
          </cell>
          <cell r="AB1480">
            <v>231001600</v>
          </cell>
          <cell r="AC1480">
            <v>0.41666666666666669</v>
          </cell>
          <cell r="AD1480">
            <v>0.27445299485144481</v>
          </cell>
        </row>
        <row r="1481">
          <cell r="C1481">
            <v>3</v>
          </cell>
          <cell r="D1481" t="str">
            <v>00</v>
          </cell>
          <cell r="E1481" t="str">
            <v>03</v>
          </cell>
          <cell r="F1481">
            <v>17</v>
          </cell>
          <cell r="G1481">
            <v>20</v>
          </cell>
          <cell r="I1481" t="str">
            <v xml:space="preserve">Penyusunan DPA SKPD </v>
          </cell>
          <cell r="J1481" t="str">
            <v>Tersedianya buku DPA SKPD (buku)</v>
          </cell>
          <cell r="K1481">
            <v>3096</v>
          </cell>
          <cell r="L1481">
            <v>818642648</v>
          </cell>
          <cell r="M1481">
            <v>1032</v>
          </cell>
          <cell r="N1481">
            <v>239956202</v>
          </cell>
          <cell r="O1481">
            <v>516</v>
          </cell>
          <cell r="P1481">
            <v>96454216</v>
          </cell>
          <cell r="Q1481">
            <v>0</v>
          </cell>
          <cell r="R1481">
            <v>12512102</v>
          </cell>
          <cell r="S1481">
            <v>516</v>
          </cell>
          <cell r="T1481">
            <v>57809932</v>
          </cell>
          <cell r="U1481">
            <v>0</v>
          </cell>
          <cell r="V1481">
            <v>0</v>
          </cell>
          <cell r="W1481">
            <v>0</v>
          </cell>
          <cell r="X1481">
            <v>0</v>
          </cell>
          <cell r="Y1481">
            <v>516</v>
          </cell>
          <cell r="Z1481">
            <v>70322034</v>
          </cell>
          <cell r="AA1481">
            <v>1548</v>
          </cell>
          <cell r="AB1481">
            <v>310278236</v>
          </cell>
          <cell r="AC1481">
            <v>0.5</v>
          </cell>
          <cell r="AD1481">
            <v>0.37901547977989047</v>
          </cell>
        </row>
        <row r="1482">
          <cell r="C1482">
            <v>3</v>
          </cell>
          <cell r="D1482" t="str">
            <v>00</v>
          </cell>
          <cell r="E1482" t="str">
            <v>03</v>
          </cell>
          <cell r="F1482">
            <v>17</v>
          </cell>
          <cell r="G1482">
            <v>22</v>
          </cell>
          <cell r="I1482" t="str">
            <v>Penghapusan Barang - barang Inventaris</v>
          </cell>
          <cell r="J1482" t="str">
            <v>Terlaksananya Proses Penghapusan Barang-barang Inventaris (bulan)</v>
          </cell>
          <cell r="K1482">
            <v>72</v>
          </cell>
          <cell r="L1482">
            <v>492608279</v>
          </cell>
          <cell r="M1482">
            <v>24</v>
          </cell>
          <cell r="N1482">
            <v>138133012</v>
          </cell>
          <cell r="O1482">
            <v>12</v>
          </cell>
          <cell r="P1482">
            <v>50177192</v>
          </cell>
          <cell r="Q1482">
            <v>3</v>
          </cell>
          <cell r="R1482">
            <v>10391975</v>
          </cell>
          <cell r="S1482">
            <v>3</v>
          </cell>
          <cell r="T1482">
            <v>28700575</v>
          </cell>
          <cell r="U1482">
            <v>0</v>
          </cell>
          <cell r="V1482">
            <v>0</v>
          </cell>
          <cell r="W1482">
            <v>0</v>
          </cell>
          <cell r="X1482">
            <v>0</v>
          </cell>
          <cell r="Y1482">
            <v>6</v>
          </cell>
          <cell r="Z1482">
            <v>39092550</v>
          </cell>
          <cell r="AA1482">
            <v>30</v>
          </cell>
          <cell r="AB1482">
            <v>177225562</v>
          </cell>
          <cell r="AC1482">
            <v>0.41666666666666669</v>
          </cell>
          <cell r="AD1482">
            <v>0.35976975937101535</v>
          </cell>
        </row>
        <row r="1483">
          <cell r="C1483">
            <v>3</v>
          </cell>
          <cell r="D1483" t="str">
            <v>00</v>
          </cell>
          <cell r="E1483" t="str">
            <v>03</v>
          </cell>
          <cell r="F1483">
            <v>17</v>
          </cell>
          <cell r="G1483">
            <v>28</v>
          </cell>
          <cell r="I1483" t="str">
            <v>Penyusunan DPA Perubahan SKPD</v>
          </cell>
          <cell r="J1483" t="str">
            <v>Tersedianya buku DPA Perubahan SKPD (buku)</v>
          </cell>
          <cell r="K1483">
            <v>3096</v>
          </cell>
          <cell r="L1483">
            <v>690444044</v>
          </cell>
          <cell r="M1483">
            <v>1032</v>
          </cell>
          <cell r="N1483">
            <v>185302575</v>
          </cell>
          <cell r="O1483">
            <v>516</v>
          </cell>
          <cell r="P1483">
            <v>81031348</v>
          </cell>
          <cell r="Q1483">
            <v>0</v>
          </cell>
          <cell r="R1483">
            <v>0</v>
          </cell>
          <cell r="S1483">
            <v>0</v>
          </cell>
          <cell r="T1483">
            <v>0</v>
          </cell>
          <cell r="U1483">
            <v>0</v>
          </cell>
          <cell r="V1483">
            <v>0</v>
          </cell>
          <cell r="W1483">
            <v>0</v>
          </cell>
          <cell r="X1483">
            <v>0</v>
          </cell>
          <cell r="Y1483">
            <v>0</v>
          </cell>
          <cell r="Z1483">
            <v>0</v>
          </cell>
          <cell r="AA1483">
            <v>1032</v>
          </cell>
          <cell r="AB1483">
            <v>185302575</v>
          </cell>
          <cell r="AC1483">
            <v>0.33333333333333331</v>
          </cell>
          <cell r="AD1483">
            <v>0.26838174159121286</v>
          </cell>
        </row>
        <row r="1484">
          <cell r="C1484">
            <v>3</v>
          </cell>
          <cell r="D1484" t="str">
            <v>00</v>
          </cell>
          <cell r="E1484" t="str">
            <v>03</v>
          </cell>
          <cell r="F1484">
            <v>17</v>
          </cell>
          <cell r="G1484">
            <v>29</v>
          </cell>
          <cell r="I1484" t="str">
            <v>Penunjang Sistim Informasi Pengelolaan Keuangan Daerah</v>
          </cell>
          <cell r="J1484" t="str">
            <v>Terlaksananya Pengelolaan Keuangan Daerah (bulan)</v>
          </cell>
          <cell r="K1484">
            <v>72</v>
          </cell>
          <cell r="L1484">
            <v>2509900114</v>
          </cell>
          <cell r="M1484">
            <v>24</v>
          </cell>
          <cell r="N1484">
            <v>1009262760</v>
          </cell>
          <cell r="O1484">
            <v>12</v>
          </cell>
          <cell r="P1484">
            <v>403648070</v>
          </cell>
          <cell r="Q1484">
            <v>3</v>
          </cell>
          <cell r="R1484">
            <v>30030517</v>
          </cell>
          <cell r="S1484">
            <v>3</v>
          </cell>
          <cell r="T1484">
            <v>231747767</v>
          </cell>
          <cell r="U1484">
            <v>0</v>
          </cell>
          <cell r="V1484">
            <v>0</v>
          </cell>
          <cell r="W1484">
            <v>0</v>
          </cell>
          <cell r="X1484">
            <v>0</v>
          </cell>
          <cell r="Y1484">
            <v>6</v>
          </cell>
          <cell r="Z1484">
            <v>261778284</v>
          </cell>
          <cell r="AA1484">
            <v>30</v>
          </cell>
          <cell r="AB1484">
            <v>1271041044</v>
          </cell>
          <cell r="AC1484">
            <v>0.41666666666666669</v>
          </cell>
          <cell r="AD1484">
            <v>0.50641100692025387</v>
          </cell>
        </row>
        <row r="1485">
          <cell r="C1485">
            <v>3</v>
          </cell>
          <cell r="D1485" t="str">
            <v>00</v>
          </cell>
          <cell r="E1485" t="str">
            <v>03</v>
          </cell>
          <cell r="F1485">
            <v>17</v>
          </cell>
          <cell r="G1485">
            <v>41</v>
          </cell>
          <cell r="I1485" t="str">
            <v>Pengelolaan dan Penatausahaan Gaji PNSD</v>
          </cell>
          <cell r="J1485" t="str">
            <v>Terlaksananya Pengeloaan dan Penatausahaan Gaji ASN ( bulan)</v>
          </cell>
          <cell r="K1485">
            <v>72</v>
          </cell>
          <cell r="L1485">
            <v>561795159</v>
          </cell>
          <cell r="M1485">
            <v>24</v>
          </cell>
          <cell r="N1485">
            <v>176112919</v>
          </cell>
          <cell r="O1485">
            <v>12</v>
          </cell>
          <cell r="P1485">
            <v>92062955</v>
          </cell>
          <cell r="Q1485">
            <v>3</v>
          </cell>
          <cell r="R1485">
            <v>30030517</v>
          </cell>
          <cell r="S1485">
            <v>3</v>
          </cell>
          <cell r="T1485">
            <v>51400857</v>
          </cell>
          <cell r="U1485">
            <v>0</v>
          </cell>
          <cell r="V1485">
            <v>0</v>
          </cell>
          <cell r="W1485">
            <v>0</v>
          </cell>
          <cell r="X1485">
            <v>0</v>
          </cell>
          <cell r="Y1485">
            <v>6</v>
          </cell>
          <cell r="Z1485">
            <v>81431374</v>
          </cell>
          <cell r="AA1485">
            <v>30</v>
          </cell>
          <cell r="AB1485">
            <v>257544293</v>
          </cell>
          <cell r="AC1485">
            <v>0.41666666666666669</v>
          </cell>
          <cell r="AD1485">
            <v>0.45843095810656498</v>
          </cell>
        </row>
        <row r="1486">
          <cell r="C1486">
            <v>3</v>
          </cell>
          <cell r="D1486" t="str">
            <v>00</v>
          </cell>
          <cell r="E1486" t="str">
            <v>03</v>
          </cell>
          <cell r="F1486">
            <v>17</v>
          </cell>
          <cell r="G1486">
            <v>42</v>
          </cell>
          <cell r="I1486" t="str">
            <v>Pengelolaan dan Penatausahaan Kas Daerah</v>
          </cell>
          <cell r="J1486" t="str">
            <v>Terwujudnya Pengelolaan dan Penatausahaan Kas Daerah (persen)</v>
          </cell>
          <cell r="K1486">
            <v>500</v>
          </cell>
          <cell r="L1486">
            <v>276426716</v>
          </cell>
          <cell r="M1486">
            <v>100</v>
          </cell>
          <cell r="N1486">
            <v>48522501</v>
          </cell>
          <cell r="O1486">
            <v>100</v>
          </cell>
          <cell r="P1486">
            <v>51428705</v>
          </cell>
          <cell r="Q1486">
            <v>25</v>
          </cell>
          <cell r="R1486">
            <v>12988724</v>
          </cell>
          <cell r="S1486">
            <v>25</v>
          </cell>
          <cell r="T1486">
            <v>18932224</v>
          </cell>
          <cell r="U1486">
            <v>0</v>
          </cell>
          <cell r="V1486">
            <v>0</v>
          </cell>
          <cell r="W1486">
            <v>0</v>
          </cell>
          <cell r="X1486">
            <v>0</v>
          </cell>
          <cell r="Y1486">
            <v>50</v>
          </cell>
          <cell r="Z1486">
            <v>31920948</v>
          </cell>
          <cell r="AA1486">
            <v>150</v>
          </cell>
          <cell r="AB1486">
            <v>80443449</v>
          </cell>
          <cell r="AC1486">
            <v>0.3</v>
          </cell>
          <cell r="AD1486">
            <v>0.29101184633687865</v>
          </cell>
        </row>
        <row r="1487">
          <cell r="C1487">
            <v>3</v>
          </cell>
          <cell r="D1487" t="str">
            <v>00</v>
          </cell>
          <cell r="E1487" t="str">
            <v>03</v>
          </cell>
          <cell r="F1487">
            <v>17</v>
          </cell>
          <cell r="G1487">
            <v>57</v>
          </cell>
          <cell r="I1487" t="str">
            <v>Verifikasi Rencana Kebutuhan Barang dan Pemeliharaan Barang</v>
          </cell>
          <cell r="J1487" t="str">
            <v>Terlaksananya verifikasi rencana kebutuhan barang dan Pemeliharaan Barang (bulan)</v>
          </cell>
          <cell r="K1487">
            <v>60</v>
          </cell>
          <cell r="L1487">
            <v>350420624</v>
          </cell>
          <cell r="M1487">
            <v>12</v>
          </cell>
          <cell r="N1487">
            <v>46428710</v>
          </cell>
          <cell r="O1487">
            <v>0</v>
          </cell>
          <cell r="P1487">
            <v>0</v>
          </cell>
          <cell r="Q1487">
            <v>0</v>
          </cell>
          <cell r="R1487">
            <v>0</v>
          </cell>
          <cell r="S1487">
            <v>0</v>
          </cell>
          <cell r="T1487">
            <v>0</v>
          </cell>
          <cell r="U1487">
            <v>0</v>
          </cell>
          <cell r="V1487">
            <v>0</v>
          </cell>
          <cell r="W1487">
            <v>0</v>
          </cell>
          <cell r="X1487">
            <v>0</v>
          </cell>
          <cell r="Y1487">
            <v>0</v>
          </cell>
          <cell r="Z1487">
            <v>0</v>
          </cell>
          <cell r="AA1487">
            <v>12</v>
          </cell>
          <cell r="AB1487">
            <v>46428710</v>
          </cell>
          <cell r="AC1487">
            <v>0.2</v>
          </cell>
          <cell r="AD1487">
            <v>0.13249422785115525</v>
          </cell>
        </row>
        <row r="1488">
          <cell r="C1488">
            <v>3</v>
          </cell>
          <cell r="D1488" t="str">
            <v>00</v>
          </cell>
          <cell r="E1488" t="str">
            <v>03</v>
          </cell>
          <cell r="F1488">
            <v>17</v>
          </cell>
          <cell r="G1488">
            <v>43</v>
          </cell>
          <cell r="I1488" t="str">
            <v>Peningkatan Manajemen Aset/ Barang Daerah</v>
          </cell>
          <cell r="J1488" t="str">
            <v>Tertatanya Manajemen Aset Daerah dengan Baik (buku)</v>
          </cell>
          <cell r="K1488">
            <v>3930</v>
          </cell>
          <cell r="L1488">
            <v>1090793320</v>
          </cell>
          <cell r="M1488">
            <v>1698</v>
          </cell>
          <cell r="N1488">
            <v>826624769</v>
          </cell>
          <cell r="O1488">
            <v>0</v>
          </cell>
          <cell r="P1488">
            <v>0</v>
          </cell>
          <cell r="Q1488">
            <v>0</v>
          </cell>
          <cell r="R1488">
            <v>0</v>
          </cell>
          <cell r="S1488">
            <v>0</v>
          </cell>
          <cell r="T1488">
            <v>0</v>
          </cell>
          <cell r="U1488">
            <v>0</v>
          </cell>
          <cell r="V1488">
            <v>0</v>
          </cell>
          <cell r="W1488">
            <v>0</v>
          </cell>
          <cell r="X1488">
            <v>0</v>
          </cell>
          <cell r="Y1488">
            <v>0</v>
          </cell>
          <cell r="Z1488">
            <v>0</v>
          </cell>
          <cell r="AA1488">
            <v>1698</v>
          </cell>
          <cell r="AB1488">
            <v>826624769</v>
          </cell>
          <cell r="AC1488">
            <v>0.43206106870229005</v>
          </cell>
          <cell r="AD1488">
            <v>0.75781979394593291</v>
          </cell>
        </row>
        <row r="1489">
          <cell r="C1489">
            <v>3</v>
          </cell>
          <cell r="D1489" t="str">
            <v>00</v>
          </cell>
          <cell r="E1489" t="str">
            <v>03</v>
          </cell>
          <cell r="F1489">
            <v>17</v>
          </cell>
          <cell r="G1489">
            <v>57</v>
          </cell>
          <cell r="I1489" t="str">
            <v>Penyusunan rancangan kebutuhan barang dan pemeliharaan</v>
          </cell>
          <cell r="J1489" t="str">
            <v>Terlaksananya penyusunan rencana kebutuhan barang dan Pemeliharaan Barang (bulan)</v>
          </cell>
          <cell r="K1489">
            <v>48</v>
          </cell>
          <cell r="L1489">
            <v>219592389</v>
          </cell>
          <cell r="M1489">
            <v>0</v>
          </cell>
          <cell r="N1489">
            <v>0</v>
          </cell>
          <cell r="O1489">
            <v>12</v>
          </cell>
          <cell r="P1489">
            <v>39592389</v>
          </cell>
          <cell r="Q1489">
            <v>3</v>
          </cell>
          <cell r="R1489">
            <v>1102000</v>
          </cell>
          <cell r="S1489">
            <v>3</v>
          </cell>
          <cell r="T1489">
            <v>1102000</v>
          </cell>
          <cell r="U1489">
            <v>0</v>
          </cell>
          <cell r="V1489">
            <v>0</v>
          </cell>
          <cell r="W1489">
            <v>0</v>
          </cell>
          <cell r="X1489">
            <v>0</v>
          </cell>
          <cell r="Y1489">
            <v>6</v>
          </cell>
          <cell r="Z1489">
            <v>2204000</v>
          </cell>
          <cell r="AA1489">
            <v>6</v>
          </cell>
          <cell r="AB1489">
            <v>2204000</v>
          </cell>
          <cell r="AC1489">
            <v>0.125</v>
          </cell>
          <cell r="AD1489">
            <v>1.0036777731854815E-2</v>
          </cell>
        </row>
        <row r="1490">
          <cell r="C1490">
            <v>3</v>
          </cell>
          <cell r="D1490" t="str">
            <v>00</v>
          </cell>
          <cell r="E1490" t="str">
            <v>03</v>
          </cell>
          <cell r="F1490">
            <v>17</v>
          </cell>
          <cell r="G1490">
            <v>75</v>
          </cell>
          <cell r="I1490" t="str">
            <v>Penyusunan Laporan Barang Milik Daerah</v>
          </cell>
          <cell r="J1490" t="str">
            <v>Dokumen BMD (buku)</v>
          </cell>
          <cell r="K1490">
            <v>2400</v>
          </cell>
          <cell r="L1490">
            <v>922792510</v>
          </cell>
          <cell r="M1490">
            <v>0</v>
          </cell>
          <cell r="N1490">
            <v>0</v>
          </cell>
          <cell r="O1490">
            <v>600</v>
          </cell>
          <cell r="P1490">
            <v>205792510</v>
          </cell>
          <cell r="Q1490">
            <v>0</v>
          </cell>
          <cell r="R1490">
            <v>14022463</v>
          </cell>
          <cell r="S1490">
            <v>90</v>
          </cell>
          <cell r="T1490">
            <v>53663102</v>
          </cell>
          <cell r="U1490">
            <v>0</v>
          </cell>
          <cell r="V1490">
            <v>0</v>
          </cell>
          <cell r="W1490">
            <v>0</v>
          </cell>
          <cell r="X1490">
            <v>0</v>
          </cell>
          <cell r="Y1490">
            <v>90</v>
          </cell>
          <cell r="Z1490">
            <v>67685565</v>
          </cell>
          <cell r="AA1490">
            <v>90</v>
          </cell>
          <cell r="AB1490">
            <v>67685565</v>
          </cell>
          <cell r="AC1490">
            <v>3.7499999999999999E-2</v>
          </cell>
          <cell r="AD1490">
            <v>7.33486285015469E-2</v>
          </cell>
        </row>
        <row r="1491">
          <cell r="C1491">
            <v>3</v>
          </cell>
          <cell r="D1491" t="str">
            <v>00</v>
          </cell>
          <cell r="E1491" t="str">
            <v>03</v>
          </cell>
          <cell r="F1491">
            <v>17</v>
          </cell>
          <cell r="G1491">
            <v>79</v>
          </cell>
          <cell r="I1491" t="str">
            <v>Bimbingan Teknis Penatausahaan Barang Milik Daerah</v>
          </cell>
          <cell r="J1491" t="str">
            <v>Jumlah ASN yang dilatih (org)</v>
          </cell>
          <cell r="K1491">
            <v>400</v>
          </cell>
          <cell r="L1491">
            <v>663466849</v>
          </cell>
          <cell r="M1491">
            <v>0</v>
          </cell>
          <cell r="N1491">
            <v>0</v>
          </cell>
          <cell r="O1491">
            <v>100</v>
          </cell>
          <cell r="P1491">
            <v>153466849</v>
          </cell>
          <cell r="Q1491">
            <v>25</v>
          </cell>
          <cell r="R1491">
            <v>0</v>
          </cell>
          <cell r="S1491">
            <v>0</v>
          </cell>
          <cell r="T1491">
            <v>0</v>
          </cell>
          <cell r="U1491">
            <v>0</v>
          </cell>
          <cell r="V1491">
            <v>0</v>
          </cell>
          <cell r="W1491">
            <v>0</v>
          </cell>
          <cell r="X1491">
            <v>0</v>
          </cell>
          <cell r="Y1491">
            <v>25</v>
          </cell>
          <cell r="Z1491">
            <v>0</v>
          </cell>
          <cell r="AA1491">
            <v>25</v>
          </cell>
          <cell r="AB1491">
            <v>0</v>
          </cell>
          <cell r="AC1491">
            <v>6.25E-2</v>
          </cell>
          <cell r="AD1491">
            <v>0</v>
          </cell>
        </row>
        <row r="1492">
          <cell r="C1492">
            <v>3</v>
          </cell>
          <cell r="D1492" t="str">
            <v>00</v>
          </cell>
          <cell r="E1492" t="str">
            <v>03</v>
          </cell>
          <cell r="F1492">
            <v>17</v>
          </cell>
          <cell r="G1492">
            <v>80</v>
          </cell>
          <cell r="I1492" t="str">
            <v>Pembinaan Laporan Keuangan OPD</v>
          </cell>
          <cell r="J1492" t="str">
            <v>Jumlah PD yang dibina (unit)</v>
          </cell>
          <cell r="K1492">
            <v>180</v>
          </cell>
          <cell r="L1492">
            <v>319077313</v>
          </cell>
          <cell r="M1492">
            <v>0</v>
          </cell>
          <cell r="N1492">
            <v>0</v>
          </cell>
          <cell r="O1492">
            <v>45</v>
          </cell>
          <cell r="P1492">
            <v>96077313</v>
          </cell>
          <cell r="Q1492">
            <v>0</v>
          </cell>
          <cell r="R1492">
            <v>12627500</v>
          </cell>
          <cell r="S1492">
            <v>25</v>
          </cell>
          <cell r="T1492">
            <v>28902500</v>
          </cell>
          <cell r="U1492">
            <v>0</v>
          </cell>
          <cell r="V1492">
            <v>0</v>
          </cell>
          <cell r="W1492">
            <v>0</v>
          </cell>
          <cell r="X1492">
            <v>0</v>
          </cell>
          <cell r="Y1492">
            <v>25</v>
          </cell>
          <cell r="Z1492">
            <v>41530000</v>
          </cell>
          <cell r="AA1492">
            <v>25</v>
          </cell>
          <cell r="AB1492">
            <v>41530000</v>
          </cell>
          <cell r="AC1492">
            <v>0.1388888888888889</v>
          </cell>
          <cell r="AD1492">
            <v>0.13015654296925835</v>
          </cell>
        </row>
        <row r="1493">
          <cell r="C1493">
            <v>3</v>
          </cell>
          <cell r="D1493" t="str">
            <v>00</v>
          </cell>
          <cell r="E1493" t="str">
            <v>03</v>
          </cell>
          <cell r="F1493">
            <v>17</v>
          </cell>
          <cell r="G1493">
            <v>82</v>
          </cell>
          <cell r="I1493" t="str">
            <v>Revisi Kebijakan Akuntansi Pemerintah Daerah Kabupaten Pesisir Selatan</v>
          </cell>
          <cell r="J1493" t="str">
            <v>Dokumen SAP (buku)</v>
          </cell>
          <cell r="K1493">
            <v>360</v>
          </cell>
          <cell r="L1493">
            <v>285087356</v>
          </cell>
          <cell r="M1493">
            <v>0</v>
          </cell>
          <cell r="N1493">
            <v>0</v>
          </cell>
          <cell r="O1493">
            <v>90</v>
          </cell>
          <cell r="P1493">
            <v>45087356</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row>
        <row r="1494">
          <cell r="C1494">
            <v>3</v>
          </cell>
          <cell r="D1494" t="str">
            <v>00</v>
          </cell>
          <cell r="E1494" t="str">
            <v>03</v>
          </cell>
          <cell r="F1494">
            <v>17</v>
          </cell>
          <cell r="G1494">
            <v>83</v>
          </cell>
          <cell r="I1494" t="str">
            <v>Penyusunan Standar Biaya</v>
          </cell>
          <cell r="J1494" t="str">
            <v>Perbup Standar Biaya (buku)</v>
          </cell>
          <cell r="K1494">
            <v>400</v>
          </cell>
          <cell r="L1494">
            <v>405789327</v>
          </cell>
          <cell r="M1494">
            <v>0</v>
          </cell>
          <cell r="N1494">
            <v>0</v>
          </cell>
          <cell r="O1494">
            <v>100</v>
          </cell>
          <cell r="P1494">
            <v>87789327</v>
          </cell>
          <cell r="Q1494">
            <v>0</v>
          </cell>
          <cell r="R1494">
            <v>8379857</v>
          </cell>
          <cell r="S1494">
            <v>0</v>
          </cell>
          <cell r="T1494">
            <v>28226094</v>
          </cell>
          <cell r="U1494">
            <v>0</v>
          </cell>
          <cell r="V1494">
            <v>0</v>
          </cell>
          <cell r="W1494">
            <v>0</v>
          </cell>
          <cell r="X1494">
            <v>0</v>
          </cell>
          <cell r="Y1494">
            <v>0</v>
          </cell>
          <cell r="Z1494">
            <v>36605951</v>
          </cell>
          <cell r="AA1494">
            <v>0</v>
          </cell>
          <cell r="AB1494">
            <v>36605951</v>
          </cell>
          <cell r="AC1494">
            <v>0</v>
          </cell>
          <cell r="AD1494">
            <v>9.0209250377844469E-2</v>
          </cell>
        </row>
        <row r="1495">
          <cell r="C1495">
            <v>3</v>
          </cell>
          <cell r="D1495" t="str">
            <v>00</v>
          </cell>
          <cell r="E1495" t="str">
            <v>03</v>
          </cell>
          <cell r="F1495">
            <v>17</v>
          </cell>
          <cell r="G1495">
            <v>84</v>
          </cell>
          <cell r="I1495" t="str">
            <v>Sosialisasi Pedoman Penyusunan APBD</v>
          </cell>
          <cell r="J1495" t="str">
            <v>Jumlah OPD yang mengikuti sosialisasi (unit)</v>
          </cell>
          <cell r="K1495">
            <v>270</v>
          </cell>
          <cell r="L1495">
            <v>253998705</v>
          </cell>
          <cell r="M1495">
            <v>0</v>
          </cell>
          <cell r="N1495">
            <v>0</v>
          </cell>
          <cell r="O1495">
            <v>100</v>
          </cell>
          <cell r="P1495">
            <v>43998705</v>
          </cell>
          <cell r="Q1495">
            <v>25</v>
          </cell>
          <cell r="R1495">
            <v>0</v>
          </cell>
          <cell r="S1495">
            <v>0</v>
          </cell>
          <cell r="T1495">
            <v>0</v>
          </cell>
          <cell r="U1495">
            <v>0</v>
          </cell>
          <cell r="V1495">
            <v>0</v>
          </cell>
          <cell r="W1495">
            <v>0</v>
          </cell>
          <cell r="X1495">
            <v>0</v>
          </cell>
          <cell r="Y1495">
            <v>25</v>
          </cell>
          <cell r="Z1495">
            <v>0</v>
          </cell>
          <cell r="AA1495">
            <v>25</v>
          </cell>
          <cell r="AB1495">
            <v>0</v>
          </cell>
          <cell r="AC1495">
            <v>9.2592592592592587E-2</v>
          </cell>
          <cell r="AD1495">
            <v>0</v>
          </cell>
        </row>
        <row r="1496">
          <cell r="C1496">
            <v>3</v>
          </cell>
          <cell r="D1496" t="str">
            <v>00</v>
          </cell>
          <cell r="E1496" t="str">
            <v>03</v>
          </cell>
          <cell r="F1496">
            <v>17</v>
          </cell>
          <cell r="G1496">
            <v>86</v>
          </cell>
          <cell r="I1496" t="str">
            <v>Bimningan Teknis Belanja Non Tunai</v>
          </cell>
          <cell r="J1496" t="str">
            <v>Jumlah ASN yang dilatih (org)</v>
          </cell>
          <cell r="K1496">
            <v>400</v>
          </cell>
          <cell r="L1496">
            <v>765235935</v>
          </cell>
          <cell r="M1496">
            <v>0</v>
          </cell>
          <cell r="N1496">
            <v>0</v>
          </cell>
          <cell r="O1496">
            <v>1</v>
          </cell>
          <cell r="P1496">
            <v>165235935</v>
          </cell>
          <cell r="Q1496">
            <v>25</v>
          </cell>
          <cell r="R1496">
            <v>0</v>
          </cell>
          <cell r="S1496">
            <v>0</v>
          </cell>
          <cell r="T1496">
            <v>0</v>
          </cell>
          <cell r="U1496">
            <v>0</v>
          </cell>
          <cell r="V1496">
            <v>0</v>
          </cell>
          <cell r="W1496">
            <v>0</v>
          </cell>
          <cell r="X1496">
            <v>0</v>
          </cell>
          <cell r="Y1496">
            <v>25</v>
          </cell>
          <cell r="Z1496">
            <v>0</v>
          </cell>
          <cell r="AA1496">
            <v>25</v>
          </cell>
          <cell r="AB1496">
            <v>0</v>
          </cell>
          <cell r="AC1496">
            <v>6.25E-2</v>
          </cell>
          <cell r="AD1496">
            <v>0</v>
          </cell>
        </row>
        <row r="1497">
          <cell r="A1497">
            <v>7</v>
          </cell>
          <cell r="I1497" t="str">
            <v>Program Pembinaan dan Fasilitas Pengelolaan keuangan Kabupaten Kota</v>
          </cell>
          <cell r="J1497" t="str">
            <v>Persentase OPD yang memenuhi kualitas penatausahaan keuangan</v>
          </cell>
          <cell r="K1497">
            <v>0.9</v>
          </cell>
          <cell r="L1497">
            <v>3499812182</v>
          </cell>
          <cell r="M1497">
            <v>0.9</v>
          </cell>
          <cell r="N1497">
            <v>693664662</v>
          </cell>
          <cell r="O1497">
            <v>0.9</v>
          </cell>
          <cell r="P1497">
            <v>177026256</v>
          </cell>
          <cell r="R1497">
            <v>36519222</v>
          </cell>
          <cell r="T1497">
            <v>75420873</v>
          </cell>
          <cell r="Y1497">
            <v>0</v>
          </cell>
          <cell r="Z1497">
            <v>111940095</v>
          </cell>
          <cell r="AA1497">
            <v>0.9</v>
          </cell>
          <cell r="AB1497">
            <v>805604757</v>
          </cell>
          <cell r="AC1497">
            <v>100</v>
          </cell>
          <cell r="AD1497">
            <v>23.018513997503423</v>
          </cell>
          <cell r="AE1497" t="str">
            <v>BPKD</v>
          </cell>
        </row>
        <row r="1498">
          <cell r="C1498">
            <v>3</v>
          </cell>
          <cell r="D1498" t="str">
            <v>00</v>
          </cell>
          <cell r="E1498" t="str">
            <v>03</v>
          </cell>
          <cell r="F1498">
            <v>18</v>
          </cell>
          <cell r="G1498" t="str">
            <v>06</v>
          </cell>
          <cell r="I1498" t="str">
            <v>Analisa APBD Kabupaten Pesisir Selatan Tahun Anggaran 2018</v>
          </cell>
          <cell r="J1498" t="str">
            <v>Tersedianya Buku Analisa APBD (buku)</v>
          </cell>
          <cell r="K1498">
            <v>240</v>
          </cell>
          <cell r="L1498">
            <v>380076292</v>
          </cell>
          <cell r="M1498">
            <v>80</v>
          </cell>
          <cell r="N1498">
            <v>69066135</v>
          </cell>
          <cell r="O1498">
            <v>40</v>
          </cell>
          <cell r="P1498">
            <v>55404764</v>
          </cell>
          <cell r="Q1498">
            <v>0</v>
          </cell>
          <cell r="R1498">
            <v>0</v>
          </cell>
          <cell r="S1498">
            <v>0</v>
          </cell>
          <cell r="T1498">
            <v>0</v>
          </cell>
          <cell r="U1498">
            <v>0</v>
          </cell>
          <cell r="V1498">
            <v>0</v>
          </cell>
          <cell r="W1498">
            <v>0</v>
          </cell>
          <cell r="X1498">
            <v>0</v>
          </cell>
          <cell r="Y1498">
            <v>0</v>
          </cell>
          <cell r="Z1498">
            <v>0</v>
          </cell>
          <cell r="AA1498">
            <v>80</v>
          </cell>
          <cell r="AB1498">
            <v>69066135</v>
          </cell>
          <cell r="AC1498">
            <v>0.33333333333333331</v>
          </cell>
          <cell r="AD1498">
            <v>0.18171650390653674</v>
          </cell>
        </row>
        <row r="1499">
          <cell r="I1499" t="str">
            <v>Asistensi Penataan Hibah dan Bantuan Sosial</v>
          </cell>
          <cell r="J1499" t="str">
            <v>Tersalurnya Dana Hibah dan Bantuan Sosial (bulan)</v>
          </cell>
          <cell r="K1499">
            <v>72</v>
          </cell>
          <cell r="L1499">
            <v>316212864</v>
          </cell>
          <cell r="M1499">
            <v>24</v>
          </cell>
          <cell r="N1499">
            <v>157746322</v>
          </cell>
          <cell r="O1499">
            <v>0</v>
          </cell>
          <cell r="P1499">
            <v>0</v>
          </cell>
          <cell r="Q1499">
            <v>0</v>
          </cell>
          <cell r="R1499">
            <v>0</v>
          </cell>
          <cell r="S1499">
            <v>0</v>
          </cell>
          <cell r="T1499">
            <v>0</v>
          </cell>
          <cell r="U1499">
            <v>0</v>
          </cell>
          <cell r="V1499">
            <v>0</v>
          </cell>
          <cell r="W1499">
            <v>0</v>
          </cell>
          <cell r="X1499">
            <v>0</v>
          </cell>
          <cell r="Y1499">
            <v>0</v>
          </cell>
          <cell r="Z1499">
            <v>0</v>
          </cell>
          <cell r="AA1499">
            <v>24</v>
          </cell>
          <cell r="AB1499">
            <v>157746322</v>
          </cell>
          <cell r="AC1499">
            <v>0.33333333333333331</v>
          </cell>
          <cell r="AD1499">
            <v>0.49886117852561496</v>
          </cell>
        </row>
        <row r="1500">
          <cell r="C1500">
            <v>3</v>
          </cell>
          <cell r="D1500" t="str">
            <v>00</v>
          </cell>
          <cell r="E1500" t="str">
            <v>03</v>
          </cell>
          <cell r="F1500">
            <v>18</v>
          </cell>
          <cell r="G1500" t="str">
            <v>09</v>
          </cell>
          <cell r="I1500" t="str">
            <v>Pengelolaan Dana Hibah dan Bantuan Sosial</v>
          </cell>
          <cell r="J1500" t="str">
            <v>Tersalurnya Dana Hibah dan Bantuan Sosial (bulan)</v>
          </cell>
          <cell r="K1500">
            <v>72</v>
          </cell>
          <cell r="L1500">
            <v>456134330</v>
          </cell>
          <cell r="M1500">
            <v>24</v>
          </cell>
          <cell r="N1500">
            <v>126849549</v>
          </cell>
          <cell r="O1500">
            <v>12</v>
          </cell>
          <cell r="P1500">
            <v>66420690</v>
          </cell>
          <cell r="Q1500">
            <v>3</v>
          </cell>
          <cell r="R1500">
            <v>16781942</v>
          </cell>
          <cell r="S1500">
            <v>3</v>
          </cell>
          <cell r="T1500">
            <v>31789094</v>
          </cell>
          <cell r="U1500">
            <v>0</v>
          </cell>
          <cell r="V1500">
            <v>0</v>
          </cell>
          <cell r="W1500">
            <v>0</v>
          </cell>
          <cell r="X1500">
            <v>0</v>
          </cell>
          <cell r="Y1500">
            <v>6</v>
          </cell>
          <cell r="Z1500">
            <v>48571036</v>
          </cell>
          <cell r="AA1500">
            <v>30</v>
          </cell>
          <cell r="AB1500">
            <v>175420585</v>
          </cell>
          <cell r="AC1500">
            <v>0.41666666666666669</v>
          </cell>
          <cell r="AD1500">
            <v>0.38458097420555915</v>
          </cell>
        </row>
        <row r="1501">
          <cell r="C1501">
            <v>1</v>
          </cell>
          <cell r="D1501">
            <v>20</v>
          </cell>
          <cell r="E1501">
            <v>28</v>
          </cell>
          <cell r="F1501">
            <v>18</v>
          </cell>
          <cell r="G1501" t="str">
            <v>11</v>
          </cell>
          <cell r="I1501" t="str">
            <v>Penyusunan dan Sosialisasi pedoman penyusunan APBD tahun anggaran 2017</v>
          </cell>
          <cell r="J1501" t="str">
            <v>Tersediana buku pedoman pelaksanaan kegiatan (buku)</v>
          </cell>
          <cell r="K1501">
            <v>1200</v>
          </cell>
          <cell r="L1501">
            <v>962188806</v>
          </cell>
          <cell r="M1501">
            <v>400</v>
          </cell>
          <cell r="N1501">
            <v>165748260</v>
          </cell>
          <cell r="O1501">
            <v>0</v>
          </cell>
          <cell r="P1501">
            <v>0</v>
          </cell>
          <cell r="Q1501">
            <v>0</v>
          </cell>
          <cell r="R1501">
            <v>0</v>
          </cell>
          <cell r="S1501">
            <v>0</v>
          </cell>
          <cell r="T1501">
            <v>0</v>
          </cell>
          <cell r="U1501">
            <v>0</v>
          </cell>
          <cell r="V1501">
            <v>0</v>
          </cell>
          <cell r="W1501">
            <v>0</v>
          </cell>
          <cell r="X1501">
            <v>0</v>
          </cell>
          <cell r="Y1501">
            <v>0</v>
          </cell>
          <cell r="Z1501">
            <v>0</v>
          </cell>
          <cell r="AA1501">
            <v>400</v>
          </cell>
          <cell r="AB1501">
            <v>165748260</v>
          </cell>
          <cell r="AC1501">
            <v>0.33333333333333331</v>
          </cell>
          <cell r="AD1501">
            <v>0.17226167979343546</v>
          </cell>
        </row>
        <row r="1502">
          <cell r="C1502">
            <v>3</v>
          </cell>
          <cell r="D1502" t="str">
            <v>00</v>
          </cell>
          <cell r="E1502" t="str">
            <v>03</v>
          </cell>
          <cell r="F1502">
            <v>18</v>
          </cell>
          <cell r="G1502">
            <v>12</v>
          </cell>
          <cell r="I1502" t="str">
            <v>Analisa Standar belanja Kabupaten Pesisir Selatan</v>
          </cell>
          <cell r="J1502" t="str">
            <v>Tersedianya Analisa Standar Belanja (buku)</v>
          </cell>
          <cell r="K1502">
            <v>500</v>
          </cell>
          <cell r="L1502">
            <v>1059999088</v>
          </cell>
          <cell r="M1502">
            <v>100</v>
          </cell>
          <cell r="N1502">
            <v>174254396</v>
          </cell>
          <cell r="O1502">
            <v>0</v>
          </cell>
          <cell r="P1502">
            <v>0</v>
          </cell>
          <cell r="Q1502">
            <v>0</v>
          </cell>
          <cell r="R1502">
            <v>0</v>
          </cell>
          <cell r="S1502">
            <v>0</v>
          </cell>
          <cell r="T1502">
            <v>0</v>
          </cell>
          <cell r="U1502">
            <v>0</v>
          </cell>
          <cell r="V1502">
            <v>0</v>
          </cell>
          <cell r="W1502">
            <v>0</v>
          </cell>
          <cell r="X1502">
            <v>0</v>
          </cell>
          <cell r="Y1502">
            <v>0</v>
          </cell>
          <cell r="Z1502">
            <v>0</v>
          </cell>
          <cell r="AA1502">
            <v>100</v>
          </cell>
          <cell r="AB1502">
            <v>174254396</v>
          </cell>
          <cell r="AC1502">
            <v>0.2</v>
          </cell>
          <cell r="AD1502">
            <v>0.16439108106100558</v>
          </cell>
        </row>
        <row r="1503">
          <cell r="C1503">
            <v>3</v>
          </cell>
          <cell r="D1503" t="str">
            <v>00</v>
          </cell>
          <cell r="E1503" t="str">
            <v>03</v>
          </cell>
          <cell r="F1503">
            <v>18</v>
          </cell>
          <cell r="G1503">
            <v>13</v>
          </cell>
          <cell r="I1503" t="str">
            <v>Rekonsiliasi dana Transfer ke Daerah</v>
          </cell>
          <cell r="J1503" t="str">
            <v>(persen)</v>
          </cell>
          <cell r="K1503">
            <v>400</v>
          </cell>
          <cell r="L1503">
            <v>325200802</v>
          </cell>
          <cell r="M1503">
            <v>0</v>
          </cell>
          <cell r="N1503">
            <v>0</v>
          </cell>
          <cell r="O1503">
            <v>100</v>
          </cell>
          <cell r="P1503">
            <v>55200802</v>
          </cell>
          <cell r="Q1503">
            <v>25</v>
          </cell>
          <cell r="R1503">
            <v>19737280</v>
          </cell>
          <cell r="S1503">
            <v>25</v>
          </cell>
          <cell r="T1503">
            <v>43631779</v>
          </cell>
          <cell r="U1503">
            <v>0</v>
          </cell>
          <cell r="V1503">
            <v>0</v>
          </cell>
          <cell r="W1503">
            <v>0</v>
          </cell>
          <cell r="X1503">
            <v>0</v>
          </cell>
          <cell r="Y1503">
            <v>50</v>
          </cell>
          <cell r="Z1503">
            <v>63369059</v>
          </cell>
          <cell r="AA1503">
            <v>50</v>
          </cell>
          <cell r="AB1503">
            <v>63369059</v>
          </cell>
          <cell r="AC1503">
            <v>0.125</v>
          </cell>
          <cell r="AD1503">
            <v>0.19486132448098945</v>
          </cell>
        </row>
        <row r="1504">
          <cell r="A1504">
            <v>8</v>
          </cell>
          <cell r="C1504">
            <v>3</v>
          </cell>
          <cell r="D1504" t="str">
            <v>00</v>
          </cell>
          <cell r="E1504" t="str">
            <v>03</v>
          </cell>
          <cell r="F1504">
            <v>19</v>
          </cell>
          <cell r="I1504" t="str">
            <v>Program Pembinaan dan Fasilitasi  Pengelolaan Keuangan Desa/Nagari</v>
          </cell>
          <cell r="J1504" t="str">
            <v>Terbina dan meningkatnya Pengetahuan Sumber daya aparatur</v>
          </cell>
          <cell r="K1504">
            <v>0.9</v>
          </cell>
          <cell r="L1504">
            <v>1779601815</v>
          </cell>
          <cell r="M1504">
            <v>0.9</v>
          </cell>
          <cell r="N1504">
            <v>498233339</v>
          </cell>
          <cell r="O1504">
            <v>0.9</v>
          </cell>
          <cell r="P1504">
            <v>139792862.75</v>
          </cell>
          <cell r="Q1504">
            <v>0</v>
          </cell>
          <cell r="R1504">
            <v>48013983</v>
          </cell>
          <cell r="Y1504">
            <v>0</v>
          </cell>
          <cell r="Z1504">
            <v>100749033.75</v>
          </cell>
          <cell r="AA1504">
            <v>0.9</v>
          </cell>
          <cell r="AB1504">
            <v>598982372.75</v>
          </cell>
          <cell r="AC1504">
            <v>100</v>
          </cell>
          <cell r="AD1504">
            <v>33.658224424209187</v>
          </cell>
          <cell r="AE1504" t="str">
            <v>BPKD</v>
          </cell>
        </row>
        <row r="1505">
          <cell r="C1505">
            <v>3</v>
          </cell>
          <cell r="D1505" t="str">
            <v>00</v>
          </cell>
          <cell r="E1505" t="str">
            <v>03</v>
          </cell>
          <cell r="F1505">
            <v>19</v>
          </cell>
          <cell r="G1505" t="str">
            <v>09</v>
          </cell>
          <cell r="I1505" t="str">
            <v>Pembinaan Pengelolaan Keuangan Nagari</v>
          </cell>
          <cell r="J1505" t="str">
            <v>Terlaksananya tertib administrasi pengelolaan keuangan nagari (nagari)</v>
          </cell>
          <cell r="K1505">
            <v>1092</v>
          </cell>
          <cell r="L1505">
            <v>373472746</v>
          </cell>
          <cell r="M1505">
            <v>364</v>
          </cell>
          <cell r="N1505">
            <v>96134892</v>
          </cell>
          <cell r="O1505">
            <v>182</v>
          </cell>
          <cell r="P1505">
            <v>36642281.75</v>
          </cell>
          <cell r="Q1505">
            <v>53</v>
          </cell>
          <cell r="R1505">
            <v>20014368</v>
          </cell>
          <cell r="S1505">
            <v>100</v>
          </cell>
          <cell r="T1505">
            <v>16627913.75</v>
          </cell>
          <cell r="U1505">
            <v>0</v>
          </cell>
          <cell r="V1505">
            <v>0</v>
          </cell>
          <cell r="W1505">
            <v>0</v>
          </cell>
          <cell r="X1505">
            <v>0</v>
          </cell>
          <cell r="Y1505">
            <v>153</v>
          </cell>
          <cell r="Z1505">
            <v>36642281.75</v>
          </cell>
          <cell r="AA1505">
            <v>517</v>
          </cell>
          <cell r="AB1505">
            <v>132777173.75</v>
          </cell>
          <cell r="AC1505">
            <v>0.47344322344322343</v>
          </cell>
          <cell r="AD1505">
            <v>0.35552038313928269</v>
          </cell>
        </row>
        <row r="1506">
          <cell r="C1506">
            <v>3</v>
          </cell>
          <cell r="D1506" t="str">
            <v>00</v>
          </cell>
          <cell r="E1506" t="str">
            <v>03</v>
          </cell>
          <cell r="F1506">
            <v>19</v>
          </cell>
          <cell r="G1506">
            <v>10</v>
          </cell>
          <cell r="I1506" t="str">
            <v>Monitoring dan Evaluasi dana Transfer ke Nagari</v>
          </cell>
          <cell r="J1506" t="str">
            <v>Terevaluasinya dana transfer ke nagari (bulan)</v>
          </cell>
          <cell r="K1506">
            <v>72</v>
          </cell>
          <cell r="L1506">
            <v>351118231</v>
          </cell>
          <cell r="M1506">
            <v>24</v>
          </cell>
          <cell r="N1506">
            <v>199344635</v>
          </cell>
          <cell r="O1506">
            <v>12</v>
          </cell>
          <cell r="P1506">
            <v>42116855</v>
          </cell>
          <cell r="Q1506">
            <v>3</v>
          </cell>
          <cell r="R1506">
            <v>27999615</v>
          </cell>
          <cell r="S1506">
            <v>3</v>
          </cell>
          <cell r="T1506">
            <v>33345299</v>
          </cell>
          <cell r="U1506">
            <v>0</v>
          </cell>
          <cell r="V1506">
            <v>0</v>
          </cell>
          <cell r="W1506">
            <v>0</v>
          </cell>
          <cell r="X1506">
            <v>0</v>
          </cell>
          <cell r="Y1506">
            <v>6</v>
          </cell>
          <cell r="Z1506">
            <v>61344914</v>
          </cell>
          <cell r="AA1506">
            <v>30</v>
          </cell>
          <cell r="AB1506">
            <v>260689549</v>
          </cell>
          <cell r="AC1506">
            <v>0.41666666666666669</v>
          </cell>
          <cell r="AD1506">
            <v>0.74245517886537771</v>
          </cell>
        </row>
        <row r="1507">
          <cell r="C1507">
            <v>3</v>
          </cell>
          <cell r="D1507" t="str">
            <v>00</v>
          </cell>
          <cell r="E1507" t="str">
            <v>03</v>
          </cell>
          <cell r="F1507">
            <v>19</v>
          </cell>
          <cell r="G1507">
            <v>16</v>
          </cell>
          <cell r="I1507" t="str">
            <v>Monitoring dan Evaluasi Penatausahaan Kas Daerah</v>
          </cell>
          <cell r="J1507" t="str">
            <v>(persen)</v>
          </cell>
          <cell r="K1507">
            <v>400</v>
          </cell>
          <cell r="L1507">
            <v>361033726</v>
          </cell>
          <cell r="M1507">
            <v>0</v>
          </cell>
          <cell r="N1507">
            <v>0</v>
          </cell>
          <cell r="O1507">
            <v>100</v>
          </cell>
          <cell r="P1507">
            <v>61033726</v>
          </cell>
          <cell r="Q1507">
            <v>25</v>
          </cell>
          <cell r="R1507">
            <v>0</v>
          </cell>
          <cell r="S1507">
            <v>25</v>
          </cell>
          <cell r="T1507">
            <v>2761838</v>
          </cell>
          <cell r="U1507">
            <v>0</v>
          </cell>
          <cell r="V1507">
            <v>0</v>
          </cell>
          <cell r="W1507">
            <v>0</v>
          </cell>
          <cell r="X1507">
            <v>0</v>
          </cell>
          <cell r="Y1507">
            <v>50</v>
          </cell>
          <cell r="Z1507">
            <v>2761838</v>
          </cell>
          <cell r="AA1507">
            <v>50</v>
          </cell>
          <cell r="AB1507">
            <v>2761838</v>
          </cell>
          <cell r="AC1507">
            <v>0.125</v>
          </cell>
          <cell r="AD1507">
            <v>7.6498061014942413E-3</v>
          </cell>
        </row>
        <row r="1508">
          <cell r="C1508">
            <v>3</v>
          </cell>
          <cell r="D1508" t="str">
            <v>00</v>
          </cell>
          <cell r="E1508" t="str">
            <v>03</v>
          </cell>
          <cell r="F1508">
            <v>19</v>
          </cell>
          <cell r="G1508">
            <v>12</v>
          </cell>
          <cell r="I1508" t="str">
            <v>TOT Aplikasi SIMDA DESA (Nagari)</v>
          </cell>
          <cell r="J1508" t="str">
            <v>Terselenggaranya TOT Aplikasi Siskuedes (persen)</v>
          </cell>
          <cell r="K1508">
            <v>600</v>
          </cell>
          <cell r="L1508">
            <v>693977112</v>
          </cell>
          <cell r="M1508">
            <v>200</v>
          </cell>
          <cell r="N1508">
            <v>202753812</v>
          </cell>
          <cell r="O1508">
            <v>0</v>
          </cell>
          <cell r="P1508">
            <v>0</v>
          </cell>
          <cell r="Q1508">
            <v>0</v>
          </cell>
          <cell r="R1508">
            <v>0</v>
          </cell>
          <cell r="S1508">
            <v>0</v>
          </cell>
          <cell r="T1508">
            <v>0</v>
          </cell>
          <cell r="U1508">
            <v>0</v>
          </cell>
          <cell r="V1508">
            <v>0</v>
          </cell>
          <cell r="W1508">
            <v>0</v>
          </cell>
          <cell r="X1508">
            <v>0</v>
          </cell>
          <cell r="Y1508">
            <v>0</v>
          </cell>
          <cell r="Z1508">
            <v>0</v>
          </cell>
          <cell r="AA1508">
            <v>200</v>
          </cell>
          <cell r="AB1508">
            <v>202753812</v>
          </cell>
          <cell r="AC1508">
            <v>0.33333333333333331</v>
          </cell>
          <cell r="AD1508">
            <v>0.29216210231440604</v>
          </cell>
        </row>
        <row r="1509">
          <cell r="A1509" t="str">
            <v>Rata-Rata Capaian Kinerja</v>
          </cell>
          <cell r="AC1509">
            <v>77.208333333333329</v>
          </cell>
          <cell r="AD1509">
            <v>31.077997349329667</v>
          </cell>
        </row>
        <row r="1510">
          <cell r="A1510" t="str">
            <v>Peringkat  Kinerja</v>
          </cell>
          <cell r="AC1510" t="str">
            <v>S</v>
          </cell>
          <cell r="AD1510" t="str">
            <v>SR</v>
          </cell>
        </row>
        <row r="1511">
          <cell r="A1511" t="str">
            <v>BADAN PENDAPATAN DAERAH</v>
          </cell>
          <cell r="L1511">
            <v>14263565031.5938</v>
          </cell>
          <cell r="N1511">
            <v>2097578870</v>
          </cell>
          <cell r="P1511">
            <v>2864762000</v>
          </cell>
          <cell r="R1511">
            <v>631339076</v>
          </cell>
          <cell r="T1511">
            <v>332375049</v>
          </cell>
          <cell r="Z1511">
            <v>1443773125</v>
          </cell>
          <cell r="AB1511">
            <v>3541351995</v>
          </cell>
        </row>
        <row r="1512">
          <cell r="A1512">
            <v>1</v>
          </cell>
          <cell r="C1512">
            <v>3</v>
          </cell>
          <cell r="D1512" t="str">
            <v>00</v>
          </cell>
          <cell r="E1512" t="str">
            <v>03</v>
          </cell>
          <cell r="F1512" t="str">
            <v>02</v>
          </cell>
          <cell r="G1512" t="str">
            <v>01</v>
          </cell>
          <cell r="I1512" t="str">
            <v>Program Pelayanan Administrasi Perkantoran</v>
          </cell>
          <cell r="J1512" t="str">
            <v>Terlaksananya Program Pelayanan Administrasi Perkantoran</v>
          </cell>
          <cell r="K1512">
            <v>100</v>
          </cell>
          <cell r="L1512">
            <v>3262934166.6199999</v>
          </cell>
          <cell r="M1512">
            <v>40</v>
          </cell>
          <cell r="N1512">
            <v>726423971</v>
          </cell>
          <cell r="O1512">
            <v>20</v>
          </cell>
          <cell r="P1512">
            <v>571491411</v>
          </cell>
          <cell r="Q1512">
            <v>28.84914800583066</v>
          </cell>
          <cell r="R1512">
            <v>164870403</v>
          </cell>
          <cell r="T1512">
            <v>304053049</v>
          </cell>
          <cell r="U1512">
            <v>0</v>
          </cell>
          <cell r="V1512">
            <v>0</v>
          </cell>
          <cell r="W1512">
            <v>0</v>
          </cell>
          <cell r="X1512">
            <v>0</v>
          </cell>
          <cell r="Y1512">
            <v>28.84914800583066</v>
          </cell>
          <cell r="Z1512">
            <v>468923452</v>
          </cell>
          <cell r="AA1512">
            <v>68.849148005830656</v>
          </cell>
          <cell r="AB1512">
            <v>1195347423</v>
          </cell>
          <cell r="AC1512">
            <v>68.849148005830656</v>
          </cell>
          <cell r="AD1512">
            <v>36.634126278993655</v>
          </cell>
          <cell r="AE1512" t="str">
            <v>Badan Pendapatan</v>
          </cell>
        </row>
        <row r="1513">
          <cell r="C1513">
            <v>3</v>
          </cell>
          <cell r="D1513" t="str">
            <v>00</v>
          </cell>
          <cell r="E1513" t="str">
            <v>03</v>
          </cell>
          <cell r="F1513" t="str">
            <v>02</v>
          </cell>
          <cell r="G1513" t="str">
            <v>01</v>
          </cell>
          <cell r="H1513" t="str">
            <v>02</v>
          </cell>
          <cell r="I1513" t="str">
            <v>Penyediaan jasa komunikasi, sumber daya air dan listrik</v>
          </cell>
          <cell r="J1513" t="str">
            <v>Terlaksananya jasa komunikasi sumber daya air dan listrik (bln)</v>
          </cell>
          <cell r="K1513">
            <v>60</v>
          </cell>
          <cell r="L1513">
            <v>360676156.80000001</v>
          </cell>
          <cell r="M1513">
            <v>12</v>
          </cell>
          <cell r="N1513">
            <v>57413580</v>
          </cell>
          <cell r="O1513">
            <v>12</v>
          </cell>
          <cell r="P1513">
            <v>52800000</v>
          </cell>
          <cell r="Q1513">
            <v>3</v>
          </cell>
          <cell r="R1513">
            <v>10935903</v>
          </cell>
          <cell r="S1513" t="str">
            <v>3</v>
          </cell>
          <cell r="T1513">
            <v>18596000</v>
          </cell>
          <cell r="Y1513">
            <v>6</v>
          </cell>
          <cell r="Z1513">
            <v>29531903</v>
          </cell>
          <cell r="AA1513">
            <v>18</v>
          </cell>
          <cell r="AB1513">
            <v>86945483</v>
          </cell>
          <cell r="AC1513">
            <v>30</v>
          </cell>
          <cell r="AD1513">
            <v>24.106246382183919</v>
          </cell>
        </row>
        <row r="1514">
          <cell r="C1514">
            <v>3</v>
          </cell>
          <cell r="D1514" t="str">
            <v>00</v>
          </cell>
          <cell r="E1514" t="str">
            <v>03</v>
          </cell>
          <cell r="F1514" t="str">
            <v>02</v>
          </cell>
          <cell r="G1514" t="str">
            <v>01</v>
          </cell>
          <cell r="H1514" t="str">
            <v>07</v>
          </cell>
          <cell r="I1514" t="str">
            <v>Penyediaan jasa administrasi keuangan</v>
          </cell>
          <cell r="J1514" t="str">
            <v>Tersusunnya Laporan Keuangan (bln)</v>
          </cell>
          <cell r="K1514">
            <v>60</v>
          </cell>
          <cell r="L1514">
            <v>916665187.79999995</v>
          </cell>
          <cell r="M1514">
            <v>12</v>
          </cell>
          <cell r="N1514">
            <v>111142150</v>
          </cell>
          <cell r="O1514">
            <v>12</v>
          </cell>
          <cell r="P1514">
            <v>210450000</v>
          </cell>
          <cell r="Q1514">
            <v>3</v>
          </cell>
          <cell r="R1514">
            <v>33000000</v>
          </cell>
          <cell r="S1514" t="str">
            <v>3</v>
          </cell>
          <cell r="T1514">
            <v>94550000</v>
          </cell>
          <cell r="Y1514">
            <v>6</v>
          </cell>
          <cell r="Z1514">
            <v>127550000</v>
          </cell>
          <cell r="AA1514">
            <v>18</v>
          </cell>
          <cell r="AB1514">
            <v>238692150</v>
          </cell>
          <cell r="AC1514">
            <v>30</v>
          </cell>
          <cell r="AD1514">
            <v>26.039185645618563</v>
          </cell>
        </row>
        <row r="1515">
          <cell r="C1515">
            <v>3</v>
          </cell>
          <cell r="D1515" t="str">
            <v>00</v>
          </cell>
          <cell r="E1515" t="str">
            <v>03</v>
          </cell>
          <cell r="F1515" t="str">
            <v>02</v>
          </cell>
          <cell r="G1515" t="str">
            <v>01</v>
          </cell>
          <cell r="H1515" t="str">
            <v>08</v>
          </cell>
          <cell r="I1515" t="str">
            <v>Penyediaan jasa kebersihan kantor</v>
          </cell>
          <cell r="J1515" t="str">
            <v>Terciptanya suasana kantor yang bersih dan nyaman (bln)</v>
          </cell>
          <cell r="K1515">
            <v>60</v>
          </cell>
          <cell r="L1515">
            <v>69912848.5</v>
          </cell>
          <cell r="M1515">
            <v>12</v>
          </cell>
          <cell r="N1515">
            <v>30104000</v>
          </cell>
          <cell r="O1515">
            <v>12</v>
          </cell>
          <cell r="P1515">
            <v>4758500</v>
          </cell>
          <cell r="Q1515">
            <v>3</v>
          </cell>
          <cell r="R1515">
            <v>1000000</v>
          </cell>
          <cell r="S1515" t="str">
            <v>3</v>
          </cell>
          <cell r="T1515">
            <v>2100000</v>
          </cell>
          <cell r="Y1515">
            <v>6</v>
          </cell>
          <cell r="Z1515">
            <v>3100000</v>
          </cell>
          <cell r="AA1515">
            <v>18</v>
          </cell>
          <cell r="AB1515">
            <v>33204000</v>
          </cell>
          <cell r="AC1515">
            <v>30</v>
          </cell>
          <cell r="AD1515">
            <v>47.4934160349653</v>
          </cell>
        </row>
        <row r="1516">
          <cell r="C1516">
            <v>3</v>
          </cell>
          <cell r="D1516" t="str">
            <v>00</v>
          </cell>
          <cell r="E1516" t="str">
            <v>03</v>
          </cell>
          <cell r="F1516" t="str">
            <v>02</v>
          </cell>
          <cell r="G1516" t="str">
            <v>01</v>
          </cell>
          <cell r="H1516">
            <v>10</v>
          </cell>
          <cell r="I1516" t="str">
            <v>Penyediaan Alat Tulis Kantor</v>
          </cell>
          <cell r="J1516" t="str">
            <v>Terpenuhinya Kebutuhan Alat Tulis Kantor (bln)</v>
          </cell>
          <cell r="K1516">
            <v>60</v>
          </cell>
          <cell r="L1516">
            <v>191141155.22</v>
          </cell>
          <cell r="M1516">
            <v>12</v>
          </cell>
          <cell r="N1516">
            <v>43714000</v>
          </cell>
          <cell r="O1516">
            <v>12</v>
          </cell>
          <cell r="P1516">
            <v>28386711</v>
          </cell>
          <cell r="Q1516">
            <v>3</v>
          </cell>
          <cell r="R1516">
            <v>5850000</v>
          </cell>
          <cell r="S1516" t="str">
            <v>3</v>
          </cell>
          <cell r="T1516">
            <v>10874000</v>
          </cell>
          <cell r="Y1516">
            <v>6</v>
          </cell>
          <cell r="Z1516">
            <v>16724000</v>
          </cell>
          <cell r="AA1516">
            <v>18</v>
          </cell>
          <cell r="AB1516">
            <v>60438000</v>
          </cell>
          <cell r="AC1516">
            <v>30</v>
          </cell>
          <cell r="AD1516">
            <v>31.619564049634917</v>
          </cell>
        </row>
        <row r="1517">
          <cell r="C1517">
            <v>3</v>
          </cell>
          <cell r="D1517" t="str">
            <v>00</v>
          </cell>
          <cell r="E1517" t="str">
            <v>03</v>
          </cell>
          <cell r="F1517" t="str">
            <v>02</v>
          </cell>
          <cell r="G1517" t="str">
            <v>01</v>
          </cell>
          <cell r="H1517">
            <v>11</v>
          </cell>
          <cell r="I1517" t="str">
            <v>Penyediaan barang cetakan dan pengadaan</v>
          </cell>
          <cell r="J1517" t="str">
            <v>Terpenuhinya Kebutuhan Barang Cetakan dan Penggandaan (bln)</v>
          </cell>
          <cell r="K1517">
            <v>60</v>
          </cell>
          <cell r="L1517">
            <v>139854012</v>
          </cell>
          <cell r="M1517">
            <v>12</v>
          </cell>
          <cell r="N1517">
            <v>28675000</v>
          </cell>
          <cell r="O1517">
            <v>12</v>
          </cell>
          <cell r="P1517">
            <v>24000000</v>
          </cell>
          <cell r="Q1517">
            <v>3</v>
          </cell>
          <cell r="R1517">
            <v>3553100</v>
          </cell>
          <cell r="S1517" t="str">
            <v>3</v>
          </cell>
          <cell r="T1517">
            <v>12364000</v>
          </cell>
          <cell r="Y1517">
            <v>6</v>
          </cell>
          <cell r="Z1517">
            <v>15917100</v>
          </cell>
          <cell r="AA1517">
            <v>18</v>
          </cell>
          <cell r="AB1517">
            <v>44592100</v>
          </cell>
          <cell r="AC1517">
            <v>30</v>
          </cell>
          <cell r="AD1517">
            <v>31.884748504747932</v>
          </cell>
        </row>
        <row r="1518">
          <cell r="C1518">
            <v>3</v>
          </cell>
          <cell r="D1518" t="str">
            <v>00</v>
          </cell>
          <cell r="E1518" t="str">
            <v>03</v>
          </cell>
          <cell r="F1518" t="str">
            <v>02</v>
          </cell>
          <cell r="G1518" t="str">
            <v>01</v>
          </cell>
          <cell r="H1518">
            <v>12</v>
          </cell>
          <cell r="I1518" t="str">
            <v>Penyediaan komponen instalasi listrik/penerangan bangunan kantor</v>
          </cell>
          <cell r="J1518" t="str">
            <v>Terpenuhinya kebutuhan instalasi listrik/penerangan bangunan kantor (bln)</v>
          </cell>
          <cell r="K1518">
            <v>60</v>
          </cell>
          <cell r="L1518">
            <v>88070025.640000001</v>
          </cell>
          <cell r="M1518">
            <v>12</v>
          </cell>
          <cell r="N1518">
            <v>13412500</v>
          </cell>
          <cell r="O1518">
            <v>12</v>
          </cell>
          <cell r="P1518">
            <v>16180040</v>
          </cell>
          <cell r="Q1518">
            <v>3</v>
          </cell>
          <cell r="R1518">
            <v>0</v>
          </cell>
          <cell r="S1518" t="str">
            <v>3</v>
          </cell>
          <cell r="T1518">
            <v>2049</v>
          </cell>
          <cell r="Y1518">
            <v>6</v>
          </cell>
          <cell r="Z1518">
            <v>2049000</v>
          </cell>
          <cell r="AA1518">
            <v>18</v>
          </cell>
          <cell r="AB1518">
            <v>15461500</v>
          </cell>
          <cell r="AC1518">
            <v>30</v>
          </cell>
          <cell r="AD1518">
            <v>17.555916315048322</v>
          </cell>
        </row>
        <row r="1519">
          <cell r="C1519">
            <v>3</v>
          </cell>
          <cell r="D1519" t="str">
            <v>00</v>
          </cell>
          <cell r="E1519" t="str">
            <v>03</v>
          </cell>
          <cell r="F1519" t="str">
            <v>02</v>
          </cell>
          <cell r="G1519" t="str">
            <v>01</v>
          </cell>
          <cell r="H1519">
            <v>15</v>
          </cell>
          <cell r="I1519" t="str">
            <v>Penyediaan bahan bacaan dan peraturan perundang-undangan</v>
          </cell>
          <cell r="J1519" t="str">
            <v>Tersedianya Bahan Bacaan dan Buku Referensi Perundang-undangan (bln)</v>
          </cell>
          <cell r="K1519">
            <v>60</v>
          </cell>
          <cell r="L1519">
            <v>43400000</v>
          </cell>
          <cell r="M1519">
            <v>12</v>
          </cell>
          <cell r="N1519">
            <v>4920000</v>
          </cell>
          <cell r="O1519">
            <v>12</v>
          </cell>
          <cell r="P1519">
            <v>5000000</v>
          </cell>
          <cell r="Q1519">
            <v>3</v>
          </cell>
          <cell r="R1519">
            <v>4800000</v>
          </cell>
          <cell r="S1519" t="str">
            <v>3</v>
          </cell>
          <cell r="T1519">
            <v>11080000</v>
          </cell>
          <cell r="Y1519">
            <v>6</v>
          </cell>
          <cell r="Z1519">
            <v>15880000</v>
          </cell>
          <cell r="AA1519">
            <v>18</v>
          </cell>
          <cell r="AB1519">
            <v>20800000</v>
          </cell>
          <cell r="AC1519">
            <v>30</v>
          </cell>
          <cell r="AD1519">
            <v>47.926267281105986</v>
          </cell>
        </row>
        <row r="1520">
          <cell r="C1520">
            <v>3</v>
          </cell>
          <cell r="D1520" t="str">
            <v>00</v>
          </cell>
          <cell r="E1520" t="str">
            <v>03</v>
          </cell>
          <cell r="F1520" t="str">
            <v>02</v>
          </cell>
          <cell r="G1520" t="str">
            <v>01</v>
          </cell>
          <cell r="H1520">
            <v>17</v>
          </cell>
          <cell r="I1520" t="str">
            <v>Penyediaan makanan dan minuman</v>
          </cell>
          <cell r="J1520" t="str">
            <v>Terpenuhinya makan-minum tamu dan piket (bln)</v>
          </cell>
          <cell r="K1520">
            <v>60</v>
          </cell>
          <cell r="L1520">
            <v>332784.2</v>
          </cell>
          <cell r="M1520">
            <v>12</v>
          </cell>
          <cell r="N1520">
            <v>57636000</v>
          </cell>
          <cell r="O1520">
            <v>12</v>
          </cell>
          <cell r="P1520">
            <v>44070000</v>
          </cell>
          <cell r="Q1520">
            <v>3</v>
          </cell>
          <cell r="R1520">
            <v>15144400</v>
          </cell>
          <cell r="S1520" t="str">
            <v>3</v>
          </cell>
          <cell r="T1520">
            <v>29289000</v>
          </cell>
          <cell r="Y1520">
            <v>6</v>
          </cell>
          <cell r="Z1520">
            <v>44433400</v>
          </cell>
          <cell r="AA1520">
            <v>18</v>
          </cell>
          <cell r="AB1520">
            <v>102069400</v>
          </cell>
          <cell r="AC1520">
            <v>30</v>
          </cell>
          <cell r="AD1520">
            <v>30671.347978660044</v>
          </cell>
        </row>
        <row r="1521">
          <cell r="C1521">
            <v>3</v>
          </cell>
          <cell r="D1521" t="str">
            <v>00</v>
          </cell>
          <cell r="E1521" t="str">
            <v>03</v>
          </cell>
          <cell r="F1521" t="str">
            <v>02</v>
          </cell>
          <cell r="G1521" t="str">
            <v>01</v>
          </cell>
          <cell r="H1521">
            <v>18</v>
          </cell>
          <cell r="I1521" t="str">
            <v>Rapat-rapat koordinasi dan konsultasi ke luar daerah</v>
          </cell>
          <cell r="J1521" t="str">
            <v>Terlaksananya kegiatan rapat-rapat koordinasi dan konsultasi ke luar daerah (bln)</v>
          </cell>
          <cell r="K1521">
            <v>60</v>
          </cell>
          <cell r="L1521">
            <v>812554925</v>
          </cell>
          <cell r="M1521">
            <v>12</v>
          </cell>
          <cell r="N1521">
            <v>220682041</v>
          </cell>
          <cell r="O1521">
            <v>12</v>
          </cell>
          <cell r="P1521">
            <v>102967500</v>
          </cell>
          <cell r="Q1521">
            <v>3</v>
          </cell>
          <cell r="R1521">
            <v>56812000</v>
          </cell>
          <cell r="S1521" t="str">
            <v>3</v>
          </cell>
          <cell r="T1521">
            <v>65626000</v>
          </cell>
          <cell r="Y1521">
            <v>6</v>
          </cell>
          <cell r="Z1521">
            <v>122438000</v>
          </cell>
          <cell r="AA1521">
            <v>18</v>
          </cell>
          <cell r="AB1521">
            <v>343120041</v>
          </cell>
          <cell r="AC1521">
            <v>30</v>
          </cell>
          <cell r="AD1521">
            <v>42.227304326535219</v>
          </cell>
        </row>
        <row r="1522">
          <cell r="C1522">
            <v>3</v>
          </cell>
          <cell r="D1522" t="str">
            <v>00</v>
          </cell>
          <cell r="E1522" t="str">
            <v>03</v>
          </cell>
          <cell r="F1522" t="str">
            <v>02</v>
          </cell>
          <cell r="G1522" t="str">
            <v>01</v>
          </cell>
          <cell r="H1522">
            <v>20</v>
          </cell>
          <cell r="I1522" t="str">
            <v>Rapat-rapat koordinasi dan konsultasi dalam daerah</v>
          </cell>
          <cell r="J1522" t="str">
            <v>Terlaksananya kegiatan rapat-rapat koordinasi dan konsultasi dalam daerah (bln)</v>
          </cell>
          <cell r="K1522">
            <v>60</v>
          </cell>
          <cell r="L1522">
            <v>470861300</v>
          </cell>
          <cell r="M1522">
            <v>12</v>
          </cell>
          <cell r="N1522">
            <v>112821500</v>
          </cell>
          <cell r="O1522">
            <v>12</v>
          </cell>
          <cell r="P1522">
            <v>58230000</v>
          </cell>
          <cell r="Q1522">
            <v>3</v>
          </cell>
          <cell r="R1522">
            <v>33775000</v>
          </cell>
          <cell r="S1522" t="str">
            <v>3</v>
          </cell>
          <cell r="T1522">
            <v>54204000</v>
          </cell>
          <cell r="Y1522">
            <v>6</v>
          </cell>
          <cell r="Z1522">
            <v>87979000</v>
          </cell>
          <cell r="AA1522">
            <v>18</v>
          </cell>
          <cell r="AB1522">
            <v>200800500</v>
          </cell>
          <cell r="AC1522">
            <v>30</v>
          </cell>
          <cell r="AD1522">
            <v>42.64536074635992</v>
          </cell>
        </row>
        <row r="1523">
          <cell r="C1523">
            <v>3</v>
          </cell>
          <cell r="D1523" t="str">
            <v>00</v>
          </cell>
          <cell r="E1523" t="str">
            <v>03</v>
          </cell>
          <cell r="F1523" t="str">
            <v>02</v>
          </cell>
          <cell r="G1523" t="str">
            <v>01</v>
          </cell>
          <cell r="H1523">
            <v>22</v>
          </cell>
          <cell r="I1523" t="str">
            <v>Penunjang Operasional Perencanaan dan Pelaporan SKPD</v>
          </cell>
          <cell r="J1523" t="str">
            <v>Tersusunnya Dokumen Perencanaan dan Pelaporan (Renja, Renstra, KUA PPAS, RKA, DPA, LAKIP, TAPKIN dan SAKIP) (bln)</v>
          </cell>
          <cell r="K1523">
            <v>60</v>
          </cell>
          <cell r="L1523">
            <v>169465771.46000001</v>
          </cell>
          <cell r="M1523">
            <v>12</v>
          </cell>
          <cell r="N1523">
            <v>45903200</v>
          </cell>
          <cell r="O1523">
            <v>12</v>
          </cell>
          <cell r="P1523">
            <v>24648660</v>
          </cell>
          <cell r="Q1523">
            <v>3</v>
          </cell>
          <cell r="R1523">
            <v>0</v>
          </cell>
          <cell r="S1523" t="str">
            <v>3</v>
          </cell>
          <cell r="T1523">
            <v>5368000</v>
          </cell>
          <cell r="Y1523">
            <v>6</v>
          </cell>
          <cell r="Z1523">
            <v>5368000</v>
          </cell>
          <cell r="AA1523">
            <v>18</v>
          </cell>
          <cell r="AB1523">
            <v>51271200</v>
          </cell>
          <cell r="AC1523">
            <v>30</v>
          </cell>
          <cell r="AD1523">
            <v>30.254605138419848</v>
          </cell>
        </row>
        <row r="1524">
          <cell r="A1524">
            <v>2</v>
          </cell>
          <cell r="C1524">
            <v>3</v>
          </cell>
          <cell r="D1524" t="str">
            <v>00</v>
          </cell>
          <cell r="E1524" t="str">
            <v>03</v>
          </cell>
          <cell r="F1524" t="str">
            <v>02</v>
          </cell>
          <cell r="G1524" t="str">
            <v>02</v>
          </cell>
          <cell r="I1524" t="str">
            <v>Program Peningkatan Sarana dan Prasarana Aparatur</v>
          </cell>
          <cell r="J1524" t="str">
            <v>Terlaksananya Program Peningkatan Sarana dan Prasarana Aparatur</v>
          </cell>
          <cell r="K1524">
            <v>100</v>
          </cell>
          <cell r="L1524">
            <v>1092138300</v>
          </cell>
          <cell r="M1524">
            <v>5.4938097125611289</v>
          </cell>
          <cell r="N1524">
            <v>60000000</v>
          </cell>
          <cell r="O1524">
            <v>34.791839092173582</v>
          </cell>
          <cell r="P1524">
            <v>379975000</v>
          </cell>
          <cell r="Q1524">
            <v>2.1751431015198368</v>
          </cell>
          <cell r="R1524">
            <v>8265000</v>
          </cell>
          <cell r="Y1524">
            <v>2.1751431015198368</v>
          </cell>
          <cell r="Z1524">
            <v>28165000</v>
          </cell>
          <cell r="AA1524">
            <v>7.6689528140809653</v>
          </cell>
          <cell r="AB1524">
            <v>88165000</v>
          </cell>
          <cell r="AC1524">
            <v>7.6689528140809653</v>
          </cell>
          <cell r="AD1524">
            <v>8.0726955551325315</v>
          </cell>
          <cell r="AE1524" t="str">
            <v>Badan Pendapatan</v>
          </cell>
        </row>
        <row r="1525">
          <cell r="C1525">
            <v>3</v>
          </cell>
          <cell r="D1525" t="str">
            <v>00</v>
          </cell>
          <cell r="E1525" t="str">
            <v>03</v>
          </cell>
          <cell r="F1525" t="str">
            <v>02</v>
          </cell>
          <cell r="G1525" t="str">
            <v>02</v>
          </cell>
          <cell r="H1525" t="str">
            <v>09</v>
          </cell>
          <cell r="I1525" t="str">
            <v>Pengadaan Peralatan Gedung Kantor</v>
          </cell>
          <cell r="J1525" t="str">
            <v>Tersedianya  Peralatan Gedung Kantor</v>
          </cell>
          <cell r="K1525">
            <v>100</v>
          </cell>
          <cell r="L1525">
            <v>505403300</v>
          </cell>
          <cell r="M1525">
            <v>11.871707208876554</v>
          </cell>
          <cell r="N1525">
            <v>60000000</v>
          </cell>
          <cell r="O1525">
            <v>39.572357362921849</v>
          </cell>
          <cell r="P1525">
            <v>200000000</v>
          </cell>
          <cell r="Q1525">
            <v>0.6</v>
          </cell>
          <cell r="R1525">
            <v>1200000</v>
          </cell>
          <cell r="Y1525">
            <v>0.6</v>
          </cell>
          <cell r="Z1525">
            <v>1200000</v>
          </cell>
          <cell r="AA1525">
            <v>12.471707208876554</v>
          </cell>
          <cell r="AB1525">
            <v>61200000</v>
          </cell>
          <cell r="AC1525">
            <v>12.471707208876554</v>
          </cell>
          <cell r="AD1525">
            <v>12.109141353054085</v>
          </cell>
        </row>
        <row r="1526">
          <cell r="C1526">
            <v>3</v>
          </cell>
          <cell r="D1526" t="str">
            <v>00</v>
          </cell>
          <cell r="E1526" t="str">
            <v>03</v>
          </cell>
          <cell r="F1526" t="str">
            <v>02</v>
          </cell>
          <cell r="G1526" t="str">
            <v>02</v>
          </cell>
          <cell r="H1526">
            <v>22</v>
          </cell>
          <cell r="I1526" t="str">
            <v>Pemeliharaan Rutin/Berkala Gedung Kantor</v>
          </cell>
          <cell r="J1526" t="str">
            <v>Terlaksananya Pemeliharaan Rutin/Berkala Gedung Kantor</v>
          </cell>
          <cell r="K1526">
            <v>6</v>
          </cell>
          <cell r="L1526">
            <v>191331000</v>
          </cell>
          <cell r="M1526">
            <v>2</v>
          </cell>
          <cell r="O1526">
            <v>1</v>
          </cell>
          <cell r="P1526">
            <v>20000000</v>
          </cell>
          <cell r="Q1526">
            <v>0</v>
          </cell>
          <cell r="R1526">
            <v>0</v>
          </cell>
          <cell r="S1526" t="str">
            <v>-</v>
          </cell>
          <cell r="T1526">
            <v>19900000</v>
          </cell>
          <cell r="Y1526">
            <v>0</v>
          </cell>
          <cell r="Z1526">
            <v>19900000</v>
          </cell>
          <cell r="AA1526">
            <v>2</v>
          </cell>
          <cell r="AB1526">
            <v>19900000</v>
          </cell>
          <cell r="AC1526">
            <v>33.333333333333329</v>
          </cell>
          <cell r="AD1526">
            <v>10.400823703424955</v>
          </cell>
        </row>
        <row r="1527">
          <cell r="C1527">
            <v>3</v>
          </cell>
          <cell r="D1527" t="str">
            <v>00</v>
          </cell>
          <cell r="E1527" t="str">
            <v>03</v>
          </cell>
          <cell r="F1527" t="str">
            <v>02</v>
          </cell>
          <cell r="G1527" t="str">
            <v>02</v>
          </cell>
          <cell r="H1527">
            <v>24</v>
          </cell>
          <cell r="I1527" t="str">
            <v>Pemeliharaan Rutin/Berkala Kenderaan Dinas operasional</v>
          </cell>
          <cell r="J1527" t="str">
            <v>Terlaksananya Pemeliharaan Rutin/Berkala Kenderaan Dinas</v>
          </cell>
          <cell r="K1527">
            <v>72</v>
          </cell>
          <cell r="L1527">
            <v>120404000</v>
          </cell>
          <cell r="M1527">
            <v>24</v>
          </cell>
          <cell r="O1527">
            <v>12</v>
          </cell>
          <cell r="P1527">
            <v>104975000</v>
          </cell>
          <cell r="Y1527">
            <v>0</v>
          </cell>
          <cell r="Z1527">
            <v>0</v>
          </cell>
          <cell r="AA1527">
            <v>24</v>
          </cell>
          <cell r="AB1527">
            <v>0</v>
          </cell>
          <cell r="AC1527">
            <v>33.333333333333329</v>
          </cell>
          <cell r="AD1527">
            <v>0</v>
          </cell>
        </row>
        <row r="1528">
          <cell r="C1528">
            <v>3</v>
          </cell>
          <cell r="D1528" t="str">
            <v>00</v>
          </cell>
          <cell r="E1528" t="str">
            <v>03</v>
          </cell>
          <cell r="F1528" t="str">
            <v>02</v>
          </cell>
          <cell r="G1528" t="str">
            <v>02</v>
          </cell>
          <cell r="H1528">
            <v>130</v>
          </cell>
          <cell r="I1528" t="str">
            <v>Penyediaan Jasa Perbaikan Peralatan Kantor</v>
          </cell>
          <cell r="J1528" t="str">
            <v>Terlaksananya Operasional kantor</v>
          </cell>
          <cell r="K1528">
            <v>100</v>
          </cell>
          <cell r="L1528">
            <v>275000000</v>
          </cell>
          <cell r="M1528">
            <v>0</v>
          </cell>
          <cell r="N1528">
            <v>0</v>
          </cell>
          <cell r="O1528">
            <v>20</v>
          </cell>
          <cell r="P1528">
            <v>55000000</v>
          </cell>
          <cell r="Q1528">
            <v>0</v>
          </cell>
          <cell r="R1528">
            <v>7065000</v>
          </cell>
          <cell r="Y1528">
            <v>0</v>
          </cell>
          <cell r="Z1528">
            <v>7065000</v>
          </cell>
          <cell r="AA1528">
            <v>0</v>
          </cell>
          <cell r="AB1528">
            <v>7065000</v>
          </cell>
          <cell r="AC1528">
            <v>0</v>
          </cell>
          <cell r="AD1528">
            <v>2.5690909090909089</v>
          </cell>
        </row>
        <row r="1529">
          <cell r="A1529">
            <v>3</v>
          </cell>
          <cell r="C1529">
            <v>3</v>
          </cell>
          <cell r="D1529" t="str">
            <v>00</v>
          </cell>
          <cell r="E1529" t="str">
            <v>03</v>
          </cell>
          <cell r="F1529" t="str">
            <v>02</v>
          </cell>
          <cell r="G1529">
            <v>15</v>
          </cell>
          <cell r="I1529" t="str">
            <v>Program Pengembangan Data/Informasi</v>
          </cell>
          <cell r="J1529" t="str">
            <v>Terlaksananya pengembangan Data/Informasi</v>
          </cell>
          <cell r="K1529">
            <v>100</v>
          </cell>
          <cell r="L1529">
            <v>256245000</v>
          </cell>
          <cell r="M1529">
            <v>0</v>
          </cell>
          <cell r="N1529">
            <v>0</v>
          </cell>
          <cell r="O1529">
            <v>17.561318269624774</v>
          </cell>
          <cell r="P1529">
            <v>45000000</v>
          </cell>
          <cell r="Q1529">
            <v>0</v>
          </cell>
          <cell r="R1529">
            <v>0</v>
          </cell>
          <cell r="T1529">
            <v>28322000</v>
          </cell>
          <cell r="Y1529">
            <v>0</v>
          </cell>
          <cell r="Z1529">
            <v>28322000</v>
          </cell>
          <cell r="AA1529">
            <v>0</v>
          </cell>
          <cell r="AB1529">
            <v>28322000</v>
          </cell>
          <cell r="AC1529">
            <v>0</v>
          </cell>
          <cell r="AD1529">
            <v>11.052703467384729</v>
          </cell>
          <cell r="AE1529" t="str">
            <v>Badan Pendapatan</v>
          </cell>
        </row>
        <row r="1530">
          <cell r="C1530">
            <v>3</v>
          </cell>
          <cell r="D1530" t="str">
            <v>00</v>
          </cell>
          <cell r="E1530" t="str">
            <v>03</v>
          </cell>
          <cell r="F1530" t="str">
            <v>02</v>
          </cell>
          <cell r="G1530">
            <v>15</v>
          </cell>
          <cell r="H1530">
            <v>11</v>
          </cell>
          <cell r="I1530" t="str">
            <v>Penyebarluasan Informasi Pembangunan</v>
          </cell>
          <cell r="J1530" t="str">
            <v>Tersusunnya Laporan Capaian Kinerja (%)</v>
          </cell>
          <cell r="K1530">
            <v>100</v>
          </cell>
          <cell r="L1530">
            <v>256245000</v>
          </cell>
          <cell r="M1530">
            <v>0</v>
          </cell>
          <cell r="N1530">
            <v>0</v>
          </cell>
          <cell r="O1530">
            <v>17.561318269624774</v>
          </cell>
          <cell r="P1530">
            <v>45000000</v>
          </cell>
          <cell r="Q1530">
            <v>0</v>
          </cell>
          <cell r="T1530">
            <v>28322000</v>
          </cell>
          <cell r="Y1530">
            <v>0</v>
          </cell>
          <cell r="Z1530">
            <v>28322000</v>
          </cell>
          <cell r="AA1530">
            <v>0</v>
          </cell>
          <cell r="AB1530">
            <v>28322000</v>
          </cell>
          <cell r="AC1530">
            <v>0</v>
          </cell>
          <cell r="AD1530">
            <v>11.052703467384729</v>
          </cell>
        </row>
        <row r="1531">
          <cell r="A1531">
            <v>4</v>
          </cell>
          <cell r="C1531">
            <v>3</v>
          </cell>
          <cell r="D1531" t="str">
            <v>00</v>
          </cell>
          <cell r="E1531" t="str">
            <v>03</v>
          </cell>
          <cell r="F1531" t="str">
            <v>02</v>
          </cell>
          <cell r="G1531">
            <v>17</v>
          </cell>
          <cell r="I1531" t="str">
            <v>Program Peningk.Pengemb.Pengelolaan Keuangan Daerah</v>
          </cell>
          <cell r="J1531" t="str">
            <v>Terlaksananya Peningkatan Pengembangan Pengelolaan Keuangan Daerah</v>
          </cell>
          <cell r="K1531">
            <v>100</v>
          </cell>
          <cell r="L1531">
            <v>9652247564.9738007</v>
          </cell>
          <cell r="M1531">
            <v>85</v>
          </cell>
          <cell r="N1531">
            <v>1311154899</v>
          </cell>
          <cell r="O1531">
            <v>5</v>
          </cell>
          <cell r="P1531">
            <v>1868295589</v>
          </cell>
          <cell r="Q1531">
            <v>2</v>
          </cell>
          <cell r="R1531">
            <v>458203673</v>
          </cell>
          <cell r="Y1531">
            <v>2</v>
          </cell>
          <cell r="Z1531">
            <v>918362673</v>
          </cell>
          <cell r="AA1531">
            <v>87</v>
          </cell>
          <cell r="AB1531">
            <v>2229517572</v>
          </cell>
          <cell r="AC1531">
            <v>87</v>
          </cell>
          <cell r="AD1531">
            <v>23.098429220677076</v>
          </cell>
          <cell r="AE1531" t="str">
            <v>Badan Pendapatan</v>
          </cell>
        </row>
        <row r="1532">
          <cell r="C1532">
            <v>3</v>
          </cell>
          <cell r="D1532" t="str">
            <v>00</v>
          </cell>
          <cell r="E1532" t="str">
            <v>03</v>
          </cell>
          <cell r="F1532" t="str">
            <v>02</v>
          </cell>
          <cell r="G1532">
            <v>17</v>
          </cell>
          <cell r="H1532">
            <v>19</v>
          </cell>
          <cell r="I1532" t="str">
            <v>Intensifikasi dan Ekstensifikasi sumber-sumber pendapatan daerah</v>
          </cell>
          <cell r="J1532" t="str">
            <v>Terdatanya seluruh objek pajak yang ada di Kabupaten Pesisir Selatan (%)</v>
          </cell>
          <cell r="K1532">
            <v>100</v>
          </cell>
          <cell r="L1532">
            <v>761078432.92299998</v>
          </cell>
          <cell r="M1532">
            <v>85</v>
          </cell>
          <cell r="N1532">
            <v>128100160</v>
          </cell>
          <cell r="O1532">
            <v>6</v>
          </cell>
          <cell r="P1532">
            <v>50280297</v>
          </cell>
          <cell r="Q1532">
            <v>2</v>
          </cell>
          <cell r="R1532">
            <v>11599800</v>
          </cell>
          <cell r="T1532">
            <v>17718000</v>
          </cell>
          <cell r="Y1532">
            <v>2</v>
          </cell>
          <cell r="Z1532">
            <v>29317800</v>
          </cell>
          <cell r="AA1532">
            <v>87</v>
          </cell>
          <cell r="AB1532">
            <v>157417960</v>
          </cell>
          <cell r="AC1532">
            <v>87</v>
          </cell>
          <cell r="AD1532">
            <v>20.683539723418537</v>
          </cell>
        </row>
        <row r="1533">
          <cell r="C1533">
            <v>3</v>
          </cell>
          <cell r="D1533" t="str">
            <v>00</v>
          </cell>
          <cell r="E1533" t="str">
            <v>03</v>
          </cell>
          <cell r="F1533" t="str">
            <v>02</v>
          </cell>
          <cell r="G1533">
            <v>17</v>
          </cell>
          <cell r="H1533">
            <v>30</v>
          </cell>
          <cell r="I1533" t="str">
            <v>Rekonsiliasi Pendapatan Asli Daerah</v>
          </cell>
          <cell r="J1533" t="str">
            <v>Diperolehnya data Pendapatan Asli Daerah dari Berbagai sumber  yang akurat dan terkini</v>
          </cell>
          <cell r="K1533">
            <v>100</v>
          </cell>
          <cell r="L1533">
            <v>340178662.88080001</v>
          </cell>
          <cell r="M1533">
            <v>85</v>
          </cell>
          <cell r="N1533">
            <v>68127750</v>
          </cell>
          <cell r="O1533">
            <v>13</v>
          </cell>
          <cell r="P1533">
            <v>46000000</v>
          </cell>
          <cell r="Q1533">
            <v>5.6270725029886632</v>
          </cell>
          <cell r="R1533">
            <v>19142100</v>
          </cell>
          <cell r="T1533">
            <v>30337000</v>
          </cell>
          <cell r="Y1533">
            <v>5.6270725029886632</v>
          </cell>
          <cell r="Z1533">
            <v>49479100</v>
          </cell>
          <cell r="AA1533">
            <v>90.627072502988668</v>
          </cell>
          <cell r="AB1533">
            <v>117606850</v>
          </cell>
          <cell r="AC1533">
            <v>90.627072502988668</v>
          </cell>
          <cell r="AD1533">
            <v>34.572083094232724</v>
          </cell>
        </row>
        <row r="1534">
          <cell r="C1534">
            <v>3</v>
          </cell>
          <cell r="D1534" t="str">
            <v>00</v>
          </cell>
          <cell r="E1534" t="str">
            <v>03</v>
          </cell>
          <cell r="F1534" t="str">
            <v>02</v>
          </cell>
          <cell r="G1534">
            <v>17</v>
          </cell>
          <cell r="H1534">
            <v>31</v>
          </cell>
          <cell r="I1534" t="str">
            <v>Penyusunan laporan PAD</v>
          </cell>
          <cell r="J1534" t="str">
            <v>Tersusunnya Laporan Pendapatan Asli Daerah (%)</v>
          </cell>
          <cell r="K1534">
            <v>100</v>
          </cell>
          <cell r="L1534">
            <v>431617954.80000001</v>
          </cell>
          <cell r="M1534">
            <v>85</v>
          </cell>
          <cell r="N1534">
            <v>88487300</v>
          </cell>
          <cell r="O1534">
            <v>17</v>
          </cell>
          <cell r="P1534">
            <v>73999862</v>
          </cell>
          <cell r="Q1534">
            <v>2.4280732262067608</v>
          </cell>
          <cell r="R1534">
            <v>10480000</v>
          </cell>
          <cell r="T1534">
            <v>27179000</v>
          </cell>
          <cell r="Y1534">
            <v>2.4280732262067608</v>
          </cell>
          <cell r="Z1534">
            <v>37659000</v>
          </cell>
          <cell r="AA1534">
            <v>87.428073226206763</v>
          </cell>
          <cell r="AB1534">
            <v>126146300</v>
          </cell>
          <cell r="AC1534">
            <v>87.428073226206763</v>
          </cell>
          <cell r="AD1534">
            <v>29.226379161741022</v>
          </cell>
        </row>
        <row r="1535">
          <cell r="C1535">
            <v>3</v>
          </cell>
          <cell r="D1535" t="str">
            <v>00</v>
          </cell>
          <cell r="E1535" t="str">
            <v>03</v>
          </cell>
          <cell r="F1535" t="str">
            <v>02</v>
          </cell>
          <cell r="G1535">
            <v>17</v>
          </cell>
          <cell r="H1535">
            <v>44</v>
          </cell>
          <cell r="I1535" t="str">
            <v>Monitoring dan Evaluasi PAD</v>
          </cell>
          <cell r="J1535" t="str">
            <v>Diperolehnya Data Objek Pajak PBB-P2 yang Akurat dan Terkini (%)</v>
          </cell>
          <cell r="K1535">
            <v>100</v>
          </cell>
          <cell r="L1535">
            <v>662667556.00999999</v>
          </cell>
          <cell r="M1535">
            <v>85</v>
          </cell>
          <cell r="N1535">
            <v>103500000</v>
          </cell>
          <cell r="O1535">
            <v>14</v>
          </cell>
          <cell r="P1535">
            <v>94499830</v>
          </cell>
          <cell r="Q1535">
            <v>2.3772100893018941</v>
          </cell>
          <cell r="R1535">
            <v>15753000</v>
          </cell>
          <cell r="T1535">
            <v>50178000</v>
          </cell>
          <cell r="Y1535">
            <v>2.3772100893018941</v>
          </cell>
          <cell r="Z1535">
            <v>65931000</v>
          </cell>
          <cell r="AA1535">
            <v>87.377210089301897</v>
          </cell>
          <cell r="AB1535">
            <v>169431000</v>
          </cell>
          <cell r="AC1535">
            <v>87.377210089301897</v>
          </cell>
          <cell r="AD1535">
            <v>25.56802403608895</v>
          </cell>
        </row>
        <row r="1536">
          <cell r="B1536" t="str">
            <v>Terwujudnya Penerimaan dan Pendapatan Asli Daerah</v>
          </cell>
          <cell r="C1536">
            <v>3</v>
          </cell>
          <cell r="D1536" t="str">
            <v>00</v>
          </cell>
          <cell r="E1536" t="str">
            <v>03</v>
          </cell>
          <cell r="F1536" t="str">
            <v>02</v>
          </cell>
          <cell r="G1536">
            <v>17</v>
          </cell>
          <cell r="H1536">
            <v>32</v>
          </cell>
          <cell r="I1536" t="str">
            <v>Cetak Massal dan pengadaan bahan-bahan Dokumen PBB-P2</v>
          </cell>
          <cell r="J1536" t="str">
            <v>Tersedianya Blanko SKP PBB-P2 (%)</v>
          </cell>
          <cell r="K1536">
            <v>100</v>
          </cell>
          <cell r="L1536">
            <v>1780479098.8699999</v>
          </cell>
          <cell r="M1536">
            <v>85</v>
          </cell>
          <cell r="N1536">
            <v>371241400</v>
          </cell>
          <cell r="O1536">
            <v>15.729804925974522</v>
          </cell>
          <cell r="P1536">
            <v>280065889</v>
          </cell>
          <cell r="Q1536">
            <v>12.67110072469727</v>
          </cell>
          <cell r="R1536">
            <v>225606300</v>
          </cell>
          <cell r="Y1536">
            <v>12.67110072469727</v>
          </cell>
          <cell r="Z1536">
            <v>225606300</v>
          </cell>
          <cell r="AA1536">
            <v>97.671100724697268</v>
          </cell>
          <cell r="AB1536">
            <v>596847700</v>
          </cell>
          <cell r="AC1536">
            <v>97.671100724697268</v>
          </cell>
          <cell r="AD1536">
            <v>33.521747061158749</v>
          </cell>
        </row>
        <row r="1537">
          <cell r="C1537">
            <v>3</v>
          </cell>
          <cell r="D1537" t="str">
            <v>00</v>
          </cell>
          <cell r="E1537" t="str">
            <v>03</v>
          </cell>
          <cell r="F1537" t="str">
            <v>02</v>
          </cell>
          <cell r="G1537">
            <v>17</v>
          </cell>
          <cell r="H1537">
            <v>33</v>
          </cell>
          <cell r="I1537" t="str">
            <v>Pengadaan barang kuasi</v>
          </cell>
          <cell r="J1537" t="str">
            <v>Tersedianya Karcis Retribusi/tanda masuk/parkir (%)</v>
          </cell>
          <cell r="K1537">
            <v>100</v>
          </cell>
          <cell r="L1537">
            <v>597638000</v>
          </cell>
          <cell r="M1537">
            <v>85</v>
          </cell>
          <cell r="N1537">
            <v>110789875</v>
          </cell>
          <cell r="O1537">
            <v>15</v>
          </cell>
          <cell r="P1537">
            <v>118000000</v>
          </cell>
          <cell r="Q1537">
            <v>0.41028180938963049</v>
          </cell>
          <cell r="R1537">
            <v>2452000</v>
          </cell>
          <cell r="T1537">
            <v>5114000</v>
          </cell>
          <cell r="Y1537">
            <v>0.41028180938963049</v>
          </cell>
          <cell r="Z1537">
            <v>7566000</v>
          </cell>
          <cell r="AA1537">
            <v>85.41028180938963</v>
          </cell>
          <cell r="AB1537">
            <v>118355875</v>
          </cell>
          <cell r="AC1537">
            <v>85.41028180938963</v>
          </cell>
          <cell r="AD1537">
            <v>19.803940679809518</v>
          </cell>
        </row>
        <row r="1538">
          <cell r="C1538">
            <v>3</v>
          </cell>
          <cell r="D1538" t="str">
            <v>00</v>
          </cell>
          <cell r="E1538" t="str">
            <v>03</v>
          </cell>
          <cell r="F1538" t="str">
            <v>02</v>
          </cell>
          <cell r="G1538">
            <v>17</v>
          </cell>
          <cell r="H1538">
            <v>66</v>
          </cell>
          <cell r="I1538" t="str">
            <v xml:space="preserve"> </v>
          </cell>
          <cell r="J1538" t="str">
            <v>Terlaksananya Pelayanan dan Peningkatan Pemungutan Pajak Daerah Wilayah I (%)</v>
          </cell>
          <cell r="K1538">
            <v>100</v>
          </cell>
          <cell r="L1538">
            <v>1283069606.1099999</v>
          </cell>
          <cell r="M1538">
            <v>4.8339388373511722</v>
          </cell>
          <cell r="N1538">
            <v>62022800</v>
          </cell>
          <cell r="O1538">
            <v>21</v>
          </cell>
          <cell r="P1538">
            <v>269999892</v>
          </cell>
          <cell r="Q1538">
            <v>4.080540350319187</v>
          </cell>
          <cell r="R1538">
            <v>52356173</v>
          </cell>
          <cell r="T1538">
            <v>118282000</v>
          </cell>
          <cell r="Y1538">
            <v>4.080540350319187</v>
          </cell>
          <cell r="Z1538">
            <v>170638173</v>
          </cell>
          <cell r="AA1538">
            <v>8.9144791876703593</v>
          </cell>
          <cell r="AB1538">
            <v>232660973</v>
          </cell>
          <cell r="AC1538">
            <v>8.9144791876703593</v>
          </cell>
          <cell r="AD1538">
            <v>18.13315286186068</v>
          </cell>
        </row>
        <row r="1539">
          <cell r="C1539">
            <v>3</v>
          </cell>
          <cell r="D1539" t="str">
            <v>00</v>
          </cell>
          <cell r="E1539" t="str">
            <v>03</v>
          </cell>
          <cell r="F1539" t="str">
            <v>02</v>
          </cell>
          <cell r="G1539">
            <v>17</v>
          </cell>
          <cell r="H1539">
            <v>67</v>
          </cell>
          <cell r="I1539" t="str">
            <v>Pelayanan peningkatan pemungutan pajak daerah wilayah II</v>
          </cell>
          <cell r="J1539" t="str">
            <v>Terlaksananya Pelayanan dan Peningkatan Pemungutan Pajak Daerah Wilayah II (%)</v>
          </cell>
          <cell r="K1539">
            <v>100</v>
          </cell>
          <cell r="L1539">
            <v>928199725.26999998</v>
          </cell>
          <cell r="M1539">
            <v>9.1079654193399495</v>
          </cell>
          <cell r="N1539">
            <v>84540110</v>
          </cell>
          <cell r="O1539">
            <v>21</v>
          </cell>
          <cell r="P1539">
            <v>199999925</v>
          </cell>
          <cell r="Q1539">
            <v>3.1108391021771453</v>
          </cell>
          <cell r="R1539">
            <v>28874800</v>
          </cell>
          <cell r="T1539">
            <v>71808000</v>
          </cell>
          <cell r="Y1539">
            <v>3.1108391021771453</v>
          </cell>
          <cell r="Z1539">
            <v>100682800</v>
          </cell>
          <cell r="AA1539">
            <v>12.218804521517095</v>
          </cell>
          <cell r="AB1539">
            <v>185222910</v>
          </cell>
          <cell r="AC1539">
            <v>12.218804521517095</v>
          </cell>
          <cell r="AD1539">
            <v>19.95507054757222</v>
          </cell>
        </row>
        <row r="1540">
          <cell r="C1540">
            <v>3</v>
          </cell>
          <cell r="D1540" t="str">
            <v>00</v>
          </cell>
          <cell r="E1540" t="str">
            <v>03</v>
          </cell>
          <cell r="F1540" t="str">
            <v>02</v>
          </cell>
          <cell r="G1540">
            <v>17</v>
          </cell>
          <cell r="H1540">
            <v>68</v>
          </cell>
          <cell r="I1540" t="str">
            <v>Pelayanan peningkatan pemungutan pajak daerah wilayah III</v>
          </cell>
          <cell r="J1540" t="str">
            <v>Terlaksananya Pelayanan dan Peningkatan Pemungutan Pajak Daerah Wilayah III (%)</v>
          </cell>
          <cell r="K1540">
            <v>100</v>
          </cell>
          <cell r="L1540">
            <v>1019224804.71</v>
          </cell>
          <cell r="M1540">
            <v>7.2861403742160507</v>
          </cell>
          <cell r="N1540">
            <v>74262150</v>
          </cell>
          <cell r="O1540">
            <v>22</v>
          </cell>
          <cell r="P1540">
            <v>224999947</v>
          </cell>
          <cell r="Q1540">
            <v>3.7629578698207387</v>
          </cell>
          <cell r="R1540">
            <v>38353000</v>
          </cell>
          <cell r="Y1540">
            <v>3.7629578698207387</v>
          </cell>
          <cell r="Z1540">
            <v>38353000</v>
          </cell>
          <cell r="AA1540">
            <v>11.04909824403679</v>
          </cell>
          <cell r="AB1540">
            <v>112615150</v>
          </cell>
          <cell r="AC1540">
            <v>11.04909824403679</v>
          </cell>
          <cell r="AD1540">
            <v>11.049098244036788</v>
          </cell>
        </row>
        <row r="1541">
          <cell r="B1541" t="str">
            <v>Terwujudnya pembinaan penertiban pajak dan retribusi penggalian potensi sumber sumber pendapatan asli daerah</v>
          </cell>
          <cell r="C1541">
            <v>3</v>
          </cell>
          <cell r="D1541" t="str">
            <v>00</v>
          </cell>
          <cell r="E1541" t="str">
            <v>03</v>
          </cell>
          <cell r="F1541" t="str">
            <v>02</v>
          </cell>
          <cell r="G1541">
            <v>17</v>
          </cell>
          <cell r="H1541">
            <v>36</v>
          </cell>
          <cell r="I1541" t="str">
            <v>Pendataan dan verifikasi nomor objek pajak PBB-P2</v>
          </cell>
          <cell r="J1541" t="str">
            <v>Diperolehnya data capaian pajak PBB-P2 (%)</v>
          </cell>
          <cell r="K1541">
            <v>100</v>
          </cell>
          <cell r="L1541">
            <v>863911760.39999998</v>
          </cell>
          <cell r="M1541">
            <v>10.879392816285129</v>
          </cell>
          <cell r="N1541">
            <v>93988354</v>
          </cell>
          <cell r="O1541">
            <v>16</v>
          </cell>
          <cell r="P1541">
            <v>160480400</v>
          </cell>
          <cell r="Q1541">
            <v>2.9996119034195754</v>
          </cell>
          <cell r="R1541">
            <v>25914000</v>
          </cell>
          <cell r="T1541">
            <v>92061000</v>
          </cell>
          <cell r="Y1541">
            <v>2.9996119034195754</v>
          </cell>
          <cell r="Z1541">
            <v>117975000</v>
          </cell>
          <cell r="AA1541">
            <v>13.879004719704705</v>
          </cell>
          <cell r="AB1541">
            <v>211963354</v>
          </cell>
          <cell r="AC1541">
            <v>13.879004719704705</v>
          </cell>
          <cell r="AD1541">
            <v>24.535301371734864</v>
          </cell>
        </row>
        <row r="1542">
          <cell r="C1542">
            <v>3</v>
          </cell>
          <cell r="D1542" t="str">
            <v>00</v>
          </cell>
          <cell r="E1542" t="str">
            <v>03</v>
          </cell>
          <cell r="F1542" t="str">
            <v>02</v>
          </cell>
          <cell r="G1542">
            <v>17</v>
          </cell>
          <cell r="H1542">
            <v>53</v>
          </cell>
          <cell r="I1542" t="str">
            <v>Sosialisasi pajak daerah</v>
          </cell>
          <cell r="J1542" t="str">
            <v>Terlaksananya Sosialisasi Pajak Daerah (%)</v>
          </cell>
          <cell r="K1542">
            <v>100</v>
          </cell>
          <cell r="L1542">
            <v>710949800</v>
          </cell>
          <cell r="M1542">
            <v>17.736132705853493</v>
          </cell>
          <cell r="N1542">
            <v>126095000</v>
          </cell>
          <cell r="O1542">
            <v>16.87882885683349</v>
          </cell>
          <cell r="P1542">
            <v>120000000</v>
          </cell>
          <cell r="Q1542">
            <v>0.15500391166858757</v>
          </cell>
          <cell r="R1542">
            <v>1102000</v>
          </cell>
          <cell r="T1542">
            <v>1102000</v>
          </cell>
          <cell r="Y1542">
            <v>0.15500391166858757</v>
          </cell>
          <cell r="Z1542">
            <v>2204000</v>
          </cell>
          <cell r="AA1542">
            <v>17.891136617522079</v>
          </cell>
          <cell r="AB1542">
            <v>128299000</v>
          </cell>
          <cell r="AC1542">
            <v>17.891136617522079</v>
          </cell>
          <cell r="AD1542">
            <v>18.046140529190669</v>
          </cell>
        </row>
        <row r="1543">
          <cell r="C1543">
            <v>3</v>
          </cell>
          <cell r="D1543" t="str">
            <v>00</v>
          </cell>
          <cell r="E1543" t="str">
            <v>03</v>
          </cell>
          <cell r="F1543" t="str">
            <v>02</v>
          </cell>
          <cell r="G1543">
            <v>17</v>
          </cell>
          <cell r="H1543">
            <v>87</v>
          </cell>
          <cell r="I1543" t="str">
            <v>Pemetaan Potensi Pendapatan Asli Daerah</v>
          </cell>
          <cell r="J1543" t="str">
            <v>tersedianya data potensi PAD  (%)</v>
          </cell>
          <cell r="K1543">
            <v>100</v>
          </cell>
          <cell r="L1543">
            <v>79551516</v>
          </cell>
          <cell r="M1543">
            <v>0</v>
          </cell>
          <cell r="N1543">
            <v>0</v>
          </cell>
          <cell r="O1543">
            <v>40</v>
          </cell>
          <cell r="P1543">
            <v>72319560</v>
          </cell>
          <cell r="Q1543">
            <v>14.9758302531909</v>
          </cell>
          <cell r="R1543">
            <v>11913500</v>
          </cell>
          <cell r="Y1543">
            <v>14.9758302531909</v>
          </cell>
          <cell r="Z1543">
            <v>11913500</v>
          </cell>
          <cell r="AA1543">
            <v>14.9758302531909</v>
          </cell>
          <cell r="AB1543">
            <v>11913500</v>
          </cell>
          <cell r="AC1543">
            <v>14.9758302531909</v>
          </cell>
          <cell r="AD1543">
            <v>14.9758302531909</v>
          </cell>
        </row>
        <row r="1544">
          <cell r="C1544">
            <v>3</v>
          </cell>
          <cell r="D1544" t="str">
            <v>00</v>
          </cell>
          <cell r="E1544" t="str">
            <v>03</v>
          </cell>
          <cell r="F1544" t="str">
            <v>02</v>
          </cell>
          <cell r="G1544">
            <v>17</v>
          </cell>
          <cell r="H1544">
            <v>88</v>
          </cell>
          <cell r="I1544" t="str">
            <v>Verifikasi Penetapan Pajak Daerah</v>
          </cell>
          <cell r="J1544" t="str">
            <v>Tersedianya data pajak yang akurat (%)</v>
          </cell>
          <cell r="K1544">
            <v>100</v>
          </cell>
          <cell r="L1544">
            <v>72640284</v>
          </cell>
          <cell r="M1544">
            <v>0</v>
          </cell>
          <cell r="N1544">
            <v>0</v>
          </cell>
          <cell r="O1544">
            <v>82</v>
          </cell>
          <cell r="P1544">
            <v>60033293</v>
          </cell>
          <cell r="Q1544">
            <v>11.002159628120395</v>
          </cell>
          <cell r="R1544">
            <v>7992000</v>
          </cell>
          <cell r="T1544">
            <v>32616000</v>
          </cell>
          <cell r="Y1544">
            <v>11.002159628120395</v>
          </cell>
          <cell r="Z1544">
            <v>40608000</v>
          </cell>
          <cell r="AA1544">
            <v>11.002159628120395</v>
          </cell>
          <cell r="AB1544">
            <v>40608000</v>
          </cell>
          <cell r="AC1544">
            <v>11.002159628120395</v>
          </cell>
          <cell r="AD1544">
            <v>55.90286513747661</v>
          </cell>
        </row>
        <row r="1545">
          <cell r="C1545">
            <v>3</v>
          </cell>
          <cell r="D1545" t="str">
            <v>00</v>
          </cell>
          <cell r="E1545" t="str">
            <v>03</v>
          </cell>
          <cell r="F1545" t="str">
            <v>02</v>
          </cell>
          <cell r="G1545">
            <v>17</v>
          </cell>
          <cell r="H1545">
            <v>89</v>
          </cell>
          <cell r="I1545" t="str">
            <v>Pemutakhiran Nilai Jual Objek Pajak (NJOP)</v>
          </cell>
          <cell r="J1545" t="str">
            <v>Tersedianya data NJOP yang akurat (%)</v>
          </cell>
          <cell r="K1545">
            <v>100</v>
          </cell>
          <cell r="L1545">
            <v>121040363</v>
          </cell>
          <cell r="M1545">
            <v>0</v>
          </cell>
          <cell r="N1545">
            <v>0</v>
          </cell>
          <cell r="O1545">
            <v>80</v>
          </cell>
          <cell r="P1545">
            <v>97616694</v>
          </cell>
          <cell r="Q1545">
            <v>5.5064276368701908</v>
          </cell>
          <cell r="R1545">
            <v>6665000</v>
          </cell>
          <cell r="T1545">
            <v>13764000</v>
          </cell>
          <cell r="Y1545">
            <v>5.5064276368701908</v>
          </cell>
          <cell r="Z1545">
            <v>20429000</v>
          </cell>
          <cell r="AA1545">
            <v>5.5064276368701908</v>
          </cell>
          <cell r="AB1545">
            <v>20429000</v>
          </cell>
          <cell r="AC1545">
            <v>5.5064276368701908</v>
          </cell>
          <cell r="AD1545">
            <v>16.87784098929049</v>
          </cell>
        </row>
        <row r="1546">
          <cell r="A1546" t="str">
            <v>Rata-Rata Capaian Kinerja</v>
          </cell>
          <cell r="AC1546">
            <v>40.879525204977909</v>
          </cell>
          <cell r="AD1546">
            <v>19.714488630546999</v>
          </cell>
        </row>
        <row r="1547">
          <cell r="A1547" t="str">
            <v>Peringkat  Kinerja</v>
          </cell>
          <cell r="AC1547" t="str">
            <v>SR</v>
          </cell>
          <cell r="AD1547" t="str">
            <v>SR</v>
          </cell>
        </row>
        <row r="1548">
          <cell r="A1548" t="str">
            <v>IV</v>
          </cell>
          <cell r="I1548" t="str">
            <v>KEPEGAWAIAN</v>
          </cell>
          <cell r="L1548">
            <v>26393473000</v>
          </cell>
          <cell r="N1548">
            <v>7850436307</v>
          </cell>
          <cell r="P1548">
            <v>4342020900</v>
          </cell>
          <cell r="R1548">
            <v>738143053</v>
          </cell>
          <cell r="T1548">
            <v>2099985335</v>
          </cell>
          <cell r="Z1548">
            <v>2845598498</v>
          </cell>
          <cell r="AB1548">
            <v>10696034805</v>
          </cell>
        </row>
        <row r="1549">
          <cell r="A1549">
            <v>1</v>
          </cell>
          <cell r="C1549">
            <v>3</v>
          </cell>
          <cell r="D1549" t="str">
            <v>00</v>
          </cell>
          <cell r="E1549" t="str">
            <v>04</v>
          </cell>
          <cell r="F1549" t="str">
            <v>01</v>
          </cell>
          <cell r="G1549" t="str">
            <v>01</v>
          </cell>
          <cell r="H1549" t="str">
            <v>01</v>
          </cell>
          <cell r="I1549" t="str">
            <v>Program Pelayanan Administrasi Perkantoran</v>
          </cell>
          <cell r="J1549" t="str">
            <v>terpenuhinya pelayanan adminstrasi perkantoran (bln)</v>
          </cell>
          <cell r="K1549">
            <v>72</v>
          </cell>
          <cell r="L1549">
            <v>3694120000</v>
          </cell>
          <cell r="M1549">
            <v>24</v>
          </cell>
          <cell r="N1549">
            <v>1368084000</v>
          </cell>
          <cell r="O1549">
            <v>12</v>
          </cell>
          <cell r="P1549">
            <v>566197922</v>
          </cell>
          <cell r="Q1549">
            <v>3</v>
          </cell>
          <cell r="R1549">
            <v>108672777</v>
          </cell>
          <cell r="S1549">
            <v>3</v>
          </cell>
          <cell r="T1549">
            <v>300237000</v>
          </cell>
          <cell r="Y1549">
            <v>6</v>
          </cell>
          <cell r="Z1549">
            <v>408909777</v>
          </cell>
          <cell r="AA1549">
            <v>30</v>
          </cell>
          <cell r="AB1549">
            <v>1776993777</v>
          </cell>
          <cell r="AC1549">
            <v>41.666666666666671</v>
          </cell>
          <cell r="AD1549">
            <v>48.103304088659812</v>
          </cell>
          <cell r="AE1549" t="str">
            <v>BKPSDM</v>
          </cell>
        </row>
        <row r="1550">
          <cell r="B1550" t="str">
            <v>Meningkatnya sistem karir PNS</v>
          </cell>
          <cell r="C1550">
            <v>3</v>
          </cell>
          <cell r="D1550" t="str">
            <v>00</v>
          </cell>
          <cell r="E1550" t="str">
            <v>04</v>
          </cell>
          <cell r="F1550" t="str">
            <v>01</v>
          </cell>
          <cell r="G1550" t="str">
            <v>01</v>
          </cell>
          <cell r="H1550" t="str">
            <v>02</v>
          </cell>
          <cell r="I1550" t="str">
            <v>Penyediaan Jasa Komunikasi, Sumber Daya, Air dan Listrik</v>
          </cell>
          <cell r="J1550" t="str">
            <v>Tersedianya jasa telpon, sumber daya air dan listrik (bln)</v>
          </cell>
          <cell r="K1550">
            <v>72</v>
          </cell>
          <cell r="L1550">
            <v>442480000</v>
          </cell>
          <cell r="M1550">
            <v>24</v>
          </cell>
          <cell r="N1550">
            <v>198880000</v>
          </cell>
          <cell r="O1550">
            <v>12</v>
          </cell>
          <cell r="P1550">
            <v>60900000</v>
          </cell>
          <cell r="Q1550">
            <v>3</v>
          </cell>
          <cell r="R1550">
            <v>15227285</v>
          </cell>
          <cell r="S1550">
            <v>6</v>
          </cell>
          <cell r="T1550">
            <v>32369837</v>
          </cell>
          <cell r="Y1550">
            <v>9</v>
          </cell>
          <cell r="Z1550">
            <v>47597122</v>
          </cell>
          <cell r="AA1550">
            <v>33</v>
          </cell>
          <cell r="AB1550">
            <v>246477122</v>
          </cell>
          <cell r="AC1550">
            <v>45.833333333333329</v>
          </cell>
          <cell r="AD1550">
            <v>55.703562194901465</v>
          </cell>
        </row>
        <row r="1551">
          <cell r="C1551">
            <v>3</v>
          </cell>
          <cell r="D1551" t="str">
            <v>00</v>
          </cell>
          <cell r="E1551" t="str">
            <v>04</v>
          </cell>
          <cell r="F1551" t="str">
            <v>01</v>
          </cell>
          <cell r="G1551" t="str">
            <v>01</v>
          </cell>
          <cell r="H1551" t="str">
            <v>03</v>
          </cell>
          <cell r="I1551" t="str">
            <v>Penyediaan Jasa Peralatan dan Perlengkapan Kantor</v>
          </cell>
          <cell r="J1551" t="str">
            <v>Tersedianya jasaperalatan dan perlengkapan kantor (bln)</v>
          </cell>
          <cell r="K1551">
            <v>72</v>
          </cell>
          <cell r="L1551">
            <v>53402000</v>
          </cell>
          <cell r="M1551">
            <v>24</v>
          </cell>
          <cell r="N1551">
            <v>15954000</v>
          </cell>
          <cell r="O1551">
            <v>12</v>
          </cell>
          <cell r="P1551">
            <v>9362784</v>
          </cell>
          <cell r="Q1551">
            <v>3</v>
          </cell>
          <cell r="R1551">
            <v>3693200</v>
          </cell>
          <cell r="S1551">
            <v>3</v>
          </cell>
          <cell r="T1551">
            <v>4187200</v>
          </cell>
          <cell r="Y1551">
            <v>6</v>
          </cell>
          <cell r="Z1551">
            <v>7880400</v>
          </cell>
          <cell r="AA1551">
            <v>30</v>
          </cell>
          <cell r="AB1551">
            <v>23834400</v>
          </cell>
          <cell r="AC1551">
            <v>41.666666666666671</v>
          </cell>
          <cell r="AD1551">
            <v>44.632036253323847</v>
          </cell>
        </row>
        <row r="1552">
          <cell r="C1552">
            <v>3</v>
          </cell>
          <cell r="D1552" t="str">
            <v>00</v>
          </cell>
          <cell r="E1552" t="str">
            <v>04</v>
          </cell>
          <cell r="F1552" t="str">
            <v>01</v>
          </cell>
          <cell r="G1552" t="str">
            <v>01</v>
          </cell>
          <cell r="H1552" t="str">
            <v>07</v>
          </cell>
          <cell r="I1552" t="str">
            <v>Penyediaan Jasa Administrasi Keuangan</v>
          </cell>
          <cell r="J1552" t="str">
            <v xml:space="preserve">Tersedianya pembayaran/honorarium tenaga administrasi keuangan BKPSDM </v>
          </cell>
          <cell r="K1552">
            <v>72</v>
          </cell>
          <cell r="L1552">
            <v>631032000</v>
          </cell>
          <cell r="M1552">
            <v>24</v>
          </cell>
          <cell r="N1552">
            <v>250182000</v>
          </cell>
          <cell r="O1552">
            <v>12</v>
          </cell>
          <cell r="P1552">
            <v>64200000</v>
          </cell>
          <cell r="Q1552">
            <v>3</v>
          </cell>
          <cell r="R1552">
            <v>12450000</v>
          </cell>
          <cell r="S1552">
            <v>3</v>
          </cell>
          <cell r="T1552">
            <v>25500000</v>
          </cell>
          <cell r="Y1552">
            <v>6</v>
          </cell>
          <cell r="Z1552">
            <v>37950000</v>
          </cell>
          <cell r="AA1552">
            <v>30</v>
          </cell>
          <cell r="AB1552">
            <v>288132000</v>
          </cell>
          <cell r="AC1552">
            <v>41.666666666666671</v>
          </cell>
          <cell r="AD1552">
            <v>45.660441942722393</v>
          </cell>
        </row>
        <row r="1553">
          <cell r="C1553">
            <v>3</v>
          </cell>
          <cell r="D1553" t="str">
            <v>00</v>
          </cell>
          <cell r="E1553" t="str">
            <v>04</v>
          </cell>
          <cell r="F1553" t="str">
            <v>01</v>
          </cell>
          <cell r="G1553" t="str">
            <v>01</v>
          </cell>
          <cell r="H1553" t="str">
            <v>08</v>
          </cell>
          <cell r="I1553" t="str">
            <v>Penyediaan Jasa Kebersihan Kantor</v>
          </cell>
          <cell r="J1553" t="str">
            <v>Tersedianya petugas kebersihan kantor (bln)</v>
          </cell>
          <cell r="K1553">
            <v>72</v>
          </cell>
          <cell r="L1553">
            <v>255000000</v>
          </cell>
          <cell r="M1553">
            <v>24</v>
          </cell>
          <cell r="N1553">
            <v>47000000</v>
          </cell>
          <cell r="O1553">
            <v>12</v>
          </cell>
          <cell r="P1553">
            <v>52000000</v>
          </cell>
          <cell r="Q1553">
            <v>3</v>
          </cell>
          <cell r="R1553">
            <v>11000000</v>
          </cell>
          <cell r="S1553">
            <v>3</v>
          </cell>
          <cell r="T1553">
            <v>33000000</v>
          </cell>
          <cell r="Y1553">
            <v>6</v>
          </cell>
          <cell r="Z1553">
            <v>44000000</v>
          </cell>
          <cell r="AA1553">
            <v>30</v>
          </cell>
          <cell r="AB1553">
            <v>91000000</v>
          </cell>
          <cell r="AC1553">
            <v>41.666666666666671</v>
          </cell>
          <cell r="AD1553">
            <v>35.686274509803923</v>
          </cell>
        </row>
        <row r="1554">
          <cell r="C1554">
            <v>3</v>
          </cell>
          <cell r="D1554" t="str">
            <v>00</v>
          </cell>
          <cell r="E1554" t="str">
            <v>04</v>
          </cell>
          <cell r="F1554" t="str">
            <v>01</v>
          </cell>
          <cell r="G1554" t="str">
            <v>01</v>
          </cell>
          <cell r="H1554">
            <v>10</v>
          </cell>
          <cell r="I1554" t="str">
            <v>Penyediaan Alat Tulis Kantor</v>
          </cell>
          <cell r="J1554" t="str">
            <v>Tersedianya alat tulis kantor untuk operasional BKPSDM (bln)</v>
          </cell>
          <cell r="K1554">
            <v>72</v>
          </cell>
          <cell r="L1554">
            <v>221973000</v>
          </cell>
          <cell r="M1554">
            <v>24</v>
          </cell>
          <cell r="N1554">
            <v>82295000</v>
          </cell>
          <cell r="O1554">
            <v>12</v>
          </cell>
          <cell r="P1554">
            <v>34295038</v>
          </cell>
          <cell r="Q1554">
            <v>3</v>
          </cell>
          <cell r="R1554">
            <v>6729592</v>
          </cell>
          <cell r="S1554">
            <v>3</v>
          </cell>
          <cell r="T1554">
            <v>15458878</v>
          </cell>
          <cell r="Y1554">
            <v>6</v>
          </cell>
          <cell r="Z1554">
            <v>22188470</v>
          </cell>
          <cell r="AA1554">
            <v>30</v>
          </cell>
          <cell r="AB1554">
            <v>104483470</v>
          </cell>
          <cell r="AC1554">
            <v>41.666666666666671</v>
          </cell>
          <cell r="AD1554">
            <v>47.070350898532702</v>
          </cell>
        </row>
        <row r="1555">
          <cell r="C1555">
            <v>3</v>
          </cell>
          <cell r="D1555" t="str">
            <v>00</v>
          </cell>
          <cell r="E1555" t="str">
            <v>04</v>
          </cell>
          <cell r="F1555" t="str">
            <v>01</v>
          </cell>
          <cell r="G1555" t="str">
            <v>01</v>
          </cell>
          <cell r="H1555">
            <v>11</v>
          </cell>
          <cell r="I1555" t="str">
            <v>Penyediaan Barang Cetakan dan Penggandaan</v>
          </cell>
          <cell r="J1555" t="str">
            <v>Tersedianya barang cetakan dan penggadaan pada BKPSDM (bln)</v>
          </cell>
          <cell r="K1555">
            <v>72</v>
          </cell>
          <cell r="L1555">
            <v>302143000</v>
          </cell>
          <cell r="M1555">
            <v>24</v>
          </cell>
          <cell r="N1555">
            <v>112815000</v>
          </cell>
          <cell r="O1555">
            <v>12</v>
          </cell>
          <cell r="P1555">
            <v>47332000</v>
          </cell>
          <cell r="Q1555">
            <v>3</v>
          </cell>
          <cell r="R1555">
            <v>6713000</v>
          </cell>
          <cell r="S1555">
            <v>3</v>
          </cell>
          <cell r="T1555">
            <v>19089000</v>
          </cell>
          <cell r="Y1555">
            <v>6</v>
          </cell>
          <cell r="Z1555">
            <v>25802000</v>
          </cell>
          <cell r="AA1555">
            <v>30</v>
          </cell>
          <cell r="AB1555">
            <v>138617000</v>
          </cell>
          <cell r="AC1555">
            <v>41.666666666666671</v>
          </cell>
          <cell r="AD1555">
            <v>45.877945211373422</v>
          </cell>
        </row>
        <row r="1556">
          <cell r="C1556">
            <v>3</v>
          </cell>
          <cell r="D1556" t="str">
            <v>00</v>
          </cell>
          <cell r="E1556" t="str">
            <v>04</v>
          </cell>
          <cell r="F1556" t="str">
            <v>01</v>
          </cell>
          <cell r="G1556" t="str">
            <v>01</v>
          </cell>
          <cell r="H1556">
            <v>12</v>
          </cell>
          <cell r="I1556" t="str">
            <v>Penyediaan Komponen Instalasi Listrik/Penerangan Bangunan Kantor</v>
          </cell>
          <cell r="J1556" t="str">
            <v>Tersedianya komponen instalasi listrik bangunan kantor BKPSDM  (bln)</v>
          </cell>
          <cell r="K1556">
            <v>72</v>
          </cell>
          <cell r="L1556">
            <v>75025000</v>
          </cell>
          <cell r="M1556">
            <v>24</v>
          </cell>
          <cell r="N1556">
            <v>44913000</v>
          </cell>
          <cell r="O1556">
            <v>12</v>
          </cell>
          <cell r="P1556">
            <v>7528100</v>
          </cell>
          <cell r="Q1556">
            <v>3</v>
          </cell>
          <cell r="R1556">
            <v>740300</v>
          </cell>
          <cell r="S1556">
            <v>3</v>
          </cell>
          <cell r="T1556">
            <v>4214500</v>
          </cell>
          <cell r="Y1556">
            <v>6</v>
          </cell>
          <cell r="Z1556">
            <v>4954800</v>
          </cell>
          <cell r="AA1556">
            <v>30</v>
          </cell>
          <cell r="AB1556">
            <v>49867800</v>
          </cell>
          <cell r="AC1556">
            <v>41.666666666666671</v>
          </cell>
          <cell r="AD1556">
            <v>66.468243918693773</v>
          </cell>
        </row>
        <row r="1557">
          <cell r="C1557">
            <v>3</v>
          </cell>
          <cell r="D1557" t="str">
            <v>00</v>
          </cell>
          <cell r="E1557" t="str">
            <v>04</v>
          </cell>
          <cell r="F1557" t="str">
            <v>01</v>
          </cell>
          <cell r="G1557" t="str">
            <v>01</v>
          </cell>
          <cell r="H1557">
            <v>15</v>
          </cell>
          <cell r="I1557" t="str">
            <v>Penyediaan Bahan Bacaan dan Peraturan Perundang-Undangan</v>
          </cell>
          <cell r="J1557" t="str">
            <v>Tersedianya bahan bacaan (koran) dan peraturan perundang-undangan  (bln)</v>
          </cell>
          <cell r="K1557">
            <v>72</v>
          </cell>
          <cell r="L1557">
            <v>77119000</v>
          </cell>
          <cell r="M1557">
            <v>24</v>
          </cell>
          <cell r="N1557">
            <v>24519000</v>
          </cell>
          <cell r="O1557">
            <v>12</v>
          </cell>
          <cell r="P1557">
            <v>25900000</v>
          </cell>
          <cell r="Q1557">
            <v>3</v>
          </cell>
          <cell r="R1557">
            <v>752000</v>
          </cell>
          <cell r="S1557">
            <v>3</v>
          </cell>
          <cell r="T1557">
            <v>4316000</v>
          </cell>
          <cell r="Y1557">
            <v>6</v>
          </cell>
          <cell r="Z1557">
            <v>5068000</v>
          </cell>
          <cell r="AA1557">
            <v>30</v>
          </cell>
          <cell r="AB1557">
            <v>29587000</v>
          </cell>
          <cell r="AC1557">
            <v>41.666666666666671</v>
          </cell>
          <cell r="AD1557">
            <v>38.365383368560281</v>
          </cell>
        </row>
        <row r="1558">
          <cell r="C1558">
            <v>3</v>
          </cell>
          <cell r="D1558" t="str">
            <v>00</v>
          </cell>
          <cell r="E1558" t="str">
            <v>04</v>
          </cell>
          <cell r="F1558" t="str">
            <v>01</v>
          </cell>
          <cell r="G1558" t="str">
            <v>01</v>
          </cell>
          <cell r="H1558">
            <v>17</v>
          </cell>
          <cell r="I1558" t="str">
            <v>Penyediaan Makanan dan Minuman</v>
          </cell>
          <cell r="J1558" t="str">
            <v>Tersedianya makanan dan minuman pada BKPSDM  (bln)</v>
          </cell>
          <cell r="K1558">
            <v>72</v>
          </cell>
          <cell r="L1558">
            <v>240333000</v>
          </cell>
          <cell r="M1558">
            <v>24</v>
          </cell>
          <cell r="N1558">
            <v>69613000</v>
          </cell>
          <cell r="O1558">
            <v>12</v>
          </cell>
          <cell r="P1558">
            <v>42680000</v>
          </cell>
          <cell r="Q1558">
            <v>3</v>
          </cell>
          <cell r="R1558">
            <v>5367500</v>
          </cell>
          <cell r="S1558">
            <v>3</v>
          </cell>
          <cell r="T1558">
            <v>11472500</v>
          </cell>
          <cell r="Y1558">
            <v>6</v>
          </cell>
          <cell r="Z1558">
            <v>16840000</v>
          </cell>
          <cell r="AA1558">
            <v>30</v>
          </cell>
          <cell r="AB1558">
            <v>86453000</v>
          </cell>
          <cell r="AC1558">
            <v>41.666666666666671</v>
          </cell>
          <cell r="AD1558">
            <v>35.972171944759978</v>
          </cell>
        </row>
        <row r="1559">
          <cell r="C1559">
            <v>3</v>
          </cell>
          <cell r="D1559" t="str">
            <v>00</v>
          </cell>
          <cell r="E1559" t="str">
            <v>04</v>
          </cell>
          <cell r="F1559" t="str">
            <v>01</v>
          </cell>
          <cell r="G1559" t="str">
            <v>01</v>
          </cell>
          <cell r="H1559">
            <v>18</v>
          </cell>
          <cell r="I1559" t="str">
            <v>Rapat-Rapat Koordinasi dan Konsultasi Keluar Daerah</v>
          </cell>
          <cell r="J1559" t="str">
            <v>Terwujudnya koordinasi dan konsultasi ke luar daerah dengan instansi terkait (bln)</v>
          </cell>
          <cell r="K1559">
            <v>72</v>
          </cell>
          <cell r="L1559">
            <v>832905000</v>
          </cell>
          <cell r="M1559">
            <v>24</v>
          </cell>
          <cell r="N1559">
            <v>363705000</v>
          </cell>
          <cell r="O1559">
            <v>12</v>
          </cell>
          <cell r="P1559">
            <v>117300000</v>
          </cell>
          <cell r="Q1559">
            <v>3</v>
          </cell>
          <cell r="R1559">
            <v>28622700</v>
          </cell>
          <cell r="S1559">
            <v>3</v>
          </cell>
          <cell r="T1559">
            <v>81429685</v>
          </cell>
          <cell r="Y1559">
            <v>6</v>
          </cell>
          <cell r="Z1559">
            <v>110052385</v>
          </cell>
          <cell r="AA1559">
            <v>30</v>
          </cell>
          <cell r="AB1559">
            <v>473757385</v>
          </cell>
          <cell r="AC1559">
            <v>41.666666666666671</v>
          </cell>
          <cell r="AD1559">
            <v>56.880122583007662</v>
          </cell>
        </row>
        <row r="1560">
          <cell r="C1560">
            <v>3</v>
          </cell>
          <cell r="D1560" t="str">
            <v>00</v>
          </cell>
          <cell r="E1560" t="str">
            <v>04</v>
          </cell>
          <cell r="F1560" t="str">
            <v>01</v>
          </cell>
          <cell r="G1560" t="str">
            <v>01</v>
          </cell>
          <cell r="H1560">
            <v>20</v>
          </cell>
          <cell r="I1560" t="str">
            <v>Rapat-Rapat Koordinasi dan Konsultasi Dalam Daerah</v>
          </cell>
          <cell r="J1560" t="str">
            <v>Terwujudnya koordinasi dan konsultasi kedalam daerah dengan instansi terkait (bln)</v>
          </cell>
          <cell r="K1560">
            <v>72</v>
          </cell>
          <cell r="L1560">
            <v>398565000</v>
          </cell>
          <cell r="M1560">
            <v>24</v>
          </cell>
          <cell r="N1560">
            <v>139065000</v>
          </cell>
          <cell r="O1560">
            <v>12</v>
          </cell>
          <cell r="P1560">
            <v>64700000</v>
          </cell>
          <cell r="Q1560">
            <v>3</v>
          </cell>
          <cell r="R1560">
            <v>17137200</v>
          </cell>
          <cell r="S1560">
            <v>3</v>
          </cell>
          <cell r="T1560">
            <v>51112200</v>
          </cell>
          <cell r="Y1560">
            <v>6</v>
          </cell>
          <cell r="Z1560">
            <v>68249400</v>
          </cell>
          <cell r="AA1560">
            <v>30</v>
          </cell>
          <cell r="AB1560">
            <v>207314400</v>
          </cell>
          <cell r="AC1560">
            <v>41.666666666666671</v>
          </cell>
          <cell r="AD1560">
            <v>52.015204546309889</v>
          </cell>
        </row>
        <row r="1561">
          <cell r="C1561">
            <v>3</v>
          </cell>
          <cell r="D1561" t="str">
            <v>00</v>
          </cell>
          <cell r="E1561" t="str">
            <v>04</v>
          </cell>
          <cell r="F1561" t="str">
            <v>01</v>
          </cell>
          <cell r="G1561" t="str">
            <v>01</v>
          </cell>
          <cell r="H1561">
            <v>40</v>
          </cell>
          <cell r="I1561" t="str">
            <v>Penyebarluasan Informasi Pembangunan</v>
          </cell>
          <cell r="J1561" t="str">
            <v>Tersampaikannya informasi pembangunan (Festival Langkisau, Pawai Legoris, Acara HUT RI)  (bln)</v>
          </cell>
          <cell r="K1561">
            <v>72</v>
          </cell>
          <cell r="L1561">
            <v>164143000</v>
          </cell>
          <cell r="M1561">
            <v>24</v>
          </cell>
          <cell r="N1561">
            <v>19143000</v>
          </cell>
          <cell r="O1561">
            <v>12</v>
          </cell>
          <cell r="P1561">
            <v>40000000</v>
          </cell>
          <cell r="Q1561">
            <v>3</v>
          </cell>
          <cell r="R1561">
            <v>240000</v>
          </cell>
          <cell r="S1561">
            <v>3</v>
          </cell>
          <cell r="T1561">
            <v>18087200</v>
          </cell>
          <cell r="Y1561">
            <v>6</v>
          </cell>
          <cell r="Z1561">
            <v>18327200</v>
          </cell>
          <cell r="AA1561">
            <v>30</v>
          </cell>
          <cell r="AB1561">
            <v>37470200</v>
          </cell>
          <cell r="AC1561">
            <v>41.666666666666671</v>
          </cell>
          <cell r="AD1561">
            <v>22.827778217773524</v>
          </cell>
        </row>
        <row r="1562">
          <cell r="A1562">
            <v>2</v>
          </cell>
          <cell r="B1562" t="str">
            <v>Meningkatnya sistem karir PNS</v>
          </cell>
          <cell r="C1562">
            <v>3</v>
          </cell>
          <cell r="D1562" t="str">
            <v>00</v>
          </cell>
          <cell r="E1562" t="str">
            <v>04</v>
          </cell>
          <cell r="F1562" t="str">
            <v>01</v>
          </cell>
          <cell r="G1562" t="str">
            <v>02</v>
          </cell>
          <cell r="I1562" t="str">
            <v>Program Peningkatan Sarana dan Prasarana Aparatur</v>
          </cell>
          <cell r="J1562" t="str">
            <v>Tersedinya layanan sarpras bagi aparatur (bln)</v>
          </cell>
          <cell r="K1562">
            <v>72</v>
          </cell>
          <cell r="L1562">
            <v>2899457000</v>
          </cell>
          <cell r="M1562">
            <v>24</v>
          </cell>
          <cell r="N1562">
            <v>966702000</v>
          </cell>
          <cell r="O1562">
            <v>12</v>
          </cell>
          <cell r="P1562">
            <v>576617000</v>
          </cell>
          <cell r="Q1562">
            <v>3</v>
          </cell>
          <cell r="R1562">
            <v>29234476</v>
          </cell>
          <cell r="S1562">
            <v>3</v>
          </cell>
          <cell r="T1562">
            <v>116036978</v>
          </cell>
          <cell r="Y1562">
            <v>6</v>
          </cell>
          <cell r="Z1562">
            <v>145271454</v>
          </cell>
          <cell r="AA1562">
            <v>30</v>
          </cell>
          <cell r="AB1562">
            <v>1111973454</v>
          </cell>
          <cell r="AC1562">
            <v>41.666666666666671</v>
          </cell>
          <cell r="AD1562">
            <v>38.351093118470118</v>
          </cell>
          <cell r="AE1562" t="str">
            <v>BKPSDM</v>
          </cell>
        </row>
        <row r="1563">
          <cell r="C1563">
            <v>3</v>
          </cell>
          <cell r="D1563" t="str">
            <v>00</v>
          </cell>
          <cell r="E1563" t="str">
            <v>04</v>
          </cell>
          <cell r="F1563" t="str">
            <v>01</v>
          </cell>
          <cell r="G1563" t="str">
            <v>02</v>
          </cell>
          <cell r="I1563" t="str">
            <v>Pengadaan Perlengkapan Gedung Kantor</v>
          </cell>
          <cell r="J1563" t="str">
            <v>Jumlah Pengadaan Perlengkapan Gedung Kantor (jenis)</v>
          </cell>
          <cell r="K1563">
            <v>112</v>
          </cell>
          <cell r="L1563">
            <v>783962000</v>
          </cell>
          <cell r="M1563">
            <v>72</v>
          </cell>
          <cell r="N1563">
            <v>314162000</v>
          </cell>
          <cell r="O1563">
            <v>12</v>
          </cell>
          <cell r="P1563">
            <v>224700000</v>
          </cell>
          <cell r="Q1563">
            <v>0</v>
          </cell>
          <cell r="R1563">
            <v>0</v>
          </cell>
          <cell r="S1563">
            <v>25</v>
          </cell>
          <cell r="T1563">
            <v>48950000</v>
          </cell>
          <cell r="Y1563">
            <v>25</v>
          </cell>
          <cell r="Z1563">
            <v>48950000</v>
          </cell>
          <cell r="AA1563">
            <v>97</v>
          </cell>
          <cell r="AB1563">
            <v>363112000</v>
          </cell>
          <cell r="AC1563">
            <v>86.607142857142861</v>
          </cell>
          <cell r="AD1563">
            <v>46.317551105793392</v>
          </cell>
        </row>
        <row r="1564">
          <cell r="C1564">
            <v>3</v>
          </cell>
          <cell r="D1564" t="str">
            <v>00</v>
          </cell>
          <cell r="E1564" t="str">
            <v>04</v>
          </cell>
          <cell r="F1564" t="str">
            <v>01</v>
          </cell>
          <cell r="G1564" t="str">
            <v>02</v>
          </cell>
          <cell r="H1564" t="str">
            <v>09</v>
          </cell>
          <cell r="I1564" t="str">
            <v>Pengadaan Peralatan Gedung Kantor</v>
          </cell>
          <cell r="J1564" t="str">
            <v>Jumlah Pengadaan Peralatan Gedung Kantor (unit)</v>
          </cell>
          <cell r="K1564">
            <v>27</v>
          </cell>
          <cell r="L1564">
            <v>437880000</v>
          </cell>
          <cell r="M1564">
            <v>11</v>
          </cell>
          <cell r="N1564">
            <v>70260000</v>
          </cell>
          <cell r="O1564">
            <v>2</v>
          </cell>
          <cell r="P1564">
            <v>2500000</v>
          </cell>
          <cell r="Q1564">
            <v>0</v>
          </cell>
          <cell r="R1564">
            <v>0</v>
          </cell>
          <cell r="S1564">
            <v>0</v>
          </cell>
          <cell r="T1564">
            <v>0</v>
          </cell>
          <cell r="Y1564">
            <v>0</v>
          </cell>
          <cell r="Z1564">
            <v>0</v>
          </cell>
          <cell r="AA1564">
            <v>11</v>
          </cell>
          <cell r="AB1564">
            <v>70260000</v>
          </cell>
          <cell r="AC1564">
            <v>40.74074074074074</v>
          </cell>
          <cell r="AD1564">
            <v>16.045491915593313</v>
          </cell>
        </row>
        <row r="1565">
          <cell r="C1565">
            <v>3</v>
          </cell>
          <cell r="D1565" t="str">
            <v>00</v>
          </cell>
          <cell r="E1565" t="str">
            <v>04</v>
          </cell>
          <cell r="F1565" t="str">
            <v>01</v>
          </cell>
          <cell r="G1565" t="str">
            <v>02</v>
          </cell>
          <cell r="H1565">
            <v>22</v>
          </cell>
          <cell r="I1565" t="str">
            <v>Pemeliharaan rutin/berkala Gedung Kantor</v>
          </cell>
          <cell r="J1565" t="str">
            <v>Terpeliharanya secara rutin/berkala Gedung Kantor (jenis)</v>
          </cell>
          <cell r="K1565">
            <v>10</v>
          </cell>
          <cell r="L1565">
            <v>864819000</v>
          </cell>
          <cell r="M1565">
            <v>4</v>
          </cell>
          <cell r="N1565">
            <v>317885000</v>
          </cell>
          <cell r="O1565">
            <v>2</v>
          </cell>
          <cell r="P1565">
            <v>181800000</v>
          </cell>
          <cell r="Q1565">
            <v>0</v>
          </cell>
          <cell r="R1565">
            <v>0</v>
          </cell>
          <cell r="S1565">
            <v>0</v>
          </cell>
          <cell r="T1565">
            <v>0</v>
          </cell>
          <cell r="Y1565">
            <v>0</v>
          </cell>
          <cell r="Z1565">
            <v>0</v>
          </cell>
          <cell r="AA1565">
            <v>4</v>
          </cell>
          <cell r="AB1565">
            <v>317885000</v>
          </cell>
          <cell r="AC1565">
            <v>40</v>
          </cell>
          <cell r="AD1565">
            <v>36.757402415996879</v>
          </cell>
        </row>
        <row r="1566">
          <cell r="C1566">
            <v>3</v>
          </cell>
          <cell r="D1566" t="str">
            <v>00</v>
          </cell>
          <cell r="E1566" t="str">
            <v>04</v>
          </cell>
          <cell r="F1566" t="str">
            <v>01</v>
          </cell>
          <cell r="G1566" t="str">
            <v>02</v>
          </cell>
          <cell r="H1566">
            <v>24</v>
          </cell>
          <cell r="I1566" t="str">
            <v>Pemeliharan Rutin/ Berkala Kendaraan Dinas/Operasional</v>
          </cell>
          <cell r="J1566" t="str">
            <v>Jumlah kendaraan dinas/operasional yang dipelihara secara rutin/berkala (%)</v>
          </cell>
          <cell r="K1566">
            <v>500</v>
          </cell>
          <cell r="L1566">
            <v>595731000</v>
          </cell>
          <cell r="M1566">
            <v>200</v>
          </cell>
          <cell r="N1566">
            <v>194286000</v>
          </cell>
          <cell r="O1566">
            <v>1</v>
          </cell>
          <cell r="P1566">
            <v>129825000</v>
          </cell>
          <cell r="Q1566">
            <v>20</v>
          </cell>
          <cell r="R1566">
            <v>23667476</v>
          </cell>
          <cell r="S1566">
            <v>48</v>
          </cell>
          <cell r="T1566">
            <v>54485978</v>
          </cell>
          <cell r="Y1566">
            <v>68</v>
          </cell>
          <cell r="Z1566">
            <v>78153454</v>
          </cell>
          <cell r="AA1566">
            <v>268</v>
          </cell>
          <cell r="AB1566">
            <v>272439454</v>
          </cell>
          <cell r="AC1566">
            <v>53.6</v>
          </cell>
          <cell r="AD1566">
            <v>45.73195855176246</v>
          </cell>
        </row>
        <row r="1567">
          <cell r="C1567">
            <v>3</v>
          </cell>
          <cell r="D1567" t="str">
            <v>00</v>
          </cell>
          <cell r="E1567" t="str">
            <v>04</v>
          </cell>
          <cell r="F1567" t="str">
            <v>01</v>
          </cell>
          <cell r="G1567" t="str">
            <v>02</v>
          </cell>
          <cell r="H1567">
            <v>28</v>
          </cell>
          <cell r="I1567" t="str">
            <v>Pemeliharaan Rutin/Berkala Peralatan Gedung Kantor</v>
          </cell>
          <cell r="J1567" t="str">
            <v>Jumlah peralatan gedung kantor yang dipelihara secara rutin/berkala (unit)</v>
          </cell>
          <cell r="K1567">
            <v>342</v>
          </cell>
          <cell r="L1567">
            <v>217065000</v>
          </cell>
          <cell r="M1567">
            <v>137</v>
          </cell>
          <cell r="N1567">
            <v>70109000</v>
          </cell>
          <cell r="O1567">
            <v>77</v>
          </cell>
          <cell r="P1567">
            <v>37792000</v>
          </cell>
          <cell r="Q1567">
            <v>17</v>
          </cell>
          <cell r="R1567">
            <v>5567000</v>
          </cell>
          <cell r="S1567">
            <v>36</v>
          </cell>
          <cell r="T1567">
            <v>12601000</v>
          </cell>
          <cell r="Y1567">
            <v>53</v>
          </cell>
          <cell r="Z1567">
            <v>18168000</v>
          </cell>
          <cell r="AA1567">
            <v>190</v>
          </cell>
          <cell r="AB1567">
            <v>88277000</v>
          </cell>
          <cell r="AC1567">
            <v>55.555555555555557</v>
          </cell>
          <cell r="AD1567">
            <v>40.668463363508629</v>
          </cell>
        </row>
        <row r="1568">
          <cell r="A1568">
            <v>3</v>
          </cell>
          <cell r="C1568">
            <v>3</v>
          </cell>
          <cell r="D1568" t="str">
            <v>00</v>
          </cell>
          <cell r="E1568" t="str">
            <v>04</v>
          </cell>
          <cell r="F1568" t="str">
            <v>01</v>
          </cell>
          <cell r="G1568" t="str">
            <v>05</v>
          </cell>
          <cell r="I1568" t="str">
            <v>Program Peningkatan Kapasitas Sumber Daya Aparatur</v>
          </cell>
          <cell r="J1568" t="str">
            <v>Persentase pegawai yang memenuhi standar kompetensi</v>
          </cell>
          <cell r="K1568">
            <v>600</v>
          </cell>
          <cell r="L1568">
            <v>982223000</v>
          </cell>
          <cell r="M1568">
            <v>200</v>
          </cell>
          <cell r="N1568">
            <v>105707369</v>
          </cell>
          <cell r="O1568">
            <v>100</v>
          </cell>
          <cell r="P1568">
            <v>267846418</v>
          </cell>
          <cell r="Q1568">
            <v>0</v>
          </cell>
          <cell r="R1568">
            <v>0</v>
          </cell>
          <cell r="S1568">
            <v>0</v>
          </cell>
          <cell r="T1568">
            <v>13110450</v>
          </cell>
          <cell r="Y1568">
            <v>0</v>
          </cell>
          <cell r="Z1568">
            <v>13110450</v>
          </cell>
          <cell r="AA1568">
            <v>200</v>
          </cell>
          <cell r="AB1568">
            <v>118817819</v>
          </cell>
          <cell r="AC1568">
            <v>33.333333333333329</v>
          </cell>
          <cell r="AD1568">
            <v>12.096827197082536</v>
          </cell>
        </row>
        <row r="1569">
          <cell r="C1569">
            <v>3</v>
          </cell>
          <cell r="D1569" t="str">
            <v>00</v>
          </cell>
          <cell r="E1569" t="str">
            <v>04</v>
          </cell>
          <cell r="F1569" t="str">
            <v>01</v>
          </cell>
          <cell r="G1569" t="str">
            <v>05</v>
          </cell>
          <cell r="H1569">
            <v>41</v>
          </cell>
          <cell r="I1569" t="str">
            <v>Diklat Teknis Manajemen Kinerja ASN</v>
          </cell>
          <cell r="J1569" t="str">
            <v>Jumlah ASN yang mengikuti Bimtek Manajemen kinerja ASN (org)</v>
          </cell>
          <cell r="K1569">
            <v>160</v>
          </cell>
          <cell r="L1569">
            <v>377322000</v>
          </cell>
          <cell r="M1569">
            <v>0</v>
          </cell>
          <cell r="N1569">
            <v>0</v>
          </cell>
          <cell r="O1569">
            <v>40</v>
          </cell>
          <cell r="P1569">
            <v>92322300</v>
          </cell>
          <cell r="Q1569">
            <v>0</v>
          </cell>
          <cell r="R1569">
            <v>0</v>
          </cell>
          <cell r="S1569">
            <v>0</v>
          </cell>
          <cell r="T1569">
            <v>13110450</v>
          </cell>
          <cell r="Y1569">
            <v>0</v>
          </cell>
          <cell r="Z1569">
            <v>13110450</v>
          </cell>
          <cell r="AA1569">
            <v>0</v>
          </cell>
          <cell r="AB1569">
            <v>13110450</v>
          </cell>
          <cell r="AC1569">
            <v>0</v>
          </cell>
          <cell r="AD1569">
            <v>3.4746052443271265</v>
          </cell>
        </row>
        <row r="1570">
          <cell r="C1570">
            <v>3</v>
          </cell>
          <cell r="D1570" t="str">
            <v>00</v>
          </cell>
          <cell r="E1570" t="str">
            <v>04</v>
          </cell>
          <cell r="F1570" t="str">
            <v>01</v>
          </cell>
          <cell r="G1570" t="str">
            <v>05</v>
          </cell>
          <cell r="H1570">
            <v>18</v>
          </cell>
          <cell r="I1570" t="str">
            <v>Pelaksanaan Achievement Motivation Training</v>
          </cell>
          <cell r="J1570" t="str">
            <v>Jumlah ASN yang mengikuti AMT (org)</v>
          </cell>
          <cell r="K1570">
            <v>500</v>
          </cell>
          <cell r="L1570">
            <v>604901000</v>
          </cell>
          <cell r="M1570">
            <v>100</v>
          </cell>
          <cell r="N1570">
            <v>105707369</v>
          </cell>
          <cell r="O1570">
            <v>100</v>
          </cell>
          <cell r="P1570">
            <v>175524118</v>
          </cell>
          <cell r="Q1570">
            <v>0</v>
          </cell>
          <cell r="R1570">
            <v>0</v>
          </cell>
          <cell r="S1570">
            <v>0</v>
          </cell>
          <cell r="Y1570">
            <v>0</v>
          </cell>
          <cell r="Z1570">
            <v>0</v>
          </cell>
          <cell r="AA1570">
            <v>100</v>
          </cell>
          <cell r="AB1570">
            <v>105707369</v>
          </cell>
          <cell r="AC1570">
            <v>20</v>
          </cell>
          <cell r="AD1570">
            <v>17.475151967016089</v>
          </cell>
        </row>
        <row r="1571">
          <cell r="A1571">
            <v>3</v>
          </cell>
          <cell r="C1571">
            <v>3</v>
          </cell>
          <cell r="D1571" t="str">
            <v>00</v>
          </cell>
          <cell r="E1571" t="str">
            <v>04</v>
          </cell>
          <cell r="F1571" t="str">
            <v>01</v>
          </cell>
          <cell r="G1571">
            <v>31</v>
          </cell>
          <cell r="I1571" t="str">
            <v>Program Pembinaan dan Pengembangan Aparatur</v>
          </cell>
          <cell r="J1571" t="str">
            <v>tersedianya ASN yang profesional (org)</v>
          </cell>
          <cell r="K1571">
            <v>17669</v>
          </cell>
          <cell r="L1571">
            <v>9643715000</v>
          </cell>
          <cell r="M1571">
            <v>6140</v>
          </cell>
          <cell r="N1571">
            <v>2849692092</v>
          </cell>
          <cell r="O1571">
            <v>2548</v>
          </cell>
          <cell r="P1571">
            <v>1340437898</v>
          </cell>
          <cell r="Q1571">
            <v>1850</v>
          </cell>
          <cell r="R1571">
            <v>319993969</v>
          </cell>
          <cell r="S1571">
            <v>1024</v>
          </cell>
          <cell r="T1571">
            <v>709278826</v>
          </cell>
          <cell r="Y1571">
            <v>2874</v>
          </cell>
          <cell r="Z1571">
            <v>1029272795</v>
          </cell>
          <cell r="AA1571">
            <v>9014</v>
          </cell>
          <cell r="AB1571">
            <v>3878964887</v>
          </cell>
          <cell r="AC1571">
            <v>51.01590355990718</v>
          </cell>
          <cell r="AD1571">
            <v>40.222724199128656</v>
          </cell>
          <cell r="AE1571" t="str">
            <v>BKPSDM</v>
          </cell>
        </row>
        <row r="1572">
          <cell r="B1572" t="str">
            <v>Meningkatnya sistem karir PNS</v>
          </cell>
          <cell r="C1572">
            <v>3</v>
          </cell>
          <cell r="D1572" t="str">
            <v>00</v>
          </cell>
          <cell r="E1572" t="str">
            <v>04</v>
          </cell>
          <cell r="F1572" t="str">
            <v>01</v>
          </cell>
          <cell r="G1572">
            <v>31</v>
          </cell>
          <cell r="H1572" t="str">
            <v>02</v>
          </cell>
          <cell r="I1572" t="str">
            <v>Seleksi Penerimaan Calon PNS</v>
          </cell>
          <cell r="J1572" t="str">
            <v>Jumlah Pelamar yang Mengikuti Seleksi dan Diterima Menjadi PNS (orang)</v>
          </cell>
          <cell r="K1572">
            <v>1004</v>
          </cell>
          <cell r="L1572">
            <v>770850000</v>
          </cell>
          <cell r="M1572">
            <v>204</v>
          </cell>
          <cell r="N1572">
            <v>171113600</v>
          </cell>
          <cell r="O1572">
            <v>200</v>
          </cell>
          <cell r="P1572">
            <v>106218674</v>
          </cell>
          <cell r="Q1572">
            <v>0</v>
          </cell>
          <cell r="R1572">
            <v>1899669</v>
          </cell>
          <cell r="S1572">
            <v>0</v>
          </cell>
          <cell r="T1572">
            <v>17334050</v>
          </cell>
          <cell r="Y1572">
            <v>0</v>
          </cell>
          <cell r="Z1572">
            <v>19233719</v>
          </cell>
          <cell r="AA1572">
            <v>204</v>
          </cell>
          <cell r="AB1572">
            <v>190347319</v>
          </cell>
          <cell r="AC1572">
            <v>20.318725099601593</v>
          </cell>
          <cell r="AD1572">
            <v>24.693172342219626</v>
          </cell>
        </row>
        <row r="1573">
          <cell r="C1573">
            <v>3</v>
          </cell>
          <cell r="D1573" t="str">
            <v>00</v>
          </cell>
          <cell r="E1573" t="str">
            <v>04</v>
          </cell>
          <cell r="F1573" t="str">
            <v>01</v>
          </cell>
          <cell r="G1573">
            <v>31</v>
          </cell>
          <cell r="H1573">
            <v>11</v>
          </cell>
          <cell r="I1573" t="str">
            <v>Pemberian Bantuan Tugas Belajar dan Ikatan Dinas</v>
          </cell>
          <cell r="J1573" t="str">
            <v>Jumlah PNS yang Mendapatkan Bantuan Tugas Belajar dan Ikatan Dinas (orang)</v>
          </cell>
          <cell r="K1573">
            <v>390</v>
          </cell>
          <cell r="L1573">
            <v>2283364000</v>
          </cell>
          <cell r="M1573">
            <v>173</v>
          </cell>
          <cell r="N1573">
            <v>839987584</v>
          </cell>
          <cell r="O1573">
            <v>20</v>
          </cell>
          <cell r="P1573">
            <v>188593300</v>
          </cell>
          <cell r="Q1573">
            <v>6</v>
          </cell>
          <cell r="R1573">
            <v>22250000</v>
          </cell>
          <cell r="S1573">
            <v>8</v>
          </cell>
          <cell r="T1573">
            <v>87389900</v>
          </cell>
          <cell r="Y1573">
            <v>14</v>
          </cell>
          <cell r="Z1573">
            <v>109639900</v>
          </cell>
          <cell r="AA1573">
            <v>187</v>
          </cell>
          <cell r="AB1573">
            <v>949627484</v>
          </cell>
          <cell r="AC1573">
            <v>47.948717948717949</v>
          </cell>
          <cell r="AD1573">
            <v>41.588966279576979</v>
          </cell>
        </row>
        <row r="1574">
          <cell r="C1574">
            <v>3</v>
          </cell>
          <cell r="D1574" t="str">
            <v>00</v>
          </cell>
          <cell r="E1574" t="str">
            <v>04</v>
          </cell>
          <cell r="F1574" t="str">
            <v>01</v>
          </cell>
          <cell r="G1574">
            <v>31</v>
          </cell>
          <cell r="H1574">
            <v>26</v>
          </cell>
          <cell r="I1574" t="str">
            <v>Penyelenggaraan Badan Pertimbangan Jabatan dan Kepangkatan</v>
          </cell>
          <cell r="J1574" t="str">
            <v>Jumlah sidang yang dilakukan oleh Tim Badan Pertimbangan Jabatan dan Kepangkatan (kali)</v>
          </cell>
          <cell r="K1574">
            <v>56</v>
          </cell>
          <cell r="L1574">
            <v>313969000</v>
          </cell>
          <cell r="M1574">
            <v>137</v>
          </cell>
          <cell r="N1574">
            <v>111369144</v>
          </cell>
          <cell r="O1574">
            <v>12</v>
          </cell>
          <cell r="P1574">
            <v>74830900</v>
          </cell>
          <cell r="Q1574">
            <v>8</v>
          </cell>
          <cell r="R1574">
            <v>21405200</v>
          </cell>
          <cell r="S1574">
            <v>10</v>
          </cell>
          <cell r="T1574">
            <v>38720900</v>
          </cell>
          <cell r="Y1574">
            <v>18</v>
          </cell>
          <cell r="Z1574">
            <v>60126100</v>
          </cell>
          <cell r="AA1574">
            <v>155</v>
          </cell>
          <cell r="AB1574">
            <v>171495244</v>
          </cell>
          <cell r="AC1574">
            <v>276.78571428571428</v>
          </cell>
          <cell r="AD1574">
            <v>54.621712334657246</v>
          </cell>
        </row>
        <row r="1575">
          <cell r="C1575">
            <v>3</v>
          </cell>
          <cell r="D1575" t="str">
            <v>00</v>
          </cell>
          <cell r="E1575" t="str">
            <v>04</v>
          </cell>
          <cell r="F1575" t="str">
            <v>01</v>
          </cell>
          <cell r="G1575">
            <v>31</v>
          </cell>
          <cell r="H1575">
            <v>49</v>
          </cell>
          <cell r="I1575" t="str">
            <v>Pengambilan Sumpah PNS dan Pelantikan Jabatan</v>
          </cell>
          <cell r="J1575" t="str">
            <v>Jumlah diadakan acara Pengambilan Sumpah dan Pelantikan Jabatan (kali)</v>
          </cell>
          <cell r="K1575">
            <v>53</v>
          </cell>
          <cell r="L1575">
            <v>176623000</v>
          </cell>
          <cell r="M1575">
            <v>5</v>
          </cell>
          <cell r="N1575">
            <v>31189500</v>
          </cell>
          <cell r="O1575">
            <v>12</v>
          </cell>
          <cell r="P1575">
            <v>36358150</v>
          </cell>
          <cell r="Q1575">
            <v>5</v>
          </cell>
          <cell r="R1575">
            <v>10477100</v>
          </cell>
          <cell r="S1575">
            <v>16</v>
          </cell>
          <cell r="T1575">
            <v>22632650</v>
          </cell>
          <cell r="Y1575">
            <v>21</v>
          </cell>
          <cell r="Z1575">
            <v>33109750</v>
          </cell>
          <cell r="AA1575">
            <v>26</v>
          </cell>
          <cell r="AB1575">
            <v>64299250</v>
          </cell>
          <cell r="AC1575">
            <v>49.056603773584904</v>
          </cell>
          <cell r="AD1575">
            <v>36.404800054353061</v>
          </cell>
        </row>
        <row r="1576">
          <cell r="C1576">
            <v>3</v>
          </cell>
          <cell r="D1576" t="str">
            <v>00</v>
          </cell>
          <cell r="E1576" t="str">
            <v>04</v>
          </cell>
          <cell r="F1576" t="str">
            <v>01</v>
          </cell>
          <cell r="G1576">
            <v>31</v>
          </cell>
          <cell r="H1576">
            <v>35</v>
          </cell>
          <cell r="I1576" t="str">
            <v>Seleksi Jabatan Pimpinan Tinggi</v>
          </cell>
          <cell r="J1576" t="str">
            <v>Jumlah Peserta Seleksi Jabatan Pimpinan Tinggi (orang)</v>
          </cell>
          <cell r="K1576">
            <v>235</v>
          </cell>
          <cell r="L1576">
            <v>1131798000</v>
          </cell>
          <cell r="M1576">
            <v>73</v>
          </cell>
          <cell r="N1576">
            <v>258321000</v>
          </cell>
          <cell r="O1576">
            <v>27</v>
          </cell>
          <cell r="P1576">
            <v>213476300</v>
          </cell>
          <cell r="Q1576">
            <v>27</v>
          </cell>
          <cell r="R1576">
            <v>116042840</v>
          </cell>
          <cell r="S1576">
            <v>27</v>
          </cell>
          <cell r="T1576">
            <v>182592778</v>
          </cell>
          <cell r="Y1576">
            <v>54</v>
          </cell>
          <cell r="Z1576">
            <v>298635618</v>
          </cell>
          <cell r="AA1576">
            <v>127</v>
          </cell>
          <cell r="AB1576">
            <v>556956618</v>
          </cell>
          <cell r="AC1576">
            <v>54.042553191489361</v>
          </cell>
          <cell r="AD1576">
            <v>49.20989593549379</v>
          </cell>
        </row>
        <row r="1577">
          <cell r="C1577">
            <v>3</v>
          </cell>
          <cell r="D1577" t="str">
            <v>00</v>
          </cell>
          <cell r="E1577" t="str">
            <v>04</v>
          </cell>
          <cell r="F1577" t="str">
            <v>01</v>
          </cell>
          <cell r="G1577">
            <v>31</v>
          </cell>
          <cell r="H1577">
            <v>25</v>
          </cell>
          <cell r="I1577" t="str">
            <v>Penyelenggaraan Majelis Pertimbangan Pegawai</v>
          </cell>
          <cell r="J1577" t="str">
            <v>Jumlah sidang yang dilakukan oleh Tim Majelis Pertimbangan Pegawai (kali)</v>
          </cell>
          <cell r="K1577">
            <v>34</v>
          </cell>
          <cell r="L1577">
            <v>231324000</v>
          </cell>
          <cell r="M1577">
            <v>10</v>
          </cell>
          <cell r="N1577">
            <v>76602682</v>
          </cell>
          <cell r="O1577">
            <v>6</v>
          </cell>
          <cell r="P1577">
            <v>39717850</v>
          </cell>
          <cell r="Q1577">
            <v>2</v>
          </cell>
          <cell r="R1577">
            <v>10200000</v>
          </cell>
          <cell r="S1577">
            <v>3</v>
          </cell>
          <cell r="T1577">
            <v>12923550</v>
          </cell>
          <cell r="Y1577">
            <v>5</v>
          </cell>
          <cell r="Z1577">
            <v>23123550</v>
          </cell>
          <cell r="AA1577">
            <v>15</v>
          </cell>
          <cell r="AB1577">
            <v>99726232</v>
          </cell>
          <cell r="AC1577">
            <v>44.117647058823529</v>
          </cell>
          <cell r="AD1577">
            <v>43.111061541387834</v>
          </cell>
        </row>
        <row r="1578">
          <cell r="C1578">
            <v>3</v>
          </cell>
          <cell r="D1578" t="str">
            <v>00</v>
          </cell>
          <cell r="E1578" t="str">
            <v>04</v>
          </cell>
          <cell r="F1578" t="str">
            <v>01</v>
          </cell>
          <cell r="G1578">
            <v>31</v>
          </cell>
          <cell r="H1578">
            <v>40</v>
          </cell>
          <cell r="I1578" t="str">
            <v>Pemberian Satyalencana Karya Satya X, XX, dan XXX Tahun</v>
          </cell>
          <cell r="J1578" t="str">
            <v>Jumlah berkas PNS yang diusulkan untuk menerima Satya lencana karya satya X, XX, dan XXX Tahun (berkas)</v>
          </cell>
          <cell r="K1578">
            <v>1050</v>
          </cell>
          <cell r="L1578">
            <v>135000000</v>
          </cell>
          <cell r="M1578">
            <v>297</v>
          </cell>
          <cell r="N1578">
            <v>81807412</v>
          </cell>
          <cell r="O1578">
            <v>150</v>
          </cell>
          <cell r="P1578">
            <v>41228168</v>
          </cell>
          <cell r="Q1578">
            <v>127</v>
          </cell>
          <cell r="R1578">
            <v>1500000</v>
          </cell>
          <cell r="S1578">
            <v>148</v>
          </cell>
          <cell r="T1578">
            <v>19725804</v>
          </cell>
          <cell r="Y1578">
            <v>275</v>
          </cell>
          <cell r="Z1578">
            <v>21225804</v>
          </cell>
          <cell r="AA1578">
            <v>572</v>
          </cell>
          <cell r="AB1578">
            <v>103033216</v>
          </cell>
          <cell r="AC1578">
            <v>54.476190476190482</v>
          </cell>
          <cell r="AD1578">
            <v>76.32090074074074</v>
          </cell>
        </row>
        <row r="1579">
          <cell r="C1579">
            <v>3</v>
          </cell>
          <cell r="D1579" t="str">
            <v>00</v>
          </cell>
          <cell r="E1579" t="str">
            <v>04</v>
          </cell>
          <cell r="F1579" t="str">
            <v>01</v>
          </cell>
          <cell r="G1579">
            <v>31</v>
          </cell>
          <cell r="H1579">
            <v>16</v>
          </cell>
          <cell r="I1579" t="str">
            <v>Penyusunan Formasi PNS</v>
          </cell>
          <cell r="J1579" t="str">
            <v>Tercapainya Penyusunan Formasi PNS (orang)</v>
          </cell>
          <cell r="K1579">
            <v>12216</v>
          </cell>
          <cell r="L1579">
            <v>518711000</v>
          </cell>
          <cell r="M1579">
            <v>4220</v>
          </cell>
          <cell r="N1579">
            <v>210269559</v>
          </cell>
          <cell r="O1579">
            <v>1666</v>
          </cell>
          <cell r="P1579">
            <v>77149870</v>
          </cell>
          <cell r="Q1579">
            <v>1666</v>
          </cell>
          <cell r="R1579">
            <v>29852910</v>
          </cell>
          <cell r="S1579">
            <v>1666</v>
          </cell>
          <cell r="T1579">
            <v>43770879</v>
          </cell>
          <cell r="Y1579">
            <v>3332</v>
          </cell>
          <cell r="Z1579">
            <v>73623789</v>
          </cell>
          <cell r="AA1579">
            <v>7552</v>
          </cell>
          <cell r="AB1579">
            <v>283893348</v>
          </cell>
          <cell r="AC1579">
            <v>61.820563195808774</v>
          </cell>
          <cell r="AD1579">
            <v>54.730543211923397</v>
          </cell>
        </row>
        <row r="1580">
          <cell r="C1580">
            <v>3</v>
          </cell>
          <cell r="D1580" t="str">
            <v>00</v>
          </cell>
          <cell r="E1580" t="str">
            <v>04</v>
          </cell>
          <cell r="F1580" t="str">
            <v>01</v>
          </cell>
          <cell r="G1580">
            <v>31</v>
          </cell>
          <cell r="H1580">
            <v>36</v>
          </cell>
          <cell r="I1580" t="str">
            <v>Pengelolaan administrasi mutasi pegawai</v>
          </cell>
          <cell r="J1580" t="str">
            <v>Jumlah PNS yang melakukan Mutasi Pindah dan Mutasi Jabatan fungsional (orang)</v>
          </cell>
          <cell r="K1580">
            <v>766</v>
          </cell>
          <cell r="L1580">
            <v>210735000</v>
          </cell>
          <cell r="M1580">
            <v>161</v>
          </cell>
          <cell r="N1580">
            <v>45402090</v>
          </cell>
          <cell r="O1580">
            <v>200</v>
          </cell>
          <cell r="P1580">
            <v>30072500</v>
          </cell>
          <cell r="Q1580">
            <v>0</v>
          </cell>
          <cell r="R1580">
            <v>3290750</v>
          </cell>
          <cell r="S1580">
            <v>150</v>
          </cell>
          <cell r="T1580">
            <v>10321200</v>
          </cell>
          <cell r="Y1580">
            <v>150</v>
          </cell>
          <cell r="Z1580">
            <v>13611950</v>
          </cell>
          <cell r="AA1580">
            <v>311</v>
          </cell>
          <cell r="AB1580">
            <v>59014040</v>
          </cell>
          <cell r="AC1580">
            <v>40.600522193211489</v>
          </cell>
          <cell r="AD1580">
            <v>28.003910124089497</v>
          </cell>
        </row>
        <row r="1581">
          <cell r="C1581">
            <v>3</v>
          </cell>
          <cell r="D1581" t="str">
            <v>00</v>
          </cell>
          <cell r="E1581" t="str">
            <v>04</v>
          </cell>
          <cell r="F1581" t="str">
            <v>01</v>
          </cell>
          <cell r="G1581">
            <v>31</v>
          </cell>
          <cell r="H1581">
            <v>39</v>
          </cell>
          <cell r="I1581" t="str">
            <v>Pemeriksaan Kasus PNS dan Masalah Perceraian</v>
          </cell>
          <cell r="J1581" t="str">
            <v>Jumlah PNS yang melanggar disiplin dan masalah perceraian yang diberikan rekomendasi (orang)</v>
          </cell>
          <cell r="K1581">
            <v>237</v>
          </cell>
          <cell r="L1581">
            <v>213661000</v>
          </cell>
          <cell r="M1581">
            <v>57</v>
          </cell>
          <cell r="N1581">
            <v>44699340</v>
          </cell>
          <cell r="O1581">
            <v>30</v>
          </cell>
          <cell r="P1581">
            <v>18962800</v>
          </cell>
          <cell r="Q1581">
            <v>9</v>
          </cell>
          <cell r="R1581">
            <v>3399500</v>
          </cell>
          <cell r="S1581">
            <v>15</v>
          </cell>
          <cell r="T1581">
            <v>3987000</v>
          </cell>
          <cell r="Y1581">
            <v>24</v>
          </cell>
          <cell r="Z1581">
            <v>7386500</v>
          </cell>
          <cell r="AA1581">
            <v>81</v>
          </cell>
          <cell r="AB1581">
            <v>52085840</v>
          </cell>
          <cell r="AC1581">
            <v>34.177215189873415</v>
          </cell>
          <cell r="AD1581">
            <v>24.377794730905499</v>
          </cell>
        </row>
        <row r="1582">
          <cell r="C1582">
            <v>3</v>
          </cell>
          <cell r="D1582" t="str">
            <v>00</v>
          </cell>
          <cell r="E1582" t="str">
            <v>04</v>
          </cell>
          <cell r="F1582" t="str">
            <v>01</v>
          </cell>
          <cell r="G1582">
            <v>31</v>
          </cell>
          <cell r="H1582">
            <v>42</v>
          </cell>
          <cell r="I1582" t="str">
            <v>Pemetaan Potensi Pejabat Struktural</v>
          </cell>
          <cell r="J1582" t="str">
            <v>Jumlah peserta yang mengikuti pemetaan potensi pejabat struktural (orang)</v>
          </cell>
          <cell r="K1582">
            <v>1628</v>
          </cell>
          <cell r="L1582">
            <v>1067334000</v>
          </cell>
          <cell r="M1582">
            <v>803</v>
          </cell>
          <cell r="N1582">
            <v>463487181</v>
          </cell>
          <cell r="O1582">
            <v>225</v>
          </cell>
          <cell r="P1582">
            <v>153846550</v>
          </cell>
          <cell r="Q1582">
            <v>0</v>
          </cell>
          <cell r="R1582">
            <v>0</v>
          </cell>
          <cell r="S1582">
            <v>225</v>
          </cell>
          <cell r="T1582">
            <v>41464115</v>
          </cell>
          <cell r="Y1582">
            <v>225</v>
          </cell>
          <cell r="Z1582">
            <v>41464115</v>
          </cell>
          <cell r="AA1582">
            <v>1028</v>
          </cell>
          <cell r="AB1582">
            <v>504951296</v>
          </cell>
          <cell r="AC1582">
            <v>63.144963144963143</v>
          </cell>
          <cell r="AD1582">
            <v>47.309585940296103</v>
          </cell>
        </row>
        <row r="1583">
          <cell r="B1583" t="str">
            <v>Meningkatkan pelayanan kepegawaian</v>
          </cell>
          <cell r="C1583">
            <v>3</v>
          </cell>
          <cell r="D1583" t="str">
            <v>00</v>
          </cell>
          <cell r="E1583" t="str">
            <v>04</v>
          </cell>
          <cell r="F1583" t="str">
            <v>01</v>
          </cell>
          <cell r="G1583">
            <v>31</v>
          </cell>
          <cell r="H1583">
            <v>38</v>
          </cell>
          <cell r="I1583" t="str">
            <v>Pengelolaan Sistem Informasi Manajemen Kepegawaian (SIMPEG)</v>
          </cell>
          <cell r="J1583" t="str">
            <v>Jumlah data PNS yang dientry dalam jaringan database (data)</v>
          </cell>
          <cell r="K1583">
            <v>35778</v>
          </cell>
          <cell r="L1583">
            <v>324996000</v>
          </cell>
          <cell r="M1583">
            <v>7178</v>
          </cell>
          <cell r="N1583">
            <v>158533000</v>
          </cell>
          <cell r="O1583">
            <v>2700</v>
          </cell>
          <cell r="P1583">
            <v>40449100</v>
          </cell>
          <cell r="Q1583">
            <v>606</v>
          </cell>
          <cell r="R1583">
            <v>6623000</v>
          </cell>
          <cell r="S1583">
            <v>2700</v>
          </cell>
          <cell r="T1583">
            <v>25603300</v>
          </cell>
          <cell r="Y1583">
            <v>3306</v>
          </cell>
          <cell r="Z1583">
            <v>32226300</v>
          </cell>
          <cell r="AA1583">
            <v>10484</v>
          </cell>
          <cell r="AB1583">
            <v>190759300</v>
          </cell>
          <cell r="AC1583">
            <v>29.302923584325562</v>
          </cell>
          <cell r="AD1583">
            <v>58.69589164174328</v>
          </cell>
        </row>
        <row r="1584">
          <cell r="C1584">
            <v>3</v>
          </cell>
          <cell r="D1584" t="str">
            <v>00</v>
          </cell>
          <cell r="E1584" t="str">
            <v>04</v>
          </cell>
          <cell r="F1584" t="str">
            <v>01</v>
          </cell>
          <cell r="G1584">
            <v>31</v>
          </cell>
          <cell r="H1584">
            <v>56</v>
          </cell>
          <cell r="I1584" t="str">
            <v>Pengelolaan Administrasi Kepangkatan dan Pemakaian Gelar Pegawai</v>
          </cell>
          <cell r="J1584" t="str">
            <v>Jumlah berkas PNS yang diproses untuk usulan kenaikan pangkat dan pemakaian gelar (berkas)</v>
          </cell>
          <cell r="K1584">
            <v>8340</v>
          </cell>
          <cell r="L1584">
            <v>1057125000</v>
          </cell>
          <cell r="M1584">
            <v>1240</v>
          </cell>
          <cell r="N1584">
            <v>195259000</v>
          </cell>
          <cell r="O1584">
            <v>1600</v>
          </cell>
          <cell r="P1584">
            <v>151704986</v>
          </cell>
          <cell r="Q1584">
            <v>1056</v>
          </cell>
          <cell r="R1584">
            <v>56963000</v>
          </cell>
          <cell r="S1584">
            <v>1056</v>
          </cell>
          <cell r="T1584">
            <v>83185850</v>
          </cell>
          <cell r="Y1584">
            <v>2112</v>
          </cell>
          <cell r="Z1584">
            <v>140148850</v>
          </cell>
          <cell r="AA1584">
            <v>3352</v>
          </cell>
          <cell r="AB1584">
            <v>335407850</v>
          </cell>
          <cell r="AC1584">
            <v>40.191846522781773</v>
          </cell>
          <cell r="AD1584">
            <v>31.728305545701787</v>
          </cell>
        </row>
        <row r="1585">
          <cell r="C1585">
            <v>3</v>
          </cell>
          <cell r="D1585" t="str">
            <v>00</v>
          </cell>
          <cell r="E1585" t="str">
            <v>04</v>
          </cell>
          <cell r="F1585" t="str">
            <v>01</v>
          </cell>
          <cell r="G1585">
            <v>31</v>
          </cell>
          <cell r="H1585">
            <v>37</v>
          </cell>
          <cell r="I1585" t="str">
            <v>Pengelolaan Administrasi Pensiun Pegawai</v>
          </cell>
          <cell r="J1585" t="str">
            <v>Jumlah berkas PNS yang diproses untuk usulan BUP, janda/duda, APS dan MPP (berkas)</v>
          </cell>
          <cell r="K1585">
            <v>1257</v>
          </cell>
          <cell r="L1585">
            <v>473851000</v>
          </cell>
          <cell r="M1585">
            <v>208</v>
          </cell>
          <cell r="N1585">
            <v>83148000</v>
          </cell>
          <cell r="O1585">
            <v>200</v>
          </cell>
          <cell r="P1585">
            <v>43401950</v>
          </cell>
          <cell r="Q1585">
            <v>49</v>
          </cell>
          <cell r="R1585">
            <v>1554000</v>
          </cell>
          <cell r="S1585">
            <v>135</v>
          </cell>
          <cell r="T1585">
            <v>21297450</v>
          </cell>
          <cell r="Y1585">
            <v>184</v>
          </cell>
          <cell r="Z1585">
            <v>22851450</v>
          </cell>
          <cell r="AA1585">
            <v>392</v>
          </cell>
          <cell r="AB1585">
            <v>105999450</v>
          </cell>
          <cell r="AC1585">
            <v>31.185361972951469</v>
          </cell>
          <cell r="AD1585">
            <v>22.369785016809082</v>
          </cell>
        </row>
        <row r="1586">
          <cell r="C1586">
            <v>3</v>
          </cell>
          <cell r="D1586" t="str">
            <v>00</v>
          </cell>
          <cell r="E1586" t="str">
            <v>04</v>
          </cell>
          <cell r="F1586" t="str">
            <v>01</v>
          </cell>
          <cell r="G1586">
            <v>31</v>
          </cell>
          <cell r="H1586">
            <v>53</v>
          </cell>
          <cell r="I1586" t="str">
            <v>Pembekalan ASN yang memasuki purnabakti</v>
          </cell>
          <cell r="J1586" t="str">
            <v>Jumlah PNS yang mengikuti pembekalan sebelum pensiun (orang)</v>
          </cell>
          <cell r="K1586">
            <v>405</v>
          </cell>
          <cell r="L1586">
            <v>297969000</v>
          </cell>
          <cell r="M1586">
            <v>0</v>
          </cell>
          <cell r="N1586">
            <v>0</v>
          </cell>
          <cell r="O1586">
            <v>105</v>
          </cell>
          <cell r="P1586">
            <v>72969600</v>
          </cell>
          <cell r="Q1586">
            <v>86</v>
          </cell>
          <cell r="R1586">
            <v>21790000</v>
          </cell>
          <cell r="S1586">
            <v>86</v>
          </cell>
          <cell r="T1586">
            <v>69557400</v>
          </cell>
          <cell r="Y1586">
            <v>172</v>
          </cell>
          <cell r="Z1586">
            <v>91347400</v>
          </cell>
          <cell r="AA1586">
            <v>172</v>
          </cell>
          <cell r="AB1586">
            <v>91347400</v>
          </cell>
          <cell r="AC1586">
            <v>42.46913580246914</v>
          </cell>
          <cell r="AD1586">
            <v>30.656679050505254</v>
          </cell>
        </row>
        <row r="1587">
          <cell r="C1587">
            <v>3</v>
          </cell>
          <cell r="D1587" t="str">
            <v>00</v>
          </cell>
          <cell r="E1587" t="str">
            <v>04</v>
          </cell>
          <cell r="F1587" t="str">
            <v>01</v>
          </cell>
          <cell r="G1587">
            <v>31</v>
          </cell>
          <cell r="H1587">
            <v>22</v>
          </cell>
          <cell r="I1587" t="str">
            <v>Pengelolaan administrasi karpeg, karis/karsu dan taspen</v>
          </cell>
          <cell r="J1587" t="str">
            <v>Jumlah berkas PNS yang diprose usulan karpeg, karis/karsu dan taspen (berkas)</v>
          </cell>
          <cell r="K1587">
            <v>2110</v>
          </cell>
          <cell r="L1587">
            <v>225596000</v>
          </cell>
          <cell r="M1587">
            <v>448</v>
          </cell>
          <cell r="N1587">
            <v>48135000</v>
          </cell>
          <cell r="O1587">
            <v>200</v>
          </cell>
          <cell r="P1587">
            <v>34168100</v>
          </cell>
          <cell r="Q1587">
            <v>244</v>
          </cell>
          <cell r="R1587">
            <v>11883000</v>
          </cell>
          <cell r="S1587">
            <v>515</v>
          </cell>
          <cell r="T1587">
            <v>15733000</v>
          </cell>
          <cell r="Y1587">
            <v>759</v>
          </cell>
          <cell r="Z1587">
            <v>27616000</v>
          </cell>
          <cell r="AA1587">
            <v>1207</v>
          </cell>
          <cell r="AB1587">
            <v>75751000</v>
          </cell>
          <cell r="AC1587">
            <v>57.203791469194307</v>
          </cell>
          <cell r="AD1587">
            <v>33.578166279543964</v>
          </cell>
        </row>
        <row r="1588">
          <cell r="C1588">
            <v>3</v>
          </cell>
          <cell r="D1588" t="str">
            <v>00</v>
          </cell>
          <cell r="E1588" t="str">
            <v>04</v>
          </cell>
          <cell r="F1588" t="str">
            <v>01</v>
          </cell>
          <cell r="G1588">
            <v>31</v>
          </cell>
          <cell r="H1588">
            <v>28</v>
          </cell>
          <cell r="I1588" t="str">
            <v>Pelaksanaan Pengkoreksian Angka Kredit</v>
          </cell>
          <cell r="J1588" t="str">
            <v>Jumlah berkas PNS yang diproses untuk usulan pengkoreksian angka kredit bagi jabatan fungsional (berkas)</v>
          </cell>
          <cell r="K1588">
            <v>5621</v>
          </cell>
          <cell r="L1588">
            <v>210809000</v>
          </cell>
          <cell r="M1588">
            <v>946</v>
          </cell>
          <cell r="N1588">
            <v>30368000</v>
          </cell>
          <cell r="O1588">
            <v>1050</v>
          </cell>
          <cell r="P1588">
            <v>17289100</v>
          </cell>
          <cell r="Q1588">
            <v>493</v>
          </cell>
          <cell r="R1588">
            <v>863000</v>
          </cell>
          <cell r="S1588">
            <v>493</v>
          </cell>
          <cell r="T1588">
            <v>13039000</v>
          </cell>
          <cell r="Y1588">
            <v>986</v>
          </cell>
          <cell r="Z1588">
            <v>13902000</v>
          </cell>
          <cell r="AA1588">
            <v>1932</v>
          </cell>
          <cell r="AB1588">
            <v>44270000</v>
          </cell>
          <cell r="AC1588">
            <v>34.371108343711079</v>
          </cell>
          <cell r="AD1588">
            <v>21.000052179935391</v>
          </cell>
        </row>
        <row r="1589">
          <cell r="A1589">
            <v>4</v>
          </cell>
          <cell r="C1589">
            <v>3</v>
          </cell>
          <cell r="D1589" t="str">
            <v>00</v>
          </cell>
          <cell r="E1589" t="str">
            <v>04</v>
          </cell>
          <cell r="F1589" t="str">
            <v>01</v>
          </cell>
          <cell r="G1589" t="str">
            <v>06</v>
          </cell>
          <cell r="I1589" t="str">
            <v>Program Peningkatan Pengembangan Sistem Pelaporan Capaian Kinerja dan Keuangan</v>
          </cell>
          <cell r="J1589" t="str">
            <v>Terselengaranya pelaporan Kinerja dan keuangan (bln)</v>
          </cell>
          <cell r="K1589">
            <v>72</v>
          </cell>
          <cell r="L1589">
            <v>113071000</v>
          </cell>
          <cell r="M1589">
            <v>24</v>
          </cell>
          <cell r="N1589">
            <v>21953000</v>
          </cell>
          <cell r="O1589">
            <v>12</v>
          </cell>
          <cell r="P1589">
            <v>14918220</v>
          </cell>
          <cell r="Q1589">
            <v>3</v>
          </cell>
          <cell r="R1589">
            <v>5500000</v>
          </cell>
          <cell r="S1589">
            <v>3</v>
          </cell>
          <cell r="Y1589">
            <v>6</v>
          </cell>
          <cell r="Z1589">
            <v>12970110</v>
          </cell>
          <cell r="AA1589">
            <v>30</v>
          </cell>
          <cell r="AB1589">
            <v>34923110</v>
          </cell>
          <cell r="AC1589">
            <v>41.666666666666671</v>
          </cell>
          <cell r="AD1589">
            <v>30.886000831336062</v>
          </cell>
          <cell r="AE1589" t="str">
            <v>BKPSDM</v>
          </cell>
        </row>
        <row r="1590">
          <cell r="B1590" t="str">
            <v>Meningkatnya sistem karir PNS</v>
          </cell>
          <cell r="C1590">
            <v>3</v>
          </cell>
          <cell r="D1590" t="str">
            <v>00</v>
          </cell>
          <cell r="E1590" t="str">
            <v>04</v>
          </cell>
          <cell r="F1590" t="str">
            <v>01</v>
          </cell>
          <cell r="G1590" t="str">
            <v>06</v>
          </cell>
          <cell r="H1590" t="str">
            <v>01</v>
          </cell>
          <cell r="I1590" t="str">
            <v>Penyusunan Laporan Capaian Kinerja dan Ikhtisar Realisasi Kinerja SKPD</v>
          </cell>
          <cell r="J1590" t="str">
            <v>Tersusunnya dokumen laporan akuntabilitas kinerja BKPSDM (laporan)</v>
          </cell>
          <cell r="K1590">
            <v>66</v>
          </cell>
          <cell r="L1590">
            <v>113071000</v>
          </cell>
          <cell r="M1590">
            <v>22</v>
          </cell>
          <cell r="N1590">
            <v>21953000</v>
          </cell>
          <cell r="O1590">
            <v>11</v>
          </cell>
          <cell r="P1590">
            <v>14918220</v>
          </cell>
          <cell r="Q1590">
            <v>0</v>
          </cell>
          <cell r="R1590">
            <v>5500000</v>
          </cell>
          <cell r="S1590">
            <v>55</v>
          </cell>
          <cell r="T1590">
            <v>7470110</v>
          </cell>
          <cell r="Y1590">
            <v>55</v>
          </cell>
          <cell r="Z1590">
            <v>12970110</v>
          </cell>
          <cell r="AA1590">
            <v>77</v>
          </cell>
          <cell r="AB1590">
            <v>34923110</v>
          </cell>
          <cell r="AC1590">
            <v>116.66666666666667</v>
          </cell>
          <cell r="AD1590">
            <v>30.886000831336062</v>
          </cell>
        </row>
        <row r="1591">
          <cell r="A1591">
            <v>5</v>
          </cell>
          <cell r="C1591">
            <v>3</v>
          </cell>
          <cell r="D1591" t="str">
            <v>00</v>
          </cell>
          <cell r="E1591" t="str">
            <v>04</v>
          </cell>
          <cell r="F1591" t="str">
            <v>01</v>
          </cell>
          <cell r="G1591">
            <v>29</v>
          </cell>
          <cell r="I1591" t="str">
            <v>Program Pendidikan Kedinasan</v>
          </cell>
          <cell r="J1591" t="str">
            <v>Jumkah aparatur yang mengikuti pendidikan sesuai jenjang</v>
          </cell>
          <cell r="K1591">
            <v>600</v>
          </cell>
          <cell r="L1591">
            <v>9060887000</v>
          </cell>
          <cell r="M1591">
            <v>200</v>
          </cell>
          <cell r="N1591">
            <v>2538297846</v>
          </cell>
          <cell r="O1591">
            <v>100</v>
          </cell>
          <cell r="P1591">
            <v>1576003442</v>
          </cell>
          <cell r="Q1591">
            <v>17.43</v>
          </cell>
          <cell r="R1591">
            <v>274741831</v>
          </cell>
          <cell r="S1591">
            <v>60.997460753007672</v>
          </cell>
          <cell r="T1591">
            <v>961322081</v>
          </cell>
          <cell r="Y1591">
            <v>78.427460753007665</v>
          </cell>
          <cell r="Z1591">
            <v>1236063912</v>
          </cell>
          <cell r="AA1591">
            <v>278.42746075300767</v>
          </cell>
          <cell r="AB1591">
            <v>3774361758</v>
          </cell>
          <cell r="AC1591">
            <v>46.404576792167944</v>
          </cell>
          <cell r="AD1591">
            <v>41.655543855695363</v>
          </cell>
          <cell r="AE1591" t="str">
            <v>BKPSDM</v>
          </cell>
        </row>
        <row r="1592">
          <cell r="B1592" t="str">
            <v>Meningkatnya sistem karir PNS</v>
          </cell>
          <cell r="C1592">
            <v>3</v>
          </cell>
          <cell r="D1592" t="str">
            <v>00</v>
          </cell>
          <cell r="E1592" t="str">
            <v>04</v>
          </cell>
          <cell r="F1592" t="str">
            <v>01</v>
          </cell>
          <cell r="G1592">
            <v>29</v>
          </cell>
          <cell r="H1592" t="str">
            <v>06</v>
          </cell>
          <cell r="I1592" t="str">
            <v>Peningkatan keterampilan dan profesionalisme</v>
          </cell>
          <cell r="J1592" t="str">
            <v>Jumlah PNS yang Mengikuti Pendidikan Pim II dan Pim III (orang)</v>
          </cell>
          <cell r="K1592">
            <v>56</v>
          </cell>
          <cell r="L1592">
            <v>3490679000</v>
          </cell>
          <cell r="M1592">
            <v>20</v>
          </cell>
          <cell r="N1592">
            <v>1175626246</v>
          </cell>
          <cell r="O1592">
            <v>12</v>
          </cell>
          <cell r="P1592">
            <v>562932950</v>
          </cell>
          <cell r="Q1592">
            <v>6</v>
          </cell>
          <cell r="R1592">
            <v>10733000</v>
          </cell>
          <cell r="S1592">
            <v>6</v>
          </cell>
          <cell r="T1592">
            <v>242473927</v>
          </cell>
          <cell r="Y1592">
            <v>12</v>
          </cell>
          <cell r="Z1592">
            <v>253206927</v>
          </cell>
          <cell r="AA1592">
            <v>32</v>
          </cell>
          <cell r="AB1592">
            <v>1428833173</v>
          </cell>
          <cell r="AC1592">
            <v>57.142857142857139</v>
          </cell>
          <cell r="AD1592">
            <v>40.932814876418028</v>
          </cell>
        </row>
        <row r="1593">
          <cell r="C1593">
            <v>3</v>
          </cell>
          <cell r="D1593" t="str">
            <v>00</v>
          </cell>
          <cell r="E1593" t="str">
            <v>04</v>
          </cell>
          <cell r="F1593" t="str">
            <v>01</v>
          </cell>
          <cell r="G1593">
            <v>29</v>
          </cell>
          <cell r="H1593" t="str">
            <v>08</v>
          </cell>
          <cell r="I1593" t="str">
            <v>Diklat Kepemimpinan Tk. IV</v>
          </cell>
          <cell r="J1593" t="str">
            <v>Jumlah Pegawai ASN yang mengikuti Diklat PIM Tk. IV (orang)</v>
          </cell>
          <cell r="K1593">
            <v>180</v>
          </cell>
          <cell r="L1593">
            <v>3346888000</v>
          </cell>
          <cell r="M1593">
            <v>60</v>
          </cell>
          <cell r="N1593">
            <v>998233000</v>
          </cell>
          <cell r="O1593">
            <v>30</v>
          </cell>
          <cell r="P1593">
            <v>703005450</v>
          </cell>
          <cell r="Q1593">
            <v>30</v>
          </cell>
          <cell r="R1593">
            <v>135472729</v>
          </cell>
          <cell r="S1593">
            <v>30</v>
          </cell>
          <cell r="T1593">
            <v>429624452</v>
          </cell>
          <cell r="Y1593">
            <v>60</v>
          </cell>
          <cell r="Z1593">
            <v>565097181</v>
          </cell>
          <cell r="AA1593">
            <v>120</v>
          </cell>
          <cell r="AB1593">
            <v>1563330181</v>
          </cell>
          <cell r="AC1593">
            <v>66.666666666666657</v>
          </cell>
          <cell r="AD1593">
            <v>46.709964032259222</v>
          </cell>
        </row>
        <row r="1594">
          <cell r="C1594">
            <v>3</v>
          </cell>
          <cell r="D1594" t="str">
            <v>00</v>
          </cell>
          <cell r="E1594" t="str">
            <v>04</v>
          </cell>
          <cell r="F1594" t="str">
            <v>01</v>
          </cell>
          <cell r="G1594">
            <v>29</v>
          </cell>
          <cell r="H1594" t="str">
            <v>07</v>
          </cell>
          <cell r="I1594" t="str">
            <v>Diklat Prajabatan bagi Calon PNS</v>
          </cell>
          <cell r="J1594" t="str">
            <v>Jumlah Peserta yang Mengikuti Diklat Prajabatan (orang)</v>
          </cell>
          <cell r="K1594">
            <v>646</v>
          </cell>
          <cell r="L1594">
            <v>1705162000</v>
          </cell>
          <cell r="M1594">
            <v>140</v>
          </cell>
          <cell r="N1594">
            <v>364438600</v>
          </cell>
          <cell r="O1594">
            <v>66</v>
          </cell>
          <cell r="P1594">
            <v>166907302</v>
          </cell>
          <cell r="Q1594">
            <v>66</v>
          </cell>
          <cell r="R1594">
            <v>126232102</v>
          </cell>
          <cell r="S1594">
            <v>66</v>
          </cell>
          <cell r="T1594">
            <v>157432102</v>
          </cell>
          <cell r="Y1594">
            <v>132</v>
          </cell>
          <cell r="Z1594">
            <v>283664204</v>
          </cell>
          <cell r="AA1594">
            <v>272</v>
          </cell>
          <cell r="AB1594">
            <v>648102804</v>
          </cell>
          <cell r="AC1594">
            <v>42.105263157894733</v>
          </cell>
          <cell r="AD1594">
            <v>38.008283318535128</v>
          </cell>
        </row>
        <row r="1595">
          <cell r="C1595">
            <v>3</v>
          </cell>
          <cell r="D1595" t="str">
            <v>00</v>
          </cell>
          <cell r="E1595" t="str">
            <v>04</v>
          </cell>
          <cell r="F1595" t="str">
            <v>01</v>
          </cell>
          <cell r="G1595">
            <v>29</v>
          </cell>
          <cell r="H1595" t="str">
            <v>09</v>
          </cell>
          <cell r="I1595" t="str">
            <v>Diklat Pengelolaan Keuangan Daerah</v>
          </cell>
          <cell r="J1595" t="str">
            <v>Jumlah Pegawai ASN yang mengikuti Diklat Pengelolaan Keuangan Daerah (orang)</v>
          </cell>
          <cell r="K1595">
            <v>150</v>
          </cell>
          <cell r="L1595">
            <v>518158000</v>
          </cell>
          <cell r="M1595">
            <v>0</v>
          </cell>
          <cell r="N1595">
            <v>0</v>
          </cell>
          <cell r="O1595">
            <v>30</v>
          </cell>
          <cell r="P1595">
            <v>143157740</v>
          </cell>
          <cell r="Q1595">
            <v>0</v>
          </cell>
          <cell r="R1595">
            <v>2304000</v>
          </cell>
          <cell r="S1595">
            <v>30</v>
          </cell>
          <cell r="T1595">
            <v>131791600</v>
          </cell>
          <cell r="Y1595">
            <v>30</v>
          </cell>
          <cell r="Z1595">
            <v>134095600</v>
          </cell>
          <cell r="AA1595">
            <v>30</v>
          </cell>
          <cell r="AB1595">
            <v>134095600</v>
          </cell>
          <cell r="AC1595">
            <v>20</v>
          </cell>
          <cell r="AD1595">
            <v>25.879287784806948</v>
          </cell>
        </row>
        <row r="1596">
          <cell r="A1596" t="str">
            <v>Rata-Rata Capaian Kinerja</v>
          </cell>
          <cell r="AC1596">
            <v>51.150762737081692</v>
          </cell>
          <cell r="AD1596">
            <v>39.843733218658002</v>
          </cell>
        </row>
        <row r="1597">
          <cell r="A1597" t="str">
            <v>Peringkat  Kinerja</v>
          </cell>
          <cell r="AC1597" t="str">
            <v>R</v>
          </cell>
          <cell r="AD1597" t="str">
            <v>SR</v>
          </cell>
        </row>
        <row r="1598">
          <cell r="A1598" t="str">
            <v>V</v>
          </cell>
          <cell r="I1598" t="str">
            <v>PENELITIAN DAN PENGEMBANGAN</v>
          </cell>
          <cell r="L1598">
            <v>3514608139</v>
          </cell>
          <cell r="N1598">
            <v>365234000</v>
          </cell>
          <cell r="P1598">
            <v>600645486</v>
          </cell>
          <cell r="R1598">
            <v>52586000</v>
          </cell>
          <cell r="T1598">
            <v>166511738</v>
          </cell>
          <cell r="Z1598">
            <v>219097738</v>
          </cell>
          <cell r="AB1598">
            <v>584331738</v>
          </cell>
        </row>
        <row r="1599">
          <cell r="A1599">
            <v>1</v>
          </cell>
          <cell r="I1599" t="str">
            <v>PROGRAM PENGEMBANGAN SISTEM INOVASI DAERAH</v>
          </cell>
          <cell r="J1599" t="str">
            <v>Terwujudnya sisten inovasi daerah</v>
          </cell>
          <cell r="K1599">
            <v>11.5</v>
          </cell>
          <cell r="L1599">
            <v>892976000</v>
          </cell>
          <cell r="M1599">
            <v>3.5</v>
          </cell>
          <cell r="N1599">
            <v>160434000</v>
          </cell>
          <cell r="O1599">
            <v>5</v>
          </cell>
          <cell r="P1599">
            <v>89825115</v>
          </cell>
          <cell r="Q1599">
            <v>0</v>
          </cell>
          <cell r="R1599">
            <v>4627000</v>
          </cell>
          <cell r="S1599">
            <v>0</v>
          </cell>
          <cell r="T1599">
            <v>7966650</v>
          </cell>
          <cell r="U1599">
            <v>0</v>
          </cell>
          <cell r="V1599">
            <v>0</v>
          </cell>
          <cell r="W1599">
            <v>0</v>
          </cell>
          <cell r="X1599">
            <v>0</v>
          </cell>
          <cell r="Y1599">
            <v>0</v>
          </cell>
          <cell r="Z1599">
            <v>12593650</v>
          </cell>
          <cell r="AA1599">
            <v>3.5</v>
          </cell>
          <cell r="AB1599">
            <v>173027650</v>
          </cell>
          <cell r="AC1599">
            <v>30.434782608695656</v>
          </cell>
          <cell r="AD1599">
            <v>19.37651739800398</v>
          </cell>
          <cell r="AE1599" t="str">
            <v>Bapedalitbang</v>
          </cell>
        </row>
        <row r="1600">
          <cell r="I1600" t="str">
            <v>pengembangan inovasi pada generasi muda</v>
          </cell>
          <cell r="J1600" t="str">
            <v>Terciptanya inovasi pada generasi muda (inovasi)</v>
          </cell>
          <cell r="K1600">
            <v>18</v>
          </cell>
          <cell r="L1600">
            <v>492976000</v>
          </cell>
          <cell r="M1600">
            <v>6</v>
          </cell>
          <cell r="N1600">
            <v>72170000</v>
          </cell>
          <cell r="O1600">
            <v>9</v>
          </cell>
          <cell r="P1600">
            <v>89825115</v>
          </cell>
          <cell r="Q1600">
            <v>0</v>
          </cell>
          <cell r="R1600">
            <v>4627000</v>
          </cell>
          <cell r="S1600">
            <v>0</v>
          </cell>
          <cell r="T1600">
            <v>7966650</v>
          </cell>
          <cell r="U1600">
            <v>0</v>
          </cell>
          <cell r="V1600">
            <v>0</v>
          </cell>
          <cell r="W1600">
            <v>0</v>
          </cell>
          <cell r="X1600">
            <v>0</v>
          </cell>
          <cell r="Y1600">
            <v>0</v>
          </cell>
          <cell r="Z1600">
            <v>12593650</v>
          </cell>
          <cell r="AA1600">
            <v>6</v>
          </cell>
          <cell r="AB1600">
            <v>84763650</v>
          </cell>
          <cell r="AC1600">
            <v>33.333333333333329</v>
          </cell>
          <cell r="AD1600">
            <v>17.194275177696277</v>
          </cell>
        </row>
        <row r="1601">
          <cell r="I1601" t="str">
            <v>Forum Inovasi Daerah</v>
          </cell>
          <cell r="J1601" t="str">
            <v>Terkoordinasinya dewan riset daerah</v>
          </cell>
          <cell r="K1601">
            <v>5</v>
          </cell>
          <cell r="L1601">
            <v>400000000</v>
          </cell>
          <cell r="M1601">
            <v>1</v>
          </cell>
          <cell r="N1601">
            <v>88264000</v>
          </cell>
          <cell r="O1601">
            <v>1</v>
          </cell>
          <cell r="Q1601">
            <v>0</v>
          </cell>
          <cell r="R1601">
            <v>0</v>
          </cell>
          <cell r="S1601">
            <v>0</v>
          </cell>
          <cell r="T1601">
            <v>0</v>
          </cell>
          <cell r="U1601">
            <v>0</v>
          </cell>
          <cell r="V1601">
            <v>0</v>
          </cell>
          <cell r="W1601">
            <v>0</v>
          </cell>
          <cell r="X1601">
            <v>0</v>
          </cell>
          <cell r="Y1601">
            <v>0</v>
          </cell>
          <cell r="Z1601">
            <v>0</v>
          </cell>
          <cell r="AA1601">
            <v>1</v>
          </cell>
          <cell r="AB1601">
            <v>88264000</v>
          </cell>
          <cell r="AC1601">
            <v>20</v>
          </cell>
          <cell r="AD1601">
            <v>22.065999999999999</v>
          </cell>
        </row>
        <row r="1602">
          <cell r="A1602">
            <v>2</v>
          </cell>
          <cell r="I1602" t="str">
            <v>PROGRAM PENELITIAN , PENGEMBANGAN DAN PEMANFAATAN SDM &amp; IPTEK DAERAH</v>
          </cell>
          <cell r="J1602" t="str">
            <v>Terselengaranya kajian kebijakan pembangunan yang berkualitas (jml kajian)</v>
          </cell>
          <cell r="K1602">
            <v>20</v>
          </cell>
          <cell r="L1602">
            <v>2621632139</v>
          </cell>
          <cell r="M1602">
            <v>2</v>
          </cell>
          <cell r="N1602">
            <v>204800000</v>
          </cell>
          <cell r="O1602">
            <v>3</v>
          </cell>
          <cell r="P1602">
            <v>510820371</v>
          </cell>
          <cell r="Q1602">
            <v>0</v>
          </cell>
          <cell r="R1602">
            <v>47959000</v>
          </cell>
          <cell r="S1602">
            <v>0</v>
          </cell>
          <cell r="T1602">
            <v>158545088</v>
          </cell>
          <cell r="U1602">
            <v>0</v>
          </cell>
          <cell r="V1602">
            <v>0</v>
          </cell>
          <cell r="W1602">
            <v>0</v>
          </cell>
          <cell r="X1602">
            <v>0</v>
          </cell>
          <cell r="Y1602">
            <v>0</v>
          </cell>
          <cell r="Z1602">
            <v>206504088</v>
          </cell>
          <cell r="AA1602">
            <v>2</v>
          </cell>
          <cell r="AB1602">
            <v>411304088</v>
          </cell>
          <cell r="AC1602">
            <v>10</v>
          </cell>
          <cell r="AD1602">
            <v>15.688855880325322</v>
          </cell>
          <cell r="AE1602" t="str">
            <v>Bapedalitbang</v>
          </cell>
        </row>
        <row r="1603">
          <cell r="I1603" t="str">
            <v>Koordinasi kelitbangan</v>
          </cell>
          <cell r="J1603" t="str">
            <v>Meningkatnya kerjasama antara pusat, provinsi dan daerah serta peningkatan kinerja daerah (kerjasama)</v>
          </cell>
          <cell r="K1603">
            <v>5</v>
          </cell>
          <cell r="L1603">
            <v>690000000</v>
          </cell>
          <cell r="M1603">
            <v>1</v>
          </cell>
          <cell r="N1603">
            <v>0</v>
          </cell>
          <cell r="O1603">
            <v>1</v>
          </cell>
          <cell r="P1603">
            <v>146708239</v>
          </cell>
          <cell r="Q1603">
            <v>0</v>
          </cell>
          <cell r="R1603">
            <v>18333000</v>
          </cell>
          <cell r="S1603">
            <v>43.98</v>
          </cell>
          <cell r="T1603">
            <v>58290620</v>
          </cell>
          <cell r="U1603">
            <v>0</v>
          </cell>
          <cell r="V1603">
            <v>0</v>
          </cell>
          <cell r="W1603">
            <v>0</v>
          </cell>
          <cell r="X1603">
            <v>0</v>
          </cell>
          <cell r="Y1603">
            <v>43.98</v>
          </cell>
          <cell r="Z1603">
            <v>76623620</v>
          </cell>
          <cell r="AA1603">
            <v>44.98</v>
          </cell>
          <cell r="AB1603">
            <v>76623620</v>
          </cell>
          <cell r="AC1603">
            <v>899.59999999999991</v>
          </cell>
          <cell r="AD1603">
            <v>11.104872463768116</v>
          </cell>
        </row>
        <row r="1604">
          <cell r="I1604" t="str">
            <v>penngkajian pemanfaatan dana desa</v>
          </cell>
          <cell r="J1604" t="str">
            <v>Terwujudnya konsistensi penelitian dan penganggaran dana desa</v>
          </cell>
          <cell r="K1604">
            <v>1</v>
          </cell>
          <cell r="L1604">
            <v>141632139</v>
          </cell>
          <cell r="M1604">
            <v>0</v>
          </cell>
          <cell r="O1604">
            <v>1</v>
          </cell>
          <cell r="P1604">
            <v>141642139</v>
          </cell>
          <cell r="Q1604">
            <v>16.600000000000001</v>
          </cell>
          <cell r="R1604">
            <v>1390000</v>
          </cell>
          <cell r="S1604">
            <v>63.07</v>
          </cell>
          <cell r="T1604">
            <v>5752500</v>
          </cell>
          <cell r="U1604">
            <v>0</v>
          </cell>
          <cell r="V1604">
            <v>0</v>
          </cell>
          <cell r="W1604">
            <v>0</v>
          </cell>
          <cell r="X1604">
            <v>0</v>
          </cell>
          <cell r="Y1604">
            <v>79.67</v>
          </cell>
          <cell r="Z1604">
            <v>7142500</v>
          </cell>
          <cell r="AA1604">
            <v>79.67</v>
          </cell>
          <cell r="AB1604">
            <v>7142500</v>
          </cell>
          <cell r="AC1604">
            <v>7967</v>
          </cell>
          <cell r="AD1604">
            <v>5.0429938080649901</v>
          </cell>
        </row>
        <row r="1605">
          <cell r="I1605" t="str">
            <v>Penguatan kerjasama kelitbangan</v>
          </cell>
          <cell r="J1605" t="str">
            <v>Terhimpunnya informasi untuk pembangunan daerah dan penerapan inovasi yang ada di Kab. Pessel (kerjasama)</v>
          </cell>
          <cell r="K1605">
            <v>4</v>
          </cell>
          <cell r="L1605">
            <v>1000000000</v>
          </cell>
          <cell r="M1605">
            <v>0</v>
          </cell>
          <cell r="N1605">
            <v>15784000</v>
          </cell>
          <cell r="O1605">
            <v>1</v>
          </cell>
          <cell r="P1605">
            <v>140283300</v>
          </cell>
          <cell r="Q1605">
            <v>0</v>
          </cell>
          <cell r="R1605">
            <v>19400000</v>
          </cell>
          <cell r="S1605">
            <v>39.57</v>
          </cell>
          <cell r="T1605">
            <v>46711100</v>
          </cell>
          <cell r="U1605">
            <v>0</v>
          </cell>
          <cell r="V1605">
            <v>0</v>
          </cell>
          <cell r="W1605">
            <v>0</v>
          </cell>
          <cell r="X1605">
            <v>0</v>
          </cell>
          <cell r="Y1605">
            <v>39.57</v>
          </cell>
          <cell r="Z1605">
            <v>66111100</v>
          </cell>
          <cell r="AA1605">
            <v>39.57</v>
          </cell>
          <cell r="AB1605">
            <v>81895100</v>
          </cell>
          <cell r="AC1605">
            <v>989.25</v>
          </cell>
          <cell r="AD1605">
            <v>8.1895100000000003</v>
          </cell>
        </row>
        <row r="1606">
          <cell r="I1606" t="str">
            <v>Penataan kawasan pariwisata berbasis daur ulang</v>
          </cell>
          <cell r="J1606" t="str">
            <v>Terciptanya kawasan wisata yang asri dan nyaman (kawasan)</v>
          </cell>
          <cell r="K1606">
            <v>4</v>
          </cell>
          <cell r="L1606">
            <v>600000000</v>
          </cell>
          <cell r="M1606">
            <v>0</v>
          </cell>
          <cell r="N1606">
            <v>0</v>
          </cell>
          <cell r="O1606">
            <v>1</v>
          </cell>
          <cell r="P1606">
            <v>82186693</v>
          </cell>
          <cell r="Q1606">
            <v>0</v>
          </cell>
          <cell r="R1606">
            <v>4418000</v>
          </cell>
          <cell r="S1606">
            <v>83.43</v>
          </cell>
          <cell r="T1606">
            <v>47790868</v>
          </cell>
          <cell r="U1606">
            <v>0</v>
          </cell>
          <cell r="V1606">
            <v>0</v>
          </cell>
          <cell r="W1606">
            <v>0</v>
          </cell>
          <cell r="X1606">
            <v>0</v>
          </cell>
          <cell r="Y1606">
            <v>83.43</v>
          </cell>
          <cell r="Z1606">
            <v>52208868</v>
          </cell>
          <cell r="AA1606">
            <v>83.43</v>
          </cell>
          <cell r="AB1606">
            <v>52208868</v>
          </cell>
          <cell r="AC1606">
            <v>2085.75</v>
          </cell>
          <cell r="AD1606">
            <v>8.7014779999999998</v>
          </cell>
        </row>
        <row r="1607">
          <cell r="I1607" t="str">
            <v>Kajian strategis pembukaan jalan Kambang Muaro Labuh</v>
          </cell>
          <cell r="J1607" t="str">
            <v>Tersedianya hasil kajian terhadap pembukaan jalan kambang muaro labuah (kajian)</v>
          </cell>
          <cell r="K1607">
            <v>1</v>
          </cell>
          <cell r="L1607">
            <v>190000000</v>
          </cell>
          <cell r="M1607">
            <v>1</v>
          </cell>
          <cell r="N1607">
            <v>189016000</v>
          </cell>
          <cell r="O1607">
            <v>0</v>
          </cell>
          <cell r="P1607">
            <v>0</v>
          </cell>
          <cell r="Q1607">
            <v>0</v>
          </cell>
          <cell r="R1607">
            <v>4418000</v>
          </cell>
          <cell r="S1607">
            <v>0</v>
          </cell>
          <cell r="T1607">
            <v>0</v>
          </cell>
          <cell r="U1607">
            <v>0</v>
          </cell>
          <cell r="V1607">
            <v>0</v>
          </cell>
          <cell r="W1607">
            <v>0</v>
          </cell>
          <cell r="X1607">
            <v>0</v>
          </cell>
          <cell r="Y1607">
            <v>0</v>
          </cell>
          <cell r="Z1607">
            <v>4418000</v>
          </cell>
          <cell r="AA1607">
            <v>1</v>
          </cell>
          <cell r="AB1607">
            <v>193434000</v>
          </cell>
          <cell r="AC1607">
            <v>100</v>
          </cell>
          <cell r="AD1607">
            <v>101.80736842105263</v>
          </cell>
        </row>
        <row r="1608">
          <cell r="A1608" t="str">
            <v>Rata-Rata Capaian Kinerja</v>
          </cell>
          <cell r="AC1608">
            <v>20.217391304347828</v>
          </cell>
          <cell r="AD1608">
            <v>17.532686639164652</v>
          </cell>
        </row>
        <row r="1609">
          <cell r="A1609" t="str">
            <v>Peringkat  Kinerja</v>
          </cell>
          <cell r="AC1609" t="str">
            <v>SR</v>
          </cell>
          <cell r="AD1609" t="str">
            <v>SR</v>
          </cell>
        </row>
        <row r="1610">
          <cell r="I1610" t="str">
            <v>URUSAN PENDUKUNG</v>
          </cell>
        </row>
        <row r="1611">
          <cell r="A1611" t="str">
            <v>I</v>
          </cell>
          <cell r="I1611" t="str">
            <v>SEKRETARIAT DAERAH</v>
          </cell>
          <cell r="L1611">
            <v>150063142013</v>
          </cell>
          <cell r="N1611">
            <v>34023618459</v>
          </cell>
          <cell r="P1611">
            <v>20002361490.450001</v>
          </cell>
          <cell r="R1611">
            <v>2972900020</v>
          </cell>
          <cell r="T1611">
            <v>5815925839</v>
          </cell>
          <cell r="Y1611">
            <v>0</v>
          </cell>
          <cell r="Z1611">
            <v>8788825859</v>
          </cell>
          <cell r="AB1611">
            <v>42812444318</v>
          </cell>
        </row>
        <row r="1612">
          <cell r="A1612">
            <v>1</v>
          </cell>
          <cell r="B1612" t="str">
            <v>Meningkatkan Akuntabilitas Kinerja Instansi Pemerintah</v>
          </cell>
          <cell r="C1612">
            <v>4</v>
          </cell>
          <cell r="D1612" t="str">
            <v>00</v>
          </cell>
          <cell r="E1612" t="str">
            <v>01</v>
          </cell>
          <cell r="F1612" t="str">
            <v>01</v>
          </cell>
          <cell r="I1612" t="str">
            <v>Program Pelayanan Administrasi Perkantoran</v>
          </cell>
          <cell r="J1612" t="str">
            <v>Persentase Peningkatan Pelayanan Administrasi Perkantoran</v>
          </cell>
          <cell r="K1612">
            <v>540</v>
          </cell>
          <cell r="L1612">
            <v>41145348440</v>
          </cell>
          <cell r="M1612">
            <v>170</v>
          </cell>
          <cell r="N1612">
            <v>9136228552</v>
          </cell>
          <cell r="O1612">
            <v>85</v>
          </cell>
          <cell r="P1612">
            <v>5650886503</v>
          </cell>
          <cell r="Q1612">
            <v>25</v>
          </cell>
          <cell r="R1612">
            <v>1163633893</v>
          </cell>
          <cell r="S1612">
            <v>43</v>
          </cell>
          <cell r="T1612">
            <v>2103107188</v>
          </cell>
          <cell r="Y1612">
            <v>68</v>
          </cell>
          <cell r="Z1612">
            <v>3266741081</v>
          </cell>
          <cell r="AA1612">
            <v>195</v>
          </cell>
          <cell r="AB1612">
            <v>12402969633</v>
          </cell>
          <cell r="AC1612">
            <v>36.111111111111107</v>
          </cell>
          <cell r="AD1612">
            <v>30.144281439459842</v>
          </cell>
          <cell r="AE1612" t="str">
            <v>Setda</v>
          </cell>
        </row>
        <row r="1613">
          <cell r="C1613">
            <v>4</v>
          </cell>
          <cell r="D1613" t="str">
            <v>00</v>
          </cell>
          <cell r="E1613" t="str">
            <v>01</v>
          </cell>
          <cell r="F1613" t="str">
            <v>01</v>
          </cell>
          <cell r="G1613" t="str">
            <v>01</v>
          </cell>
          <cell r="I1613" t="str">
            <v>Penyediaan Jasa Surat Menyurat</v>
          </cell>
          <cell r="J1613" t="str">
            <v>Jumlah tagihan pengiriman surat menyurat (bln)</v>
          </cell>
          <cell r="K1613">
            <v>72</v>
          </cell>
          <cell r="L1613">
            <v>1073600000</v>
          </cell>
          <cell r="M1613">
            <v>24</v>
          </cell>
          <cell r="N1613">
            <v>317374060</v>
          </cell>
          <cell r="O1613">
            <v>12</v>
          </cell>
          <cell r="P1613">
            <v>106839619</v>
          </cell>
          <cell r="Q1613">
            <v>3</v>
          </cell>
          <cell r="R1613">
            <v>32058500</v>
          </cell>
          <cell r="S1613">
            <v>3</v>
          </cell>
          <cell r="T1613">
            <v>21435800</v>
          </cell>
          <cell r="Y1613">
            <v>6</v>
          </cell>
          <cell r="Z1613">
            <v>53494300</v>
          </cell>
          <cell r="AA1613">
            <v>30</v>
          </cell>
          <cell r="AB1613">
            <v>370868360</v>
          </cell>
          <cell r="AC1613">
            <v>41.666666666666671</v>
          </cell>
          <cell r="AD1613">
            <v>34.544370342771977</v>
          </cell>
          <cell r="AE1613" t="str">
            <v>Bagian Umum</v>
          </cell>
        </row>
        <row r="1614">
          <cell r="C1614">
            <v>4</v>
          </cell>
          <cell r="D1614" t="str">
            <v>00</v>
          </cell>
          <cell r="E1614" t="str">
            <v>01</v>
          </cell>
          <cell r="F1614" t="str">
            <v>01</v>
          </cell>
          <cell r="G1614" t="str">
            <v>02</v>
          </cell>
          <cell r="I1614" t="str">
            <v>Penyediaan Jasa Komunikasi, Sumber Daya Air dan Listrik</v>
          </cell>
          <cell r="J1614" t="str">
            <v>Jumlah tagihan rekening listrik dan air</v>
          </cell>
          <cell r="K1614">
            <v>72</v>
          </cell>
          <cell r="L1614">
            <v>5700000000</v>
          </cell>
          <cell r="M1614">
            <v>24</v>
          </cell>
          <cell r="N1614">
            <v>1648064396</v>
          </cell>
          <cell r="O1614">
            <v>12</v>
          </cell>
          <cell r="P1614">
            <v>665000000</v>
          </cell>
          <cell r="Q1614">
            <v>3</v>
          </cell>
          <cell r="R1614">
            <v>229157343</v>
          </cell>
          <cell r="S1614">
            <v>3</v>
          </cell>
          <cell r="T1614">
            <v>229378850</v>
          </cell>
          <cell r="Y1614">
            <v>6</v>
          </cell>
          <cell r="Z1614">
            <v>458536193</v>
          </cell>
          <cell r="AA1614">
            <v>27</v>
          </cell>
          <cell r="AB1614">
            <v>2106600589</v>
          </cell>
          <cell r="AC1614">
            <v>37.5</v>
          </cell>
          <cell r="AD1614">
            <v>36.957905070175443</v>
          </cell>
        </row>
        <row r="1615">
          <cell r="C1615">
            <v>4</v>
          </cell>
          <cell r="D1615" t="str">
            <v>00</v>
          </cell>
          <cell r="E1615" t="str">
            <v>01</v>
          </cell>
          <cell r="F1615" t="str">
            <v>01</v>
          </cell>
          <cell r="G1615" t="str">
            <v>03</v>
          </cell>
          <cell r="I1615" t="str">
            <v>Penyediaan Jasa Peralatan dan Perlengkapan Kantor</v>
          </cell>
          <cell r="J1615" t="str">
            <v>Jumlah peralatan dan perlengkapan kantor yang disewa (bln)</v>
          </cell>
          <cell r="K1615">
            <v>72</v>
          </cell>
          <cell r="L1615">
            <v>2152000000</v>
          </cell>
          <cell r="M1615">
            <v>24</v>
          </cell>
          <cell r="N1615">
            <v>357002200</v>
          </cell>
          <cell r="O1615">
            <v>12</v>
          </cell>
          <cell r="P1615">
            <v>194910400</v>
          </cell>
          <cell r="Q1615">
            <v>3</v>
          </cell>
          <cell r="R1615">
            <v>10400000</v>
          </cell>
          <cell r="S1615">
            <v>3</v>
          </cell>
          <cell r="T1615">
            <v>68505000</v>
          </cell>
          <cell r="Y1615">
            <v>6</v>
          </cell>
          <cell r="Z1615">
            <v>78905000</v>
          </cell>
          <cell r="AA1615">
            <v>27</v>
          </cell>
          <cell r="AB1615">
            <v>435907200</v>
          </cell>
          <cell r="AC1615">
            <v>37.5</v>
          </cell>
          <cell r="AD1615">
            <v>20.255910780669144</v>
          </cell>
        </row>
        <row r="1616">
          <cell r="C1616">
            <v>4</v>
          </cell>
          <cell r="D1616" t="str">
            <v>00</v>
          </cell>
          <cell r="E1616" t="str">
            <v>01</v>
          </cell>
          <cell r="F1616" t="str">
            <v>01</v>
          </cell>
          <cell r="G1616" t="str">
            <v>07</v>
          </cell>
          <cell r="I1616" t="str">
            <v>Penyediaan Jasa Administrasi Keuangan</v>
          </cell>
          <cell r="J1616" t="str">
            <v>Jumlah biaya honorarium pengelola keuangan (bln)</v>
          </cell>
          <cell r="K1616">
            <v>72</v>
          </cell>
          <cell r="L1616">
            <v>2325000000</v>
          </cell>
          <cell r="M1616">
            <v>24</v>
          </cell>
          <cell r="N1616">
            <v>582718199</v>
          </cell>
          <cell r="O1616">
            <v>12</v>
          </cell>
          <cell r="P1616">
            <v>233583142.25</v>
          </cell>
          <cell r="Q1616">
            <v>3</v>
          </cell>
          <cell r="R1616">
            <v>38704900</v>
          </cell>
          <cell r="S1616">
            <v>3</v>
          </cell>
          <cell r="T1616">
            <v>39812900</v>
          </cell>
          <cell r="Y1616">
            <v>6</v>
          </cell>
          <cell r="Z1616">
            <v>78517800</v>
          </cell>
          <cell r="AA1616">
            <v>27</v>
          </cell>
          <cell r="AB1616">
            <v>661235999</v>
          </cell>
          <cell r="AC1616">
            <v>37.5</v>
          </cell>
          <cell r="AD1616">
            <v>28.440258021505375</v>
          </cell>
          <cell r="AE1616" t="str">
            <v>Bagian Keuangan</v>
          </cell>
        </row>
        <row r="1617">
          <cell r="C1617">
            <v>4</v>
          </cell>
          <cell r="D1617" t="str">
            <v>00</v>
          </cell>
          <cell r="E1617" t="str">
            <v>01</v>
          </cell>
          <cell r="F1617" t="str">
            <v>01</v>
          </cell>
          <cell r="G1617" t="str">
            <v>08</v>
          </cell>
          <cell r="I1617" t="str">
            <v>Penyediaan Jasa Kebersihan Kantor</v>
          </cell>
          <cell r="J1617" t="str">
            <v>Jumlah biaya honorarium tenaga kebersihan yang dibayarkan (bln)</v>
          </cell>
          <cell r="K1617">
            <v>72</v>
          </cell>
          <cell r="L1617">
            <v>2712200000</v>
          </cell>
          <cell r="M1617">
            <v>24</v>
          </cell>
          <cell r="N1617">
            <v>658604600</v>
          </cell>
          <cell r="O1617">
            <v>12</v>
          </cell>
          <cell r="P1617">
            <v>360000000</v>
          </cell>
          <cell r="Q1617">
            <v>3</v>
          </cell>
          <cell r="R1617">
            <v>700000</v>
          </cell>
          <cell r="S1617">
            <v>3</v>
          </cell>
          <cell r="T1617">
            <v>147325334</v>
          </cell>
          <cell r="Y1617">
            <v>6</v>
          </cell>
          <cell r="Z1617">
            <v>148025334</v>
          </cell>
          <cell r="AA1617">
            <v>27</v>
          </cell>
          <cell r="AB1617">
            <v>806629934</v>
          </cell>
          <cell r="AC1617">
            <v>37.5</v>
          </cell>
          <cell r="AD1617">
            <v>29.740798392448937</v>
          </cell>
        </row>
        <row r="1618">
          <cell r="C1618">
            <v>4</v>
          </cell>
          <cell r="D1618" t="str">
            <v>00</v>
          </cell>
          <cell r="E1618" t="str">
            <v>01</v>
          </cell>
          <cell r="F1618" t="str">
            <v>01</v>
          </cell>
          <cell r="G1618" t="str">
            <v>09</v>
          </cell>
          <cell r="I1618" t="str">
            <v>Penyediaan Jasa Perbaikan Peralatan Kerja</v>
          </cell>
          <cell r="J1618" t="str">
            <v>Jumlah peralatan kerja yang diperbaiki (bln)</v>
          </cell>
          <cell r="K1618">
            <v>72</v>
          </cell>
          <cell r="L1618">
            <v>723500000</v>
          </cell>
          <cell r="M1618">
            <v>24</v>
          </cell>
          <cell r="N1618">
            <v>162058000</v>
          </cell>
          <cell r="O1618">
            <v>12</v>
          </cell>
          <cell r="P1618">
            <v>59787200</v>
          </cell>
          <cell r="Q1618">
            <v>3</v>
          </cell>
          <cell r="R1618">
            <v>21219000</v>
          </cell>
          <cell r="S1618">
            <v>3</v>
          </cell>
          <cell r="T1618">
            <v>28093000</v>
          </cell>
          <cell r="Y1618">
            <v>6</v>
          </cell>
          <cell r="Z1618">
            <v>49312000</v>
          </cell>
          <cell r="AA1618">
            <v>27</v>
          </cell>
          <cell r="AB1618">
            <v>211370000</v>
          </cell>
          <cell r="AC1618">
            <v>37.5</v>
          </cell>
          <cell r="AD1618">
            <v>29.214927436074639</v>
          </cell>
        </row>
        <row r="1619">
          <cell r="C1619">
            <v>4</v>
          </cell>
          <cell r="D1619" t="str">
            <v>00</v>
          </cell>
          <cell r="E1619" t="str">
            <v>01</v>
          </cell>
          <cell r="F1619" t="str">
            <v>01</v>
          </cell>
          <cell r="G1619" t="str">
            <v>12</v>
          </cell>
          <cell r="I1619" t="str">
            <v>Penyediaan Komponen Instalasi Listrik / Penerangan Bangunan Kantor</v>
          </cell>
          <cell r="J1619" t="str">
            <v>Jumlah komponen instalasi listrik/penerangan bangunan (bln)</v>
          </cell>
          <cell r="K1619">
            <v>72</v>
          </cell>
          <cell r="L1619">
            <v>425800000</v>
          </cell>
          <cell r="M1619">
            <v>24</v>
          </cell>
          <cell r="N1619">
            <v>97112700</v>
          </cell>
          <cell r="O1619">
            <v>12</v>
          </cell>
          <cell r="P1619">
            <v>67182000</v>
          </cell>
          <cell r="Q1619">
            <v>3</v>
          </cell>
          <cell r="R1619">
            <v>5507000</v>
          </cell>
          <cell r="S1619">
            <v>3</v>
          </cell>
          <cell r="T1619">
            <v>25688500</v>
          </cell>
          <cell r="Y1619">
            <v>6</v>
          </cell>
          <cell r="Z1619">
            <v>31195500</v>
          </cell>
          <cell r="AA1619">
            <v>27</v>
          </cell>
          <cell r="AB1619">
            <v>128308200</v>
          </cell>
          <cell r="AC1619">
            <v>37.5</v>
          </cell>
          <cell r="AD1619">
            <v>30.133442930953496</v>
          </cell>
        </row>
        <row r="1620">
          <cell r="C1620">
            <v>4</v>
          </cell>
          <cell r="D1620" t="str">
            <v>00</v>
          </cell>
          <cell r="E1620" t="str">
            <v>01</v>
          </cell>
          <cell r="F1620" t="str">
            <v>01</v>
          </cell>
          <cell r="G1620" t="str">
            <v>13</v>
          </cell>
          <cell r="I1620" t="str">
            <v>Penyediaan Peralatan dan Perlengkapan Kantor</v>
          </cell>
          <cell r="J1620" t="str">
            <v>Jumlah peralatan dan perlengkapan kantor yang disediakan (bln)</v>
          </cell>
          <cell r="K1620">
            <v>600</v>
          </cell>
          <cell r="L1620">
            <v>355700000</v>
          </cell>
          <cell r="M1620">
            <v>200</v>
          </cell>
          <cell r="N1620">
            <v>100692250</v>
          </cell>
          <cell r="O1620">
            <v>100</v>
          </cell>
          <cell r="P1620">
            <v>49336193</v>
          </cell>
          <cell r="Q1620">
            <v>3</v>
          </cell>
          <cell r="R1620">
            <v>15204000</v>
          </cell>
          <cell r="S1620">
            <v>3</v>
          </cell>
          <cell r="T1620">
            <v>15991500</v>
          </cell>
          <cell r="Y1620">
            <v>6</v>
          </cell>
          <cell r="Z1620">
            <v>31195500</v>
          </cell>
          <cell r="AA1620">
            <v>203</v>
          </cell>
          <cell r="AB1620">
            <v>131887750</v>
          </cell>
          <cell r="AC1620">
            <v>33.833333333333329</v>
          </cell>
          <cell r="AD1620">
            <v>37.078366601068311</v>
          </cell>
        </row>
        <row r="1621">
          <cell r="C1621">
            <v>4</v>
          </cell>
          <cell r="D1621" t="str">
            <v>00</v>
          </cell>
          <cell r="E1621" t="str">
            <v>01</v>
          </cell>
          <cell r="F1621" t="str">
            <v>01</v>
          </cell>
          <cell r="G1621" t="str">
            <v>17</v>
          </cell>
          <cell r="I1621" t="str">
            <v>Penyediaan Makanan dan Minuman</v>
          </cell>
          <cell r="J1621" t="str">
            <v>Jumlah biaya jamuan makan dan minum (bln)</v>
          </cell>
          <cell r="K1621">
            <v>72</v>
          </cell>
          <cell r="L1621">
            <v>10172548440</v>
          </cell>
          <cell r="M1621">
            <v>24</v>
          </cell>
          <cell r="N1621">
            <v>2867903760</v>
          </cell>
          <cell r="O1621">
            <v>12</v>
          </cell>
          <cell r="P1621">
            <v>1651390200</v>
          </cell>
          <cell r="Q1621">
            <v>3</v>
          </cell>
          <cell r="R1621">
            <v>339088890</v>
          </cell>
          <cell r="S1621">
            <v>3</v>
          </cell>
          <cell r="T1621">
            <v>938895425</v>
          </cell>
          <cell r="Y1621">
            <v>6</v>
          </cell>
          <cell r="Z1621">
            <v>1277984315</v>
          </cell>
          <cell r="AA1621">
            <v>27</v>
          </cell>
          <cell r="AB1621">
            <v>4145888075</v>
          </cell>
          <cell r="AC1621">
            <v>37.5</v>
          </cell>
          <cell r="AD1621">
            <v>40.755648394828384</v>
          </cell>
        </row>
        <row r="1622">
          <cell r="C1622">
            <v>4</v>
          </cell>
          <cell r="D1622" t="str">
            <v>00</v>
          </cell>
          <cell r="E1622" t="str">
            <v>01</v>
          </cell>
          <cell r="F1622" t="str">
            <v>01</v>
          </cell>
          <cell r="G1622" t="str">
            <v>18</v>
          </cell>
          <cell r="I1622" t="str">
            <v>Rapat-rapat Koordinasi dan Konsultasi ke Luar Daerah</v>
          </cell>
          <cell r="J1622" t="str">
            <v>Jumlah Koordinasi dan Konsultasi ke luar daerah yang diikuti (bln)</v>
          </cell>
          <cell r="K1622">
            <v>72</v>
          </cell>
          <cell r="L1622">
            <v>3850000000</v>
          </cell>
          <cell r="M1622">
            <v>24</v>
          </cell>
          <cell r="N1622">
            <v>1186276775</v>
          </cell>
          <cell r="O1622">
            <v>12</v>
          </cell>
          <cell r="P1622">
            <v>238537600</v>
          </cell>
          <cell r="Q1622">
            <v>3</v>
          </cell>
          <cell r="R1622">
            <v>29704000</v>
          </cell>
          <cell r="S1622">
            <v>3</v>
          </cell>
          <cell r="T1622">
            <v>64010000</v>
          </cell>
          <cell r="Y1622">
            <v>6</v>
          </cell>
          <cell r="Z1622">
            <v>93714000</v>
          </cell>
          <cell r="AA1622">
            <v>27</v>
          </cell>
          <cell r="AB1622">
            <v>1279990775</v>
          </cell>
          <cell r="AC1622">
            <v>37.5</v>
          </cell>
          <cell r="AD1622">
            <v>33.24651363636363</v>
          </cell>
        </row>
        <row r="1623">
          <cell r="C1623">
            <v>4</v>
          </cell>
          <cell r="D1623" t="str">
            <v>00</v>
          </cell>
          <cell r="E1623" t="str">
            <v>01</v>
          </cell>
          <cell r="F1623" t="str">
            <v>01</v>
          </cell>
          <cell r="G1623" t="str">
            <v>20</v>
          </cell>
          <cell r="I1623" t="str">
            <v>Rapat-rapat Koordinasi dan Konsultasi Dalam Daerah</v>
          </cell>
          <cell r="J1623" t="str">
            <v>Jumlah Koordinasi dan Konsultasi ke dalam daerah yang diikuti (bln)</v>
          </cell>
          <cell r="K1623">
            <v>72</v>
          </cell>
          <cell r="L1623">
            <v>550000000</v>
          </cell>
          <cell r="M1623">
            <v>24</v>
          </cell>
          <cell r="N1623">
            <v>138384750</v>
          </cell>
          <cell r="O1623">
            <v>12</v>
          </cell>
          <cell r="P1623">
            <v>73656000</v>
          </cell>
          <cell r="Q1623">
            <v>3</v>
          </cell>
          <cell r="R1623">
            <v>26772500</v>
          </cell>
          <cell r="S1623">
            <v>3</v>
          </cell>
          <cell r="T1623">
            <v>42665000</v>
          </cell>
          <cell r="Y1623">
            <v>6</v>
          </cell>
          <cell r="Z1623">
            <v>69437500</v>
          </cell>
          <cell r="AA1623">
            <v>27</v>
          </cell>
          <cell r="AB1623">
            <v>207822250</v>
          </cell>
          <cell r="AC1623">
            <v>37.5</v>
          </cell>
          <cell r="AD1623">
            <v>37.785863636363636</v>
          </cell>
        </row>
        <row r="1624">
          <cell r="C1624">
            <v>4</v>
          </cell>
          <cell r="D1624" t="str">
            <v>00</v>
          </cell>
          <cell r="E1624" t="str">
            <v>01</v>
          </cell>
          <cell r="F1624" t="str">
            <v>01</v>
          </cell>
          <cell r="G1624" t="str">
            <v>22</v>
          </cell>
          <cell r="I1624" t="str">
            <v xml:space="preserve">Penunjang Operasional Perencanaan dan Pelaporan </v>
          </cell>
          <cell r="J1624" t="str">
            <v>Jumlah Dokumen Perencanaan dan Pelaporan Sekretariat Daerah (bln)</v>
          </cell>
          <cell r="K1624">
            <v>36</v>
          </cell>
          <cell r="L1624">
            <v>1225000000</v>
          </cell>
          <cell r="M1624">
            <v>12</v>
          </cell>
          <cell r="N1624">
            <v>278594150</v>
          </cell>
          <cell r="O1624">
            <v>6</v>
          </cell>
          <cell r="P1624">
            <v>65096698.5</v>
          </cell>
          <cell r="Q1624">
            <v>2</v>
          </cell>
          <cell r="R1624">
            <v>7324800</v>
          </cell>
          <cell r="S1624">
            <v>2</v>
          </cell>
          <cell r="T1624">
            <v>32838700</v>
          </cell>
          <cell r="Y1624">
            <v>4</v>
          </cell>
          <cell r="Z1624">
            <v>40163500</v>
          </cell>
          <cell r="AA1624">
            <v>14</v>
          </cell>
          <cell r="AB1624">
            <v>318757650</v>
          </cell>
          <cell r="AC1624">
            <v>38.888888888888893</v>
          </cell>
          <cell r="AD1624">
            <v>26.021032653061226</v>
          </cell>
          <cell r="AE1624" t="str">
            <v>Bagian Keuangan</v>
          </cell>
        </row>
        <row r="1625">
          <cell r="C1625">
            <v>4</v>
          </cell>
          <cell r="D1625" t="str">
            <v>00</v>
          </cell>
          <cell r="E1625" t="str">
            <v>01</v>
          </cell>
          <cell r="F1625" t="str">
            <v>01</v>
          </cell>
          <cell r="G1625" t="str">
            <v>27</v>
          </cell>
          <cell r="I1625" t="str">
            <v>Penyediaan  Jasa Tenaga Kerja Non PNS</v>
          </cell>
          <cell r="J1625" t="str">
            <v>Jumlah tenaga kerja kontrak yang dibayarkan (bln)</v>
          </cell>
          <cell r="K1625">
            <v>60</v>
          </cell>
          <cell r="L1625">
            <v>960000000</v>
          </cell>
          <cell r="M1625">
            <v>24</v>
          </cell>
          <cell r="N1625">
            <v>174885200</v>
          </cell>
          <cell r="O1625">
            <v>12</v>
          </cell>
          <cell r="P1625">
            <v>166185686.25</v>
          </cell>
          <cell r="Q1625">
            <v>12</v>
          </cell>
          <cell r="R1625">
            <v>27000000</v>
          </cell>
          <cell r="S1625">
            <v>3</v>
          </cell>
          <cell r="T1625">
            <v>67500000</v>
          </cell>
          <cell r="Y1625">
            <v>15</v>
          </cell>
          <cell r="Z1625">
            <v>94500000</v>
          </cell>
          <cell r="AA1625">
            <v>36</v>
          </cell>
          <cell r="AB1625">
            <v>269385200</v>
          </cell>
          <cell r="AC1625">
            <v>60</v>
          </cell>
          <cell r="AD1625">
            <v>28.060958333333335</v>
          </cell>
        </row>
        <row r="1626">
          <cell r="C1626">
            <v>4</v>
          </cell>
          <cell r="D1626" t="str">
            <v>00</v>
          </cell>
          <cell r="E1626" t="str">
            <v>01</v>
          </cell>
          <cell r="F1626" t="str">
            <v>01</v>
          </cell>
          <cell r="G1626" t="str">
            <v>35</v>
          </cell>
          <cell r="I1626" t="str">
            <v>Penyusunan dan Finalisasi Laporan Keuangan</v>
          </cell>
          <cell r="J1626" t="str">
            <v>Jumlah Laporan Keuangan yang disusun (bln)</v>
          </cell>
          <cell r="K1626">
            <v>35</v>
          </cell>
          <cell r="L1626">
            <v>1120000000</v>
          </cell>
          <cell r="M1626">
            <v>14</v>
          </cell>
          <cell r="N1626">
            <v>183523758</v>
          </cell>
          <cell r="O1626">
            <v>7</v>
          </cell>
          <cell r="P1626">
            <v>209787764</v>
          </cell>
          <cell r="Q1626">
            <v>2</v>
          </cell>
          <cell r="R1626">
            <v>24948709</v>
          </cell>
          <cell r="S1626">
            <v>2</v>
          </cell>
          <cell r="T1626">
            <v>39671650</v>
          </cell>
          <cell r="Y1626">
            <v>4</v>
          </cell>
          <cell r="Z1626">
            <v>64620359</v>
          </cell>
          <cell r="AA1626">
            <v>16</v>
          </cell>
          <cell r="AB1626">
            <v>248144117</v>
          </cell>
          <cell r="AC1626">
            <v>45.714285714285715</v>
          </cell>
          <cell r="AD1626">
            <v>22.155724732142858</v>
          </cell>
        </row>
        <row r="1627">
          <cell r="C1627">
            <v>4</v>
          </cell>
          <cell r="D1627" t="str">
            <v>00</v>
          </cell>
          <cell r="E1627" t="str">
            <v>01</v>
          </cell>
          <cell r="F1627" t="str">
            <v>01</v>
          </cell>
          <cell r="G1627" t="str">
            <v>47</v>
          </cell>
          <cell r="I1627" t="str">
            <v xml:space="preserve">Rapat-rapat Koordinasi dan Konsultasi ke Luar Provinsi </v>
          </cell>
          <cell r="J1627" t="str">
            <v>Jumlah Koordinasi dan Konsultasi ke Luar Provinsi yang diikuti (bln)</v>
          </cell>
          <cell r="K1627">
            <v>54</v>
          </cell>
          <cell r="L1627">
            <v>7800000000</v>
          </cell>
          <cell r="M1627">
            <v>6</v>
          </cell>
          <cell r="N1627">
            <v>383033754</v>
          </cell>
          <cell r="O1627">
            <v>12</v>
          </cell>
          <cell r="P1627">
            <v>1509594000</v>
          </cell>
          <cell r="Q1627">
            <v>3</v>
          </cell>
          <cell r="R1627">
            <v>355844251</v>
          </cell>
          <cell r="S1627">
            <v>3</v>
          </cell>
          <cell r="T1627">
            <v>341295529</v>
          </cell>
          <cell r="Y1627">
            <v>6</v>
          </cell>
          <cell r="Z1627">
            <v>697139780</v>
          </cell>
          <cell r="AA1627">
            <v>9</v>
          </cell>
          <cell r="AB1627">
            <v>1080173534</v>
          </cell>
          <cell r="AC1627">
            <v>16.666666666666664</v>
          </cell>
          <cell r="AD1627">
            <v>13.848378641025642</v>
          </cell>
        </row>
        <row r="1628">
          <cell r="A1628">
            <v>2</v>
          </cell>
          <cell r="B1628" t="str">
            <v>Meningkatkan Akuntabilitas Kinerja Instansi Pemerintah</v>
          </cell>
          <cell r="C1628">
            <v>4</v>
          </cell>
          <cell r="D1628" t="str">
            <v>00</v>
          </cell>
          <cell r="E1628" t="str">
            <v>01</v>
          </cell>
          <cell r="F1628" t="str">
            <v>02</v>
          </cell>
          <cell r="I1628" t="str">
            <v>Program Peningkatan Sarana dan Prasarana Aparatur</v>
          </cell>
          <cell r="J1628" t="str">
            <v>Persentase Peningkatan Sarana dan Prasarana Aparatur</v>
          </cell>
          <cell r="K1628">
            <v>540</v>
          </cell>
          <cell r="L1628">
            <v>31855400000</v>
          </cell>
          <cell r="M1628">
            <v>170</v>
          </cell>
          <cell r="N1628">
            <v>6277248531</v>
          </cell>
          <cell r="O1628">
            <v>85</v>
          </cell>
          <cell r="P1628">
            <v>4740017441</v>
          </cell>
          <cell r="Q1628">
            <v>98</v>
          </cell>
          <cell r="R1628">
            <v>643716254</v>
          </cell>
          <cell r="S1628">
            <v>210</v>
          </cell>
          <cell r="T1628">
            <v>1297986693</v>
          </cell>
          <cell r="Y1628">
            <v>308</v>
          </cell>
          <cell r="Z1628">
            <v>1941702947</v>
          </cell>
          <cell r="AA1628">
            <v>268</v>
          </cell>
          <cell r="AB1628">
            <v>8218951478</v>
          </cell>
          <cell r="AC1628">
            <v>49.629629629629626</v>
          </cell>
          <cell r="AD1628">
            <v>25.800810782473299</v>
          </cell>
        </row>
        <row r="1629">
          <cell r="C1629">
            <v>4</v>
          </cell>
          <cell r="D1629" t="str">
            <v>00</v>
          </cell>
          <cell r="E1629" t="str">
            <v>01</v>
          </cell>
          <cell r="F1629" t="str">
            <v>02</v>
          </cell>
          <cell r="G1629" t="str">
            <v>05</v>
          </cell>
          <cell r="I1629" t="str">
            <v>Pengadaan Kendaraan Dinas/Operasional</v>
          </cell>
          <cell r="J1629" t="str">
            <v>Jumlah kendaraan dinas roda 2 (unit)</v>
          </cell>
          <cell r="K1629">
            <v>13</v>
          </cell>
          <cell r="L1629">
            <v>340000000</v>
          </cell>
          <cell r="M1629">
            <v>2</v>
          </cell>
          <cell r="N1629">
            <v>31590000</v>
          </cell>
          <cell r="O1629">
            <v>2</v>
          </cell>
          <cell r="P1629">
            <v>36500000</v>
          </cell>
          <cell r="S1629">
            <v>0</v>
          </cell>
          <cell r="Y1629">
            <v>0</v>
          </cell>
          <cell r="Z1629">
            <v>0</v>
          </cell>
          <cell r="AA1629">
            <v>2</v>
          </cell>
          <cell r="AB1629">
            <v>31590000</v>
          </cell>
          <cell r="AC1629">
            <v>15.384615384615385</v>
          </cell>
          <cell r="AD1629">
            <v>9.2911764705882351</v>
          </cell>
          <cell r="AE1629" t="str">
            <v>Bagian Umum</v>
          </cell>
        </row>
        <row r="1630">
          <cell r="C1630">
            <v>4</v>
          </cell>
          <cell r="D1630" t="str">
            <v>00</v>
          </cell>
          <cell r="E1630" t="str">
            <v>01</v>
          </cell>
          <cell r="F1630" t="str">
            <v>02</v>
          </cell>
          <cell r="G1630" t="str">
            <v>06</v>
          </cell>
          <cell r="I1630" t="str">
            <v>Pengadaan Perlengkapan Rumah Jabatan/Dinas</v>
          </cell>
          <cell r="J1630" t="str">
            <v>Jumlah Pengadaan Perlengkapan Rumah Jabatan/Dinas</v>
          </cell>
          <cell r="K1630">
            <v>400</v>
          </cell>
          <cell r="L1630">
            <v>3690000000</v>
          </cell>
          <cell r="O1630">
            <v>100</v>
          </cell>
          <cell r="P1630">
            <v>839659000</v>
          </cell>
          <cell r="Q1630">
            <v>25</v>
          </cell>
          <cell r="R1630">
            <v>131402540</v>
          </cell>
          <cell r="S1630">
            <v>28</v>
          </cell>
          <cell r="T1630">
            <v>248756800</v>
          </cell>
          <cell r="Y1630">
            <v>53</v>
          </cell>
          <cell r="Z1630">
            <v>380159340</v>
          </cell>
          <cell r="AA1630">
            <v>25</v>
          </cell>
          <cell r="AB1630">
            <v>380159340</v>
          </cell>
          <cell r="AC1630">
            <v>6.25</v>
          </cell>
          <cell r="AD1630">
            <v>10.302421138211383</v>
          </cell>
        </row>
        <row r="1631">
          <cell r="C1631">
            <v>4</v>
          </cell>
          <cell r="D1631" t="str">
            <v>00</v>
          </cell>
          <cell r="E1631" t="str">
            <v>01</v>
          </cell>
          <cell r="F1631" t="str">
            <v>02</v>
          </cell>
          <cell r="G1631" t="str">
            <v>08</v>
          </cell>
          <cell r="I1631" t="str">
            <v>Pengadaan Peralatan Rumah Jabatan/ Dinas</v>
          </cell>
          <cell r="J1631" t="str">
            <v>Jumlah Pengadaan Peralatan Rumah Jabatan/Dinas</v>
          </cell>
          <cell r="K1631">
            <v>600</v>
          </cell>
          <cell r="L1631">
            <v>492500000</v>
          </cell>
          <cell r="M1631">
            <v>200</v>
          </cell>
          <cell r="N1631">
            <v>118661000</v>
          </cell>
          <cell r="O1631">
            <v>100</v>
          </cell>
          <cell r="P1631">
            <v>65000000</v>
          </cell>
          <cell r="R1631">
            <v>0</v>
          </cell>
          <cell r="S1631">
            <v>0</v>
          </cell>
          <cell r="T1631">
            <v>0</v>
          </cell>
          <cell r="Y1631">
            <v>0</v>
          </cell>
          <cell r="Z1631">
            <v>0</v>
          </cell>
          <cell r="AA1631">
            <v>200</v>
          </cell>
          <cell r="AB1631">
            <v>118661000</v>
          </cell>
          <cell r="AC1631">
            <v>33.333333333333329</v>
          </cell>
          <cell r="AD1631">
            <v>24.093604060913705</v>
          </cell>
        </row>
        <row r="1632">
          <cell r="C1632">
            <v>4</v>
          </cell>
          <cell r="D1632" t="str">
            <v>00</v>
          </cell>
          <cell r="E1632" t="str">
            <v>01</v>
          </cell>
          <cell r="F1632" t="str">
            <v>02</v>
          </cell>
          <cell r="G1632" t="str">
            <v>09</v>
          </cell>
          <cell r="I1632" t="str">
            <v>Pengadaan Peralatan Gedung Kantor</v>
          </cell>
          <cell r="J1632" t="str">
            <v>Jumlah pengadaan peralatan gedung kantor</v>
          </cell>
          <cell r="K1632">
            <v>600</v>
          </cell>
          <cell r="L1632">
            <v>3400000000</v>
          </cell>
          <cell r="M1632">
            <v>200</v>
          </cell>
          <cell r="N1632">
            <v>1089301100</v>
          </cell>
          <cell r="O1632">
            <v>100</v>
          </cell>
          <cell r="P1632">
            <v>297386421</v>
          </cell>
          <cell r="Q1632">
            <v>8</v>
          </cell>
          <cell r="R1632">
            <v>17765000</v>
          </cell>
          <cell r="S1632">
            <v>8</v>
          </cell>
          <cell r="T1632">
            <v>1500000</v>
          </cell>
          <cell r="Y1632">
            <v>16</v>
          </cell>
          <cell r="Z1632">
            <v>19265000</v>
          </cell>
          <cell r="AA1632">
            <v>208</v>
          </cell>
          <cell r="AB1632">
            <v>1108566100</v>
          </cell>
          <cell r="AC1632">
            <v>34.666666666666671</v>
          </cell>
          <cell r="AD1632">
            <v>32.604885294117651</v>
          </cell>
        </row>
        <row r="1633">
          <cell r="C1633">
            <v>4</v>
          </cell>
          <cell r="D1633" t="str">
            <v>00</v>
          </cell>
          <cell r="E1633" t="str">
            <v>01</v>
          </cell>
          <cell r="F1633" t="str">
            <v>02</v>
          </cell>
          <cell r="G1633" t="str">
            <v>10</v>
          </cell>
          <cell r="I1633" t="str">
            <v>Pengadaan Meubileur</v>
          </cell>
          <cell r="J1633" t="str">
            <v xml:space="preserve">Jumlah Pengadaan Meubiler </v>
          </cell>
          <cell r="K1633">
            <v>600</v>
          </cell>
          <cell r="L1633">
            <v>1156000000</v>
          </cell>
          <cell r="M1633">
            <v>200</v>
          </cell>
          <cell r="N1633">
            <v>388700000</v>
          </cell>
          <cell r="O1633">
            <v>100</v>
          </cell>
          <cell r="P1633">
            <v>140000000</v>
          </cell>
          <cell r="Q1633">
            <v>10</v>
          </cell>
          <cell r="R1633">
            <v>700000</v>
          </cell>
          <cell r="S1633">
            <v>88</v>
          </cell>
          <cell r="T1633">
            <v>134000000</v>
          </cell>
          <cell r="Y1633">
            <v>98</v>
          </cell>
          <cell r="Z1633">
            <v>134700000</v>
          </cell>
          <cell r="AA1633">
            <v>210</v>
          </cell>
          <cell r="AB1633">
            <v>523400000</v>
          </cell>
          <cell r="AC1633">
            <v>35</v>
          </cell>
          <cell r="AD1633">
            <v>45.27681660899654</v>
          </cell>
        </row>
        <row r="1634">
          <cell r="C1634">
            <v>4</v>
          </cell>
          <cell r="D1634" t="str">
            <v>00</v>
          </cell>
          <cell r="E1634" t="str">
            <v>01</v>
          </cell>
          <cell r="F1634" t="str">
            <v>02</v>
          </cell>
          <cell r="G1634" t="str">
            <v>18</v>
          </cell>
          <cell r="I1634" t="str">
            <v>Pemeliharaan Rutin/Berkala Peralatan Rumah Dinas/Jabatan</v>
          </cell>
          <cell r="J1634" t="str">
            <v>Jumlah Pemeliharaan Peralatan Rumah Dinas/Jabatan</v>
          </cell>
          <cell r="K1634">
            <v>400</v>
          </cell>
          <cell r="L1634">
            <v>1290000000</v>
          </cell>
          <cell r="N1634">
            <v>216867245</v>
          </cell>
          <cell r="O1634">
            <v>100</v>
          </cell>
          <cell r="P1634">
            <v>207600000</v>
          </cell>
          <cell r="Q1634">
            <v>10</v>
          </cell>
          <cell r="R1634">
            <v>8587600</v>
          </cell>
          <cell r="S1634">
            <v>20</v>
          </cell>
          <cell r="T1634">
            <v>28123400</v>
          </cell>
          <cell r="Y1634">
            <v>30</v>
          </cell>
          <cell r="Z1634">
            <v>36711000</v>
          </cell>
          <cell r="AA1634">
            <v>10</v>
          </cell>
          <cell r="AB1634">
            <v>253578245</v>
          </cell>
          <cell r="AC1634">
            <v>2.5</v>
          </cell>
          <cell r="AD1634">
            <v>19.657228294573642</v>
          </cell>
        </row>
        <row r="1635">
          <cell r="C1635">
            <v>4</v>
          </cell>
          <cell r="D1635" t="str">
            <v>00</v>
          </cell>
          <cell r="E1635" t="str">
            <v>01</v>
          </cell>
          <cell r="F1635" t="str">
            <v>02</v>
          </cell>
          <cell r="G1635" t="str">
            <v>20</v>
          </cell>
          <cell r="I1635" t="str">
            <v>Pemeliharaan Rutin/Berkala Rumah Jabatan</v>
          </cell>
          <cell r="J1635" t="str">
            <v>Jumlah pemeliharaan Rumah Jabatan</v>
          </cell>
          <cell r="K1635">
            <v>400</v>
          </cell>
          <cell r="L1635">
            <v>3350000000</v>
          </cell>
          <cell r="O1635">
            <v>100</v>
          </cell>
          <cell r="P1635">
            <v>661300000</v>
          </cell>
          <cell r="Q1635">
            <v>10</v>
          </cell>
          <cell r="R1635">
            <v>10141000</v>
          </cell>
          <cell r="S1635">
            <v>10</v>
          </cell>
          <cell r="T1635">
            <v>113008870</v>
          </cell>
          <cell r="Y1635">
            <v>20</v>
          </cell>
          <cell r="Z1635">
            <v>123149870</v>
          </cell>
          <cell r="AA1635">
            <v>10</v>
          </cell>
          <cell r="AB1635">
            <v>123149870</v>
          </cell>
          <cell r="AC1635">
            <v>2.5</v>
          </cell>
          <cell r="AD1635">
            <v>3.6761155223880597</v>
          </cell>
        </row>
        <row r="1636">
          <cell r="C1636">
            <v>4</v>
          </cell>
          <cell r="D1636" t="str">
            <v>00</v>
          </cell>
          <cell r="E1636" t="str">
            <v>01</v>
          </cell>
          <cell r="F1636" t="str">
            <v>02</v>
          </cell>
          <cell r="G1636" t="str">
            <v>21</v>
          </cell>
          <cell r="I1636" t="str">
            <v>Pemeliharaan Rutin / Berkala Rumah Dinas</v>
          </cell>
          <cell r="J1636" t="str">
            <v xml:space="preserve">Jumlah pemeliharaan rumah dinas </v>
          </cell>
          <cell r="K1636">
            <v>600</v>
          </cell>
          <cell r="L1636">
            <v>3592000000</v>
          </cell>
          <cell r="M1636">
            <v>200</v>
          </cell>
          <cell r="N1636">
            <v>951723500</v>
          </cell>
          <cell r="O1636">
            <v>100</v>
          </cell>
          <cell r="P1636">
            <v>413519840</v>
          </cell>
          <cell r="Q1636">
            <v>10</v>
          </cell>
          <cell r="R1636">
            <v>102812500</v>
          </cell>
          <cell r="S1636">
            <v>20</v>
          </cell>
          <cell r="T1636">
            <v>122750000</v>
          </cell>
          <cell r="Y1636">
            <v>30</v>
          </cell>
          <cell r="Z1636">
            <v>225562500</v>
          </cell>
          <cell r="AA1636">
            <v>210</v>
          </cell>
          <cell r="AB1636">
            <v>1177286000</v>
          </cell>
          <cell r="AC1636">
            <v>35</v>
          </cell>
          <cell r="AD1636">
            <v>32.775222717149219</v>
          </cell>
        </row>
        <row r="1637">
          <cell r="C1637">
            <v>4</v>
          </cell>
          <cell r="D1637" t="str">
            <v>00</v>
          </cell>
          <cell r="E1637" t="str">
            <v>01</v>
          </cell>
          <cell r="F1637" t="str">
            <v>02</v>
          </cell>
          <cell r="G1637" t="str">
            <v>22</v>
          </cell>
          <cell r="I1637" t="str">
            <v>Pemeliharaan Rutin/ Berkala Gedung Kantor</v>
          </cell>
          <cell r="J1637" t="str">
            <v>Jumlah pemeliharaan gedung kantor</v>
          </cell>
          <cell r="K1637">
            <v>600</v>
          </cell>
          <cell r="L1637">
            <v>5323000000</v>
          </cell>
          <cell r="M1637">
            <v>200</v>
          </cell>
          <cell r="N1637">
            <v>1733468978</v>
          </cell>
          <cell r="O1637">
            <v>100</v>
          </cell>
          <cell r="P1637">
            <v>559873170</v>
          </cell>
          <cell r="Q1637">
            <v>10</v>
          </cell>
          <cell r="R1637">
            <v>12620000</v>
          </cell>
          <cell r="S1637">
            <v>25</v>
          </cell>
          <cell r="T1637">
            <v>189523850</v>
          </cell>
          <cell r="Y1637">
            <v>35</v>
          </cell>
          <cell r="Z1637">
            <v>202143850</v>
          </cell>
          <cell r="AA1637">
            <v>210</v>
          </cell>
          <cell r="AB1637">
            <v>1935612828</v>
          </cell>
          <cell r="AC1637">
            <v>35</v>
          </cell>
          <cell r="AD1637">
            <v>36.363194213789221</v>
          </cell>
        </row>
        <row r="1638">
          <cell r="C1638">
            <v>4</v>
          </cell>
          <cell r="D1638" t="str">
            <v>00</v>
          </cell>
          <cell r="E1638" t="str">
            <v>01</v>
          </cell>
          <cell r="F1638" t="str">
            <v>02</v>
          </cell>
          <cell r="G1638" t="str">
            <v>23</v>
          </cell>
          <cell r="I1638" t="str">
            <v>Pemeliharaan Rutin/berkala Mobil Jabatan</v>
          </cell>
          <cell r="J1638" t="str">
            <v>Jumlah pemeliharaan mobil jabatan</v>
          </cell>
          <cell r="K1638">
            <v>48</v>
          </cell>
          <cell r="L1638">
            <v>2600000000</v>
          </cell>
          <cell r="O1638">
            <v>12</v>
          </cell>
          <cell r="P1638">
            <v>501510000</v>
          </cell>
          <cell r="Q1638">
            <v>3</v>
          </cell>
          <cell r="R1638">
            <v>107317620</v>
          </cell>
          <cell r="S1638">
            <v>3</v>
          </cell>
          <cell r="T1638">
            <v>71159473</v>
          </cell>
          <cell r="Y1638">
            <v>6</v>
          </cell>
          <cell r="Z1638">
            <v>178477093</v>
          </cell>
          <cell r="AA1638">
            <v>3</v>
          </cell>
          <cell r="AB1638">
            <v>178477093</v>
          </cell>
          <cell r="AC1638">
            <v>6.25</v>
          </cell>
          <cell r="AD1638">
            <v>6.8645035769230773</v>
          </cell>
        </row>
        <row r="1639">
          <cell r="C1639">
            <v>4</v>
          </cell>
          <cell r="D1639" t="str">
            <v>00</v>
          </cell>
          <cell r="E1639" t="str">
            <v>01</v>
          </cell>
          <cell r="F1639" t="str">
            <v>02</v>
          </cell>
          <cell r="G1639" t="str">
            <v>24</v>
          </cell>
          <cell r="I1639" t="str">
            <v>Pemeliharaan Rutin/ Berkala Kendaraan Dinas/Operasional</v>
          </cell>
          <cell r="J1639" t="str">
            <v>Jumlah pemeliharaan kendaraan dinas/operasional (bln)</v>
          </cell>
          <cell r="K1639">
            <v>72</v>
          </cell>
          <cell r="L1639">
            <v>5479900000</v>
          </cell>
          <cell r="M1639">
            <v>24</v>
          </cell>
          <cell r="N1639">
            <v>1530149208</v>
          </cell>
          <cell r="O1639">
            <v>12</v>
          </cell>
          <cell r="P1639">
            <v>840303760</v>
          </cell>
          <cell r="Q1639">
            <v>3</v>
          </cell>
          <cell r="R1639">
            <v>235395744</v>
          </cell>
          <cell r="S1639">
            <v>3</v>
          </cell>
          <cell r="T1639">
            <v>350361800</v>
          </cell>
          <cell r="Y1639">
            <v>6</v>
          </cell>
          <cell r="Z1639">
            <v>585757544</v>
          </cell>
          <cell r="AA1639">
            <v>27</v>
          </cell>
          <cell r="AB1639">
            <v>2115906752</v>
          </cell>
          <cell r="AC1639">
            <v>37.5</v>
          </cell>
          <cell r="AD1639">
            <v>38.612141681417548</v>
          </cell>
        </row>
        <row r="1640">
          <cell r="C1640">
            <v>4</v>
          </cell>
          <cell r="D1640" t="str">
            <v>00</v>
          </cell>
          <cell r="E1640" t="str">
            <v>01</v>
          </cell>
          <cell r="F1640" t="str">
            <v>02</v>
          </cell>
          <cell r="G1640" t="str">
            <v>25</v>
          </cell>
          <cell r="I1640" t="str">
            <v>Pemeliharaan Rutin/Berkala Perlengkapan Rumah Jabatan/Dinas</v>
          </cell>
          <cell r="J1640" t="str">
            <v>Jumlah pemeliharaan perlengkapan Rumah Jabatan/Dinas</v>
          </cell>
          <cell r="K1640">
            <v>48</v>
          </cell>
          <cell r="L1640">
            <v>880000000</v>
          </cell>
          <cell r="N1640">
            <v>199031500</v>
          </cell>
          <cell r="O1640">
            <v>12</v>
          </cell>
          <cell r="P1640">
            <v>165365250</v>
          </cell>
          <cell r="Q1640">
            <v>3</v>
          </cell>
          <cell r="R1640">
            <v>16274250</v>
          </cell>
          <cell r="S1640">
            <v>3</v>
          </cell>
          <cell r="T1640">
            <v>38802500</v>
          </cell>
          <cell r="Y1640">
            <v>6</v>
          </cell>
          <cell r="Z1640">
            <v>55076750</v>
          </cell>
          <cell r="AA1640">
            <v>3</v>
          </cell>
          <cell r="AB1640">
            <v>254108250</v>
          </cell>
          <cell r="AC1640">
            <v>6.25</v>
          </cell>
          <cell r="AD1640">
            <v>28.875937499999999</v>
          </cell>
        </row>
        <row r="1641">
          <cell r="C1641">
            <v>4</v>
          </cell>
          <cell r="D1641" t="str">
            <v>00</v>
          </cell>
          <cell r="E1641" t="str">
            <v>01</v>
          </cell>
          <cell r="F1641" t="str">
            <v>02</v>
          </cell>
          <cell r="G1641" t="str">
            <v>29</v>
          </cell>
          <cell r="I1641" t="str">
            <v>Pemeliharaan Rutin/ Berkala Meubileur</v>
          </cell>
          <cell r="J1641" t="str">
            <v>Jumlah Pemeliharaan Meubeliur</v>
          </cell>
          <cell r="K1641">
            <v>600</v>
          </cell>
          <cell r="L1641">
            <v>262000000</v>
          </cell>
          <cell r="M1641">
            <v>200</v>
          </cell>
          <cell r="N1641">
            <v>17756000</v>
          </cell>
          <cell r="O1641">
            <v>100</v>
          </cell>
          <cell r="P1641">
            <v>12000000</v>
          </cell>
          <cell r="Q1641">
            <v>6</v>
          </cell>
          <cell r="R1641">
            <v>700000</v>
          </cell>
          <cell r="S1641">
            <v>2</v>
          </cell>
          <cell r="T1641">
            <v>0</v>
          </cell>
          <cell r="Y1641">
            <v>8</v>
          </cell>
          <cell r="Z1641">
            <v>700000</v>
          </cell>
          <cell r="AA1641">
            <v>206</v>
          </cell>
          <cell r="AB1641">
            <v>18456000</v>
          </cell>
          <cell r="AC1641">
            <v>34.333333333333336</v>
          </cell>
          <cell r="AD1641">
            <v>7.0442748091603056</v>
          </cell>
        </row>
        <row r="1642">
          <cell r="A1642">
            <v>3</v>
          </cell>
          <cell r="B1642" t="str">
            <v>Meningkatkan Pembinaan Keagamaan dan Sosial Kemasyarakatan</v>
          </cell>
          <cell r="C1642" t="str">
            <v>01</v>
          </cell>
          <cell r="D1642" t="str">
            <v>4</v>
          </cell>
          <cell r="E1642" t="str">
            <v>00</v>
          </cell>
          <cell r="F1642" t="str">
            <v>01</v>
          </cell>
          <cell r="G1642" t="str">
            <v>20</v>
          </cell>
          <cell r="I1642" t="str">
            <v>Program Peningkatan Mutu Pendidik dan Tenaga Kependidikan</v>
          </cell>
          <cell r="J1642" t="str">
            <v>Persentase Guru MDQ,TPQ/TPSQ sesuai dengan Kriteria</v>
          </cell>
          <cell r="K1642">
            <v>560</v>
          </cell>
          <cell r="L1642">
            <v>386000000</v>
          </cell>
          <cell r="M1642">
            <v>180</v>
          </cell>
          <cell r="N1642">
            <v>167100450</v>
          </cell>
          <cell r="O1642">
            <v>90</v>
          </cell>
          <cell r="P1642">
            <v>222750947.75</v>
          </cell>
          <cell r="Q1642">
            <v>20</v>
          </cell>
          <cell r="R1642">
            <v>35718000</v>
          </cell>
          <cell r="S1642">
            <v>2</v>
          </cell>
          <cell r="T1642">
            <v>101308400</v>
          </cell>
          <cell r="Y1642">
            <v>22</v>
          </cell>
          <cell r="Z1642">
            <v>137026400</v>
          </cell>
          <cell r="AA1642">
            <v>200</v>
          </cell>
          <cell r="AB1642">
            <v>304126850</v>
          </cell>
          <cell r="AC1642">
            <v>35.714285714285715</v>
          </cell>
          <cell r="AD1642">
            <v>78.789339378238338</v>
          </cell>
        </row>
        <row r="1643">
          <cell r="C1643" t="str">
            <v>01</v>
          </cell>
          <cell r="D1643" t="str">
            <v>4</v>
          </cell>
          <cell r="E1643" t="str">
            <v>00</v>
          </cell>
          <cell r="F1643" t="str">
            <v>01</v>
          </cell>
          <cell r="G1643" t="str">
            <v>20</v>
          </cell>
          <cell r="H1643" t="str">
            <v>29</v>
          </cell>
          <cell r="I1643" t="str">
            <v>Monitoring dan Evaluasi Unit Kesehatan Sekolah (UKS)</v>
          </cell>
          <cell r="J1643" t="str">
            <v>Jumlah sekolah yang dibina</v>
          </cell>
          <cell r="K1643">
            <v>8</v>
          </cell>
          <cell r="L1643">
            <v>191000000</v>
          </cell>
          <cell r="M1643">
            <v>4</v>
          </cell>
          <cell r="N1643">
            <v>89386100</v>
          </cell>
          <cell r="O1643">
            <v>4</v>
          </cell>
          <cell r="P1643">
            <v>85080735.5</v>
          </cell>
          <cell r="Q1643">
            <v>2</v>
          </cell>
          <cell r="R1643">
            <v>20963000</v>
          </cell>
          <cell r="S1643">
            <v>2</v>
          </cell>
          <cell r="T1643">
            <v>48285100</v>
          </cell>
          <cell r="Y1643">
            <v>4</v>
          </cell>
          <cell r="Z1643">
            <v>69248100</v>
          </cell>
          <cell r="AA1643">
            <v>6</v>
          </cell>
          <cell r="AB1643">
            <v>158634200</v>
          </cell>
          <cell r="AC1643">
            <v>75</v>
          </cell>
          <cell r="AD1643">
            <v>83.054554973821993</v>
          </cell>
          <cell r="AE1643" t="str">
            <v>Bagian Kesra</v>
          </cell>
        </row>
        <row r="1644">
          <cell r="C1644" t="str">
            <v>01</v>
          </cell>
          <cell r="D1644" t="str">
            <v>4</v>
          </cell>
          <cell r="E1644" t="str">
            <v>00</v>
          </cell>
          <cell r="F1644" t="str">
            <v>01</v>
          </cell>
          <cell r="G1644" t="str">
            <v>20</v>
          </cell>
          <cell r="H1644" t="str">
            <v>30</v>
          </cell>
          <cell r="I1644" t="str">
            <v>Standarisasi MDTA, TPQ/TPSQ</v>
          </cell>
          <cell r="J1644" t="str">
            <v>Jumlah sosialisasi Standarisasi MDQ TPQ/TPSQ yang dilaksanakan</v>
          </cell>
          <cell r="K1644">
            <v>6</v>
          </cell>
          <cell r="L1644">
            <v>195000000</v>
          </cell>
          <cell r="M1644">
            <v>3</v>
          </cell>
          <cell r="N1644">
            <v>77714350</v>
          </cell>
          <cell r="O1644">
            <v>3</v>
          </cell>
          <cell r="P1644">
            <v>137670212.25</v>
          </cell>
          <cell r="Q1644">
            <v>2</v>
          </cell>
          <cell r="R1644">
            <v>14755000</v>
          </cell>
          <cell r="S1644">
            <v>0</v>
          </cell>
          <cell r="T1644">
            <v>53023300</v>
          </cell>
          <cell r="Y1644">
            <v>2</v>
          </cell>
          <cell r="Z1644">
            <v>67778300</v>
          </cell>
          <cell r="AA1644">
            <v>5</v>
          </cell>
          <cell r="AB1644">
            <v>145492650</v>
          </cell>
          <cell r="AC1644">
            <v>83.333333333333343</v>
          </cell>
          <cell r="AD1644">
            <v>74.611615384615376</v>
          </cell>
        </row>
        <row r="1645">
          <cell r="A1645">
            <v>4</v>
          </cell>
          <cell r="B1645" t="str">
            <v>Meningkatkan Peran Serta Pemerintah dalam Menangani Konflik di Masyarakat</v>
          </cell>
          <cell r="C1645" t="str">
            <v>05</v>
          </cell>
          <cell r="D1645" t="str">
            <v>4</v>
          </cell>
          <cell r="E1645" t="str">
            <v>00</v>
          </cell>
          <cell r="F1645" t="str">
            <v>01</v>
          </cell>
          <cell r="G1645" t="str">
            <v>15</v>
          </cell>
          <cell r="I1645" t="str">
            <v>Program Peningkatan Keamanan dan Kenyamanan Lingkungan</v>
          </cell>
          <cell r="J1645" t="str">
            <v>Jumlah Kasus yang ditangani atau di Fasilitasi</v>
          </cell>
          <cell r="K1645">
            <v>22</v>
          </cell>
          <cell r="L1645">
            <v>1781000000</v>
          </cell>
          <cell r="M1645">
            <v>6</v>
          </cell>
          <cell r="N1645">
            <v>168029450</v>
          </cell>
          <cell r="O1645">
            <v>3</v>
          </cell>
          <cell r="P1645">
            <v>158206611</v>
          </cell>
          <cell r="Q1645">
            <v>1</v>
          </cell>
          <cell r="R1645">
            <v>106638850</v>
          </cell>
          <cell r="S1645">
            <v>9</v>
          </cell>
          <cell r="T1645">
            <v>20064400</v>
          </cell>
          <cell r="Y1645">
            <v>10</v>
          </cell>
          <cell r="Z1645">
            <v>126703250</v>
          </cell>
          <cell r="AA1645">
            <v>7</v>
          </cell>
          <cell r="AB1645">
            <v>294732700</v>
          </cell>
          <cell r="AC1645">
            <v>31.818181818181817</v>
          </cell>
          <cell r="AD1645">
            <v>16.548719820325662</v>
          </cell>
        </row>
        <row r="1646">
          <cell r="C1646" t="str">
            <v>05</v>
          </cell>
          <cell r="D1646" t="str">
            <v>4</v>
          </cell>
          <cell r="E1646" t="str">
            <v>00</v>
          </cell>
          <cell r="F1646" t="str">
            <v>01</v>
          </cell>
          <cell r="G1646" t="str">
            <v>15</v>
          </cell>
          <cell r="H1646" t="str">
            <v>07</v>
          </cell>
          <cell r="I1646" t="str">
            <v>Peningkatan Pengawasan Aliran Kepercayaan Masyarakat Kab.Pessel</v>
          </cell>
          <cell r="J1646" t="str">
            <v>Jumlah aliran kepercayaan yang diawasi</v>
          </cell>
          <cell r="K1646">
            <v>30</v>
          </cell>
          <cell r="L1646">
            <v>815000000</v>
          </cell>
          <cell r="M1646">
            <v>10</v>
          </cell>
          <cell r="N1646">
            <v>110272300</v>
          </cell>
          <cell r="O1646">
            <v>5</v>
          </cell>
          <cell r="P1646">
            <v>94470619.25</v>
          </cell>
          <cell r="Q1646">
            <v>5</v>
          </cell>
          <cell r="R1646">
            <v>77049500</v>
          </cell>
          <cell r="S1646">
            <v>5</v>
          </cell>
          <cell r="T1646">
            <v>4782200</v>
          </cell>
          <cell r="Y1646">
            <v>10</v>
          </cell>
          <cell r="Z1646">
            <v>81831700</v>
          </cell>
          <cell r="AA1646">
            <v>15</v>
          </cell>
          <cell r="AB1646">
            <v>192104000</v>
          </cell>
          <cell r="AC1646">
            <v>50</v>
          </cell>
          <cell r="AD1646">
            <v>23.571042944785276</v>
          </cell>
          <cell r="AE1646" t="str">
            <v>Bagian Kesbangpol</v>
          </cell>
        </row>
        <row r="1647">
          <cell r="C1647" t="str">
            <v>05</v>
          </cell>
          <cell r="D1647" t="str">
            <v>4</v>
          </cell>
          <cell r="E1647" t="str">
            <v>00</v>
          </cell>
          <cell r="F1647" t="str">
            <v>01</v>
          </cell>
          <cell r="G1647" t="str">
            <v>15</v>
          </cell>
          <cell r="H1647" t="str">
            <v>09</v>
          </cell>
          <cell r="I1647" t="str">
            <v>Operasionalisasi Tim Terpadu Penanganan Konflik Sosial</v>
          </cell>
          <cell r="J1647" t="str">
            <v>Jumlah konflik sosial yang difasilitasi</v>
          </cell>
          <cell r="K1647">
            <v>89</v>
          </cell>
          <cell r="L1647">
            <v>966000000</v>
          </cell>
          <cell r="M1647">
            <v>6</v>
          </cell>
          <cell r="N1647">
            <v>57757150</v>
          </cell>
          <cell r="O1647">
            <v>20</v>
          </cell>
          <cell r="P1647">
            <v>63735991.75</v>
          </cell>
          <cell r="Q1647">
            <v>7</v>
          </cell>
          <cell r="R1647">
            <v>29589350</v>
          </cell>
          <cell r="S1647">
            <v>4</v>
          </cell>
          <cell r="T1647">
            <v>15282200</v>
          </cell>
          <cell r="Y1647">
            <v>11</v>
          </cell>
          <cell r="Z1647">
            <v>44871550</v>
          </cell>
          <cell r="AA1647">
            <v>13</v>
          </cell>
          <cell r="AB1647">
            <v>102628700</v>
          </cell>
          <cell r="AC1647">
            <v>14.606741573033707</v>
          </cell>
          <cell r="AD1647">
            <v>10.624089026915113</v>
          </cell>
          <cell r="AE1647" t="str">
            <v>Bagian Kesbangpol</v>
          </cell>
        </row>
        <row r="1648">
          <cell r="A1648">
            <v>5</v>
          </cell>
          <cell r="B1648" t="str">
            <v>Meningkatkan Peran Serta Pemerintah dalam Menangani Konflik di Masyarakat</v>
          </cell>
          <cell r="C1648" t="str">
            <v>05</v>
          </cell>
          <cell r="D1648" t="str">
            <v>4</v>
          </cell>
          <cell r="E1648" t="str">
            <v>00</v>
          </cell>
          <cell r="F1648" t="str">
            <v>01</v>
          </cell>
          <cell r="G1648" t="str">
            <v>16</v>
          </cell>
          <cell r="I1648" t="str">
            <v>Program Pemeliharaan Kantrantibmas dan Pencegahan Tindak Kriminal</v>
          </cell>
          <cell r="J1648" t="str">
            <v>Jumlah Rekomendasi kebijakan pencegahan gangguan keamanan Nasional di Daerah</v>
          </cell>
          <cell r="K1648">
            <v>28</v>
          </cell>
          <cell r="L1648">
            <v>1560000000</v>
          </cell>
          <cell r="M1648">
            <v>7</v>
          </cell>
          <cell r="N1648">
            <v>283753548</v>
          </cell>
          <cell r="O1648">
            <v>4</v>
          </cell>
          <cell r="P1648">
            <v>147912275.25</v>
          </cell>
          <cell r="Q1648">
            <v>1</v>
          </cell>
          <cell r="R1648">
            <v>5276500</v>
          </cell>
          <cell r="S1648">
            <v>8</v>
          </cell>
          <cell r="T1648">
            <v>59967000</v>
          </cell>
          <cell r="Y1648">
            <v>9</v>
          </cell>
          <cell r="Z1648">
            <v>65243500</v>
          </cell>
          <cell r="AA1648">
            <v>8</v>
          </cell>
          <cell r="AB1648">
            <v>348997048</v>
          </cell>
          <cell r="AC1648">
            <v>28.571428571428569</v>
          </cell>
          <cell r="AD1648">
            <v>22.371605641025642</v>
          </cell>
        </row>
        <row r="1649">
          <cell r="J1649" t="str">
            <v>Persentase Penurunan Pungli di Kabupaten Pesisir Selatan</v>
          </cell>
          <cell r="K1649">
            <v>505</v>
          </cell>
          <cell r="M1649">
            <v>155</v>
          </cell>
          <cell r="O1649">
            <v>80</v>
          </cell>
          <cell r="Q1649">
            <v>20</v>
          </cell>
          <cell r="Y1649">
            <v>20</v>
          </cell>
          <cell r="Z1649">
            <v>0</v>
          </cell>
          <cell r="AA1649">
            <v>175</v>
          </cell>
          <cell r="AB1649">
            <v>0</v>
          </cell>
          <cell r="AC1649">
            <v>34.653465346534652</v>
          </cell>
        </row>
        <row r="1650">
          <cell r="C1650" t="str">
            <v>05</v>
          </cell>
          <cell r="D1650" t="str">
            <v>4</v>
          </cell>
          <cell r="E1650" t="str">
            <v>00</v>
          </cell>
          <cell r="F1650" t="str">
            <v>01</v>
          </cell>
          <cell r="G1650" t="str">
            <v>16</v>
          </cell>
          <cell r="H1650" t="str">
            <v>06</v>
          </cell>
          <cell r="I1650" t="str">
            <v>Komunitas Intelligen Daerah</v>
          </cell>
          <cell r="J1650" t="str">
            <v xml:space="preserve">Jumlah Rekomendasi </v>
          </cell>
          <cell r="K1650">
            <v>55</v>
          </cell>
          <cell r="L1650">
            <v>600000000</v>
          </cell>
          <cell r="M1650">
            <v>35</v>
          </cell>
          <cell r="N1650">
            <v>283753548</v>
          </cell>
          <cell r="O1650">
            <v>20</v>
          </cell>
          <cell r="P1650">
            <v>106516843.5</v>
          </cell>
          <cell r="Q1650">
            <v>2</v>
          </cell>
          <cell r="R1650">
            <v>2986900</v>
          </cell>
          <cell r="S1650">
            <v>6</v>
          </cell>
          <cell r="T1650">
            <v>38950500</v>
          </cell>
          <cell r="Y1650">
            <v>8</v>
          </cell>
          <cell r="Z1650">
            <v>41937400</v>
          </cell>
          <cell r="AA1650">
            <v>37</v>
          </cell>
          <cell r="AB1650">
            <v>325690948</v>
          </cell>
          <cell r="AC1650">
            <v>67.272727272727266</v>
          </cell>
          <cell r="AD1650">
            <v>54.281824666666665</v>
          </cell>
          <cell r="AE1650" t="str">
            <v>Bagian Kesbangpol</v>
          </cell>
        </row>
        <row r="1651">
          <cell r="C1651" t="str">
            <v>05</v>
          </cell>
          <cell r="D1651" t="str">
            <v>4</v>
          </cell>
          <cell r="E1651" t="str">
            <v>00</v>
          </cell>
          <cell r="F1651" t="str">
            <v>01</v>
          </cell>
          <cell r="G1651" t="str">
            <v>16</v>
          </cell>
          <cell r="H1651" t="str">
            <v>36</v>
          </cell>
          <cell r="I1651" t="str">
            <v>Operasionalisasi Unit Bantuan Tugas Sapu Bersih Pemberantasan Pungutan Liar Tingkat Kabupaten Pesisir Selatan</v>
          </cell>
          <cell r="J1651" t="str">
            <v>Jumlah kasus pungutan liar yang ditangani</v>
          </cell>
          <cell r="K1651">
            <v>14</v>
          </cell>
          <cell r="L1651">
            <v>960000000</v>
          </cell>
          <cell r="M1651">
            <v>0</v>
          </cell>
          <cell r="O1651">
            <v>3</v>
          </cell>
          <cell r="P1651">
            <v>41395431.75</v>
          </cell>
          <cell r="Q1651">
            <v>1</v>
          </cell>
          <cell r="R1651">
            <v>2289600</v>
          </cell>
          <cell r="S1651">
            <v>2</v>
          </cell>
          <cell r="T1651">
            <v>21016500</v>
          </cell>
          <cell r="Y1651">
            <v>3</v>
          </cell>
          <cell r="Z1651">
            <v>23306100</v>
          </cell>
          <cell r="AA1651">
            <v>1</v>
          </cell>
          <cell r="AB1651">
            <v>23306100</v>
          </cell>
          <cell r="AC1651">
            <v>7.1428571428571423</v>
          </cell>
          <cell r="AD1651">
            <v>2.4277187499999999</v>
          </cell>
        </row>
        <row r="1652">
          <cell r="A1652">
            <v>6</v>
          </cell>
          <cell r="B1652" t="str">
            <v>Meningkatkan Peran Serta Pemerintah dalam Menangani Konflik di Masyarakat</v>
          </cell>
          <cell r="C1652" t="str">
            <v>05</v>
          </cell>
          <cell r="D1652" t="str">
            <v>4</v>
          </cell>
          <cell r="E1652" t="str">
            <v>00</v>
          </cell>
          <cell r="F1652" t="str">
            <v>01</v>
          </cell>
          <cell r="G1652" t="str">
            <v>17</v>
          </cell>
          <cell r="I1652" t="str">
            <v>Program Pengembangan Wawasan Kebangsaan</v>
          </cell>
          <cell r="J1652" t="str">
            <v>Persentase Kehadiran Stakeholders dalam mengikuti Sidang Paripurna DPRD dalam Rangka memperingati Hari Jadi Kabupaten Pesisir Selatan</v>
          </cell>
          <cell r="K1652">
            <v>360</v>
          </cell>
          <cell r="L1652">
            <v>4450000000</v>
          </cell>
          <cell r="N1652">
            <v>730358109</v>
          </cell>
          <cell r="O1652">
            <v>90</v>
          </cell>
          <cell r="P1652">
            <v>428720074.5</v>
          </cell>
          <cell r="R1652">
            <v>55952400</v>
          </cell>
          <cell r="Y1652">
            <v>0</v>
          </cell>
          <cell r="Z1652">
            <v>55952400</v>
          </cell>
          <cell r="AA1652">
            <v>0</v>
          </cell>
          <cell r="AB1652">
            <v>786310509</v>
          </cell>
          <cell r="AC1652">
            <v>0</v>
          </cell>
          <cell r="AD1652">
            <v>17.669899078651685</v>
          </cell>
        </row>
        <row r="1653">
          <cell r="J1653" t="str">
            <v>Persentase Peserta yang memahami pengetahuan wawasan kebangsaan dan kesadaran bela negara</v>
          </cell>
          <cell r="K1653">
            <v>490</v>
          </cell>
          <cell r="M1653">
            <v>145</v>
          </cell>
          <cell r="O1653">
            <v>80</v>
          </cell>
          <cell r="Q1653">
            <v>20</v>
          </cell>
          <cell r="S1653">
            <v>7</v>
          </cell>
          <cell r="T1653">
            <v>223700250</v>
          </cell>
          <cell r="Y1653">
            <v>27</v>
          </cell>
          <cell r="Z1653">
            <v>223700250</v>
          </cell>
          <cell r="AA1653">
            <v>165</v>
          </cell>
          <cell r="AB1653">
            <v>223700250</v>
          </cell>
          <cell r="AC1653">
            <v>33.673469387755098</v>
          </cell>
        </row>
        <row r="1654">
          <cell r="C1654" t="str">
            <v>05</v>
          </cell>
          <cell r="D1654" t="str">
            <v>4</v>
          </cell>
          <cell r="E1654" t="str">
            <v>00</v>
          </cell>
          <cell r="F1654" t="str">
            <v>01</v>
          </cell>
          <cell r="G1654" t="str">
            <v>17</v>
          </cell>
          <cell r="H1654" t="str">
            <v>04</v>
          </cell>
          <cell r="I1654" t="str">
            <v>Pelaksanaan Upacara Kesadaran Nasional dan Hari Besar Lainnya</v>
          </cell>
          <cell r="J1654" t="str">
            <v>Jumlah pelaksanaan upacara hari kesadaran nasional dan hari besar lainnya</v>
          </cell>
          <cell r="K1654">
            <v>132</v>
          </cell>
          <cell r="L1654">
            <v>1480000000</v>
          </cell>
          <cell r="M1654">
            <v>44</v>
          </cell>
          <cell r="N1654">
            <v>309841500</v>
          </cell>
          <cell r="O1654">
            <v>22</v>
          </cell>
          <cell r="P1654">
            <v>145519457.5</v>
          </cell>
          <cell r="Q1654">
            <v>4</v>
          </cell>
          <cell r="R1654">
            <v>12456300</v>
          </cell>
          <cell r="S1654">
            <v>6</v>
          </cell>
          <cell r="T1654">
            <v>26333200</v>
          </cell>
          <cell r="Y1654">
            <v>10</v>
          </cell>
          <cell r="Z1654">
            <v>38789500</v>
          </cell>
          <cell r="AA1654">
            <v>48</v>
          </cell>
          <cell r="AB1654">
            <v>348631000</v>
          </cell>
          <cell r="AC1654">
            <v>36.363636363636367</v>
          </cell>
          <cell r="AD1654">
            <v>23.556148648648648</v>
          </cell>
          <cell r="AE1654" t="str">
            <v>Bagian Kesbangpol</v>
          </cell>
        </row>
        <row r="1655">
          <cell r="C1655" t="str">
            <v>05</v>
          </cell>
          <cell r="D1655" t="str">
            <v>4</v>
          </cell>
          <cell r="E1655" t="str">
            <v>00</v>
          </cell>
          <cell r="F1655" t="str">
            <v>01</v>
          </cell>
          <cell r="G1655" t="str">
            <v>17</v>
          </cell>
          <cell r="H1655" t="str">
            <v>05</v>
          </cell>
          <cell r="I1655" t="str">
            <v>Pelaporan RANHAM</v>
          </cell>
          <cell r="J1655" t="str">
            <v>Jumlah Laporan RanHam</v>
          </cell>
          <cell r="K1655">
            <v>50</v>
          </cell>
          <cell r="L1655">
            <v>250000000</v>
          </cell>
          <cell r="M1655">
            <v>10</v>
          </cell>
          <cell r="N1655">
            <v>35104079</v>
          </cell>
          <cell r="O1655">
            <v>10</v>
          </cell>
          <cell r="P1655">
            <v>31691413</v>
          </cell>
          <cell r="Q1655">
            <v>1</v>
          </cell>
          <cell r="R1655">
            <v>1242000</v>
          </cell>
          <cell r="S1655">
            <v>1</v>
          </cell>
          <cell r="T1655">
            <v>3345400</v>
          </cell>
          <cell r="Y1655">
            <v>2</v>
          </cell>
          <cell r="Z1655">
            <v>4587400</v>
          </cell>
          <cell r="AA1655">
            <v>11</v>
          </cell>
          <cell r="AB1655">
            <v>39691479</v>
          </cell>
          <cell r="AC1655">
            <v>22</v>
          </cell>
          <cell r="AD1655">
            <v>15.876591600000001</v>
          </cell>
          <cell r="AE1655" t="str">
            <v>Bagian Hukum</v>
          </cell>
        </row>
        <row r="1656">
          <cell r="C1656" t="str">
            <v>05</v>
          </cell>
          <cell r="D1656" t="str">
            <v>4</v>
          </cell>
          <cell r="E1656" t="str">
            <v>00</v>
          </cell>
          <cell r="F1656" t="str">
            <v>01</v>
          </cell>
          <cell r="G1656" t="str">
            <v>17</v>
          </cell>
          <cell r="H1656" t="str">
            <v>06</v>
          </cell>
          <cell r="I1656" t="str">
            <v>Peningkatan Kesadaran Bela Negara</v>
          </cell>
          <cell r="J1656" t="str">
            <v>Jumlah Sosialisasi dan pelatihan wawasan kebangsaan dan peningkatan kesadaran bela negara yang dilaksanakan</v>
          </cell>
          <cell r="K1656">
            <v>21</v>
          </cell>
          <cell r="L1656">
            <v>1740000000</v>
          </cell>
          <cell r="M1656">
            <v>4</v>
          </cell>
          <cell r="N1656">
            <v>188465850</v>
          </cell>
          <cell r="O1656">
            <v>2</v>
          </cell>
          <cell r="P1656">
            <v>55629907.75</v>
          </cell>
          <cell r="Q1656">
            <v>2</v>
          </cell>
          <cell r="R1656">
            <v>42254100</v>
          </cell>
          <cell r="T1656">
            <v>7282350</v>
          </cell>
          <cell r="Y1656">
            <v>2</v>
          </cell>
          <cell r="Z1656">
            <v>49536450</v>
          </cell>
          <cell r="AA1656">
            <v>6</v>
          </cell>
          <cell r="AB1656">
            <v>238002300</v>
          </cell>
          <cell r="AC1656">
            <v>28.571428571428569</v>
          </cell>
          <cell r="AD1656">
            <v>13.678293103448274</v>
          </cell>
        </row>
        <row r="1657">
          <cell r="C1657" t="str">
            <v>05</v>
          </cell>
          <cell r="D1657" t="str">
            <v>4</v>
          </cell>
          <cell r="E1657" t="str">
            <v>00</v>
          </cell>
          <cell r="F1657" t="str">
            <v>01</v>
          </cell>
          <cell r="G1657" t="str">
            <v>17</v>
          </cell>
          <cell r="H1657" t="str">
            <v>21</v>
          </cell>
          <cell r="I1657" t="str">
            <v>Peringatan Hari Jadi Pesisir Selatan</v>
          </cell>
          <cell r="J1657" t="str">
            <v>Jumlah undangan yang hadir</v>
          </cell>
          <cell r="K1657">
            <v>4800</v>
          </cell>
          <cell r="L1657">
            <v>980000000</v>
          </cell>
          <cell r="N1657">
            <v>196946680</v>
          </cell>
          <cell r="O1657">
            <v>1200</v>
          </cell>
          <cell r="P1657">
            <v>195879296.25</v>
          </cell>
          <cell r="R1657">
            <v>0</v>
          </cell>
          <cell r="T1657">
            <v>186739300</v>
          </cell>
          <cell r="Y1657">
            <v>0</v>
          </cell>
          <cell r="Z1657">
            <v>186739300</v>
          </cell>
          <cell r="AA1657">
            <v>0</v>
          </cell>
          <cell r="AB1657">
            <v>383685980</v>
          </cell>
          <cell r="AC1657">
            <v>0</v>
          </cell>
          <cell r="AD1657">
            <v>39.151630612244901</v>
          </cell>
          <cell r="AE1657" t="str">
            <v>Bagian Pemerintahan dan Otda</v>
          </cell>
        </row>
        <row r="1658">
          <cell r="J1658" t="str">
            <v>Jumlah sidang paripurna</v>
          </cell>
          <cell r="K1658">
            <v>1</v>
          </cell>
          <cell r="O1658">
            <v>1</v>
          </cell>
          <cell r="Y1658">
            <v>0</v>
          </cell>
          <cell r="Z1658">
            <v>0</v>
          </cell>
          <cell r="AB1658">
            <v>0</v>
          </cell>
        </row>
        <row r="1659">
          <cell r="A1659">
            <v>7</v>
          </cell>
          <cell r="B1659" t="str">
            <v>Meningkatkan Peran Serta Pemerintah dalam Menangani Konflik di Masyarakat</v>
          </cell>
          <cell r="C1659" t="str">
            <v>05</v>
          </cell>
          <cell r="D1659" t="str">
            <v>4</v>
          </cell>
          <cell r="E1659" t="str">
            <v>00</v>
          </cell>
          <cell r="F1659" t="str">
            <v>01</v>
          </cell>
          <cell r="G1659" t="str">
            <v>19</v>
          </cell>
          <cell r="I1659" t="str">
            <v>Program Pemberdayaan Masyarakat Untuk Menjaga Ketertiban dan Keamanan</v>
          </cell>
          <cell r="J1659" t="str">
            <v>Jumlah Rekomendasi kebijakan untuk pencegahan dan penanggulangan potensi konflik dimasyarakat</v>
          </cell>
          <cell r="K1659">
            <v>28</v>
          </cell>
          <cell r="L1659">
            <v>1263000000</v>
          </cell>
          <cell r="M1659">
            <v>7</v>
          </cell>
          <cell r="N1659">
            <v>195938400</v>
          </cell>
          <cell r="O1659">
            <v>4</v>
          </cell>
          <cell r="P1659">
            <v>83600077.5</v>
          </cell>
          <cell r="Q1659">
            <v>1</v>
          </cell>
          <cell r="R1659">
            <v>2979000</v>
          </cell>
          <cell r="S1659">
            <v>1</v>
          </cell>
          <cell r="T1659">
            <v>16561500</v>
          </cell>
          <cell r="Y1659">
            <v>2</v>
          </cell>
          <cell r="Z1659">
            <v>19540500</v>
          </cell>
          <cell r="AA1659">
            <v>8</v>
          </cell>
          <cell r="AB1659">
            <v>215478900</v>
          </cell>
          <cell r="AC1659">
            <v>28.571428571428569</v>
          </cell>
          <cell r="AD1659">
            <v>17.060878859857482</v>
          </cell>
        </row>
        <row r="1660">
          <cell r="C1660" t="str">
            <v>05</v>
          </cell>
          <cell r="D1660" t="str">
            <v>4</v>
          </cell>
          <cell r="E1660" t="str">
            <v>00</v>
          </cell>
          <cell r="F1660" t="str">
            <v>01</v>
          </cell>
          <cell r="G1660" t="str">
            <v>19</v>
          </cell>
          <cell r="H1660" t="str">
            <v>02</v>
          </cell>
          <cell r="I1660" t="str">
            <v>Forum Kewaspadaan Dini Masyarakat</v>
          </cell>
          <cell r="J1660" t="str">
            <v>Jumlah Rapat Koordinasi Forum Kewaspadaan dini masyarakat</v>
          </cell>
          <cell r="K1660">
            <v>24</v>
          </cell>
          <cell r="L1660">
            <v>1263000000</v>
          </cell>
          <cell r="M1660">
            <v>8</v>
          </cell>
          <cell r="N1660">
            <v>195938400</v>
          </cell>
          <cell r="O1660">
            <v>4</v>
          </cell>
          <cell r="P1660">
            <v>83600077.5</v>
          </cell>
          <cell r="Q1660">
            <v>1</v>
          </cell>
          <cell r="R1660">
            <v>2979000</v>
          </cell>
          <cell r="S1660">
            <v>1</v>
          </cell>
          <cell r="T1660">
            <v>16561500</v>
          </cell>
          <cell r="Y1660">
            <v>2</v>
          </cell>
          <cell r="Z1660">
            <v>19540500</v>
          </cell>
          <cell r="AA1660">
            <v>9</v>
          </cell>
          <cell r="AB1660">
            <v>215478900</v>
          </cell>
          <cell r="AC1660">
            <v>37.5</v>
          </cell>
          <cell r="AD1660">
            <v>17.060878859857482</v>
          </cell>
        </row>
        <row r="1661">
          <cell r="A1661">
            <v>8</v>
          </cell>
          <cell r="B1661" t="str">
            <v>Meningkatkan Jumlah Struktur Sosial Dalam Rangka Mencegah Penyalahgunaan Narkoba dan Obat-Obat Terlarang</v>
          </cell>
          <cell r="C1661" t="str">
            <v>05</v>
          </cell>
          <cell r="D1661" t="str">
            <v>4</v>
          </cell>
          <cell r="E1661" t="str">
            <v>00</v>
          </cell>
          <cell r="F1661" t="str">
            <v>01</v>
          </cell>
          <cell r="G1661" t="str">
            <v>20</v>
          </cell>
          <cell r="I1661" t="str">
            <v>Program Peningkatan Pemberantasan Penyakit Masyarakat (Pekat)</v>
          </cell>
          <cell r="J1661" t="str">
            <v>Persentase penurunan kasus narkoba tingkat pelajar</v>
          </cell>
          <cell r="K1661">
            <v>495</v>
          </cell>
          <cell r="L1661">
            <v>4358000000</v>
          </cell>
          <cell r="M1661">
            <v>145</v>
          </cell>
          <cell r="N1661">
            <v>723739200</v>
          </cell>
          <cell r="O1661">
            <v>80</v>
          </cell>
          <cell r="P1661">
            <v>432703267.25</v>
          </cell>
          <cell r="Q1661">
            <v>15</v>
          </cell>
          <cell r="R1661">
            <v>9488600</v>
          </cell>
          <cell r="S1661">
            <v>15</v>
          </cell>
          <cell r="T1661">
            <v>166686200</v>
          </cell>
          <cell r="Y1661">
            <v>30</v>
          </cell>
          <cell r="Z1661">
            <v>176174800</v>
          </cell>
          <cell r="AA1661">
            <v>160</v>
          </cell>
          <cell r="AB1661">
            <v>899914000</v>
          </cell>
          <cell r="AC1661">
            <v>32.323232323232325</v>
          </cell>
          <cell r="AD1661">
            <v>20.649701698026618</v>
          </cell>
        </row>
        <row r="1662">
          <cell r="C1662" t="str">
            <v>05</v>
          </cell>
          <cell r="D1662" t="str">
            <v>4</v>
          </cell>
          <cell r="E1662" t="str">
            <v>00</v>
          </cell>
          <cell r="F1662" t="str">
            <v>01</v>
          </cell>
          <cell r="G1662" t="str">
            <v>20</v>
          </cell>
          <cell r="H1662" t="str">
            <v>10</v>
          </cell>
          <cell r="I1662" t="str">
            <v>Fasilitasi Pencegahan Penyalahgunaan Narkotika</v>
          </cell>
          <cell r="J1662" t="str">
            <v>Jumlah sosialisasi pencegahan penyalahgunaan narkotika</v>
          </cell>
          <cell r="K1662">
            <v>120</v>
          </cell>
          <cell r="L1662">
            <v>4358000000</v>
          </cell>
          <cell r="N1662">
            <v>723739200</v>
          </cell>
          <cell r="O1662">
            <v>30</v>
          </cell>
          <cell r="P1662">
            <v>432703267.25</v>
          </cell>
          <cell r="Q1662">
            <v>15</v>
          </cell>
          <cell r="R1662">
            <v>9488600</v>
          </cell>
          <cell r="S1662">
            <v>15</v>
          </cell>
          <cell r="T1662">
            <v>166686200</v>
          </cell>
          <cell r="Y1662">
            <v>30</v>
          </cell>
          <cell r="Z1662">
            <v>176174800</v>
          </cell>
          <cell r="AA1662">
            <v>15</v>
          </cell>
          <cell r="AB1662">
            <v>899914000</v>
          </cell>
          <cell r="AC1662">
            <v>12.5</v>
          </cell>
          <cell r="AD1662">
            <v>20.649701698026618</v>
          </cell>
        </row>
        <row r="1663">
          <cell r="A1663">
            <v>9</v>
          </cell>
          <cell r="B1663" t="str">
            <v>Meningkatkan Peran Serta Pemerintah dalam Menangani Konflik di Masyarakat</v>
          </cell>
          <cell r="C1663" t="str">
            <v>05</v>
          </cell>
          <cell r="D1663" t="str">
            <v>4</v>
          </cell>
          <cell r="E1663" t="str">
            <v>00</v>
          </cell>
          <cell r="F1663" t="str">
            <v>01</v>
          </cell>
          <cell r="G1663" t="str">
            <v>21</v>
          </cell>
          <cell r="I1663" t="str">
            <v>Program Pendidikan Politik  Masyarakat</v>
          </cell>
          <cell r="J1663" t="str">
            <v>Persentase Jumlah Ormas /LSM yang memenuhi syarat administrasi yang lengkap</v>
          </cell>
          <cell r="K1663">
            <v>510</v>
          </cell>
          <cell r="L1663">
            <v>400000000</v>
          </cell>
          <cell r="M1663">
            <v>160</v>
          </cell>
          <cell r="N1663">
            <v>156832800</v>
          </cell>
          <cell r="O1663">
            <v>80</v>
          </cell>
          <cell r="P1663">
            <v>81697347.5</v>
          </cell>
          <cell r="Q1663">
            <v>20</v>
          </cell>
          <cell r="R1663">
            <v>8376500</v>
          </cell>
          <cell r="S1663">
            <v>21</v>
          </cell>
          <cell r="T1663">
            <v>17604300</v>
          </cell>
          <cell r="Y1663">
            <v>41</v>
          </cell>
          <cell r="Z1663">
            <v>25980800</v>
          </cell>
          <cell r="AA1663">
            <v>180</v>
          </cell>
          <cell r="AB1663">
            <v>182813600</v>
          </cell>
          <cell r="AC1663">
            <v>35.294117647058826</v>
          </cell>
          <cell r="AD1663">
            <v>45.703400000000002</v>
          </cell>
        </row>
        <row r="1664">
          <cell r="C1664" t="str">
            <v>05</v>
          </cell>
          <cell r="D1664" t="str">
            <v>4</v>
          </cell>
          <cell r="E1664" t="str">
            <v>00</v>
          </cell>
          <cell r="F1664" t="str">
            <v>01</v>
          </cell>
          <cell r="G1664" t="str">
            <v>21</v>
          </cell>
          <cell r="H1664" t="str">
            <v>10</v>
          </cell>
          <cell r="I1664" t="str">
            <v>Monitoring Evaluasi Keberadaan Ormas/LSM sesuai dengan Undang-Undang Keormasan</v>
          </cell>
          <cell r="J1664" t="str">
            <v>Jumlah Ormas yang mendapat pembinaan</v>
          </cell>
          <cell r="K1664">
            <v>193</v>
          </cell>
          <cell r="L1664">
            <v>400000000</v>
          </cell>
          <cell r="M1664">
            <v>29</v>
          </cell>
          <cell r="N1664">
            <v>56343900</v>
          </cell>
          <cell r="O1664">
            <v>29</v>
          </cell>
          <cell r="P1664">
            <v>58791992.25</v>
          </cell>
          <cell r="Q1664">
            <v>5</v>
          </cell>
          <cell r="R1664">
            <v>5686900</v>
          </cell>
          <cell r="S1664">
            <v>10</v>
          </cell>
          <cell r="T1664">
            <v>12150800</v>
          </cell>
          <cell r="Y1664">
            <v>15</v>
          </cell>
          <cell r="Z1664">
            <v>17837700</v>
          </cell>
          <cell r="AA1664">
            <v>34</v>
          </cell>
          <cell r="AB1664">
            <v>74181600</v>
          </cell>
          <cell r="AC1664">
            <v>17.616580310880828</v>
          </cell>
          <cell r="AD1664">
            <v>18.545400000000001</v>
          </cell>
        </row>
        <row r="1665">
          <cell r="C1665" t="str">
            <v>05</v>
          </cell>
          <cell r="D1665" t="str">
            <v>4</v>
          </cell>
          <cell r="E1665" t="str">
            <v>00</v>
          </cell>
          <cell r="F1665" t="str">
            <v>01</v>
          </cell>
          <cell r="G1665" t="str">
            <v>21</v>
          </cell>
          <cell r="H1665" t="str">
            <v>11</v>
          </cell>
          <cell r="I1665" t="str">
            <v>Meneliti dan Memeriksa Persyaratan Administrasi Bantuan Keuangan Kepada Partai</v>
          </cell>
          <cell r="J1665" t="str">
            <v>Jumlah Parpol yang mengajukan bantuan keuangan yang diverifikasi</v>
          </cell>
          <cell r="K1665">
            <v>33</v>
          </cell>
          <cell r="L1665">
            <v>295000000</v>
          </cell>
          <cell r="M1665">
            <v>22</v>
          </cell>
          <cell r="N1665">
            <v>100488900</v>
          </cell>
          <cell r="O1665">
            <v>11</v>
          </cell>
          <cell r="P1665">
            <v>22905355.25</v>
          </cell>
          <cell r="Q1665">
            <v>11</v>
          </cell>
          <cell r="R1665">
            <v>2689600</v>
          </cell>
          <cell r="S1665">
            <v>11</v>
          </cell>
          <cell r="T1665">
            <v>5453500</v>
          </cell>
          <cell r="Y1665">
            <v>22</v>
          </cell>
          <cell r="Z1665">
            <v>8143100</v>
          </cell>
          <cell r="AA1665">
            <v>33</v>
          </cell>
          <cell r="AB1665">
            <v>108632000</v>
          </cell>
          <cell r="AC1665">
            <v>100</v>
          </cell>
          <cell r="AD1665">
            <v>36.824406779661018</v>
          </cell>
        </row>
        <row r="1666">
          <cell r="A1666">
            <v>10</v>
          </cell>
          <cell r="B1666" t="str">
            <v>Meningkatkan Fasilitasi dan Koordinasi Penyelenggaraan Kegiatan Pemerintah Daerah Kabupaten Pesisir Selatan</v>
          </cell>
          <cell r="C1666" t="str">
            <v>06</v>
          </cell>
          <cell r="D1666" t="str">
            <v>4</v>
          </cell>
          <cell r="E1666" t="str">
            <v>00</v>
          </cell>
          <cell r="F1666" t="str">
            <v>01</v>
          </cell>
          <cell r="G1666" t="str">
            <v>16</v>
          </cell>
          <cell r="I1666" t="str">
            <v>Program Pelayanan dan Rehabilitasi Kesejahteraan Sosial</v>
          </cell>
          <cell r="J1666" t="str">
            <v>Persentase Pelayanan dan Rehabilitasi Kesejahteraan Sosial</v>
          </cell>
          <cell r="K1666">
            <v>300</v>
          </cell>
          <cell r="L1666">
            <v>308000000</v>
          </cell>
          <cell r="M1666">
            <v>200</v>
          </cell>
          <cell r="N1666">
            <v>144161700</v>
          </cell>
          <cell r="O1666">
            <v>100</v>
          </cell>
          <cell r="P1666">
            <v>109422350</v>
          </cell>
          <cell r="Q1666">
            <v>24</v>
          </cell>
          <cell r="R1666">
            <v>24670000</v>
          </cell>
          <cell r="S1666">
            <v>45</v>
          </cell>
          <cell r="T1666">
            <v>32684900</v>
          </cell>
          <cell r="Y1666">
            <v>69</v>
          </cell>
          <cell r="Z1666">
            <v>57354900</v>
          </cell>
          <cell r="AA1666">
            <v>224</v>
          </cell>
          <cell r="AB1666">
            <v>201516600</v>
          </cell>
          <cell r="AC1666">
            <v>74.666666666666671</v>
          </cell>
          <cell r="AD1666">
            <v>65.427467532467531</v>
          </cell>
        </row>
        <row r="1667">
          <cell r="C1667" t="str">
            <v>06</v>
          </cell>
          <cell r="D1667" t="str">
            <v>4</v>
          </cell>
          <cell r="E1667" t="str">
            <v>00</v>
          </cell>
          <cell r="F1667" t="str">
            <v>01</v>
          </cell>
          <cell r="G1667" t="str">
            <v>16</v>
          </cell>
          <cell r="H1667" t="str">
            <v>23</v>
          </cell>
          <cell r="I1667" t="str">
            <v>Pengawasan Pupuk Bersubsidi dan Peptisida</v>
          </cell>
          <cell r="J1667" t="str">
            <v>Jumlah kios pupuk bersubsidi dan pestisida yang diawasi</v>
          </cell>
          <cell r="K1667">
            <v>190</v>
          </cell>
          <cell r="L1667">
            <v>258000000</v>
          </cell>
          <cell r="M1667">
            <v>95</v>
          </cell>
          <cell r="N1667">
            <v>144161700</v>
          </cell>
          <cell r="O1667">
            <v>95</v>
          </cell>
          <cell r="P1667">
            <v>60143100</v>
          </cell>
          <cell r="Q1667">
            <v>20</v>
          </cell>
          <cell r="R1667">
            <v>8553500</v>
          </cell>
          <cell r="S1667">
            <v>25</v>
          </cell>
          <cell r="T1667">
            <v>24339400</v>
          </cell>
          <cell r="Y1667">
            <v>45</v>
          </cell>
          <cell r="Z1667">
            <v>32892900</v>
          </cell>
          <cell r="AA1667">
            <v>115</v>
          </cell>
          <cell r="AB1667">
            <v>177054600</v>
          </cell>
          <cell r="AC1667">
            <v>60.526315789473685</v>
          </cell>
          <cell r="AD1667">
            <v>68.625813953488375</v>
          </cell>
          <cell r="AE1667" t="str">
            <v>Bagian Perekonomian</v>
          </cell>
        </row>
        <row r="1668">
          <cell r="C1668" t="str">
            <v>06</v>
          </cell>
          <cell r="D1668" t="str">
            <v>4</v>
          </cell>
          <cell r="E1668" t="str">
            <v>00</v>
          </cell>
          <cell r="F1668" t="str">
            <v>01</v>
          </cell>
          <cell r="G1668" t="str">
            <v>16</v>
          </cell>
          <cell r="H1668" t="str">
            <v>26</v>
          </cell>
          <cell r="I1668" t="str">
            <v>Monitoring, Evaluasi, Pelaporan dan Koordinasi LPG 3 Kg/Gas dan BBM</v>
          </cell>
          <cell r="J1668" t="str">
            <v>Jumlah pangkalan LPJ 3 Kg/Gas dan BBM yang dimonev</v>
          </cell>
          <cell r="K1668">
            <v>60</v>
          </cell>
          <cell r="L1668">
            <v>50000000</v>
          </cell>
          <cell r="O1668">
            <v>60</v>
          </cell>
          <cell r="P1668">
            <v>49279250</v>
          </cell>
          <cell r="Q1668">
            <v>15</v>
          </cell>
          <cell r="R1668">
            <v>16116500</v>
          </cell>
          <cell r="S1668">
            <v>20</v>
          </cell>
          <cell r="T1668">
            <v>8345500</v>
          </cell>
          <cell r="Y1668">
            <v>35</v>
          </cell>
          <cell r="Z1668">
            <v>24462000</v>
          </cell>
          <cell r="AA1668">
            <v>15</v>
          </cell>
          <cell r="AB1668">
            <v>24462000</v>
          </cell>
          <cell r="AC1668">
            <v>25</v>
          </cell>
          <cell r="AD1668">
            <v>48.923999999999999</v>
          </cell>
        </row>
        <row r="1669">
          <cell r="A1669">
            <v>11</v>
          </cell>
          <cell r="B1669" t="str">
            <v>Meningkatkan Fasilitasi Pelaksanaan Kegiatan Keagamaan</v>
          </cell>
          <cell r="C1669" t="str">
            <v>06</v>
          </cell>
          <cell r="D1669" t="str">
            <v>4</v>
          </cell>
          <cell r="E1669" t="str">
            <v>00</v>
          </cell>
          <cell r="F1669" t="str">
            <v>01</v>
          </cell>
          <cell r="G1669" t="str">
            <v>21</v>
          </cell>
          <cell r="I1669" t="str">
            <v>Program Pemberdayaan Kelembagaan Kesejahteraan Sosial</v>
          </cell>
          <cell r="J1669" t="str">
            <v>Persentase Pemberdayaan Kelembagaan Kesejahteraan Sosial</v>
          </cell>
          <cell r="K1669">
            <v>270</v>
          </cell>
          <cell r="L1669">
            <v>3005800000</v>
          </cell>
          <cell r="M1669">
            <v>180</v>
          </cell>
          <cell r="N1669">
            <v>1145181766</v>
          </cell>
          <cell r="O1669">
            <v>90</v>
          </cell>
          <cell r="P1669">
            <v>1164412768.5</v>
          </cell>
          <cell r="Q1669">
            <v>25</v>
          </cell>
          <cell r="R1669">
            <v>146041500</v>
          </cell>
          <cell r="S1669">
            <v>26</v>
          </cell>
          <cell r="T1669">
            <v>509759918</v>
          </cell>
          <cell r="Y1669">
            <v>51</v>
          </cell>
          <cell r="Z1669">
            <v>655801418</v>
          </cell>
          <cell r="AA1669">
            <v>205</v>
          </cell>
          <cell r="AB1669">
            <v>1800983184</v>
          </cell>
          <cell r="AC1669">
            <v>75.925925925925924</v>
          </cell>
          <cell r="AD1669">
            <v>59.916933395435493</v>
          </cell>
        </row>
        <row r="1670">
          <cell r="C1670" t="str">
            <v>06</v>
          </cell>
          <cell r="D1670" t="str">
            <v>4</v>
          </cell>
          <cell r="E1670" t="str">
            <v>00</v>
          </cell>
          <cell r="F1670" t="str">
            <v>01</v>
          </cell>
          <cell r="G1670" t="str">
            <v>21</v>
          </cell>
          <cell r="H1670" t="str">
            <v>20</v>
          </cell>
          <cell r="I1670" t="str">
            <v>Tim Silaturahmi Pemda</v>
          </cell>
          <cell r="J1670" t="str">
            <v>Jumlah Masjid yang dikunjungi</v>
          </cell>
          <cell r="K1670">
            <v>115</v>
          </cell>
          <cell r="L1670">
            <v>801800000</v>
          </cell>
          <cell r="M1670">
            <v>55</v>
          </cell>
          <cell r="N1670">
            <v>383367800</v>
          </cell>
          <cell r="O1670">
            <v>60</v>
          </cell>
          <cell r="P1670">
            <v>389895050.75</v>
          </cell>
          <cell r="R1670">
            <v>900000</v>
          </cell>
          <cell r="S1670">
            <v>60</v>
          </cell>
          <cell r="T1670">
            <v>326099200</v>
          </cell>
          <cell r="Y1670">
            <v>60</v>
          </cell>
          <cell r="Z1670">
            <v>326999200</v>
          </cell>
          <cell r="AA1670">
            <v>55</v>
          </cell>
          <cell r="AB1670">
            <v>710367000</v>
          </cell>
          <cell r="AC1670">
            <v>47.826086956521742</v>
          </cell>
          <cell r="AD1670">
            <v>88.596532801197299</v>
          </cell>
        </row>
        <row r="1671">
          <cell r="C1671" t="str">
            <v>06</v>
          </cell>
          <cell r="D1671" t="str">
            <v>4</v>
          </cell>
          <cell r="E1671" t="str">
            <v>00</v>
          </cell>
          <cell r="F1671" t="str">
            <v>01</v>
          </cell>
          <cell r="G1671" t="str">
            <v>21</v>
          </cell>
          <cell r="H1671" t="str">
            <v>21</v>
          </cell>
          <cell r="I1671" t="str">
            <v>Persiapan dan Penyelenggaraan MTQ</v>
          </cell>
          <cell r="J1671" t="str">
            <v>Jumlah Cabang yang diikuti</v>
          </cell>
          <cell r="K1671">
            <v>10</v>
          </cell>
          <cell r="L1671">
            <v>500000000</v>
          </cell>
          <cell r="O1671">
            <v>10</v>
          </cell>
          <cell r="P1671">
            <v>155808794</v>
          </cell>
          <cell r="R1671">
            <v>90753800</v>
          </cell>
          <cell r="S1671">
            <v>0</v>
          </cell>
          <cell r="T1671">
            <v>14273000</v>
          </cell>
          <cell r="Y1671">
            <v>0</v>
          </cell>
          <cell r="Z1671">
            <v>105026800</v>
          </cell>
          <cell r="AA1671">
            <v>0</v>
          </cell>
          <cell r="AB1671">
            <v>105026800</v>
          </cell>
          <cell r="AC1671">
            <v>0</v>
          </cell>
          <cell r="AD1671">
            <v>21.00536</v>
          </cell>
        </row>
        <row r="1672">
          <cell r="C1672" t="str">
            <v>06</v>
          </cell>
          <cell r="D1672" t="str">
            <v>4</v>
          </cell>
          <cell r="E1672" t="str">
            <v>00</v>
          </cell>
          <cell r="F1672" t="str">
            <v>01</v>
          </cell>
          <cell r="G1672" t="str">
            <v>21</v>
          </cell>
          <cell r="H1672" t="str">
            <v>22</v>
          </cell>
          <cell r="I1672" t="str">
            <v>Fasilitasi Penyelenggaraan Ibadah Haji</v>
          </cell>
          <cell r="J1672" t="str">
            <v>Jumlah Jamaah Haji yang difasilitasi</v>
          </cell>
          <cell r="K1672">
            <v>310</v>
          </cell>
          <cell r="L1672">
            <v>453000000</v>
          </cell>
          <cell r="M1672">
            <v>205</v>
          </cell>
          <cell r="N1672">
            <v>264601149</v>
          </cell>
          <cell r="O1672">
            <v>105</v>
          </cell>
          <cell r="P1672">
            <v>168077545.25</v>
          </cell>
          <cell r="S1672">
            <v>0</v>
          </cell>
          <cell r="T1672">
            <v>54369800</v>
          </cell>
          <cell r="Y1672">
            <v>0</v>
          </cell>
          <cell r="Z1672">
            <v>54369800</v>
          </cell>
          <cell r="AA1672">
            <v>205</v>
          </cell>
          <cell r="AB1672">
            <v>318970949</v>
          </cell>
          <cell r="AC1672">
            <v>66.129032258064512</v>
          </cell>
          <cell r="AD1672">
            <v>70.413013024282549</v>
          </cell>
        </row>
        <row r="1673">
          <cell r="C1673" t="str">
            <v>06</v>
          </cell>
          <cell r="D1673" t="str">
            <v>4</v>
          </cell>
          <cell r="E1673" t="str">
            <v>00</v>
          </cell>
          <cell r="F1673" t="str">
            <v>01</v>
          </cell>
          <cell r="G1673" t="str">
            <v>21</v>
          </cell>
          <cell r="H1673" t="str">
            <v>23</v>
          </cell>
          <cell r="I1673" t="str">
            <v>Pembinaan Lembaga Didikan Subuh</v>
          </cell>
          <cell r="J1673" t="str">
            <v>Jumlah Masjid yang dikunjungi</v>
          </cell>
          <cell r="K1673">
            <v>30</v>
          </cell>
          <cell r="L1673">
            <v>210000000</v>
          </cell>
          <cell r="M1673">
            <v>15</v>
          </cell>
          <cell r="N1673">
            <v>95122000</v>
          </cell>
          <cell r="O1673">
            <v>15</v>
          </cell>
          <cell r="P1673">
            <v>89779047.25</v>
          </cell>
          <cell r="Q1673">
            <v>6</v>
          </cell>
          <cell r="R1673">
            <v>4946000</v>
          </cell>
          <cell r="T1673">
            <v>41259800</v>
          </cell>
          <cell r="Y1673">
            <v>6</v>
          </cell>
          <cell r="Z1673">
            <v>46205800</v>
          </cell>
          <cell r="AA1673">
            <v>21</v>
          </cell>
          <cell r="AB1673">
            <v>141327800</v>
          </cell>
          <cell r="AC1673">
            <v>70</v>
          </cell>
          <cell r="AD1673">
            <v>67.298952380952386</v>
          </cell>
        </row>
        <row r="1674">
          <cell r="C1674" t="str">
            <v>06</v>
          </cell>
          <cell r="D1674" t="str">
            <v>4</v>
          </cell>
          <cell r="E1674" t="str">
            <v>00</v>
          </cell>
          <cell r="F1674" t="str">
            <v>01</v>
          </cell>
          <cell r="G1674" t="str">
            <v>21</v>
          </cell>
          <cell r="H1674" t="str">
            <v>24</v>
          </cell>
          <cell r="I1674" t="str">
            <v>Pengembangan Adat Basandi Syarak, Syarak Basandi Basandi Kitabullah (ABS-SBK)</v>
          </cell>
          <cell r="J1674" t="str">
            <v>Jumlah KAN yang dibina</v>
          </cell>
          <cell r="K1674">
            <v>74</v>
          </cell>
          <cell r="L1674">
            <v>120000000</v>
          </cell>
          <cell r="M1674">
            <v>37</v>
          </cell>
          <cell r="N1674">
            <v>23865450</v>
          </cell>
          <cell r="O1674">
            <v>37</v>
          </cell>
          <cell r="P1674">
            <v>79361272</v>
          </cell>
          <cell r="S1674">
            <v>37</v>
          </cell>
          <cell r="T1674">
            <v>39424100</v>
          </cell>
          <cell r="Y1674">
            <v>37</v>
          </cell>
          <cell r="Z1674">
            <v>39424100</v>
          </cell>
          <cell r="AA1674">
            <v>37</v>
          </cell>
          <cell r="AB1674">
            <v>63289550</v>
          </cell>
          <cell r="AC1674">
            <v>50</v>
          </cell>
          <cell r="AD1674">
            <v>52.741291666666669</v>
          </cell>
          <cell r="AE1674" t="str">
            <v>Bagian Kesra</v>
          </cell>
        </row>
        <row r="1675">
          <cell r="C1675" t="str">
            <v>06</v>
          </cell>
          <cell r="D1675" t="str">
            <v>4</v>
          </cell>
          <cell r="E1675" t="str">
            <v>00</v>
          </cell>
          <cell r="F1675" t="str">
            <v>01</v>
          </cell>
          <cell r="G1675" t="str">
            <v>21</v>
          </cell>
          <cell r="H1675" t="str">
            <v>25</v>
          </cell>
          <cell r="I1675" t="str">
            <v>Koordinasi dan Konsultasi Kesejahteraan Rakyat dan Urusan Keagamaan</v>
          </cell>
          <cell r="J1675" t="str">
            <v>Jumlah Rapat Koordinasi yang dilaksanakan</v>
          </cell>
          <cell r="K1675">
            <v>36</v>
          </cell>
          <cell r="L1675">
            <v>675000000</v>
          </cell>
          <cell r="M1675">
            <v>24</v>
          </cell>
          <cell r="N1675">
            <v>332802067</v>
          </cell>
          <cell r="O1675">
            <v>12</v>
          </cell>
          <cell r="P1675">
            <v>117091246.75</v>
          </cell>
          <cell r="R1675">
            <v>18490700</v>
          </cell>
          <cell r="S1675">
            <v>6</v>
          </cell>
          <cell r="T1675">
            <v>26986618</v>
          </cell>
          <cell r="Y1675">
            <v>6</v>
          </cell>
          <cell r="Z1675">
            <v>45477318</v>
          </cell>
          <cell r="AA1675">
            <v>24</v>
          </cell>
          <cell r="AB1675">
            <v>378279385</v>
          </cell>
          <cell r="AC1675">
            <v>66.666666666666657</v>
          </cell>
          <cell r="AD1675">
            <v>56.041390370370372</v>
          </cell>
        </row>
        <row r="1676">
          <cell r="C1676" t="str">
            <v>06</v>
          </cell>
          <cell r="D1676" t="str">
            <v>4</v>
          </cell>
          <cell r="E1676" t="str">
            <v>00</v>
          </cell>
          <cell r="F1676" t="str">
            <v>01</v>
          </cell>
          <cell r="G1676" t="str">
            <v>21</v>
          </cell>
          <cell r="H1676" t="str">
            <v>26</v>
          </cell>
          <cell r="I1676" t="str">
            <v>Pengelolaan Pemberian Hibah Bansos</v>
          </cell>
          <cell r="J1676" t="str">
            <v>Jumlah Proposal yang difasilitasi</v>
          </cell>
          <cell r="K1676">
            <v>300</v>
          </cell>
          <cell r="L1676">
            <v>116000000</v>
          </cell>
          <cell r="M1676">
            <v>150</v>
          </cell>
          <cell r="N1676">
            <v>45423300</v>
          </cell>
          <cell r="O1676">
            <v>150</v>
          </cell>
          <cell r="P1676">
            <v>42299812.5</v>
          </cell>
          <cell r="Q1676">
            <v>50</v>
          </cell>
          <cell r="R1676">
            <v>20811000</v>
          </cell>
          <cell r="S1676">
            <v>35</v>
          </cell>
          <cell r="T1676">
            <v>6471400</v>
          </cell>
          <cell r="Y1676">
            <v>85</v>
          </cell>
          <cell r="Z1676">
            <v>27282400</v>
          </cell>
          <cell r="AA1676">
            <v>200</v>
          </cell>
          <cell r="AB1676">
            <v>72705700</v>
          </cell>
          <cell r="AC1676">
            <v>66.666666666666657</v>
          </cell>
          <cell r="AD1676">
            <v>62.6773275862069</v>
          </cell>
        </row>
        <row r="1677">
          <cell r="C1677" t="str">
            <v>06</v>
          </cell>
          <cell r="D1677" t="str">
            <v>4</v>
          </cell>
          <cell r="E1677" t="str">
            <v>00</v>
          </cell>
          <cell r="F1677" t="str">
            <v>01</v>
          </cell>
          <cell r="G1677" t="str">
            <v>21</v>
          </cell>
          <cell r="H1677" t="str">
            <v>28</v>
          </cell>
          <cell r="I1677" t="str">
            <v>Pembinaan Pondok Pesantren, MDTA, dan Pondok Alquran</v>
          </cell>
          <cell r="J1677" t="str">
            <v>Jumlah Pondok Pesantren, MDTA, dan Pondok Alquran yang dibina</v>
          </cell>
          <cell r="K1677">
            <v>15</v>
          </cell>
          <cell r="L1677">
            <v>130000000</v>
          </cell>
          <cell r="O1677">
            <v>15</v>
          </cell>
          <cell r="P1677">
            <v>122100000</v>
          </cell>
          <cell r="R1677">
            <v>10140000</v>
          </cell>
          <cell r="S1677">
            <v>15</v>
          </cell>
          <cell r="T1677">
            <v>876000</v>
          </cell>
          <cell r="Y1677">
            <v>15</v>
          </cell>
          <cell r="Z1677">
            <v>11016000</v>
          </cell>
          <cell r="AA1677">
            <v>0</v>
          </cell>
          <cell r="AB1677">
            <v>11016000</v>
          </cell>
          <cell r="AC1677">
            <v>0</v>
          </cell>
          <cell r="AD1677">
            <v>8.4738461538461536</v>
          </cell>
        </row>
        <row r="1678">
          <cell r="A1678">
            <v>12</v>
          </cell>
          <cell r="B1678" t="str">
            <v>Meningkatkan Fasilitasi dan Koordinasi Penyelenggaraan Kegiatan Pemerintah Daerah Kabupaten Pesisir Selatan</v>
          </cell>
          <cell r="C1678">
            <v>10</v>
          </cell>
          <cell r="D1678" t="str">
            <v>4</v>
          </cell>
          <cell r="E1678" t="str">
            <v>00</v>
          </cell>
          <cell r="F1678" t="str">
            <v>01</v>
          </cell>
          <cell r="G1678" t="str">
            <v>18</v>
          </cell>
          <cell r="I1678" t="str">
            <v>Program Kerjasama Informasi dengan  Media Massa</v>
          </cell>
          <cell r="J1678" t="str">
            <v>Jumlah kerjasama dengan Media Massa dalam penyebaran informasi daerah yang diatur dalam perundang-undangan yang berlaku</v>
          </cell>
          <cell r="K1678">
            <v>160</v>
          </cell>
          <cell r="L1678">
            <v>11070000000</v>
          </cell>
          <cell r="M1678">
            <v>52</v>
          </cell>
          <cell r="N1678">
            <v>3046661947</v>
          </cell>
          <cell r="O1678">
            <v>27</v>
          </cell>
          <cell r="P1678">
            <v>750362759</v>
          </cell>
          <cell r="Q1678">
            <v>8</v>
          </cell>
          <cell r="R1678">
            <v>94803646</v>
          </cell>
          <cell r="T1678">
            <v>250365040</v>
          </cell>
          <cell r="Y1678">
            <v>8</v>
          </cell>
          <cell r="Z1678">
            <v>345168686</v>
          </cell>
          <cell r="AA1678">
            <v>60</v>
          </cell>
          <cell r="AB1678">
            <v>3391830633</v>
          </cell>
          <cell r="AC1678">
            <v>37.5</v>
          </cell>
          <cell r="AD1678">
            <v>30.639843116531168</v>
          </cell>
        </row>
        <row r="1679">
          <cell r="C1679">
            <v>10</v>
          </cell>
          <cell r="D1679" t="str">
            <v>4</v>
          </cell>
          <cell r="E1679" t="str">
            <v>00</v>
          </cell>
          <cell r="F1679" t="str">
            <v>01</v>
          </cell>
          <cell r="G1679" t="str">
            <v>18</v>
          </cell>
          <cell r="H1679" t="str">
            <v>01</v>
          </cell>
          <cell r="I1679" t="str">
            <v>Penyebarluasan Informasi Pembangunan Daerah</v>
          </cell>
          <cell r="J1679" t="str">
            <v>Jumlah kerja sama dengan Media Massa</v>
          </cell>
          <cell r="K1679">
            <v>160</v>
          </cell>
          <cell r="L1679">
            <v>4100000000</v>
          </cell>
          <cell r="M1679">
            <v>52</v>
          </cell>
          <cell r="N1679">
            <v>1166383360</v>
          </cell>
          <cell r="O1679">
            <v>27</v>
          </cell>
          <cell r="P1679">
            <v>268363355</v>
          </cell>
          <cell r="Q1679">
            <v>8</v>
          </cell>
          <cell r="R1679">
            <v>5318821</v>
          </cell>
          <cell r="S1679">
            <v>8</v>
          </cell>
          <cell r="T1679">
            <v>98812000</v>
          </cell>
          <cell r="Y1679">
            <v>16</v>
          </cell>
          <cell r="Z1679">
            <v>104130821</v>
          </cell>
          <cell r="AA1679">
            <v>60</v>
          </cell>
          <cell r="AB1679">
            <v>1270514181</v>
          </cell>
          <cell r="AC1679">
            <v>37.5</v>
          </cell>
          <cell r="AD1679">
            <v>30.988150756097561</v>
          </cell>
          <cell r="AE1679" t="str">
            <v>Bagian Humas dan Protokoler</v>
          </cell>
        </row>
        <row r="1680">
          <cell r="C1680">
            <v>10</v>
          </cell>
          <cell r="D1680" t="str">
            <v>4</v>
          </cell>
          <cell r="E1680" t="str">
            <v>00</v>
          </cell>
          <cell r="F1680" t="str">
            <v>01</v>
          </cell>
          <cell r="G1680" t="str">
            <v>18</v>
          </cell>
          <cell r="H1680" t="str">
            <v>04</v>
          </cell>
          <cell r="I1680" t="str">
            <v xml:space="preserve">Dokumentasi Kegiatan Pemerintah Daerah </v>
          </cell>
          <cell r="J1680" t="str">
            <v>Jumlah dokumen kegiatan pemerintah daerah</v>
          </cell>
          <cell r="K1680">
            <v>14700</v>
          </cell>
          <cell r="L1680">
            <v>1800000000</v>
          </cell>
          <cell r="M1680">
            <v>4800</v>
          </cell>
          <cell r="N1680">
            <v>340816611</v>
          </cell>
          <cell r="O1680">
            <v>2400</v>
          </cell>
          <cell r="P1680">
            <v>135705690</v>
          </cell>
          <cell r="Q1680">
            <v>1000</v>
          </cell>
          <cell r="R1680">
            <v>16020835</v>
          </cell>
          <cell r="S1680">
            <v>500</v>
          </cell>
          <cell r="T1680">
            <v>49468040</v>
          </cell>
          <cell r="Y1680">
            <v>1500</v>
          </cell>
          <cell r="Z1680">
            <v>65488875</v>
          </cell>
          <cell r="AA1680">
            <v>5800</v>
          </cell>
          <cell r="AB1680">
            <v>406305486</v>
          </cell>
          <cell r="AC1680">
            <v>39.455782312925166</v>
          </cell>
          <cell r="AD1680">
            <v>22.572527000000001</v>
          </cell>
        </row>
        <row r="1681">
          <cell r="C1681">
            <v>10</v>
          </cell>
          <cell r="D1681" t="str">
            <v>4</v>
          </cell>
          <cell r="E1681" t="str">
            <v>00</v>
          </cell>
          <cell r="F1681" t="str">
            <v>01</v>
          </cell>
          <cell r="G1681" t="str">
            <v>18</v>
          </cell>
          <cell r="H1681" t="str">
            <v>07</v>
          </cell>
          <cell r="I1681" t="str">
            <v>Publikasi dan Promosi Daerah</v>
          </cell>
          <cell r="J1681" t="str">
            <v>Jumlah publikasi dan promosi daerah</v>
          </cell>
          <cell r="K1681">
            <v>320</v>
          </cell>
          <cell r="L1681">
            <v>4800000000</v>
          </cell>
          <cell r="M1681">
            <v>90</v>
          </cell>
          <cell r="N1681">
            <v>1539461976</v>
          </cell>
          <cell r="O1681">
            <v>50</v>
          </cell>
          <cell r="P1681">
            <v>285789262</v>
          </cell>
          <cell r="Q1681">
            <v>20</v>
          </cell>
          <cell r="R1681">
            <v>73463990</v>
          </cell>
          <cell r="S1681">
            <v>7</v>
          </cell>
          <cell r="T1681">
            <v>98867000</v>
          </cell>
          <cell r="Y1681">
            <v>27</v>
          </cell>
          <cell r="Z1681">
            <v>172330990</v>
          </cell>
          <cell r="AA1681">
            <v>110</v>
          </cell>
          <cell r="AB1681">
            <v>1711792966</v>
          </cell>
          <cell r="AC1681">
            <v>34.375</v>
          </cell>
          <cell r="AD1681">
            <v>35.662353458333335</v>
          </cell>
        </row>
        <row r="1682">
          <cell r="C1682">
            <v>10</v>
          </cell>
          <cell r="D1682" t="str">
            <v>4</v>
          </cell>
          <cell r="E1682" t="str">
            <v>00</v>
          </cell>
          <cell r="F1682" t="str">
            <v>01</v>
          </cell>
          <cell r="G1682" t="str">
            <v>18</v>
          </cell>
          <cell r="H1682" t="str">
            <v>08</v>
          </cell>
          <cell r="I1682" t="str">
            <v>Bintek Kapasitas Kewartawanan dan Pers/Studi Banding</v>
          </cell>
          <cell r="J1682" t="str">
            <v>Jumlah Peserta Bintek Kewartawanan dan Pers</v>
          </cell>
          <cell r="K1682">
            <v>130</v>
          </cell>
          <cell r="L1682">
            <v>370000000</v>
          </cell>
          <cell r="O1682">
            <v>30</v>
          </cell>
          <cell r="P1682">
            <v>60504452</v>
          </cell>
          <cell r="T1682">
            <v>3218000</v>
          </cell>
          <cell r="Y1682">
            <v>0</v>
          </cell>
          <cell r="Z1682">
            <v>3218000</v>
          </cell>
          <cell r="AA1682">
            <v>0</v>
          </cell>
          <cell r="AB1682">
            <v>3218000</v>
          </cell>
        </row>
        <row r="1683">
          <cell r="A1683">
            <v>14</v>
          </cell>
          <cell r="C1683" t="str">
            <v>13</v>
          </cell>
          <cell r="D1683" t="str">
            <v>4</v>
          </cell>
          <cell r="E1683" t="str">
            <v>00</v>
          </cell>
          <cell r="F1683" t="str">
            <v>01</v>
          </cell>
          <cell r="G1683" t="str">
            <v>16</v>
          </cell>
          <cell r="I1683" t="str">
            <v>Program Peningkatan Peran serta Kepemudaan</v>
          </cell>
          <cell r="J1683" t="str">
            <v>Peringkat Pemuda  Pelopor Tingkat Provinsi</v>
          </cell>
          <cell r="K1683">
            <v>69</v>
          </cell>
          <cell r="L1683">
            <v>345000000</v>
          </cell>
          <cell r="M1683">
            <v>6</v>
          </cell>
          <cell r="N1683">
            <v>66593200</v>
          </cell>
          <cell r="O1683">
            <v>3</v>
          </cell>
          <cell r="P1683">
            <v>41080642</v>
          </cell>
          <cell r="Q1683">
            <v>0</v>
          </cell>
          <cell r="R1683">
            <v>500000</v>
          </cell>
          <cell r="S1683">
            <v>1</v>
          </cell>
          <cell r="T1683">
            <v>6391000</v>
          </cell>
          <cell r="Y1683">
            <v>1</v>
          </cell>
          <cell r="Z1683">
            <v>6891000</v>
          </cell>
          <cell r="AA1683">
            <v>6</v>
          </cell>
          <cell r="AB1683">
            <v>73484200</v>
          </cell>
          <cell r="AC1683">
            <v>8.695652173913043</v>
          </cell>
          <cell r="AD1683">
            <v>21.299768115942026</v>
          </cell>
        </row>
        <row r="1684">
          <cell r="C1684" t="str">
            <v>13</v>
          </cell>
          <cell r="D1684" t="str">
            <v>4</v>
          </cell>
          <cell r="E1684" t="str">
            <v>00</v>
          </cell>
          <cell r="F1684" t="str">
            <v>01</v>
          </cell>
          <cell r="G1684" t="str">
            <v>16</v>
          </cell>
          <cell r="H1684" t="str">
            <v>06</v>
          </cell>
          <cell r="I1684" t="str">
            <v>Pembinaan Hasil karya Pemuda Pelopor</v>
          </cell>
          <cell r="J1684" t="str">
            <v>Jumlah pemuda pelopor yang dibina</v>
          </cell>
          <cell r="K1684">
            <v>69</v>
          </cell>
          <cell r="L1684">
            <v>345000000</v>
          </cell>
          <cell r="M1684">
            <v>6</v>
          </cell>
          <cell r="N1684">
            <v>66593200</v>
          </cell>
          <cell r="O1684">
            <v>3</v>
          </cell>
          <cell r="P1684">
            <v>41080642</v>
          </cell>
          <cell r="Q1684">
            <v>0</v>
          </cell>
          <cell r="R1684">
            <v>500000</v>
          </cell>
          <cell r="S1684">
            <v>1</v>
          </cell>
          <cell r="T1684">
            <v>6391000</v>
          </cell>
          <cell r="Y1684">
            <v>1</v>
          </cell>
          <cell r="Z1684">
            <v>6891000</v>
          </cell>
          <cell r="AA1684">
            <v>6</v>
          </cell>
          <cell r="AB1684">
            <v>73484200</v>
          </cell>
          <cell r="AC1684">
            <v>8.695652173913043</v>
          </cell>
          <cell r="AD1684">
            <v>21.299768115942026</v>
          </cell>
        </row>
        <row r="1685">
          <cell r="A1685">
            <v>14</v>
          </cell>
          <cell r="B1685" t="str">
            <v>Meningkatkan Pembinaan Keagamaan dan Sosial Kemasyarakatan</v>
          </cell>
          <cell r="C1685" t="str">
            <v>13</v>
          </cell>
          <cell r="D1685" t="str">
            <v>4</v>
          </cell>
          <cell r="E1685" t="str">
            <v>00</v>
          </cell>
          <cell r="F1685" t="str">
            <v>01</v>
          </cell>
          <cell r="G1685" t="str">
            <v>20</v>
          </cell>
          <cell r="I1685" t="str">
            <v>Program Pembinaan dan Pemasyarakatan Olahraga</v>
          </cell>
          <cell r="J1685" t="str">
            <v>Persentase PNS Yang Mengikuti Olah Raga</v>
          </cell>
          <cell r="K1685">
            <v>555</v>
          </cell>
          <cell r="L1685">
            <v>295000000</v>
          </cell>
          <cell r="M1685">
            <v>175</v>
          </cell>
          <cell r="N1685">
            <v>50089800</v>
          </cell>
          <cell r="O1685">
            <v>95</v>
          </cell>
          <cell r="P1685">
            <v>33738400.75</v>
          </cell>
          <cell r="Q1685">
            <v>50</v>
          </cell>
          <cell r="R1685">
            <v>5150000</v>
          </cell>
          <cell r="S1685">
            <v>6</v>
          </cell>
          <cell r="T1685">
            <v>8026000</v>
          </cell>
          <cell r="Y1685">
            <v>56</v>
          </cell>
          <cell r="Z1685">
            <v>13176000</v>
          </cell>
          <cell r="AA1685">
            <v>225</v>
          </cell>
          <cell r="AB1685">
            <v>63265800</v>
          </cell>
          <cell r="AC1685">
            <v>40.54054054054054</v>
          </cell>
          <cell r="AD1685">
            <v>21.446033898305082</v>
          </cell>
        </row>
        <row r="1686">
          <cell r="C1686" t="str">
            <v>13</v>
          </cell>
          <cell r="D1686" t="str">
            <v>4</v>
          </cell>
          <cell r="E1686" t="str">
            <v>00</v>
          </cell>
          <cell r="F1686" t="str">
            <v>01</v>
          </cell>
          <cell r="G1686" t="str">
            <v>20</v>
          </cell>
          <cell r="H1686" t="str">
            <v>18</v>
          </cell>
          <cell r="I1686" t="str">
            <v>Pemasyarakatan Olahraga Aparatur</v>
          </cell>
          <cell r="J1686" t="str">
            <v>Jumlah kegiatan olahraga aparatur yang dilaksanakan</v>
          </cell>
          <cell r="K1686">
            <v>144</v>
          </cell>
          <cell r="L1686">
            <v>295000000</v>
          </cell>
          <cell r="M1686">
            <v>48</v>
          </cell>
          <cell r="N1686">
            <v>50089800</v>
          </cell>
          <cell r="O1686">
            <v>24</v>
          </cell>
          <cell r="P1686">
            <v>33738400.75</v>
          </cell>
          <cell r="Q1686">
            <v>6</v>
          </cell>
          <cell r="R1686">
            <v>5150000</v>
          </cell>
          <cell r="S1686">
            <v>6</v>
          </cell>
          <cell r="T1686">
            <v>8026000</v>
          </cell>
          <cell r="Y1686">
            <v>12</v>
          </cell>
          <cell r="Z1686">
            <v>13176000</v>
          </cell>
          <cell r="AA1686">
            <v>54</v>
          </cell>
          <cell r="AB1686">
            <v>63265800</v>
          </cell>
          <cell r="AC1686">
            <v>37.5</v>
          </cell>
          <cell r="AD1686">
            <v>21.446033898305082</v>
          </cell>
        </row>
        <row r="1687">
          <cell r="A1687">
            <v>15</v>
          </cell>
          <cell r="B1687" t="str">
            <v>Meningkatkan Akuntabilitas Kinerja Instansi Pemerintah</v>
          </cell>
          <cell r="C1687" t="str">
            <v>18</v>
          </cell>
          <cell r="D1687" t="str">
            <v>4</v>
          </cell>
          <cell r="E1687" t="str">
            <v>00</v>
          </cell>
          <cell r="F1687" t="str">
            <v>01</v>
          </cell>
          <cell r="G1687" t="str">
            <v>16</v>
          </cell>
          <cell r="I1687" t="str">
            <v>Program Penyelamatan dan Pelestarian Dokumen/Arsip Daerah</v>
          </cell>
          <cell r="J1687" t="str">
            <v>Persentase Arsip Sekretariat Daerah yang terkelola dengan baik</v>
          </cell>
          <cell r="K1687">
            <v>490</v>
          </cell>
          <cell r="L1687">
            <v>1385000000</v>
          </cell>
          <cell r="M1687">
            <v>145</v>
          </cell>
          <cell r="N1687">
            <v>268296673</v>
          </cell>
          <cell r="O1687">
            <v>80</v>
          </cell>
          <cell r="P1687">
            <v>60795772</v>
          </cell>
          <cell r="Q1687">
            <v>40</v>
          </cell>
          <cell r="R1687">
            <v>5032000</v>
          </cell>
          <cell r="T1687">
            <v>18603000</v>
          </cell>
          <cell r="Y1687">
            <v>40</v>
          </cell>
          <cell r="Z1687">
            <v>23635000</v>
          </cell>
          <cell r="AA1687">
            <v>185</v>
          </cell>
          <cell r="AB1687">
            <v>291931673</v>
          </cell>
          <cell r="AC1687">
            <v>37.755102040816325</v>
          </cell>
          <cell r="AD1687">
            <v>21.078099133574007</v>
          </cell>
        </row>
        <row r="1688">
          <cell r="C1688" t="str">
            <v>18</v>
          </cell>
          <cell r="D1688" t="str">
            <v>4</v>
          </cell>
          <cell r="E1688" t="str">
            <v>00</v>
          </cell>
          <cell r="F1688" t="str">
            <v>01</v>
          </cell>
          <cell r="G1688" t="str">
            <v>16</v>
          </cell>
          <cell r="H1688" t="str">
            <v>02</v>
          </cell>
          <cell r="I1688" t="str">
            <v>Pendataan dan Penataan Dokumen/Arsip Daerah</v>
          </cell>
          <cell r="J1688" t="str">
            <v>Jumlah arsip Lingkup Setda yang ditata</v>
          </cell>
          <cell r="K1688">
            <v>14000</v>
          </cell>
          <cell r="L1688">
            <v>1385000000</v>
          </cell>
          <cell r="M1688">
            <v>4000</v>
          </cell>
          <cell r="N1688">
            <v>268296673</v>
          </cell>
          <cell r="O1688">
            <v>2500</v>
          </cell>
          <cell r="P1688">
            <v>60795772</v>
          </cell>
          <cell r="Q1688">
            <v>1000</v>
          </cell>
          <cell r="R1688">
            <v>5032000</v>
          </cell>
          <cell r="S1688">
            <v>400</v>
          </cell>
          <cell r="T1688">
            <v>18603000</v>
          </cell>
          <cell r="Y1688">
            <v>1400</v>
          </cell>
          <cell r="Z1688">
            <v>23635000</v>
          </cell>
          <cell r="AA1688">
            <v>5000</v>
          </cell>
          <cell r="AB1688">
            <v>291931673</v>
          </cell>
          <cell r="AC1688">
            <v>35.714285714285715</v>
          </cell>
          <cell r="AD1688">
            <v>21.078099133574007</v>
          </cell>
        </row>
        <row r="1689">
          <cell r="A1689">
            <v>16</v>
          </cell>
          <cell r="B1689" t="str">
            <v>Meningkatkan Fasilitasi dan Koordinasi Penyelenggaraan Kegiatan Pemerintah Daerah Kabupaten Pesisir Selatan</v>
          </cell>
          <cell r="C1689" t="str">
            <v>06</v>
          </cell>
          <cell r="D1689" t="str">
            <v>4</v>
          </cell>
          <cell r="E1689" t="str">
            <v>00</v>
          </cell>
          <cell r="F1689" t="str">
            <v>01</v>
          </cell>
          <cell r="G1689" t="str">
            <v>18</v>
          </cell>
          <cell r="I1689" t="str">
            <v>Program Peningkatan Efisensi Perdagangan Dalam Negeri</v>
          </cell>
          <cell r="J1689" t="str">
            <v>Jumlah rekomendasi untuk pengendalian harga dan inflasi daerah</v>
          </cell>
          <cell r="K1689">
            <v>3</v>
          </cell>
          <cell r="L1689">
            <v>440000000</v>
          </cell>
          <cell r="P1689">
            <v>45651400</v>
          </cell>
          <cell r="Q1689">
            <v>1</v>
          </cell>
          <cell r="R1689">
            <v>3289000</v>
          </cell>
          <cell r="T1689">
            <v>18406600</v>
          </cell>
          <cell r="Y1689">
            <v>1</v>
          </cell>
          <cell r="Z1689">
            <v>21695600</v>
          </cell>
          <cell r="AA1689">
            <v>1</v>
          </cell>
          <cell r="AB1689">
            <v>21695600</v>
          </cell>
          <cell r="AC1689">
            <v>33.333333333333329</v>
          </cell>
          <cell r="AD1689">
            <v>4.9308181818181822</v>
          </cell>
        </row>
        <row r="1690">
          <cell r="C1690" t="str">
            <v>06</v>
          </cell>
          <cell r="D1690" t="str">
            <v>4</v>
          </cell>
          <cell r="E1690" t="str">
            <v>00</v>
          </cell>
          <cell r="F1690" t="str">
            <v>01</v>
          </cell>
          <cell r="G1690" t="str">
            <v>18</v>
          </cell>
          <cell r="H1690" t="str">
            <v>62</v>
          </cell>
          <cell r="I1690" t="str">
            <v>Monitoring dan Evaluasi Penyaluran Kredit Usaha Rakyat (KUR)</v>
          </cell>
          <cell r="J1690" t="str">
            <v>Jumlah Penerima KUR yang dimonitoring dan dievaluasi</v>
          </cell>
          <cell r="K1690">
            <v>90</v>
          </cell>
          <cell r="L1690">
            <v>440000000</v>
          </cell>
          <cell r="O1690">
            <v>15</v>
          </cell>
          <cell r="P1690">
            <v>45651400</v>
          </cell>
          <cell r="Q1690">
            <v>2</v>
          </cell>
          <cell r="R1690">
            <v>3289000</v>
          </cell>
          <cell r="S1690">
            <v>5</v>
          </cell>
          <cell r="T1690">
            <v>18406600</v>
          </cell>
          <cell r="Y1690">
            <v>7</v>
          </cell>
          <cell r="Z1690">
            <v>21695600</v>
          </cell>
          <cell r="AA1690">
            <v>2</v>
          </cell>
          <cell r="AB1690">
            <v>21695600</v>
          </cell>
          <cell r="AC1690">
            <v>2.2222222222222223</v>
          </cell>
          <cell r="AD1690">
            <v>4.9308181818181822</v>
          </cell>
        </row>
        <row r="1691">
          <cell r="A1691">
            <v>17</v>
          </cell>
          <cell r="B1691" t="str">
            <v>Meningkatkan Fasilitasi dan Koordinasi Penyelenggaraan Kegiatan Pemerintah Daerah Kabupaten Pesisir Selatan</v>
          </cell>
          <cell r="C1691" t="str">
            <v>01</v>
          </cell>
          <cell r="D1691" t="str">
            <v>4</v>
          </cell>
          <cell r="E1691" t="str">
            <v>00</v>
          </cell>
          <cell r="F1691" t="str">
            <v>01</v>
          </cell>
          <cell r="G1691" t="str">
            <v>20</v>
          </cell>
          <cell r="I1691" t="str">
            <v>Program Peningkatan Sistem Pengawasan Internal dan Pengendalian Pelaksanaan Kebijakan KDH</v>
          </cell>
          <cell r="J1691" t="str">
            <v>Persentase penyampaian perkembangan fisik dan keuangan OPD sesuai target dan tepat waktu</v>
          </cell>
          <cell r="K1691">
            <v>450</v>
          </cell>
          <cell r="L1691">
            <v>5490000000</v>
          </cell>
          <cell r="M1691">
            <v>150</v>
          </cell>
          <cell r="N1691">
            <v>1374303662</v>
          </cell>
          <cell r="O1691">
            <v>75</v>
          </cell>
          <cell r="P1691">
            <v>312333192.25</v>
          </cell>
          <cell r="Q1691">
            <v>50</v>
          </cell>
          <cell r="R1691">
            <v>79602700</v>
          </cell>
          <cell r="S1691">
            <v>12</v>
          </cell>
          <cell r="T1691">
            <v>85978550</v>
          </cell>
          <cell r="Y1691">
            <v>62</v>
          </cell>
          <cell r="Z1691">
            <v>165581250</v>
          </cell>
          <cell r="AA1691">
            <v>200</v>
          </cell>
          <cell r="AB1691">
            <v>1539884912</v>
          </cell>
          <cell r="AC1691">
            <v>44.444444444444443</v>
          </cell>
          <cell r="AD1691">
            <v>28.048905500910749</v>
          </cell>
        </row>
        <row r="1692">
          <cell r="C1692" t="str">
            <v>01</v>
          </cell>
          <cell r="D1692" t="str">
            <v>4</v>
          </cell>
          <cell r="E1692" t="str">
            <v>00</v>
          </cell>
          <cell r="F1692" t="str">
            <v>01</v>
          </cell>
          <cell r="G1692" t="str">
            <v>20</v>
          </cell>
          <cell r="H1692" t="str">
            <v>20</v>
          </cell>
          <cell r="I1692" t="str">
            <v>Optimalisasi Fungsi Koordinasi Bidang Ekonomi, Pembangunan dan Kesra</v>
          </cell>
          <cell r="J1692" t="str">
            <v>Jumlah Koordinasi Asisten Bidang Perekonomian dan Pembangunan</v>
          </cell>
          <cell r="K1692">
            <v>72</v>
          </cell>
          <cell r="L1692">
            <v>900000000</v>
          </cell>
          <cell r="M1692">
            <v>24</v>
          </cell>
          <cell r="N1692">
            <v>250024865</v>
          </cell>
          <cell r="O1692">
            <v>12</v>
          </cell>
          <cell r="P1692">
            <v>59829797.75</v>
          </cell>
          <cell r="Q1692">
            <v>3</v>
          </cell>
          <cell r="R1692">
            <v>15991800</v>
          </cell>
          <cell r="S1692">
            <v>3</v>
          </cell>
          <cell r="T1692">
            <v>15931500</v>
          </cell>
          <cell r="Y1692">
            <v>6</v>
          </cell>
          <cell r="Z1692">
            <v>31923300</v>
          </cell>
          <cell r="AA1692">
            <v>27</v>
          </cell>
          <cell r="AB1692">
            <v>281948165</v>
          </cell>
          <cell r="AC1692">
            <v>37.5</v>
          </cell>
          <cell r="AD1692">
            <v>31.327573888888889</v>
          </cell>
          <cell r="AE1692" t="str">
            <v>Asisten II</v>
          </cell>
        </row>
        <row r="1693">
          <cell r="C1693" t="str">
            <v>01</v>
          </cell>
          <cell r="D1693" t="str">
            <v>4</v>
          </cell>
          <cell r="E1693" t="str">
            <v>00</v>
          </cell>
          <cell r="F1693" t="str">
            <v>01</v>
          </cell>
          <cell r="G1693" t="str">
            <v>20</v>
          </cell>
          <cell r="H1693" t="str">
            <v>27</v>
          </cell>
          <cell r="I1693" t="str">
            <v>Pengendalian Program Pembangunan Daerah</v>
          </cell>
          <cell r="J1693" t="str">
            <v>Jumlah rapat evaluasi dan monitoring program pembangunan daerah yang dilaksanakan</v>
          </cell>
          <cell r="K1693">
            <v>24</v>
          </cell>
          <cell r="L1693">
            <v>730000000</v>
          </cell>
          <cell r="M1693">
            <v>8</v>
          </cell>
          <cell r="N1693">
            <v>117356018</v>
          </cell>
          <cell r="O1693">
            <v>4</v>
          </cell>
          <cell r="P1693">
            <v>72959900</v>
          </cell>
          <cell r="Q1693">
            <v>1</v>
          </cell>
          <cell r="R1693">
            <v>9834700</v>
          </cell>
          <cell r="S1693">
            <v>0</v>
          </cell>
          <cell r="T1693">
            <v>19617850</v>
          </cell>
          <cell r="Y1693">
            <v>1</v>
          </cell>
          <cell r="Z1693">
            <v>29452550</v>
          </cell>
          <cell r="AA1693">
            <v>9</v>
          </cell>
          <cell r="AB1693">
            <v>146808568</v>
          </cell>
          <cell r="AC1693">
            <v>37.5</v>
          </cell>
          <cell r="AD1693">
            <v>20.110762739726027</v>
          </cell>
          <cell r="AE1693" t="str">
            <v>Bagian Pembangunan dan Insfrastruktur</v>
          </cell>
        </row>
        <row r="1694">
          <cell r="C1694" t="str">
            <v>01</v>
          </cell>
          <cell r="D1694" t="str">
            <v>4</v>
          </cell>
          <cell r="E1694" t="str">
            <v>00</v>
          </cell>
          <cell r="F1694" t="str">
            <v>01</v>
          </cell>
          <cell r="G1694" t="str">
            <v>20</v>
          </cell>
          <cell r="H1694" t="str">
            <v>28</v>
          </cell>
          <cell r="I1694" t="str">
            <v>Pemantapan dan Optimalisasi Fungsi Staf Ahli Bupati</v>
          </cell>
          <cell r="J1694" t="str">
            <v>Jumlah Rekomendasi Staf Ahli Bupati</v>
          </cell>
          <cell r="K1694">
            <v>72</v>
          </cell>
          <cell r="L1694">
            <v>2060000000</v>
          </cell>
          <cell r="M1694">
            <v>24</v>
          </cell>
          <cell r="N1694">
            <v>494918570</v>
          </cell>
          <cell r="O1694">
            <v>12</v>
          </cell>
          <cell r="P1694">
            <v>59839474.5</v>
          </cell>
          <cell r="Q1694">
            <v>3</v>
          </cell>
          <cell r="R1694">
            <v>30398000</v>
          </cell>
          <cell r="S1694">
            <v>3</v>
          </cell>
          <cell r="T1694">
            <v>16253000</v>
          </cell>
          <cell r="Y1694">
            <v>6</v>
          </cell>
          <cell r="Z1694">
            <v>46651000</v>
          </cell>
          <cell r="AA1694">
            <v>27</v>
          </cell>
          <cell r="AB1694">
            <v>541569570</v>
          </cell>
          <cell r="AC1694">
            <v>37.5</v>
          </cell>
          <cell r="AD1694">
            <v>26.289784951456312</v>
          </cell>
          <cell r="AE1694" t="str">
            <v>Staf Ahli</v>
          </cell>
        </row>
        <row r="1695">
          <cell r="C1695" t="str">
            <v>01</v>
          </cell>
          <cell r="D1695" t="str">
            <v>4</v>
          </cell>
          <cell r="E1695" t="str">
            <v>00</v>
          </cell>
          <cell r="F1695" t="str">
            <v>01</v>
          </cell>
          <cell r="G1695" t="str">
            <v>20</v>
          </cell>
          <cell r="H1695" t="str">
            <v>29</v>
          </cell>
          <cell r="I1695" t="str">
            <v xml:space="preserve">Optimalisasi Fungsi Koordinasi Bidang Umum, Organisasi dan Keuangan </v>
          </cell>
          <cell r="J1695" t="str">
            <v>Jumlah Koordinasi Asisten Bidang Administrasi Umum</v>
          </cell>
          <cell r="K1695">
            <v>72</v>
          </cell>
          <cell r="L1695">
            <v>900000000</v>
          </cell>
          <cell r="M1695">
            <v>24</v>
          </cell>
          <cell r="N1695">
            <v>249122028</v>
          </cell>
          <cell r="O1695">
            <v>12</v>
          </cell>
          <cell r="P1695">
            <v>59855384</v>
          </cell>
          <cell r="Q1695">
            <v>3</v>
          </cell>
          <cell r="R1695">
            <v>2964200</v>
          </cell>
          <cell r="S1695">
            <v>3</v>
          </cell>
          <cell r="T1695">
            <v>14621200</v>
          </cell>
          <cell r="Y1695">
            <v>6</v>
          </cell>
          <cell r="Z1695">
            <v>17585400</v>
          </cell>
          <cell r="AA1695">
            <v>27</v>
          </cell>
          <cell r="AB1695">
            <v>266707428</v>
          </cell>
          <cell r="AC1695">
            <v>37.5</v>
          </cell>
          <cell r="AD1695">
            <v>29.634158666666664</v>
          </cell>
          <cell r="AE1695" t="str">
            <v>Asisten III</v>
          </cell>
        </row>
        <row r="1696">
          <cell r="C1696" t="str">
            <v>01</v>
          </cell>
          <cell r="D1696" t="str">
            <v>4</v>
          </cell>
          <cell r="E1696" t="str">
            <v>00</v>
          </cell>
          <cell r="F1696" t="str">
            <v>01</v>
          </cell>
          <cell r="G1696" t="str">
            <v>20</v>
          </cell>
          <cell r="H1696" t="str">
            <v>30</v>
          </cell>
          <cell r="I1696" t="str">
            <v>Optimalisasi Fungsi Koordinasi Bidang Pemerintahan, Politik dan Hukum</v>
          </cell>
          <cell r="J1696" t="str">
            <v>Jumlah Koordinasi Asisten Bidang Pemerintahan dan Kesejahteraan Rakyat</v>
          </cell>
          <cell r="K1696">
            <v>72</v>
          </cell>
          <cell r="L1696">
            <v>900000000</v>
          </cell>
          <cell r="M1696">
            <v>24</v>
          </cell>
          <cell r="N1696">
            <v>262882181</v>
          </cell>
          <cell r="O1696">
            <v>12</v>
          </cell>
          <cell r="P1696">
            <v>59848636</v>
          </cell>
          <cell r="Q1696">
            <v>3</v>
          </cell>
          <cell r="R1696">
            <v>20414000</v>
          </cell>
          <cell r="S1696">
            <v>3</v>
          </cell>
          <cell r="T1696">
            <v>19555000</v>
          </cell>
          <cell r="Y1696">
            <v>6</v>
          </cell>
          <cell r="Z1696">
            <v>39969000</v>
          </cell>
          <cell r="AA1696">
            <v>27</v>
          </cell>
          <cell r="AB1696">
            <v>302851181</v>
          </cell>
          <cell r="AC1696">
            <v>37.5</v>
          </cell>
          <cell r="AD1696">
            <v>33.650131222222221</v>
          </cell>
          <cell r="AE1696" t="str">
            <v>Asisten I</v>
          </cell>
        </row>
        <row r="1697">
          <cell r="A1697">
            <v>18</v>
          </cell>
          <cell r="B1697" t="str">
            <v>Meningkatkan Kualitas Pelayanan Publik</v>
          </cell>
          <cell r="C1697" t="str">
            <v>01</v>
          </cell>
          <cell r="D1697" t="str">
            <v>4</v>
          </cell>
          <cell r="E1697" t="str">
            <v>00</v>
          </cell>
          <cell r="F1697" t="str">
            <v>01</v>
          </cell>
          <cell r="G1697" t="str">
            <v>22</v>
          </cell>
          <cell r="I1697" t="str">
            <v xml:space="preserve">Program Penataan dan Penyempurnaan Kebijakan Sistem dan Prosedur Pengawasan </v>
          </cell>
          <cell r="J1697" t="str">
            <v xml:space="preserve">Persentase pelelangan yang sesuai dengan aturan yang berlaku            </v>
          </cell>
          <cell r="K1697">
            <v>564</v>
          </cell>
          <cell r="L1697">
            <v>4990593573</v>
          </cell>
          <cell r="M1697">
            <v>184</v>
          </cell>
          <cell r="N1697">
            <v>659265875</v>
          </cell>
          <cell r="O1697">
            <v>95</v>
          </cell>
          <cell r="P1697">
            <v>670922559.25</v>
          </cell>
          <cell r="Q1697">
            <v>35</v>
          </cell>
          <cell r="R1697">
            <v>45773100</v>
          </cell>
          <cell r="S1697">
            <v>35</v>
          </cell>
          <cell r="T1697">
            <v>125825900</v>
          </cell>
          <cell r="Y1697">
            <v>70</v>
          </cell>
          <cell r="Z1697">
            <v>171599000</v>
          </cell>
          <cell r="AA1697">
            <v>219</v>
          </cell>
          <cell r="AB1697">
            <v>830864875</v>
          </cell>
          <cell r="AC1697">
            <v>38.829787234042549</v>
          </cell>
          <cell r="AD1697">
            <v>16.648618302542747</v>
          </cell>
        </row>
        <row r="1698">
          <cell r="J1698" t="str">
            <v>Persentase pengadaan barang/jasa yang dilaksanakan melalui SPSE</v>
          </cell>
          <cell r="K1698">
            <v>195</v>
          </cell>
          <cell r="M1698">
            <v>45</v>
          </cell>
          <cell r="O1698">
            <v>35</v>
          </cell>
          <cell r="Q1698">
            <v>35</v>
          </cell>
          <cell r="Y1698">
            <v>35</v>
          </cell>
          <cell r="Z1698">
            <v>0</v>
          </cell>
          <cell r="AA1698">
            <v>80</v>
          </cell>
          <cell r="AB1698">
            <v>0</v>
          </cell>
          <cell r="AC1698">
            <v>41.025641025641022</v>
          </cell>
        </row>
        <row r="1699">
          <cell r="C1699" t="str">
            <v>01</v>
          </cell>
          <cell r="D1699" t="str">
            <v>4</v>
          </cell>
          <cell r="E1699" t="str">
            <v>00</v>
          </cell>
          <cell r="F1699" t="str">
            <v>01</v>
          </cell>
          <cell r="G1699" t="str">
            <v>22</v>
          </cell>
          <cell r="H1699" t="str">
            <v>02</v>
          </cell>
          <cell r="I1699" t="str">
            <v>Evaluasi, Pelaporan dan Pengelolaan Dokumen Pengadaan Barang dan Jasa</v>
          </cell>
          <cell r="J1699" t="str">
            <v>Jumlah dokumen evaluasi, pelaporan dan pengelolaan pengadaan barang dan jasa</v>
          </cell>
          <cell r="K1699">
            <v>612</v>
          </cell>
          <cell r="L1699">
            <v>685000000</v>
          </cell>
          <cell r="M1699">
            <v>162</v>
          </cell>
          <cell r="N1699">
            <v>79120958</v>
          </cell>
          <cell r="O1699">
            <v>150</v>
          </cell>
          <cell r="P1699">
            <v>180225444.5</v>
          </cell>
          <cell r="Q1699">
            <v>80</v>
          </cell>
          <cell r="R1699">
            <v>5660100</v>
          </cell>
          <cell r="S1699">
            <v>30</v>
          </cell>
          <cell r="T1699">
            <v>47125400</v>
          </cell>
          <cell r="Y1699">
            <v>110</v>
          </cell>
          <cell r="Z1699">
            <v>52785500</v>
          </cell>
          <cell r="AA1699">
            <v>242</v>
          </cell>
          <cell r="AB1699">
            <v>131906458</v>
          </cell>
          <cell r="AC1699">
            <v>39.542483660130721</v>
          </cell>
          <cell r="AD1699">
            <v>19.256417226277371</v>
          </cell>
        </row>
        <row r="1700">
          <cell r="C1700" t="str">
            <v>01</v>
          </cell>
          <cell r="D1700" t="str">
            <v>4</v>
          </cell>
          <cell r="E1700" t="str">
            <v>00</v>
          </cell>
          <cell r="F1700" t="str">
            <v>01</v>
          </cell>
          <cell r="G1700" t="str">
            <v>22</v>
          </cell>
          <cell r="H1700" t="str">
            <v>04</v>
          </cell>
          <cell r="I1700" t="str">
            <v>Pembinaan dan Pengawasan Jasa Kontruksi</v>
          </cell>
          <cell r="J1700" t="str">
            <v>Jumlah Pembinaan dan Pengawasan Jasa Konstruksi yang dilaksanakan</v>
          </cell>
          <cell r="K1700">
            <v>144</v>
          </cell>
          <cell r="L1700">
            <v>439750000</v>
          </cell>
          <cell r="M1700">
            <v>24</v>
          </cell>
          <cell r="N1700">
            <v>54871800</v>
          </cell>
          <cell r="O1700">
            <v>24</v>
          </cell>
          <cell r="P1700">
            <v>16348950</v>
          </cell>
          <cell r="Q1700">
            <v>1</v>
          </cell>
          <cell r="R1700">
            <v>1012000</v>
          </cell>
          <cell r="T1700">
            <v>0</v>
          </cell>
          <cell r="Y1700">
            <v>1</v>
          </cell>
          <cell r="Z1700">
            <v>1012000</v>
          </cell>
          <cell r="AA1700">
            <v>25</v>
          </cell>
          <cell r="AB1700">
            <v>55883800</v>
          </cell>
          <cell r="AC1700">
            <v>17.361111111111111</v>
          </cell>
          <cell r="AD1700">
            <v>12.708084138715178</v>
          </cell>
        </row>
        <row r="1701">
          <cell r="C1701" t="str">
            <v>01</v>
          </cell>
          <cell r="D1701" t="str">
            <v>4</v>
          </cell>
          <cell r="E1701" t="str">
            <v>00</v>
          </cell>
          <cell r="F1701" t="str">
            <v>01</v>
          </cell>
          <cell r="G1701" t="str">
            <v>22</v>
          </cell>
          <cell r="H1701" t="str">
            <v>07</v>
          </cell>
          <cell r="I1701" t="str">
            <v>Pelayanan Pengadaan Secara Elektronik</v>
          </cell>
          <cell r="J1701" t="str">
            <v>Jumlah badan/lembaga yang difasilitasi dalam pelayanan pengadaan barang dan jasa secara elektronik</v>
          </cell>
          <cell r="K1701">
            <v>135</v>
          </cell>
          <cell r="L1701">
            <v>745843573</v>
          </cell>
          <cell r="M1701">
            <v>90</v>
          </cell>
          <cell r="N1701">
            <v>414744830</v>
          </cell>
          <cell r="O1701">
            <v>45</v>
          </cell>
          <cell r="P1701">
            <v>182254697.75</v>
          </cell>
          <cell r="Q1701">
            <v>45</v>
          </cell>
          <cell r="R1701">
            <v>13693000</v>
          </cell>
          <cell r="S1701">
            <v>45</v>
          </cell>
          <cell r="T1701">
            <v>28993600</v>
          </cell>
          <cell r="Y1701">
            <v>90</v>
          </cell>
          <cell r="Z1701">
            <v>42686600</v>
          </cell>
          <cell r="AA1701">
            <v>135</v>
          </cell>
          <cell r="AB1701">
            <v>457431430</v>
          </cell>
          <cell r="AC1701">
            <v>100</v>
          </cell>
          <cell r="AD1701">
            <v>61.330746360135223</v>
          </cell>
        </row>
        <row r="1702">
          <cell r="C1702" t="str">
            <v>01</v>
          </cell>
          <cell r="D1702" t="str">
            <v>4</v>
          </cell>
          <cell r="E1702" t="str">
            <v>00</v>
          </cell>
          <cell r="F1702" t="str">
            <v>01</v>
          </cell>
          <cell r="G1702" t="str">
            <v>22</v>
          </cell>
          <cell r="H1702" t="str">
            <v>08</v>
          </cell>
          <cell r="I1702" t="str">
            <v>Fasilitasi Lelang dan Klarifikasi PBJ</v>
          </cell>
          <cell r="J1702" t="str">
            <v>Jumlah Fasilitasi dan Klarifikasi Lelang</v>
          </cell>
          <cell r="K1702">
            <v>725</v>
          </cell>
          <cell r="L1702">
            <v>1025000000</v>
          </cell>
          <cell r="O1702">
            <v>150</v>
          </cell>
          <cell r="P1702">
            <v>118175411</v>
          </cell>
          <cell r="Q1702">
            <v>80</v>
          </cell>
          <cell r="R1702">
            <v>18162600</v>
          </cell>
          <cell r="S1702">
            <v>30</v>
          </cell>
          <cell r="T1702">
            <v>24983300</v>
          </cell>
          <cell r="Y1702">
            <v>110</v>
          </cell>
          <cell r="Z1702">
            <v>43145900</v>
          </cell>
          <cell r="AA1702">
            <v>80</v>
          </cell>
          <cell r="AB1702">
            <v>43145900</v>
          </cell>
          <cell r="AC1702">
            <v>11.03448275862069</v>
          </cell>
          <cell r="AD1702">
            <v>4.2093560975609758</v>
          </cell>
        </row>
        <row r="1703">
          <cell r="C1703" t="str">
            <v>01</v>
          </cell>
          <cell r="D1703" t="str">
            <v>4</v>
          </cell>
          <cell r="E1703" t="str">
            <v>00</v>
          </cell>
          <cell r="F1703" t="str">
            <v>01</v>
          </cell>
          <cell r="G1703" t="str">
            <v>22</v>
          </cell>
          <cell r="H1703" t="str">
            <v>11</v>
          </cell>
          <cell r="I1703" t="str">
            <v>Penyusunan Standar Dokumen Pengadaan Barang / Jasa Daerah</v>
          </cell>
          <cell r="J1703" t="str">
            <v>Jumlah Standar Dokumen Pengadaan Barang dan Jasa</v>
          </cell>
          <cell r="K1703">
            <v>4</v>
          </cell>
          <cell r="L1703">
            <v>470000000</v>
          </cell>
          <cell r="O1703">
            <v>1</v>
          </cell>
          <cell r="P1703">
            <v>50675521.5</v>
          </cell>
          <cell r="R1703">
            <v>1267700</v>
          </cell>
          <cell r="T1703">
            <v>8577900</v>
          </cell>
          <cell r="Y1703">
            <v>0</v>
          </cell>
          <cell r="Z1703">
            <v>9845600</v>
          </cell>
          <cell r="AA1703">
            <v>0</v>
          </cell>
          <cell r="AB1703">
            <v>9845600</v>
          </cell>
          <cell r="AC1703">
            <v>0</v>
          </cell>
          <cell r="AD1703">
            <v>2.0948085106382979</v>
          </cell>
        </row>
        <row r="1704">
          <cell r="C1704" t="str">
            <v>01</v>
          </cell>
          <cell r="D1704" t="str">
            <v>4</v>
          </cell>
          <cell r="E1704" t="str">
            <v>00</v>
          </cell>
          <cell r="F1704" t="str">
            <v>01</v>
          </cell>
          <cell r="G1704" t="str">
            <v>22</v>
          </cell>
          <cell r="H1704" t="str">
            <v>12</v>
          </cell>
          <cell r="I1704" t="str">
            <v xml:space="preserve">Pembinaan dan Konsultasi Pengadaan Barang dan Jasa </v>
          </cell>
          <cell r="J1704" t="str">
            <v>Jumlah Peserta pelatihan Pengadaan Barang dan Jasa</v>
          </cell>
          <cell r="K1704">
            <v>90</v>
          </cell>
          <cell r="L1704">
            <v>805000000</v>
          </cell>
          <cell r="M1704">
            <v>15</v>
          </cell>
          <cell r="N1704">
            <v>110528287</v>
          </cell>
          <cell r="O1704">
            <v>15</v>
          </cell>
          <cell r="P1704">
            <v>83475552.5</v>
          </cell>
          <cell r="R1704">
            <v>4250100</v>
          </cell>
          <cell r="S1704">
            <v>10</v>
          </cell>
          <cell r="T1704">
            <v>8705100</v>
          </cell>
          <cell r="Y1704">
            <v>10</v>
          </cell>
          <cell r="Z1704">
            <v>12955200</v>
          </cell>
          <cell r="AA1704">
            <v>15</v>
          </cell>
          <cell r="AB1704">
            <v>123483487</v>
          </cell>
          <cell r="AC1704">
            <v>16.666666666666664</v>
          </cell>
          <cell r="AD1704">
            <v>15.339563602484471</v>
          </cell>
        </row>
        <row r="1705">
          <cell r="C1705" t="str">
            <v>01</v>
          </cell>
          <cell r="D1705" t="str">
            <v>4</v>
          </cell>
          <cell r="E1705" t="str">
            <v>00</v>
          </cell>
          <cell r="F1705" t="str">
            <v>01</v>
          </cell>
          <cell r="G1705" t="str">
            <v>22</v>
          </cell>
          <cell r="H1705" t="str">
            <v>13</v>
          </cell>
          <cell r="I1705" t="str">
            <v>Pengembangan Standar Operasional Prosedur Pengadaan Barang dan Jasa</v>
          </cell>
          <cell r="J1705" t="str">
            <v>Jumlah Dokumen Standar Operasional Prosedur Barang dan Jasa</v>
          </cell>
          <cell r="K1705">
            <v>9</v>
          </cell>
          <cell r="L1705">
            <v>820000000</v>
          </cell>
          <cell r="M1705">
            <v>0</v>
          </cell>
          <cell r="O1705">
            <v>1</v>
          </cell>
          <cell r="P1705">
            <v>39766982</v>
          </cell>
          <cell r="R1705">
            <v>1727600</v>
          </cell>
          <cell r="T1705">
            <v>7440600</v>
          </cell>
          <cell r="Y1705">
            <v>0</v>
          </cell>
          <cell r="Z1705">
            <v>9168200</v>
          </cell>
          <cell r="AA1705">
            <v>0</v>
          </cell>
          <cell r="AB1705">
            <v>9168200</v>
          </cell>
          <cell r="AC1705">
            <v>0</v>
          </cell>
          <cell r="AD1705">
            <v>1.1180731707317073</v>
          </cell>
        </row>
        <row r="1706">
          <cell r="A1706">
            <v>19</v>
          </cell>
          <cell r="B1706" t="str">
            <v>Meningkatkan Fasilitasi dan Koordinasi Penyelenggaraan Kegiatan Pemerintah Daerah Kabupaten Pesisir Selatan</v>
          </cell>
          <cell r="C1706" t="str">
            <v>02</v>
          </cell>
          <cell r="D1706" t="str">
            <v>4</v>
          </cell>
          <cell r="E1706" t="str">
            <v>00</v>
          </cell>
          <cell r="F1706" t="str">
            <v>01</v>
          </cell>
          <cell r="G1706" t="str">
            <v>22</v>
          </cell>
          <cell r="I1706" t="str">
            <v>Program Perencanaan Pembangunan Ekonomi</v>
          </cell>
          <cell r="J1706" t="str">
            <v>Persentase Peningkatan Ekonomi Pesisir Selatan</v>
          </cell>
          <cell r="K1706">
            <v>270</v>
          </cell>
          <cell r="L1706">
            <v>356000000</v>
          </cell>
          <cell r="M1706">
            <v>175</v>
          </cell>
          <cell r="N1706">
            <v>146372221</v>
          </cell>
          <cell r="O1706">
            <v>95</v>
          </cell>
          <cell r="P1706">
            <v>196912500</v>
          </cell>
          <cell r="Q1706">
            <v>30</v>
          </cell>
          <cell r="R1706">
            <v>12343700</v>
          </cell>
          <cell r="T1706">
            <v>12091600</v>
          </cell>
          <cell r="Y1706">
            <v>30</v>
          </cell>
          <cell r="Z1706">
            <v>24435300</v>
          </cell>
          <cell r="AA1706">
            <v>205</v>
          </cell>
          <cell r="AB1706">
            <v>170807521</v>
          </cell>
          <cell r="AC1706">
            <v>75.925925925925924</v>
          </cell>
          <cell r="AD1706">
            <v>47.979640730337081</v>
          </cell>
        </row>
        <row r="1707">
          <cell r="C1707" t="str">
            <v>02</v>
          </cell>
          <cell r="D1707" t="str">
            <v>4</v>
          </cell>
          <cell r="E1707" t="str">
            <v>00</v>
          </cell>
          <cell r="F1707" t="str">
            <v>01</v>
          </cell>
          <cell r="G1707" t="str">
            <v>22</v>
          </cell>
          <cell r="H1707" t="str">
            <v>24</v>
          </cell>
          <cell r="I1707" t="str">
            <v>Pameran Apkasi dan Sumbar Expo</v>
          </cell>
          <cell r="J1707" t="str">
            <v>Jumlah Pameran yang diikuti</v>
          </cell>
          <cell r="K1707">
            <v>2</v>
          </cell>
          <cell r="L1707">
            <v>281000000</v>
          </cell>
          <cell r="M1707">
            <v>1</v>
          </cell>
          <cell r="N1707">
            <v>146372221</v>
          </cell>
          <cell r="O1707">
            <v>1</v>
          </cell>
          <cell r="P1707">
            <v>129271500</v>
          </cell>
          <cell r="S1707">
            <v>0</v>
          </cell>
          <cell r="T1707">
            <v>550000</v>
          </cell>
          <cell r="Y1707">
            <v>0</v>
          </cell>
          <cell r="Z1707">
            <v>550000</v>
          </cell>
          <cell r="AA1707">
            <v>1</v>
          </cell>
          <cell r="AB1707">
            <v>146922221</v>
          </cell>
          <cell r="AC1707">
            <v>50</v>
          </cell>
          <cell r="AD1707">
            <v>52.285487900355875</v>
          </cell>
        </row>
        <row r="1708">
          <cell r="C1708" t="str">
            <v>02</v>
          </cell>
          <cell r="D1708" t="str">
            <v>4</v>
          </cell>
          <cell r="E1708" t="str">
            <v>00</v>
          </cell>
          <cell r="F1708" t="str">
            <v>01</v>
          </cell>
          <cell r="G1708" t="str">
            <v>22</v>
          </cell>
          <cell r="H1708" t="str">
            <v>26</v>
          </cell>
          <cell r="I1708" t="str">
            <v>Koordinasi Peningkatan Ekonomi Pesisir Selatan</v>
          </cell>
          <cell r="J1708" t="str">
            <v>Jumlah rapat koordinasi peningkatan ekonomi Pesisir Selatan</v>
          </cell>
          <cell r="K1708">
            <v>4</v>
          </cell>
          <cell r="L1708">
            <v>75000000</v>
          </cell>
          <cell r="O1708">
            <v>4</v>
          </cell>
          <cell r="P1708">
            <v>67641000</v>
          </cell>
          <cell r="Q1708">
            <v>1</v>
          </cell>
          <cell r="R1708">
            <v>12343700</v>
          </cell>
          <cell r="S1708">
            <v>2</v>
          </cell>
          <cell r="T1708">
            <v>11541600</v>
          </cell>
          <cell r="Y1708">
            <v>3</v>
          </cell>
          <cell r="Z1708">
            <v>23885300</v>
          </cell>
          <cell r="AA1708">
            <v>1</v>
          </cell>
          <cell r="AB1708">
            <v>23885300</v>
          </cell>
          <cell r="AC1708">
            <v>25</v>
          </cell>
          <cell r="AD1708">
            <v>31.847066666666667</v>
          </cell>
        </row>
        <row r="1709">
          <cell r="A1709">
            <v>20</v>
          </cell>
          <cell r="B1709" t="str">
            <v>Meningkatkan Akuntabilitas Kinerja Instansi Pemerintah</v>
          </cell>
          <cell r="C1709" t="str">
            <v>03</v>
          </cell>
          <cell r="D1709" t="str">
            <v>4</v>
          </cell>
          <cell r="E1709" t="str">
            <v>00</v>
          </cell>
          <cell r="F1709" t="str">
            <v>01</v>
          </cell>
          <cell r="G1709" t="str">
            <v>17</v>
          </cell>
          <cell r="I1709" t="str">
            <v>Program Peningkatan dan Pengembangan Pengelolaan Keuangan Daerah</v>
          </cell>
          <cell r="J1709" t="str">
            <v>Persentase Aset Setda yang terkelola dalam kondisi baik</v>
          </cell>
          <cell r="K1709">
            <v>520</v>
          </cell>
          <cell r="L1709">
            <v>2135000000</v>
          </cell>
          <cell r="M1709">
            <v>160</v>
          </cell>
          <cell r="N1709">
            <v>638560470</v>
          </cell>
          <cell r="O1709">
            <v>85</v>
          </cell>
          <cell r="P1709">
            <v>454986085.5</v>
          </cell>
          <cell r="Q1709">
            <v>25</v>
          </cell>
          <cell r="R1709">
            <v>85713060</v>
          </cell>
          <cell r="T1709">
            <v>125766100</v>
          </cell>
          <cell r="Y1709">
            <v>25</v>
          </cell>
          <cell r="Z1709">
            <v>211479160</v>
          </cell>
          <cell r="AA1709">
            <v>185</v>
          </cell>
          <cell r="AB1709">
            <v>850039630</v>
          </cell>
          <cell r="AC1709">
            <v>35.57692307692308</v>
          </cell>
          <cell r="AD1709">
            <v>39.814502576112417</v>
          </cell>
        </row>
        <row r="1710">
          <cell r="C1710" t="str">
            <v>03</v>
          </cell>
          <cell r="D1710" t="str">
            <v>4</v>
          </cell>
          <cell r="E1710" t="str">
            <v>00</v>
          </cell>
          <cell r="F1710" t="str">
            <v>01</v>
          </cell>
          <cell r="G1710" t="str">
            <v>17</v>
          </cell>
          <cell r="H1710" t="str">
            <v>43</v>
          </cell>
          <cell r="I1710" t="str">
            <v xml:space="preserve">Peningkatan Manajemen Aset/Barang Daerah </v>
          </cell>
          <cell r="J1710" t="str">
            <v xml:space="preserve">Jumlah Dokumen Aset/barang daerah lingkup Setda </v>
          </cell>
          <cell r="K1710">
            <v>24</v>
          </cell>
          <cell r="L1710">
            <v>1505000000</v>
          </cell>
          <cell r="M1710">
            <v>8</v>
          </cell>
          <cell r="N1710">
            <v>320718022</v>
          </cell>
          <cell r="O1710">
            <v>4</v>
          </cell>
          <cell r="P1710">
            <v>278703163.25</v>
          </cell>
          <cell r="Q1710">
            <v>2</v>
          </cell>
          <cell r="R1710">
            <v>79115400</v>
          </cell>
          <cell r="S1710">
            <v>1</v>
          </cell>
          <cell r="T1710">
            <v>100267000</v>
          </cell>
          <cell r="Y1710">
            <v>3</v>
          </cell>
          <cell r="Z1710">
            <v>179382400</v>
          </cell>
          <cell r="AA1710">
            <v>10</v>
          </cell>
          <cell r="AB1710">
            <v>500100422</v>
          </cell>
          <cell r="AC1710">
            <v>41.666666666666671</v>
          </cell>
          <cell r="AD1710">
            <v>33.22926392026578</v>
          </cell>
          <cell r="AE1710" t="str">
            <v>Bagian Keuangan</v>
          </cell>
        </row>
        <row r="1711">
          <cell r="C1711" t="str">
            <v>03</v>
          </cell>
          <cell r="D1711" t="str">
            <v>4</v>
          </cell>
          <cell r="E1711" t="str">
            <v>00</v>
          </cell>
          <cell r="F1711" t="str">
            <v>01</v>
          </cell>
          <cell r="G1711" t="str">
            <v>17</v>
          </cell>
          <cell r="H1711" t="str">
            <v>51</v>
          </cell>
          <cell r="I1711" t="str">
            <v>Penyusunan Harga Satuan Pokok Kegiatan</v>
          </cell>
          <cell r="J1711" t="str">
            <v>Jumlah dokumen HSPK yang disusun</v>
          </cell>
          <cell r="K1711">
            <v>3</v>
          </cell>
          <cell r="L1711">
            <v>210000000</v>
          </cell>
          <cell r="M1711">
            <v>2</v>
          </cell>
          <cell r="N1711">
            <v>97999900</v>
          </cell>
          <cell r="O1711">
            <v>1</v>
          </cell>
          <cell r="P1711">
            <v>89562974</v>
          </cell>
          <cell r="Q1711">
            <v>1</v>
          </cell>
          <cell r="R1711">
            <v>1118900</v>
          </cell>
          <cell r="T1711">
            <v>15523500</v>
          </cell>
          <cell r="Y1711">
            <v>1</v>
          </cell>
          <cell r="Z1711">
            <v>16642400</v>
          </cell>
          <cell r="AA1711">
            <v>3</v>
          </cell>
          <cell r="AB1711">
            <v>114642300</v>
          </cell>
          <cell r="AC1711">
            <v>100</v>
          </cell>
          <cell r="AD1711">
            <v>54.591571428571427</v>
          </cell>
          <cell r="AE1711" t="str">
            <v>Bagian Pembangunan</v>
          </cell>
        </row>
        <row r="1712">
          <cell r="C1712" t="str">
            <v>03</v>
          </cell>
          <cell r="D1712" t="str">
            <v>4</v>
          </cell>
          <cell r="E1712" t="str">
            <v>00</v>
          </cell>
          <cell r="F1712" t="str">
            <v>01</v>
          </cell>
          <cell r="G1712" t="str">
            <v>17</v>
          </cell>
          <cell r="H1712" t="str">
            <v>52</v>
          </cell>
          <cell r="I1712" t="str">
            <v>Pelaporan Pelaksanaan Kegiatan Pembangunan Daerah</v>
          </cell>
          <cell r="J1712" t="str">
            <v>Jumlah dokumen laporan  Pelaksanaan Kegiatan Pembangunan Daerah</v>
          </cell>
          <cell r="K1712">
            <v>36</v>
          </cell>
          <cell r="L1712">
            <v>240000000</v>
          </cell>
          <cell r="M1712">
            <v>24</v>
          </cell>
          <cell r="N1712">
            <v>122762948</v>
          </cell>
          <cell r="O1712">
            <v>12</v>
          </cell>
          <cell r="P1712">
            <v>47819461.25</v>
          </cell>
          <cell r="Q1712">
            <v>1</v>
          </cell>
          <cell r="R1712">
            <v>2255200</v>
          </cell>
          <cell r="S1712">
            <v>1</v>
          </cell>
          <cell r="T1712">
            <v>6432600</v>
          </cell>
          <cell r="Y1712">
            <v>2</v>
          </cell>
          <cell r="Z1712">
            <v>8687800</v>
          </cell>
          <cell r="AA1712">
            <v>25</v>
          </cell>
          <cell r="AB1712">
            <v>131450748</v>
          </cell>
          <cell r="AC1712">
            <v>69.444444444444443</v>
          </cell>
          <cell r="AD1712">
            <v>54.771144999999997</v>
          </cell>
          <cell r="AE1712" t="str">
            <v>Bagian Pembangunan</v>
          </cell>
        </row>
        <row r="1713">
          <cell r="C1713" t="str">
            <v>03</v>
          </cell>
          <cell r="D1713" t="str">
            <v>4</v>
          </cell>
          <cell r="E1713" t="str">
            <v>00</v>
          </cell>
          <cell r="F1713" t="str">
            <v>01</v>
          </cell>
          <cell r="G1713" t="str">
            <v>17</v>
          </cell>
          <cell r="H1713" t="str">
            <v>54</v>
          </cell>
          <cell r="I1713" t="str">
            <v>Penyusunan Prosedur Kegiatan</v>
          </cell>
          <cell r="J1713" t="str">
            <v>Jumlah dokumen prosedur kegiatan  yang disusun</v>
          </cell>
          <cell r="K1713">
            <v>3</v>
          </cell>
          <cell r="L1713">
            <v>180000000</v>
          </cell>
          <cell r="M1713">
            <v>2</v>
          </cell>
          <cell r="N1713">
            <v>97079600</v>
          </cell>
          <cell r="O1713">
            <v>1</v>
          </cell>
          <cell r="P1713">
            <v>38900487</v>
          </cell>
          <cell r="Q1713">
            <v>1</v>
          </cell>
          <cell r="R1713">
            <v>3223560</v>
          </cell>
          <cell r="T1713">
            <v>3543000</v>
          </cell>
          <cell r="Y1713">
            <v>1</v>
          </cell>
          <cell r="Z1713">
            <v>6766560</v>
          </cell>
          <cell r="AA1713">
            <v>3</v>
          </cell>
          <cell r="AB1713">
            <v>103846160</v>
          </cell>
          <cell r="AC1713">
            <v>100</v>
          </cell>
          <cell r="AD1713">
            <v>57.692311111111117</v>
          </cell>
        </row>
        <row r="1714">
          <cell r="A1714">
            <v>21</v>
          </cell>
          <cell r="B1714" t="str">
            <v>Meningkatkan Akuntabilitas Kinerja Instansi Pemerintah</v>
          </cell>
          <cell r="C1714" t="str">
            <v>04</v>
          </cell>
          <cell r="D1714" t="str">
            <v>4</v>
          </cell>
          <cell r="E1714" t="str">
            <v>00</v>
          </cell>
          <cell r="F1714" t="str">
            <v>01</v>
          </cell>
          <cell r="G1714" t="str">
            <v>31</v>
          </cell>
          <cell r="I1714" t="str">
            <v>Program Pembinaan dan Pengembangan Aparatur</v>
          </cell>
          <cell r="J1714" t="str">
            <v>Pemeringkatan kompetensi camat</v>
          </cell>
          <cell r="K1714">
            <v>6</v>
          </cell>
          <cell r="L1714">
            <v>1036000000</v>
          </cell>
          <cell r="N1714">
            <v>572853226</v>
          </cell>
          <cell r="O1714">
            <v>6</v>
          </cell>
          <cell r="P1714">
            <v>183894308.25</v>
          </cell>
          <cell r="R1714">
            <v>27208804</v>
          </cell>
          <cell r="T1714">
            <v>50727400</v>
          </cell>
          <cell r="Y1714">
            <v>0</v>
          </cell>
          <cell r="Z1714">
            <v>77936204</v>
          </cell>
          <cell r="AA1714">
            <v>0</v>
          </cell>
          <cell r="AB1714">
            <v>650789430</v>
          </cell>
          <cell r="AC1714">
            <v>0</v>
          </cell>
          <cell r="AD1714">
            <v>62.817512548262542</v>
          </cell>
        </row>
        <row r="1715">
          <cell r="C1715" t="str">
            <v>04</v>
          </cell>
          <cell r="D1715" t="str">
            <v>4</v>
          </cell>
          <cell r="E1715" t="str">
            <v>00</v>
          </cell>
          <cell r="F1715" t="str">
            <v>01</v>
          </cell>
          <cell r="G1715" t="str">
            <v>31</v>
          </cell>
          <cell r="H1715" t="str">
            <v>31</v>
          </cell>
          <cell r="I1715" t="str">
            <v>Pengelolaan Administrasi Kepegawaian</v>
          </cell>
          <cell r="J1715" t="str">
            <v>Persentase pengelolaan administrasi kepegawaian yang difasilitasi</v>
          </cell>
          <cell r="K1715">
            <v>300</v>
          </cell>
          <cell r="L1715">
            <v>315000000</v>
          </cell>
          <cell r="M1715">
            <v>200</v>
          </cell>
          <cell r="N1715">
            <v>141294494</v>
          </cell>
          <cell r="O1715">
            <v>100</v>
          </cell>
          <cell r="P1715">
            <v>44144249.25</v>
          </cell>
          <cell r="Q1715">
            <v>25</v>
          </cell>
          <cell r="R1715">
            <v>8073897</v>
          </cell>
          <cell r="S1715">
            <v>20</v>
          </cell>
          <cell r="T1715">
            <v>9120000</v>
          </cell>
          <cell r="Y1715">
            <v>45</v>
          </cell>
          <cell r="Z1715">
            <v>17193897</v>
          </cell>
          <cell r="AA1715">
            <v>225</v>
          </cell>
          <cell r="AB1715">
            <v>158488391</v>
          </cell>
          <cell r="AC1715">
            <v>75</v>
          </cell>
          <cell r="AD1715">
            <v>50.313774920634927</v>
          </cell>
        </row>
        <row r="1716">
          <cell r="C1716" t="str">
            <v>04</v>
          </cell>
          <cell r="D1716" t="str">
            <v>4</v>
          </cell>
          <cell r="E1716" t="str">
            <v>00</v>
          </cell>
          <cell r="F1716" t="str">
            <v>01</v>
          </cell>
          <cell r="G1716" t="str">
            <v>31</v>
          </cell>
          <cell r="H1716" t="str">
            <v>34</v>
          </cell>
          <cell r="I1716" t="str">
            <v>Peningkatan Etos Kerja Keprotokolan</v>
          </cell>
          <cell r="J1716" t="str">
            <v xml:space="preserve">Jumlah pelaksanaan Keprotokolan </v>
          </cell>
          <cell r="K1716">
            <v>36</v>
          </cell>
          <cell r="L1716">
            <v>721000000</v>
          </cell>
          <cell r="M1716">
            <v>24</v>
          </cell>
          <cell r="N1716">
            <v>431558732</v>
          </cell>
          <cell r="O1716">
            <v>12</v>
          </cell>
          <cell r="P1716">
            <v>139750059</v>
          </cell>
          <cell r="Q1716">
            <v>3</v>
          </cell>
          <cell r="R1716">
            <v>19134907</v>
          </cell>
          <cell r="S1716">
            <v>3</v>
          </cell>
          <cell r="T1716">
            <v>41607400</v>
          </cell>
          <cell r="Y1716">
            <v>6</v>
          </cell>
          <cell r="Z1716">
            <v>60742307</v>
          </cell>
          <cell r="AA1716">
            <v>27</v>
          </cell>
          <cell r="AB1716">
            <v>492301039</v>
          </cell>
          <cell r="AC1716">
            <v>75</v>
          </cell>
          <cell r="AD1716">
            <v>68.280310540915394</v>
          </cell>
        </row>
        <row r="1717">
          <cell r="A1717">
            <v>22</v>
          </cell>
          <cell r="B1717" t="str">
            <v>Meningkatkan Fasilitasi dan Koordinasi Penyelenggaraan Kegiatan Pemerintah Daerah Kabupaten Pesisir Selatan</v>
          </cell>
          <cell r="C1717" t="str">
            <v>01</v>
          </cell>
          <cell r="D1717" t="str">
            <v>4</v>
          </cell>
          <cell r="E1717" t="str">
            <v>00</v>
          </cell>
          <cell r="F1717" t="str">
            <v>01</v>
          </cell>
          <cell r="G1717" t="str">
            <v>16</v>
          </cell>
          <cell r="I1717" t="str">
            <v>Program Peningkatan Pelayanan Kedinasan Kepala Daerah / Wakil Kepala Daerah</v>
          </cell>
          <cell r="J1717" t="str">
            <v xml:space="preserve">Jumlah pelaksanaan keprotokoleran pemerintah daerah </v>
          </cell>
          <cell r="K1717">
            <v>315</v>
          </cell>
          <cell r="L1717">
            <v>2075000000</v>
          </cell>
          <cell r="M1717">
            <v>100</v>
          </cell>
          <cell r="N1717">
            <v>755299800</v>
          </cell>
          <cell r="O1717">
            <v>50</v>
          </cell>
          <cell r="P1717">
            <v>229224100</v>
          </cell>
          <cell r="Q1717">
            <v>15</v>
          </cell>
          <cell r="R1717">
            <v>31608000</v>
          </cell>
          <cell r="S1717">
            <v>39</v>
          </cell>
          <cell r="T1717">
            <v>120466250</v>
          </cell>
          <cell r="Y1717">
            <v>54</v>
          </cell>
          <cell r="Z1717">
            <v>152074250</v>
          </cell>
          <cell r="AA1717">
            <v>115</v>
          </cell>
          <cell r="AB1717">
            <v>907374050</v>
          </cell>
          <cell r="AC1717">
            <v>36.507936507936506</v>
          </cell>
          <cell r="AD1717">
            <v>43.728869879518072</v>
          </cell>
        </row>
        <row r="1718">
          <cell r="C1718" t="str">
            <v>01</v>
          </cell>
          <cell r="D1718" t="str">
            <v>4</v>
          </cell>
          <cell r="E1718" t="str">
            <v>00</v>
          </cell>
          <cell r="F1718" t="str">
            <v>01</v>
          </cell>
          <cell r="G1718" t="str">
            <v>16</v>
          </cell>
          <cell r="H1718" t="str">
            <v>01</v>
          </cell>
          <cell r="I1718" t="str">
            <v>Penerimaan Kunjungan Kerja Pejabat Negara/Departemen/Lembaga Pemerintah Non Departemen/Luar Negeri</v>
          </cell>
          <cell r="J1718" t="str">
            <v>Jumlah Kunjungan Kerja Pejabat Negara yang difasilitasi</v>
          </cell>
          <cell r="K1718">
            <v>220</v>
          </cell>
          <cell r="L1718">
            <v>2075000000</v>
          </cell>
          <cell r="M1718">
            <v>140</v>
          </cell>
          <cell r="N1718">
            <v>755299800</v>
          </cell>
          <cell r="O1718">
            <v>70</v>
          </cell>
          <cell r="P1718">
            <v>229224100</v>
          </cell>
          <cell r="Q1718">
            <v>15</v>
          </cell>
          <cell r="R1718">
            <v>31608000</v>
          </cell>
          <cell r="S1718">
            <v>39</v>
          </cell>
          <cell r="T1718">
            <v>120466250</v>
          </cell>
          <cell r="Y1718">
            <v>54</v>
          </cell>
          <cell r="Z1718">
            <v>152074250</v>
          </cell>
          <cell r="AA1718">
            <v>155</v>
          </cell>
          <cell r="AB1718">
            <v>907374050</v>
          </cell>
          <cell r="AC1718">
            <v>70.454545454545453</v>
          </cell>
          <cell r="AD1718">
            <v>43.728869879518072</v>
          </cell>
        </row>
        <row r="1719">
          <cell r="A1719">
            <v>23</v>
          </cell>
          <cell r="B1719" t="str">
            <v>Meningkatkan Fasilitasi dan Koordinasi Penyelenggaraan Kegiatan Pemerintah Daerah Kabupaten Pesisir Selatan</v>
          </cell>
          <cell r="C1719" t="str">
            <v>01</v>
          </cell>
          <cell r="D1719" t="str">
            <v>4</v>
          </cell>
          <cell r="E1719" t="str">
            <v>00</v>
          </cell>
          <cell r="F1719" t="str">
            <v>01</v>
          </cell>
          <cell r="G1719" t="str">
            <v>26</v>
          </cell>
          <cell r="I1719" t="str">
            <v>Program Penataan Peraturan Perundang-undangan</v>
          </cell>
          <cell r="J1719" t="str">
            <v xml:space="preserve">Persentase Rancangan Produk hukum yang difasilitasi </v>
          </cell>
          <cell r="K1719">
            <v>550</v>
          </cell>
          <cell r="L1719">
            <v>2160000000</v>
          </cell>
          <cell r="M1719">
            <v>175</v>
          </cell>
          <cell r="N1719">
            <v>1154523108</v>
          </cell>
          <cell r="O1719">
            <v>95</v>
          </cell>
          <cell r="P1719">
            <v>448726269</v>
          </cell>
          <cell r="Q1719">
            <v>30</v>
          </cell>
          <cell r="R1719">
            <v>31153100</v>
          </cell>
          <cell r="S1719">
            <v>30</v>
          </cell>
          <cell r="T1719">
            <v>127267000</v>
          </cell>
          <cell r="Y1719">
            <v>60</v>
          </cell>
          <cell r="Z1719">
            <v>158420100</v>
          </cell>
          <cell r="AA1719">
            <v>205</v>
          </cell>
          <cell r="AB1719">
            <v>1312943208</v>
          </cell>
          <cell r="AC1719">
            <v>37.272727272727273</v>
          </cell>
          <cell r="AD1719">
            <v>60.78440777777778</v>
          </cell>
        </row>
        <row r="1720">
          <cell r="J1720" t="str">
            <v>Persentase Produk Hukum yang di Publikasi</v>
          </cell>
          <cell r="K1720">
            <v>570</v>
          </cell>
          <cell r="M1720">
            <v>190</v>
          </cell>
          <cell r="O1720">
            <v>95</v>
          </cell>
          <cell r="Q1720">
            <v>30</v>
          </cell>
          <cell r="Y1720">
            <v>30</v>
          </cell>
          <cell r="Z1720">
            <v>0</v>
          </cell>
          <cell r="AA1720">
            <v>220</v>
          </cell>
          <cell r="AB1720">
            <v>0</v>
          </cell>
          <cell r="AC1720">
            <v>38.596491228070171</v>
          </cell>
        </row>
        <row r="1721">
          <cell r="C1721" t="str">
            <v>01</v>
          </cell>
          <cell r="D1721" t="str">
            <v>4</v>
          </cell>
          <cell r="E1721" t="str">
            <v>00</v>
          </cell>
          <cell r="F1721" t="str">
            <v>01</v>
          </cell>
          <cell r="G1721" t="str">
            <v>26</v>
          </cell>
          <cell r="H1721" t="str">
            <v>01</v>
          </cell>
          <cell r="I1721" t="str">
            <v>Penyusunan Peraturan Bupati</v>
          </cell>
          <cell r="J1721" t="str">
            <v>Jumlah Peraturan Bupati yang difasilitasi</v>
          </cell>
          <cell r="K1721">
            <v>100</v>
          </cell>
          <cell r="L1721">
            <v>780000000</v>
          </cell>
          <cell r="M1721">
            <v>50</v>
          </cell>
          <cell r="N1721">
            <v>511281200</v>
          </cell>
          <cell r="O1721">
            <v>50</v>
          </cell>
          <cell r="P1721">
            <v>193437389</v>
          </cell>
          <cell r="Q1721">
            <v>51</v>
          </cell>
          <cell r="R1721">
            <v>11466000</v>
          </cell>
          <cell r="S1721">
            <v>9</v>
          </cell>
          <cell r="T1721">
            <v>50696300</v>
          </cell>
          <cell r="Y1721">
            <v>60</v>
          </cell>
          <cell r="Z1721">
            <v>62162300</v>
          </cell>
          <cell r="AA1721">
            <v>101</v>
          </cell>
          <cell r="AB1721">
            <v>573443500</v>
          </cell>
          <cell r="AC1721">
            <v>101</v>
          </cell>
          <cell r="AD1721">
            <v>73.518397435897427</v>
          </cell>
        </row>
        <row r="1722">
          <cell r="C1722" t="str">
            <v>01</v>
          </cell>
          <cell r="D1722" t="str">
            <v>4</v>
          </cell>
          <cell r="E1722" t="str">
            <v>00</v>
          </cell>
          <cell r="F1722" t="str">
            <v>01</v>
          </cell>
          <cell r="G1722" t="str">
            <v>26</v>
          </cell>
          <cell r="H1722" t="str">
            <v>02</v>
          </cell>
          <cell r="I1722" t="str">
            <v>Pembentukan Peraturan Daerah</v>
          </cell>
          <cell r="J1722" t="str">
            <v>Fasilitasi Pembentukan Peraturan Daerah</v>
          </cell>
          <cell r="K1722">
            <v>26</v>
          </cell>
          <cell r="L1722">
            <v>810000000</v>
          </cell>
          <cell r="M1722">
            <v>18</v>
          </cell>
          <cell r="N1722">
            <v>334225863</v>
          </cell>
          <cell r="O1722">
            <v>8</v>
          </cell>
          <cell r="P1722">
            <v>103857590</v>
          </cell>
          <cell r="Q1722">
            <v>3</v>
          </cell>
          <cell r="R1722">
            <v>6663100</v>
          </cell>
          <cell r="S1722">
            <v>2</v>
          </cell>
          <cell r="T1722">
            <v>25886000</v>
          </cell>
          <cell r="Y1722">
            <v>5</v>
          </cell>
          <cell r="Z1722">
            <v>32549100</v>
          </cell>
          <cell r="AA1722">
            <v>21</v>
          </cell>
          <cell r="AB1722">
            <v>366774963</v>
          </cell>
          <cell r="AC1722">
            <v>80.769230769230774</v>
          </cell>
          <cell r="AD1722">
            <v>45.280859629629624</v>
          </cell>
        </row>
        <row r="1723">
          <cell r="C1723" t="str">
            <v>01</v>
          </cell>
          <cell r="D1723" t="str">
            <v>4</v>
          </cell>
          <cell r="E1723" t="str">
            <v>00</v>
          </cell>
          <cell r="F1723" t="str">
            <v>01</v>
          </cell>
          <cell r="G1723" t="str">
            <v>26</v>
          </cell>
          <cell r="H1723" t="str">
            <v>03</v>
          </cell>
          <cell r="I1723" t="str">
            <v>Pembuatan Buku Lembaran Daerah dan SJDI Hukum</v>
          </cell>
          <cell r="J1723" t="str">
            <v>Jumlah Buku SJDI yang Disusun</v>
          </cell>
          <cell r="K1723">
            <v>1020</v>
          </cell>
          <cell r="L1723">
            <v>390000000</v>
          </cell>
          <cell r="M1723">
            <v>760</v>
          </cell>
          <cell r="N1723">
            <v>159371920</v>
          </cell>
          <cell r="O1723">
            <v>260</v>
          </cell>
          <cell r="P1723">
            <v>77393461</v>
          </cell>
          <cell r="R1723">
            <v>2013000</v>
          </cell>
          <cell r="S1723">
            <v>260</v>
          </cell>
          <cell r="T1723">
            <v>34521200</v>
          </cell>
          <cell r="Y1723">
            <v>260</v>
          </cell>
          <cell r="Z1723">
            <v>36534200</v>
          </cell>
          <cell r="AA1723">
            <v>760</v>
          </cell>
          <cell r="AB1723">
            <v>195906120</v>
          </cell>
          <cell r="AC1723">
            <v>74.509803921568633</v>
          </cell>
          <cell r="AD1723">
            <v>50.232338461538461</v>
          </cell>
        </row>
        <row r="1724">
          <cell r="C1724" t="str">
            <v>01</v>
          </cell>
          <cell r="D1724" t="str">
            <v>4</v>
          </cell>
          <cell r="E1724" t="str">
            <v>00</v>
          </cell>
          <cell r="F1724" t="str">
            <v>01</v>
          </cell>
          <cell r="G1724" t="str">
            <v>26</v>
          </cell>
          <cell r="H1724" t="str">
            <v>04</v>
          </cell>
          <cell r="I1724" t="str">
            <v>Validasi, Evaluasi dan Klarifikasi Keputusan Bupati dan Produk Hukum Pemerintah Nagari</v>
          </cell>
          <cell r="J1724" t="str">
            <v>Jumlah Produk Hukum Nagari  yang Dievaluasi</v>
          </cell>
          <cell r="K1724">
            <v>58</v>
          </cell>
          <cell r="L1724">
            <v>180000000</v>
          </cell>
          <cell r="M1724">
            <v>35</v>
          </cell>
          <cell r="N1724">
            <v>149644125</v>
          </cell>
          <cell r="O1724">
            <v>23</v>
          </cell>
          <cell r="P1724">
            <v>74037829</v>
          </cell>
          <cell r="Q1724">
            <v>2</v>
          </cell>
          <cell r="R1724">
            <v>11011000</v>
          </cell>
          <cell r="S1724">
            <v>111</v>
          </cell>
          <cell r="T1724">
            <v>16163500</v>
          </cell>
          <cell r="Y1724">
            <v>113</v>
          </cell>
          <cell r="Z1724">
            <v>27174500</v>
          </cell>
          <cell r="AA1724">
            <v>37</v>
          </cell>
          <cell r="AB1724">
            <v>176818625</v>
          </cell>
          <cell r="AC1724">
            <v>63.793103448275865</v>
          </cell>
          <cell r="AD1724">
            <v>98.232569444444437</v>
          </cell>
        </row>
        <row r="1725">
          <cell r="A1725">
            <v>24</v>
          </cell>
          <cell r="B1725" t="str">
            <v>Meningkatkan Akuntabilitas Kinerja Instansi Pemerintah</v>
          </cell>
          <cell r="C1725" t="str">
            <v>01</v>
          </cell>
          <cell r="D1725" t="str">
            <v>4</v>
          </cell>
          <cell r="E1725" t="str">
            <v>00</v>
          </cell>
          <cell r="F1725" t="str">
            <v>01</v>
          </cell>
          <cell r="G1725" t="str">
            <v>28</v>
          </cell>
          <cell r="I1725" t="str">
            <v>Program Penataan Kelembagaan dan Ketatausahaan Pemda</v>
          </cell>
          <cell r="J1725" t="str">
            <v>Persentase penataan kelembagaan dan ketatausahaan Pemda</v>
          </cell>
          <cell r="K1725">
            <v>535</v>
          </cell>
          <cell r="L1725">
            <v>1640000000</v>
          </cell>
          <cell r="M1725">
            <v>160</v>
          </cell>
          <cell r="N1725">
            <v>122933575</v>
          </cell>
          <cell r="O1725">
            <v>90</v>
          </cell>
          <cell r="P1725">
            <v>291332345.5</v>
          </cell>
          <cell r="R1725">
            <v>38408674</v>
          </cell>
          <cell r="T1725">
            <v>39706900</v>
          </cell>
          <cell r="Y1725">
            <v>0</v>
          </cell>
          <cell r="Z1725">
            <v>78115574</v>
          </cell>
          <cell r="AA1725">
            <v>160</v>
          </cell>
          <cell r="AB1725">
            <v>201049149</v>
          </cell>
          <cell r="AC1725">
            <v>29.906542056074763</v>
          </cell>
          <cell r="AD1725">
            <v>12.259094451219513</v>
          </cell>
        </row>
        <row r="1726">
          <cell r="C1726" t="str">
            <v>01</v>
          </cell>
          <cell r="D1726" t="str">
            <v>4</v>
          </cell>
          <cell r="E1726" t="str">
            <v>00</v>
          </cell>
          <cell r="F1726" t="str">
            <v>01</v>
          </cell>
          <cell r="G1726" t="str">
            <v>28</v>
          </cell>
          <cell r="H1726" t="str">
            <v>04</v>
          </cell>
          <cell r="I1726" t="str">
            <v>Evaluasi Jabatan SKPD</v>
          </cell>
          <cell r="J1726" t="str">
            <v>Jumlah Perangkat daerah yang di evaluasi jabatan</v>
          </cell>
          <cell r="K1726">
            <v>45</v>
          </cell>
          <cell r="L1726">
            <v>550000000</v>
          </cell>
          <cell r="O1726">
            <v>45</v>
          </cell>
          <cell r="P1726">
            <v>99054498.5</v>
          </cell>
          <cell r="R1726">
            <v>13833318</v>
          </cell>
          <cell r="S1726">
            <v>45</v>
          </cell>
          <cell r="T1726">
            <v>8859600</v>
          </cell>
          <cell r="Y1726">
            <v>45</v>
          </cell>
          <cell r="Z1726">
            <v>22692918</v>
          </cell>
          <cell r="AA1726">
            <v>0</v>
          </cell>
          <cell r="AB1726">
            <v>22692918</v>
          </cell>
          <cell r="AC1726">
            <v>0</v>
          </cell>
          <cell r="AD1726">
            <v>4.1259850909090909</v>
          </cell>
        </row>
        <row r="1727">
          <cell r="C1727" t="str">
            <v>01</v>
          </cell>
          <cell r="D1727" t="str">
            <v>4</v>
          </cell>
          <cell r="E1727" t="str">
            <v>00</v>
          </cell>
          <cell r="F1727" t="str">
            <v>01</v>
          </cell>
          <cell r="G1727" t="str">
            <v>28</v>
          </cell>
          <cell r="H1727" t="str">
            <v>08</v>
          </cell>
          <cell r="I1727" t="str">
            <v>Koordinasi Pembangunan Daerah Kabupaten Pesisir Selatan</v>
          </cell>
          <cell r="J1727" t="str">
            <v>Jumlah rapat koordinasi Pembangunan Daerah Kabupaten Pesisir Selatan</v>
          </cell>
          <cell r="K1727">
            <v>36</v>
          </cell>
          <cell r="L1727">
            <v>220000000</v>
          </cell>
          <cell r="M1727">
            <v>24</v>
          </cell>
          <cell r="N1727">
            <v>122933575</v>
          </cell>
          <cell r="O1727">
            <v>12</v>
          </cell>
          <cell r="P1727">
            <v>42117862.25</v>
          </cell>
          <cell r="R1727">
            <v>2213980</v>
          </cell>
          <cell r="S1727">
            <v>1</v>
          </cell>
          <cell r="T1727">
            <v>3876600</v>
          </cell>
          <cell r="Y1727">
            <v>1</v>
          </cell>
          <cell r="Z1727">
            <v>6090580</v>
          </cell>
          <cell r="AA1727">
            <v>24</v>
          </cell>
          <cell r="AB1727">
            <v>129024155</v>
          </cell>
          <cell r="AC1727">
            <v>66.666666666666657</v>
          </cell>
          <cell r="AD1727">
            <v>58.647343181818179</v>
          </cell>
        </row>
        <row r="1728">
          <cell r="C1728" t="str">
            <v>01</v>
          </cell>
          <cell r="D1728" t="str">
            <v>4</v>
          </cell>
          <cell r="E1728" t="str">
            <v>00</v>
          </cell>
          <cell r="F1728" t="str">
            <v>01</v>
          </cell>
          <cell r="G1728" t="str">
            <v>28</v>
          </cell>
          <cell r="H1728" t="str">
            <v>09</v>
          </cell>
          <cell r="I1728" t="str">
            <v>Penyusunan Peraturan Daerah tentang OPD dan Peraturan Bupati tentang Jabatan Struktural</v>
          </cell>
          <cell r="J1728" t="str">
            <v>Jumlah Ranperda dan ranperbup  tentang jabatan struktural</v>
          </cell>
          <cell r="K1728">
            <v>80</v>
          </cell>
          <cell r="L1728">
            <v>660000000</v>
          </cell>
          <cell r="M1728">
            <v>20</v>
          </cell>
          <cell r="N1728">
            <v>81589450</v>
          </cell>
          <cell r="O1728">
            <v>60</v>
          </cell>
          <cell r="P1728">
            <v>101803084.75</v>
          </cell>
          <cell r="R1728">
            <v>7272576</v>
          </cell>
          <cell r="S1728">
            <v>50</v>
          </cell>
          <cell r="T1728">
            <v>18652300</v>
          </cell>
          <cell r="Y1728">
            <v>50</v>
          </cell>
          <cell r="Z1728">
            <v>25924876</v>
          </cell>
          <cell r="AA1728">
            <v>20</v>
          </cell>
          <cell r="AB1728">
            <v>107514326</v>
          </cell>
          <cell r="AC1728">
            <v>25</v>
          </cell>
          <cell r="AD1728">
            <v>16.290049393939395</v>
          </cell>
        </row>
        <row r="1729">
          <cell r="C1729" t="str">
            <v>01</v>
          </cell>
          <cell r="D1729" t="str">
            <v>4</v>
          </cell>
          <cell r="E1729" t="str">
            <v>00</v>
          </cell>
          <cell r="F1729" t="str">
            <v>01</v>
          </cell>
          <cell r="G1729" t="str">
            <v>28</v>
          </cell>
          <cell r="H1729" t="str">
            <v>15</v>
          </cell>
          <cell r="I1729" t="str">
            <v>Forum Pengendalian Harga dan Inflasi Daerah</v>
          </cell>
          <cell r="J1729" t="str">
            <v>Jumlah Rapat TPID yang dilaksanakan</v>
          </cell>
          <cell r="K1729">
            <v>6</v>
          </cell>
          <cell r="L1729">
            <v>210000000</v>
          </cell>
          <cell r="M1729">
            <v>4</v>
          </cell>
          <cell r="N1729">
            <v>107916805</v>
          </cell>
          <cell r="O1729">
            <v>2</v>
          </cell>
          <cell r="P1729">
            <v>48356900</v>
          </cell>
          <cell r="R1729">
            <v>15088800</v>
          </cell>
          <cell r="S1729">
            <v>1</v>
          </cell>
          <cell r="T1729">
            <v>8318400</v>
          </cell>
          <cell r="Y1729">
            <v>1</v>
          </cell>
          <cell r="Z1729">
            <v>23407200</v>
          </cell>
          <cell r="AA1729">
            <v>4</v>
          </cell>
          <cell r="AB1729">
            <v>131324005</v>
          </cell>
          <cell r="AC1729">
            <v>66.666666666666657</v>
          </cell>
          <cell r="AD1729">
            <v>62.535240476190481</v>
          </cell>
        </row>
        <row r="1730">
          <cell r="A1730">
            <v>25</v>
          </cell>
          <cell r="B1730" t="str">
            <v>Meningkatkan Akuntabilitas Kinerja Instansi Pemerintah</v>
          </cell>
          <cell r="C1730" t="str">
            <v>01</v>
          </cell>
          <cell r="D1730" t="str">
            <v>4</v>
          </cell>
          <cell r="E1730" t="str">
            <v>00</v>
          </cell>
          <cell r="F1730" t="str">
            <v>01</v>
          </cell>
          <cell r="G1730" t="str">
            <v>37</v>
          </cell>
          <cell r="I1730" t="str">
            <v>Program Pelayanan Administrasi (KDH)</v>
          </cell>
          <cell r="J1730" t="str">
            <v>Persentase Terpenuhinya pelayanan Administrasi perkantoran Kepala Daerah</v>
          </cell>
          <cell r="K1730">
            <v>500</v>
          </cell>
          <cell r="L1730">
            <v>12100000000</v>
          </cell>
          <cell r="M1730">
            <v>145</v>
          </cell>
          <cell r="N1730">
            <v>3300748088</v>
          </cell>
          <cell r="O1730">
            <v>80</v>
          </cell>
          <cell r="P1730">
            <v>1601746500</v>
          </cell>
          <cell r="Q1730">
            <v>25</v>
          </cell>
          <cell r="R1730">
            <v>130903800</v>
          </cell>
          <cell r="S1730">
            <v>30</v>
          </cell>
          <cell r="T1730">
            <v>153529900</v>
          </cell>
          <cell r="Y1730">
            <v>55</v>
          </cell>
          <cell r="Z1730">
            <v>284433700</v>
          </cell>
          <cell r="AA1730">
            <v>170</v>
          </cell>
          <cell r="AB1730">
            <v>3585181788</v>
          </cell>
          <cell r="AC1730">
            <v>34</v>
          </cell>
          <cell r="AD1730">
            <v>29.629601553719009</v>
          </cell>
        </row>
        <row r="1731">
          <cell r="C1731" t="str">
            <v>01</v>
          </cell>
          <cell r="D1731" t="str">
            <v>4</v>
          </cell>
          <cell r="E1731" t="str">
            <v>00</v>
          </cell>
          <cell r="F1731" t="str">
            <v>01</v>
          </cell>
          <cell r="G1731" t="str">
            <v>37</v>
          </cell>
          <cell r="H1731" t="str">
            <v>01</v>
          </cell>
          <cell r="I1731" t="str">
            <v xml:space="preserve">Penyediaan Komponen Instalasi Listrik/Penerangan Bangunan Rumah Dinas </v>
          </cell>
          <cell r="J1731" t="str">
            <v xml:space="preserve">Jumlah komponen instalasi listrik penerangan bangunan </v>
          </cell>
          <cell r="K1731">
            <v>72</v>
          </cell>
          <cell r="L1731">
            <v>600000000</v>
          </cell>
          <cell r="M1731">
            <v>24</v>
          </cell>
          <cell r="N1731">
            <v>163812600</v>
          </cell>
          <cell r="O1731">
            <v>12</v>
          </cell>
          <cell r="P1731">
            <v>65002500</v>
          </cell>
          <cell r="Q1731">
            <v>3</v>
          </cell>
          <cell r="R1731">
            <v>1400000</v>
          </cell>
          <cell r="S1731">
            <v>3</v>
          </cell>
          <cell r="T1731">
            <v>24980000</v>
          </cell>
          <cell r="Y1731">
            <v>6</v>
          </cell>
          <cell r="Z1731">
            <v>26380000</v>
          </cell>
          <cell r="AA1731">
            <v>27</v>
          </cell>
          <cell r="AB1731">
            <v>190192600</v>
          </cell>
          <cell r="AC1731">
            <v>37.5</v>
          </cell>
          <cell r="AD1731">
            <v>31.698766666666668</v>
          </cell>
        </row>
        <row r="1732">
          <cell r="C1732" t="str">
            <v>01</v>
          </cell>
          <cell r="D1732" t="str">
            <v>4</v>
          </cell>
          <cell r="E1732" t="str">
            <v>00</v>
          </cell>
          <cell r="F1732" t="str">
            <v>01</v>
          </cell>
          <cell r="G1732" t="str">
            <v>37</v>
          </cell>
          <cell r="H1732" t="str">
            <v>04</v>
          </cell>
          <cell r="I1732" t="str">
            <v>Rapat-rapat Koordinasi dan Konsultasi ke Luar Daerah</v>
          </cell>
          <cell r="J1732" t="str">
            <v>Jumlah Koordinasi dan Konsultasi yang diikuti luar daerah</v>
          </cell>
          <cell r="K1732">
            <v>72</v>
          </cell>
          <cell r="L1732">
            <v>11500000000</v>
          </cell>
          <cell r="M1732">
            <v>24</v>
          </cell>
          <cell r="N1732">
            <v>3136935488</v>
          </cell>
          <cell r="O1732">
            <v>12</v>
          </cell>
          <cell r="P1732">
            <v>1536744000</v>
          </cell>
          <cell r="Q1732">
            <v>3</v>
          </cell>
          <cell r="R1732">
            <v>129503800</v>
          </cell>
          <cell r="S1732">
            <v>3</v>
          </cell>
          <cell r="T1732">
            <v>128549900</v>
          </cell>
          <cell r="Y1732">
            <v>6</v>
          </cell>
          <cell r="Z1732">
            <v>258053700</v>
          </cell>
          <cell r="AA1732">
            <v>27</v>
          </cell>
          <cell r="AB1732">
            <v>3394989188</v>
          </cell>
          <cell r="AC1732">
            <v>37.5</v>
          </cell>
          <cell r="AD1732">
            <v>29.521645113043476</v>
          </cell>
        </row>
        <row r="1733">
          <cell r="A1733">
            <v>26</v>
          </cell>
          <cell r="B1733" t="str">
            <v>Meningkatkan Akuntabilitas Kinerja Instansi Pemerintah</v>
          </cell>
          <cell r="C1733" t="str">
            <v>01</v>
          </cell>
          <cell r="D1733" t="str">
            <v>4</v>
          </cell>
          <cell r="E1733" t="str">
            <v>00</v>
          </cell>
          <cell r="F1733" t="str">
            <v>01</v>
          </cell>
          <cell r="G1733" t="str">
            <v>39</v>
          </cell>
          <cell r="I1733" t="str">
            <v>Program Peningkatan Disiplin Aparatur (KDH)</v>
          </cell>
          <cell r="J1733" t="str">
            <v>Persentase Peningkatan Disiplin Aparatur</v>
          </cell>
          <cell r="K1733">
            <v>500</v>
          </cell>
          <cell r="L1733">
            <v>1679000000</v>
          </cell>
          <cell r="M1733">
            <v>145</v>
          </cell>
          <cell r="N1733">
            <v>557651858</v>
          </cell>
          <cell r="O1733">
            <v>80</v>
          </cell>
          <cell r="P1733">
            <v>226500000</v>
          </cell>
          <cell r="Q1733">
            <v>25</v>
          </cell>
          <cell r="R1733">
            <v>22000000</v>
          </cell>
          <cell r="S1733">
            <v>27</v>
          </cell>
          <cell r="T1733">
            <v>66530000</v>
          </cell>
          <cell r="Y1733">
            <v>52</v>
          </cell>
          <cell r="Z1733">
            <v>88530000</v>
          </cell>
          <cell r="AA1733">
            <v>170</v>
          </cell>
          <cell r="AB1733">
            <v>646181858</v>
          </cell>
          <cell r="AC1733">
            <v>34</v>
          </cell>
          <cell r="AD1733">
            <v>38.486114234663489</v>
          </cell>
        </row>
        <row r="1734">
          <cell r="C1734" t="str">
            <v>01</v>
          </cell>
          <cell r="D1734" t="str">
            <v>4</v>
          </cell>
          <cell r="E1734" t="str">
            <v>00</v>
          </cell>
          <cell r="F1734" t="str">
            <v>01</v>
          </cell>
          <cell r="G1734" t="str">
            <v>39</v>
          </cell>
          <cell r="H1734" t="str">
            <v>01</v>
          </cell>
          <cell r="I1734" t="str">
            <v xml:space="preserve">Pengadaan Pakaian Dinas Beserta Perlengkapan </v>
          </cell>
          <cell r="J1734" t="str">
            <v>Jumlah pakaian dinas beserta perlengkapan</v>
          </cell>
          <cell r="K1734">
            <v>400</v>
          </cell>
          <cell r="L1734">
            <v>1679000000</v>
          </cell>
          <cell r="M1734">
            <v>130</v>
          </cell>
          <cell r="N1734">
            <v>557651858</v>
          </cell>
          <cell r="O1734">
            <v>65</v>
          </cell>
          <cell r="P1734">
            <v>226500000</v>
          </cell>
          <cell r="Q1734">
            <v>15</v>
          </cell>
          <cell r="R1734">
            <v>22000000</v>
          </cell>
          <cell r="S1734">
            <v>10</v>
          </cell>
          <cell r="T1734">
            <v>66530000</v>
          </cell>
          <cell r="Y1734">
            <v>25</v>
          </cell>
          <cell r="Z1734">
            <v>88530000</v>
          </cell>
          <cell r="AA1734">
            <v>145</v>
          </cell>
          <cell r="AB1734">
            <v>646181858</v>
          </cell>
          <cell r="AC1734">
            <v>36.25</v>
          </cell>
          <cell r="AD1734">
            <v>38.486114234663489</v>
          </cell>
        </row>
        <row r="1735">
          <cell r="A1735">
            <v>27</v>
          </cell>
          <cell r="B1735" t="str">
            <v>Meningkatkan Fasilitasi dan Koordinasi Penyelenggaraan Kegiatan Pemerintah Daerah Kabupaten Pesisir Selatan</v>
          </cell>
          <cell r="C1735" t="str">
            <v>01</v>
          </cell>
          <cell r="D1735" t="str">
            <v>4</v>
          </cell>
          <cell r="E1735" t="str">
            <v>00</v>
          </cell>
          <cell r="F1735" t="str">
            <v>01</v>
          </cell>
          <cell r="G1735" t="str">
            <v>40</v>
          </cell>
          <cell r="I1735" t="str">
            <v>Program Advokasi Pemerintah Daerah</v>
          </cell>
          <cell r="J1735" t="str">
            <v>Persentase Sangketa  hukum yang difasilitasi</v>
          </cell>
          <cell r="K1735">
            <v>510</v>
          </cell>
          <cell r="L1735">
            <v>2350000000</v>
          </cell>
          <cell r="M1735">
            <v>145</v>
          </cell>
          <cell r="N1735">
            <v>450993872</v>
          </cell>
          <cell r="O1735">
            <v>85</v>
          </cell>
          <cell r="P1735">
            <v>94304068</v>
          </cell>
          <cell r="Q1735">
            <v>50</v>
          </cell>
          <cell r="R1735">
            <v>13783200</v>
          </cell>
          <cell r="T1735">
            <v>40423200</v>
          </cell>
          <cell r="Y1735">
            <v>50</v>
          </cell>
          <cell r="Z1735">
            <v>54206400</v>
          </cell>
          <cell r="AA1735">
            <v>195</v>
          </cell>
          <cell r="AB1735">
            <v>505200272</v>
          </cell>
          <cell r="AC1735">
            <v>38.235294117647058</v>
          </cell>
          <cell r="AD1735">
            <v>21.497883914893617</v>
          </cell>
        </row>
        <row r="1736">
          <cell r="C1736" t="str">
            <v>01</v>
          </cell>
          <cell r="D1736" t="str">
            <v>4</v>
          </cell>
          <cell r="E1736" t="str">
            <v>00</v>
          </cell>
          <cell r="F1736" t="str">
            <v>01</v>
          </cell>
          <cell r="G1736" t="str">
            <v>40</v>
          </cell>
          <cell r="H1736" t="str">
            <v>01</v>
          </cell>
          <cell r="I1736" t="str">
            <v>Penyelesaian Sengketa Hukum</v>
          </cell>
          <cell r="J1736" t="str">
            <v>Jumlah perkara hukum yang diselesaikan</v>
          </cell>
          <cell r="K1736">
            <v>58</v>
          </cell>
          <cell r="L1736">
            <v>2350000000</v>
          </cell>
          <cell r="M1736">
            <v>12</v>
          </cell>
          <cell r="N1736">
            <v>450993872</v>
          </cell>
          <cell r="O1736">
            <v>6</v>
          </cell>
          <cell r="P1736">
            <v>94304068</v>
          </cell>
          <cell r="Q1736">
            <v>3</v>
          </cell>
          <cell r="R1736">
            <v>13783200</v>
          </cell>
          <cell r="S1736">
            <v>3</v>
          </cell>
          <cell r="T1736">
            <v>40423200</v>
          </cell>
          <cell r="Y1736">
            <v>6</v>
          </cell>
          <cell r="Z1736">
            <v>54206400</v>
          </cell>
          <cell r="AA1736">
            <v>15</v>
          </cell>
          <cell r="AB1736">
            <v>505200272</v>
          </cell>
          <cell r="AC1736">
            <v>25.862068965517242</v>
          </cell>
          <cell r="AD1736">
            <v>21.497883914893617</v>
          </cell>
        </row>
        <row r="1737">
          <cell r="A1737">
            <v>28</v>
          </cell>
          <cell r="B1737" t="str">
            <v>Meningkatkan Fasilitasi dan Koordinasi Penyelenggaraan Kegiatan Pemerintah Daerah Kabupaten Pesisir Selatan</v>
          </cell>
          <cell r="C1737" t="str">
            <v>01</v>
          </cell>
          <cell r="D1737" t="str">
            <v>4</v>
          </cell>
          <cell r="E1737" t="str">
            <v>00</v>
          </cell>
          <cell r="F1737" t="str">
            <v>01</v>
          </cell>
          <cell r="G1737" t="str">
            <v>47</v>
          </cell>
          <cell r="I1737" t="str">
            <v>Program Pemantapan Otonomi Daerah</v>
          </cell>
          <cell r="J1737" t="str">
            <v>Persentase tahapan penegasan batas wilayah administrasi pemerintahan</v>
          </cell>
          <cell r="K1737">
            <v>190</v>
          </cell>
          <cell r="L1737">
            <v>5269000000</v>
          </cell>
          <cell r="N1737">
            <v>1153023825</v>
          </cell>
          <cell r="O1737">
            <v>30</v>
          </cell>
          <cell r="P1737">
            <v>675696388.45000005</v>
          </cell>
          <cell r="Q1737">
            <v>15</v>
          </cell>
          <cell r="R1737">
            <v>93024500</v>
          </cell>
          <cell r="S1737">
            <v>10</v>
          </cell>
          <cell r="T1737">
            <v>152653800</v>
          </cell>
          <cell r="Y1737">
            <v>25</v>
          </cell>
          <cell r="Z1737">
            <v>245678300</v>
          </cell>
          <cell r="AA1737">
            <v>15</v>
          </cell>
          <cell r="AB1737">
            <v>1398702125</v>
          </cell>
          <cell r="AC1737">
            <v>7.8947368421052628</v>
          </cell>
          <cell r="AD1737">
            <v>26.545874454355666</v>
          </cell>
        </row>
        <row r="1738">
          <cell r="J1738" t="str">
            <v>Persentase Tahapan Pembakuan Nama Rupa Bumi</v>
          </cell>
          <cell r="K1738">
            <v>400</v>
          </cell>
          <cell r="O1738">
            <v>100</v>
          </cell>
          <cell r="Q1738">
            <v>40</v>
          </cell>
          <cell r="S1738">
            <v>10</v>
          </cell>
          <cell r="Y1738">
            <v>50</v>
          </cell>
          <cell r="Z1738">
            <v>0</v>
          </cell>
          <cell r="AA1738">
            <v>40</v>
          </cell>
          <cell r="AC1738">
            <v>10</v>
          </cell>
        </row>
        <row r="1739">
          <cell r="J1739" t="str">
            <v>Persentase Nagari Binaan Perantau</v>
          </cell>
          <cell r="K1739">
            <v>80</v>
          </cell>
          <cell r="O1739">
            <v>17</v>
          </cell>
          <cell r="Q1739">
            <v>5</v>
          </cell>
          <cell r="S1739">
            <v>5</v>
          </cell>
          <cell r="Y1739">
            <v>10</v>
          </cell>
          <cell r="Z1739">
            <v>0</v>
          </cell>
          <cell r="AA1739">
            <v>5</v>
          </cell>
          <cell r="AC1739">
            <v>6.25</v>
          </cell>
        </row>
        <row r="1740">
          <cell r="J1740" t="str">
            <v>Persentase Penyelesaian Permasalahan Penyelenggaraan Pemerintah Daerah</v>
          </cell>
          <cell r="K1740">
            <v>399</v>
          </cell>
          <cell r="O1740">
            <v>67</v>
          </cell>
          <cell r="Q1740">
            <v>25</v>
          </cell>
          <cell r="S1740">
            <v>20</v>
          </cell>
          <cell r="Y1740">
            <v>45</v>
          </cell>
          <cell r="Z1740">
            <v>0</v>
          </cell>
          <cell r="AA1740">
            <v>25</v>
          </cell>
          <cell r="AC1740">
            <v>6.2656641604010019</v>
          </cell>
        </row>
        <row r="1741">
          <cell r="J1741" t="str">
            <v>Jumlah Kerjasama dengan Pihak Ketiga</v>
          </cell>
          <cell r="K1741">
            <v>78</v>
          </cell>
          <cell r="M1741">
            <v>1</v>
          </cell>
          <cell r="O1741">
            <v>14</v>
          </cell>
          <cell r="Q1741">
            <v>1</v>
          </cell>
          <cell r="S1741">
            <v>1</v>
          </cell>
          <cell r="Y1741">
            <v>2</v>
          </cell>
          <cell r="Z1741">
            <v>0</v>
          </cell>
          <cell r="AA1741">
            <v>2</v>
          </cell>
          <cell r="AC1741">
            <v>2.5641025641025639</v>
          </cell>
        </row>
        <row r="1742">
          <cell r="J1742" t="str">
            <v>Persentase kehadiran stekeholders pada rapat koordinasi pimpinan daerah</v>
          </cell>
          <cell r="K1742">
            <v>450</v>
          </cell>
          <cell r="M1742">
            <v>90</v>
          </cell>
          <cell r="O1742">
            <v>90</v>
          </cell>
          <cell r="S1742">
            <v>50</v>
          </cell>
          <cell r="Y1742">
            <v>50</v>
          </cell>
          <cell r="Z1742">
            <v>0</v>
          </cell>
          <cell r="AA1742">
            <v>90</v>
          </cell>
          <cell r="AC1742">
            <v>20</v>
          </cell>
        </row>
        <row r="1743">
          <cell r="C1743" t="str">
            <v>01</v>
          </cell>
          <cell r="D1743" t="str">
            <v>4</v>
          </cell>
          <cell r="E1743" t="str">
            <v>00</v>
          </cell>
          <cell r="F1743" t="str">
            <v>01</v>
          </cell>
          <cell r="G1743" t="str">
            <v>47</v>
          </cell>
          <cell r="H1743" t="str">
            <v>01</v>
          </cell>
          <cell r="I1743" t="str">
            <v>Rapat Koordinasi Penyelenggaraan Pemerintah Kabupaten</v>
          </cell>
          <cell r="J1743" t="str">
            <v>Jumlah rapat koordinasi camat dan wali nagari</v>
          </cell>
          <cell r="K1743">
            <v>10</v>
          </cell>
          <cell r="L1743">
            <v>597000000</v>
          </cell>
          <cell r="M1743">
            <v>2</v>
          </cell>
          <cell r="N1743">
            <v>63582900</v>
          </cell>
          <cell r="O1743">
            <v>2</v>
          </cell>
          <cell r="P1743">
            <v>62260879.75</v>
          </cell>
          <cell r="Q1743">
            <v>1</v>
          </cell>
          <cell r="R1743">
            <v>2324500</v>
          </cell>
          <cell r="T1743">
            <v>4685000</v>
          </cell>
          <cell r="Y1743">
            <v>1</v>
          </cell>
          <cell r="Z1743">
            <v>7009500</v>
          </cell>
          <cell r="AA1743">
            <v>3</v>
          </cell>
          <cell r="AB1743">
            <v>70592400</v>
          </cell>
          <cell r="AC1743">
            <v>30</v>
          </cell>
          <cell r="AD1743">
            <v>11.824522613065326</v>
          </cell>
        </row>
        <row r="1744">
          <cell r="J1744" t="str">
            <v>Jumlah Rakor camat dengan perangkat daerah</v>
          </cell>
          <cell r="K1744">
            <v>9</v>
          </cell>
          <cell r="Y1744">
            <v>0</v>
          </cell>
          <cell r="Z1744">
            <v>0</v>
          </cell>
          <cell r="AA1744">
            <v>0</v>
          </cell>
          <cell r="AC1744">
            <v>0</v>
          </cell>
        </row>
        <row r="1745">
          <cell r="C1745" t="str">
            <v>01</v>
          </cell>
          <cell r="D1745" t="str">
            <v>4</v>
          </cell>
          <cell r="E1745" t="str">
            <v>00</v>
          </cell>
          <cell r="F1745" t="str">
            <v>01</v>
          </cell>
          <cell r="G1745" t="str">
            <v>47</v>
          </cell>
          <cell r="H1745" t="str">
            <v>02</v>
          </cell>
          <cell r="I1745" t="str">
            <v>Fasilitasi Penyelenggaraan Pemerintah Daerah</v>
          </cell>
          <cell r="J1745" t="str">
            <v>Jumlah fasilitasi Rakor Gubernur dangan Kabupaten Kota</v>
          </cell>
          <cell r="K1745">
            <v>24</v>
          </cell>
          <cell r="L1745">
            <v>1200000000</v>
          </cell>
          <cell r="M1745">
            <v>8</v>
          </cell>
          <cell r="N1745">
            <v>314334104</v>
          </cell>
          <cell r="O1745">
            <v>4</v>
          </cell>
          <cell r="P1745">
            <v>99539854</v>
          </cell>
          <cell r="Q1745">
            <v>2</v>
          </cell>
          <cell r="R1745">
            <v>21394700</v>
          </cell>
          <cell r="T1745">
            <v>40970100</v>
          </cell>
          <cell r="Y1745">
            <v>2</v>
          </cell>
          <cell r="Z1745">
            <v>62364800</v>
          </cell>
          <cell r="AA1745">
            <v>10</v>
          </cell>
          <cell r="AB1745">
            <v>376698904</v>
          </cell>
          <cell r="AC1745">
            <v>41.666666666666671</v>
          </cell>
          <cell r="AD1745">
            <v>31.391575333333332</v>
          </cell>
        </row>
        <row r="1746">
          <cell r="J1746" t="str">
            <v>Jumlah fasilitasi serah terima jabatan camat</v>
          </cell>
          <cell r="Y1746">
            <v>0</v>
          </cell>
          <cell r="Z1746">
            <v>0</v>
          </cell>
        </row>
        <row r="1747">
          <cell r="J1747" t="str">
            <v>Jumlah penyelesaian permasalahan di kecamatan</v>
          </cell>
          <cell r="Y1747">
            <v>0</v>
          </cell>
          <cell r="Z1747">
            <v>0</v>
          </cell>
        </row>
        <row r="1748">
          <cell r="C1748" t="str">
            <v>01</v>
          </cell>
          <cell r="D1748" t="str">
            <v>4</v>
          </cell>
          <cell r="E1748" t="str">
            <v>00</v>
          </cell>
          <cell r="F1748" t="str">
            <v>01</v>
          </cell>
          <cell r="G1748" t="str">
            <v>47</v>
          </cell>
          <cell r="H1748" t="str">
            <v>03</v>
          </cell>
          <cell r="I1748" t="str">
            <v>Koordinasi dan Pembinaan Kewilayahan</v>
          </cell>
          <cell r="J1748" t="str">
            <v>Jumlah Rakor kecamatan yang dihadiri</v>
          </cell>
          <cell r="K1748">
            <v>90</v>
          </cell>
          <cell r="L1748">
            <v>1180000000</v>
          </cell>
          <cell r="M1748">
            <v>30</v>
          </cell>
          <cell r="N1748">
            <v>288663947</v>
          </cell>
          <cell r="O1748">
            <v>15</v>
          </cell>
          <cell r="P1748">
            <v>46463665.5</v>
          </cell>
          <cell r="Q1748">
            <v>4</v>
          </cell>
          <cell r="R1748">
            <v>9026000</v>
          </cell>
          <cell r="S1748">
            <v>1</v>
          </cell>
          <cell r="T1748">
            <v>9547000</v>
          </cell>
          <cell r="Y1748">
            <v>5</v>
          </cell>
          <cell r="Z1748">
            <v>18573000</v>
          </cell>
          <cell r="AA1748">
            <v>34</v>
          </cell>
          <cell r="AB1748">
            <v>307236947</v>
          </cell>
          <cell r="AC1748">
            <v>37.777777777777779</v>
          </cell>
          <cell r="AD1748">
            <v>26.037029406779659</v>
          </cell>
        </row>
        <row r="1749">
          <cell r="J1749" t="str">
            <v>Laporan Evaluasi pelaksanaan Tupoksi Camat</v>
          </cell>
          <cell r="Y1749">
            <v>0</v>
          </cell>
          <cell r="Z1749">
            <v>0</v>
          </cell>
          <cell r="AB1749">
            <v>0</v>
          </cell>
        </row>
        <row r="1750">
          <cell r="C1750" t="str">
            <v>01</v>
          </cell>
          <cell r="D1750" t="str">
            <v>4</v>
          </cell>
          <cell r="E1750" t="str">
            <v>00</v>
          </cell>
          <cell r="F1750" t="str">
            <v>01</v>
          </cell>
          <cell r="G1750" t="str">
            <v>47</v>
          </cell>
          <cell r="H1750" t="str">
            <v>08</v>
          </cell>
          <cell r="I1750" t="str">
            <v>Penyusunan Laporan Penyelenggaraan Pemerintah Daerah</v>
          </cell>
          <cell r="J1750" t="str">
            <v>Jumlah Dokumen LPPD</v>
          </cell>
          <cell r="K1750">
            <v>3</v>
          </cell>
          <cell r="L1750">
            <v>237000000</v>
          </cell>
          <cell r="M1750">
            <v>2</v>
          </cell>
          <cell r="N1750">
            <v>146144227</v>
          </cell>
          <cell r="O1750">
            <v>1</v>
          </cell>
          <cell r="P1750">
            <v>58162656.25</v>
          </cell>
          <cell r="Q1750">
            <v>1</v>
          </cell>
          <cell r="R1750">
            <v>20651800</v>
          </cell>
          <cell r="T1750">
            <v>12769000</v>
          </cell>
          <cell r="Y1750">
            <v>1</v>
          </cell>
          <cell r="Z1750">
            <v>33420800</v>
          </cell>
          <cell r="AA1750">
            <v>3</v>
          </cell>
          <cell r="AB1750">
            <v>179565027</v>
          </cell>
          <cell r="AC1750">
            <v>100</v>
          </cell>
          <cell r="AD1750">
            <v>75.765834177215183</v>
          </cell>
        </row>
        <row r="1751">
          <cell r="C1751" t="str">
            <v>01</v>
          </cell>
          <cell r="D1751" t="str">
            <v>4</v>
          </cell>
          <cell r="E1751" t="str">
            <v>00</v>
          </cell>
          <cell r="F1751" t="str">
            <v>01</v>
          </cell>
          <cell r="G1751" t="str">
            <v>47</v>
          </cell>
          <cell r="H1751" t="str">
            <v>09</v>
          </cell>
          <cell r="I1751" t="str">
            <v>Fasilitasi Kerjasama Antar Daerah</v>
          </cell>
          <cell r="J1751" t="str">
            <v>Jumlah Mou dan Perjanjian Kerjasama  (PKS) antar daerah</v>
          </cell>
          <cell r="K1751">
            <v>33</v>
          </cell>
          <cell r="L1751">
            <v>100000000</v>
          </cell>
          <cell r="M1751">
            <v>1</v>
          </cell>
          <cell r="N1751">
            <v>78521841</v>
          </cell>
          <cell r="O1751">
            <v>8</v>
          </cell>
          <cell r="P1751">
            <v>48879711.5</v>
          </cell>
          <cell r="Q1751">
            <v>1</v>
          </cell>
          <cell r="R1751">
            <v>5720000</v>
          </cell>
          <cell r="T1751">
            <v>912500</v>
          </cell>
          <cell r="Y1751">
            <v>1</v>
          </cell>
          <cell r="Z1751">
            <v>6632500</v>
          </cell>
          <cell r="AA1751">
            <v>2</v>
          </cell>
          <cell r="AB1751">
            <v>85154341</v>
          </cell>
          <cell r="AC1751">
            <v>6.0606060606060606</v>
          </cell>
          <cell r="AD1751">
            <v>85.154341000000002</v>
          </cell>
        </row>
        <row r="1752">
          <cell r="J1752" t="str">
            <v>Jumlah asistensi MoU kerjasama dengan pihak ketiga</v>
          </cell>
          <cell r="Y1752">
            <v>0</v>
          </cell>
          <cell r="Z1752">
            <v>0</v>
          </cell>
        </row>
        <row r="1753">
          <cell r="C1753" t="str">
            <v>01</v>
          </cell>
          <cell r="D1753" t="str">
            <v>4</v>
          </cell>
          <cell r="E1753" t="str">
            <v>00</v>
          </cell>
          <cell r="F1753" t="str">
            <v>01</v>
          </cell>
          <cell r="G1753" t="str">
            <v>47</v>
          </cell>
          <cell r="H1753" t="str">
            <v>10</v>
          </cell>
          <cell r="I1753" t="str">
            <v>Penilaian Kompetensi Camat</v>
          </cell>
          <cell r="J1753" t="str">
            <v>Jumlah Camat terbaik</v>
          </cell>
          <cell r="K1753">
            <v>6</v>
          </cell>
          <cell r="L1753">
            <v>340000000</v>
          </cell>
          <cell r="M1753">
            <v>3</v>
          </cell>
          <cell r="N1753">
            <v>132655856</v>
          </cell>
          <cell r="O1753">
            <v>3</v>
          </cell>
          <cell r="P1753">
            <v>160786958.19999999</v>
          </cell>
          <cell r="R1753">
            <v>952000</v>
          </cell>
          <cell r="S1753">
            <v>3</v>
          </cell>
          <cell r="T1753">
            <v>44500200</v>
          </cell>
          <cell r="Y1753">
            <v>3</v>
          </cell>
          <cell r="Z1753">
            <v>45452200</v>
          </cell>
          <cell r="AA1753">
            <v>3</v>
          </cell>
          <cell r="AB1753">
            <v>178108056</v>
          </cell>
          <cell r="AC1753">
            <v>50</v>
          </cell>
          <cell r="AD1753">
            <v>52.384722352941168</v>
          </cell>
        </row>
        <row r="1754">
          <cell r="J1754" t="str">
            <v>Nilai Peringkat Tingkat Provinsi</v>
          </cell>
          <cell r="O1754" t="str">
            <v>3 besar</v>
          </cell>
          <cell r="Y1754">
            <v>0</v>
          </cell>
          <cell r="Z1754">
            <v>0</v>
          </cell>
        </row>
        <row r="1755">
          <cell r="J1755" t="str">
            <v>Jumlah Peserta Workshop</v>
          </cell>
          <cell r="O1755" t="str">
            <v>30 orang</v>
          </cell>
          <cell r="Y1755">
            <v>0</v>
          </cell>
          <cell r="Z1755">
            <v>0</v>
          </cell>
        </row>
        <row r="1756">
          <cell r="C1756" t="str">
            <v>01</v>
          </cell>
          <cell r="D1756" t="str">
            <v>4</v>
          </cell>
          <cell r="E1756" t="str">
            <v>00</v>
          </cell>
          <cell r="F1756" t="str">
            <v>01</v>
          </cell>
          <cell r="G1756" t="str">
            <v>47</v>
          </cell>
          <cell r="H1756" t="str">
            <v>12</v>
          </cell>
          <cell r="I1756" t="str">
            <v>Penamaan Rupa Bumi dan Unsur Alami</v>
          </cell>
          <cell r="J1756" t="str">
            <v>Laporan nama rupa bumi dan unsur buatan</v>
          </cell>
          <cell r="K1756">
            <v>5</v>
          </cell>
          <cell r="L1756">
            <v>495000000</v>
          </cell>
          <cell r="M1756">
            <v>1</v>
          </cell>
          <cell r="N1756">
            <v>129120950</v>
          </cell>
          <cell r="O1756">
            <v>1</v>
          </cell>
          <cell r="P1756">
            <v>46343569.25</v>
          </cell>
          <cell r="T1756">
            <v>17789000</v>
          </cell>
          <cell r="Y1756">
            <v>0</v>
          </cell>
          <cell r="Z1756">
            <v>17789000</v>
          </cell>
          <cell r="AA1756">
            <v>1</v>
          </cell>
          <cell r="AB1756">
            <v>146909950</v>
          </cell>
          <cell r="AC1756">
            <v>20</v>
          </cell>
          <cell r="AD1756">
            <v>29.678777777777775</v>
          </cell>
        </row>
        <row r="1757">
          <cell r="C1757" t="str">
            <v>01</v>
          </cell>
          <cell r="D1757" t="str">
            <v>4</v>
          </cell>
          <cell r="E1757" t="str">
            <v>00</v>
          </cell>
          <cell r="F1757" t="str">
            <v>01</v>
          </cell>
          <cell r="G1757" t="str">
            <v>47</v>
          </cell>
          <cell r="H1757" t="str">
            <v>13</v>
          </cell>
          <cell r="I1757" t="str">
            <v>Fasilitasi Penegasan Batas Daerah dan Kecamatan</v>
          </cell>
          <cell r="J1757" t="str">
            <v>Jumlah fasilitasi penetapan dan  penegasan batas nagari</v>
          </cell>
          <cell r="K1757">
            <v>70</v>
          </cell>
          <cell r="L1757">
            <v>520000000</v>
          </cell>
          <cell r="M1757">
            <v>0</v>
          </cell>
          <cell r="O1757">
            <v>10</v>
          </cell>
          <cell r="P1757">
            <v>51940078.75</v>
          </cell>
          <cell r="Q1757">
            <v>40</v>
          </cell>
          <cell r="R1757">
            <v>11695500</v>
          </cell>
          <cell r="S1757">
            <v>5</v>
          </cell>
          <cell r="T1757">
            <v>4022000</v>
          </cell>
          <cell r="Y1757">
            <v>45</v>
          </cell>
          <cell r="Z1757">
            <v>15717500</v>
          </cell>
          <cell r="AA1757">
            <v>40</v>
          </cell>
          <cell r="AB1757">
            <v>15717500</v>
          </cell>
          <cell r="AC1757">
            <v>57.142857142857139</v>
          </cell>
          <cell r="AD1757">
            <v>3.0225961538461537</v>
          </cell>
        </row>
        <row r="1758">
          <cell r="C1758" t="str">
            <v>01</v>
          </cell>
          <cell r="D1758" t="str">
            <v>4</v>
          </cell>
          <cell r="E1758" t="str">
            <v>00</v>
          </cell>
          <cell r="F1758" t="str">
            <v>01</v>
          </cell>
          <cell r="G1758" t="str">
            <v>47</v>
          </cell>
          <cell r="H1758" t="str">
            <v>14</v>
          </cell>
          <cell r="I1758" t="str">
            <v>Koordinasi Penyusunan Laporan Keterangan Pertanggungjawaban (LKPJ)</v>
          </cell>
          <cell r="J1758" t="str">
            <v>Jumlah dokumen LKPJ</v>
          </cell>
          <cell r="K1758">
            <v>1</v>
          </cell>
          <cell r="L1758">
            <v>50000000</v>
          </cell>
          <cell r="O1758">
            <v>1</v>
          </cell>
          <cell r="P1758">
            <v>48682581.75</v>
          </cell>
          <cell r="Q1758">
            <v>1</v>
          </cell>
          <cell r="R1758">
            <v>15218000</v>
          </cell>
          <cell r="T1758">
            <v>13200000</v>
          </cell>
          <cell r="Y1758">
            <v>1</v>
          </cell>
          <cell r="Z1758">
            <v>28418000</v>
          </cell>
          <cell r="AA1758">
            <v>1</v>
          </cell>
          <cell r="AB1758">
            <v>28418000</v>
          </cell>
          <cell r="AC1758">
            <v>100</v>
          </cell>
          <cell r="AD1758">
            <v>56.835999999999999</v>
          </cell>
        </row>
        <row r="1759">
          <cell r="C1759" t="str">
            <v>01</v>
          </cell>
          <cell r="D1759" t="str">
            <v>4</v>
          </cell>
          <cell r="E1759" t="str">
            <v>00</v>
          </cell>
          <cell r="F1759" t="str">
            <v>01</v>
          </cell>
          <cell r="G1759" t="str">
            <v>47</v>
          </cell>
          <cell r="H1759" t="str">
            <v>15</v>
          </cell>
          <cell r="I1759" t="str">
            <v>Fasilitasi Kerjasama Rantau</v>
          </cell>
          <cell r="J1759" t="str">
            <v>Jumlah fasilitasi nagari binaan perantau tingkat Kabupaten</v>
          </cell>
          <cell r="K1759">
            <v>12</v>
          </cell>
          <cell r="L1759">
            <v>550000000</v>
          </cell>
          <cell r="O1759">
            <v>3</v>
          </cell>
          <cell r="P1759">
            <v>52636433.5</v>
          </cell>
          <cell r="Q1759">
            <v>1</v>
          </cell>
          <cell r="R1759">
            <v>6042000</v>
          </cell>
          <cell r="T1759">
            <v>4259000</v>
          </cell>
          <cell r="Y1759">
            <v>1</v>
          </cell>
          <cell r="Z1759">
            <v>10301000</v>
          </cell>
          <cell r="AA1759">
            <v>1</v>
          </cell>
          <cell r="AB1759">
            <v>10301000</v>
          </cell>
          <cell r="AC1759">
            <v>8.3333333333333321</v>
          </cell>
          <cell r="AD1759">
            <v>1.8729090909090911</v>
          </cell>
        </row>
        <row r="1760">
          <cell r="A1760">
            <v>29</v>
          </cell>
          <cell r="B1760" t="str">
            <v>Meningkatkan Fasilitasi Pelaksanaan Kegiatan Keagamaan</v>
          </cell>
          <cell r="C1760" t="str">
            <v>01</v>
          </cell>
          <cell r="D1760" t="str">
            <v>4</v>
          </cell>
          <cell r="E1760" t="str">
            <v>00</v>
          </cell>
          <cell r="F1760" t="str">
            <v>01</v>
          </cell>
          <cell r="G1760" t="str">
            <v>57</v>
          </cell>
          <cell r="I1760" t="str">
            <v>Program Peningkatan IMTAQ Bagi Pegawai</v>
          </cell>
          <cell r="J1760" t="str">
            <v>Tingkat Kepuasaan  terhadap pelayanan Jemaah Haji oleh Pemerintah Daerah</v>
          </cell>
          <cell r="K1760">
            <v>580</v>
          </cell>
          <cell r="L1760">
            <v>1450000000</v>
          </cell>
          <cell r="M1760">
            <v>180</v>
          </cell>
          <cell r="N1760">
            <v>341863118</v>
          </cell>
          <cell r="O1760">
            <v>100</v>
          </cell>
          <cell r="P1760">
            <v>126472964.5</v>
          </cell>
          <cell r="R1760">
            <v>15920000</v>
          </cell>
          <cell r="Y1760">
            <v>0</v>
          </cell>
          <cell r="Z1760">
            <v>15920000</v>
          </cell>
          <cell r="AA1760">
            <v>180</v>
          </cell>
          <cell r="AB1760">
            <v>357783118</v>
          </cell>
          <cell r="AC1760">
            <v>31.03448275862069</v>
          </cell>
          <cell r="AD1760">
            <v>24.674697793103448</v>
          </cell>
        </row>
        <row r="1761">
          <cell r="J1761" t="str">
            <v xml:space="preserve">Peringkat  MTQ Pesisir selatan </v>
          </cell>
          <cell r="K1761">
            <v>5</v>
          </cell>
          <cell r="M1761">
            <v>6</v>
          </cell>
          <cell r="O1761">
            <v>5</v>
          </cell>
          <cell r="Y1761">
            <v>0</v>
          </cell>
          <cell r="Z1761">
            <v>0</v>
          </cell>
          <cell r="AA1761">
            <v>6</v>
          </cell>
          <cell r="AB1761">
            <v>0</v>
          </cell>
          <cell r="AC1761">
            <v>120</v>
          </cell>
        </row>
        <row r="1762">
          <cell r="J1762" t="str">
            <v>Persentase kunjungan mesjid tim silahturahmi Pemda</v>
          </cell>
          <cell r="K1762">
            <v>380</v>
          </cell>
          <cell r="M1762">
            <v>105</v>
          </cell>
          <cell r="O1762">
            <v>80</v>
          </cell>
          <cell r="S1762">
            <v>60</v>
          </cell>
          <cell r="Y1762">
            <v>60</v>
          </cell>
          <cell r="Z1762">
            <v>0</v>
          </cell>
          <cell r="AA1762">
            <v>105</v>
          </cell>
          <cell r="AB1762">
            <v>0</v>
          </cell>
          <cell r="AC1762">
            <v>27.631578947368425</v>
          </cell>
        </row>
        <row r="1763">
          <cell r="J1763" t="str">
            <v>Persentase mesjid yang dapat hibah bansos</v>
          </cell>
          <cell r="K1763">
            <v>415</v>
          </cell>
          <cell r="M1763">
            <v>120</v>
          </cell>
          <cell r="O1763">
            <v>80</v>
          </cell>
          <cell r="S1763">
            <v>60</v>
          </cell>
          <cell r="Y1763">
            <v>60</v>
          </cell>
          <cell r="Z1763">
            <v>0</v>
          </cell>
          <cell r="AA1763">
            <v>120</v>
          </cell>
          <cell r="AB1763">
            <v>0</v>
          </cell>
          <cell r="AC1763">
            <v>28.915662650602407</v>
          </cell>
        </row>
        <row r="1764">
          <cell r="C1764" t="str">
            <v>01</v>
          </cell>
          <cell r="D1764" t="str">
            <v>4</v>
          </cell>
          <cell r="E1764" t="str">
            <v>00</v>
          </cell>
          <cell r="F1764" t="str">
            <v>01</v>
          </cell>
          <cell r="G1764" t="str">
            <v>57</v>
          </cell>
          <cell r="H1764" t="str">
            <v>01</v>
          </cell>
          <cell r="I1764" t="str">
            <v>Peningkatan Imtaq bagi Pegawai di Lingkugan Pemda Kab. Pessel dan Penyelenggaraan Hari Besar Islam</v>
          </cell>
          <cell r="J1764" t="str">
            <v>Jumlah ceramah agama yang dilaksanakan</v>
          </cell>
          <cell r="K1764">
            <v>144</v>
          </cell>
          <cell r="L1764">
            <v>1450000000</v>
          </cell>
          <cell r="M1764">
            <v>48</v>
          </cell>
          <cell r="N1764">
            <v>341863118</v>
          </cell>
          <cell r="O1764">
            <v>24</v>
          </cell>
          <cell r="P1764">
            <v>126472964.5</v>
          </cell>
          <cell r="Q1764">
            <v>6</v>
          </cell>
          <cell r="R1764">
            <v>15920000</v>
          </cell>
          <cell r="S1764">
            <v>6</v>
          </cell>
          <cell r="T1764">
            <v>25412700</v>
          </cell>
          <cell r="Y1764">
            <v>12</v>
          </cell>
          <cell r="Z1764">
            <v>41332700</v>
          </cell>
          <cell r="AA1764">
            <v>54</v>
          </cell>
          <cell r="AB1764">
            <v>383195818</v>
          </cell>
          <cell r="AC1764">
            <v>37.5</v>
          </cell>
          <cell r="AD1764">
            <v>26.427297793103449</v>
          </cell>
        </row>
        <row r="1765">
          <cell r="A1765">
            <v>30</v>
          </cell>
          <cell r="B1765" t="str">
            <v>Meningkatkan Akuntabilitas Kinerja Instansi Pemerintah</v>
          </cell>
          <cell r="C1765" t="str">
            <v>01</v>
          </cell>
          <cell r="D1765" t="str">
            <v>4</v>
          </cell>
          <cell r="E1765" t="str">
            <v>00</v>
          </cell>
          <cell r="F1765" t="str">
            <v>01</v>
          </cell>
          <cell r="G1765" t="str">
            <v>78</v>
          </cell>
          <cell r="I1765" t="str">
            <v>Program Peningkatan Pengawasan Akuntabilitas Kinerja Aparatur</v>
          </cell>
          <cell r="J1765" t="str">
            <v xml:space="preserve">Peningkatan Nilai AKIP Kabupaten   </v>
          </cell>
          <cell r="K1765" t="str">
            <v>A</v>
          </cell>
          <cell r="L1765">
            <v>1495000000</v>
          </cell>
          <cell r="M1765" t="str">
            <v>BB</v>
          </cell>
          <cell r="N1765">
            <v>201389735</v>
          </cell>
          <cell r="O1765" t="str">
            <v>BB</v>
          </cell>
          <cell r="P1765">
            <v>134555028.25</v>
          </cell>
          <cell r="R1765">
            <v>17219626</v>
          </cell>
          <cell r="T1765">
            <v>23295400</v>
          </cell>
          <cell r="Y1765">
            <v>0</v>
          </cell>
          <cell r="Z1765">
            <v>40515026</v>
          </cell>
          <cell r="AB1765">
            <v>241904761</v>
          </cell>
          <cell r="AD1765">
            <v>16.180920468227423</v>
          </cell>
        </row>
        <row r="1766">
          <cell r="J1766" t="str">
            <v>Peningkatan Pemeringkatan LPPD</v>
          </cell>
          <cell r="K1766">
            <v>3.35</v>
          </cell>
          <cell r="Y1766">
            <v>0</v>
          </cell>
          <cell r="Z1766">
            <v>0</v>
          </cell>
        </row>
        <row r="1767">
          <cell r="J1767" t="str">
            <v>Persentase tahapan penyampaian dokumen LKPJ Bupati</v>
          </cell>
          <cell r="K1767">
            <v>400</v>
          </cell>
          <cell r="S1767">
            <v>100</v>
          </cell>
          <cell r="Y1767">
            <v>100</v>
          </cell>
          <cell r="Z1767">
            <v>0</v>
          </cell>
        </row>
        <row r="1768">
          <cell r="C1768" t="str">
            <v>01</v>
          </cell>
          <cell r="D1768" t="str">
            <v>4</v>
          </cell>
          <cell r="E1768" t="str">
            <v>00</v>
          </cell>
          <cell r="F1768" t="str">
            <v>01</v>
          </cell>
          <cell r="G1768" t="str">
            <v>78</v>
          </cell>
          <cell r="H1768" t="str">
            <v>01</v>
          </cell>
          <cell r="I1768" t="str">
            <v>Penyusunan Lakip Kabupaten Pesisir Selatan</v>
          </cell>
          <cell r="J1768" t="str">
            <v>Jumlah Perangkat Daerah yang menyampaikan Lkj tepat waktu</v>
          </cell>
          <cell r="K1768">
            <v>225</v>
          </cell>
          <cell r="L1768">
            <v>955000000</v>
          </cell>
          <cell r="M1768">
            <v>45</v>
          </cell>
          <cell r="N1768">
            <v>149183985</v>
          </cell>
          <cell r="O1768">
            <v>45</v>
          </cell>
          <cell r="P1768">
            <v>85189366.25</v>
          </cell>
          <cell r="Q1768">
            <v>35</v>
          </cell>
          <cell r="R1768">
            <v>12260898</v>
          </cell>
          <cell r="S1768">
            <v>10</v>
          </cell>
          <cell r="T1768">
            <v>10167800</v>
          </cell>
          <cell r="Y1768">
            <v>45</v>
          </cell>
          <cell r="Z1768">
            <v>22428698</v>
          </cell>
          <cell r="AA1768">
            <v>80</v>
          </cell>
          <cell r="AB1768">
            <v>171612683</v>
          </cell>
          <cell r="AC1768">
            <v>35.555555555555557</v>
          </cell>
          <cell r="AD1768">
            <v>17.969914450261783</v>
          </cell>
        </row>
        <row r="1769">
          <cell r="C1769" t="str">
            <v>01</v>
          </cell>
          <cell r="D1769" t="str">
            <v>4</v>
          </cell>
          <cell r="E1769" t="str">
            <v>00</v>
          </cell>
          <cell r="F1769" t="str">
            <v>01</v>
          </cell>
          <cell r="G1769" t="str">
            <v>78</v>
          </cell>
          <cell r="H1769" t="str">
            <v>03</v>
          </cell>
          <cell r="I1769" t="str">
            <v>Monev Kinerja SKPD</v>
          </cell>
          <cell r="J1769" t="str">
            <v>Jumlah Laporan monev Kinerja Perangkat daerah</v>
          </cell>
          <cell r="K1769">
            <v>112</v>
          </cell>
          <cell r="L1769">
            <v>540000000</v>
          </cell>
          <cell r="M1769">
            <v>50</v>
          </cell>
          <cell r="N1769">
            <v>52205750</v>
          </cell>
          <cell r="O1769">
            <v>50</v>
          </cell>
          <cell r="P1769">
            <v>49365662</v>
          </cell>
          <cell r="R1769">
            <v>4958728</v>
          </cell>
          <cell r="S1769">
            <v>50</v>
          </cell>
          <cell r="T1769">
            <v>13127600</v>
          </cell>
          <cell r="Y1769">
            <v>50</v>
          </cell>
          <cell r="Z1769">
            <v>18086328</v>
          </cell>
          <cell r="AA1769">
            <v>50</v>
          </cell>
          <cell r="AB1769">
            <v>70292078</v>
          </cell>
          <cell r="AC1769">
            <v>44.642857142857146</v>
          </cell>
          <cell r="AD1769">
            <v>13.017051481481481</v>
          </cell>
        </row>
        <row r="1770">
          <cell r="A1770">
            <v>31</v>
          </cell>
          <cell r="B1770" t="str">
            <v>Meningkatkan Kualitas Pelayanan Publik</v>
          </cell>
          <cell r="C1770" t="str">
            <v>01</v>
          </cell>
          <cell r="D1770" t="str">
            <v>4</v>
          </cell>
          <cell r="E1770" t="str">
            <v>00</v>
          </cell>
          <cell r="F1770" t="str">
            <v>01</v>
          </cell>
          <cell r="G1770" t="str">
            <v>80</v>
          </cell>
          <cell r="I1770" t="str">
            <v>Program Pengembangan Manajemen Pelayanan Publik</v>
          </cell>
          <cell r="J1770" t="str">
            <v>Tingkat Kepuasan Masyarakat</v>
          </cell>
          <cell r="K1770" t="str">
            <v>A</v>
          </cell>
          <cell r="L1770">
            <v>1790000000</v>
          </cell>
          <cell r="M1770" t="str">
            <v>BB</v>
          </cell>
          <cell r="N1770">
            <v>33621900</v>
          </cell>
          <cell r="O1770" t="str">
            <v>BB</v>
          </cell>
          <cell r="P1770">
            <v>202796544.5</v>
          </cell>
          <cell r="R1770">
            <v>16971613</v>
          </cell>
          <cell r="T1770">
            <v>64141700</v>
          </cell>
          <cell r="Y1770">
            <v>0</v>
          </cell>
          <cell r="Z1770">
            <v>81113313</v>
          </cell>
          <cell r="AB1770">
            <v>114735213</v>
          </cell>
          <cell r="AD1770">
            <v>6.409788435754189</v>
          </cell>
        </row>
        <row r="1771">
          <cell r="C1771" t="str">
            <v>01</v>
          </cell>
          <cell r="D1771" t="str">
            <v>4</v>
          </cell>
          <cell r="E1771" t="str">
            <v>00</v>
          </cell>
          <cell r="F1771" t="str">
            <v>01</v>
          </cell>
          <cell r="G1771" t="str">
            <v>80</v>
          </cell>
          <cell r="H1771" t="str">
            <v>01</v>
          </cell>
          <cell r="I1771" t="str">
            <v xml:space="preserve">Indeks Kepuasan Masyarakat </v>
          </cell>
          <cell r="J1771" t="str">
            <v>Jumlah PD pelayanan publik yang disurvey</v>
          </cell>
          <cell r="K1771">
            <v>124</v>
          </cell>
          <cell r="L1771">
            <v>530000000</v>
          </cell>
          <cell r="M1771">
            <v>2</v>
          </cell>
          <cell r="N1771">
            <v>33621900</v>
          </cell>
          <cell r="O1771">
            <v>17</v>
          </cell>
          <cell r="P1771">
            <v>69324401.75</v>
          </cell>
          <cell r="Q1771">
            <v>10</v>
          </cell>
          <cell r="R1771">
            <v>11525613</v>
          </cell>
          <cell r="S1771">
            <v>7</v>
          </cell>
          <cell r="T1771">
            <v>19548200</v>
          </cell>
          <cell r="Y1771">
            <v>17</v>
          </cell>
          <cell r="Z1771">
            <v>31073813</v>
          </cell>
          <cell r="AA1771">
            <v>12</v>
          </cell>
          <cell r="AB1771">
            <v>64695713</v>
          </cell>
          <cell r="AC1771">
            <v>9.67741935483871</v>
          </cell>
          <cell r="AD1771">
            <v>12.206738301886793</v>
          </cell>
        </row>
        <row r="1772">
          <cell r="C1772" t="str">
            <v>01</v>
          </cell>
          <cell r="D1772" t="str">
            <v>4</v>
          </cell>
          <cell r="E1772" t="str">
            <v>00</v>
          </cell>
          <cell r="F1772" t="str">
            <v>01</v>
          </cell>
          <cell r="G1772" t="str">
            <v>80</v>
          </cell>
          <cell r="H1772" t="str">
            <v>04</v>
          </cell>
          <cell r="I1772" t="str">
            <v>Fasilitasi Pelaksanaan Inovasi Pelayanan Publik</v>
          </cell>
          <cell r="J1772" t="str">
            <v>Jumlah inovasi pelayanan publik yang difasilitasi</v>
          </cell>
          <cell r="K1772">
            <v>8</v>
          </cell>
          <cell r="L1772">
            <v>820000000</v>
          </cell>
          <cell r="M1772" t="str">
            <v>0</v>
          </cell>
          <cell r="O1772">
            <v>2</v>
          </cell>
          <cell r="P1772">
            <v>59042996.25</v>
          </cell>
          <cell r="Q1772">
            <v>4</v>
          </cell>
          <cell r="R1772">
            <v>2992000</v>
          </cell>
          <cell r="T1772">
            <v>31638200</v>
          </cell>
          <cell r="Y1772">
            <v>4</v>
          </cell>
          <cell r="Z1772">
            <v>34630200</v>
          </cell>
          <cell r="AA1772">
            <v>4</v>
          </cell>
          <cell r="AB1772">
            <v>34630200</v>
          </cell>
          <cell r="AC1772">
            <v>50</v>
          </cell>
          <cell r="AD1772">
            <v>4.2231951219512194</v>
          </cell>
        </row>
        <row r="1773">
          <cell r="C1773" t="str">
            <v>01</v>
          </cell>
          <cell r="D1773" t="str">
            <v>4</v>
          </cell>
          <cell r="E1773" t="str">
            <v>00</v>
          </cell>
          <cell r="F1773" t="str">
            <v>01</v>
          </cell>
          <cell r="G1773" t="str">
            <v>80</v>
          </cell>
          <cell r="H1773" t="str">
            <v>08</v>
          </cell>
          <cell r="I1773" t="str">
            <v>Peningkatan Manajemen Pelayanan Publik</v>
          </cell>
          <cell r="J1773" t="str">
            <v>Jumlah laporan pelayanan publik</v>
          </cell>
          <cell r="K1773">
            <v>16</v>
          </cell>
          <cell r="L1773">
            <v>440000000</v>
          </cell>
          <cell r="M1773" t="str">
            <v>0</v>
          </cell>
          <cell r="O1773">
            <v>4</v>
          </cell>
          <cell r="P1773">
            <v>74429146.5</v>
          </cell>
          <cell r="Q1773">
            <v>2</v>
          </cell>
          <cell r="R1773">
            <v>2454000</v>
          </cell>
          <cell r="S1773">
            <v>2</v>
          </cell>
          <cell r="T1773">
            <v>12955300</v>
          </cell>
          <cell r="Y1773">
            <v>4</v>
          </cell>
          <cell r="Z1773">
            <v>15409300</v>
          </cell>
          <cell r="AA1773">
            <v>2</v>
          </cell>
          <cell r="AB1773">
            <v>15409300</v>
          </cell>
          <cell r="AC1773">
            <v>12.5</v>
          </cell>
          <cell r="AD1773">
            <v>3.5021136363636365</v>
          </cell>
        </row>
        <row r="1774">
          <cell r="A1774" t="str">
            <v>Rata-Rata Capaian Kinerja</v>
          </cell>
          <cell r="AC1774">
            <v>31.773996486014049</v>
          </cell>
          <cell r="AD1774">
            <v>31.451097828823539</v>
          </cell>
        </row>
        <row r="1775">
          <cell r="A1775" t="str">
            <v>Peringkat  Kinerja</v>
          </cell>
          <cell r="AC1775" t="str">
            <v>SR</v>
          </cell>
          <cell r="AD1775" t="str">
            <v>SR</v>
          </cell>
        </row>
        <row r="1776">
          <cell r="A1776" t="str">
            <v>II</v>
          </cell>
          <cell r="I1776" t="str">
            <v>SEKRETARIAT DPRD</v>
          </cell>
          <cell r="L1776">
            <v>184463834000</v>
          </cell>
          <cell r="N1776">
            <v>51871510000</v>
          </cell>
          <cell r="P1776">
            <v>19974615410.5</v>
          </cell>
          <cell r="R1776">
            <v>6041289000</v>
          </cell>
          <cell r="T1776">
            <v>5298858388</v>
          </cell>
          <cell r="Y1776">
            <v>0</v>
          </cell>
          <cell r="Z1776">
            <v>11340147388</v>
          </cell>
          <cell r="AB1776">
            <v>63211657388</v>
          </cell>
        </row>
        <row r="1777">
          <cell r="A1777">
            <v>1</v>
          </cell>
          <cell r="B1777" t="str">
            <v>Meningkatkan pelayanan administrasi perkantoran</v>
          </cell>
          <cell r="C1777">
            <v>4</v>
          </cell>
          <cell r="D1777" t="str">
            <v>00</v>
          </cell>
          <cell r="E1777" t="str">
            <v>02</v>
          </cell>
          <cell r="F1777" t="str">
            <v>01</v>
          </cell>
          <cell r="G1777" t="str">
            <v>01</v>
          </cell>
          <cell r="I1777" t="str">
            <v>Program Pelayanan Administrasi Perkantoran</v>
          </cell>
          <cell r="J1777" t="str">
            <v>Jumlah cakupan pelayanan admnistrasi perkantoran (bln)</v>
          </cell>
          <cell r="K1777">
            <v>72</v>
          </cell>
          <cell r="L1777">
            <v>19315050000</v>
          </cell>
          <cell r="M1777">
            <v>24</v>
          </cell>
          <cell r="N1777">
            <v>6438930000</v>
          </cell>
          <cell r="O1777">
            <v>12</v>
          </cell>
          <cell r="P1777">
            <v>2198269463.5</v>
          </cell>
          <cell r="Q1777">
            <v>42</v>
          </cell>
          <cell r="R1777">
            <v>567881000</v>
          </cell>
          <cell r="S1777">
            <v>42</v>
          </cell>
          <cell r="T1777">
            <v>173586000</v>
          </cell>
          <cell r="Y1777">
            <v>84</v>
          </cell>
          <cell r="Z1777">
            <v>741467000</v>
          </cell>
          <cell r="AA1777">
            <v>66</v>
          </cell>
          <cell r="AB1777">
            <v>7180397000</v>
          </cell>
          <cell r="AC1777">
            <v>91.666666666666657</v>
          </cell>
          <cell r="AD1777">
            <v>37.175140628680744</v>
          </cell>
          <cell r="AE1777" t="str">
            <v>Setwan</v>
          </cell>
        </row>
        <row r="1778">
          <cell r="C1778">
            <v>4</v>
          </cell>
          <cell r="D1778" t="str">
            <v>00</v>
          </cell>
          <cell r="E1778" t="str">
            <v>02</v>
          </cell>
          <cell r="F1778" t="str">
            <v>01</v>
          </cell>
          <cell r="G1778" t="str">
            <v>01</v>
          </cell>
          <cell r="H1778" t="str">
            <v>01</v>
          </cell>
          <cell r="I1778" t="str">
            <v>Penyediaan Jasa Surat menyurat</v>
          </cell>
          <cell r="J1778" t="str">
            <v>Tersedianya jasa surat menyurat (bulan)</v>
          </cell>
          <cell r="K1778">
            <v>72</v>
          </cell>
          <cell r="L1778">
            <v>49416000</v>
          </cell>
          <cell r="M1778">
            <v>24</v>
          </cell>
          <cell r="N1778">
            <v>16472000</v>
          </cell>
          <cell r="O1778">
            <v>12</v>
          </cell>
          <cell r="P1778">
            <v>12525000</v>
          </cell>
          <cell r="Q1778">
            <v>3</v>
          </cell>
          <cell r="R1778">
            <v>750000</v>
          </cell>
          <cell r="S1778">
            <v>3</v>
          </cell>
          <cell r="T1778">
            <v>1200000</v>
          </cell>
          <cell r="Y1778">
            <v>6</v>
          </cell>
          <cell r="Z1778">
            <v>1950000</v>
          </cell>
          <cell r="AA1778">
            <v>27</v>
          </cell>
          <cell r="AB1778">
            <v>18422000</v>
          </cell>
          <cell r="AC1778">
            <v>37.5</v>
          </cell>
          <cell r="AD1778">
            <v>37.279423668447464</v>
          </cell>
        </row>
        <row r="1779">
          <cell r="C1779">
            <v>4</v>
          </cell>
          <cell r="D1779" t="str">
            <v>00</v>
          </cell>
          <cell r="E1779" t="str">
            <v>02</v>
          </cell>
          <cell r="F1779" t="str">
            <v>01</v>
          </cell>
          <cell r="G1779" t="str">
            <v>01</v>
          </cell>
          <cell r="H1779" t="str">
            <v>02</v>
          </cell>
          <cell r="I1779" t="str">
            <v>Penyediaan Jasa Komunikasi, Sumber Daya Air dan Listrik</v>
          </cell>
          <cell r="J1779" t="str">
            <v>Terlaksananya pembayaran rekening listrik, air, telpon dan faks(bulan)</v>
          </cell>
          <cell r="K1779">
            <v>72</v>
          </cell>
          <cell r="L1779">
            <v>1514716000</v>
          </cell>
          <cell r="M1779">
            <v>24</v>
          </cell>
          <cell r="N1779">
            <v>504900000</v>
          </cell>
          <cell r="O1779">
            <v>12</v>
          </cell>
          <cell r="P1779">
            <v>234000000</v>
          </cell>
          <cell r="Q1779">
            <v>3</v>
          </cell>
          <cell r="R1779">
            <v>71583000</v>
          </cell>
          <cell r="S1779">
            <v>3</v>
          </cell>
          <cell r="T1779">
            <v>13669000</v>
          </cell>
          <cell r="Y1779">
            <v>6</v>
          </cell>
          <cell r="Z1779">
            <v>85252000</v>
          </cell>
          <cell r="AA1779">
            <v>27</v>
          </cell>
          <cell r="AB1779">
            <v>590152000</v>
          </cell>
          <cell r="AC1779">
            <v>37.5</v>
          </cell>
          <cell r="AD1779">
            <v>38.96123101624331</v>
          </cell>
        </row>
        <row r="1780">
          <cell r="C1780">
            <v>4</v>
          </cell>
          <cell r="D1780" t="str">
            <v>00</v>
          </cell>
          <cell r="E1780" t="str">
            <v>02</v>
          </cell>
          <cell r="F1780" t="str">
            <v>01</v>
          </cell>
          <cell r="G1780" t="str">
            <v>01</v>
          </cell>
          <cell r="H1780" t="str">
            <v>07</v>
          </cell>
          <cell r="I1780" t="str">
            <v>Penyediaan jasa administrasi keuangan</v>
          </cell>
          <cell r="J1780" t="str">
            <v>Terlaksananya pembayaran honor dan operasional pengelola keuangan (bulan)</v>
          </cell>
          <cell r="K1780">
            <v>72</v>
          </cell>
          <cell r="L1780">
            <v>4577604000</v>
          </cell>
          <cell r="M1780">
            <v>24</v>
          </cell>
          <cell r="N1780">
            <v>1525868000</v>
          </cell>
          <cell r="O1780">
            <v>12</v>
          </cell>
          <cell r="P1780">
            <v>173346152</v>
          </cell>
          <cell r="Q1780">
            <v>3</v>
          </cell>
          <cell r="R1780">
            <v>2650000</v>
          </cell>
          <cell r="S1780">
            <v>3</v>
          </cell>
          <cell r="Y1780">
            <v>6</v>
          </cell>
          <cell r="Z1780">
            <v>2650000</v>
          </cell>
          <cell r="AA1780">
            <v>27</v>
          </cell>
          <cell r="AB1780">
            <v>1528518000</v>
          </cell>
          <cell r="AC1780">
            <v>37.5</v>
          </cell>
          <cell r="AD1780">
            <v>33.391223880440513</v>
          </cell>
        </row>
        <row r="1781">
          <cell r="C1781">
            <v>4</v>
          </cell>
          <cell r="D1781" t="str">
            <v>00</v>
          </cell>
          <cell r="E1781" t="str">
            <v>02</v>
          </cell>
          <cell r="F1781" t="str">
            <v>01</v>
          </cell>
          <cell r="G1781" t="str">
            <v>01</v>
          </cell>
          <cell r="H1781" t="str">
            <v>08</v>
          </cell>
          <cell r="I1781" t="str">
            <v>Penyediaan Jasa Kebersihan Kantor</v>
          </cell>
          <cell r="J1781" t="str">
            <v>Tersedianya jasa kebersihan dan bahan kebersihan kantor (bulan)</v>
          </cell>
          <cell r="K1781">
            <v>72</v>
          </cell>
          <cell r="L1781">
            <v>1272150000</v>
          </cell>
          <cell r="M1781">
            <v>24</v>
          </cell>
          <cell r="N1781">
            <v>424050000</v>
          </cell>
          <cell r="O1781">
            <v>12</v>
          </cell>
          <cell r="P1781">
            <v>198750000</v>
          </cell>
          <cell r="Q1781">
            <v>3</v>
          </cell>
          <cell r="R1781">
            <v>40395000</v>
          </cell>
          <cell r="S1781">
            <v>3</v>
          </cell>
          <cell r="T1781">
            <v>25464000</v>
          </cell>
          <cell r="Y1781">
            <v>6</v>
          </cell>
          <cell r="Z1781">
            <v>65859000</v>
          </cell>
          <cell r="AA1781">
            <v>27</v>
          </cell>
          <cell r="AB1781">
            <v>489909000</v>
          </cell>
          <cell r="AC1781">
            <v>37.5</v>
          </cell>
          <cell r="AD1781">
            <v>38.510317179577882</v>
          </cell>
        </row>
        <row r="1782">
          <cell r="C1782">
            <v>4</v>
          </cell>
          <cell r="D1782" t="str">
            <v>00</v>
          </cell>
          <cell r="E1782" t="str">
            <v>02</v>
          </cell>
          <cell r="F1782" t="str">
            <v>01</v>
          </cell>
          <cell r="G1782" t="str">
            <v>01</v>
          </cell>
          <cell r="H1782" t="str">
            <v>10</v>
          </cell>
          <cell r="I1782" t="str">
            <v>Penyediaan Alat Tulis Kantor</v>
          </cell>
          <cell r="J1782" t="str">
            <v>Tersedianya alat tulis kantor (bulan)</v>
          </cell>
          <cell r="K1782">
            <v>72</v>
          </cell>
          <cell r="L1782">
            <v>357768000</v>
          </cell>
          <cell r="M1782">
            <v>24</v>
          </cell>
          <cell r="N1782">
            <v>119256000</v>
          </cell>
          <cell r="O1782">
            <v>12</v>
          </cell>
          <cell r="P1782">
            <v>64871411.75</v>
          </cell>
          <cell r="Q1782">
            <v>3</v>
          </cell>
          <cell r="R1782">
            <v>60000000</v>
          </cell>
          <cell r="S1782">
            <v>3</v>
          </cell>
          <cell r="Y1782">
            <v>6</v>
          </cell>
          <cell r="Z1782">
            <v>60000000</v>
          </cell>
          <cell r="AA1782">
            <v>27</v>
          </cell>
          <cell r="AB1782">
            <v>179256000</v>
          </cell>
          <cell r="AC1782">
            <v>37.5</v>
          </cell>
          <cell r="AD1782">
            <v>50.103977996914203</v>
          </cell>
        </row>
        <row r="1783">
          <cell r="C1783">
            <v>4</v>
          </cell>
          <cell r="D1783" t="str">
            <v>00</v>
          </cell>
          <cell r="E1783" t="str">
            <v>02</v>
          </cell>
          <cell r="F1783" t="str">
            <v>01</v>
          </cell>
          <cell r="G1783" t="str">
            <v>01</v>
          </cell>
          <cell r="H1783" t="str">
            <v>11</v>
          </cell>
          <cell r="I1783" t="str">
            <v>Penyediaan Barang Cetakan dan Penggandaan</v>
          </cell>
          <cell r="J1783" t="str">
            <v>Tersedianya barang cetakan dan penggandaan (bulan)</v>
          </cell>
          <cell r="K1783">
            <v>72</v>
          </cell>
          <cell r="L1783">
            <v>349598000</v>
          </cell>
          <cell r="M1783">
            <v>24</v>
          </cell>
          <cell r="N1783">
            <v>117130000</v>
          </cell>
          <cell r="O1783">
            <v>12</v>
          </cell>
          <cell r="P1783">
            <v>28163800</v>
          </cell>
          <cell r="Q1783">
            <v>3</v>
          </cell>
          <cell r="R1783">
            <v>0</v>
          </cell>
          <cell r="S1783">
            <v>3</v>
          </cell>
          <cell r="Y1783">
            <v>6</v>
          </cell>
          <cell r="Z1783">
            <v>0</v>
          </cell>
          <cell r="AA1783">
            <v>27</v>
          </cell>
          <cell r="AB1783">
            <v>117130000</v>
          </cell>
          <cell r="AC1783">
            <v>37.5</v>
          </cell>
          <cell r="AD1783">
            <v>33.504196248262289</v>
          </cell>
        </row>
        <row r="1784">
          <cell r="C1784">
            <v>4</v>
          </cell>
          <cell r="D1784" t="str">
            <v>00</v>
          </cell>
          <cell r="E1784" t="str">
            <v>02</v>
          </cell>
          <cell r="F1784" t="str">
            <v>01</v>
          </cell>
          <cell r="G1784" t="str">
            <v>01</v>
          </cell>
          <cell r="H1784" t="str">
            <v>12</v>
          </cell>
          <cell r="I1784" t="str">
            <v>Penyediaan Komponen Instalasi Listrik/Penerangan Bangunan Kantor</v>
          </cell>
          <cell r="J1784" t="str">
            <v>Tersedianya komponen instalasi listrik dan penerangan (bulan)</v>
          </cell>
          <cell r="K1784">
            <v>72</v>
          </cell>
          <cell r="L1784">
            <v>365140000</v>
          </cell>
          <cell r="M1784">
            <v>24</v>
          </cell>
          <cell r="N1784">
            <v>121710000</v>
          </cell>
          <cell r="O1784">
            <v>12</v>
          </cell>
          <cell r="P1784">
            <v>44200000</v>
          </cell>
          <cell r="Q1784">
            <v>3</v>
          </cell>
          <cell r="R1784">
            <v>500000</v>
          </cell>
          <cell r="S1784">
            <v>3</v>
          </cell>
          <cell r="Y1784">
            <v>6</v>
          </cell>
          <cell r="Z1784">
            <v>500000</v>
          </cell>
          <cell r="AA1784">
            <v>27</v>
          </cell>
          <cell r="AB1784">
            <v>122210000</v>
          </cell>
          <cell r="AC1784">
            <v>37.5</v>
          </cell>
          <cell r="AD1784">
            <v>33.469354220299067</v>
          </cell>
        </row>
        <row r="1785">
          <cell r="C1785">
            <v>4</v>
          </cell>
          <cell r="D1785" t="str">
            <v>00</v>
          </cell>
          <cell r="E1785" t="str">
            <v>02</v>
          </cell>
          <cell r="F1785" t="str">
            <v>01</v>
          </cell>
          <cell r="G1785" t="str">
            <v>01</v>
          </cell>
          <cell r="H1785" t="str">
            <v>15</v>
          </cell>
          <cell r="I1785" t="str">
            <v>Penyediaan Bahan Bacaan dan Peraturan Perundang-undangan</v>
          </cell>
          <cell r="J1785" t="str">
            <v>Tersedianya  Bahan Bacaan dan Peraturan Perundang-undangan (bulan)</v>
          </cell>
          <cell r="K1785">
            <v>72</v>
          </cell>
          <cell r="L1785">
            <v>1321000000</v>
          </cell>
          <cell r="M1785">
            <v>24</v>
          </cell>
          <cell r="N1785">
            <v>440330000</v>
          </cell>
          <cell r="O1785">
            <v>12</v>
          </cell>
          <cell r="P1785">
            <v>160000000</v>
          </cell>
          <cell r="Q1785">
            <v>3</v>
          </cell>
          <cell r="R1785">
            <v>26920000</v>
          </cell>
          <cell r="S1785">
            <v>3</v>
          </cell>
          <cell r="T1785">
            <v>22800000</v>
          </cell>
          <cell r="Y1785">
            <v>6</v>
          </cell>
          <cell r="Z1785">
            <v>49720000</v>
          </cell>
          <cell r="AA1785">
            <v>27</v>
          </cell>
          <cell r="AB1785">
            <v>490050000</v>
          </cell>
          <cell r="AC1785">
            <v>37.5</v>
          </cell>
          <cell r="AD1785">
            <v>37.096896290688875</v>
          </cell>
        </row>
        <row r="1786">
          <cell r="C1786">
            <v>4</v>
          </cell>
          <cell r="D1786" t="str">
            <v>00</v>
          </cell>
          <cell r="E1786" t="str">
            <v>02</v>
          </cell>
          <cell r="F1786" t="str">
            <v>01</v>
          </cell>
          <cell r="G1786" t="str">
            <v>01</v>
          </cell>
          <cell r="H1786" t="str">
            <v>17</v>
          </cell>
          <cell r="I1786" t="str">
            <v>Penyediaan Makanan dan Minuman</v>
          </cell>
          <cell r="J1786" t="str">
            <v>Tersedianya  Makanan dan Minuman (bulan)</v>
          </cell>
          <cell r="K1786">
            <v>72</v>
          </cell>
          <cell r="L1786">
            <v>2950080000</v>
          </cell>
          <cell r="M1786">
            <v>24</v>
          </cell>
          <cell r="N1786">
            <v>983360000</v>
          </cell>
          <cell r="O1786">
            <v>12</v>
          </cell>
          <cell r="P1786">
            <v>500490000</v>
          </cell>
          <cell r="Q1786">
            <v>3</v>
          </cell>
          <cell r="R1786">
            <v>86523000</v>
          </cell>
          <cell r="S1786">
            <v>3</v>
          </cell>
          <cell r="T1786">
            <v>5358000</v>
          </cell>
          <cell r="Y1786">
            <v>6</v>
          </cell>
          <cell r="Z1786">
            <v>91881000</v>
          </cell>
          <cell r="AA1786">
            <v>27</v>
          </cell>
          <cell r="AB1786">
            <v>1075241000</v>
          </cell>
          <cell r="AC1786">
            <v>37.5</v>
          </cell>
          <cell r="AD1786">
            <v>36.447859041110746</v>
          </cell>
        </row>
        <row r="1787">
          <cell r="C1787">
            <v>4</v>
          </cell>
          <cell r="D1787" t="str">
            <v>00</v>
          </cell>
          <cell r="E1787" t="str">
            <v>02</v>
          </cell>
          <cell r="F1787" t="str">
            <v>01</v>
          </cell>
          <cell r="G1787" t="str">
            <v>01</v>
          </cell>
          <cell r="H1787" t="str">
            <v>18</v>
          </cell>
          <cell r="I1787" t="str">
            <v>Rapat-rapat Koordinasi dan Konsultasi ke Luar Daerah</v>
          </cell>
          <cell r="J1787" t="str">
            <v>Tersedianya dana untuk Rapat-rapat Koordinasi dan Konsultasi ke Luar Daerah (bulan)</v>
          </cell>
          <cell r="K1787">
            <v>72</v>
          </cell>
          <cell r="L1787">
            <v>1713296000</v>
          </cell>
          <cell r="M1787">
            <v>24</v>
          </cell>
          <cell r="N1787">
            <v>571096000</v>
          </cell>
          <cell r="O1787">
            <v>12</v>
          </cell>
          <cell r="P1787">
            <v>108440000</v>
          </cell>
          <cell r="Q1787">
            <v>3</v>
          </cell>
          <cell r="R1787">
            <v>89709000</v>
          </cell>
          <cell r="S1787">
            <v>3</v>
          </cell>
          <cell r="T1787">
            <v>9945000</v>
          </cell>
          <cell r="Y1787">
            <v>6</v>
          </cell>
          <cell r="Z1787">
            <v>99654000</v>
          </cell>
          <cell r="AA1787">
            <v>27</v>
          </cell>
          <cell r="AB1787">
            <v>670750000</v>
          </cell>
          <cell r="AC1787">
            <v>37.5</v>
          </cell>
          <cell r="AD1787">
            <v>39.149685751907434</v>
          </cell>
        </row>
        <row r="1788">
          <cell r="C1788">
            <v>4</v>
          </cell>
          <cell r="D1788" t="str">
            <v>00</v>
          </cell>
          <cell r="E1788" t="str">
            <v>02</v>
          </cell>
          <cell r="F1788" t="str">
            <v>01</v>
          </cell>
          <cell r="G1788" t="str">
            <v>01</v>
          </cell>
          <cell r="H1788" t="str">
            <v>19</v>
          </cell>
          <cell r="I1788" t="str">
            <v>Penyediaan Jasa Pengamanan Kantor</v>
          </cell>
          <cell r="J1788" t="str">
            <v>Tersedianya Jasa Pengamanan Kantor  (bulan)</v>
          </cell>
          <cell r="K1788">
            <v>72</v>
          </cell>
          <cell r="L1788">
            <v>585150000</v>
          </cell>
          <cell r="M1788">
            <v>24</v>
          </cell>
          <cell r="N1788">
            <v>195050000</v>
          </cell>
          <cell r="O1788">
            <v>12</v>
          </cell>
          <cell r="P1788">
            <v>199954741.75</v>
          </cell>
          <cell r="Q1788">
            <v>3</v>
          </cell>
          <cell r="R1788">
            <v>52250000</v>
          </cell>
          <cell r="S1788">
            <v>3</v>
          </cell>
          <cell r="T1788">
            <v>31780000</v>
          </cell>
          <cell r="Y1788">
            <v>6</v>
          </cell>
          <cell r="Z1788">
            <v>84030000</v>
          </cell>
          <cell r="AA1788">
            <v>27</v>
          </cell>
          <cell r="AB1788">
            <v>279080000</v>
          </cell>
          <cell r="AC1788">
            <v>37.5</v>
          </cell>
          <cell r="AD1788">
            <v>47.693753738357685</v>
          </cell>
        </row>
        <row r="1789">
          <cell r="C1789">
            <v>4</v>
          </cell>
          <cell r="D1789" t="str">
            <v>00</v>
          </cell>
          <cell r="E1789" t="str">
            <v>02</v>
          </cell>
          <cell r="F1789" t="str">
            <v>01</v>
          </cell>
          <cell r="G1789" t="str">
            <v>01</v>
          </cell>
          <cell r="H1789" t="str">
            <v>20</v>
          </cell>
          <cell r="I1789" t="str">
            <v>Rapat-rapat Koordinasi dan Konsultasi ke Dalam Daerah</v>
          </cell>
          <cell r="J1789" t="str">
            <v>Tersedianya dana untuk Rapat-rapat Koordinasi dan Konsultasi ke Dalam Daerah (bulan)</v>
          </cell>
          <cell r="K1789">
            <v>72</v>
          </cell>
          <cell r="L1789">
            <v>1241120000</v>
          </cell>
          <cell r="M1789">
            <v>24</v>
          </cell>
          <cell r="N1789">
            <v>413704000</v>
          </cell>
          <cell r="O1789">
            <v>12</v>
          </cell>
          <cell r="P1789">
            <v>21600000</v>
          </cell>
          <cell r="Q1789">
            <v>3</v>
          </cell>
          <cell r="R1789">
            <v>21600000</v>
          </cell>
          <cell r="S1789">
            <v>3</v>
          </cell>
          <cell r="T1789">
            <v>4875000</v>
          </cell>
          <cell r="Y1789">
            <v>6</v>
          </cell>
          <cell r="Z1789">
            <v>26475000</v>
          </cell>
          <cell r="AA1789">
            <v>27</v>
          </cell>
          <cell r="AB1789">
            <v>440179000</v>
          </cell>
          <cell r="AC1789">
            <v>37.5</v>
          </cell>
          <cell r="AD1789">
            <v>35.466272399123369</v>
          </cell>
        </row>
        <row r="1790">
          <cell r="C1790">
            <v>4</v>
          </cell>
          <cell r="D1790" t="str">
            <v>00</v>
          </cell>
          <cell r="E1790" t="str">
            <v>02</v>
          </cell>
          <cell r="F1790" t="str">
            <v>01</v>
          </cell>
          <cell r="G1790" t="str">
            <v>01</v>
          </cell>
          <cell r="H1790" t="str">
            <v>22</v>
          </cell>
          <cell r="I1790" t="str">
            <v>Penunjang Operasional Perencanaan dan Pelaporan</v>
          </cell>
          <cell r="J1790" t="str">
            <v>Tersedianya dana Penunjang Operasional Perencanaan dan Pelaporan</v>
          </cell>
          <cell r="K1790">
            <v>72</v>
          </cell>
          <cell r="L1790">
            <v>199404000</v>
          </cell>
          <cell r="M1790">
            <v>24</v>
          </cell>
          <cell r="N1790">
            <v>66468000</v>
          </cell>
          <cell r="O1790">
            <v>12</v>
          </cell>
          <cell r="P1790">
            <v>16560862.75</v>
          </cell>
          <cell r="Q1790">
            <v>3</v>
          </cell>
          <cell r="R1790">
            <v>0</v>
          </cell>
          <cell r="S1790">
            <v>3</v>
          </cell>
          <cell r="T1790">
            <v>10770000</v>
          </cell>
          <cell r="Y1790">
            <v>6</v>
          </cell>
          <cell r="Z1790">
            <v>10770000</v>
          </cell>
          <cell r="AA1790">
            <v>27</v>
          </cell>
          <cell r="AB1790">
            <v>77238000</v>
          </cell>
          <cell r="AC1790">
            <v>37.5</v>
          </cell>
          <cell r="AD1790">
            <v>38.734428597219718</v>
          </cell>
        </row>
        <row r="1791">
          <cell r="C1791">
            <v>4</v>
          </cell>
          <cell r="D1791" t="str">
            <v>00</v>
          </cell>
          <cell r="E1791" t="str">
            <v>02</v>
          </cell>
          <cell r="F1791" t="str">
            <v>01</v>
          </cell>
          <cell r="G1791" t="str">
            <v>01</v>
          </cell>
          <cell r="H1791" t="str">
            <v>24</v>
          </cell>
          <cell r="I1791" t="str">
            <v>Penyediaan Jasa Publikasi</v>
          </cell>
          <cell r="J1791" t="str">
            <v>Tersedianya Dana untuk mempublikasikan kegiatan DPRD</v>
          </cell>
          <cell r="K1791">
            <v>72</v>
          </cell>
          <cell r="L1791">
            <v>2818608000</v>
          </cell>
          <cell r="M1791">
            <v>24</v>
          </cell>
          <cell r="N1791">
            <v>939536000</v>
          </cell>
          <cell r="O1791">
            <v>12</v>
          </cell>
          <cell r="P1791">
            <v>435367495.25</v>
          </cell>
          <cell r="Q1791">
            <v>3</v>
          </cell>
          <cell r="R1791">
            <v>115001000</v>
          </cell>
          <cell r="S1791">
            <v>3</v>
          </cell>
          <cell r="T1791">
            <v>47725000</v>
          </cell>
          <cell r="Y1791">
            <v>6</v>
          </cell>
          <cell r="Z1791">
            <v>162726000</v>
          </cell>
          <cell r="AA1791">
            <v>27</v>
          </cell>
          <cell r="AB1791">
            <v>1102262000</v>
          </cell>
          <cell r="AC1791">
            <v>37.5</v>
          </cell>
          <cell r="AD1791">
            <v>39.106608652214142</v>
          </cell>
        </row>
        <row r="1792">
          <cell r="A1792">
            <v>2</v>
          </cell>
          <cell r="B1792" t="str">
            <v>Meningkatkan pelayanan sarana dan prasarana penunjang bagi aparatur</v>
          </cell>
          <cell r="C1792">
            <v>4</v>
          </cell>
          <cell r="D1792" t="str">
            <v>00</v>
          </cell>
          <cell r="E1792" t="str">
            <v>02</v>
          </cell>
          <cell r="F1792" t="str">
            <v>01</v>
          </cell>
          <cell r="G1792" t="str">
            <v>02</v>
          </cell>
          <cell r="I1792" t="str">
            <v>Program Peningkatan Sarana dan Prasarana Aparatur</v>
          </cell>
          <cell r="J1792" t="str">
            <v>layanan  sarana dan prasarana aparatur (bln)</v>
          </cell>
          <cell r="K1792">
            <v>72</v>
          </cell>
          <cell r="L1792">
            <v>12573889000</v>
          </cell>
          <cell r="M1792">
            <v>24</v>
          </cell>
          <cell r="N1792">
            <v>3364384000</v>
          </cell>
          <cell r="O1792">
            <v>12</v>
          </cell>
          <cell r="P1792">
            <v>1560963750</v>
          </cell>
          <cell r="Q1792">
            <v>3</v>
          </cell>
          <cell r="R1792">
            <v>348716000</v>
          </cell>
          <cell r="S1792">
            <v>30</v>
          </cell>
          <cell r="Y1792">
            <v>33</v>
          </cell>
          <cell r="Z1792">
            <v>348716000</v>
          </cell>
          <cell r="AA1792">
            <v>27</v>
          </cell>
          <cell r="AB1792">
            <v>3713100000</v>
          </cell>
          <cell r="AC1792">
            <v>37.5</v>
          </cell>
          <cell r="AD1792">
            <v>29.530243188881339</v>
          </cell>
          <cell r="AE1792" t="str">
            <v>Setwan</v>
          </cell>
        </row>
        <row r="1793">
          <cell r="C1793">
            <v>4</v>
          </cell>
          <cell r="D1793" t="str">
            <v>00</v>
          </cell>
          <cell r="E1793" t="str">
            <v>02</v>
          </cell>
          <cell r="F1793" t="str">
            <v>01</v>
          </cell>
          <cell r="G1793" t="str">
            <v>02</v>
          </cell>
          <cell r="H1793" t="str">
            <v>06</v>
          </cell>
          <cell r="I1793" t="str">
            <v>Pengadaan Perlengkapan Rumah Jabatan / Dinas</v>
          </cell>
          <cell r="J1793" t="str">
            <v>Tersedianya Perlengkapan Rumah Jabatan/Dinas (paket)</v>
          </cell>
          <cell r="K1793">
            <v>12</v>
          </cell>
          <cell r="L1793">
            <v>1442780000</v>
          </cell>
          <cell r="M1793">
            <v>4</v>
          </cell>
          <cell r="N1793">
            <v>664900000</v>
          </cell>
          <cell r="O1793">
            <v>2</v>
          </cell>
          <cell r="P1793">
            <v>200750000</v>
          </cell>
          <cell r="Q1793">
            <v>0</v>
          </cell>
          <cell r="R1793">
            <v>0</v>
          </cell>
          <cell r="S1793">
            <v>0</v>
          </cell>
          <cell r="Y1793">
            <v>0</v>
          </cell>
          <cell r="Z1793">
            <v>0</v>
          </cell>
          <cell r="AA1793">
            <v>4</v>
          </cell>
          <cell r="AB1793">
            <v>664900000</v>
          </cell>
          <cell r="AC1793">
            <v>33.333333333333329</v>
          </cell>
          <cell r="AD1793">
            <v>46.084642149184212</v>
          </cell>
        </row>
        <row r="1794">
          <cell r="C1794">
            <v>4</v>
          </cell>
          <cell r="D1794" t="str">
            <v>00</v>
          </cell>
          <cell r="E1794" t="str">
            <v>02</v>
          </cell>
          <cell r="F1794" t="str">
            <v>01</v>
          </cell>
          <cell r="G1794" t="str">
            <v>02</v>
          </cell>
          <cell r="H1794" t="str">
            <v>08</v>
          </cell>
          <cell r="I1794" t="str">
            <v>Pengadaan Peralatan Rumah Jabatan / Dinas</v>
          </cell>
          <cell r="J1794" t="str">
            <v>Tersedianya Peralatan Rumah Jabatan/Dinas (paket)</v>
          </cell>
          <cell r="K1794">
            <v>12</v>
          </cell>
          <cell r="L1794">
            <v>326407000</v>
          </cell>
          <cell r="M1794">
            <v>4</v>
          </cell>
          <cell r="N1794">
            <v>124586000</v>
          </cell>
          <cell r="O1794">
            <v>2</v>
          </cell>
          <cell r="P1794">
            <v>5050000</v>
          </cell>
          <cell r="Q1794">
            <v>0</v>
          </cell>
          <cell r="R1794">
            <v>1290000</v>
          </cell>
          <cell r="S1794">
            <v>0</v>
          </cell>
          <cell r="Y1794">
            <v>0</v>
          </cell>
          <cell r="Z1794">
            <v>1290000</v>
          </cell>
          <cell r="AA1794">
            <v>4</v>
          </cell>
          <cell r="AB1794">
            <v>125876000</v>
          </cell>
          <cell r="AC1794">
            <v>33.333333333333329</v>
          </cell>
          <cell r="AD1794">
            <v>38.564123931165689</v>
          </cell>
        </row>
        <row r="1795">
          <cell r="C1795">
            <v>4</v>
          </cell>
          <cell r="D1795" t="str">
            <v>00</v>
          </cell>
          <cell r="E1795" t="str">
            <v>02</v>
          </cell>
          <cell r="F1795" t="str">
            <v>01</v>
          </cell>
          <cell r="G1795" t="str">
            <v>02</v>
          </cell>
          <cell r="H1795" t="str">
            <v>09</v>
          </cell>
          <cell r="I1795" t="str">
            <v>Pengadaan Peralatan Gedung Kantor</v>
          </cell>
          <cell r="J1795" t="str">
            <v>Tersedianya Peralatan Gedung Kantor (paket)</v>
          </cell>
          <cell r="K1795">
            <v>12</v>
          </cell>
          <cell r="L1795">
            <v>2227800000</v>
          </cell>
          <cell r="M1795">
            <v>4</v>
          </cell>
          <cell r="N1795">
            <v>742600000</v>
          </cell>
          <cell r="O1795">
            <v>2</v>
          </cell>
          <cell r="P1795">
            <v>192750000</v>
          </cell>
          <cell r="Q1795">
            <v>0</v>
          </cell>
          <cell r="R1795">
            <v>0</v>
          </cell>
          <cell r="S1795">
            <v>0</v>
          </cell>
          <cell r="Y1795">
            <v>0</v>
          </cell>
          <cell r="Z1795">
            <v>0</v>
          </cell>
          <cell r="AA1795">
            <v>4</v>
          </cell>
          <cell r="AB1795">
            <v>742600000</v>
          </cell>
          <cell r="AC1795">
            <v>33.333333333333329</v>
          </cell>
          <cell r="AD1795">
            <v>33.333333333333329</v>
          </cell>
        </row>
        <row r="1796">
          <cell r="C1796">
            <v>4</v>
          </cell>
          <cell r="D1796" t="str">
            <v>00</v>
          </cell>
          <cell r="E1796" t="str">
            <v>02</v>
          </cell>
          <cell r="F1796" t="str">
            <v>01</v>
          </cell>
          <cell r="G1796" t="str">
            <v>02</v>
          </cell>
          <cell r="H1796" t="str">
            <v>20</v>
          </cell>
          <cell r="I1796" t="str">
            <v>Pemeliharaan Rutin/Berkala Rumah Jabatan</v>
          </cell>
          <cell r="J1796" t="str">
            <v>Terpeliharanya kondisi rumah Jabatan (bulan)</v>
          </cell>
          <cell r="K1796">
            <v>72</v>
          </cell>
          <cell r="L1796">
            <v>1254000000</v>
          </cell>
          <cell r="M1796">
            <v>24</v>
          </cell>
          <cell r="N1796">
            <v>418000000</v>
          </cell>
          <cell r="O1796">
            <v>12</v>
          </cell>
          <cell r="P1796">
            <v>50000000</v>
          </cell>
          <cell r="Q1796">
            <v>3</v>
          </cell>
          <cell r="R1796">
            <v>0</v>
          </cell>
          <cell r="S1796">
            <v>3</v>
          </cell>
          <cell r="Y1796">
            <v>6</v>
          </cell>
          <cell r="Z1796">
            <v>0</v>
          </cell>
          <cell r="AA1796">
            <v>27</v>
          </cell>
          <cell r="AB1796">
            <v>418000000</v>
          </cell>
          <cell r="AC1796">
            <v>37.5</v>
          </cell>
          <cell r="AD1796">
            <v>33.333333333333329</v>
          </cell>
        </row>
        <row r="1797">
          <cell r="C1797">
            <v>4</v>
          </cell>
          <cell r="D1797" t="str">
            <v>00</v>
          </cell>
          <cell r="E1797" t="str">
            <v>02</v>
          </cell>
          <cell r="F1797" t="str">
            <v>01</v>
          </cell>
          <cell r="G1797" t="str">
            <v>02</v>
          </cell>
          <cell r="H1797" t="str">
            <v>22</v>
          </cell>
          <cell r="I1797" t="str">
            <v>Pemeliharaan Rutin/Berkala Gedung Kantor</v>
          </cell>
          <cell r="J1797" t="str">
            <v>Terpeliharanya kondisi Gedung  kantor (bulan)</v>
          </cell>
          <cell r="K1797">
            <v>72</v>
          </cell>
          <cell r="L1797">
            <v>1520000000</v>
          </cell>
          <cell r="M1797">
            <v>24</v>
          </cell>
          <cell r="N1797">
            <v>404000000</v>
          </cell>
          <cell r="O1797">
            <v>12</v>
          </cell>
          <cell r="P1797">
            <v>595000000</v>
          </cell>
          <cell r="Q1797">
            <v>3</v>
          </cell>
          <cell r="R1797">
            <v>153000000</v>
          </cell>
          <cell r="S1797">
            <v>3</v>
          </cell>
          <cell r="Y1797">
            <v>6</v>
          </cell>
          <cell r="Z1797">
            <v>153000000</v>
          </cell>
          <cell r="AA1797">
            <v>27</v>
          </cell>
          <cell r="AB1797">
            <v>557000000</v>
          </cell>
          <cell r="AC1797">
            <v>37.5</v>
          </cell>
          <cell r="AD1797">
            <v>36.64473684210526</v>
          </cell>
        </row>
        <row r="1798">
          <cell r="C1798">
            <v>4</v>
          </cell>
          <cell r="D1798" t="str">
            <v>00</v>
          </cell>
          <cell r="E1798" t="str">
            <v>02</v>
          </cell>
          <cell r="F1798" t="str">
            <v>01</v>
          </cell>
          <cell r="G1798" t="str">
            <v>02</v>
          </cell>
          <cell r="H1798" t="str">
            <v>23</v>
          </cell>
          <cell r="I1798" t="str">
            <v>Pemeliharaan Rutin/Berkala Mobil Jabatan</v>
          </cell>
          <cell r="J1798" t="str">
            <v>Terpeliharanya Kondisi Mobil Jabatan (bulan)</v>
          </cell>
          <cell r="K1798">
            <v>72</v>
          </cell>
          <cell r="L1798">
            <v>2019022000</v>
          </cell>
          <cell r="M1798">
            <v>24</v>
          </cell>
          <cell r="N1798">
            <v>513004000</v>
          </cell>
          <cell r="O1798">
            <v>12</v>
          </cell>
          <cell r="P1798">
            <v>288288750</v>
          </cell>
          <cell r="Q1798">
            <v>3</v>
          </cell>
          <cell r="R1798">
            <v>149551000</v>
          </cell>
          <cell r="S1798">
            <v>3</v>
          </cell>
          <cell r="Y1798">
            <v>6</v>
          </cell>
          <cell r="Z1798">
            <v>149551000</v>
          </cell>
          <cell r="AA1798">
            <v>27</v>
          </cell>
          <cell r="AB1798">
            <v>662555000</v>
          </cell>
          <cell r="AC1798">
            <v>37.5</v>
          </cell>
          <cell r="AD1798">
            <v>32.815640443739589</v>
          </cell>
        </row>
        <row r="1799">
          <cell r="C1799">
            <v>4</v>
          </cell>
          <cell r="D1799" t="str">
            <v>00</v>
          </cell>
          <cell r="E1799" t="str">
            <v>02</v>
          </cell>
          <cell r="F1799" t="str">
            <v>01</v>
          </cell>
          <cell r="G1799" t="str">
            <v>02</v>
          </cell>
          <cell r="H1799" t="str">
            <v>24</v>
          </cell>
          <cell r="I1799" t="str">
            <v>Pemeliharaan Rutin/Berkala Kendaraan Dinas/ Operasional</v>
          </cell>
          <cell r="J1799" t="str">
            <v xml:space="preserve">Tersedianya Pemeliharaan Rutin/Berkala Kendaraan Dinas/Operasional (bulan) </v>
          </cell>
          <cell r="K1799">
            <v>72</v>
          </cell>
          <cell r="L1799">
            <v>1527880000</v>
          </cell>
          <cell r="M1799">
            <v>24</v>
          </cell>
          <cell r="N1799">
            <v>529290000</v>
          </cell>
          <cell r="O1799">
            <v>12</v>
          </cell>
          <cell r="P1799">
            <v>153125000</v>
          </cell>
          <cell r="Q1799">
            <v>3</v>
          </cell>
          <cell r="R1799">
            <v>26946000</v>
          </cell>
          <cell r="S1799">
            <v>3</v>
          </cell>
          <cell r="Y1799">
            <v>6</v>
          </cell>
          <cell r="Z1799">
            <v>26946000</v>
          </cell>
          <cell r="AA1799">
            <v>27</v>
          </cell>
          <cell r="AB1799">
            <v>556236000</v>
          </cell>
          <cell r="AC1799">
            <v>37.5</v>
          </cell>
          <cell r="AD1799">
            <v>36.40573867057622</v>
          </cell>
        </row>
        <row r="1800">
          <cell r="C1800">
            <v>4</v>
          </cell>
          <cell r="D1800" t="str">
            <v>00</v>
          </cell>
          <cell r="E1800" t="str">
            <v>02</v>
          </cell>
          <cell r="F1800" t="str">
            <v>01</v>
          </cell>
          <cell r="G1800" t="str">
            <v>02</v>
          </cell>
          <cell r="H1800" t="str">
            <v>26</v>
          </cell>
          <cell r="I1800" t="str">
            <v>Pemeliharaan Rutin/Berkala Perlengkapan Gedung Kantor</v>
          </cell>
          <cell r="J1800" t="str">
            <v>Terpeliharanya perlengkapan kantor  (bulan)</v>
          </cell>
          <cell r="K1800">
            <v>72</v>
          </cell>
          <cell r="L1800">
            <v>270000000</v>
          </cell>
          <cell r="M1800">
            <v>24</v>
          </cell>
          <cell r="N1800">
            <v>90000000</v>
          </cell>
          <cell r="O1800">
            <v>12</v>
          </cell>
          <cell r="P1800">
            <v>44000000</v>
          </cell>
          <cell r="Q1800">
            <v>3</v>
          </cell>
          <cell r="R1800">
            <v>15499000</v>
          </cell>
          <cell r="S1800">
            <v>3</v>
          </cell>
          <cell r="Y1800">
            <v>6</v>
          </cell>
          <cell r="Z1800">
            <v>15499000</v>
          </cell>
          <cell r="AA1800">
            <v>27</v>
          </cell>
          <cell r="AB1800">
            <v>105499000</v>
          </cell>
          <cell r="AC1800">
            <v>37.5</v>
          </cell>
          <cell r="AD1800">
            <v>39.073703703703707</v>
          </cell>
        </row>
        <row r="1801">
          <cell r="C1801">
            <v>4</v>
          </cell>
          <cell r="D1801" t="str">
            <v>00</v>
          </cell>
          <cell r="E1801" t="str">
            <v>02</v>
          </cell>
          <cell r="F1801" t="str">
            <v>01</v>
          </cell>
          <cell r="G1801" t="str">
            <v>02</v>
          </cell>
          <cell r="H1801" t="str">
            <v>27</v>
          </cell>
          <cell r="I1801" t="str">
            <v>Pemeliharaan Rutin/Berkala Peralatan Rumah Jabatan/Dinas</v>
          </cell>
          <cell r="J1801" t="str">
            <v>Terpeliharanya kondisi peralatan rumah Jabatan/dinas (bulan)</v>
          </cell>
          <cell r="K1801">
            <v>72</v>
          </cell>
          <cell r="L1801">
            <v>186000000</v>
          </cell>
          <cell r="M1801">
            <v>24</v>
          </cell>
          <cell r="N1801">
            <v>62000000</v>
          </cell>
          <cell r="O1801">
            <v>12</v>
          </cell>
          <cell r="P1801">
            <v>32000000</v>
          </cell>
          <cell r="Q1801">
            <v>3</v>
          </cell>
          <cell r="R1801">
            <v>2430000</v>
          </cell>
          <cell r="S1801">
            <v>3</v>
          </cell>
          <cell r="Y1801">
            <v>6</v>
          </cell>
          <cell r="Z1801">
            <v>2430000</v>
          </cell>
          <cell r="AA1801">
            <v>27</v>
          </cell>
          <cell r="AB1801">
            <v>64430000</v>
          </cell>
          <cell r="AC1801">
            <v>37.5</v>
          </cell>
          <cell r="AD1801">
            <v>34.63978494623656</v>
          </cell>
        </row>
        <row r="1802">
          <cell r="A1802">
            <v>3</v>
          </cell>
          <cell r="B1802" t="str">
            <v>Meningkatkan disiplin aparatur</v>
          </cell>
          <cell r="C1802" t="str">
            <v>4</v>
          </cell>
          <cell r="D1802" t="str">
            <v>00</v>
          </cell>
          <cell r="E1802" t="str">
            <v>02</v>
          </cell>
          <cell r="F1802" t="str">
            <v>01</v>
          </cell>
          <cell r="G1802" t="str">
            <v>03</v>
          </cell>
          <cell r="I1802" t="str">
            <v>Program Peningkatan Disiplin Aparatur</v>
          </cell>
          <cell r="J1802" t="str">
            <v>Meningkatnya disiplin Aparatur dan anggota DPRD</v>
          </cell>
          <cell r="K1802">
            <v>1530</v>
          </cell>
          <cell r="L1802">
            <v>2868678000</v>
          </cell>
          <cell r="M1802">
            <v>510</v>
          </cell>
          <cell r="N1802">
            <v>813510000</v>
          </cell>
          <cell r="O1802">
            <v>255</v>
          </cell>
          <cell r="P1802">
            <v>595350000</v>
          </cell>
          <cell r="Q1802">
            <v>0</v>
          </cell>
          <cell r="S1802" t="str">
            <v>0</v>
          </cell>
          <cell r="T1802">
            <v>580388</v>
          </cell>
          <cell r="Y1802">
            <v>0</v>
          </cell>
          <cell r="Z1802">
            <v>580388</v>
          </cell>
          <cell r="AA1802">
            <v>510</v>
          </cell>
          <cell r="AB1802">
            <v>814090388</v>
          </cell>
          <cell r="AC1802">
            <v>33.333333333333329</v>
          </cell>
          <cell r="AD1802">
            <v>28.378590695783913</v>
          </cell>
          <cell r="AE1802" t="str">
            <v>Setwan</v>
          </cell>
        </row>
        <row r="1803">
          <cell r="C1803" t="str">
            <v>4</v>
          </cell>
          <cell r="D1803" t="str">
            <v>00</v>
          </cell>
          <cell r="E1803" t="str">
            <v>02</v>
          </cell>
          <cell r="F1803" t="str">
            <v>01</v>
          </cell>
          <cell r="G1803" t="str">
            <v>03</v>
          </cell>
          <cell r="H1803" t="str">
            <v>02</v>
          </cell>
          <cell r="I1803" t="str">
            <v>Pengadaan pakaian dinas beserta perlengkapannya</v>
          </cell>
          <cell r="J1803" t="str">
            <v>Jumlah pakaian dinas yang disediakan (stel)</v>
          </cell>
          <cell r="K1803">
            <v>1530</v>
          </cell>
          <cell r="L1803">
            <v>2868678000</v>
          </cell>
          <cell r="M1803">
            <v>510</v>
          </cell>
          <cell r="N1803">
            <v>813510000</v>
          </cell>
          <cell r="O1803">
            <v>255</v>
          </cell>
          <cell r="P1803">
            <v>595350000</v>
          </cell>
          <cell r="Q1803">
            <v>0</v>
          </cell>
          <cell r="S1803">
            <v>0</v>
          </cell>
          <cell r="T1803">
            <v>580388</v>
          </cell>
          <cell r="Y1803">
            <v>0</v>
          </cell>
          <cell r="Z1803">
            <v>580388</v>
          </cell>
          <cell r="AA1803">
            <v>510</v>
          </cell>
          <cell r="AB1803">
            <v>814090388</v>
          </cell>
          <cell r="AC1803">
            <v>33.333333333333329</v>
          </cell>
          <cell r="AD1803">
            <v>28.378590695783913</v>
          </cell>
        </row>
        <row r="1804">
          <cell r="A1804">
            <v>4</v>
          </cell>
          <cell r="B1804" t="str">
            <v>Meningkatkan Kapasitas Kelembagaan Dewan Perwakilan Rakyat Daerah</v>
          </cell>
          <cell r="C1804" t="str">
            <v>4</v>
          </cell>
          <cell r="D1804" t="str">
            <v>00</v>
          </cell>
          <cell r="E1804" t="str">
            <v>02</v>
          </cell>
          <cell r="F1804" t="str">
            <v>01</v>
          </cell>
          <cell r="G1804" t="str">
            <v>15</v>
          </cell>
          <cell r="I1804" t="str">
            <v>Program Peningkatan Kapasitas Lembaga Perwakilan Rakyat Daerah</v>
          </cell>
          <cell r="J1804" t="str">
            <v>Terpenuhinya dan terlaksananya tugas kedewanan anggota DPRD Kab. Pessel (bln)</v>
          </cell>
          <cell r="K1804">
            <v>72</v>
          </cell>
          <cell r="L1804">
            <v>149706217000</v>
          </cell>
          <cell r="M1804">
            <v>24</v>
          </cell>
          <cell r="N1804">
            <v>41254686000</v>
          </cell>
          <cell r="O1804">
            <v>12</v>
          </cell>
          <cell r="P1804">
            <v>15620032197</v>
          </cell>
          <cell r="Q1804">
            <v>3</v>
          </cell>
          <cell r="R1804">
            <v>5124692000</v>
          </cell>
          <cell r="T1804">
            <v>5124692000</v>
          </cell>
          <cell r="Y1804">
            <v>3</v>
          </cell>
          <cell r="Z1804">
            <v>10249384000</v>
          </cell>
          <cell r="AA1804">
            <v>27</v>
          </cell>
          <cell r="AB1804">
            <v>51504070000</v>
          </cell>
          <cell r="AC1804">
            <v>37.5</v>
          </cell>
          <cell r="AD1804">
            <v>34.403427614499137</v>
          </cell>
          <cell r="AE1804" t="str">
            <v>Setwan</v>
          </cell>
        </row>
        <row r="1805">
          <cell r="C1805" t="str">
            <v>4</v>
          </cell>
          <cell r="D1805" t="str">
            <v>00</v>
          </cell>
          <cell r="E1805" t="str">
            <v>02</v>
          </cell>
          <cell r="F1805" t="str">
            <v>01</v>
          </cell>
          <cell r="G1805" t="str">
            <v>15</v>
          </cell>
          <cell r="H1805" t="str">
            <v>01</v>
          </cell>
          <cell r="I1805" t="str">
            <v>Pembahasan Rancangan Peraturan Daerah</v>
          </cell>
          <cell r="J1805" t="str">
            <v>Jumlah Peraturan dan Keputusan yang disahkan</v>
          </cell>
          <cell r="K1805">
            <v>48</v>
          </cell>
          <cell r="L1805">
            <v>55680876000</v>
          </cell>
          <cell r="M1805">
            <v>24</v>
          </cell>
          <cell r="N1805">
            <v>14911310000</v>
          </cell>
          <cell r="O1805">
            <v>12</v>
          </cell>
          <cell r="P1805">
            <v>3283028300</v>
          </cell>
          <cell r="Q1805">
            <v>2</v>
          </cell>
          <cell r="R1805">
            <v>1248543000</v>
          </cell>
          <cell r="S1805">
            <v>2</v>
          </cell>
          <cell r="T1805">
            <v>83352000</v>
          </cell>
          <cell r="Y1805">
            <v>4</v>
          </cell>
          <cell r="Z1805">
            <v>1331895000</v>
          </cell>
          <cell r="AA1805">
            <v>26</v>
          </cell>
          <cell r="AB1805">
            <v>16243205000</v>
          </cell>
          <cell r="AC1805">
            <v>54.166666666666664</v>
          </cell>
          <cell r="AD1805">
            <v>29.17196381752327</v>
          </cell>
        </row>
        <row r="1806">
          <cell r="C1806" t="str">
            <v>4</v>
          </cell>
          <cell r="D1806" t="str">
            <v>00</v>
          </cell>
          <cell r="E1806" t="str">
            <v>02</v>
          </cell>
          <cell r="F1806" t="str">
            <v>01</v>
          </cell>
          <cell r="G1806" t="str">
            <v>15</v>
          </cell>
          <cell r="H1806" t="str">
            <v>02</v>
          </cell>
          <cell r="I1806" t="str">
            <v>Hearing/Dialog dan Koordinasi dengan Pejabat Pemerintah Daerah dan Tokoh Masyarakat/Tokoh Agama</v>
          </cell>
          <cell r="J1806" t="str">
            <v>Jumlah Rapat-Rapat Hearing/dialog yang dilaksanakan</v>
          </cell>
          <cell r="K1806">
            <v>48</v>
          </cell>
          <cell r="L1806">
            <v>505068000</v>
          </cell>
          <cell r="M1806">
            <v>16</v>
          </cell>
          <cell r="N1806">
            <v>168356000</v>
          </cell>
          <cell r="O1806">
            <v>8</v>
          </cell>
          <cell r="P1806">
            <v>99848100</v>
          </cell>
          <cell r="Q1806">
            <v>2</v>
          </cell>
          <cell r="R1806">
            <v>20700000</v>
          </cell>
          <cell r="S1806">
            <v>2</v>
          </cell>
          <cell r="T1806">
            <v>3870000</v>
          </cell>
          <cell r="Y1806">
            <v>4</v>
          </cell>
          <cell r="Z1806">
            <v>24570000</v>
          </cell>
          <cell r="AA1806">
            <v>18</v>
          </cell>
          <cell r="AB1806">
            <v>192926000</v>
          </cell>
          <cell r="AC1806">
            <v>37.5</v>
          </cell>
          <cell r="AD1806">
            <v>38.198024820420223</v>
          </cell>
        </row>
        <row r="1807">
          <cell r="C1807" t="str">
            <v>4</v>
          </cell>
          <cell r="D1807" t="str">
            <v>00</v>
          </cell>
          <cell r="E1807" t="str">
            <v>02</v>
          </cell>
          <cell r="F1807" t="str">
            <v>01</v>
          </cell>
          <cell r="G1807" t="str">
            <v>15</v>
          </cell>
          <cell r="H1807" t="str">
            <v>03</v>
          </cell>
          <cell r="I1807" t="str">
            <v>Rapat-rapat Alat Kelengkapan</v>
          </cell>
          <cell r="J1807" t="str">
            <v>Jumlah rumusan yang dihasilkan dari Dewan Ketahanan Pangan</v>
          </cell>
          <cell r="K1807">
            <v>156</v>
          </cell>
          <cell r="L1807">
            <v>642204000</v>
          </cell>
          <cell r="M1807">
            <v>52</v>
          </cell>
          <cell r="N1807">
            <v>214068000</v>
          </cell>
          <cell r="O1807">
            <v>26</v>
          </cell>
          <cell r="P1807">
            <v>89195600</v>
          </cell>
          <cell r="Q1807">
            <v>8</v>
          </cell>
          <cell r="R1807">
            <v>9033000</v>
          </cell>
          <cell r="S1807">
            <v>3</v>
          </cell>
          <cell r="T1807">
            <v>10437000</v>
          </cell>
          <cell r="Y1807">
            <v>11</v>
          </cell>
          <cell r="Z1807">
            <v>19470000</v>
          </cell>
          <cell r="AA1807">
            <v>60</v>
          </cell>
          <cell r="AB1807">
            <v>233538000</v>
          </cell>
          <cell r="AC1807">
            <v>38.461538461538467</v>
          </cell>
          <cell r="AD1807">
            <v>36.365080254872282</v>
          </cell>
        </row>
        <row r="1808">
          <cell r="C1808" t="str">
            <v>4</v>
          </cell>
          <cell r="D1808" t="str">
            <v>00</v>
          </cell>
          <cell r="E1808" t="str">
            <v>02</v>
          </cell>
          <cell r="F1808" t="str">
            <v>01</v>
          </cell>
          <cell r="G1808" t="str">
            <v>15</v>
          </cell>
          <cell r="H1808" t="str">
            <v>04</v>
          </cell>
          <cell r="I1808" t="str">
            <v>Rapat-rapat  Paripurna</v>
          </cell>
          <cell r="J1808" t="str">
            <v>Jumlah Rapat-Rapat Paripurna</v>
          </cell>
          <cell r="K1808">
            <v>180</v>
          </cell>
          <cell r="L1808">
            <v>1181982000</v>
          </cell>
          <cell r="M1808">
            <v>58</v>
          </cell>
          <cell r="N1808">
            <v>393994000</v>
          </cell>
          <cell r="O1808">
            <v>29</v>
          </cell>
          <cell r="P1808">
            <v>129344400</v>
          </cell>
          <cell r="Q1808">
            <v>12</v>
          </cell>
          <cell r="R1808">
            <v>11075000</v>
          </cell>
          <cell r="S1808">
            <v>12</v>
          </cell>
          <cell r="Y1808">
            <v>24</v>
          </cell>
          <cell r="Z1808">
            <v>11075000</v>
          </cell>
          <cell r="AA1808">
            <v>70</v>
          </cell>
          <cell r="AB1808">
            <v>405069000</v>
          </cell>
          <cell r="AC1808">
            <v>38.888888888888893</v>
          </cell>
          <cell r="AD1808">
            <v>34.2703188373427</v>
          </cell>
        </row>
        <row r="1809">
          <cell r="C1809" t="str">
            <v>4</v>
          </cell>
          <cell r="D1809" t="str">
            <v>00</v>
          </cell>
          <cell r="E1809" t="str">
            <v>02</v>
          </cell>
          <cell r="F1809" t="str">
            <v>01</v>
          </cell>
          <cell r="G1809" t="str">
            <v>15</v>
          </cell>
          <cell r="H1809" t="str">
            <v>05</v>
          </cell>
          <cell r="I1809" t="str">
            <v>Kegiatan Reses</v>
          </cell>
          <cell r="J1809" t="str">
            <v xml:space="preserve">Terselenggaranya penyerapan aspirasi dari konstituen daerah pemilihan  </v>
          </cell>
          <cell r="K1809">
            <v>18</v>
          </cell>
          <cell r="L1809">
            <v>14175000000</v>
          </cell>
          <cell r="M1809">
            <v>6</v>
          </cell>
          <cell r="N1809">
            <v>4725000000</v>
          </cell>
          <cell r="O1809">
            <v>3</v>
          </cell>
          <cell r="P1809">
            <v>1575000000</v>
          </cell>
          <cell r="Q1809">
            <v>1</v>
          </cell>
          <cell r="R1809">
            <v>0</v>
          </cell>
          <cell r="S1809">
            <v>1</v>
          </cell>
          <cell r="T1809">
            <v>736175000</v>
          </cell>
          <cell r="Y1809">
            <v>2</v>
          </cell>
          <cell r="Z1809">
            <v>736175000</v>
          </cell>
          <cell r="AA1809">
            <v>7</v>
          </cell>
          <cell r="AB1809">
            <v>5461175000</v>
          </cell>
          <cell r="AC1809">
            <v>38.888888888888893</v>
          </cell>
          <cell r="AD1809">
            <v>38.526807760141089</v>
          </cell>
        </row>
        <row r="1810">
          <cell r="C1810" t="str">
            <v>4</v>
          </cell>
          <cell r="D1810" t="str">
            <v>00</v>
          </cell>
          <cell r="E1810" t="str">
            <v>02</v>
          </cell>
          <cell r="F1810" t="str">
            <v>01</v>
          </cell>
          <cell r="G1810" t="str">
            <v>15</v>
          </cell>
          <cell r="H1810" t="str">
            <v>07</v>
          </cell>
          <cell r="I1810" t="str">
            <v>Peningkatan Kapasitas Pimpinan dan Anggota DPRD</v>
          </cell>
          <cell r="J1810" t="str">
            <v xml:space="preserve">Terselenggaranya kegiatan Peningkatan Kapasistas Pimpinan dan Anggota DPRD </v>
          </cell>
          <cell r="K1810">
            <v>48</v>
          </cell>
          <cell r="L1810">
            <v>20616508000</v>
          </cell>
          <cell r="M1810">
            <v>16</v>
          </cell>
          <cell r="N1810">
            <v>5873768000</v>
          </cell>
          <cell r="O1810">
            <v>8</v>
          </cell>
          <cell r="P1810">
            <v>2253792009.25</v>
          </cell>
          <cell r="Q1810">
            <v>2</v>
          </cell>
          <cell r="R1810">
            <v>1380227000</v>
          </cell>
          <cell r="S1810">
            <v>2</v>
          </cell>
          <cell r="T1810">
            <v>39993000</v>
          </cell>
          <cell r="Y1810">
            <v>4</v>
          </cell>
          <cell r="Z1810">
            <v>1420220000</v>
          </cell>
          <cell r="AA1810">
            <v>18</v>
          </cell>
          <cell r="AB1810">
            <v>7293988000</v>
          </cell>
          <cell r="AC1810">
            <v>37.5</v>
          </cell>
          <cell r="AD1810">
            <v>35.3793571636865</v>
          </cell>
        </row>
        <row r="1811">
          <cell r="C1811" t="str">
            <v>4</v>
          </cell>
          <cell r="D1811" t="str">
            <v>00</v>
          </cell>
          <cell r="E1811" t="str">
            <v>02</v>
          </cell>
          <cell r="F1811" t="str">
            <v>01</v>
          </cell>
          <cell r="G1811" t="str">
            <v>15</v>
          </cell>
          <cell r="H1811" t="str">
            <v>11</v>
          </cell>
          <cell r="I1811" t="str">
            <v>Konsultasi, Koordinasi dan Pembinaan Alat Kelengkapan DPRD</v>
          </cell>
          <cell r="J1811" t="str">
            <v>Terselenggaranya konsultasi, koordinasi dan Pembinaan Alat Kelengkapan DPRD</v>
          </cell>
          <cell r="K1811">
            <v>96</v>
          </cell>
          <cell r="L1811">
            <v>20252597000</v>
          </cell>
          <cell r="M1811">
            <v>32</v>
          </cell>
          <cell r="N1811">
            <v>4750864000</v>
          </cell>
          <cell r="O1811">
            <v>16</v>
          </cell>
          <cell r="P1811">
            <v>2366374800</v>
          </cell>
          <cell r="Q1811">
            <v>2</v>
          </cell>
          <cell r="R1811">
            <v>905022000</v>
          </cell>
          <cell r="S1811">
            <v>2</v>
          </cell>
          <cell r="T1811">
            <v>703095000</v>
          </cell>
          <cell r="Y1811">
            <v>4</v>
          </cell>
          <cell r="Z1811">
            <v>1608117000</v>
          </cell>
          <cell r="AA1811">
            <v>34</v>
          </cell>
          <cell r="AB1811">
            <v>6358981000</v>
          </cell>
          <cell r="AC1811">
            <v>35.416666666666671</v>
          </cell>
          <cell r="AD1811">
            <v>31.398348567346694</v>
          </cell>
        </row>
        <row r="1812">
          <cell r="B1812" t="e">
            <v>#VALUE!</v>
          </cell>
          <cell r="C1812" t="str">
            <v>4</v>
          </cell>
          <cell r="D1812" t="str">
            <v>00</v>
          </cell>
          <cell r="E1812" t="str">
            <v>02</v>
          </cell>
          <cell r="F1812" t="str">
            <v>01</v>
          </cell>
          <cell r="G1812" t="str">
            <v>15</v>
          </cell>
          <cell r="H1812" t="str">
            <v>12</v>
          </cell>
          <cell r="I1812" t="str">
            <v>Konsultasi, Koordinasi dan Pembinaan Pimpinan DPRD</v>
          </cell>
          <cell r="J1812" t="str">
            <v>Terselenggaranya konsultasi, koordinasi dan Pembinaan Pimpinan dan anggota DPRD</v>
          </cell>
          <cell r="K1812">
            <v>450</v>
          </cell>
          <cell r="L1812">
            <v>13249356000</v>
          </cell>
          <cell r="M1812">
            <v>150</v>
          </cell>
          <cell r="N1812">
            <v>3416452000</v>
          </cell>
          <cell r="O1812">
            <v>75</v>
          </cell>
          <cell r="P1812">
            <v>879361900</v>
          </cell>
          <cell r="Q1812">
            <v>20</v>
          </cell>
          <cell r="R1812">
            <v>249462000</v>
          </cell>
          <cell r="S1812">
            <v>20</v>
          </cell>
          <cell r="T1812">
            <v>324197000</v>
          </cell>
          <cell r="Y1812">
            <v>40</v>
          </cell>
          <cell r="Z1812">
            <v>573659000</v>
          </cell>
          <cell r="AA1812">
            <v>170</v>
          </cell>
          <cell r="AB1812">
            <v>3990111000</v>
          </cell>
          <cell r="AC1812">
            <v>37.777777777777779</v>
          </cell>
          <cell r="AD1812">
            <v>30.115509010400203</v>
          </cell>
        </row>
        <row r="1813">
          <cell r="C1813" t="str">
            <v>4</v>
          </cell>
          <cell r="D1813" t="str">
            <v>00</v>
          </cell>
          <cell r="E1813" t="str">
            <v>02</v>
          </cell>
          <cell r="F1813" t="str">
            <v>01</v>
          </cell>
          <cell r="G1813" t="str">
            <v>15</v>
          </cell>
          <cell r="H1813" t="str">
            <v>13</v>
          </cell>
          <cell r="I1813" t="str">
            <v>Kunjungan Kerja Pimpinan dan Anggota DPRD Dalam dan Luar Daerah</v>
          </cell>
          <cell r="J1813" t="str">
            <v>Terselenggaranya kunjungan kerja Pimpinan dan anggota DPRD</v>
          </cell>
          <cell r="K1813">
            <v>60</v>
          </cell>
          <cell r="L1813">
            <v>22302646000</v>
          </cell>
          <cell r="M1813">
            <v>20</v>
          </cell>
          <cell r="N1813">
            <v>6434214000</v>
          </cell>
          <cell r="O1813">
            <v>10</v>
          </cell>
          <cell r="P1813">
            <v>4740956287.75</v>
          </cell>
          <cell r="Q1813">
            <v>6</v>
          </cell>
          <cell r="R1813">
            <v>1300630000</v>
          </cell>
          <cell r="S1813">
            <v>6</v>
          </cell>
          <cell r="T1813">
            <v>654441000</v>
          </cell>
          <cell r="Y1813">
            <v>12</v>
          </cell>
          <cell r="Z1813">
            <v>1955071000</v>
          </cell>
          <cell r="AA1813">
            <v>26</v>
          </cell>
          <cell r="AB1813">
            <v>8389285000</v>
          </cell>
          <cell r="AC1813">
            <v>43.333333333333336</v>
          </cell>
          <cell r="AD1813">
            <v>37.615648833775154</v>
          </cell>
        </row>
        <row r="1814">
          <cell r="C1814" t="str">
            <v>4</v>
          </cell>
          <cell r="D1814" t="str">
            <v>00</v>
          </cell>
          <cell r="E1814" t="str">
            <v>02</v>
          </cell>
          <cell r="F1814" t="str">
            <v>01</v>
          </cell>
          <cell r="G1814" t="str">
            <v>15</v>
          </cell>
          <cell r="H1814" t="str">
            <v>14</v>
          </cell>
          <cell r="I1814" t="str">
            <v>General Check Up Pimpinan dan Anggota  DPRD</v>
          </cell>
          <cell r="J1814" t="str">
            <v>Tersedianya kegiatan General Chech Up Pimpinan dan Anggota DPRD</v>
          </cell>
          <cell r="K1814">
            <v>6</v>
          </cell>
          <cell r="L1814">
            <v>1099980000</v>
          </cell>
          <cell r="M1814">
            <v>2</v>
          </cell>
          <cell r="N1814">
            <v>366660000</v>
          </cell>
          <cell r="O1814">
            <v>1</v>
          </cell>
          <cell r="P1814">
            <v>203130800</v>
          </cell>
          <cell r="Q1814">
            <v>0</v>
          </cell>
          <cell r="R1814">
            <v>0</v>
          </cell>
          <cell r="Y1814">
            <v>0</v>
          </cell>
          <cell r="Z1814">
            <v>0</v>
          </cell>
          <cell r="AA1814">
            <v>2</v>
          </cell>
          <cell r="AB1814">
            <v>366660000</v>
          </cell>
          <cell r="AC1814">
            <v>33.333333333333329</v>
          </cell>
          <cell r="AD1814">
            <v>33.333333333333329</v>
          </cell>
        </row>
        <row r="1815">
          <cell r="A1815" t="str">
            <v>Rata-Rata Capaian Kinerja</v>
          </cell>
          <cell r="AC1815">
            <v>50</v>
          </cell>
          <cell r="AD1815">
            <v>32.371850531961286</v>
          </cell>
        </row>
        <row r="1816">
          <cell r="A1816" t="str">
            <v>Peringkat  Kinerja</v>
          </cell>
          <cell r="AC1816" t="str">
            <v>SR</v>
          </cell>
          <cell r="AD1816" t="str">
            <v>SR</v>
          </cell>
        </row>
        <row r="1817">
          <cell r="A1817" t="str">
            <v>Faktor pendorong keberhasilan kinerja:</v>
          </cell>
          <cell r="J1817" t="str">
            <v>: Terlampir</v>
          </cell>
        </row>
        <row r="1818">
          <cell r="A1818" t="str">
            <v>Faktor penghambat pencapaian kinerja:</v>
          </cell>
          <cell r="J1818" t="str">
            <v>: Terlampir</v>
          </cell>
          <cell r="AC1818" t="str">
            <v xml:space="preserve">                                                                                                                                                                                              </v>
          </cell>
        </row>
        <row r="1819">
          <cell r="A1819" t="str">
            <v>Tindak lanjut yang diperlukan dalam triwulan berikutnya:</v>
          </cell>
          <cell r="J1819" t="str">
            <v>: Terlampir</v>
          </cell>
        </row>
        <row r="1820">
          <cell r="A1820" t="str">
            <v>Tindak lanjut yang diperlukan dalam RKPD berikutnya:</v>
          </cell>
          <cell r="J1820" t="str">
            <v>: Terlampir</v>
          </cell>
        </row>
        <row r="1823">
          <cell r="S1823" t="str">
            <v>Painan,           Juli 2018</v>
          </cell>
          <cell r="AB1823" t="str">
            <v>Painan,         Juli 2018</v>
          </cell>
        </row>
        <row r="1824">
          <cell r="S1824" t="str">
            <v>Disusun,</v>
          </cell>
          <cell r="AB1824" t="str">
            <v>Disetujui,</v>
          </cell>
        </row>
        <row r="1825">
          <cell r="S1825" t="str">
            <v>KEPALA BAPEDALITBANG</v>
          </cell>
          <cell r="AB1825" t="str">
            <v>BUPATI PESISIR SELATAM</v>
          </cell>
        </row>
        <row r="1830">
          <cell r="S1830" t="str">
            <v>YOZKI WANDRI, S.Pi. M.Si.</v>
          </cell>
          <cell r="AB1830" t="str">
            <v>H. HENDRAJONI, SH. MH.</v>
          </cell>
        </row>
        <row r="1831">
          <cell r="S1831" t="str">
            <v>NIP. 19750101 200003 1 003</v>
          </cell>
        </row>
      </sheetData>
      <sheetData sheetId="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LAP MARET"/>
      <sheetName val="LAP peb"/>
    </sheetNames>
    <sheetDataSet>
      <sheetData sheetId="0">
        <row r="12">
          <cell r="J12">
            <v>5879373</v>
          </cell>
        </row>
        <row r="72">
          <cell r="E72">
            <v>155667000</v>
          </cell>
          <cell r="J72">
            <v>10267200</v>
          </cell>
        </row>
        <row r="76">
          <cell r="E76">
            <v>53387400</v>
          </cell>
          <cell r="J76">
            <v>7010500</v>
          </cell>
        </row>
        <row r="80">
          <cell r="E80">
            <v>27962500</v>
          </cell>
          <cell r="J80">
            <v>3214000</v>
          </cell>
        </row>
        <row r="84">
          <cell r="E84">
            <v>53183600</v>
          </cell>
          <cell r="J84">
            <v>8685500</v>
          </cell>
        </row>
        <row r="92">
          <cell r="E92">
            <v>24753000</v>
          </cell>
          <cell r="I92">
            <v>3690050</v>
          </cell>
        </row>
        <row r="96">
          <cell r="E96">
            <v>28074000</v>
          </cell>
          <cell r="J96">
            <v>14337700</v>
          </cell>
        </row>
        <row r="101">
          <cell r="E101">
            <v>105033000</v>
          </cell>
          <cell r="I101">
            <v>19479050</v>
          </cell>
        </row>
        <row r="105">
          <cell r="E105">
            <v>61003000</v>
          </cell>
          <cell r="J105">
            <v>17205300</v>
          </cell>
        </row>
        <row r="109">
          <cell r="E109">
            <v>27588500</v>
          </cell>
          <cell r="J109">
            <v>3386900</v>
          </cell>
        </row>
        <row r="113">
          <cell r="E113">
            <v>38500000</v>
          </cell>
        </row>
        <row r="121">
          <cell r="E121">
            <v>68861200</v>
          </cell>
          <cell r="I121">
            <v>7350000</v>
          </cell>
        </row>
        <row r="125">
          <cell r="E125">
            <v>60000000</v>
          </cell>
        </row>
        <row r="126">
          <cell r="E126">
            <v>60000000</v>
          </cell>
        </row>
        <row r="128">
          <cell r="I128">
            <v>8991700</v>
          </cell>
        </row>
      </sheetData>
      <sheetData sheetId="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LAP JUNI"/>
      <sheetName val="LAP mei"/>
      <sheetName val="LAP April"/>
      <sheetName val="LAP MARET"/>
      <sheetName val="LAP peb"/>
    </sheetNames>
    <sheetDataSet>
      <sheetData sheetId="0" refreshError="1">
        <row r="12">
          <cell r="I12">
            <v>15618945</v>
          </cell>
        </row>
        <row r="126">
          <cell r="I126">
            <v>11360400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FIX"/>
      <sheetName val="Setelah Perubahan"/>
    </sheetNames>
    <sheetDataSet>
      <sheetData sheetId="0" refreshError="1"/>
      <sheetData sheetId="1" refreshError="1">
        <row r="31">
          <cell r="AA31">
            <v>242.12613257575757</v>
          </cell>
          <cell r="AB31">
            <v>111119844</v>
          </cell>
        </row>
        <row r="32">
          <cell r="AB32">
            <v>215450000</v>
          </cell>
        </row>
        <row r="33">
          <cell r="AB33">
            <v>153042500</v>
          </cell>
        </row>
        <row r="34">
          <cell r="AB34">
            <v>65729220</v>
          </cell>
        </row>
        <row r="37">
          <cell r="AB37">
            <v>96667300</v>
          </cell>
        </row>
        <row r="38">
          <cell r="AB38">
            <v>98367100</v>
          </cell>
        </row>
        <row r="39">
          <cell r="AB39">
            <v>27865000</v>
          </cell>
        </row>
        <row r="40">
          <cell r="AB40">
            <v>43690000</v>
          </cell>
        </row>
        <row r="46">
          <cell r="AB46">
            <v>252595000</v>
          </cell>
        </row>
        <row r="48">
          <cell r="AB48">
            <v>246182000</v>
          </cell>
        </row>
        <row r="49">
          <cell r="AB49">
            <v>612468535</v>
          </cell>
        </row>
        <row r="53">
          <cell r="AB53">
            <v>723032880</v>
          </cell>
        </row>
        <row r="54">
          <cell r="AB54">
            <v>99924050</v>
          </cell>
        </row>
        <row r="55">
          <cell r="AB55">
            <v>749953800</v>
          </cell>
        </row>
        <row r="56">
          <cell r="AB56">
            <v>3472582884</v>
          </cell>
        </row>
        <row r="59">
          <cell r="AB59">
            <v>355130380</v>
          </cell>
        </row>
        <row r="60">
          <cell r="AB60">
            <v>129484000</v>
          </cell>
        </row>
        <row r="63">
          <cell r="AB63">
            <v>1097179665</v>
          </cell>
        </row>
        <row r="64">
          <cell r="AB64">
            <v>968462458</v>
          </cell>
        </row>
        <row r="69">
          <cell r="AB69">
            <v>167768000</v>
          </cell>
        </row>
        <row r="75">
          <cell r="AB75">
            <v>390714800</v>
          </cell>
        </row>
        <row r="77">
          <cell r="AB77">
            <v>407747200</v>
          </cell>
        </row>
        <row r="79">
          <cell r="AB79">
            <v>479386508</v>
          </cell>
        </row>
        <row r="81">
          <cell r="AB81">
            <v>1649147733</v>
          </cell>
        </row>
        <row r="91">
          <cell r="AB91">
            <v>47734188</v>
          </cell>
        </row>
        <row r="92">
          <cell r="AB92">
            <v>66618600</v>
          </cell>
        </row>
        <row r="94">
          <cell r="AB94">
            <v>672501689</v>
          </cell>
        </row>
        <row r="95">
          <cell r="AB95">
            <v>311474560</v>
          </cell>
        </row>
        <row r="96">
          <cell r="AB96">
            <v>127136500</v>
          </cell>
        </row>
        <row r="97">
          <cell r="AB97">
            <v>96204500</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Jan 2018"/>
      <sheetName val="Feb 2018"/>
      <sheetName val="Maret 2018"/>
      <sheetName val="April 2018"/>
    </sheetNames>
    <sheetDataSet>
      <sheetData sheetId="0" refreshError="1"/>
      <sheetData sheetId="1" refreshError="1"/>
      <sheetData sheetId="2" refreshError="1"/>
      <sheetData sheetId="3" refreshError="1">
        <row r="15">
          <cell r="I15">
            <v>32.228837690913799</v>
          </cell>
        </row>
        <row r="28">
          <cell r="C28" t="str">
            <v>Penyediaan Jasa Perbaikan Peralatan Kerja</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Januari "/>
      <sheetName val="Februari"/>
      <sheetName val="Maret"/>
      <sheetName val="April"/>
      <sheetName val="Pembgian Triwulan"/>
      <sheetName val="UP"/>
      <sheetName val="Fisik"/>
      <sheetName val="rekapbelanjamoda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v>49800000</v>
          </cell>
        </row>
        <row r="22">
          <cell r="E22">
            <v>0</v>
          </cell>
        </row>
        <row r="37">
          <cell r="E37">
            <v>0</v>
          </cell>
        </row>
        <row r="70">
          <cell r="E70">
            <v>0</v>
          </cell>
        </row>
        <row r="73">
          <cell r="E73">
            <v>0</v>
          </cell>
        </row>
        <row r="76">
          <cell r="E76">
            <v>0</v>
          </cell>
        </row>
        <row r="84">
          <cell r="E8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pageSetUpPr fitToPage="1"/>
  </sheetPr>
  <dimension ref="A1:IQ3693"/>
  <sheetViews>
    <sheetView tabSelected="1" view="pageBreakPreview" topLeftCell="A7" zoomScale="60" zoomScaleNormal="70" workbookViewId="0">
      <pane xSplit="10" ySplit="2" topLeftCell="P2842" activePane="bottomRight" state="frozen"/>
      <selection activeCell="A7" sqref="A7"/>
      <selection pane="topRight" activeCell="K7" sqref="K7"/>
      <selection pane="bottomLeft" activeCell="A9" sqref="A9"/>
      <selection pane="bottomRight" activeCell="W2845" sqref="W2845"/>
    </sheetView>
  </sheetViews>
  <sheetFormatPr defaultRowHeight="16.5"/>
  <cols>
    <col min="1" max="1" width="4.85546875" style="1454" customWidth="1"/>
    <col min="2" max="2" width="9.28515625" style="1209" customWidth="1"/>
    <col min="3" max="8" width="4.42578125" style="1454" customWidth="1"/>
    <col min="9" max="9" width="25.28515625" style="1209" customWidth="1"/>
    <col min="10" max="10" width="15.42578125" style="1209" customWidth="1"/>
    <col min="11" max="11" width="10.140625" style="1209" customWidth="1"/>
    <col min="12" max="12" width="21" style="1209" customWidth="1"/>
    <col min="13" max="13" width="10.5703125" style="1209" customWidth="1"/>
    <col min="14" max="14" width="21" style="1209" customWidth="1"/>
    <col min="15" max="15" width="10.42578125" style="1209" customWidth="1"/>
    <col min="16" max="16" width="21.5703125" style="1209" customWidth="1"/>
    <col min="17" max="17" width="10.140625" style="1209" customWidth="1"/>
    <col min="18" max="18" width="21" style="1209" customWidth="1"/>
    <col min="19" max="19" width="9.140625" style="1209" customWidth="1"/>
    <col min="20" max="20" width="18.140625" style="1209" customWidth="1"/>
    <col min="21" max="21" width="8.28515625" style="1209" customWidth="1"/>
    <col min="22" max="22" width="10" style="1209" customWidth="1"/>
    <col min="23" max="23" width="9" style="1209" customWidth="1"/>
    <col min="24" max="24" width="9.140625" style="1209" customWidth="1"/>
    <col min="25" max="25" width="10.140625" style="1209" customWidth="1"/>
    <col min="26" max="26" width="21" style="1209" customWidth="1"/>
    <col min="27" max="27" width="14.5703125" style="1209" bestFit="1" customWidth="1"/>
    <col min="28" max="28" width="21" style="1209" customWidth="1"/>
    <col min="29" max="30" width="10.7109375" style="1209" customWidth="1"/>
    <col min="31" max="31" width="16.42578125" style="1454" customWidth="1"/>
    <col min="32" max="34" width="9.140625" style="1287"/>
    <col min="35" max="35" width="18.28515625" style="1287" customWidth="1"/>
    <col min="36" max="36" width="9.140625" style="1287"/>
    <col min="37" max="37" width="17.140625" style="1287" customWidth="1"/>
    <col min="38" max="38" width="9.140625" style="1287"/>
    <col min="39" max="39" width="21.42578125" style="1287" customWidth="1"/>
    <col min="40" max="40" width="9.140625" style="1287"/>
    <col min="41" max="41" width="18.5703125" style="1287" customWidth="1"/>
    <col min="42" max="54" width="9.140625" style="1287"/>
    <col min="55" max="70" width="9.140625" style="1288"/>
    <col min="71" max="16384" width="9.140625" style="1209"/>
  </cols>
  <sheetData>
    <row r="1" spans="1:70" ht="18">
      <c r="A1" s="2863" t="s">
        <v>0</v>
      </c>
      <c r="B1" s="2863"/>
      <c r="C1" s="2863"/>
      <c r="D1" s="2863"/>
      <c r="E1" s="2863"/>
      <c r="F1" s="2863"/>
      <c r="G1" s="2863"/>
      <c r="H1" s="2863"/>
      <c r="I1" s="2863"/>
      <c r="J1" s="2863"/>
      <c r="K1" s="2863"/>
      <c r="L1" s="2863"/>
      <c r="M1" s="2863"/>
      <c r="N1" s="2863"/>
      <c r="O1" s="2863"/>
      <c r="P1" s="2863"/>
      <c r="Q1" s="2863"/>
      <c r="R1" s="2863"/>
      <c r="S1" s="2863"/>
      <c r="T1" s="2863"/>
      <c r="U1" s="2863"/>
      <c r="V1" s="2863"/>
      <c r="W1" s="2863"/>
      <c r="X1" s="2863"/>
      <c r="Y1" s="2863"/>
      <c r="Z1" s="2863"/>
      <c r="AA1" s="2863"/>
      <c r="AB1" s="2863"/>
      <c r="AC1" s="2863"/>
      <c r="AD1" s="2863"/>
      <c r="AE1" s="2863"/>
    </row>
    <row r="2" spans="1:70" ht="18">
      <c r="A2" s="2863" t="s">
        <v>1</v>
      </c>
      <c r="B2" s="2863"/>
      <c r="C2" s="2863"/>
      <c r="D2" s="2863"/>
      <c r="E2" s="2863"/>
      <c r="F2" s="2863"/>
      <c r="G2" s="2863"/>
      <c r="H2" s="2863"/>
      <c r="I2" s="2863"/>
      <c r="J2" s="2863"/>
      <c r="K2" s="2863"/>
      <c r="L2" s="2863"/>
      <c r="M2" s="2863"/>
      <c r="N2" s="2863"/>
      <c r="O2" s="2863"/>
      <c r="P2" s="2863"/>
      <c r="Q2" s="2863"/>
      <c r="R2" s="2863"/>
      <c r="S2" s="2863"/>
      <c r="T2" s="2863"/>
      <c r="U2" s="2863"/>
      <c r="V2" s="2863"/>
      <c r="W2" s="2863"/>
      <c r="X2" s="2863"/>
      <c r="Y2" s="2863"/>
      <c r="Z2" s="2863"/>
      <c r="AA2" s="2863"/>
      <c r="AB2" s="2863"/>
      <c r="AC2" s="2863"/>
      <c r="AD2" s="2863"/>
      <c r="AE2" s="2863"/>
    </row>
    <row r="3" spans="1:70" ht="18">
      <c r="A3" s="2863" t="s">
        <v>256</v>
      </c>
      <c r="B3" s="2863"/>
      <c r="C3" s="2863"/>
      <c r="D3" s="2863"/>
      <c r="E3" s="2863"/>
      <c r="F3" s="2863"/>
      <c r="G3" s="2863"/>
      <c r="H3" s="2863"/>
      <c r="I3" s="2863"/>
      <c r="J3" s="2863"/>
      <c r="K3" s="2863"/>
      <c r="L3" s="2863"/>
      <c r="M3" s="2863"/>
      <c r="N3" s="2863"/>
      <c r="O3" s="2863"/>
      <c r="P3" s="2863"/>
      <c r="Q3" s="2863"/>
      <c r="R3" s="2863"/>
      <c r="S3" s="2863"/>
      <c r="T3" s="2863"/>
      <c r="U3" s="2863"/>
      <c r="V3" s="2863"/>
      <c r="W3" s="2863"/>
      <c r="X3" s="2863"/>
      <c r="Y3" s="2863"/>
      <c r="Z3" s="2863"/>
      <c r="AA3" s="2863"/>
      <c r="AB3" s="2863"/>
      <c r="AC3" s="2863"/>
      <c r="AD3" s="2863"/>
      <c r="AE3" s="2863"/>
    </row>
    <row r="4" spans="1:70">
      <c r="A4" s="2553"/>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553"/>
      <c r="AB4" s="553"/>
      <c r="AC4" s="553"/>
      <c r="AD4" s="553"/>
      <c r="AE4" s="2553"/>
    </row>
    <row r="5" spans="1:70">
      <c r="A5" s="2553"/>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2553"/>
    </row>
    <row r="6" spans="1:70" ht="26.25" customHeight="1">
      <c r="A6" s="2824" t="s">
        <v>2</v>
      </c>
      <c r="B6" s="2824" t="s">
        <v>3</v>
      </c>
      <c r="C6" s="2824" t="s">
        <v>4</v>
      </c>
      <c r="D6" s="2824"/>
      <c r="E6" s="2824"/>
      <c r="F6" s="2824"/>
      <c r="G6" s="2824"/>
      <c r="H6" s="2824"/>
      <c r="I6" s="2824" t="s">
        <v>5</v>
      </c>
      <c r="J6" s="2824" t="s">
        <v>6</v>
      </c>
      <c r="K6" s="2824" t="s">
        <v>7</v>
      </c>
      <c r="L6" s="2824"/>
      <c r="M6" s="2824" t="s">
        <v>4124</v>
      </c>
      <c r="N6" s="2824"/>
      <c r="O6" s="2824" t="s">
        <v>386</v>
      </c>
      <c r="P6" s="2824"/>
      <c r="Q6" s="2824" t="s">
        <v>8</v>
      </c>
      <c r="R6" s="2824"/>
      <c r="S6" s="2824"/>
      <c r="T6" s="2824"/>
      <c r="U6" s="2824"/>
      <c r="V6" s="2824"/>
      <c r="W6" s="2824"/>
      <c r="X6" s="2824"/>
      <c r="Y6" s="2824" t="s">
        <v>9</v>
      </c>
      <c r="Z6" s="2824"/>
      <c r="AA6" s="2824" t="s">
        <v>10</v>
      </c>
      <c r="AB6" s="2824"/>
      <c r="AC6" s="2867" t="s">
        <v>11</v>
      </c>
      <c r="AD6" s="2868"/>
      <c r="AE6" s="2824" t="s">
        <v>12</v>
      </c>
    </row>
    <row r="7" spans="1:70" ht="82.5" customHeight="1">
      <c r="A7" s="2824"/>
      <c r="B7" s="2824"/>
      <c r="C7" s="2824"/>
      <c r="D7" s="2824"/>
      <c r="E7" s="2824"/>
      <c r="F7" s="2824"/>
      <c r="G7" s="2824"/>
      <c r="H7" s="2824"/>
      <c r="I7" s="2824"/>
      <c r="J7" s="2824"/>
      <c r="K7" s="2824"/>
      <c r="L7" s="2824"/>
      <c r="M7" s="2824"/>
      <c r="N7" s="2824"/>
      <c r="O7" s="2824"/>
      <c r="P7" s="2824"/>
      <c r="Q7" s="2824" t="s">
        <v>13</v>
      </c>
      <c r="R7" s="2824"/>
      <c r="S7" s="2824" t="s">
        <v>14</v>
      </c>
      <c r="T7" s="2824"/>
      <c r="U7" s="2824" t="s">
        <v>15</v>
      </c>
      <c r="V7" s="2824"/>
      <c r="W7" s="2824" t="s">
        <v>16</v>
      </c>
      <c r="X7" s="2824"/>
      <c r="Y7" s="2824"/>
      <c r="Z7" s="2824"/>
      <c r="AA7" s="2824"/>
      <c r="AB7" s="2824"/>
      <c r="AC7" s="2869"/>
      <c r="AD7" s="2870"/>
      <c r="AE7" s="2824"/>
    </row>
    <row r="8" spans="1:70">
      <c r="A8" s="2824">
        <v>1</v>
      </c>
      <c r="B8" s="2824">
        <v>2</v>
      </c>
      <c r="C8" s="2824">
        <v>3</v>
      </c>
      <c r="D8" s="2824"/>
      <c r="E8" s="2824"/>
      <c r="F8" s="2824"/>
      <c r="G8" s="2824"/>
      <c r="H8" s="2824"/>
      <c r="I8" s="2824">
        <v>4</v>
      </c>
      <c r="J8" s="2824">
        <v>5</v>
      </c>
      <c r="K8" s="2825">
        <v>6</v>
      </c>
      <c r="L8" s="2825"/>
      <c r="M8" s="2825">
        <v>7</v>
      </c>
      <c r="N8" s="2825"/>
      <c r="O8" s="2825">
        <v>8</v>
      </c>
      <c r="P8" s="2825"/>
      <c r="Q8" s="2825">
        <v>9</v>
      </c>
      <c r="R8" s="2825"/>
      <c r="S8" s="2825">
        <v>10</v>
      </c>
      <c r="T8" s="2825"/>
      <c r="U8" s="2825">
        <v>11</v>
      </c>
      <c r="V8" s="2825"/>
      <c r="W8" s="2825">
        <v>12</v>
      </c>
      <c r="X8" s="2825"/>
      <c r="Y8" s="2825">
        <v>13</v>
      </c>
      <c r="Z8" s="2825"/>
      <c r="AA8" s="2825" t="s">
        <v>17</v>
      </c>
      <c r="AB8" s="2825"/>
      <c r="AC8" s="2876" t="s">
        <v>18</v>
      </c>
      <c r="AD8" s="2877"/>
      <c r="AE8" s="2878">
        <v>16</v>
      </c>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
      <c r="BD8" s="20"/>
      <c r="BE8" s="20"/>
      <c r="BF8" s="20"/>
      <c r="BG8" s="20"/>
      <c r="BH8" s="20"/>
      <c r="BI8" s="20"/>
      <c r="BJ8" s="20"/>
      <c r="BK8" s="20"/>
      <c r="BL8" s="20"/>
      <c r="BM8" s="20"/>
      <c r="BN8" s="20"/>
      <c r="BO8" s="20"/>
      <c r="BP8" s="20"/>
      <c r="BQ8" s="20"/>
    </row>
    <row r="9" spans="1:70">
      <c r="A9" s="2824"/>
      <c r="B9" s="2824"/>
      <c r="C9" s="2824"/>
      <c r="D9" s="2824"/>
      <c r="E9" s="2824"/>
      <c r="F9" s="2824"/>
      <c r="G9" s="2824"/>
      <c r="H9" s="2824"/>
      <c r="I9" s="2824"/>
      <c r="J9" s="2824"/>
      <c r="K9" s="854" t="s">
        <v>19</v>
      </c>
      <c r="L9" s="854" t="s">
        <v>20</v>
      </c>
      <c r="M9" s="854" t="s">
        <v>19</v>
      </c>
      <c r="N9" s="854" t="s">
        <v>20</v>
      </c>
      <c r="O9" s="855" t="s">
        <v>19</v>
      </c>
      <c r="P9" s="854" t="s">
        <v>21</v>
      </c>
      <c r="Q9" s="856" t="s">
        <v>19</v>
      </c>
      <c r="R9" s="854" t="s">
        <v>20</v>
      </c>
      <c r="S9" s="854" t="s">
        <v>19</v>
      </c>
      <c r="T9" s="854" t="s">
        <v>21</v>
      </c>
      <c r="U9" s="854" t="s">
        <v>19</v>
      </c>
      <c r="V9" s="857" t="s">
        <v>21</v>
      </c>
      <c r="W9" s="854" t="s">
        <v>19</v>
      </c>
      <c r="X9" s="854" t="s">
        <v>20</v>
      </c>
      <c r="Y9" s="856" t="s">
        <v>19</v>
      </c>
      <c r="Z9" s="858" t="s">
        <v>20</v>
      </c>
      <c r="AA9" s="854" t="s">
        <v>19</v>
      </c>
      <c r="AB9" s="858" t="s">
        <v>20</v>
      </c>
      <c r="AC9" s="854" t="s">
        <v>19</v>
      </c>
      <c r="AD9" s="854" t="s">
        <v>20</v>
      </c>
      <c r="AE9" s="2878"/>
      <c r="AF9" s="859"/>
      <c r="AG9" s="859"/>
      <c r="AH9" s="859"/>
      <c r="AI9" s="859"/>
      <c r="AJ9" s="859"/>
      <c r="AK9" s="859"/>
      <c r="AL9" s="859"/>
      <c r="AM9" s="859"/>
      <c r="AN9" s="859"/>
      <c r="AO9" s="859"/>
      <c r="AP9" s="859"/>
      <c r="AQ9" s="859"/>
      <c r="AR9" s="859"/>
      <c r="AS9" s="859"/>
      <c r="AT9" s="859"/>
      <c r="AU9" s="859"/>
      <c r="AV9" s="859"/>
      <c r="AW9" s="859"/>
      <c r="AX9" s="859"/>
      <c r="AY9" s="859"/>
      <c r="AZ9" s="859"/>
      <c r="BA9" s="859"/>
      <c r="BB9" s="859"/>
      <c r="BC9" s="860"/>
      <c r="BD9" s="860"/>
      <c r="BE9" s="860"/>
      <c r="BF9" s="860"/>
      <c r="BG9" s="860"/>
      <c r="BH9" s="860"/>
      <c r="BI9" s="860"/>
      <c r="BJ9" s="860"/>
      <c r="BK9" s="860"/>
      <c r="BL9" s="860"/>
      <c r="BM9" s="860"/>
      <c r="BN9" s="860"/>
      <c r="BO9" s="860"/>
      <c r="BP9" s="860"/>
      <c r="BQ9" s="860"/>
    </row>
    <row r="10" spans="1:70" ht="23.25" customHeight="1">
      <c r="A10" s="477"/>
      <c r="B10" s="906"/>
      <c r="C10" s="477"/>
      <c r="D10" s="477"/>
      <c r="E10" s="477"/>
      <c r="F10" s="477"/>
      <c r="G10" s="477"/>
      <c r="H10" s="477"/>
      <c r="I10" s="2748" t="s">
        <v>22</v>
      </c>
      <c r="J10" s="2749"/>
      <c r="K10" s="907"/>
      <c r="L10" s="907"/>
      <c r="M10" s="907"/>
      <c r="N10" s="907"/>
      <c r="O10" s="933"/>
      <c r="P10" s="477"/>
      <c r="Q10" s="934"/>
      <c r="R10" s="906"/>
      <c r="S10" s="906"/>
      <c r="T10" s="906"/>
      <c r="U10" s="906"/>
      <c r="V10" s="935"/>
      <c r="W10" s="906"/>
      <c r="X10" s="906"/>
      <c r="Y10" s="934"/>
      <c r="Z10" s="908"/>
      <c r="AA10" s="907"/>
      <c r="AB10" s="908"/>
      <c r="AC10" s="907"/>
      <c r="AD10" s="907"/>
      <c r="AE10" s="477"/>
      <c r="AF10" s="861"/>
      <c r="AG10" s="861"/>
      <c r="AH10" s="861"/>
      <c r="AI10" s="861"/>
      <c r="AJ10" s="861"/>
      <c r="AK10" s="861"/>
      <c r="AL10" s="861"/>
      <c r="AM10" s="861"/>
      <c r="AN10" s="861"/>
      <c r="AO10" s="861"/>
      <c r="AP10" s="861"/>
      <c r="AQ10" s="861"/>
      <c r="AR10" s="861"/>
      <c r="AS10" s="861"/>
      <c r="AT10" s="861"/>
      <c r="AU10" s="861"/>
      <c r="AV10" s="861"/>
      <c r="AW10" s="861"/>
      <c r="AX10" s="861"/>
      <c r="AY10" s="861"/>
      <c r="AZ10" s="861"/>
      <c r="BA10" s="861"/>
      <c r="BB10" s="861"/>
      <c r="BC10" s="862"/>
      <c r="BD10" s="862"/>
      <c r="BE10" s="862"/>
      <c r="BF10" s="862"/>
      <c r="BG10" s="862"/>
      <c r="BH10" s="862"/>
      <c r="BI10" s="862"/>
      <c r="BJ10" s="862"/>
      <c r="BK10" s="862"/>
      <c r="BL10" s="862"/>
      <c r="BM10" s="862"/>
      <c r="BN10" s="862"/>
      <c r="BO10" s="862"/>
      <c r="BP10" s="862"/>
      <c r="BQ10" s="862"/>
    </row>
    <row r="11" spans="1:70" ht="34.5" customHeight="1">
      <c r="A11" s="2650"/>
      <c r="B11" s="2651"/>
      <c r="C11" s="2650"/>
      <c r="D11" s="2650"/>
      <c r="E11" s="2650"/>
      <c r="F11" s="2650"/>
      <c r="G11" s="2650"/>
      <c r="H11" s="2650"/>
      <c r="I11" s="2798" t="s">
        <v>23</v>
      </c>
      <c r="J11" s="2799"/>
      <c r="K11" s="2652"/>
      <c r="L11" s="2652"/>
      <c r="M11" s="2652"/>
      <c r="N11" s="2652"/>
      <c r="O11" s="2653"/>
      <c r="P11" s="2650"/>
      <c r="Q11" s="2654"/>
      <c r="R11" s="2651"/>
      <c r="S11" s="2651"/>
      <c r="T11" s="2651"/>
      <c r="U11" s="2651"/>
      <c r="V11" s="2655"/>
      <c r="W11" s="2651"/>
      <c r="X11" s="2651"/>
      <c r="Y11" s="2654"/>
      <c r="Z11" s="2656"/>
      <c r="AA11" s="2652"/>
      <c r="AB11" s="2656"/>
      <c r="AC11" s="2652"/>
      <c r="AD11" s="2652"/>
      <c r="AE11" s="2650"/>
      <c r="AF11" s="861"/>
      <c r="AG11" s="861"/>
      <c r="AH11" s="861"/>
      <c r="AI11" s="861"/>
      <c r="AJ11" s="861"/>
      <c r="AK11" s="861"/>
      <c r="AL11" s="861"/>
      <c r="AM11" s="861"/>
      <c r="AN11" s="861"/>
      <c r="AO11" s="861"/>
      <c r="AP11" s="861"/>
      <c r="AQ11" s="861"/>
      <c r="AR11" s="861"/>
      <c r="AS11" s="861"/>
      <c r="AT11" s="861"/>
      <c r="AU11" s="861"/>
      <c r="AV11" s="861"/>
      <c r="AW11" s="861"/>
      <c r="AX11" s="861"/>
      <c r="AY11" s="861"/>
      <c r="AZ11" s="861"/>
      <c r="BA11" s="861"/>
      <c r="BB11" s="861"/>
      <c r="BC11" s="862"/>
      <c r="BD11" s="862"/>
      <c r="BE11" s="862"/>
      <c r="BF11" s="862"/>
      <c r="BG11" s="862"/>
      <c r="BH11" s="862"/>
      <c r="BI11" s="862"/>
      <c r="BJ11" s="862"/>
      <c r="BK11" s="862"/>
      <c r="BL11" s="862"/>
      <c r="BM11" s="862"/>
      <c r="BN11" s="862"/>
      <c r="BO11" s="862"/>
      <c r="BP11" s="862"/>
      <c r="BQ11" s="862"/>
    </row>
    <row r="12" spans="1:70" s="1235" customFormat="1" ht="24.75" customHeight="1">
      <c r="A12" s="1474" t="s">
        <v>13</v>
      </c>
      <c r="B12" s="1475"/>
      <c r="C12" s="1476"/>
      <c r="D12" s="1476"/>
      <c r="E12" s="1476"/>
      <c r="F12" s="1476"/>
      <c r="G12" s="1476"/>
      <c r="H12" s="1476"/>
      <c r="I12" s="1482" t="s">
        <v>24</v>
      </c>
      <c r="J12" s="1483"/>
      <c r="K12" s="1477"/>
      <c r="L12" s="1484">
        <f>L13+L31+L35+L73+L80+L90+L108</f>
        <v>651203006140</v>
      </c>
      <c r="M12" s="1477"/>
      <c r="N12" s="1479">
        <f>N13+N31+N35+N73+N80+N90+N108</f>
        <v>268509887881</v>
      </c>
      <c r="O12" s="1477"/>
      <c r="P12" s="1479">
        <f>P13+P31+P35+P73+P80+P90+P108</f>
        <v>126897439450</v>
      </c>
      <c r="Q12" s="1477"/>
      <c r="R12" s="1479">
        <f>R13+R31+R35+R73+R80+R90+R108</f>
        <v>3366009186</v>
      </c>
      <c r="S12" s="1475"/>
      <c r="T12" s="1479">
        <f>T13+T31+T35+T73+T80+T90+T108</f>
        <v>16652003285</v>
      </c>
      <c r="U12" s="1480">
        <f>U13+U31+U35+U73+U80+U90+U108</f>
        <v>0</v>
      </c>
      <c r="V12" s="1480">
        <f>V13+V31+V35+V73+V80+V90+V108</f>
        <v>0</v>
      </c>
      <c r="W12" s="1480">
        <f>W13+W31+W35+W73+W80+W90+W108</f>
        <v>0</v>
      </c>
      <c r="X12" s="1480"/>
      <c r="Y12" s="1477"/>
      <c r="Z12" s="1480">
        <f t="shared" ref="Z12:Z35" si="0">R12+T12+V12+X12</f>
        <v>20018012471</v>
      </c>
      <c r="AA12" s="1477"/>
      <c r="AB12" s="1480">
        <f>AB13+AB31+AB35+AB73+AB80+AB90+AB108</f>
        <v>277267787426</v>
      </c>
      <c r="AC12" s="1477"/>
      <c r="AD12" s="1477"/>
      <c r="AE12" s="1476"/>
      <c r="AF12" s="861"/>
      <c r="AG12" s="861"/>
      <c r="AH12" s="861"/>
      <c r="AI12" s="861"/>
      <c r="AJ12" s="861"/>
      <c r="AK12" s="861"/>
      <c r="AL12" s="861"/>
      <c r="AM12" s="861"/>
      <c r="AN12" s="861"/>
      <c r="AO12" s="861"/>
      <c r="AP12" s="861"/>
      <c r="AQ12" s="861"/>
      <c r="AR12" s="861"/>
      <c r="AS12" s="861"/>
      <c r="AT12" s="861"/>
      <c r="AU12" s="861"/>
      <c r="AV12" s="861"/>
      <c r="AW12" s="861"/>
      <c r="AX12" s="861"/>
      <c r="AY12" s="861"/>
      <c r="AZ12" s="861"/>
      <c r="BA12" s="861"/>
      <c r="BB12" s="861"/>
      <c r="BC12" s="862"/>
      <c r="BD12" s="862"/>
      <c r="BE12" s="862"/>
      <c r="BF12" s="862"/>
      <c r="BG12" s="862"/>
      <c r="BH12" s="862"/>
      <c r="BI12" s="862"/>
      <c r="BJ12" s="862"/>
      <c r="BK12" s="862"/>
      <c r="BL12" s="862"/>
      <c r="BM12" s="862"/>
      <c r="BN12" s="862"/>
      <c r="BO12" s="862"/>
      <c r="BP12" s="862"/>
      <c r="BQ12" s="862"/>
      <c r="BR12" s="862"/>
    </row>
    <row r="13" spans="1:70" s="1315" customFormat="1" ht="53.25" customHeight="1">
      <c r="A13" s="2691" t="s">
        <v>4128</v>
      </c>
      <c r="B13" s="286"/>
      <c r="C13" s="753" t="s">
        <v>25</v>
      </c>
      <c r="D13" s="753" t="s">
        <v>25</v>
      </c>
      <c r="E13" s="753" t="s">
        <v>25</v>
      </c>
      <c r="F13" s="753" t="s">
        <v>25</v>
      </c>
      <c r="G13" s="753" t="s">
        <v>25</v>
      </c>
      <c r="H13" s="286"/>
      <c r="I13" s="44" t="s">
        <v>26</v>
      </c>
      <c r="J13" s="44" t="s">
        <v>257</v>
      </c>
      <c r="K13" s="775">
        <f>O13*6</f>
        <v>72</v>
      </c>
      <c r="L13" s="578">
        <f t="shared" ref="L13:R13" si="1">SUM(L14:L29)</f>
        <v>26110141560</v>
      </c>
      <c r="M13" s="775">
        <v>36</v>
      </c>
      <c r="N13" s="578">
        <f>SUM(N14:N29)</f>
        <v>8206717248</v>
      </c>
      <c r="O13" s="775">
        <v>12</v>
      </c>
      <c r="P13" s="578">
        <f>SUM(P14:P30)</f>
        <v>3784928760</v>
      </c>
      <c r="Q13" s="775">
        <f>O13/4</f>
        <v>3</v>
      </c>
      <c r="R13" s="578">
        <f t="shared" si="1"/>
        <v>330770727</v>
      </c>
      <c r="S13" s="776">
        <v>3</v>
      </c>
      <c r="T13" s="231">
        <f>SUM(T14:T30)</f>
        <v>1807484434</v>
      </c>
      <c r="U13" s="231">
        <f t="shared" ref="U13" si="2">SUM(U14:U29)</f>
        <v>0</v>
      </c>
      <c r="V13" s="231">
        <f>SUM(V14:V29)</f>
        <v>0</v>
      </c>
      <c r="W13" s="231">
        <f t="shared" ref="W13" si="3">SUM(W14:W29)</f>
        <v>0</v>
      </c>
      <c r="X13" s="231"/>
      <c r="Y13" s="289">
        <f t="shared" ref="Y13:Y30" si="4">Q13+S13+U13+W13</f>
        <v>6</v>
      </c>
      <c r="Z13" s="867">
        <f t="shared" si="0"/>
        <v>2138255161</v>
      </c>
      <c r="AA13" s="289">
        <f t="shared" ref="AA13:AA35" si="5">M13+Y13</f>
        <v>42</v>
      </c>
      <c r="AB13" s="867">
        <f t="shared" ref="AB13:AB35" si="6">N13+Z13</f>
        <v>10344972409</v>
      </c>
      <c r="AC13" s="868">
        <f t="shared" ref="AC13:AC35" si="7">(AA13/K13)*100</f>
        <v>58.333333333333336</v>
      </c>
      <c r="AD13" s="868">
        <f t="shared" ref="AD13:AD35" si="8">(AB13/L13)*100</f>
        <v>39.620514447337221</v>
      </c>
      <c r="AE13" s="2554" t="s">
        <v>27</v>
      </c>
      <c r="AF13" s="869"/>
      <c r="AG13" s="870"/>
      <c r="AH13" s="870"/>
      <c r="AI13" s="870"/>
      <c r="AJ13" s="870"/>
      <c r="AK13" s="870"/>
      <c r="AL13" s="870"/>
      <c r="AM13" s="870"/>
      <c r="AN13" s="870"/>
      <c r="AO13" s="870"/>
      <c r="AP13" s="870"/>
      <c r="AQ13" s="870"/>
      <c r="AR13" s="870"/>
      <c r="AS13" s="870"/>
      <c r="AT13" s="870"/>
      <c r="AU13" s="870"/>
      <c r="AV13" s="870"/>
      <c r="AW13" s="870"/>
      <c r="AX13" s="870"/>
      <c r="AY13" s="870"/>
      <c r="AZ13" s="870"/>
      <c r="BA13" s="870"/>
      <c r="BB13" s="870"/>
      <c r="BC13" s="871"/>
      <c r="BD13" s="871"/>
      <c r="BE13" s="871"/>
      <c r="BF13" s="871"/>
      <c r="BG13" s="871"/>
      <c r="BH13" s="871"/>
      <c r="BI13" s="871"/>
      <c r="BJ13" s="871"/>
      <c r="BK13" s="871"/>
      <c r="BL13" s="871"/>
      <c r="BM13" s="871"/>
      <c r="BN13" s="871"/>
      <c r="BO13" s="871"/>
      <c r="BP13" s="871"/>
      <c r="BQ13" s="871"/>
      <c r="BR13" s="1346"/>
    </row>
    <row r="14" spans="1:70" ht="71.25" customHeight="1">
      <c r="A14" s="451"/>
      <c r="B14" s="34"/>
      <c r="C14" s="577" t="s">
        <v>25</v>
      </c>
      <c r="D14" s="577" t="s">
        <v>25</v>
      </c>
      <c r="E14" s="577" t="s">
        <v>25</v>
      </c>
      <c r="F14" s="577" t="s">
        <v>25</v>
      </c>
      <c r="G14" s="577" t="s">
        <v>25</v>
      </c>
      <c r="H14" s="577" t="s">
        <v>28</v>
      </c>
      <c r="I14" s="554" t="s">
        <v>109</v>
      </c>
      <c r="J14" s="35" t="s">
        <v>258</v>
      </c>
      <c r="K14" s="115">
        <v>72</v>
      </c>
      <c r="L14" s="558">
        <v>657600000</v>
      </c>
      <c r="M14" s="115">
        <v>36</v>
      </c>
      <c r="N14" s="567">
        <v>387393696</v>
      </c>
      <c r="O14" s="555">
        <v>12</v>
      </c>
      <c r="P14" s="556">
        <v>342000000</v>
      </c>
      <c r="Q14" s="115">
        <v>3</v>
      </c>
      <c r="R14" s="558">
        <v>66316677</v>
      </c>
      <c r="S14" s="115">
        <v>3</v>
      </c>
      <c r="T14" s="205">
        <v>68208245</v>
      </c>
      <c r="U14" s="34"/>
      <c r="V14" s="232"/>
      <c r="W14" s="34"/>
      <c r="X14" s="209"/>
      <c r="Y14" s="872">
        <f t="shared" si="4"/>
        <v>6</v>
      </c>
      <c r="Z14" s="873">
        <f t="shared" si="0"/>
        <v>134524922</v>
      </c>
      <c r="AA14" s="115">
        <f t="shared" si="5"/>
        <v>42</v>
      </c>
      <c r="AB14" s="873">
        <f t="shared" si="6"/>
        <v>521918618</v>
      </c>
      <c r="AC14" s="874">
        <f t="shared" si="7"/>
        <v>58.333333333333336</v>
      </c>
      <c r="AD14" s="874">
        <f t="shared" si="8"/>
        <v>79.367186435523124</v>
      </c>
      <c r="AE14" s="451"/>
      <c r="AF14" s="870"/>
      <c r="AG14" s="870"/>
      <c r="AH14" s="870"/>
      <c r="AI14" s="870"/>
      <c r="AJ14" s="870"/>
      <c r="AK14" s="870"/>
      <c r="AL14" s="870"/>
      <c r="AM14" s="870"/>
      <c r="AN14" s="870"/>
      <c r="AO14" s="870"/>
      <c r="AP14" s="870"/>
      <c r="AQ14" s="870"/>
      <c r="AR14" s="870"/>
      <c r="AS14" s="870"/>
      <c r="AT14" s="870"/>
      <c r="AU14" s="870"/>
      <c r="AV14" s="870"/>
      <c r="AW14" s="870"/>
      <c r="AX14" s="870"/>
      <c r="AY14" s="870"/>
      <c r="AZ14" s="870"/>
      <c r="BA14" s="870"/>
      <c r="BB14" s="870"/>
      <c r="BC14" s="871"/>
      <c r="BD14" s="871"/>
      <c r="BE14" s="871"/>
      <c r="BF14" s="871"/>
      <c r="BG14" s="871"/>
      <c r="BH14" s="871"/>
      <c r="BI14" s="871"/>
      <c r="BJ14" s="871"/>
      <c r="BK14" s="871"/>
      <c r="BL14" s="871"/>
      <c r="BM14" s="871"/>
      <c r="BN14" s="871"/>
      <c r="BO14" s="871"/>
      <c r="BP14" s="871"/>
      <c r="BQ14" s="871"/>
    </row>
    <row r="15" spans="1:70" ht="50.25" customHeight="1">
      <c r="A15" s="451"/>
      <c r="B15" s="34"/>
      <c r="C15" s="577" t="s">
        <v>25</v>
      </c>
      <c r="D15" s="577" t="s">
        <v>25</v>
      </c>
      <c r="E15" s="577" t="s">
        <v>25</v>
      </c>
      <c r="F15" s="577" t="s">
        <v>25</v>
      </c>
      <c r="G15" s="577" t="s">
        <v>25</v>
      </c>
      <c r="H15" s="577">
        <v>5</v>
      </c>
      <c r="I15" s="554" t="s">
        <v>259</v>
      </c>
      <c r="J15" s="35" t="s">
        <v>260</v>
      </c>
      <c r="K15" s="115">
        <v>72</v>
      </c>
      <c r="L15" s="558">
        <f>P15*6</f>
        <v>295824000</v>
      </c>
      <c r="M15" s="115">
        <v>36</v>
      </c>
      <c r="N15" s="36">
        <v>547026000</v>
      </c>
      <c r="O15" s="555">
        <v>12</v>
      </c>
      <c r="P15" s="556">
        <v>49304000</v>
      </c>
      <c r="Q15" s="115">
        <v>2</v>
      </c>
      <c r="R15" s="558">
        <v>3590000</v>
      </c>
      <c r="S15" s="115">
        <v>3</v>
      </c>
      <c r="T15" s="205">
        <v>18116058</v>
      </c>
      <c r="U15" s="34"/>
      <c r="V15" s="232"/>
      <c r="W15" s="34"/>
      <c r="X15" s="209"/>
      <c r="Y15" s="872">
        <f t="shared" si="4"/>
        <v>5</v>
      </c>
      <c r="Z15" s="873">
        <f t="shared" si="0"/>
        <v>21706058</v>
      </c>
      <c r="AA15" s="115">
        <f t="shared" si="5"/>
        <v>41</v>
      </c>
      <c r="AB15" s="873">
        <f t="shared" si="6"/>
        <v>568732058</v>
      </c>
      <c r="AC15" s="874">
        <f t="shared" si="7"/>
        <v>56.944444444444443</v>
      </c>
      <c r="AD15" s="874">
        <f t="shared" si="8"/>
        <v>192.2535216885716</v>
      </c>
      <c r="AE15" s="451"/>
      <c r="AF15" s="870"/>
      <c r="AG15" s="870"/>
      <c r="AH15" s="870"/>
      <c r="AI15" s="870"/>
      <c r="AJ15" s="870"/>
      <c r="AK15" s="870"/>
      <c r="AL15" s="870"/>
      <c r="AM15" s="870"/>
      <c r="AN15" s="870"/>
      <c r="AO15" s="870"/>
      <c r="AP15" s="870"/>
      <c r="AQ15" s="870"/>
      <c r="AR15" s="870"/>
      <c r="AS15" s="870"/>
      <c r="AT15" s="870"/>
      <c r="AU15" s="870"/>
      <c r="AV15" s="870"/>
      <c r="AW15" s="870"/>
      <c r="AX15" s="870"/>
      <c r="AY15" s="870"/>
      <c r="AZ15" s="870"/>
      <c r="BA15" s="870"/>
      <c r="BB15" s="870"/>
      <c r="BC15" s="871"/>
      <c r="BD15" s="871"/>
      <c r="BE15" s="871"/>
      <c r="BF15" s="871"/>
      <c r="BG15" s="871"/>
      <c r="BH15" s="871"/>
      <c r="BI15" s="871"/>
      <c r="BJ15" s="871"/>
      <c r="BK15" s="871"/>
      <c r="BL15" s="871"/>
      <c r="BM15" s="871"/>
      <c r="BN15" s="871"/>
      <c r="BO15" s="871"/>
      <c r="BP15" s="871"/>
      <c r="BQ15" s="871"/>
    </row>
    <row r="16" spans="1:70" ht="50.25" customHeight="1">
      <c r="A16" s="451"/>
      <c r="B16" s="34"/>
      <c r="C16" s="577" t="s">
        <v>25</v>
      </c>
      <c r="D16" s="577" t="s">
        <v>25</v>
      </c>
      <c r="E16" s="577" t="s">
        <v>25</v>
      </c>
      <c r="F16" s="577" t="s">
        <v>25</v>
      </c>
      <c r="G16" s="577" t="s">
        <v>25</v>
      </c>
      <c r="H16" s="577">
        <v>7</v>
      </c>
      <c r="I16" s="554" t="s">
        <v>261</v>
      </c>
      <c r="J16" s="34" t="s">
        <v>262</v>
      </c>
      <c r="K16" s="115">
        <v>72</v>
      </c>
      <c r="L16" s="558">
        <f t="shared" ref="L16:L19" si="9">P16*6</f>
        <v>1694700000</v>
      </c>
      <c r="M16" s="115">
        <v>36</v>
      </c>
      <c r="N16" s="36">
        <v>107322000</v>
      </c>
      <c r="O16" s="555" t="s">
        <v>263</v>
      </c>
      <c r="P16" s="557">
        <v>282450000</v>
      </c>
      <c r="Q16" s="115">
        <v>2</v>
      </c>
      <c r="R16" s="558">
        <v>45000000</v>
      </c>
      <c r="S16" s="115">
        <v>3</v>
      </c>
      <c r="T16" s="205">
        <v>140750000</v>
      </c>
      <c r="U16" s="34"/>
      <c r="V16" s="232"/>
      <c r="W16" s="34"/>
      <c r="X16" s="209"/>
      <c r="Y16" s="872">
        <f t="shared" si="4"/>
        <v>5</v>
      </c>
      <c r="Z16" s="873">
        <f t="shared" si="0"/>
        <v>185750000</v>
      </c>
      <c r="AA16" s="115">
        <f t="shared" si="5"/>
        <v>41</v>
      </c>
      <c r="AB16" s="873">
        <f t="shared" si="6"/>
        <v>293072000</v>
      </c>
      <c r="AC16" s="874">
        <f t="shared" si="7"/>
        <v>56.944444444444443</v>
      </c>
      <c r="AD16" s="874">
        <f t="shared" si="8"/>
        <v>17.293444267421961</v>
      </c>
      <c r="AE16" s="451"/>
      <c r="AF16" s="870"/>
      <c r="AG16" s="870"/>
      <c r="AH16" s="870"/>
      <c r="AI16" s="870"/>
      <c r="AJ16" s="870"/>
      <c r="AK16" s="870"/>
      <c r="AL16" s="870"/>
      <c r="AM16" s="870"/>
      <c r="AN16" s="870"/>
      <c r="AO16" s="870"/>
      <c r="AP16" s="870"/>
      <c r="AQ16" s="870"/>
      <c r="AR16" s="870"/>
      <c r="AS16" s="870"/>
      <c r="AT16" s="870"/>
      <c r="AU16" s="870"/>
      <c r="AV16" s="870"/>
      <c r="AW16" s="870"/>
      <c r="AX16" s="870"/>
      <c r="AY16" s="870"/>
      <c r="AZ16" s="870"/>
      <c r="BA16" s="870"/>
      <c r="BB16" s="870"/>
      <c r="BC16" s="871"/>
      <c r="BD16" s="871"/>
      <c r="BE16" s="871"/>
      <c r="BF16" s="871"/>
      <c r="BG16" s="871"/>
      <c r="BH16" s="871"/>
      <c r="BI16" s="871"/>
      <c r="BJ16" s="871"/>
      <c r="BK16" s="871"/>
      <c r="BL16" s="871"/>
      <c r="BM16" s="871"/>
      <c r="BN16" s="871"/>
      <c r="BO16" s="871"/>
      <c r="BP16" s="871"/>
      <c r="BQ16" s="871"/>
    </row>
    <row r="17" spans="1:70" ht="45" customHeight="1">
      <c r="A17" s="451"/>
      <c r="B17" s="34"/>
      <c r="C17" s="577" t="s">
        <v>25</v>
      </c>
      <c r="D17" s="577" t="s">
        <v>25</v>
      </c>
      <c r="E17" s="577" t="s">
        <v>25</v>
      </c>
      <c r="F17" s="577" t="s">
        <v>25</v>
      </c>
      <c r="G17" s="577" t="s">
        <v>25</v>
      </c>
      <c r="H17" s="577">
        <v>8</v>
      </c>
      <c r="I17" s="554" t="s">
        <v>264</v>
      </c>
      <c r="J17" s="34" t="s">
        <v>265</v>
      </c>
      <c r="K17" s="115">
        <v>72</v>
      </c>
      <c r="L17" s="558">
        <f t="shared" si="9"/>
        <v>1188724560</v>
      </c>
      <c r="M17" s="115">
        <v>36</v>
      </c>
      <c r="N17" s="36">
        <v>199684750</v>
      </c>
      <c r="O17" s="555">
        <v>12</v>
      </c>
      <c r="P17" s="557">
        <v>198120760</v>
      </c>
      <c r="Q17" s="115">
        <v>0</v>
      </c>
      <c r="R17" s="558">
        <v>0</v>
      </c>
      <c r="S17" s="115">
        <v>5</v>
      </c>
      <c r="T17" s="205">
        <v>80203450</v>
      </c>
      <c r="U17" s="34"/>
      <c r="V17" s="232"/>
      <c r="W17" s="34"/>
      <c r="X17" s="1302"/>
      <c r="Y17" s="872">
        <f t="shared" si="4"/>
        <v>5</v>
      </c>
      <c r="Z17" s="873">
        <f t="shared" si="0"/>
        <v>80203450</v>
      </c>
      <c r="AA17" s="115">
        <f t="shared" si="5"/>
        <v>41</v>
      </c>
      <c r="AB17" s="873">
        <f t="shared" si="6"/>
        <v>279888200</v>
      </c>
      <c r="AC17" s="874">
        <f t="shared" si="7"/>
        <v>56.944444444444443</v>
      </c>
      <c r="AD17" s="874">
        <f t="shared" si="8"/>
        <v>23.545252568854131</v>
      </c>
      <c r="AE17" s="451"/>
      <c r="AF17" s="870"/>
      <c r="AG17" s="870"/>
      <c r="AH17" s="870"/>
      <c r="AI17" s="870"/>
      <c r="AJ17" s="870"/>
      <c r="AK17" s="870"/>
      <c r="AL17" s="870"/>
      <c r="AM17" s="870"/>
      <c r="AN17" s="870"/>
      <c r="AO17" s="870"/>
      <c r="AP17" s="870"/>
      <c r="AQ17" s="870"/>
      <c r="AR17" s="870"/>
      <c r="AS17" s="870"/>
      <c r="AT17" s="870"/>
      <c r="AU17" s="870"/>
      <c r="AV17" s="870"/>
      <c r="AW17" s="870"/>
      <c r="AX17" s="870"/>
      <c r="AY17" s="870"/>
      <c r="AZ17" s="870"/>
      <c r="BA17" s="870"/>
      <c r="BB17" s="870"/>
      <c r="BC17" s="871"/>
      <c r="BD17" s="871"/>
      <c r="BE17" s="871"/>
      <c r="BF17" s="871"/>
      <c r="BG17" s="871"/>
      <c r="BH17" s="871"/>
      <c r="BI17" s="871"/>
      <c r="BJ17" s="871"/>
      <c r="BK17" s="871"/>
      <c r="BL17" s="871"/>
      <c r="BM17" s="871"/>
      <c r="BN17" s="871"/>
      <c r="BO17" s="871"/>
      <c r="BP17" s="871"/>
      <c r="BQ17" s="871"/>
    </row>
    <row r="18" spans="1:70" ht="45" customHeight="1">
      <c r="A18" s="451"/>
      <c r="B18" s="34"/>
      <c r="C18" s="577" t="s">
        <v>25</v>
      </c>
      <c r="D18" s="577" t="s">
        <v>25</v>
      </c>
      <c r="E18" s="577" t="s">
        <v>25</v>
      </c>
      <c r="F18" s="577" t="s">
        <v>25</v>
      </c>
      <c r="G18" s="577" t="s">
        <v>25</v>
      </c>
      <c r="H18" s="577">
        <v>9</v>
      </c>
      <c r="I18" s="554" t="s">
        <v>161</v>
      </c>
      <c r="J18" s="34" t="s">
        <v>266</v>
      </c>
      <c r="K18" s="115">
        <v>72</v>
      </c>
      <c r="L18" s="558">
        <f t="shared" si="9"/>
        <v>274500000</v>
      </c>
      <c r="M18" s="115">
        <v>36</v>
      </c>
      <c r="N18" s="36">
        <v>325335700</v>
      </c>
      <c r="O18" s="555">
        <v>12</v>
      </c>
      <c r="P18" s="557">
        <v>45750000</v>
      </c>
      <c r="Q18" s="115">
        <v>3</v>
      </c>
      <c r="R18" s="558">
        <v>9239500</v>
      </c>
      <c r="S18" s="115">
        <v>3</v>
      </c>
      <c r="T18" s="205">
        <v>17928000</v>
      </c>
      <c r="U18" s="34"/>
      <c r="V18" s="232"/>
      <c r="W18" s="34"/>
      <c r="X18" s="209"/>
      <c r="Y18" s="872">
        <f t="shared" si="4"/>
        <v>6</v>
      </c>
      <c r="Z18" s="873">
        <f t="shared" si="0"/>
        <v>27167500</v>
      </c>
      <c r="AA18" s="115">
        <f t="shared" si="5"/>
        <v>42</v>
      </c>
      <c r="AB18" s="873">
        <f t="shared" si="6"/>
        <v>352503200</v>
      </c>
      <c r="AC18" s="874">
        <f t="shared" si="7"/>
        <v>58.333333333333336</v>
      </c>
      <c r="AD18" s="874">
        <f t="shared" si="8"/>
        <v>128.41646630236795</v>
      </c>
      <c r="AE18" s="451"/>
      <c r="AF18" s="870"/>
      <c r="AG18" s="870"/>
      <c r="AH18" s="870"/>
      <c r="AI18" s="870"/>
      <c r="AJ18" s="870"/>
      <c r="AK18" s="870"/>
      <c r="AL18" s="870"/>
      <c r="AM18" s="870"/>
      <c r="AN18" s="870"/>
      <c r="AO18" s="870"/>
      <c r="AP18" s="870"/>
      <c r="AQ18" s="870"/>
      <c r="AR18" s="870"/>
      <c r="AS18" s="870"/>
      <c r="AT18" s="870"/>
      <c r="AU18" s="870"/>
      <c r="AV18" s="870"/>
      <c r="AW18" s="870"/>
      <c r="AX18" s="870"/>
      <c r="AY18" s="870"/>
      <c r="AZ18" s="870"/>
      <c r="BA18" s="870"/>
      <c r="BB18" s="870"/>
      <c r="BC18" s="871"/>
      <c r="BD18" s="871"/>
      <c r="BE18" s="871"/>
      <c r="BF18" s="871"/>
      <c r="BG18" s="871"/>
      <c r="BH18" s="871"/>
      <c r="BI18" s="871"/>
      <c r="BJ18" s="871"/>
      <c r="BK18" s="871"/>
      <c r="BL18" s="871"/>
      <c r="BM18" s="871"/>
      <c r="BN18" s="871"/>
      <c r="BO18" s="871"/>
      <c r="BP18" s="871"/>
      <c r="BQ18" s="871"/>
    </row>
    <row r="19" spans="1:70" ht="45" customHeight="1">
      <c r="A19" s="451"/>
      <c r="B19" s="34"/>
      <c r="C19" s="577" t="s">
        <v>25</v>
      </c>
      <c r="D19" s="577" t="s">
        <v>25</v>
      </c>
      <c r="E19" s="577" t="s">
        <v>25</v>
      </c>
      <c r="F19" s="577" t="s">
        <v>25</v>
      </c>
      <c r="G19" s="577" t="s">
        <v>25</v>
      </c>
      <c r="H19" s="577">
        <v>10</v>
      </c>
      <c r="I19" s="554" t="s">
        <v>32</v>
      </c>
      <c r="J19" s="34" t="s">
        <v>2459</v>
      </c>
      <c r="K19" s="115">
        <v>72</v>
      </c>
      <c r="L19" s="558">
        <f t="shared" si="9"/>
        <v>330000000</v>
      </c>
      <c r="M19" s="115">
        <v>36</v>
      </c>
      <c r="N19" s="36">
        <v>115983000</v>
      </c>
      <c r="O19" s="555">
        <v>12</v>
      </c>
      <c r="P19" s="557">
        <v>55000000</v>
      </c>
      <c r="Q19" s="115">
        <v>3</v>
      </c>
      <c r="R19" s="558">
        <v>22069500</v>
      </c>
      <c r="S19" s="115">
        <v>3</v>
      </c>
      <c r="T19" s="205">
        <v>45846500</v>
      </c>
      <c r="U19" s="34"/>
      <c r="V19" s="232"/>
      <c r="W19" s="34"/>
      <c r="X19" s="209"/>
      <c r="Y19" s="872">
        <f t="shared" si="4"/>
        <v>6</v>
      </c>
      <c r="Z19" s="873">
        <f t="shared" si="0"/>
        <v>67916000</v>
      </c>
      <c r="AA19" s="115">
        <f t="shared" si="5"/>
        <v>42</v>
      </c>
      <c r="AB19" s="873">
        <f t="shared" si="6"/>
        <v>183899000</v>
      </c>
      <c r="AC19" s="874">
        <f t="shared" si="7"/>
        <v>58.333333333333336</v>
      </c>
      <c r="AD19" s="874">
        <f t="shared" si="8"/>
        <v>55.726969696969697</v>
      </c>
      <c r="AE19" s="451"/>
      <c r="AF19" s="870"/>
      <c r="AG19" s="870"/>
      <c r="AH19" s="870"/>
      <c r="AI19" s="870"/>
      <c r="AJ19" s="870"/>
      <c r="AK19" s="870"/>
      <c r="AL19" s="870"/>
      <c r="AM19" s="870"/>
      <c r="AN19" s="870"/>
      <c r="AO19" s="870"/>
      <c r="AP19" s="870"/>
      <c r="AQ19" s="870"/>
      <c r="AR19" s="870"/>
      <c r="AS19" s="870"/>
      <c r="AT19" s="870"/>
      <c r="AU19" s="870"/>
      <c r="AV19" s="870"/>
      <c r="AW19" s="870"/>
      <c r="AX19" s="870"/>
      <c r="AY19" s="870"/>
      <c r="AZ19" s="870"/>
      <c r="BA19" s="870"/>
      <c r="BB19" s="870"/>
      <c r="BC19" s="871"/>
      <c r="BD19" s="871"/>
      <c r="BE19" s="871"/>
      <c r="BF19" s="871"/>
      <c r="BG19" s="871"/>
      <c r="BH19" s="871"/>
      <c r="BI19" s="871"/>
      <c r="BJ19" s="871"/>
      <c r="BK19" s="871"/>
      <c r="BL19" s="871"/>
      <c r="BM19" s="871"/>
      <c r="BN19" s="871"/>
      <c r="BO19" s="871"/>
      <c r="BP19" s="871"/>
      <c r="BQ19" s="871"/>
    </row>
    <row r="20" spans="1:70" ht="45" customHeight="1">
      <c r="A20" s="451"/>
      <c r="B20" s="34"/>
      <c r="C20" s="577" t="s">
        <v>25</v>
      </c>
      <c r="D20" s="577" t="s">
        <v>25</v>
      </c>
      <c r="E20" s="577" t="s">
        <v>25</v>
      </c>
      <c r="F20" s="577" t="s">
        <v>25</v>
      </c>
      <c r="G20" s="577" t="s">
        <v>25</v>
      </c>
      <c r="H20" s="577">
        <v>11</v>
      </c>
      <c r="I20" s="554" t="s">
        <v>155</v>
      </c>
      <c r="J20" s="34" t="s">
        <v>2460</v>
      </c>
      <c r="K20" s="115">
        <v>72</v>
      </c>
      <c r="L20" s="558">
        <v>494150000</v>
      </c>
      <c r="M20" s="115">
        <v>36</v>
      </c>
      <c r="N20" s="558">
        <v>344650000</v>
      </c>
      <c r="O20" s="555">
        <v>12</v>
      </c>
      <c r="P20" s="557">
        <v>57188000</v>
      </c>
      <c r="Q20" s="115">
        <v>3</v>
      </c>
      <c r="R20" s="558">
        <v>20478200</v>
      </c>
      <c r="S20" s="115">
        <v>3</v>
      </c>
      <c r="T20" s="205">
        <v>35557200</v>
      </c>
      <c r="U20" s="34"/>
      <c r="V20" s="232"/>
      <c r="W20" s="34"/>
      <c r="X20" s="232"/>
      <c r="Y20" s="872">
        <f t="shared" si="4"/>
        <v>6</v>
      </c>
      <c r="Z20" s="873">
        <f t="shared" si="0"/>
        <v>56035400</v>
      </c>
      <c r="AA20" s="115">
        <f t="shared" si="5"/>
        <v>42</v>
      </c>
      <c r="AB20" s="873">
        <f t="shared" si="6"/>
        <v>400685400</v>
      </c>
      <c r="AC20" s="874">
        <f t="shared" si="7"/>
        <v>58.333333333333336</v>
      </c>
      <c r="AD20" s="874">
        <f t="shared" si="8"/>
        <v>81.085783668926439</v>
      </c>
      <c r="AE20" s="451"/>
      <c r="AF20" s="870"/>
      <c r="AG20" s="870"/>
      <c r="AH20" s="870"/>
      <c r="AI20" s="870"/>
      <c r="AJ20" s="870"/>
      <c r="AK20" s="870"/>
      <c r="AL20" s="870"/>
      <c r="AM20" s="870"/>
      <c r="AN20" s="870"/>
      <c r="AO20" s="870"/>
      <c r="AP20" s="870"/>
      <c r="AQ20" s="870"/>
      <c r="AR20" s="870"/>
      <c r="AS20" s="870"/>
      <c r="AT20" s="870"/>
      <c r="AU20" s="870"/>
      <c r="AV20" s="870"/>
      <c r="AW20" s="870"/>
      <c r="AX20" s="870"/>
      <c r="AY20" s="870"/>
      <c r="AZ20" s="870"/>
      <c r="BA20" s="870"/>
      <c r="BB20" s="870"/>
      <c r="BC20" s="871"/>
      <c r="BD20" s="871"/>
      <c r="BE20" s="871"/>
      <c r="BF20" s="871"/>
      <c r="BG20" s="871"/>
      <c r="BH20" s="871"/>
      <c r="BI20" s="871"/>
      <c r="BJ20" s="871"/>
      <c r="BK20" s="871"/>
      <c r="BL20" s="871"/>
      <c r="BM20" s="871"/>
      <c r="BN20" s="871"/>
      <c r="BO20" s="871"/>
      <c r="BP20" s="871"/>
      <c r="BQ20" s="871"/>
    </row>
    <row r="21" spans="1:70" ht="59.25" customHeight="1">
      <c r="A21" s="451"/>
      <c r="B21" s="34"/>
      <c r="C21" s="577" t="s">
        <v>25</v>
      </c>
      <c r="D21" s="577" t="s">
        <v>25</v>
      </c>
      <c r="E21" s="577" t="s">
        <v>25</v>
      </c>
      <c r="F21" s="577" t="s">
        <v>25</v>
      </c>
      <c r="G21" s="577" t="s">
        <v>25</v>
      </c>
      <c r="H21" s="577">
        <v>12</v>
      </c>
      <c r="I21" s="554" t="s">
        <v>156</v>
      </c>
      <c r="J21" s="34" t="s">
        <v>2461</v>
      </c>
      <c r="K21" s="115">
        <v>72</v>
      </c>
      <c r="L21" s="558">
        <f t="shared" ref="L21:L24" si="10">P21*6</f>
        <v>276606000</v>
      </c>
      <c r="M21" s="115">
        <v>36</v>
      </c>
      <c r="N21" s="36">
        <v>43745000</v>
      </c>
      <c r="O21" s="555">
        <v>12</v>
      </c>
      <c r="P21" s="557">
        <v>46101000</v>
      </c>
      <c r="Q21" s="115">
        <v>0</v>
      </c>
      <c r="R21" s="558">
        <v>6103000</v>
      </c>
      <c r="S21" s="115">
        <v>3</v>
      </c>
      <c r="T21" s="205">
        <v>38801000</v>
      </c>
      <c r="U21" s="34"/>
      <c r="V21" s="232"/>
      <c r="W21" s="34"/>
      <c r="X21" s="209"/>
      <c r="Y21" s="872">
        <f t="shared" si="4"/>
        <v>3</v>
      </c>
      <c r="Z21" s="873">
        <f t="shared" si="0"/>
        <v>44904000</v>
      </c>
      <c r="AA21" s="115">
        <f t="shared" si="5"/>
        <v>39</v>
      </c>
      <c r="AB21" s="873">
        <f t="shared" si="6"/>
        <v>88649000</v>
      </c>
      <c r="AC21" s="874">
        <f t="shared" si="7"/>
        <v>54.166666666666664</v>
      </c>
      <c r="AD21" s="874">
        <f t="shared" si="8"/>
        <v>32.048834804740316</v>
      </c>
      <c r="AE21" s="451"/>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1"/>
      <c r="BD21" s="871"/>
      <c r="BE21" s="871"/>
      <c r="BF21" s="871"/>
      <c r="BG21" s="871"/>
      <c r="BH21" s="871"/>
      <c r="BI21" s="871"/>
      <c r="BJ21" s="871"/>
      <c r="BK21" s="871"/>
      <c r="BL21" s="871"/>
      <c r="BM21" s="871"/>
      <c r="BN21" s="871"/>
      <c r="BO21" s="871"/>
      <c r="BP21" s="871"/>
      <c r="BQ21" s="871"/>
    </row>
    <row r="22" spans="1:70" ht="66.75" customHeight="1">
      <c r="A22" s="451"/>
      <c r="B22" s="34"/>
      <c r="C22" s="577" t="s">
        <v>25</v>
      </c>
      <c r="D22" s="577" t="s">
        <v>25</v>
      </c>
      <c r="E22" s="577" t="s">
        <v>25</v>
      </c>
      <c r="F22" s="577" t="s">
        <v>25</v>
      </c>
      <c r="G22" s="577" t="s">
        <v>25</v>
      </c>
      <c r="H22" s="577">
        <v>13</v>
      </c>
      <c r="I22" s="554" t="s">
        <v>33</v>
      </c>
      <c r="J22" s="34" t="s">
        <v>2462</v>
      </c>
      <c r="K22" s="115">
        <v>72</v>
      </c>
      <c r="L22" s="558">
        <f t="shared" si="10"/>
        <v>5978100000</v>
      </c>
      <c r="M22" s="115">
        <v>36</v>
      </c>
      <c r="N22" s="36">
        <v>300585000</v>
      </c>
      <c r="O22" s="559" t="s">
        <v>52</v>
      </c>
      <c r="P22" s="557">
        <v>996350000</v>
      </c>
      <c r="Q22" s="115">
        <v>0</v>
      </c>
      <c r="R22" s="558">
        <v>0</v>
      </c>
      <c r="S22" s="115">
        <v>3</v>
      </c>
      <c r="T22" s="205">
        <v>388150000</v>
      </c>
      <c r="U22" s="34"/>
      <c r="V22" s="232"/>
      <c r="W22" s="34"/>
      <c r="X22" s="209"/>
      <c r="Y22" s="872">
        <f t="shared" si="4"/>
        <v>3</v>
      </c>
      <c r="Z22" s="873">
        <f t="shared" si="0"/>
        <v>388150000</v>
      </c>
      <c r="AA22" s="115">
        <f t="shared" si="5"/>
        <v>39</v>
      </c>
      <c r="AB22" s="873">
        <f t="shared" si="6"/>
        <v>688735000</v>
      </c>
      <c r="AC22" s="874">
        <f t="shared" si="7"/>
        <v>54.166666666666664</v>
      </c>
      <c r="AD22" s="874">
        <f t="shared" si="8"/>
        <v>11.520968200598853</v>
      </c>
      <c r="AE22" s="451"/>
      <c r="AF22" s="870"/>
      <c r="AG22" s="870"/>
      <c r="AH22" s="870"/>
      <c r="AI22" s="870"/>
      <c r="AJ22" s="870"/>
      <c r="AK22" s="870"/>
      <c r="AL22" s="870"/>
      <c r="AM22" s="870"/>
      <c r="AN22" s="870"/>
      <c r="AO22" s="870"/>
      <c r="AP22" s="870"/>
      <c r="AQ22" s="870"/>
      <c r="AR22" s="870"/>
      <c r="AS22" s="870"/>
      <c r="AT22" s="870"/>
      <c r="AU22" s="870"/>
      <c r="AV22" s="870"/>
      <c r="AW22" s="870"/>
      <c r="AX22" s="870"/>
      <c r="AY22" s="870"/>
      <c r="AZ22" s="870"/>
      <c r="BA22" s="870"/>
      <c r="BB22" s="870"/>
      <c r="BC22" s="871"/>
      <c r="BD22" s="871"/>
      <c r="BE22" s="871"/>
      <c r="BF22" s="871"/>
      <c r="BG22" s="871"/>
      <c r="BH22" s="871"/>
      <c r="BI22" s="871"/>
      <c r="BJ22" s="871"/>
      <c r="BK22" s="871"/>
      <c r="BL22" s="871"/>
      <c r="BM22" s="871"/>
      <c r="BN22" s="871"/>
      <c r="BO22" s="871"/>
      <c r="BP22" s="871"/>
      <c r="BQ22" s="871"/>
    </row>
    <row r="23" spans="1:70" ht="66.75" customHeight="1">
      <c r="A23" s="451"/>
      <c r="B23" s="34"/>
      <c r="C23" s="577" t="s">
        <v>25</v>
      </c>
      <c r="D23" s="577" t="s">
        <v>25</v>
      </c>
      <c r="E23" s="577" t="s">
        <v>25</v>
      </c>
      <c r="F23" s="577" t="s">
        <v>25</v>
      </c>
      <c r="G23" s="577" t="s">
        <v>25</v>
      </c>
      <c r="H23" s="577">
        <v>15</v>
      </c>
      <c r="I23" s="554" t="s">
        <v>157</v>
      </c>
      <c r="J23" s="34" t="s">
        <v>2463</v>
      </c>
      <c r="K23" s="115">
        <v>72</v>
      </c>
      <c r="L23" s="558">
        <f t="shared" si="10"/>
        <v>87000000</v>
      </c>
      <c r="M23" s="115">
        <v>36</v>
      </c>
      <c r="N23" s="36">
        <v>648041590</v>
      </c>
      <c r="O23" s="555">
        <v>12</v>
      </c>
      <c r="P23" s="557">
        <v>14500000</v>
      </c>
      <c r="Q23" s="875">
        <v>3</v>
      </c>
      <c r="R23" s="558">
        <v>930000</v>
      </c>
      <c r="S23" s="115">
        <v>1</v>
      </c>
      <c r="T23" s="205">
        <v>388150000</v>
      </c>
      <c r="U23" s="34"/>
      <c r="V23" s="232"/>
      <c r="W23" s="34"/>
      <c r="X23" s="209"/>
      <c r="Y23" s="872">
        <f t="shared" si="4"/>
        <v>4</v>
      </c>
      <c r="Z23" s="873">
        <f t="shared" si="0"/>
        <v>389080000</v>
      </c>
      <c r="AA23" s="115">
        <f t="shared" si="5"/>
        <v>40</v>
      </c>
      <c r="AB23" s="873">
        <f t="shared" si="6"/>
        <v>1037121590</v>
      </c>
      <c r="AC23" s="874">
        <f t="shared" si="7"/>
        <v>55.555555555555557</v>
      </c>
      <c r="AD23" s="874">
        <f t="shared" si="8"/>
        <v>1192.0937816091953</v>
      </c>
      <c r="AE23" s="451"/>
      <c r="AF23" s="870"/>
      <c r="AG23" s="870"/>
      <c r="AH23" s="870"/>
      <c r="AI23" s="870"/>
      <c r="AJ23" s="870"/>
      <c r="AK23" s="870"/>
      <c r="AL23" s="870"/>
      <c r="AM23" s="870"/>
      <c r="AN23" s="870"/>
      <c r="AO23" s="870"/>
      <c r="AP23" s="870"/>
      <c r="AQ23" s="870"/>
      <c r="AR23" s="870"/>
      <c r="AS23" s="870"/>
      <c r="AT23" s="870"/>
      <c r="AU23" s="870"/>
      <c r="AV23" s="870"/>
      <c r="AW23" s="870"/>
      <c r="AX23" s="870"/>
      <c r="AY23" s="870"/>
      <c r="AZ23" s="870"/>
      <c r="BA23" s="870"/>
      <c r="BB23" s="870"/>
      <c r="BC23" s="871"/>
      <c r="BD23" s="871"/>
      <c r="BE23" s="871"/>
      <c r="BF23" s="871"/>
      <c r="BG23" s="871"/>
      <c r="BH23" s="871"/>
      <c r="BI23" s="871"/>
      <c r="BJ23" s="871"/>
      <c r="BK23" s="871"/>
      <c r="BL23" s="871"/>
      <c r="BM23" s="871"/>
      <c r="BN23" s="871"/>
      <c r="BO23" s="871"/>
      <c r="BP23" s="871"/>
      <c r="BQ23" s="871"/>
    </row>
    <row r="24" spans="1:70" ht="72.75" customHeight="1">
      <c r="A24" s="451"/>
      <c r="B24" s="34"/>
      <c r="C24" s="577" t="s">
        <v>25</v>
      </c>
      <c r="D24" s="577" t="s">
        <v>25</v>
      </c>
      <c r="E24" s="577" t="s">
        <v>25</v>
      </c>
      <c r="F24" s="577" t="s">
        <v>25</v>
      </c>
      <c r="G24" s="577" t="s">
        <v>25</v>
      </c>
      <c r="H24" s="577">
        <v>17</v>
      </c>
      <c r="I24" s="554" t="s">
        <v>167</v>
      </c>
      <c r="J24" s="34" t="s">
        <v>2464</v>
      </c>
      <c r="K24" s="115">
        <v>72</v>
      </c>
      <c r="L24" s="558">
        <f t="shared" si="10"/>
        <v>771300000</v>
      </c>
      <c r="M24" s="115">
        <v>36</v>
      </c>
      <c r="N24" s="36">
        <v>239471000</v>
      </c>
      <c r="O24" s="559" t="s">
        <v>52</v>
      </c>
      <c r="P24" s="556">
        <v>128550000</v>
      </c>
      <c r="Q24" s="875">
        <v>3</v>
      </c>
      <c r="R24" s="558">
        <v>17393850</v>
      </c>
      <c r="S24" s="115">
        <v>3</v>
      </c>
      <c r="T24" s="205">
        <v>46956900</v>
      </c>
      <c r="U24" s="34"/>
      <c r="V24" s="232"/>
      <c r="W24" s="34"/>
      <c r="X24" s="209"/>
      <c r="Y24" s="872">
        <f t="shared" si="4"/>
        <v>6</v>
      </c>
      <c r="Z24" s="873">
        <f t="shared" si="0"/>
        <v>64350750</v>
      </c>
      <c r="AA24" s="115">
        <f t="shared" si="5"/>
        <v>42</v>
      </c>
      <c r="AB24" s="873">
        <f t="shared" si="6"/>
        <v>303821750</v>
      </c>
      <c r="AC24" s="874">
        <f t="shared" si="7"/>
        <v>58.333333333333336</v>
      </c>
      <c r="AD24" s="874">
        <f t="shared" si="8"/>
        <v>39.390866070270967</v>
      </c>
      <c r="AE24" s="451"/>
      <c r="AF24" s="870"/>
      <c r="AG24" s="870"/>
      <c r="AH24" s="870"/>
      <c r="AI24" s="870"/>
      <c r="AJ24" s="870"/>
      <c r="AK24" s="870"/>
      <c r="AL24" s="870"/>
      <c r="AM24" s="870"/>
      <c r="AN24" s="870"/>
      <c r="AO24" s="870"/>
      <c r="AP24" s="870"/>
      <c r="AQ24" s="870"/>
      <c r="AR24" s="870"/>
      <c r="AS24" s="870"/>
      <c r="AT24" s="870"/>
      <c r="AU24" s="870"/>
      <c r="AV24" s="870"/>
      <c r="AW24" s="870"/>
      <c r="AX24" s="870"/>
      <c r="AY24" s="870"/>
      <c r="AZ24" s="870"/>
      <c r="BA24" s="870"/>
      <c r="BB24" s="870"/>
      <c r="BC24" s="871"/>
      <c r="BD24" s="871"/>
      <c r="BE24" s="871"/>
      <c r="BF24" s="871"/>
      <c r="BG24" s="871"/>
      <c r="BH24" s="871"/>
      <c r="BI24" s="871"/>
      <c r="BJ24" s="871"/>
      <c r="BK24" s="871"/>
      <c r="BL24" s="871"/>
      <c r="BM24" s="871"/>
      <c r="BN24" s="871"/>
      <c r="BO24" s="871"/>
      <c r="BP24" s="871"/>
      <c r="BQ24" s="871"/>
    </row>
    <row r="25" spans="1:70" ht="66.75" customHeight="1">
      <c r="A25" s="451"/>
      <c r="B25" s="34"/>
      <c r="C25" s="577" t="s">
        <v>25</v>
      </c>
      <c r="D25" s="577" t="s">
        <v>25</v>
      </c>
      <c r="E25" s="577" t="s">
        <v>25</v>
      </c>
      <c r="F25" s="577" t="s">
        <v>25</v>
      </c>
      <c r="G25" s="577" t="s">
        <v>25</v>
      </c>
      <c r="H25" s="577">
        <v>18</v>
      </c>
      <c r="I25" s="560" t="s">
        <v>267</v>
      </c>
      <c r="J25" s="34" t="s">
        <v>2465</v>
      </c>
      <c r="K25" s="115">
        <v>72</v>
      </c>
      <c r="L25" s="876">
        <f>6*P25</f>
        <v>319500000</v>
      </c>
      <c r="M25" s="115">
        <v>36</v>
      </c>
      <c r="N25" s="567">
        <v>184464000</v>
      </c>
      <c r="O25" s="555">
        <v>12</v>
      </c>
      <c r="P25" s="556">
        <v>53250000</v>
      </c>
      <c r="Q25" s="599">
        <v>3</v>
      </c>
      <c r="R25" s="558">
        <v>6075000</v>
      </c>
      <c r="S25" s="115">
        <v>3</v>
      </c>
      <c r="T25" s="205">
        <v>21945000</v>
      </c>
      <c r="U25" s="34"/>
      <c r="V25" s="232"/>
      <c r="W25" s="34"/>
      <c r="X25" s="209"/>
      <c r="Y25" s="872">
        <f t="shared" si="4"/>
        <v>6</v>
      </c>
      <c r="Z25" s="873">
        <f t="shared" si="0"/>
        <v>28020000</v>
      </c>
      <c r="AA25" s="115">
        <f t="shared" si="5"/>
        <v>42</v>
      </c>
      <c r="AB25" s="873">
        <f t="shared" si="6"/>
        <v>212484000</v>
      </c>
      <c r="AC25" s="874">
        <f t="shared" si="7"/>
        <v>58.333333333333336</v>
      </c>
      <c r="AD25" s="874">
        <f t="shared" si="8"/>
        <v>66.50516431924882</v>
      </c>
      <c r="AE25" s="451"/>
      <c r="AF25" s="870"/>
      <c r="AG25" s="870"/>
      <c r="AH25" s="870"/>
      <c r="AI25" s="870"/>
      <c r="AJ25" s="870"/>
      <c r="AK25" s="870"/>
      <c r="AL25" s="870"/>
      <c r="AM25" s="870"/>
      <c r="AN25" s="870"/>
      <c r="AO25" s="870"/>
      <c r="AP25" s="870"/>
      <c r="AQ25" s="870"/>
      <c r="AR25" s="870"/>
      <c r="AS25" s="870"/>
      <c r="AT25" s="870"/>
      <c r="AU25" s="870"/>
      <c r="AV25" s="870"/>
      <c r="AW25" s="870"/>
      <c r="AX25" s="870"/>
      <c r="AY25" s="870"/>
      <c r="AZ25" s="870"/>
      <c r="BA25" s="870"/>
      <c r="BB25" s="870"/>
      <c r="BC25" s="871"/>
      <c r="BD25" s="871"/>
      <c r="BE25" s="871"/>
      <c r="BF25" s="871"/>
      <c r="BG25" s="871"/>
      <c r="BH25" s="871"/>
      <c r="BI25" s="871"/>
      <c r="BJ25" s="871"/>
      <c r="BK25" s="871"/>
      <c r="BL25" s="871"/>
      <c r="BM25" s="871"/>
      <c r="BN25" s="871"/>
      <c r="BO25" s="871"/>
      <c r="BP25" s="871"/>
      <c r="BQ25" s="871"/>
    </row>
    <row r="26" spans="1:70" ht="65.25" customHeight="1">
      <c r="A26" s="451"/>
      <c r="B26" s="34"/>
      <c r="C26" s="577" t="s">
        <v>25</v>
      </c>
      <c r="D26" s="577" t="s">
        <v>25</v>
      </c>
      <c r="E26" s="577" t="s">
        <v>25</v>
      </c>
      <c r="F26" s="577" t="s">
        <v>25</v>
      </c>
      <c r="G26" s="577" t="s">
        <v>25</v>
      </c>
      <c r="H26" s="577">
        <v>19</v>
      </c>
      <c r="I26" s="560" t="s">
        <v>81</v>
      </c>
      <c r="J26" s="34" t="s">
        <v>2466</v>
      </c>
      <c r="K26" s="115">
        <v>72</v>
      </c>
      <c r="L26" s="558">
        <f t="shared" ref="L26" si="11">P26*6</f>
        <v>627750000</v>
      </c>
      <c r="M26" s="115">
        <v>36</v>
      </c>
      <c r="N26" s="36">
        <v>659238012</v>
      </c>
      <c r="O26" s="555">
        <v>12</v>
      </c>
      <c r="P26" s="556">
        <v>104625000</v>
      </c>
      <c r="Q26" s="875">
        <v>3</v>
      </c>
      <c r="R26" s="558">
        <v>6075000</v>
      </c>
      <c r="S26" s="115">
        <v>3</v>
      </c>
      <c r="T26" s="205">
        <v>46945000</v>
      </c>
      <c r="U26" s="34"/>
      <c r="V26" s="232"/>
      <c r="W26" s="34"/>
      <c r="X26" s="232"/>
      <c r="Y26" s="872">
        <f t="shared" si="4"/>
        <v>6</v>
      </c>
      <c r="Z26" s="873">
        <f t="shared" si="0"/>
        <v>53020000</v>
      </c>
      <c r="AA26" s="115">
        <f t="shared" si="5"/>
        <v>42</v>
      </c>
      <c r="AB26" s="873">
        <f t="shared" si="6"/>
        <v>712258012</v>
      </c>
      <c r="AC26" s="874">
        <f t="shared" si="7"/>
        <v>58.333333333333336</v>
      </c>
      <c r="AD26" s="874">
        <f t="shared" si="8"/>
        <v>113.46204890481879</v>
      </c>
      <c r="AE26" s="451"/>
      <c r="AF26" s="870"/>
      <c r="AG26" s="870"/>
      <c r="AH26" s="870"/>
      <c r="AI26" s="870"/>
      <c r="AJ26" s="870"/>
      <c r="AK26" s="870"/>
      <c r="AL26" s="870"/>
      <c r="AM26" s="870"/>
      <c r="AN26" s="870"/>
      <c r="AO26" s="870"/>
      <c r="AP26" s="870"/>
      <c r="AQ26" s="870"/>
      <c r="AR26" s="870"/>
      <c r="AS26" s="870"/>
      <c r="AT26" s="870"/>
      <c r="AU26" s="870"/>
      <c r="AV26" s="870"/>
      <c r="AW26" s="870"/>
      <c r="AX26" s="870"/>
      <c r="AY26" s="870"/>
      <c r="AZ26" s="870"/>
      <c r="BA26" s="870"/>
      <c r="BB26" s="870"/>
      <c r="BC26" s="871"/>
      <c r="BD26" s="871"/>
      <c r="BE26" s="871"/>
      <c r="BF26" s="871"/>
      <c r="BG26" s="871"/>
      <c r="BH26" s="871"/>
      <c r="BI26" s="871"/>
      <c r="BJ26" s="871"/>
      <c r="BK26" s="871"/>
      <c r="BL26" s="871"/>
      <c r="BM26" s="871"/>
      <c r="BN26" s="871"/>
      <c r="BO26" s="871"/>
      <c r="BP26" s="871"/>
      <c r="BQ26" s="871"/>
    </row>
    <row r="27" spans="1:70" ht="59.25" customHeight="1">
      <c r="A27" s="451"/>
      <c r="B27" s="34"/>
      <c r="C27" s="577">
        <v>3</v>
      </c>
      <c r="D27" s="577" t="s">
        <v>34</v>
      </c>
      <c r="E27" s="577" t="s">
        <v>28</v>
      </c>
      <c r="F27" s="577" t="s">
        <v>25</v>
      </c>
      <c r="G27" s="577" t="s">
        <v>35</v>
      </c>
      <c r="H27" s="577">
        <v>30</v>
      </c>
      <c r="I27" s="560" t="s">
        <v>268</v>
      </c>
      <c r="J27" s="35" t="s">
        <v>269</v>
      </c>
      <c r="K27" s="115">
        <f>15*6</f>
        <v>90</v>
      </c>
      <c r="L27" s="561">
        <v>8071387000</v>
      </c>
      <c r="M27" s="115">
        <v>45</v>
      </c>
      <c r="N27" s="558">
        <v>3940637000</v>
      </c>
      <c r="O27" s="559" t="s">
        <v>45</v>
      </c>
      <c r="P27" s="556">
        <v>48640000</v>
      </c>
      <c r="Q27" s="115">
        <v>0</v>
      </c>
      <c r="R27" s="558">
        <v>1000000</v>
      </c>
      <c r="S27" s="115">
        <v>55</v>
      </c>
      <c r="T27" s="205">
        <v>20485000</v>
      </c>
      <c r="U27" s="34"/>
      <c r="V27" s="232"/>
      <c r="W27" s="34"/>
      <c r="X27" s="209"/>
      <c r="Y27" s="872">
        <f t="shared" si="4"/>
        <v>55</v>
      </c>
      <c r="Z27" s="873">
        <f t="shared" si="0"/>
        <v>21485000</v>
      </c>
      <c r="AA27" s="115">
        <f t="shared" si="5"/>
        <v>100</v>
      </c>
      <c r="AB27" s="873">
        <f t="shared" si="6"/>
        <v>3962122000</v>
      </c>
      <c r="AC27" s="874">
        <f t="shared" si="7"/>
        <v>111.11111111111111</v>
      </c>
      <c r="AD27" s="874">
        <f t="shared" si="8"/>
        <v>49.088489995585647</v>
      </c>
      <c r="AE27" s="451"/>
      <c r="AF27" s="870"/>
      <c r="AG27" s="870"/>
      <c r="AH27" s="870"/>
      <c r="AI27" s="870"/>
      <c r="AJ27" s="870"/>
      <c r="AK27" s="870"/>
      <c r="AL27" s="870"/>
      <c r="AM27" s="870"/>
      <c r="AN27" s="870"/>
      <c r="AO27" s="870"/>
      <c r="AP27" s="870"/>
      <c r="AQ27" s="870"/>
      <c r="AR27" s="870"/>
      <c r="AS27" s="870"/>
      <c r="AT27" s="870"/>
      <c r="AU27" s="870"/>
      <c r="AV27" s="870"/>
      <c r="AW27" s="870"/>
      <c r="AX27" s="870"/>
      <c r="AY27" s="870"/>
      <c r="AZ27" s="870"/>
      <c r="BA27" s="870"/>
      <c r="BB27" s="870"/>
      <c r="BC27" s="871"/>
      <c r="BD27" s="871"/>
      <c r="BE27" s="871"/>
      <c r="BF27" s="871"/>
      <c r="BG27" s="871"/>
      <c r="BH27" s="871"/>
      <c r="BI27" s="871"/>
      <c r="BJ27" s="871"/>
      <c r="BK27" s="871"/>
      <c r="BL27" s="871"/>
      <c r="BM27" s="871"/>
      <c r="BN27" s="871"/>
      <c r="BO27" s="871"/>
      <c r="BP27" s="871"/>
      <c r="BQ27" s="871"/>
    </row>
    <row r="28" spans="1:70" ht="66" customHeight="1">
      <c r="A28" s="451"/>
      <c r="B28" s="45"/>
      <c r="C28" s="577" t="s">
        <v>25</v>
      </c>
      <c r="D28" s="577" t="s">
        <v>25</v>
      </c>
      <c r="E28" s="577" t="s">
        <v>25</v>
      </c>
      <c r="F28" s="577" t="s">
        <v>25</v>
      </c>
      <c r="G28" s="577" t="s">
        <v>25</v>
      </c>
      <c r="H28" s="577">
        <v>22</v>
      </c>
      <c r="I28" s="560" t="s">
        <v>270</v>
      </c>
      <c r="J28" s="34" t="s">
        <v>2467</v>
      </c>
      <c r="K28" s="115">
        <v>72</v>
      </c>
      <c r="L28" s="558">
        <f>37500000*5</f>
        <v>187500000</v>
      </c>
      <c r="M28" s="115">
        <v>36</v>
      </c>
      <c r="N28" s="558">
        <v>103140500</v>
      </c>
      <c r="O28" s="555">
        <v>12</v>
      </c>
      <c r="P28" s="556">
        <v>510400000</v>
      </c>
      <c r="Q28" s="115">
        <v>0</v>
      </c>
      <c r="R28" s="558">
        <v>0</v>
      </c>
      <c r="S28" s="451">
        <v>35</v>
      </c>
      <c r="T28" s="877">
        <v>123152081</v>
      </c>
      <c r="U28" s="45"/>
      <c r="V28" s="263"/>
      <c r="W28" s="45"/>
      <c r="X28" s="878"/>
      <c r="Y28" s="872">
        <f t="shared" si="4"/>
        <v>35</v>
      </c>
      <c r="Z28" s="873">
        <f t="shared" si="0"/>
        <v>123152081</v>
      </c>
      <c r="AA28" s="115">
        <f t="shared" si="5"/>
        <v>71</v>
      </c>
      <c r="AB28" s="873">
        <f t="shared" si="6"/>
        <v>226292581</v>
      </c>
      <c r="AC28" s="874">
        <f t="shared" si="7"/>
        <v>98.611111111111114</v>
      </c>
      <c r="AD28" s="874">
        <f t="shared" si="8"/>
        <v>120.68937653333333</v>
      </c>
      <c r="AE28" s="451"/>
      <c r="AF28" s="870"/>
      <c r="AG28" s="870"/>
      <c r="AH28" s="870"/>
      <c r="AI28" s="870"/>
      <c r="AJ28" s="870"/>
      <c r="AK28" s="870"/>
      <c r="AL28" s="870"/>
      <c r="AM28" s="870"/>
      <c r="AN28" s="870"/>
      <c r="AO28" s="870"/>
      <c r="AP28" s="870"/>
      <c r="AQ28" s="870"/>
      <c r="AR28" s="870"/>
      <c r="AS28" s="870"/>
      <c r="AT28" s="870"/>
      <c r="AU28" s="870"/>
      <c r="AV28" s="870"/>
      <c r="AW28" s="870"/>
      <c r="AX28" s="870"/>
      <c r="AY28" s="870"/>
      <c r="AZ28" s="870"/>
      <c r="BA28" s="870"/>
      <c r="BB28" s="870"/>
      <c r="BC28" s="871"/>
      <c r="BD28" s="871"/>
      <c r="BE28" s="871"/>
      <c r="BF28" s="871"/>
      <c r="BG28" s="871"/>
      <c r="BH28" s="871"/>
      <c r="BI28" s="871"/>
      <c r="BJ28" s="871"/>
      <c r="BK28" s="871"/>
      <c r="BL28" s="871"/>
      <c r="BM28" s="871"/>
      <c r="BN28" s="871"/>
      <c r="BO28" s="871"/>
      <c r="BP28" s="871"/>
      <c r="BQ28" s="871"/>
    </row>
    <row r="29" spans="1:70" ht="82.5">
      <c r="A29" s="451"/>
      <c r="B29" s="34"/>
      <c r="C29" s="577" t="s">
        <v>25</v>
      </c>
      <c r="D29" s="577" t="s">
        <v>25</v>
      </c>
      <c r="E29" s="577" t="s">
        <v>25</v>
      </c>
      <c r="F29" s="577" t="s">
        <v>25</v>
      </c>
      <c r="G29" s="577" t="s">
        <v>25</v>
      </c>
      <c r="H29" s="577">
        <v>24</v>
      </c>
      <c r="I29" s="560" t="s">
        <v>271</v>
      </c>
      <c r="J29" s="34" t="s">
        <v>2468</v>
      </c>
      <c r="K29" s="115">
        <v>72</v>
      </c>
      <c r="L29" s="558">
        <f t="shared" ref="L29" si="12">P29*6</f>
        <v>4855500000</v>
      </c>
      <c r="M29" s="115">
        <v>36</v>
      </c>
      <c r="N29" s="36">
        <v>60000000</v>
      </c>
      <c r="O29" s="559" t="s">
        <v>52</v>
      </c>
      <c r="P29" s="557">
        <v>809250000</v>
      </c>
      <c r="Q29" s="115">
        <v>2</v>
      </c>
      <c r="R29" s="558">
        <v>126500000</v>
      </c>
      <c r="S29" s="451">
        <v>3</v>
      </c>
      <c r="T29" s="205">
        <v>323250000</v>
      </c>
      <c r="U29" s="34"/>
      <c r="V29" s="232"/>
      <c r="W29" s="34"/>
      <c r="X29" s="34"/>
      <c r="Y29" s="872">
        <f t="shared" si="4"/>
        <v>5</v>
      </c>
      <c r="Z29" s="873">
        <f t="shared" si="0"/>
        <v>449750000</v>
      </c>
      <c r="AA29" s="115">
        <f t="shared" si="5"/>
        <v>41</v>
      </c>
      <c r="AB29" s="873">
        <f t="shared" si="6"/>
        <v>509750000</v>
      </c>
      <c r="AC29" s="874">
        <f t="shared" si="7"/>
        <v>56.944444444444443</v>
      </c>
      <c r="AD29" s="874">
        <f t="shared" si="8"/>
        <v>10.498403871897848</v>
      </c>
      <c r="AE29" s="451"/>
      <c r="AF29" s="870"/>
      <c r="AG29" s="870"/>
      <c r="AH29" s="870"/>
      <c r="AI29" s="870"/>
      <c r="AJ29" s="870"/>
      <c r="AK29" s="870"/>
      <c r="AL29" s="870"/>
      <c r="AM29" s="870"/>
      <c r="AN29" s="870"/>
      <c r="AO29" s="870"/>
      <c r="AP29" s="870"/>
      <c r="AQ29" s="870"/>
      <c r="AR29" s="870"/>
      <c r="AS29" s="870"/>
      <c r="AT29" s="870"/>
      <c r="AU29" s="870"/>
      <c r="AV29" s="870"/>
      <c r="AW29" s="870"/>
      <c r="AX29" s="870"/>
      <c r="AY29" s="870"/>
      <c r="AZ29" s="870"/>
      <c r="BA29" s="870"/>
      <c r="BB29" s="870"/>
      <c r="BC29" s="871"/>
      <c r="BD29" s="871"/>
      <c r="BE29" s="871"/>
      <c r="BF29" s="871"/>
      <c r="BG29" s="871"/>
      <c r="BH29" s="871"/>
      <c r="BI29" s="871"/>
      <c r="BJ29" s="871"/>
      <c r="BK29" s="871"/>
      <c r="BL29" s="871"/>
      <c r="BM29" s="871"/>
      <c r="BN29" s="871"/>
      <c r="BO29" s="871"/>
      <c r="BP29" s="871"/>
      <c r="BQ29" s="871"/>
    </row>
    <row r="30" spans="1:70" ht="33">
      <c r="A30" s="451"/>
      <c r="B30" s="34"/>
      <c r="C30" s="577" t="s">
        <v>25</v>
      </c>
      <c r="D30" s="577" t="s">
        <v>25</v>
      </c>
      <c r="E30" s="577" t="s">
        <v>25</v>
      </c>
      <c r="F30" s="577" t="s">
        <v>25</v>
      </c>
      <c r="G30" s="577" t="s">
        <v>25</v>
      </c>
      <c r="H30" s="577">
        <v>23</v>
      </c>
      <c r="I30" s="560" t="s">
        <v>272</v>
      </c>
      <c r="J30" s="45" t="s">
        <v>2469</v>
      </c>
      <c r="K30" s="506">
        <v>3</v>
      </c>
      <c r="L30" s="558">
        <v>80272500</v>
      </c>
      <c r="M30" s="115">
        <v>0</v>
      </c>
      <c r="N30" s="36">
        <v>0</v>
      </c>
      <c r="O30" s="559" t="s">
        <v>41</v>
      </c>
      <c r="P30" s="557">
        <v>43450000</v>
      </c>
      <c r="Q30" s="115">
        <v>0</v>
      </c>
      <c r="R30" s="558">
        <v>0</v>
      </c>
      <c r="S30" s="451">
        <v>2</v>
      </c>
      <c r="T30" s="205">
        <v>3040000</v>
      </c>
      <c r="U30" s="34"/>
      <c r="V30" s="232"/>
      <c r="W30" s="34"/>
      <c r="X30" s="34"/>
      <c r="Y30" s="872">
        <f t="shared" si="4"/>
        <v>2</v>
      </c>
      <c r="Z30" s="873">
        <f t="shared" si="0"/>
        <v>3040000</v>
      </c>
      <c r="AA30" s="115">
        <f t="shared" si="5"/>
        <v>2</v>
      </c>
      <c r="AB30" s="873">
        <f t="shared" si="6"/>
        <v>3040000</v>
      </c>
      <c r="AC30" s="874">
        <f t="shared" si="7"/>
        <v>66.666666666666657</v>
      </c>
      <c r="AD30" s="874">
        <f t="shared" si="8"/>
        <v>3.7871001899778878</v>
      </c>
      <c r="AE30" s="451"/>
      <c r="AF30" s="870"/>
      <c r="AG30" s="870"/>
      <c r="AH30" s="870"/>
      <c r="AI30" s="870"/>
      <c r="AJ30" s="870"/>
      <c r="AK30" s="870"/>
      <c r="AL30" s="870"/>
      <c r="AM30" s="870"/>
      <c r="AN30" s="870"/>
      <c r="AO30" s="870"/>
      <c r="AP30" s="870"/>
      <c r="AQ30" s="870"/>
      <c r="AR30" s="870"/>
      <c r="AS30" s="870"/>
      <c r="AT30" s="870"/>
      <c r="AU30" s="870"/>
      <c r="AV30" s="870"/>
      <c r="AW30" s="870"/>
      <c r="AX30" s="870"/>
      <c r="AY30" s="870"/>
      <c r="AZ30" s="870"/>
      <c r="BA30" s="870"/>
      <c r="BB30" s="870"/>
      <c r="BC30" s="871"/>
      <c r="BD30" s="871"/>
      <c r="BE30" s="871"/>
      <c r="BF30" s="871"/>
      <c r="BG30" s="871"/>
      <c r="BH30" s="871"/>
      <c r="BI30" s="871"/>
      <c r="BJ30" s="871"/>
      <c r="BK30" s="871"/>
      <c r="BL30" s="871"/>
      <c r="BM30" s="871"/>
      <c r="BN30" s="871"/>
      <c r="BO30" s="871"/>
      <c r="BP30" s="871"/>
      <c r="BQ30" s="871"/>
    </row>
    <row r="31" spans="1:70" s="1315" customFormat="1" ht="82.5">
      <c r="A31" s="2554">
        <v>2</v>
      </c>
      <c r="B31" s="44"/>
      <c r="C31" s="753" t="s">
        <v>25</v>
      </c>
      <c r="D31" s="753" t="s">
        <v>25</v>
      </c>
      <c r="E31" s="753" t="s">
        <v>25</v>
      </c>
      <c r="F31" s="753" t="s">
        <v>25</v>
      </c>
      <c r="G31" s="753" t="s">
        <v>28</v>
      </c>
      <c r="H31" s="753"/>
      <c r="I31" s="562" t="s">
        <v>36</v>
      </c>
      <c r="J31" s="44" t="s">
        <v>2470</v>
      </c>
      <c r="K31" s="146">
        <v>72</v>
      </c>
      <c r="L31" s="879">
        <f t="shared" ref="L31" si="13">SUM(L32:L34)</f>
        <v>1740960000</v>
      </c>
      <c r="M31" s="146">
        <v>36</v>
      </c>
      <c r="N31" s="879">
        <f>SUM(N32:N34)</f>
        <v>612084660</v>
      </c>
      <c r="O31" s="146">
        <v>12</v>
      </c>
      <c r="P31" s="879">
        <f>SUM(P32:P34)</f>
        <v>290160000</v>
      </c>
      <c r="Q31" s="880">
        <v>3</v>
      </c>
      <c r="R31" s="222">
        <f>SUM(R32:R34)</f>
        <v>43994281</v>
      </c>
      <c r="S31" s="286"/>
      <c r="T31" s="231">
        <f>SUM(T32:T34)</f>
        <v>111326932</v>
      </c>
      <c r="U31" s="231"/>
      <c r="V31" s="231"/>
      <c r="W31" s="44"/>
      <c r="X31" s="44"/>
      <c r="Y31" s="146">
        <v>0</v>
      </c>
      <c r="Z31" s="867">
        <f t="shared" si="0"/>
        <v>155321213</v>
      </c>
      <c r="AA31" s="146">
        <f t="shared" si="5"/>
        <v>36</v>
      </c>
      <c r="AB31" s="867">
        <f t="shared" si="6"/>
        <v>767405873</v>
      </c>
      <c r="AC31" s="868">
        <f t="shared" si="7"/>
        <v>50</v>
      </c>
      <c r="AD31" s="868">
        <f t="shared" si="8"/>
        <v>44.079466099163675</v>
      </c>
      <c r="AE31" s="2554" t="s">
        <v>27</v>
      </c>
      <c r="AF31" s="870"/>
      <c r="AG31" s="870"/>
      <c r="AH31" s="870"/>
      <c r="AI31" s="870"/>
      <c r="AJ31" s="870"/>
      <c r="AK31" s="870"/>
      <c r="AL31" s="870"/>
      <c r="AM31" s="870"/>
      <c r="AN31" s="870"/>
      <c r="AO31" s="870"/>
      <c r="AP31" s="870"/>
      <c r="AQ31" s="870"/>
      <c r="AR31" s="870"/>
      <c r="AS31" s="870"/>
      <c r="AT31" s="870"/>
      <c r="AU31" s="870"/>
      <c r="AV31" s="870"/>
      <c r="AW31" s="870"/>
      <c r="AX31" s="870"/>
      <c r="AY31" s="870"/>
      <c r="AZ31" s="870"/>
      <c r="BA31" s="870"/>
      <c r="BB31" s="870"/>
      <c r="BC31" s="871"/>
      <c r="BD31" s="871"/>
      <c r="BE31" s="871"/>
      <c r="BF31" s="871"/>
      <c r="BG31" s="871"/>
      <c r="BH31" s="871"/>
      <c r="BI31" s="871"/>
      <c r="BJ31" s="871"/>
      <c r="BK31" s="871"/>
      <c r="BL31" s="871"/>
      <c r="BM31" s="871"/>
      <c r="BN31" s="871"/>
      <c r="BO31" s="871"/>
      <c r="BP31" s="871"/>
      <c r="BQ31" s="871"/>
      <c r="BR31" s="1346"/>
    </row>
    <row r="32" spans="1:70" ht="99">
      <c r="A32" s="451"/>
      <c r="B32" s="34"/>
      <c r="C32" s="577" t="s">
        <v>25</v>
      </c>
      <c r="D32" s="577" t="s">
        <v>25</v>
      </c>
      <c r="E32" s="577" t="s">
        <v>25</v>
      </c>
      <c r="F32" s="577" t="s">
        <v>25</v>
      </c>
      <c r="G32" s="577" t="s">
        <v>28</v>
      </c>
      <c r="H32" s="577">
        <v>22</v>
      </c>
      <c r="I32" s="166" t="s">
        <v>273</v>
      </c>
      <c r="J32" s="34" t="s">
        <v>2471</v>
      </c>
      <c r="K32" s="506">
        <v>72</v>
      </c>
      <c r="L32" s="558">
        <f t="shared" ref="L32:L34" si="14">P32*6</f>
        <v>150000000</v>
      </c>
      <c r="M32" s="506">
        <v>36</v>
      </c>
      <c r="N32" s="36">
        <v>134988200</v>
      </c>
      <c r="O32" s="506">
        <v>12</v>
      </c>
      <c r="P32" s="881">
        <v>25000000</v>
      </c>
      <c r="Q32" s="882">
        <v>3</v>
      </c>
      <c r="R32" s="558">
        <v>12690000</v>
      </c>
      <c r="S32" s="451">
        <v>3</v>
      </c>
      <c r="T32" s="205">
        <v>24531000</v>
      </c>
      <c r="U32" s="34"/>
      <c r="V32" s="232"/>
      <c r="W32" s="34"/>
      <c r="X32" s="209"/>
      <c r="Y32" s="115">
        <v>0</v>
      </c>
      <c r="Z32" s="873">
        <f t="shared" si="0"/>
        <v>37221000</v>
      </c>
      <c r="AA32" s="115">
        <f t="shared" si="5"/>
        <v>36</v>
      </c>
      <c r="AB32" s="873">
        <f t="shared" si="6"/>
        <v>172209200</v>
      </c>
      <c r="AC32" s="874">
        <f t="shared" si="7"/>
        <v>50</v>
      </c>
      <c r="AD32" s="874">
        <f t="shared" si="8"/>
        <v>114.80613333333334</v>
      </c>
      <c r="AE32" s="451"/>
      <c r="AF32" s="870"/>
      <c r="AG32" s="870"/>
      <c r="AH32" s="870"/>
      <c r="AI32" s="870"/>
      <c r="AJ32" s="870"/>
      <c r="AK32" s="870"/>
      <c r="AL32" s="870"/>
      <c r="AM32" s="870"/>
      <c r="AN32" s="870"/>
      <c r="AO32" s="870"/>
      <c r="AP32" s="870"/>
      <c r="AQ32" s="870"/>
      <c r="AR32" s="870"/>
      <c r="AS32" s="870"/>
      <c r="AT32" s="870"/>
      <c r="AU32" s="870"/>
      <c r="AV32" s="870"/>
      <c r="AW32" s="870"/>
      <c r="AX32" s="870"/>
      <c r="AY32" s="870"/>
      <c r="AZ32" s="870"/>
      <c r="BA32" s="870"/>
      <c r="BB32" s="870"/>
      <c r="BC32" s="871"/>
      <c r="BD32" s="871"/>
      <c r="BE32" s="871"/>
      <c r="BF32" s="871"/>
      <c r="BG32" s="871"/>
      <c r="BH32" s="871"/>
      <c r="BI32" s="871"/>
      <c r="BJ32" s="871"/>
      <c r="BK32" s="871"/>
      <c r="BL32" s="871"/>
      <c r="BM32" s="871"/>
      <c r="BN32" s="871"/>
      <c r="BO32" s="871"/>
      <c r="BP32" s="871"/>
      <c r="BQ32" s="871"/>
    </row>
    <row r="33" spans="1:69" ht="66">
      <c r="A33" s="451"/>
      <c r="B33" s="34"/>
      <c r="C33" s="577" t="s">
        <v>25</v>
      </c>
      <c r="D33" s="577" t="s">
        <v>25</v>
      </c>
      <c r="E33" s="577" t="s">
        <v>25</v>
      </c>
      <c r="F33" s="577" t="s">
        <v>25</v>
      </c>
      <c r="G33" s="577" t="s">
        <v>28</v>
      </c>
      <c r="H33" s="577">
        <v>24</v>
      </c>
      <c r="I33" s="554" t="s">
        <v>274</v>
      </c>
      <c r="J33" s="34" t="s">
        <v>2472</v>
      </c>
      <c r="K33" s="506">
        <v>72</v>
      </c>
      <c r="L33" s="558">
        <f t="shared" si="14"/>
        <v>1050960000</v>
      </c>
      <c r="M33" s="506">
        <v>36</v>
      </c>
      <c r="N33" s="36">
        <v>351131460</v>
      </c>
      <c r="O33" s="506">
        <v>12</v>
      </c>
      <c r="P33" s="556">
        <v>175160000</v>
      </c>
      <c r="Q33" s="875">
        <v>3</v>
      </c>
      <c r="R33" s="558">
        <v>26954281</v>
      </c>
      <c r="S33" s="451">
        <v>3</v>
      </c>
      <c r="T33" s="205">
        <v>75745932</v>
      </c>
      <c r="U33" s="34"/>
      <c r="V33" s="232"/>
      <c r="W33" s="34"/>
      <c r="X33" s="209"/>
      <c r="Y33" s="115">
        <v>1</v>
      </c>
      <c r="Z33" s="873">
        <f t="shared" si="0"/>
        <v>102700213</v>
      </c>
      <c r="AA33" s="115">
        <f t="shared" si="5"/>
        <v>37</v>
      </c>
      <c r="AB33" s="873">
        <f t="shared" si="6"/>
        <v>453831673</v>
      </c>
      <c r="AC33" s="874">
        <f t="shared" si="7"/>
        <v>51.388888888888886</v>
      </c>
      <c r="AD33" s="874">
        <f t="shared" si="8"/>
        <v>43.182582876608052</v>
      </c>
      <c r="AE33" s="451"/>
      <c r="AF33" s="870"/>
      <c r="AG33" s="870"/>
      <c r="AH33" s="870"/>
      <c r="AI33" s="870"/>
      <c r="AJ33" s="870"/>
      <c r="AK33" s="870"/>
      <c r="AL33" s="870"/>
      <c r="AM33" s="870"/>
      <c r="AN33" s="870"/>
      <c r="AO33" s="870"/>
      <c r="AP33" s="870"/>
      <c r="AQ33" s="870"/>
      <c r="AR33" s="870"/>
      <c r="AS33" s="870"/>
      <c r="AT33" s="870"/>
      <c r="AU33" s="870"/>
      <c r="AV33" s="870"/>
      <c r="AW33" s="870"/>
      <c r="AX33" s="870"/>
      <c r="AY33" s="870"/>
      <c r="AZ33" s="870"/>
      <c r="BA33" s="870"/>
      <c r="BB33" s="870"/>
      <c r="BC33" s="871"/>
      <c r="BD33" s="871"/>
      <c r="BE33" s="871"/>
      <c r="BF33" s="871"/>
      <c r="BG33" s="871"/>
      <c r="BH33" s="871"/>
      <c r="BI33" s="871"/>
      <c r="BJ33" s="871"/>
      <c r="BK33" s="871"/>
      <c r="BL33" s="871"/>
      <c r="BM33" s="871"/>
      <c r="BN33" s="871"/>
      <c r="BO33" s="871"/>
      <c r="BP33" s="871"/>
      <c r="BQ33" s="871"/>
    </row>
    <row r="34" spans="1:69" ht="49.5">
      <c r="A34" s="451"/>
      <c r="B34" s="34"/>
      <c r="C34" s="577" t="s">
        <v>25</v>
      </c>
      <c r="D34" s="577" t="s">
        <v>25</v>
      </c>
      <c r="E34" s="577" t="s">
        <v>25</v>
      </c>
      <c r="F34" s="577" t="s">
        <v>25</v>
      </c>
      <c r="G34" s="577" t="s">
        <v>28</v>
      </c>
      <c r="H34" s="577">
        <v>50</v>
      </c>
      <c r="I34" s="554" t="s">
        <v>275</v>
      </c>
      <c r="J34" s="34" t="s">
        <v>242</v>
      </c>
      <c r="K34" s="506">
        <v>72</v>
      </c>
      <c r="L34" s="558">
        <f t="shared" si="14"/>
        <v>540000000</v>
      </c>
      <c r="M34" s="506">
        <v>36</v>
      </c>
      <c r="N34" s="36">
        <v>125965000</v>
      </c>
      <c r="O34" s="883">
        <v>12</v>
      </c>
      <c r="P34" s="556">
        <v>90000000</v>
      </c>
      <c r="Q34" s="884">
        <v>3</v>
      </c>
      <c r="R34" s="558">
        <v>4350000</v>
      </c>
      <c r="S34" s="451">
        <v>10</v>
      </c>
      <c r="T34" s="205">
        <v>11050000</v>
      </c>
      <c r="U34" s="34"/>
      <c r="V34" s="232"/>
      <c r="W34" s="34"/>
      <c r="X34" s="209"/>
      <c r="Y34" s="872">
        <f t="shared" ref="Y34:Y65" si="15">Q34+S34+U34+W34</f>
        <v>13</v>
      </c>
      <c r="Z34" s="873">
        <f t="shared" si="0"/>
        <v>15400000</v>
      </c>
      <c r="AA34" s="115">
        <f t="shared" si="5"/>
        <v>49</v>
      </c>
      <c r="AB34" s="873">
        <f t="shared" si="6"/>
        <v>141365000</v>
      </c>
      <c r="AC34" s="874">
        <f t="shared" si="7"/>
        <v>68.055555555555557</v>
      </c>
      <c r="AD34" s="874">
        <f t="shared" si="8"/>
        <v>26.178703703703704</v>
      </c>
      <c r="AE34" s="451"/>
      <c r="AF34" s="870"/>
      <c r="AG34" s="870"/>
      <c r="AH34" s="870"/>
      <c r="AI34" s="870"/>
      <c r="AJ34" s="870"/>
      <c r="AK34" s="870"/>
      <c r="AL34" s="870"/>
      <c r="AM34" s="870"/>
      <c r="AN34" s="870"/>
      <c r="AO34" s="870"/>
      <c r="AP34" s="870"/>
      <c r="AQ34" s="870"/>
      <c r="AR34" s="870"/>
      <c r="AS34" s="870"/>
      <c r="AT34" s="870"/>
      <c r="AU34" s="870"/>
      <c r="AV34" s="870"/>
      <c r="AW34" s="870"/>
      <c r="AX34" s="870"/>
      <c r="AY34" s="870"/>
      <c r="AZ34" s="870"/>
      <c r="BA34" s="870"/>
      <c r="BB34" s="870"/>
      <c r="BC34" s="871"/>
      <c r="BD34" s="871"/>
      <c r="BE34" s="871"/>
      <c r="BF34" s="871"/>
      <c r="BG34" s="871"/>
      <c r="BH34" s="871"/>
      <c r="BI34" s="871"/>
      <c r="BJ34" s="871"/>
      <c r="BK34" s="871"/>
      <c r="BL34" s="871"/>
      <c r="BM34" s="871"/>
      <c r="BN34" s="871"/>
      <c r="BO34" s="871"/>
      <c r="BP34" s="871"/>
      <c r="BQ34" s="871"/>
    </row>
    <row r="35" spans="1:69" ht="49.5">
      <c r="A35" s="1322">
        <v>3</v>
      </c>
      <c r="B35" s="1322"/>
      <c r="C35" s="1323" t="s">
        <v>41</v>
      </c>
      <c r="D35" s="1323" t="s">
        <v>25</v>
      </c>
      <c r="E35" s="1323" t="s">
        <v>25</v>
      </c>
      <c r="F35" s="1323" t="s">
        <v>25</v>
      </c>
      <c r="G35" s="1323" t="s">
        <v>42</v>
      </c>
      <c r="H35" s="1324"/>
      <c r="I35" s="2781" t="s">
        <v>276</v>
      </c>
      <c r="J35" s="44" t="s">
        <v>277</v>
      </c>
      <c r="K35" s="584">
        <f>115-114.22</f>
        <v>0.78000000000000114</v>
      </c>
      <c r="L35" s="775">
        <f>SUM(L39:L72)</f>
        <v>576191755800</v>
      </c>
      <c r="M35" s="885">
        <v>0.13</v>
      </c>
      <c r="N35" s="578">
        <f>SUM(N39:N72)</f>
        <v>240275469741</v>
      </c>
      <c r="O35" s="885">
        <v>0.13</v>
      </c>
      <c r="P35" s="578">
        <f>SUM(P39:P72)</f>
        <v>103736028850</v>
      </c>
      <c r="Q35" s="868">
        <f>O35/4</f>
        <v>3.2500000000000001E-2</v>
      </c>
      <c r="R35" s="281">
        <f>SUM(R39:R72)</f>
        <v>680357914</v>
      </c>
      <c r="S35" s="286"/>
      <c r="T35" s="282">
        <f>SUM(T39:T72)</f>
        <v>8457556769</v>
      </c>
      <c r="U35" s="282"/>
      <c r="V35" s="282"/>
      <c r="W35" s="286"/>
      <c r="X35" s="281"/>
      <c r="Y35" s="868">
        <f t="shared" si="15"/>
        <v>3.2500000000000001E-2</v>
      </c>
      <c r="Z35" s="833">
        <f t="shared" si="0"/>
        <v>9137914683</v>
      </c>
      <c r="AA35" s="868">
        <f t="shared" si="5"/>
        <v>0.16250000000000001</v>
      </c>
      <c r="AB35" s="833">
        <f t="shared" si="6"/>
        <v>249413384424</v>
      </c>
      <c r="AC35" s="868">
        <f t="shared" si="7"/>
        <v>20.833333333333304</v>
      </c>
      <c r="AD35" s="868">
        <f t="shared" si="8"/>
        <v>43.286524306080679</v>
      </c>
      <c r="AE35" s="2554" t="s">
        <v>27</v>
      </c>
      <c r="AF35" s="870"/>
      <c r="AG35" s="870"/>
      <c r="AH35" s="870"/>
      <c r="AI35" s="870"/>
      <c r="AJ35" s="870"/>
      <c r="AK35" s="870"/>
      <c r="AL35" s="870"/>
      <c r="AM35" s="870"/>
      <c r="AN35" s="870"/>
      <c r="AO35" s="870"/>
      <c r="AP35" s="870"/>
      <c r="AQ35" s="870"/>
      <c r="AR35" s="870"/>
      <c r="AS35" s="870"/>
      <c r="AT35" s="870"/>
      <c r="AU35" s="870"/>
      <c r="AV35" s="870"/>
      <c r="AW35" s="870"/>
      <c r="AX35" s="870"/>
      <c r="AY35" s="870"/>
      <c r="AZ35" s="870"/>
      <c r="BA35" s="870"/>
      <c r="BB35" s="870"/>
      <c r="BC35" s="871"/>
      <c r="BD35" s="871"/>
      <c r="BE35" s="871"/>
      <c r="BF35" s="871"/>
      <c r="BG35" s="871"/>
      <c r="BH35" s="871"/>
      <c r="BI35" s="871"/>
      <c r="BJ35" s="871"/>
      <c r="BK35" s="871"/>
      <c r="BL35" s="871"/>
      <c r="BM35" s="871"/>
      <c r="BN35" s="871"/>
      <c r="BO35" s="871"/>
      <c r="BP35" s="871"/>
      <c r="BQ35" s="871"/>
    </row>
    <row r="36" spans="1:69" ht="49.5">
      <c r="A36" s="1325"/>
      <c r="B36" s="1325"/>
      <c r="C36" s="1326"/>
      <c r="D36" s="1326"/>
      <c r="E36" s="1326"/>
      <c r="F36" s="1326"/>
      <c r="G36" s="1326"/>
      <c r="H36" s="1327"/>
      <c r="I36" s="2782"/>
      <c r="J36" s="44" t="s">
        <v>278</v>
      </c>
      <c r="K36" s="584">
        <f>99.9-99.12</f>
        <v>0.78000000000000114</v>
      </c>
      <c r="L36" s="775"/>
      <c r="M36" s="885">
        <v>0.13</v>
      </c>
      <c r="N36" s="578"/>
      <c r="O36" s="885">
        <v>0.13</v>
      </c>
      <c r="P36" s="578"/>
      <c r="Q36" s="868">
        <f>O36/4</f>
        <v>3.2500000000000001E-2</v>
      </c>
      <c r="R36" s="281"/>
      <c r="S36" s="563"/>
      <c r="T36" s="564"/>
      <c r="U36" s="286"/>
      <c r="V36" s="222"/>
      <c r="W36" s="286"/>
      <c r="X36" s="281"/>
      <c r="Y36" s="868">
        <f t="shared" si="15"/>
        <v>3.2500000000000001E-2</v>
      </c>
      <c r="Z36" s="833"/>
      <c r="AA36" s="880">
        <f t="shared" ref="AA36:AA67" si="16">M36+Y36</f>
        <v>0.16250000000000001</v>
      </c>
      <c r="AB36" s="833"/>
      <c r="AC36" s="868">
        <f t="shared" ref="AC36:AC79" si="17">(AA36/K36)*100</f>
        <v>20.833333333333304</v>
      </c>
      <c r="AD36" s="868"/>
      <c r="AE36" s="2554"/>
      <c r="AF36" s="870"/>
      <c r="AG36" s="870"/>
      <c r="AH36" s="870"/>
      <c r="AI36" s="870"/>
      <c r="AJ36" s="870"/>
      <c r="AK36" s="870"/>
      <c r="AL36" s="870"/>
      <c r="AM36" s="870"/>
      <c r="AN36" s="870"/>
      <c r="AO36" s="870"/>
      <c r="AP36" s="870"/>
      <c r="AQ36" s="870"/>
      <c r="AR36" s="870"/>
      <c r="AS36" s="870"/>
      <c r="AT36" s="870"/>
      <c r="AU36" s="870"/>
      <c r="AV36" s="870"/>
      <c r="AW36" s="870"/>
      <c r="AX36" s="870"/>
      <c r="AY36" s="870"/>
      <c r="AZ36" s="870"/>
      <c r="BA36" s="870"/>
      <c r="BB36" s="870"/>
      <c r="BC36" s="871"/>
      <c r="BD36" s="871"/>
      <c r="BE36" s="871"/>
      <c r="BF36" s="871"/>
      <c r="BG36" s="871"/>
      <c r="BH36" s="871"/>
      <c r="BI36" s="871"/>
      <c r="BJ36" s="871"/>
      <c r="BK36" s="871"/>
      <c r="BL36" s="871"/>
      <c r="BM36" s="871"/>
      <c r="BN36" s="871"/>
      <c r="BO36" s="871"/>
      <c r="BP36" s="871"/>
      <c r="BQ36" s="871"/>
    </row>
    <row r="37" spans="1:69" ht="49.5">
      <c r="A37" s="1325"/>
      <c r="B37" s="1325"/>
      <c r="C37" s="1326"/>
      <c r="D37" s="1326"/>
      <c r="E37" s="1326"/>
      <c r="F37" s="1326"/>
      <c r="G37" s="1326"/>
      <c r="H37" s="1327"/>
      <c r="I37" s="2782"/>
      <c r="J37" s="44" t="s">
        <v>279</v>
      </c>
      <c r="K37" s="584">
        <f>105.77-101.61</f>
        <v>4.1599999999999966</v>
      </c>
      <c r="L37" s="775"/>
      <c r="M37" s="886">
        <v>0.7</v>
      </c>
      <c r="N37" s="578"/>
      <c r="O37" s="886">
        <v>0.7</v>
      </c>
      <c r="P37" s="578"/>
      <c r="Q37" s="868">
        <f t="shared" ref="Q37:Q38" si="18">O37/4</f>
        <v>0.17499999999999999</v>
      </c>
      <c r="R37" s="281"/>
      <c r="S37" s="563"/>
      <c r="T37" s="564"/>
      <c r="U37" s="286"/>
      <c r="V37" s="222"/>
      <c r="W37" s="286"/>
      <c r="X37" s="281"/>
      <c r="Y37" s="868">
        <f t="shared" si="15"/>
        <v>0.17499999999999999</v>
      </c>
      <c r="Z37" s="833"/>
      <c r="AA37" s="880">
        <f t="shared" si="16"/>
        <v>0.875</v>
      </c>
      <c r="AB37" s="833"/>
      <c r="AC37" s="868">
        <f t="shared" si="17"/>
        <v>21.033653846153864</v>
      </c>
      <c r="AD37" s="868"/>
      <c r="AE37" s="2554"/>
      <c r="AF37" s="870"/>
      <c r="AG37" s="870"/>
      <c r="AH37" s="870"/>
      <c r="AI37" s="870"/>
      <c r="AJ37" s="870"/>
      <c r="AK37" s="870"/>
      <c r="AL37" s="870"/>
      <c r="AM37" s="870"/>
      <c r="AN37" s="870"/>
      <c r="AO37" s="870"/>
      <c r="AP37" s="870"/>
      <c r="AQ37" s="870"/>
      <c r="AR37" s="870"/>
      <c r="AS37" s="870"/>
      <c r="AT37" s="870"/>
      <c r="AU37" s="870"/>
      <c r="AV37" s="870"/>
      <c r="AW37" s="870"/>
      <c r="AX37" s="870"/>
      <c r="AY37" s="870"/>
      <c r="AZ37" s="870"/>
      <c r="BA37" s="870"/>
      <c r="BB37" s="870"/>
      <c r="BC37" s="871"/>
      <c r="BD37" s="871"/>
      <c r="BE37" s="871"/>
      <c r="BF37" s="871"/>
      <c r="BG37" s="871"/>
      <c r="BH37" s="871"/>
      <c r="BI37" s="871"/>
      <c r="BJ37" s="871"/>
      <c r="BK37" s="871"/>
      <c r="BL37" s="871"/>
      <c r="BM37" s="871"/>
      <c r="BN37" s="871"/>
      <c r="BO37" s="871"/>
      <c r="BP37" s="871"/>
      <c r="BQ37" s="871"/>
    </row>
    <row r="38" spans="1:69" ht="49.5">
      <c r="A38" s="1171"/>
      <c r="B38" s="1171"/>
      <c r="C38" s="1328"/>
      <c r="D38" s="1328"/>
      <c r="E38" s="1328"/>
      <c r="F38" s="1328"/>
      <c r="G38" s="1328"/>
      <c r="H38" s="1121"/>
      <c r="I38" s="518"/>
      <c r="J38" s="44" t="s">
        <v>280</v>
      </c>
      <c r="K38" s="584">
        <f>90.72-89.9</f>
        <v>0.81999999999999318</v>
      </c>
      <c r="L38" s="775"/>
      <c r="M38" s="886">
        <v>0.1</v>
      </c>
      <c r="N38" s="578"/>
      <c r="O38" s="886">
        <v>0.1</v>
      </c>
      <c r="P38" s="578"/>
      <c r="Q38" s="868">
        <f t="shared" si="18"/>
        <v>2.5000000000000001E-2</v>
      </c>
      <c r="R38" s="281"/>
      <c r="S38" s="563"/>
      <c r="T38" s="564"/>
      <c r="U38" s="286"/>
      <c r="V38" s="222"/>
      <c r="W38" s="286"/>
      <c r="X38" s="281"/>
      <c r="Y38" s="868">
        <f t="shared" si="15"/>
        <v>2.5000000000000001E-2</v>
      </c>
      <c r="Z38" s="833"/>
      <c r="AA38" s="880">
        <f t="shared" si="16"/>
        <v>0.125</v>
      </c>
      <c r="AB38" s="833"/>
      <c r="AC38" s="868">
        <f t="shared" si="17"/>
        <v>15.243902439024518</v>
      </c>
      <c r="AD38" s="868"/>
      <c r="AE38" s="2554"/>
      <c r="AF38" s="870"/>
      <c r="AG38" s="870"/>
      <c r="AH38" s="870"/>
      <c r="AI38" s="870"/>
      <c r="AJ38" s="870"/>
      <c r="AK38" s="870"/>
      <c r="AL38" s="870"/>
      <c r="AM38" s="870"/>
      <c r="AN38" s="870"/>
      <c r="AO38" s="870"/>
      <c r="AP38" s="870"/>
      <c r="AQ38" s="870"/>
      <c r="AR38" s="870"/>
      <c r="AS38" s="870"/>
      <c r="AT38" s="870"/>
      <c r="AU38" s="870"/>
      <c r="AV38" s="870"/>
      <c r="AW38" s="870"/>
      <c r="AX38" s="870"/>
      <c r="AY38" s="870"/>
      <c r="AZ38" s="870"/>
      <c r="BA38" s="870"/>
      <c r="BB38" s="870"/>
      <c r="BC38" s="871"/>
      <c r="BD38" s="871"/>
      <c r="BE38" s="871"/>
      <c r="BF38" s="871"/>
      <c r="BG38" s="871"/>
      <c r="BH38" s="871"/>
      <c r="BI38" s="871"/>
      <c r="BJ38" s="871"/>
      <c r="BK38" s="871"/>
      <c r="BL38" s="871"/>
      <c r="BM38" s="871"/>
      <c r="BN38" s="871"/>
      <c r="BO38" s="871"/>
      <c r="BP38" s="871"/>
      <c r="BQ38" s="871"/>
    </row>
    <row r="39" spans="1:69" ht="73.5" customHeight="1">
      <c r="A39" s="451"/>
      <c r="B39" s="34"/>
      <c r="C39" s="887" t="s">
        <v>41</v>
      </c>
      <c r="D39" s="887" t="s">
        <v>25</v>
      </c>
      <c r="E39" s="887" t="s">
        <v>25</v>
      </c>
      <c r="F39" s="887" t="s">
        <v>25</v>
      </c>
      <c r="G39" s="887" t="s">
        <v>42</v>
      </c>
      <c r="H39" s="887" t="s">
        <v>43</v>
      </c>
      <c r="I39" s="211" t="s">
        <v>281</v>
      </c>
      <c r="J39" s="34" t="s">
        <v>282</v>
      </c>
      <c r="K39" s="115">
        <v>5</v>
      </c>
      <c r="L39" s="558">
        <v>1000000000</v>
      </c>
      <c r="M39" s="115">
        <v>1</v>
      </c>
      <c r="N39" s="567">
        <v>74289000</v>
      </c>
      <c r="O39" s="573">
        <v>2</v>
      </c>
      <c r="P39" s="567">
        <v>260000000</v>
      </c>
      <c r="Q39" s="599">
        <v>0</v>
      </c>
      <c r="R39" s="558">
        <v>1415250</v>
      </c>
      <c r="S39" s="451"/>
      <c r="T39" s="581"/>
      <c r="U39" s="451"/>
      <c r="V39" s="203"/>
      <c r="W39" s="451"/>
      <c r="X39" s="567"/>
      <c r="Y39" s="872">
        <f t="shared" si="15"/>
        <v>0</v>
      </c>
      <c r="Z39" s="888">
        <f t="shared" ref="Z39:Z70" si="19">R39+T39+V39+X39</f>
        <v>1415250</v>
      </c>
      <c r="AA39" s="115">
        <f t="shared" si="16"/>
        <v>1</v>
      </c>
      <c r="AB39" s="888">
        <f t="shared" ref="AB39:AB72" si="20">N39+Z39</f>
        <v>75704250</v>
      </c>
      <c r="AC39" s="874">
        <f t="shared" si="17"/>
        <v>20</v>
      </c>
      <c r="AD39" s="874">
        <f t="shared" ref="AD39:AD70" si="21">(AB39/L39)*100</f>
        <v>7.5704250000000002</v>
      </c>
      <c r="AE39" s="451"/>
      <c r="AF39" s="870"/>
      <c r="AG39" s="870"/>
      <c r="AH39" s="870"/>
      <c r="AI39" s="870"/>
      <c r="AJ39" s="870"/>
      <c r="AK39" s="870"/>
      <c r="AL39" s="870"/>
      <c r="AM39" s="870"/>
      <c r="AN39" s="870"/>
      <c r="AO39" s="870"/>
      <c r="AP39" s="870"/>
      <c r="AQ39" s="870"/>
      <c r="AR39" s="870"/>
      <c r="AS39" s="870"/>
      <c r="AT39" s="870"/>
      <c r="AU39" s="870"/>
      <c r="AV39" s="870"/>
      <c r="AW39" s="870"/>
      <c r="AX39" s="870"/>
      <c r="AY39" s="870"/>
      <c r="AZ39" s="870"/>
      <c r="BA39" s="870"/>
      <c r="BB39" s="870"/>
      <c r="BC39" s="871"/>
      <c r="BD39" s="871"/>
      <c r="BE39" s="871"/>
      <c r="BF39" s="871"/>
      <c r="BG39" s="871"/>
      <c r="BH39" s="871"/>
      <c r="BI39" s="871"/>
      <c r="BJ39" s="871"/>
      <c r="BK39" s="871"/>
      <c r="BL39" s="871"/>
      <c r="BM39" s="871"/>
      <c r="BN39" s="871"/>
      <c r="BO39" s="871"/>
      <c r="BP39" s="871"/>
      <c r="BQ39" s="871"/>
    </row>
    <row r="40" spans="1:69" ht="66">
      <c r="A40" s="451"/>
      <c r="B40" s="34"/>
      <c r="C40" s="889" t="s">
        <v>41</v>
      </c>
      <c r="D40" s="887" t="s">
        <v>25</v>
      </c>
      <c r="E40" s="887" t="s">
        <v>25</v>
      </c>
      <c r="F40" s="887" t="s">
        <v>25</v>
      </c>
      <c r="G40" s="887" t="s">
        <v>42</v>
      </c>
      <c r="H40" s="889" t="s">
        <v>283</v>
      </c>
      <c r="I40" s="565" t="s">
        <v>284</v>
      </c>
      <c r="J40" s="566" t="s">
        <v>285</v>
      </c>
      <c r="K40" s="115">
        <v>5</v>
      </c>
      <c r="L40" s="558">
        <v>500000000</v>
      </c>
      <c r="M40" s="115">
        <v>0</v>
      </c>
      <c r="N40" s="558">
        <v>0</v>
      </c>
      <c r="O40" s="574">
        <v>2</v>
      </c>
      <c r="P40" s="890">
        <v>300000000</v>
      </c>
      <c r="Q40" s="599">
        <v>0</v>
      </c>
      <c r="R40" s="558">
        <v>0</v>
      </c>
      <c r="S40" s="451">
        <v>0</v>
      </c>
      <c r="T40" s="581">
        <v>8102650</v>
      </c>
      <c r="U40" s="451"/>
      <c r="V40" s="203"/>
      <c r="W40" s="451"/>
      <c r="X40" s="567"/>
      <c r="Y40" s="872">
        <f t="shared" si="15"/>
        <v>0</v>
      </c>
      <c r="Z40" s="888">
        <f t="shared" si="19"/>
        <v>8102650</v>
      </c>
      <c r="AA40" s="115">
        <f t="shared" si="16"/>
        <v>0</v>
      </c>
      <c r="AB40" s="888">
        <f t="shared" si="20"/>
        <v>8102650</v>
      </c>
      <c r="AC40" s="874">
        <f t="shared" si="17"/>
        <v>0</v>
      </c>
      <c r="AD40" s="874">
        <f t="shared" si="21"/>
        <v>1.6205299999999998</v>
      </c>
      <c r="AE40" s="451"/>
      <c r="AF40" s="569"/>
      <c r="AG40" s="569"/>
      <c r="AH40" s="569"/>
      <c r="AI40" s="569"/>
      <c r="AJ40" s="569"/>
      <c r="AK40" s="569"/>
      <c r="AL40" s="569"/>
      <c r="AM40" s="569"/>
      <c r="AN40" s="569"/>
      <c r="AO40" s="569"/>
      <c r="AP40" s="569"/>
      <c r="AQ40" s="569"/>
      <c r="AR40" s="569"/>
      <c r="AS40" s="569"/>
      <c r="AT40" s="569"/>
      <c r="AU40" s="569"/>
      <c r="AV40" s="569"/>
      <c r="AW40" s="569"/>
      <c r="AX40" s="569"/>
      <c r="AY40" s="569"/>
      <c r="AZ40" s="569"/>
      <c r="BA40" s="569"/>
      <c r="BB40" s="569"/>
      <c r="BC40" s="570"/>
      <c r="BD40" s="570"/>
      <c r="BE40" s="570"/>
      <c r="BF40" s="570"/>
      <c r="BG40" s="570"/>
      <c r="BH40" s="570"/>
      <c r="BI40" s="570"/>
      <c r="BJ40" s="570"/>
      <c r="BK40" s="570"/>
      <c r="BL40" s="570"/>
      <c r="BM40" s="570"/>
      <c r="BN40" s="570"/>
      <c r="BO40" s="570"/>
      <c r="BP40" s="570"/>
      <c r="BQ40" s="570"/>
    </row>
    <row r="41" spans="1:69" ht="66">
      <c r="A41" s="451"/>
      <c r="B41" s="34"/>
      <c r="C41" s="577">
        <v>1</v>
      </c>
      <c r="D41" s="577" t="s">
        <v>25</v>
      </c>
      <c r="E41" s="577" t="s">
        <v>25</v>
      </c>
      <c r="F41" s="577" t="s">
        <v>25</v>
      </c>
      <c r="G41" s="577">
        <v>16</v>
      </c>
      <c r="H41" s="577">
        <v>109</v>
      </c>
      <c r="I41" s="565" t="s">
        <v>286</v>
      </c>
      <c r="J41" s="35" t="s">
        <v>287</v>
      </c>
      <c r="K41" s="115">
        <f t="shared" ref="K41:L41" si="22">6*O41</f>
        <v>6</v>
      </c>
      <c r="L41" s="558">
        <f t="shared" si="22"/>
        <v>600000000</v>
      </c>
      <c r="M41" s="115">
        <v>0</v>
      </c>
      <c r="N41" s="567">
        <v>0</v>
      </c>
      <c r="O41" s="574">
        <v>1</v>
      </c>
      <c r="P41" s="890">
        <v>100000000</v>
      </c>
      <c r="Q41" s="599">
        <v>0</v>
      </c>
      <c r="R41" s="558">
        <v>4500000</v>
      </c>
      <c r="S41" s="451">
        <v>0</v>
      </c>
      <c r="T41" s="581">
        <v>0</v>
      </c>
      <c r="U41" s="451"/>
      <c r="V41" s="203"/>
      <c r="W41" s="451"/>
      <c r="X41" s="567"/>
      <c r="Y41" s="872">
        <f t="shared" si="15"/>
        <v>0</v>
      </c>
      <c r="Z41" s="888">
        <f t="shared" si="19"/>
        <v>4500000</v>
      </c>
      <c r="AA41" s="115">
        <f t="shared" si="16"/>
        <v>0</v>
      </c>
      <c r="AB41" s="888">
        <f t="shared" si="20"/>
        <v>4500000</v>
      </c>
      <c r="AC41" s="568">
        <f t="shared" si="17"/>
        <v>0</v>
      </c>
      <c r="AD41" s="568">
        <f t="shared" si="21"/>
        <v>0.75</v>
      </c>
      <c r="AE41" s="451"/>
      <c r="AF41" s="569"/>
      <c r="AG41" s="569"/>
      <c r="AH41" s="569"/>
      <c r="AI41" s="569"/>
      <c r="AJ41" s="569"/>
      <c r="AK41" s="569"/>
      <c r="AL41" s="569"/>
      <c r="AM41" s="569"/>
      <c r="AN41" s="569"/>
      <c r="AO41" s="569"/>
      <c r="AP41" s="569"/>
      <c r="AQ41" s="569"/>
      <c r="AR41" s="569"/>
      <c r="AS41" s="569"/>
      <c r="AT41" s="569"/>
      <c r="AU41" s="569"/>
      <c r="AV41" s="569"/>
      <c r="AW41" s="569"/>
      <c r="AX41" s="569"/>
      <c r="AY41" s="569"/>
      <c r="AZ41" s="569"/>
      <c r="BA41" s="569"/>
      <c r="BB41" s="569"/>
      <c r="BC41" s="570"/>
      <c r="BD41" s="570"/>
      <c r="BE41" s="570"/>
      <c r="BF41" s="570"/>
      <c r="BG41" s="570"/>
      <c r="BH41" s="570"/>
      <c r="BI41" s="570"/>
      <c r="BJ41" s="570"/>
      <c r="BK41" s="570"/>
      <c r="BL41" s="570"/>
      <c r="BM41" s="570"/>
      <c r="BN41" s="570"/>
      <c r="BO41" s="570"/>
      <c r="BP41" s="570"/>
      <c r="BQ41" s="570"/>
    </row>
    <row r="42" spans="1:69" ht="49.5">
      <c r="A42" s="451"/>
      <c r="B42" s="34"/>
      <c r="C42" s="577">
        <v>1</v>
      </c>
      <c r="D42" s="577" t="s">
        <v>25</v>
      </c>
      <c r="E42" s="577" t="s">
        <v>25</v>
      </c>
      <c r="F42" s="577" t="s">
        <v>25</v>
      </c>
      <c r="G42" s="577">
        <v>16</v>
      </c>
      <c r="H42" s="577">
        <v>11</v>
      </c>
      <c r="I42" s="565" t="s">
        <v>288</v>
      </c>
      <c r="J42" s="35" t="s">
        <v>289</v>
      </c>
      <c r="K42" s="115">
        <v>32</v>
      </c>
      <c r="L42" s="558">
        <v>1942500000</v>
      </c>
      <c r="M42" s="115">
        <v>10</v>
      </c>
      <c r="N42" s="558">
        <v>0</v>
      </c>
      <c r="O42" s="574">
        <v>6</v>
      </c>
      <c r="P42" s="890">
        <v>530000000</v>
      </c>
      <c r="Q42" s="115">
        <v>0</v>
      </c>
      <c r="R42" s="558">
        <v>2685700</v>
      </c>
      <c r="S42" s="451">
        <v>0</v>
      </c>
      <c r="T42" s="581">
        <v>4500000</v>
      </c>
      <c r="U42" s="451"/>
      <c r="V42" s="203"/>
      <c r="W42" s="451"/>
      <c r="X42" s="567"/>
      <c r="Y42" s="872">
        <f t="shared" si="15"/>
        <v>0</v>
      </c>
      <c r="Z42" s="888">
        <f t="shared" si="19"/>
        <v>7185700</v>
      </c>
      <c r="AA42" s="115">
        <f t="shared" si="16"/>
        <v>10</v>
      </c>
      <c r="AB42" s="888">
        <f t="shared" si="20"/>
        <v>7185700</v>
      </c>
      <c r="AC42" s="568">
        <f t="shared" si="17"/>
        <v>31.25</v>
      </c>
      <c r="AD42" s="568">
        <f t="shared" si="21"/>
        <v>0.36992020592020591</v>
      </c>
      <c r="AE42" s="451"/>
      <c r="AF42" s="569"/>
      <c r="AG42" s="569"/>
      <c r="AH42" s="569"/>
      <c r="AI42" s="569"/>
      <c r="AJ42" s="569"/>
      <c r="AK42" s="569"/>
      <c r="AL42" s="569"/>
      <c r="AM42" s="569"/>
      <c r="AN42" s="569"/>
      <c r="AO42" s="569"/>
      <c r="AP42" s="569"/>
      <c r="AQ42" s="569"/>
      <c r="AR42" s="569"/>
      <c r="AS42" s="569"/>
      <c r="AT42" s="569"/>
      <c r="AU42" s="569"/>
      <c r="AV42" s="569"/>
      <c r="AW42" s="569"/>
      <c r="AX42" s="569"/>
      <c r="AY42" s="569"/>
      <c r="AZ42" s="569"/>
      <c r="BA42" s="569"/>
      <c r="BB42" s="569"/>
      <c r="BC42" s="570"/>
      <c r="BD42" s="570"/>
      <c r="BE42" s="570"/>
      <c r="BF42" s="570"/>
      <c r="BG42" s="570"/>
      <c r="BH42" s="570"/>
      <c r="BI42" s="570"/>
      <c r="BJ42" s="570"/>
      <c r="BK42" s="570"/>
      <c r="BL42" s="570"/>
      <c r="BM42" s="570"/>
      <c r="BN42" s="570"/>
      <c r="BO42" s="570"/>
      <c r="BP42" s="570"/>
      <c r="BQ42" s="570"/>
    </row>
    <row r="43" spans="1:69" ht="66">
      <c r="A43" s="451"/>
      <c r="B43" s="34"/>
      <c r="C43" s="889" t="s">
        <v>41</v>
      </c>
      <c r="D43" s="887" t="s">
        <v>25</v>
      </c>
      <c r="E43" s="887" t="s">
        <v>25</v>
      </c>
      <c r="F43" s="887" t="s">
        <v>25</v>
      </c>
      <c r="G43" s="887">
        <v>16</v>
      </c>
      <c r="H43" s="889" t="s">
        <v>290</v>
      </c>
      <c r="I43" s="565" t="s">
        <v>291</v>
      </c>
      <c r="J43" s="35" t="s">
        <v>292</v>
      </c>
      <c r="K43" s="115">
        <v>6</v>
      </c>
      <c r="L43" s="558">
        <f>6*P43</f>
        <v>210000000</v>
      </c>
      <c r="M43" s="115">
        <v>1</v>
      </c>
      <c r="N43" s="558">
        <v>0</v>
      </c>
      <c r="O43" s="574">
        <v>1</v>
      </c>
      <c r="P43" s="890">
        <v>35000000</v>
      </c>
      <c r="Q43" s="506">
        <v>0</v>
      </c>
      <c r="R43" s="558">
        <v>1500000</v>
      </c>
      <c r="S43" s="451">
        <v>0</v>
      </c>
      <c r="T43" s="586">
        <v>5004700</v>
      </c>
      <c r="U43" s="451"/>
      <c r="V43" s="203"/>
      <c r="W43" s="451"/>
      <c r="X43" s="567"/>
      <c r="Y43" s="872">
        <f t="shared" si="15"/>
        <v>0</v>
      </c>
      <c r="Z43" s="888">
        <f t="shared" si="19"/>
        <v>6504700</v>
      </c>
      <c r="AA43" s="115">
        <f t="shared" si="16"/>
        <v>1</v>
      </c>
      <c r="AB43" s="888">
        <f t="shared" si="20"/>
        <v>6504700</v>
      </c>
      <c r="AC43" s="568">
        <f t="shared" si="17"/>
        <v>16.666666666666664</v>
      </c>
      <c r="AD43" s="568">
        <f t="shared" si="21"/>
        <v>3.0974761904761903</v>
      </c>
      <c r="AE43" s="451"/>
      <c r="AF43" s="569"/>
      <c r="AG43" s="569"/>
      <c r="AH43" s="569"/>
      <c r="AI43" s="569"/>
      <c r="AJ43" s="569"/>
      <c r="AK43" s="569"/>
      <c r="AL43" s="569"/>
      <c r="AM43" s="569"/>
      <c r="AN43" s="569"/>
      <c r="AO43" s="569"/>
      <c r="AP43" s="569"/>
      <c r="AQ43" s="569"/>
      <c r="AR43" s="569"/>
      <c r="AS43" s="569"/>
      <c r="AT43" s="569"/>
      <c r="AU43" s="569"/>
      <c r="AV43" s="569"/>
      <c r="AW43" s="569"/>
      <c r="AX43" s="569"/>
      <c r="AY43" s="569"/>
      <c r="AZ43" s="569"/>
      <c r="BA43" s="569"/>
      <c r="BB43" s="569"/>
      <c r="BC43" s="570"/>
      <c r="BD43" s="570"/>
      <c r="BE43" s="570"/>
      <c r="BF43" s="570"/>
      <c r="BG43" s="570"/>
      <c r="BH43" s="570"/>
      <c r="BI43" s="570"/>
      <c r="BJ43" s="570"/>
      <c r="BK43" s="570"/>
      <c r="BL43" s="570"/>
      <c r="BM43" s="570"/>
      <c r="BN43" s="570"/>
      <c r="BO43" s="570"/>
      <c r="BP43" s="570"/>
      <c r="BQ43" s="570"/>
    </row>
    <row r="44" spans="1:69" ht="66">
      <c r="A44" s="451"/>
      <c r="B44" s="34"/>
      <c r="C44" s="577" t="s">
        <v>25</v>
      </c>
      <c r="D44" s="577" t="s">
        <v>25</v>
      </c>
      <c r="E44" s="577" t="s">
        <v>25</v>
      </c>
      <c r="F44" s="577" t="s">
        <v>25</v>
      </c>
      <c r="G44" s="577" t="s">
        <v>42</v>
      </c>
      <c r="H44" s="577">
        <v>14</v>
      </c>
      <c r="I44" s="565" t="s">
        <v>293</v>
      </c>
      <c r="J44" s="35" t="s">
        <v>294</v>
      </c>
      <c r="K44" s="115">
        <v>6</v>
      </c>
      <c r="L44" s="558">
        <f>4*40000000</f>
        <v>160000000</v>
      </c>
      <c r="M44" s="115">
        <v>4</v>
      </c>
      <c r="N44" s="36">
        <v>0</v>
      </c>
      <c r="O44" s="574">
        <v>1</v>
      </c>
      <c r="P44" s="890">
        <v>100000000</v>
      </c>
      <c r="Q44" s="599">
        <v>0</v>
      </c>
      <c r="R44" s="36">
        <v>1125600</v>
      </c>
      <c r="S44" s="451">
        <v>0</v>
      </c>
      <c r="T44" s="581">
        <v>1500000</v>
      </c>
      <c r="U44" s="451"/>
      <c r="V44" s="203"/>
      <c r="W44" s="451"/>
      <c r="X44" s="891"/>
      <c r="Y44" s="872">
        <f t="shared" si="15"/>
        <v>0</v>
      </c>
      <c r="Z44" s="888">
        <f t="shared" si="19"/>
        <v>2625600</v>
      </c>
      <c r="AA44" s="115">
        <f t="shared" si="16"/>
        <v>4</v>
      </c>
      <c r="AB44" s="888">
        <f t="shared" si="20"/>
        <v>2625600</v>
      </c>
      <c r="AC44" s="568">
        <f t="shared" si="17"/>
        <v>66.666666666666657</v>
      </c>
      <c r="AD44" s="568">
        <f t="shared" si="21"/>
        <v>1.641</v>
      </c>
      <c r="AE44" s="451"/>
      <c r="AF44" s="569"/>
      <c r="AG44" s="569"/>
      <c r="AH44" s="569"/>
      <c r="AI44" s="569"/>
      <c r="AJ44" s="569"/>
      <c r="AK44" s="569"/>
      <c r="AL44" s="569"/>
      <c r="AM44" s="569"/>
      <c r="AN44" s="569"/>
      <c r="AO44" s="569"/>
      <c r="AP44" s="569"/>
      <c r="AQ44" s="569"/>
      <c r="AR44" s="569"/>
      <c r="AS44" s="569"/>
      <c r="AT44" s="569"/>
      <c r="AU44" s="569"/>
      <c r="AV44" s="569"/>
      <c r="AW44" s="569"/>
      <c r="AX44" s="569"/>
      <c r="AY44" s="569"/>
      <c r="AZ44" s="569"/>
      <c r="BA44" s="569"/>
      <c r="BB44" s="569"/>
      <c r="BC44" s="570"/>
      <c r="BD44" s="570"/>
      <c r="BE44" s="570"/>
      <c r="BF44" s="570"/>
      <c r="BG44" s="570"/>
      <c r="BH44" s="570"/>
      <c r="BI44" s="570"/>
      <c r="BJ44" s="570"/>
      <c r="BK44" s="570"/>
      <c r="BL44" s="570"/>
      <c r="BM44" s="570"/>
      <c r="BN44" s="570"/>
      <c r="BO44" s="570"/>
      <c r="BP44" s="570"/>
      <c r="BQ44" s="570"/>
    </row>
    <row r="45" spans="1:69" ht="49.5">
      <c r="A45" s="451"/>
      <c r="B45" s="34"/>
      <c r="C45" s="577">
        <v>1</v>
      </c>
      <c r="D45" s="577" t="s">
        <v>25</v>
      </c>
      <c r="E45" s="577" t="s">
        <v>25</v>
      </c>
      <c r="F45" s="577" t="s">
        <v>25</v>
      </c>
      <c r="G45" s="577" t="s">
        <v>42</v>
      </c>
      <c r="H45" s="577">
        <v>141</v>
      </c>
      <c r="I45" s="565" t="s">
        <v>295</v>
      </c>
      <c r="J45" s="35" t="s">
        <v>296</v>
      </c>
      <c r="K45" s="115">
        <v>10</v>
      </c>
      <c r="L45" s="558">
        <v>500000000</v>
      </c>
      <c r="M45" s="115">
        <v>3</v>
      </c>
      <c r="N45" s="36">
        <v>0</v>
      </c>
      <c r="O45" s="574">
        <v>1</v>
      </c>
      <c r="P45" s="890">
        <v>200000000</v>
      </c>
      <c r="Q45" s="599">
        <v>0</v>
      </c>
      <c r="R45" s="36">
        <v>62874600</v>
      </c>
      <c r="S45" s="451">
        <v>0</v>
      </c>
      <c r="T45" s="581">
        <v>31782000</v>
      </c>
      <c r="U45" s="451"/>
      <c r="V45" s="203"/>
      <c r="W45" s="451"/>
      <c r="X45" s="892"/>
      <c r="Y45" s="872">
        <f t="shared" si="15"/>
        <v>0</v>
      </c>
      <c r="Z45" s="888">
        <f t="shared" si="19"/>
        <v>94656600</v>
      </c>
      <c r="AA45" s="115">
        <f t="shared" si="16"/>
        <v>3</v>
      </c>
      <c r="AB45" s="888">
        <f t="shared" si="20"/>
        <v>94656600</v>
      </c>
      <c r="AC45" s="568">
        <f t="shared" si="17"/>
        <v>30</v>
      </c>
      <c r="AD45" s="568">
        <f t="shared" si="21"/>
        <v>18.931319999999999</v>
      </c>
      <c r="AE45" s="451"/>
      <c r="AF45" s="569"/>
      <c r="AG45" s="569"/>
      <c r="AH45" s="569"/>
      <c r="AI45" s="569"/>
      <c r="AJ45" s="569"/>
      <c r="AK45" s="569"/>
      <c r="AL45" s="569"/>
      <c r="AM45" s="569"/>
      <c r="AN45" s="569"/>
      <c r="AO45" s="569"/>
      <c r="AP45" s="569"/>
      <c r="AQ45" s="569"/>
      <c r="AR45" s="569"/>
      <c r="AS45" s="569"/>
      <c r="AT45" s="569"/>
      <c r="AU45" s="569"/>
      <c r="AV45" s="569"/>
      <c r="AW45" s="569"/>
      <c r="AX45" s="569"/>
      <c r="AY45" s="569"/>
      <c r="AZ45" s="569"/>
      <c r="BA45" s="569"/>
      <c r="BB45" s="569"/>
      <c r="BC45" s="570"/>
      <c r="BD45" s="570"/>
      <c r="BE45" s="570"/>
      <c r="BF45" s="570"/>
      <c r="BG45" s="570"/>
      <c r="BH45" s="570"/>
      <c r="BI45" s="570"/>
      <c r="BJ45" s="570"/>
      <c r="BK45" s="570"/>
      <c r="BL45" s="570"/>
      <c r="BM45" s="570"/>
      <c r="BN45" s="570"/>
      <c r="BO45" s="570"/>
      <c r="BP45" s="570"/>
      <c r="BQ45" s="570"/>
    </row>
    <row r="46" spans="1:69" ht="35.25" customHeight="1">
      <c r="A46" s="451"/>
      <c r="B46" s="34"/>
      <c r="C46" s="577">
        <v>1</v>
      </c>
      <c r="D46" s="577" t="s">
        <v>25</v>
      </c>
      <c r="E46" s="577" t="s">
        <v>25</v>
      </c>
      <c r="F46" s="577" t="s">
        <v>25</v>
      </c>
      <c r="G46" s="577" t="s">
        <v>42</v>
      </c>
      <c r="H46" s="577">
        <v>160</v>
      </c>
      <c r="I46" s="565" t="s">
        <v>297</v>
      </c>
      <c r="J46" s="35" t="s">
        <v>298</v>
      </c>
      <c r="K46" s="115">
        <f t="shared" ref="K46:L47" si="23">6*O46</f>
        <v>30</v>
      </c>
      <c r="L46" s="558">
        <f t="shared" si="23"/>
        <v>3840000000</v>
      </c>
      <c r="M46" s="115">
        <v>17</v>
      </c>
      <c r="N46" s="558">
        <v>0</v>
      </c>
      <c r="O46" s="574">
        <v>5</v>
      </c>
      <c r="P46" s="890">
        <v>640000000</v>
      </c>
      <c r="Q46" s="115"/>
      <c r="R46" s="558">
        <v>30000000</v>
      </c>
      <c r="S46" s="451">
        <v>55</v>
      </c>
      <c r="T46" s="581">
        <v>194022000</v>
      </c>
      <c r="U46" s="451"/>
      <c r="V46" s="203"/>
      <c r="W46" s="451"/>
      <c r="X46" s="567"/>
      <c r="Y46" s="872">
        <f t="shared" si="15"/>
        <v>55</v>
      </c>
      <c r="Z46" s="888">
        <f t="shared" si="19"/>
        <v>224022000</v>
      </c>
      <c r="AA46" s="115">
        <f t="shared" si="16"/>
        <v>72</v>
      </c>
      <c r="AB46" s="888">
        <f t="shared" si="20"/>
        <v>224022000</v>
      </c>
      <c r="AC46" s="568">
        <f t="shared" si="17"/>
        <v>240</v>
      </c>
      <c r="AD46" s="568">
        <f t="shared" si="21"/>
        <v>5.8339062500000001</v>
      </c>
      <c r="AE46" s="451"/>
      <c r="AF46" s="569"/>
      <c r="AG46" s="569"/>
      <c r="AH46" s="569"/>
      <c r="AI46" s="569"/>
      <c r="AJ46" s="569"/>
      <c r="AK46" s="569"/>
      <c r="AL46" s="569"/>
      <c r="AM46" s="569"/>
      <c r="AN46" s="569"/>
      <c r="AO46" s="569"/>
      <c r="AP46" s="569"/>
      <c r="AQ46" s="569"/>
      <c r="AR46" s="569"/>
      <c r="AS46" s="569"/>
      <c r="AT46" s="569"/>
      <c r="AU46" s="569"/>
      <c r="AV46" s="569"/>
      <c r="AW46" s="569"/>
      <c r="AX46" s="569"/>
      <c r="AY46" s="569"/>
      <c r="AZ46" s="569"/>
      <c r="BA46" s="569"/>
      <c r="BB46" s="569"/>
      <c r="BC46" s="570"/>
      <c r="BD46" s="570"/>
      <c r="BE46" s="570"/>
      <c r="BF46" s="570"/>
      <c r="BG46" s="570"/>
      <c r="BH46" s="570"/>
      <c r="BI46" s="570"/>
      <c r="BJ46" s="570"/>
      <c r="BK46" s="570"/>
      <c r="BL46" s="570"/>
      <c r="BM46" s="570"/>
      <c r="BN46" s="570"/>
      <c r="BO46" s="570"/>
      <c r="BP46" s="570"/>
      <c r="BQ46" s="570"/>
    </row>
    <row r="47" spans="1:69" ht="31.5" customHeight="1">
      <c r="A47" s="451"/>
      <c r="B47" s="34"/>
      <c r="C47" s="577">
        <v>1</v>
      </c>
      <c r="D47" s="577" t="s">
        <v>25</v>
      </c>
      <c r="E47" s="577" t="s">
        <v>25</v>
      </c>
      <c r="F47" s="577" t="s">
        <v>25</v>
      </c>
      <c r="G47" s="577">
        <v>16</v>
      </c>
      <c r="H47" s="577">
        <v>161</v>
      </c>
      <c r="I47" s="571" t="s">
        <v>299</v>
      </c>
      <c r="J47" s="35" t="s">
        <v>300</v>
      </c>
      <c r="K47" s="115">
        <f t="shared" si="23"/>
        <v>12</v>
      </c>
      <c r="L47" s="558">
        <f t="shared" si="23"/>
        <v>3240000000</v>
      </c>
      <c r="M47" s="115">
        <v>8</v>
      </c>
      <c r="N47" s="558">
        <v>2031381350</v>
      </c>
      <c r="O47" s="574">
        <v>2</v>
      </c>
      <c r="P47" s="890">
        <v>540000000</v>
      </c>
      <c r="Q47" s="115">
        <v>0</v>
      </c>
      <c r="R47" s="558">
        <v>4536300</v>
      </c>
      <c r="S47" s="451">
        <v>0</v>
      </c>
      <c r="T47" s="581">
        <v>30000000</v>
      </c>
      <c r="U47" s="451"/>
      <c r="V47" s="203"/>
      <c r="W47" s="451"/>
      <c r="X47" s="115"/>
      <c r="Y47" s="872">
        <f t="shared" si="15"/>
        <v>0</v>
      </c>
      <c r="Z47" s="888">
        <f t="shared" si="19"/>
        <v>34536300</v>
      </c>
      <c r="AA47" s="115">
        <f t="shared" si="16"/>
        <v>8</v>
      </c>
      <c r="AB47" s="888">
        <f t="shared" si="20"/>
        <v>2065917650</v>
      </c>
      <c r="AC47" s="568">
        <f t="shared" si="17"/>
        <v>66.666666666666657</v>
      </c>
      <c r="AD47" s="568">
        <f t="shared" si="21"/>
        <v>63.762890432098764</v>
      </c>
      <c r="AE47" s="451"/>
      <c r="AF47" s="569"/>
      <c r="AG47" s="569"/>
      <c r="AH47" s="569"/>
      <c r="AI47" s="569"/>
      <c r="AJ47" s="569"/>
      <c r="AK47" s="569"/>
      <c r="AL47" s="569"/>
      <c r="AM47" s="569"/>
      <c r="AN47" s="569"/>
      <c r="AO47" s="569"/>
      <c r="AP47" s="569"/>
      <c r="AQ47" s="569"/>
      <c r="AR47" s="569"/>
      <c r="AS47" s="569"/>
      <c r="AT47" s="569"/>
      <c r="AU47" s="569"/>
      <c r="AV47" s="569"/>
      <c r="AW47" s="569"/>
      <c r="AX47" s="569"/>
      <c r="AY47" s="569"/>
      <c r="AZ47" s="569"/>
      <c r="BA47" s="569"/>
      <c r="BB47" s="569"/>
      <c r="BC47" s="570"/>
      <c r="BD47" s="570"/>
      <c r="BE47" s="570"/>
      <c r="BF47" s="570"/>
      <c r="BG47" s="570"/>
      <c r="BH47" s="570"/>
      <c r="BI47" s="570"/>
      <c r="BJ47" s="570"/>
      <c r="BK47" s="570"/>
      <c r="BL47" s="570"/>
      <c r="BM47" s="570"/>
      <c r="BN47" s="570"/>
      <c r="BO47" s="570"/>
      <c r="BP47" s="570"/>
      <c r="BQ47" s="570"/>
    </row>
    <row r="48" spans="1:69" ht="75" customHeight="1">
      <c r="A48" s="451"/>
      <c r="B48" s="34"/>
      <c r="C48" s="577" t="s">
        <v>25</v>
      </c>
      <c r="D48" s="577" t="s">
        <v>25</v>
      </c>
      <c r="E48" s="577" t="s">
        <v>25</v>
      </c>
      <c r="F48" s="577" t="s">
        <v>25</v>
      </c>
      <c r="G48" s="577">
        <v>16</v>
      </c>
      <c r="H48" s="577">
        <v>162</v>
      </c>
      <c r="I48" s="35" t="s">
        <v>301</v>
      </c>
      <c r="J48" s="35" t="s">
        <v>2473</v>
      </c>
      <c r="K48" s="115">
        <v>300</v>
      </c>
      <c r="L48" s="558">
        <f>6*7000000000</f>
        <v>42000000000</v>
      </c>
      <c r="M48" s="115">
        <v>160</v>
      </c>
      <c r="N48" s="567">
        <v>12769240800</v>
      </c>
      <c r="O48" s="574">
        <v>50</v>
      </c>
      <c r="P48" s="890">
        <v>11157622000</v>
      </c>
      <c r="Q48" s="599">
        <v>0</v>
      </c>
      <c r="R48" s="558">
        <v>13197250</v>
      </c>
      <c r="S48" s="451">
        <v>5</v>
      </c>
      <c r="T48" s="581">
        <v>19814300</v>
      </c>
      <c r="U48" s="451"/>
      <c r="V48" s="203"/>
      <c r="W48" s="451"/>
      <c r="X48" s="567"/>
      <c r="Y48" s="872">
        <f t="shared" si="15"/>
        <v>5</v>
      </c>
      <c r="Z48" s="888">
        <f t="shared" si="19"/>
        <v>33011550</v>
      </c>
      <c r="AA48" s="115">
        <f t="shared" si="16"/>
        <v>165</v>
      </c>
      <c r="AB48" s="888">
        <f t="shared" si="20"/>
        <v>12802252350</v>
      </c>
      <c r="AC48" s="568">
        <f t="shared" si="17"/>
        <v>55.000000000000007</v>
      </c>
      <c r="AD48" s="568">
        <f t="shared" si="21"/>
        <v>30.481553214285711</v>
      </c>
      <c r="AE48" s="451"/>
      <c r="AF48" s="569"/>
      <c r="AG48" s="569"/>
      <c r="AH48" s="569"/>
      <c r="AI48" s="569"/>
      <c r="AJ48" s="569"/>
      <c r="AK48" s="569"/>
      <c r="AL48" s="569"/>
      <c r="AM48" s="569"/>
      <c r="AN48" s="569"/>
      <c r="AO48" s="569"/>
      <c r="AP48" s="569"/>
      <c r="AQ48" s="569"/>
      <c r="AR48" s="569"/>
      <c r="AS48" s="569"/>
      <c r="AT48" s="569"/>
      <c r="AU48" s="569"/>
      <c r="AV48" s="569"/>
      <c r="AW48" s="569"/>
      <c r="AX48" s="569"/>
      <c r="AY48" s="569"/>
      <c r="AZ48" s="569"/>
      <c r="BA48" s="569"/>
      <c r="BB48" s="569"/>
      <c r="BC48" s="570"/>
      <c r="BD48" s="570"/>
      <c r="BE48" s="570"/>
      <c r="BF48" s="570"/>
      <c r="BG48" s="570"/>
      <c r="BH48" s="570"/>
      <c r="BI48" s="570"/>
      <c r="BJ48" s="570"/>
      <c r="BK48" s="570"/>
      <c r="BL48" s="570"/>
      <c r="BM48" s="570"/>
      <c r="BN48" s="570"/>
      <c r="BO48" s="570"/>
      <c r="BP48" s="570"/>
      <c r="BQ48" s="570"/>
    </row>
    <row r="49" spans="1:69" ht="75.75" customHeight="1">
      <c r="A49" s="451"/>
      <c r="B49" s="34"/>
      <c r="C49" s="887" t="s">
        <v>41</v>
      </c>
      <c r="D49" s="887" t="s">
        <v>25</v>
      </c>
      <c r="E49" s="887" t="s">
        <v>25</v>
      </c>
      <c r="F49" s="887" t="s">
        <v>25</v>
      </c>
      <c r="G49" s="887" t="s">
        <v>42</v>
      </c>
      <c r="H49" s="889" t="s">
        <v>302</v>
      </c>
      <c r="I49" s="35" t="s">
        <v>303</v>
      </c>
      <c r="J49" s="35" t="s">
        <v>2474</v>
      </c>
      <c r="K49" s="115">
        <v>16</v>
      </c>
      <c r="L49" s="558">
        <v>2000000000</v>
      </c>
      <c r="M49" s="115">
        <v>5</v>
      </c>
      <c r="N49" s="567">
        <v>538545000</v>
      </c>
      <c r="O49" s="574">
        <v>4</v>
      </c>
      <c r="P49" s="890">
        <v>418376000</v>
      </c>
      <c r="Q49" s="599">
        <v>0</v>
      </c>
      <c r="R49" s="558">
        <v>102300</v>
      </c>
      <c r="S49" s="451">
        <v>3.25</v>
      </c>
      <c r="T49" s="581">
        <v>2429830250</v>
      </c>
      <c r="U49" s="451"/>
      <c r="V49" s="203"/>
      <c r="W49" s="451"/>
      <c r="X49" s="567"/>
      <c r="Y49" s="872">
        <f t="shared" si="15"/>
        <v>3.25</v>
      </c>
      <c r="Z49" s="888">
        <f t="shared" si="19"/>
        <v>2429932550</v>
      </c>
      <c r="AA49" s="115">
        <f t="shared" si="16"/>
        <v>8.25</v>
      </c>
      <c r="AB49" s="888">
        <f t="shared" si="20"/>
        <v>2968477550</v>
      </c>
      <c r="AC49" s="568">
        <f t="shared" si="17"/>
        <v>51.5625</v>
      </c>
      <c r="AD49" s="568">
        <f t="shared" si="21"/>
        <v>148.4238775</v>
      </c>
      <c r="AE49" s="451"/>
      <c r="AF49" s="569"/>
      <c r="AG49" s="569"/>
      <c r="AH49" s="569"/>
      <c r="AI49" s="569"/>
      <c r="AJ49" s="569"/>
      <c r="AK49" s="569"/>
      <c r="AL49" s="569"/>
      <c r="AM49" s="569"/>
      <c r="AN49" s="569"/>
      <c r="AO49" s="569"/>
      <c r="AP49" s="569"/>
      <c r="AQ49" s="569"/>
      <c r="AR49" s="569"/>
      <c r="AS49" s="569"/>
      <c r="AT49" s="569"/>
      <c r="AU49" s="569"/>
      <c r="AV49" s="569"/>
      <c r="AW49" s="569"/>
      <c r="AX49" s="569"/>
      <c r="AY49" s="569"/>
      <c r="AZ49" s="569"/>
      <c r="BA49" s="569"/>
      <c r="BB49" s="569"/>
      <c r="BC49" s="570"/>
      <c r="BD49" s="570"/>
      <c r="BE49" s="570"/>
      <c r="BF49" s="570"/>
      <c r="BG49" s="570"/>
      <c r="BH49" s="570"/>
      <c r="BI49" s="570"/>
      <c r="BJ49" s="570"/>
      <c r="BK49" s="570"/>
      <c r="BL49" s="570"/>
      <c r="BM49" s="570"/>
      <c r="BN49" s="570"/>
      <c r="BO49" s="570"/>
      <c r="BP49" s="570"/>
      <c r="BQ49" s="570"/>
    </row>
    <row r="50" spans="1:69" ht="71.25" customHeight="1">
      <c r="A50" s="451"/>
      <c r="B50" s="34"/>
      <c r="C50" s="577">
        <v>1</v>
      </c>
      <c r="D50" s="577" t="s">
        <v>25</v>
      </c>
      <c r="E50" s="577" t="s">
        <v>25</v>
      </c>
      <c r="F50" s="577" t="s">
        <v>25</v>
      </c>
      <c r="G50" s="577">
        <v>16</v>
      </c>
      <c r="H50" s="577">
        <v>164</v>
      </c>
      <c r="I50" s="35" t="s">
        <v>304</v>
      </c>
      <c r="J50" s="35" t="s">
        <v>2475</v>
      </c>
      <c r="K50" s="115">
        <f t="shared" ref="K50:L50" si="24">6*O50</f>
        <v>96</v>
      </c>
      <c r="L50" s="558">
        <f t="shared" si="24"/>
        <v>60998622000</v>
      </c>
      <c r="M50" s="115">
        <v>40</v>
      </c>
      <c r="N50" s="558">
        <v>12769240800</v>
      </c>
      <c r="O50" s="574">
        <v>16</v>
      </c>
      <c r="P50" s="890">
        <v>10166437000</v>
      </c>
      <c r="Q50" s="115">
        <v>0</v>
      </c>
      <c r="R50" s="558">
        <v>7257600</v>
      </c>
      <c r="S50" s="451">
        <v>0</v>
      </c>
      <c r="T50" s="586">
        <v>99852300</v>
      </c>
      <c r="U50" s="451"/>
      <c r="V50" s="203"/>
      <c r="W50" s="451"/>
      <c r="X50" s="567"/>
      <c r="Y50" s="872">
        <f t="shared" si="15"/>
        <v>0</v>
      </c>
      <c r="Z50" s="888">
        <f t="shared" si="19"/>
        <v>107109900</v>
      </c>
      <c r="AA50" s="115">
        <f t="shared" si="16"/>
        <v>40</v>
      </c>
      <c r="AB50" s="888">
        <f t="shared" si="20"/>
        <v>12876350700</v>
      </c>
      <c r="AC50" s="568">
        <f t="shared" si="17"/>
        <v>41.666666666666671</v>
      </c>
      <c r="AD50" s="568">
        <f t="shared" si="21"/>
        <v>21.109248500728427</v>
      </c>
      <c r="AE50" s="451"/>
      <c r="AF50" s="569"/>
      <c r="AG50" s="569"/>
      <c r="AH50" s="569"/>
      <c r="AI50" s="569"/>
      <c r="AJ50" s="569"/>
      <c r="AK50" s="569"/>
      <c r="AL50" s="569"/>
      <c r="AM50" s="569"/>
      <c r="AN50" s="569"/>
      <c r="AO50" s="569"/>
      <c r="AP50" s="569"/>
      <c r="AQ50" s="569"/>
      <c r="AR50" s="569"/>
      <c r="AS50" s="569"/>
      <c r="AT50" s="569"/>
      <c r="AU50" s="569"/>
      <c r="AV50" s="569"/>
      <c r="AW50" s="569"/>
      <c r="AX50" s="569"/>
      <c r="AY50" s="569"/>
      <c r="AZ50" s="569"/>
      <c r="BA50" s="569"/>
      <c r="BB50" s="569"/>
      <c r="BC50" s="570"/>
      <c r="BD50" s="570"/>
      <c r="BE50" s="570"/>
      <c r="BF50" s="570"/>
      <c r="BG50" s="570"/>
      <c r="BH50" s="570"/>
      <c r="BI50" s="570"/>
      <c r="BJ50" s="570"/>
      <c r="BK50" s="570"/>
      <c r="BL50" s="570"/>
      <c r="BM50" s="570"/>
      <c r="BN50" s="570"/>
      <c r="BO50" s="570"/>
      <c r="BP50" s="570"/>
      <c r="BQ50" s="570"/>
    </row>
    <row r="51" spans="1:69" ht="82.5">
      <c r="A51" s="451"/>
      <c r="B51" s="34"/>
      <c r="C51" s="887" t="s">
        <v>41</v>
      </c>
      <c r="D51" s="887" t="s">
        <v>25</v>
      </c>
      <c r="E51" s="887" t="s">
        <v>25</v>
      </c>
      <c r="F51" s="887" t="s">
        <v>25</v>
      </c>
      <c r="G51" s="887" t="s">
        <v>42</v>
      </c>
      <c r="H51" s="889" t="s">
        <v>305</v>
      </c>
      <c r="I51" s="35" t="s">
        <v>306</v>
      </c>
      <c r="J51" s="35" t="s">
        <v>2474</v>
      </c>
      <c r="K51" s="115">
        <v>8</v>
      </c>
      <c r="L51" s="558">
        <v>25000000000</v>
      </c>
      <c r="M51" s="115">
        <v>1</v>
      </c>
      <c r="N51" s="567">
        <v>158000000</v>
      </c>
      <c r="O51" s="574">
        <v>4</v>
      </c>
      <c r="P51" s="890">
        <v>666900000</v>
      </c>
      <c r="Q51" s="599">
        <v>0</v>
      </c>
      <c r="R51" s="558">
        <v>0</v>
      </c>
      <c r="S51" s="451">
        <v>25</v>
      </c>
      <c r="T51" s="586">
        <v>1437467600</v>
      </c>
      <c r="U51" s="451"/>
      <c r="V51" s="203"/>
      <c r="W51" s="451"/>
      <c r="X51" s="567"/>
      <c r="Y51" s="872">
        <f t="shared" si="15"/>
        <v>25</v>
      </c>
      <c r="Z51" s="888">
        <f t="shared" si="19"/>
        <v>1437467600</v>
      </c>
      <c r="AA51" s="115">
        <f t="shared" si="16"/>
        <v>26</v>
      </c>
      <c r="AB51" s="888">
        <f t="shared" si="20"/>
        <v>1595467600</v>
      </c>
      <c r="AC51" s="568">
        <f t="shared" si="17"/>
        <v>325</v>
      </c>
      <c r="AD51" s="568">
        <f t="shared" si="21"/>
        <v>6.3818704000000004</v>
      </c>
      <c r="AE51" s="451"/>
      <c r="AF51" s="569"/>
      <c r="AG51" s="569"/>
      <c r="AH51" s="569"/>
      <c r="AI51" s="569"/>
      <c r="AJ51" s="569"/>
      <c r="AK51" s="569"/>
      <c r="AL51" s="569"/>
      <c r="AM51" s="569"/>
      <c r="AN51" s="569"/>
      <c r="AO51" s="569"/>
      <c r="AP51" s="569"/>
      <c r="AQ51" s="569"/>
      <c r="AR51" s="569"/>
      <c r="AS51" s="569"/>
      <c r="AT51" s="569"/>
      <c r="AU51" s="569"/>
      <c r="AV51" s="569"/>
      <c r="AW51" s="569"/>
      <c r="AX51" s="569"/>
      <c r="AY51" s="569"/>
      <c r="AZ51" s="569"/>
      <c r="BA51" s="569"/>
      <c r="BB51" s="569"/>
      <c r="BC51" s="570"/>
      <c r="BD51" s="570"/>
      <c r="BE51" s="570"/>
      <c r="BF51" s="570"/>
      <c r="BG51" s="570"/>
      <c r="BH51" s="570"/>
      <c r="BI51" s="570"/>
      <c r="BJ51" s="570"/>
      <c r="BK51" s="570"/>
      <c r="BL51" s="570"/>
      <c r="BM51" s="570"/>
      <c r="BN51" s="570"/>
      <c r="BO51" s="570"/>
      <c r="BP51" s="570"/>
      <c r="BQ51" s="570"/>
    </row>
    <row r="52" spans="1:69" ht="66">
      <c r="A52" s="451"/>
      <c r="B52" s="34"/>
      <c r="C52" s="887" t="s">
        <v>41</v>
      </c>
      <c r="D52" s="887" t="s">
        <v>25</v>
      </c>
      <c r="E52" s="887" t="s">
        <v>25</v>
      </c>
      <c r="F52" s="887" t="s">
        <v>25</v>
      </c>
      <c r="G52" s="887" t="s">
        <v>42</v>
      </c>
      <c r="H52" s="889" t="s">
        <v>307</v>
      </c>
      <c r="I52" s="34" t="s">
        <v>308</v>
      </c>
      <c r="J52" s="35" t="s">
        <v>2476</v>
      </c>
      <c r="K52" s="115">
        <v>12</v>
      </c>
      <c r="L52" s="558">
        <f>4*175000000</f>
        <v>700000000</v>
      </c>
      <c r="M52" s="115">
        <v>6</v>
      </c>
      <c r="N52" s="558">
        <v>240000000</v>
      </c>
      <c r="O52" s="574">
        <v>2</v>
      </c>
      <c r="P52" s="890">
        <v>49650000</v>
      </c>
      <c r="Q52" s="115">
        <v>1</v>
      </c>
      <c r="R52" s="558">
        <v>14082250</v>
      </c>
      <c r="S52" s="451">
        <v>25</v>
      </c>
      <c r="T52" s="586">
        <v>160000000</v>
      </c>
      <c r="U52" s="451"/>
      <c r="V52" s="203"/>
      <c r="W52" s="451"/>
      <c r="X52" s="567"/>
      <c r="Y52" s="872">
        <f t="shared" si="15"/>
        <v>26</v>
      </c>
      <c r="Z52" s="888">
        <f t="shared" si="19"/>
        <v>174082250</v>
      </c>
      <c r="AA52" s="115">
        <f t="shared" si="16"/>
        <v>32</v>
      </c>
      <c r="AB52" s="888">
        <f t="shared" si="20"/>
        <v>414082250</v>
      </c>
      <c r="AC52" s="572">
        <f t="shared" si="17"/>
        <v>266.66666666666663</v>
      </c>
      <c r="AD52" s="568">
        <f t="shared" si="21"/>
        <v>59.154607142857138</v>
      </c>
      <c r="AE52" s="451"/>
      <c r="AF52" s="569"/>
      <c r="AG52" s="569"/>
      <c r="AH52" s="569"/>
      <c r="AI52" s="569"/>
      <c r="AJ52" s="569"/>
      <c r="AK52" s="569"/>
      <c r="AL52" s="569"/>
      <c r="AM52" s="569"/>
      <c r="AN52" s="569"/>
      <c r="AO52" s="569"/>
      <c r="AP52" s="569"/>
      <c r="AQ52" s="569"/>
      <c r="AR52" s="569"/>
      <c r="AS52" s="569"/>
      <c r="AT52" s="569"/>
      <c r="AU52" s="569"/>
      <c r="AV52" s="569"/>
      <c r="AW52" s="569"/>
      <c r="AX52" s="569"/>
      <c r="AY52" s="569"/>
      <c r="AZ52" s="569"/>
      <c r="BA52" s="569"/>
      <c r="BB52" s="569"/>
      <c r="BC52" s="570"/>
      <c r="BD52" s="570"/>
      <c r="BE52" s="570"/>
      <c r="BF52" s="570"/>
      <c r="BG52" s="570"/>
      <c r="BH52" s="570"/>
      <c r="BI52" s="570"/>
      <c r="BJ52" s="570"/>
      <c r="BK52" s="570"/>
      <c r="BL52" s="570"/>
      <c r="BM52" s="570"/>
      <c r="BN52" s="570"/>
      <c r="BO52" s="570"/>
      <c r="BP52" s="570"/>
      <c r="BQ52" s="570"/>
    </row>
    <row r="53" spans="1:69" ht="49.5">
      <c r="A53" s="451"/>
      <c r="B53" s="34"/>
      <c r="C53" s="887" t="s">
        <v>41</v>
      </c>
      <c r="D53" s="887" t="s">
        <v>25</v>
      </c>
      <c r="E53" s="887" t="s">
        <v>25</v>
      </c>
      <c r="F53" s="887" t="s">
        <v>25</v>
      </c>
      <c r="G53" s="887" t="s">
        <v>42</v>
      </c>
      <c r="H53" s="889" t="s">
        <v>309</v>
      </c>
      <c r="I53" s="211" t="s">
        <v>310</v>
      </c>
      <c r="J53" s="34" t="s">
        <v>2477</v>
      </c>
      <c r="K53" s="115">
        <v>48</v>
      </c>
      <c r="L53" s="558">
        <v>800000000</v>
      </c>
      <c r="M53" s="115">
        <v>24</v>
      </c>
      <c r="N53" s="558">
        <v>1060151000</v>
      </c>
      <c r="O53" s="573">
        <v>12</v>
      </c>
      <c r="P53" s="558">
        <v>443559750</v>
      </c>
      <c r="Q53" s="115">
        <v>2</v>
      </c>
      <c r="R53" s="558">
        <v>15895700</v>
      </c>
      <c r="S53" s="451">
        <v>1</v>
      </c>
      <c r="T53" s="586">
        <v>31883450</v>
      </c>
      <c r="U53" s="451"/>
      <c r="V53" s="203"/>
      <c r="W53" s="451"/>
      <c r="X53" s="567"/>
      <c r="Y53" s="872">
        <f t="shared" si="15"/>
        <v>3</v>
      </c>
      <c r="Z53" s="888">
        <f t="shared" si="19"/>
        <v>47779150</v>
      </c>
      <c r="AA53" s="115">
        <f t="shared" si="16"/>
        <v>27</v>
      </c>
      <c r="AB53" s="888">
        <f t="shared" si="20"/>
        <v>1107930150</v>
      </c>
      <c r="AC53" s="572">
        <f t="shared" si="17"/>
        <v>56.25</v>
      </c>
      <c r="AD53" s="568">
        <f t="shared" si="21"/>
        <v>138.49126874999999</v>
      </c>
      <c r="AE53" s="451"/>
      <c r="AF53" s="569"/>
      <c r="AG53" s="569"/>
      <c r="AH53" s="569"/>
      <c r="AI53" s="569"/>
      <c r="AJ53" s="569"/>
      <c r="AK53" s="569"/>
      <c r="AL53" s="569"/>
      <c r="AM53" s="569"/>
      <c r="AN53" s="569"/>
      <c r="AO53" s="569"/>
      <c r="AP53" s="569"/>
      <c r="AQ53" s="569"/>
      <c r="AR53" s="569"/>
      <c r="AS53" s="569"/>
      <c r="AT53" s="569"/>
      <c r="AU53" s="569"/>
      <c r="AV53" s="569"/>
      <c r="AW53" s="569"/>
      <c r="AX53" s="569"/>
      <c r="AY53" s="569"/>
      <c r="AZ53" s="569"/>
      <c r="BA53" s="569"/>
      <c r="BB53" s="569"/>
      <c r="BC53" s="570"/>
      <c r="BD53" s="570"/>
      <c r="BE53" s="570"/>
      <c r="BF53" s="570"/>
      <c r="BG53" s="570"/>
      <c r="BH53" s="570"/>
      <c r="BI53" s="570"/>
      <c r="BJ53" s="570"/>
      <c r="BK53" s="570"/>
      <c r="BL53" s="570"/>
      <c r="BM53" s="570"/>
      <c r="BN53" s="570"/>
      <c r="BO53" s="570"/>
      <c r="BP53" s="570"/>
      <c r="BQ53" s="570"/>
    </row>
    <row r="54" spans="1:69" ht="66">
      <c r="A54" s="451"/>
      <c r="B54" s="34"/>
      <c r="C54" s="887" t="s">
        <v>41</v>
      </c>
      <c r="D54" s="887" t="s">
        <v>25</v>
      </c>
      <c r="E54" s="887" t="s">
        <v>25</v>
      </c>
      <c r="F54" s="887" t="s">
        <v>25</v>
      </c>
      <c r="G54" s="887" t="s">
        <v>42</v>
      </c>
      <c r="H54" s="889" t="s">
        <v>311</v>
      </c>
      <c r="I54" s="211" t="s">
        <v>312</v>
      </c>
      <c r="J54" s="34" t="s">
        <v>2478</v>
      </c>
      <c r="K54" s="115">
        <v>1</v>
      </c>
      <c r="L54" s="558">
        <v>75000000</v>
      </c>
      <c r="M54" s="115">
        <v>0</v>
      </c>
      <c r="N54" s="558">
        <v>0</v>
      </c>
      <c r="O54" s="574">
        <v>1</v>
      </c>
      <c r="P54" s="575">
        <v>73558000</v>
      </c>
      <c r="Q54" s="115">
        <v>0</v>
      </c>
      <c r="R54" s="558">
        <v>19965800</v>
      </c>
      <c r="S54" s="451">
        <v>2</v>
      </c>
      <c r="T54" s="586">
        <v>43672800</v>
      </c>
      <c r="U54" s="451"/>
      <c r="V54" s="203"/>
      <c r="W54" s="451"/>
      <c r="X54" s="567"/>
      <c r="Y54" s="872">
        <f t="shared" si="15"/>
        <v>2</v>
      </c>
      <c r="Z54" s="888">
        <f t="shared" si="19"/>
        <v>63638600</v>
      </c>
      <c r="AA54" s="115">
        <f t="shared" si="16"/>
        <v>2</v>
      </c>
      <c r="AB54" s="888">
        <f t="shared" si="20"/>
        <v>63638600</v>
      </c>
      <c r="AC54" s="572">
        <f t="shared" si="17"/>
        <v>200</v>
      </c>
      <c r="AD54" s="568">
        <f t="shared" si="21"/>
        <v>84.851466666666667</v>
      </c>
      <c r="AE54" s="451"/>
      <c r="AF54" s="569"/>
      <c r="AG54" s="569"/>
      <c r="AH54" s="569"/>
      <c r="AI54" s="569"/>
      <c r="AJ54" s="569"/>
      <c r="AK54" s="569"/>
      <c r="AL54" s="569"/>
      <c r="AM54" s="569"/>
      <c r="AN54" s="569"/>
      <c r="AO54" s="569"/>
      <c r="AP54" s="569"/>
      <c r="AQ54" s="569"/>
      <c r="AR54" s="569"/>
      <c r="AS54" s="569"/>
      <c r="AT54" s="569"/>
      <c r="AU54" s="569"/>
      <c r="AV54" s="569"/>
      <c r="AW54" s="569"/>
      <c r="AX54" s="569"/>
      <c r="AY54" s="569"/>
      <c r="AZ54" s="569"/>
      <c r="BA54" s="569"/>
      <c r="BB54" s="569"/>
      <c r="BC54" s="570"/>
      <c r="BD54" s="570"/>
      <c r="BE54" s="570"/>
      <c r="BF54" s="570"/>
      <c r="BG54" s="570"/>
      <c r="BH54" s="570"/>
      <c r="BI54" s="570"/>
      <c r="BJ54" s="570"/>
      <c r="BK54" s="570"/>
      <c r="BL54" s="570"/>
      <c r="BM54" s="570"/>
      <c r="BN54" s="570"/>
      <c r="BO54" s="570"/>
      <c r="BP54" s="570"/>
      <c r="BQ54" s="570"/>
    </row>
    <row r="55" spans="1:69" ht="49.5">
      <c r="A55" s="451"/>
      <c r="B55" s="34"/>
      <c r="C55" s="887" t="s">
        <v>41</v>
      </c>
      <c r="D55" s="887" t="s">
        <v>25</v>
      </c>
      <c r="E55" s="887" t="s">
        <v>25</v>
      </c>
      <c r="F55" s="887" t="s">
        <v>25</v>
      </c>
      <c r="G55" s="887" t="s">
        <v>42</v>
      </c>
      <c r="H55" s="889" t="s">
        <v>313</v>
      </c>
      <c r="I55" s="576" t="s">
        <v>314</v>
      </c>
      <c r="J55" s="566" t="s">
        <v>2479</v>
      </c>
      <c r="K55" s="115">
        <v>72</v>
      </c>
      <c r="L55" s="558">
        <v>750000000</v>
      </c>
      <c r="M55" s="115">
        <v>36</v>
      </c>
      <c r="N55" s="558">
        <v>1646440500</v>
      </c>
      <c r="O55" s="574">
        <v>12</v>
      </c>
      <c r="P55" s="890">
        <v>508027500</v>
      </c>
      <c r="Q55" s="115">
        <v>3</v>
      </c>
      <c r="R55" s="558">
        <v>210566500</v>
      </c>
      <c r="S55" s="451"/>
      <c r="T55" s="586">
        <v>30331800</v>
      </c>
      <c r="U55" s="451"/>
      <c r="V55" s="203"/>
      <c r="W55" s="451"/>
      <c r="X55" s="567"/>
      <c r="Y55" s="872">
        <f t="shared" si="15"/>
        <v>3</v>
      </c>
      <c r="Z55" s="888">
        <f t="shared" si="19"/>
        <v>240898300</v>
      </c>
      <c r="AA55" s="115">
        <f t="shared" si="16"/>
        <v>39</v>
      </c>
      <c r="AB55" s="888">
        <f t="shared" si="20"/>
        <v>1887338800</v>
      </c>
      <c r="AC55" s="572">
        <f t="shared" si="17"/>
        <v>54.166666666666664</v>
      </c>
      <c r="AD55" s="568">
        <f t="shared" si="21"/>
        <v>251.6451733333333</v>
      </c>
      <c r="AE55" s="451"/>
      <c r="AF55" s="569"/>
      <c r="AG55" s="569"/>
      <c r="AH55" s="569"/>
      <c r="AI55" s="569"/>
      <c r="AJ55" s="569"/>
      <c r="AK55" s="569"/>
      <c r="AL55" s="569"/>
      <c r="AM55" s="569"/>
      <c r="AN55" s="569"/>
      <c r="AO55" s="569"/>
      <c r="AP55" s="569"/>
      <c r="AQ55" s="569"/>
      <c r="AR55" s="569"/>
      <c r="AS55" s="569"/>
      <c r="AT55" s="569"/>
      <c r="AU55" s="569"/>
      <c r="AV55" s="569"/>
      <c r="AW55" s="569"/>
      <c r="AX55" s="569"/>
      <c r="AY55" s="569"/>
      <c r="AZ55" s="569"/>
      <c r="BA55" s="569"/>
      <c r="BB55" s="569"/>
      <c r="BC55" s="570"/>
      <c r="BD55" s="570"/>
      <c r="BE55" s="570"/>
      <c r="BF55" s="570"/>
      <c r="BG55" s="570"/>
      <c r="BH55" s="570"/>
      <c r="BI55" s="570"/>
      <c r="BJ55" s="570"/>
      <c r="BK55" s="570"/>
      <c r="BL55" s="570"/>
      <c r="BM55" s="570"/>
      <c r="BN55" s="570"/>
      <c r="BO55" s="570"/>
      <c r="BP55" s="570"/>
      <c r="BQ55" s="570"/>
    </row>
    <row r="56" spans="1:69" ht="66">
      <c r="A56" s="451"/>
      <c r="B56" s="34"/>
      <c r="C56" s="887" t="s">
        <v>41</v>
      </c>
      <c r="D56" s="887" t="s">
        <v>25</v>
      </c>
      <c r="E56" s="887" t="s">
        <v>25</v>
      </c>
      <c r="F56" s="887" t="s">
        <v>25</v>
      </c>
      <c r="G56" s="887" t="s">
        <v>42</v>
      </c>
      <c r="H56" s="889" t="s">
        <v>315</v>
      </c>
      <c r="I56" s="35" t="s">
        <v>316</v>
      </c>
      <c r="J56" s="34" t="s">
        <v>2481</v>
      </c>
      <c r="K56" s="115">
        <v>72</v>
      </c>
      <c r="L56" s="558">
        <v>160000000</v>
      </c>
      <c r="M56" s="115">
        <v>36</v>
      </c>
      <c r="N56" s="558">
        <v>66976750</v>
      </c>
      <c r="O56" s="574">
        <v>12</v>
      </c>
      <c r="P56" s="36">
        <v>64074250</v>
      </c>
      <c r="Q56" s="115">
        <v>3</v>
      </c>
      <c r="R56" s="558">
        <v>12253650</v>
      </c>
      <c r="S56" s="451">
        <v>1</v>
      </c>
      <c r="T56" s="586">
        <v>263794550</v>
      </c>
      <c r="U56" s="451"/>
      <c r="V56" s="203"/>
      <c r="W56" s="451"/>
      <c r="X56" s="567"/>
      <c r="Y56" s="872">
        <f t="shared" si="15"/>
        <v>4</v>
      </c>
      <c r="Z56" s="888">
        <f t="shared" si="19"/>
        <v>276048200</v>
      </c>
      <c r="AA56" s="115">
        <f t="shared" si="16"/>
        <v>40</v>
      </c>
      <c r="AB56" s="888">
        <f t="shared" si="20"/>
        <v>343024950</v>
      </c>
      <c r="AC56" s="572">
        <f t="shared" si="17"/>
        <v>55.555555555555557</v>
      </c>
      <c r="AD56" s="568">
        <f t="shared" si="21"/>
        <v>214.39059374999999</v>
      </c>
      <c r="AE56" s="451"/>
      <c r="AF56" s="569"/>
      <c r="AG56" s="569"/>
      <c r="AH56" s="569"/>
      <c r="AI56" s="569"/>
      <c r="AJ56" s="569"/>
      <c r="AK56" s="569"/>
      <c r="AL56" s="569"/>
      <c r="AM56" s="569"/>
      <c r="AN56" s="569"/>
      <c r="AO56" s="569"/>
      <c r="AP56" s="569"/>
      <c r="AQ56" s="569"/>
      <c r="AR56" s="569"/>
      <c r="AS56" s="569"/>
      <c r="AT56" s="569"/>
      <c r="AU56" s="569"/>
      <c r="AV56" s="569"/>
      <c r="AW56" s="569"/>
      <c r="AX56" s="569"/>
      <c r="AY56" s="569"/>
      <c r="AZ56" s="569"/>
      <c r="BA56" s="569"/>
      <c r="BB56" s="569"/>
      <c r="BC56" s="570"/>
      <c r="BD56" s="570"/>
      <c r="BE56" s="570"/>
      <c r="BF56" s="570"/>
      <c r="BG56" s="570"/>
      <c r="BH56" s="570"/>
      <c r="BI56" s="570"/>
      <c r="BJ56" s="570"/>
      <c r="BK56" s="570"/>
      <c r="BL56" s="570"/>
      <c r="BM56" s="570"/>
      <c r="BN56" s="570"/>
      <c r="BO56" s="570"/>
      <c r="BP56" s="570"/>
      <c r="BQ56" s="570"/>
    </row>
    <row r="57" spans="1:69" ht="66">
      <c r="A57" s="451"/>
      <c r="B57" s="34"/>
      <c r="C57" s="887" t="s">
        <v>41</v>
      </c>
      <c r="D57" s="887" t="s">
        <v>25</v>
      </c>
      <c r="E57" s="887" t="s">
        <v>25</v>
      </c>
      <c r="F57" s="887" t="s">
        <v>25</v>
      </c>
      <c r="G57" s="887" t="s">
        <v>42</v>
      </c>
      <c r="H57" s="889" t="s">
        <v>317</v>
      </c>
      <c r="I57" s="35" t="s">
        <v>318</v>
      </c>
      <c r="J57" s="34" t="s">
        <v>2480</v>
      </c>
      <c r="K57" s="115">
        <v>72</v>
      </c>
      <c r="L57" s="558">
        <f>4*82400000</f>
        <v>329600000</v>
      </c>
      <c r="M57" s="115">
        <v>36</v>
      </c>
      <c r="N57" s="558">
        <v>1000000000</v>
      </c>
      <c r="O57" s="574">
        <v>12</v>
      </c>
      <c r="P57" s="36">
        <v>104169500</v>
      </c>
      <c r="Q57" s="115">
        <v>3</v>
      </c>
      <c r="R57" s="558">
        <v>23107200</v>
      </c>
      <c r="S57" s="451">
        <v>1</v>
      </c>
      <c r="T57" s="586">
        <v>16003900</v>
      </c>
      <c r="U57" s="451"/>
      <c r="V57" s="203"/>
      <c r="W57" s="451"/>
      <c r="X57" s="567"/>
      <c r="Y57" s="872">
        <f t="shared" si="15"/>
        <v>4</v>
      </c>
      <c r="Z57" s="888">
        <f t="shared" si="19"/>
        <v>39111100</v>
      </c>
      <c r="AA57" s="115">
        <f t="shared" si="16"/>
        <v>40</v>
      </c>
      <c r="AB57" s="888">
        <f t="shared" si="20"/>
        <v>1039111100</v>
      </c>
      <c r="AC57" s="572">
        <f t="shared" si="17"/>
        <v>55.555555555555557</v>
      </c>
      <c r="AD57" s="568">
        <f t="shared" si="21"/>
        <v>315.26429004854373</v>
      </c>
      <c r="AE57" s="451"/>
      <c r="AF57" s="569"/>
      <c r="AG57" s="569"/>
      <c r="AH57" s="569"/>
      <c r="AI57" s="569"/>
      <c r="AJ57" s="569"/>
      <c r="AK57" s="569"/>
      <c r="AL57" s="569"/>
      <c r="AM57" s="569"/>
      <c r="AN57" s="569"/>
      <c r="AO57" s="569"/>
      <c r="AP57" s="569"/>
      <c r="AQ57" s="569"/>
      <c r="AR57" s="569"/>
      <c r="AS57" s="569"/>
      <c r="AT57" s="569"/>
      <c r="AU57" s="569"/>
      <c r="AV57" s="569"/>
      <c r="AW57" s="569"/>
      <c r="AX57" s="569"/>
      <c r="AY57" s="569"/>
      <c r="AZ57" s="569"/>
      <c r="BA57" s="569"/>
      <c r="BB57" s="569"/>
      <c r="BC57" s="570"/>
      <c r="BD57" s="570"/>
      <c r="BE57" s="570"/>
      <c r="BF57" s="570"/>
      <c r="BG57" s="570"/>
      <c r="BH57" s="570"/>
      <c r="BI57" s="570"/>
      <c r="BJ57" s="570"/>
      <c r="BK57" s="570"/>
      <c r="BL57" s="570"/>
      <c r="BM57" s="570"/>
      <c r="BN57" s="570"/>
      <c r="BO57" s="570"/>
      <c r="BP57" s="570"/>
      <c r="BQ57" s="570"/>
    </row>
    <row r="58" spans="1:69" ht="49.5">
      <c r="A58" s="451"/>
      <c r="B58" s="34"/>
      <c r="C58" s="887" t="s">
        <v>41</v>
      </c>
      <c r="D58" s="887" t="s">
        <v>25</v>
      </c>
      <c r="E58" s="887" t="s">
        <v>25</v>
      </c>
      <c r="F58" s="887" t="s">
        <v>25</v>
      </c>
      <c r="G58" s="887" t="s">
        <v>42</v>
      </c>
      <c r="H58" s="889" t="s">
        <v>44</v>
      </c>
      <c r="I58" s="34" t="s">
        <v>319</v>
      </c>
      <c r="J58" s="34" t="s">
        <v>2482</v>
      </c>
      <c r="K58" s="115">
        <v>50</v>
      </c>
      <c r="L58" s="558">
        <v>575000000</v>
      </c>
      <c r="M58" s="115">
        <v>3</v>
      </c>
      <c r="N58" s="558">
        <v>117406200</v>
      </c>
      <c r="O58" s="573">
        <v>36</v>
      </c>
      <c r="P58" s="558">
        <v>1425950000</v>
      </c>
      <c r="Q58" s="115">
        <v>0</v>
      </c>
      <c r="R58" s="558">
        <v>0</v>
      </c>
      <c r="S58" s="451">
        <v>1</v>
      </c>
      <c r="T58" s="586">
        <v>43024950</v>
      </c>
      <c r="U58" s="451"/>
      <c r="V58" s="203"/>
      <c r="W58" s="451"/>
      <c r="X58" s="567"/>
      <c r="Y58" s="872">
        <f t="shared" si="15"/>
        <v>1</v>
      </c>
      <c r="Z58" s="888">
        <f t="shared" si="19"/>
        <v>43024950</v>
      </c>
      <c r="AA58" s="115">
        <f t="shared" si="16"/>
        <v>4</v>
      </c>
      <c r="AB58" s="888">
        <f t="shared" si="20"/>
        <v>160431150</v>
      </c>
      <c r="AC58" s="572">
        <f t="shared" si="17"/>
        <v>8</v>
      </c>
      <c r="AD58" s="568">
        <f t="shared" si="21"/>
        <v>27.901069565217391</v>
      </c>
      <c r="AE58" s="451"/>
      <c r="AF58" s="569"/>
      <c r="AG58" s="569"/>
      <c r="AH58" s="569"/>
      <c r="AI58" s="569"/>
      <c r="AJ58" s="569"/>
      <c r="AK58" s="569"/>
      <c r="AL58" s="569"/>
      <c r="AM58" s="569"/>
      <c r="AN58" s="569"/>
      <c r="AO58" s="569"/>
      <c r="AP58" s="569"/>
      <c r="AQ58" s="569"/>
      <c r="AR58" s="569"/>
      <c r="AS58" s="569"/>
      <c r="AT58" s="569"/>
      <c r="AU58" s="569"/>
      <c r="AV58" s="569"/>
      <c r="AW58" s="569"/>
      <c r="AX58" s="569"/>
      <c r="AY58" s="569"/>
      <c r="AZ58" s="569"/>
      <c r="BA58" s="569"/>
      <c r="BB58" s="569"/>
      <c r="BC58" s="570"/>
      <c r="BD58" s="570"/>
      <c r="BE58" s="570"/>
      <c r="BF58" s="570"/>
      <c r="BG58" s="570"/>
      <c r="BH58" s="570"/>
      <c r="BI58" s="570"/>
      <c r="BJ58" s="570"/>
      <c r="BK58" s="570"/>
      <c r="BL58" s="570"/>
      <c r="BM58" s="570"/>
      <c r="BN58" s="570"/>
      <c r="BO58" s="570"/>
      <c r="BP58" s="570"/>
      <c r="BQ58" s="570"/>
    </row>
    <row r="59" spans="1:69" ht="49.5">
      <c r="A59" s="451"/>
      <c r="B59" s="34"/>
      <c r="C59" s="887" t="s">
        <v>41</v>
      </c>
      <c r="D59" s="887" t="s">
        <v>25</v>
      </c>
      <c r="E59" s="887" t="s">
        <v>25</v>
      </c>
      <c r="F59" s="887" t="s">
        <v>25</v>
      </c>
      <c r="G59" s="887" t="s">
        <v>42</v>
      </c>
      <c r="H59" s="889" t="s">
        <v>320</v>
      </c>
      <c r="I59" s="34" t="s">
        <v>321</v>
      </c>
      <c r="J59" s="34" t="s">
        <v>2483</v>
      </c>
      <c r="K59" s="115">
        <v>72</v>
      </c>
      <c r="L59" s="558">
        <v>137000000</v>
      </c>
      <c r="M59" s="115">
        <v>36</v>
      </c>
      <c r="N59" s="558">
        <v>306247250</v>
      </c>
      <c r="O59" s="574">
        <v>12</v>
      </c>
      <c r="P59" s="558">
        <v>127717600</v>
      </c>
      <c r="Q59" s="115">
        <v>3</v>
      </c>
      <c r="R59" s="558">
        <v>0</v>
      </c>
      <c r="S59" s="451">
        <v>0</v>
      </c>
      <c r="T59" s="586">
        <v>27000000</v>
      </c>
      <c r="U59" s="451"/>
      <c r="V59" s="203"/>
      <c r="W59" s="451"/>
      <c r="X59" s="567"/>
      <c r="Y59" s="872">
        <f t="shared" si="15"/>
        <v>3</v>
      </c>
      <c r="Z59" s="888">
        <f t="shared" si="19"/>
        <v>27000000</v>
      </c>
      <c r="AA59" s="115">
        <f t="shared" si="16"/>
        <v>39</v>
      </c>
      <c r="AB59" s="888">
        <f t="shared" si="20"/>
        <v>333247250</v>
      </c>
      <c r="AC59" s="572">
        <f t="shared" si="17"/>
        <v>54.166666666666664</v>
      </c>
      <c r="AD59" s="568">
        <f t="shared" si="21"/>
        <v>243.24616788321168</v>
      </c>
      <c r="AE59" s="451"/>
      <c r="AF59" s="569"/>
      <c r="AG59" s="569"/>
      <c r="AH59" s="569"/>
      <c r="AI59" s="569"/>
      <c r="AJ59" s="569"/>
      <c r="AK59" s="569"/>
      <c r="AL59" s="569"/>
      <c r="AM59" s="569"/>
      <c r="AN59" s="569"/>
      <c r="AO59" s="569"/>
      <c r="AP59" s="569"/>
      <c r="AQ59" s="569"/>
      <c r="AR59" s="569"/>
      <c r="AS59" s="569"/>
      <c r="AT59" s="569"/>
      <c r="AU59" s="569"/>
      <c r="AV59" s="569"/>
      <c r="AW59" s="569"/>
      <c r="AX59" s="569"/>
      <c r="AY59" s="569"/>
      <c r="AZ59" s="569"/>
      <c r="BA59" s="569"/>
      <c r="BB59" s="569"/>
      <c r="BC59" s="570"/>
      <c r="BD59" s="570"/>
      <c r="BE59" s="570"/>
      <c r="BF59" s="570"/>
      <c r="BG59" s="570"/>
      <c r="BH59" s="570"/>
      <c r="BI59" s="570"/>
      <c r="BJ59" s="570"/>
      <c r="BK59" s="570"/>
      <c r="BL59" s="570"/>
      <c r="BM59" s="570"/>
      <c r="BN59" s="570"/>
      <c r="BO59" s="570"/>
      <c r="BP59" s="570"/>
      <c r="BQ59" s="570"/>
    </row>
    <row r="60" spans="1:69" ht="49.5">
      <c r="A60" s="451"/>
      <c r="B60" s="34"/>
      <c r="C60" s="887" t="s">
        <v>41</v>
      </c>
      <c r="D60" s="887" t="s">
        <v>25</v>
      </c>
      <c r="E60" s="887" t="s">
        <v>25</v>
      </c>
      <c r="F60" s="887" t="s">
        <v>25</v>
      </c>
      <c r="G60" s="887" t="s">
        <v>42</v>
      </c>
      <c r="H60" s="889" t="s">
        <v>322</v>
      </c>
      <c r="I60" s="34" t="s">
        <v>323</v>
      </c>
      <c r="J60" s="34" t="s">
        <v>324</v>
      </c>
      <c r="K60" s="115">
        <v>6</v>
      </c>
      <c r="L60" s="1303">
        <f>6*125000000</f>
        <v>750000000</v>
      </c>
      <c r="M60" s="115"/>
      <c r="N60" s="558"/>
      <c r="O60" s="574">
        <v>1</v>
      </c>
      <c r="P60" s="558">
        <v>180000000</v>
      </c>
      <c r="Q60" s="115">
        <v>0</v>
      </c>
      <c r="R60" s="558">
        <v>57032400</v>
      </c>
      <c r="S60" s="451">
        <v>0</v>
      </c>
      <c r="T60" s="586">
        <v>0</v>
      </c>
      <c r="U60" s="451"/>
      <c r="V60" s="203"/>
      <c r="W60" s="451"/>
      <c r="X60" s="567"/>
      <c r="Y60" s="872">
        <f t="shared" si="15"/>
        <v>0</v>
      </c>
      <c r="Z60" s="888">
        <f t="shared" si="19"/>
        <v>57032400</v>
      </c>
      <c r="AA60" s="115">
        <f t="shared" si="16"/>
        <v>0</v>
      </c>
      <c r="AB60" s="888">
        <f t="shared" si="20"/>
        <v>57032400</v>
      </c>
      <c r="AC60" s="572">
        <f t="shared" si="17"/>
        <v>0</v>
      </c>
      <c r="AD60" s="568">
        <f t="shared" si="21"/>
        <v>7.6043200000000004</v>
      </c>
      <c r="AE60" s="451"/>
      <c r="AF60" s="569"/>
      <c r="AG60" s="569"/>
      <c r="AH60" s="569"/>
      <c r="AI60" s="569"/>
      <c r="AJ60" s="569"/>
      <c r="AK60" s="569"/>
      <c r="AL60" s="569"/>
      <c r="AM60" s="569"/>
      <c r="AN60" s="569"/>
      <c r="AO60" s="569"/>
      <c r="AP60" s="569"/>
      <c r="AQ60" s="569"/>
      <c r="AR60" s="569"/>
      <c r="AS60" s="569"/>
      <c r="AT60" s="569"/>
      <c r="AU60" s="569"/>
      <c r="AV60" s="569"/>
      <c r="AW60" s="569"/>
      <c r="AX60" s="569"/>
      <c r="AY60" s="569"/>
      <c r="AZ60" s="569"/>
      <c r="BA60" s="569"/>
      <c r="BB60" s="569"/>
      <c r="BC60" s="570"/>
      <c r="BD60" s="570"/>
      <c r="BE60" s="570"/>
      <c r="BF60" s="570"/>
      <c r="BG60" s="570"/>
      <c r="BH60" s="570"/>
      <c r="BI60" s="570"/>
      <c r="BJ60" s="570"/>
      <c r="BK60" s="570"/>
      <c r="BL60" s="570"/>
      <c r="BM60" s="570"/>
      <c r="BN60" s="570"/>
      <c r="BO60" s="570"/>
      <c r="BP60" s="570"/>
      <c r="BQ60" s="570"/>
    </row>
    <row r="61" spans="1:69" ht="49.5">
      <c r="A61" s="451"/>
      <c r="B61" s="34"/>
      <c r="C61" s="887" t="s">
        <v>41</v>
      </c>
      <c r="D61" s="887" t="s">
        <v>25</v>
      </c>
      <c r="E61" s="887" t="s">
        <v>25</v>
      </c>
      <c r="F61" s="887" t="s">
        <v>25</v>
      </c>
      <c r="G61" s="887" t="s">
        <v>42</v>
      </c>
      <c r="H61" s="889" t="s">
        <v>325</v>
      </c>
      <c r="I61" s="34" t="s">
        <v>2484</v>
      </c>
      <c r="J61" s="34" t="s">
        <v>2485</v>
      </c>
      <c r="K61" s="115">
        <v>3</v>
      </c>
      <c r="L61" s="1303">
        <f>45000000*10</f>
        <v>450000000</v>
      </c>
      <c r="M61" s="115"/>
      <c r="N61" s="558">
        <v>0</v>
      </c>
      <c r="O61" s="574">
        <v>1</v>
      </c>
      <c r="P61" s="558">
        <v>150000000</v>
      </c>
      <c r="Q61" s="115">
        <v>0</v>
      </c>
      <c r="R61" s="558">
        <v>0</v>
      </c>
      <c r="S61" s="451">
        <v>68.27000000000001</v>
      </c>
      <c r="T61" s="586">
        <v>116975600</v>
      </c>
      <c r="U61" s="451"/>
      <c r="V61" s="203"/>
      <c r="W61" s="451"/>
      <c r="X61" s="567"/>
      <c r="Y61" s="872">
        <f t="shared" si="15"/>
        <v>68.27000000000001</v>
      </c>
      <c r="Z61" s="888">
        <f t="shared" si="19"/>
        <v>116975600</v>
      </c>
      <c r="AA61" s="115">
        <f t="shared" si="16"/>
        <v>68.27000000000001</v>
      </c>
      <c r="AB61" s="888">
        <f t="shared" si="20"/>
        <v>116975600</v>
      </c>
      <c r="AC61" s="572">
        <f t="shared" si="17"/>
        <v>2275.666666666667</v>
      </c>
      <c r="AD61" s="568">
        <f t="shared" si="21"/>
        <v>25.994577777777778</v>
      </c>
      <c r="AE61" s="451"/>
      <c r="AF61" s="569"/>
      <c r="AG61" s="569"/>
      <c r="AH61" s="569"/>
      <c r="AI61" s="569"/>
      <c r="AJ61" s="569"/>
      <c r="AK61" s="569"/>
      <c r="AL61" s="569"/>
      <c r="AM61" s="569"/>
      <c r="AN61" s="569"/>
      <c r="AO61" s="569"/>
      <c r="AP61" s="569"/>
      <c r="AQ61" s="569"/>
      <c r="AR61" s="569"/>
      <c r="AS61" s="569"/>
      <c r="AT61" s="569"/>
      <c r="AU61" s="569"/>
      <c r="AV61" s="569"/>
      <c r="AW61" s="569"/>
      <c r="AX61" s="569"/>
      <c r="AY61" s="569"/>
      <c r="AZ61" s="569"/>
      <c r="BA61" s="569"/>
      <c r="BB61" s="569"/>
      <c r="BC61" s="570"/>
      <c r="BD61" s="570"/>
      <c r="BE61" s="570"/>
      <c r="BF61" s="570"/>
      <c r="BG61" s="570"/>
      <c r="BH61" s="570"/>
      <c r="BI61" s="570"/>
      <c r="BJ61" s="570"/>
      <c r="BK61" s="570"/>
      <c r="BL61" s="570"/>
      <c r="BM61" s="570"/>
      <c r="BN61" s="570"/>
      <c r="BO61" s="570"/>
      <c r="BP61" s="570"/>
      <c r="BQ61" s="570"/>
    </row>
    <row r="62" spans="1:69" ht="66">
      <c r="A62" s="451"/>
      <c r="B62" s="34"/>
      <c r="C62" s="887" t="s">
        <v>41</v>
      </c>
      <c r="D62" s="887" t="s">
        <v>25</v>
      </c>
      <c r="E62" s="887" t="s">
        <v>25</v>
      </c>
      <c r="F62" s="887" t="s">
        <v>25</v>
      </c>
      <c r="G62" s="887" t="s">
        <v>42</v>
      </c>
      <c r="H62" s="889" t="s">
        <v>326</v>
      </c>
      <c r="I62" s="211" t="s">
        <v>327</v>
      </c>
      <c r="J62" s="35" t="s">
        <v>2486</v>
      </c>
      <c r="K62" s="567">
        <f>O62+M62</f>
        <v>628.14575000000002</v>
      </c>
      <c r="L62" s="558">
        <f>N62+P62</f>
        <v>3768874500</v>
      </c>
      <c r="M62" s="567">
        <f>N62/6000000</f>
        <v>378.24574999999999</v>
      </c>
      <c r="N62" s="558">
        <v>2269474500</v>
      </c>
      <c r="O62" s="1329">
        <f>P62/6000000</f>
        <v>249.9</v>
      </c>
      <c r="P62" s="890">
        <v>1499400000</v>
      </c>
      <c r="Q62" s="115">
        <v>0</v>
      </c>
      <c r="R62" s="558">
        <v>0</v>
      </c>
      <c r="S62" s="451">
        <v>1</v>
      </c>
      <c r="T62" s="586">
        <v>145253930</v>
      </c>
      <c r="U62" s="451"/>
      <c r="V62" s="203"/>
      <c r="W62" s="451"/>
      <c r="X62" s="567"/>
      <c r="Y62" s="872">
        <f t="shared" si="15"/>
        <v>1</v>
      </c>
      <c r="Z62" s="888">
        <f t="shared" si="19"/>
        <v>145253930</v>
      </c>
      <c r="AA62" s="115">
        <f t="shared" si="16"/>
        <v>379.24574999999999</v>
      </c>
      <c r="AB62" s="888">
        <f t="shared" si="20"/>
        <v>2414728430</v>
      </c>
      <c r="AC62" s="572">
        <f t="shared" si="17"/>
        <v>60.375438343728341</v>
      </c>
      <c r="AD62" s="568">
        <f t="shared" si="21"/>
        <v>64.070279602040344</v>
      </c>
      <c r="AE62" s="451"/>
      <c r="AF62" s="569"/>
      <c r="AG62" s="569"/>
      <c r="AH62" s="569"/>
      <c r="AI62" s="569"/>
      <c r="AJ62" s="569"/>
      <c r="AK62" s="569"/>
      <c r="AL62" s="569"/>
      <c r="AM62" s="569"/>
      <c r="AN62" s="569"/>
      <c r="AO62" s="569"/>
      <c r="AP62" s="569"/>
      <c r="AQ62" s="569"/>
      <c r="AR62" s="569"/>
      <c r="AS62" s="569"/>
      <c r="AT62" s="569"/>
      <c r="AU62" s="569"/>
      <c r="AV62" s="569"/>
      <c r="AW62" s="569"/>
      <c r="AX62" s="569"/>
      <c r="AY62" s="569"/>
      <c r="AZ62" s="569"/>
      <c r="BA62" s="569"/>
      <c r="BB62" s="569"/>
      <c r="BC62" s="570"/>
      <c r="BD62" s="570"/>
      <c r="BE62" s="570"/>
      <c r="BF62" s="570"/>
      <c r="BG62" s="570"/>
      <c r="BH62" s="570"/>
      <c r="BI62" s="570"/>
      <c r="BJ62" s="570"/>
      <c r="BK62" s="570"/>
      <c r="BL62" s="570"/>
      <c r="BM62" s="570"/>
      <c r="BN62" s="570"/>
      <c r="BO62" s="570"/>
      <c r="BP62" s="570"/>
      <c r="BQ62" s="570"/>
    </row>
    <row r="63" spans="1:69" ht="37.5" customHeight="1">
      <c r="A63" s="451"/>
      <c r="B63" s="34"/>
      <c r="C63" s="887" t="s">
        <v>41</v>
      </c>
      <c r="D63" s="887" t="s">
        <v>25</v>
      </c>
      <c r="E63" s="887" t="s">
        <v>25</v>
      </c>
      <c r="F63" s="887" t="s">
        <v>25</v>
      </c>
      <c r="G63" s="887" t="s">
        <v>42</v>
      </c>
      <c r="H63" s="889" t="s">
        <v>47</v>
      </c>
      <c r="I63" s="34" t="s">
        <v>328</v>
      </c>
      <c r="J63" s="34" t="s">
        <v>2487</v>
      </c>
      <c r="K63" s="1330">
        <v>200</v>
      </c>
      <c r="L63" s="30">
        <f>3*P63</f>
        <v>9528067500</v>
      </c>
      <c r="M63" s="115">
        <v>43</v>
      </c>
      <c r="N63" s="558">
        <v>2469389664</v>
      </c>
      <c r="O63" s="573">
        <v>64</v>
      </c>
      <c r="P63" s="558">
        <v>3176022500</v>
      </c>
      <c r="Q63" s="115">
        <v>0</v>
      </c>
      <c r="R63" s="558">
        <v>0</v>
      </c>
      <c r="S63" s="451">
        <v>5</v>
      </c>
      <c r="T63" s="586">
        <v>1490682250</v>
      </c>
      <c r="U63" s="451"/>
      <c r="V63" s="203"/>
      <c r="W63" s="451"/>
      <c r="X63" s="567"/>
      <c r="Y63" s="872">
        <f t="shared" si="15"/>
        <v>5</v>
      </c>
      <c r="Z63" s="888">
        <f t="shared" si="19"/>
        <v>1490682250</v>
      </c>
      <c r="AA63" s="115">
        <f t="shared" si="16"/>
        <v>48</v>
      </c>
      <c r="AB63" s="888">
        <f t="shared" si="20"/>
        <v>3960071914</v>
      </c>
      <c r="AC63" s="572">
        <f t="shared" si="17"/>
        <v>24</v>
      </c>
      <c r="AD63" s="568">
        <f t="shared" si="21"/>
        <v>41.56217316890335</v>
      </c>
      <c r="AE63" s="451"/>
      <c r="AF63" s="569"/>
      <c r="AG63" s="569"/>
      <c r="AH63" s="569"/>
      <c r="AI63" s="569"/>
      <c r="AJ63" s="569"/>
      <c r="AK63" s="569"/>
      <c r="AL63" s="569"/>
      <c r="AM63" s="569"/>
      <c r="AN63" s="569"/>
      <c r="AO63" s="569"/>
      <c r="AP63" s="569"/>
      <c r="AQ63" s="569"/>
      <c r="AR63" s="569"/>
      <c r="AS63" s="569"/>
      <c r="AT63" s="569"/>
      <c r="AU63" s="569"/>
      <c r="AV63" s="569"/>
      <c r="AW63" s="569"/>
      <c r="AX63" s="569"/>
      <c r="AY63" s="569"/>
      <c r="AZ63" s="569"/>
      <c r="BA63" s="569"/>
      <c r="BB63" s="569"/>
      <c r="BC63" s="570"/>
      <c r="BD63" s="570"/>
      <c r="BE63" s="570"/>
      <c r="BF63" s="570"/>
      <c r="BG63" s="570"/>
      <c r="BH63" s="570"/>
      <c r="BI63" s="570"/>
      <c r="BJ63" s="570"/>
      <c r="BK63" s="570"/>
      <c r="BL63" s="570"/>
      <c r="BM63" s="570"/>
      <c r="BN63" s="570"/>
      <c r="BO63" s="570"/>
      <c r="BP63" s="570"/>
      <c r="BQ63" s="570"/>
    </row>
    <row r="64" spans="1:69" ht="66">
      <c r="A64" s="451"/>
      <c r="B64" s="34"/>
      <c r="C64" s="887" t="s">
        <v>41</v>
      </c>
      <c r="D64" s="887" t="s">
        <v>25</v>
      </c>
      <c r="E64" s="887" t="s">
        <v>25</v>
      </c>
      <c r="F64" s="887" t="s">
        <v>25</v>
      </c>
      <c r="G64" s="887" t="s">
        <v>42</v>
      </c>
      <c r="H64" s="889" t="s">
        <v>329</v>
      </c>
      <c r="I64" s="211" t="s">
        <v>330</v>
      </c>
      <c r="J64" s="34" t="s">
        <v>2488</v>
      </c>
      <c r="K64" s="115">
        <v>72</v>
      </c>
      <c r="L64" s="558">
        <f>6*P64</f>
        <v>1324342800</v>
      </c>
      <c r="M64" s="115">
        <v>36</v>
      </c>
      <c r="N64" s="558">
        <v>621181877</v>
      </c>
      <c r="O64" s="574">
        <v>12</v>
      </c>
      <c r="P64" s="575">
        <v>220723800</v>
      </c>
      <c r="Q64" s="115">
        <v>3</v>
      </c>
      <c r="R64" s="558">
        <v>46049564</v>
      </c>
      <c r="S64" s="451">
        <v>0</v>
      </c>
      <c r="T64" s="586">
        <v>25945700</v>
      </c>
      <c r="U64" s="451"/>
      <c r="V64" s="203"/>
      <c r="W64" s="451"/>
      <c r="X64" s="567"/>
      <c r="Y64" s="872">
        <f t="shared" si="15"/>
        <v>3</v>
      </c>
      <c r="Z64" s="888">
        <f t="shared" si="19"/>
        <v>71995264</v>
      </c>
      <c r="AA64" s="115">
        <f t="shared" si="16"/>
        <v>39</v>
      </c>
      <c r="AB64" s="888">
        <f t="shared" si="20"/>
        <v>693177141</v>
      </c>
      <c r="AC64" s="572">
        <f t="shared" si="17"/>
        <v>54.166666666666664</v>
      </c>
      <c r="AD64" s="568">
        <f t="shared" si="21"/>
        <v>52.341217168243745</v>
      </c>
      <c r="AE64" s="451"/>
      <c r="AF64" s="569"/>
      <c r="AG64" s="569"/>
      <c r="AH64" s="569"/>
      <c r="AI64" s="569"/>
      <c r="AJ64" s="569"/>
      <c r="AK64" s="569"/>
      <c r="AL64" s="569"/>
      <c r="AM64" s="569"/>
      <c r="AN64" s="569"/>
      <c r="AO64" s="569"/>
      <c r="AP64" s="569"/>
      <c r="AQ64" s="569"/>
      <c r="AR64" s="569"/>
      <c r="AS64" s="569"/>
      <c r="AT64" s="569"/>
      <c r="AU64" s="569"/>
      <c r="AV64" s="569"/>
      <c r="AW64" s="569"/>
      <c r="AX64" s="569"/>
      <c r="AY64" s="569"/>
      <c r="AZ64" s="569"/>
      <c r="BA64" s="569"/>
      <c r="BB64" s="569"/>
      <c r="BC64" s="570"/>
      <c r="BD64" s="570"/>
      <c r="BE64" s="570"/>
      <c r="BF64" s="570"/>
      <c r="BG64" s="570"/>
      <c r="BH64" s="570"/>
      <c r="BI64" s="570"/>
      <c r="BJ64" s="570"/>
      <c r="BK64" s="570"/>
      <c r="BL64" s="570"/>
      <c r="BM64" s="570"/>
      <c r="BN64" s="570"/>
      <c r="BO64" s="570"/>
      <c r="BP64" s="570"/>
      <c r="BQ64" s="570"/>
    </row>
    <row r="65" spans="1:69" ht="33">
      <c r="A65" s="451"/>
      <c r="B65" s="34"/>
      <c r="C65" s="887" t="s">
        <v>41</v>
      </c>
      <c r="D65" s="887" t="s">
        <v>25</v>
      </c>
      <c r="E65" s="887" t="s">
        <v>25</v>
      </c>
      <c r="F65" s="887" t="s">
        <v>25</v>
      </c>
      <c r="G65" s="887" t="s">
        <v>42</v>
      </c>
      <c r="H65" s="889" t="s">
        <v>331</v>
      </c>
      <c r="I65" s="35" t="s">
        <v>332</v>
      </c>
      <c r="J65" s="35" t="s">
        <v>2489</v>
      </c>
      <c r="K65" s="115">
        <v>12</v>
      </c>
      <c r="L65" s="558">
        <f>((4*184258)+199978)*1000</f>
        <v>937010000</v>
      </c>
      <c r="M65" s="115">
        <v>6</v>
      </c>
      <c r="N65" s="558">
        <v>572845850</v>
      </c>
      <c r="O65" s="574">
        <v>2</v>
      </c>
      <c r="P65" s="890">
        <v>152215700</v>
      </c>
      <c r="Q65" s="115">
        <v>1</v>
      </c>
      <c r="R65" s="558">
        <v>95135600</v>
      </c>
      <c r="S65" s="451">
        <v>3</v>
      </c>
      <c r="T65" s="586">
        <v>90561664</v>
      </c>
      <c r="U65" s="451"/>
      <c r="V65" s="203"/>
      <c r="W65" s="451"/>
      <c r="X65" s="567"/>
      <c r="Y65" s="872">
        <f t="shared" si="15"/>
        <v>4</v>
      </c>
      <c r="Z65" s="888">
        <f t="shared" si="19"/>
        <v>185697264</v>
      </c>
      <c r="AA65" s="115">
        <f t="shared" si="16"/>
        <v>10</v>
      </c>
      <c r="AB65" s="888">
        <f t="shared" si="20"/>
        <v>758543114</v>
      </c>
      <c r="AC65" s="572">
        <f t="shared" si="17"/>
        <v>83.333333333333343</v>
      </c>
      <c r="AD65" s="568">
        <f t="shared" si="21"/>
        <v>80.953577229698723</v>
      </c>
      <c r="AE65" s="451"/>
      <c r="AF65" s="569"/>
      <c r="AG65" s="569"/>
      <c r="AH65" s="569"/>
      <c r="AI65" s="569"/>
      <c r="AJ65" s="569"/>
      <c r="AK65" s="569"/>
      <c r="AL65" s="569"/>
      <c r="AM65" s="569"/>
      <c r="AN65" s="569"/>
      <c r="AO65" s="569"/>
      <c r="AP65" s="569"/>
      <c r="AQ65" s="569"/>
      <c r="AR65" s="569"/>
      <c r="AS65" s="569"/>
      <c r="AT65" s="569"/>
      <c r="AU65" s="569"/>
      <c r="AV65" s="569"/>
      <c r="AW65" s="569"/>
      <c r="AX65" s="569"/>
      <c r="AY65" s="569"/>
      <c r="AZ65" s="569"/>
      <c r="BA65" s="569"/>
      <c r="BB65" s="569"/>
      <c r="BC65" s="570"/>
      <c r="BD65" s="570"/>
      <c r="BE65" s="570"/>
      <c r="BF65" s="570"/>
      <c r="BG65" s="570"/>
      <c r="BH65" s="570"/>
      <c r="BI65" s="570"/>
      <c r="BJ65" s="570"/>
      <c r="BK65" s="570"/>
      <c r="BL65" s="570"/>
      <c r="BM65" s="570"/>
      <c r="BN65" s="570"/>
      <c r="BO65" s="570"/>
      <c r="BP65" s="570"/>
      <c r="BQ65" s="570"/>
    </row>
    <row r="66" spans="1:69" ht="33">
      <c r="A66" s="451"/>
      <c r="B66" s="34"/>
      <c r="C66" s="577">
        <v>1</v>
      </c>
      <c r="D66" s="577" t="s">
        <v>25</v>
      </c>
      <c r="E66" s="577" t="s">
        <v>25</v>
      </c>
      <c r="F66" s="577" t="s">
        <v>25</v>
      </c>
      <c r="G66" s="577" t="s">
        <v>42</v>
      </c>
      <c r="H66" s="577">
        <v>44</v>
      </c>
      <c r="I66" s="35" t="s">
        <v>333</v>
      </c>
      <c r="J66" s="35" t="s">
        <v>2490</v>
      </c>
      <c r="K66" s="115">
        <f>3*O66</f>
        <v>48</v>
      </c>
      <c r="L66" s="558">
        <f t="shared" ref="L66:L70" si="25">6*P66</f>
        <v>6150000000</v>
      </c>
      <c r="M66" s="115">
        <v>0</v>
      </c>
      <c r="N66" s="558">
        <v>0</v>
      </c>
      <c r="O66" s="574">
        <v>16</v>
      </c>
      <c r="P66" s="890">
        <v>1025000000</v>
      </c>
      <c r="Q66" s="115">
        <v>0</v>
      </c>
      <c r="R66" s="558">
        <v>41889750</v>
      </c>
      <c r="S66" s="451">
        <v>472</v>
      </c>
      <c r="T66" s="581">
        <v>25950300</v>
      </c>
      <c r="U66" s="451"/>
      <c r="V66" s="203"/>
      <c r="W66" s="451"/>
      <c r="X66" s="567"/>
      <c r="Y66" s="872">
        <f t="shared" ref="Y66:Y97" si="26">Q66+S66+U66+W66</f>
        <v>472</v>
      </c>
      <c r="Z66" s="888">
        <f t="shared" si="19"/>
        <v>67840050</v>
      </c>
      <c r="AA66" s="115">
        <f t="shared" si="16"/>
        <v>472</v>
      </c>
      <c r="AB66" s="888">
        <f t="shared" si="20"/>
        <v>67840050</v>
      </c>
      <c r="AC66" s="568">
        <f t="shared" si="17"/>
        <v>983.33333333333337</v>
      </c>
      <c r="AD66" s="568">
        <f t="shared" si="21"/>
        <v>1.103090243902439</v>
      </c>
      <c r="AE66" s="451"/>
      <c r="AF66" s="569"/>
      <c r="AG66" s="569"/>
      <c r="AH66" s="569"/>
      <c r="AI66" s="569"/>
      <c r="AJ66" s="569"/>
      <c r="AK66" s="569"/>
      <c r="AL66" s="569"/>
      <c r="AM66" s="569"/>
      <c r="AN66" s="569"/>
      <c r="AO66" s="569"/>
      <c r="AP66" s="569"/>
      <c r="AQ66" s="569"/>
      <c r="AR66" s="569"/>
      <c r="AS66" s="569"/>
      <c r="AT66" s="569"/>
      <c r="AU66" s="569"/>
      <c r="AV66" s="569"/>
      <c r="AW66" s="569"/>
      <c r="AX66" s="569"/>
      <c r="AY66" s="569"/>
      <c r="AZ66" s="569"/>
      <c r="BA66" s="569"/>
      <c r="BB66" s="569"/>
      <c r="BC66" s="570"/>
      <c r="BD66" s="570"/>
      <c r="BE66" s="570"/>
      <c r="BF66" s="570"/>
      <c r="BG66" s="570"/>
      <c r="BH66" s="570"/>
      <c r="BI66" s="570"/>
      <c r="BJ66" s="570"/>
      <c r="BK66" s="570"/>
      <c r="BL66" s="570"/>
      <c r="BM66" s="570"/>
      <c r="BN66" s="570"/>
      <c r="BO66" s="570"/>
      <c r="BP66" s="570"/>
      <c r="BQ66" s="570"/>
    </row>
    <row r="67" spans="1:69" ht="49.5">
      <c r="A67" s="451"/>
      <c r="B67" s="34"/>
      <c r="C67" s="577">
        <v>1</v>
      </c>
      <c r="D67" s="577" t="s">
        <v>25</v>
      </c>
      <c r="E67" s="577" t="s">
        <v>25</v>
      </c>
      <c r="F67" s="577" t="s">
        <v>25</v>
      </c>
      <c r="G67" s="577" t="s">
        <v>42</v>
      </c>
      <c r="H67" s="577">
        <v>59</v>
      </c>
      <c r="I67" s="45" t="s">
        <v>334</v>
      </c>
      <c r="J67" s="566" t="s">
        <v>2491</v>
      </c>
      <c r="K67" s="115">
        <v>6</v>
      </c>
      <c r="L67" s="558">
        <f>3*N67</f>
        <v>2036401500</v>
      </c>
      <c r="M67" s="115">
        <v>3</v>
      </c>
      <c r="N67" s="558">
        <v>678800500</v>
      </c>
      <c r="O67" s="574">
        <v>1</v>
      </c>
      <c r="P67" s="890">
        <v>235275000</v>
      </c>
      <c r="Q67" s="115">
        <v>0</v>
      </c>
      <c r="R67" s="558">
        <v>0</v>
      </c>
      <c r="S67" s="577">
        <v>16</v>
      </c>
      <c r="T67" s="586">
        <v>966141000</v>
      </c>
      <c r="U67" s="451"/>
      <c r="V67" s="203"/>
      <c r="W67" s="451"/>
      <c r="X67" s="115"/>
      <c r="Y67" s="872">
        <f t="shared" si="26"/>
        <v>16</v>
      </c>
      <c r="Z67" s="888">
        <f t="shared" si="19"/>
        <v>966141000</v>
      </c>
      <c r="AA67" s="115">
        <f t="shared" si="16"/>
        <v>19</v>
      </c>
      <c r="AB67" s="888">
        <f t="shared" si="20"/>
        <v>1644941500</v>
      </c>
      <c r="AC67" s="568">
        <f t="shared" si="17"/>
        <v>316.66666666666663</v>
      </c>
      <c r="AD67" s="568">
        <f t="shared" si="21"/>
        <v>80.776875287117988</v>
      </c>
      <c r="AE67" s="451"/>
      <c r="AF67" s="569"/>
      <c r="AG67" s="569"/>
      <c r="AH67" s="569"/>
      <c r="AI67" s="569"/>
      <c r="AJ67" s="569"/>
      <c r="AK67" s="569"/>
      <c r="AL67" s="569"/>
      <c r="AM67" s="569"/>
      <c r="AN67" s="569"/>
      <c r="AO67" s="569"/>
      <c r="AP67" s="569"/>
      <c r="AQ67" s="569"/>
      <c r="AR67" s="569"/>
      <c r="AS67" s="569"/>
      <c r="AT67" s="569"/>
      <c r="AU67" s="569"/>
      <c r="AV67" s="569"/>
      <c r="AW67" s="569"/>
      <c r="AX67" s="569"/>
      <c r="AY67" s="569"/>
      <c r="AZ67" s="569"/>
      <c r="BA67" s="569"/>
      <c r="BB67" s="569"/>
      <c r="BC67" s="570"/>
      <c r="BD67" s="570"/>
      <c r="BE67" s="570"/>
      <c r="BF67" s="570"/>
      <c r="BG67" s="570"/>
      <c r="BH67" s="570"/>
      <c r="BI67" s="570"/>
      <c r="BJ67" s="570"/>
      <c r="BK67" s="570"/>
      <c r="BL67" s="570"/>
      <c r="BM67" s="570"/>
      <c r="BN67" s="570"/>
      <c r="BO67" s="570"/>
      <c r="BP67" s="570"/>
      <c r="BQ67" s="570"/>
    </row>
    <row r="68" spans="1:69" ht="49.5">
      <c r="A68" s="451"/>
      <c r="B68" s="34"/>
      <c r="C68" s="577">
        <v>1</v>
      </c>
      <c r="D68" s="577" t="s">
        <v>25</v>
      </c>
      <c r="E68" s="577" t="s">
        <v>25</v>
      </c>
      <c r="F68" s="577" t="s">
        <v>25</v>
      </c>
      <c r="G68" s="577">
        <v>16</v>
      </c>
      <c r="H68" s="577">
        <v>70</v>
      </c>
      <c r="I68" s="34" t="s">
        <v>335</v>
      </c>
      <c r="J68" s="35" t="s">
        <v>2492</v>
      </c>
      <c r="K68" s="115">
        <v>12</v>
      </c>
      <c r="L68" s="558">
        <v>500000000</v>
      </c>
      <c r="M68" s="115">
        <v>6</v>
      </c>
      <c r="N68" s="558">
        <v>872364000</v>
      </c>
      <c r="O68" s="574">
        <v>2</v>
      </c>
      <c r="P68" s="575">
        <v>314794000</v>
      </c>
      <c r="Q68" s="115">
        <v>0</v>
      </c>
      <c r="R68" s="558">
        <v>3146000</v>
      </c>
      <c r="S68" s="577"/>
      <c r="T68" s="586">
        <v>53073800</v>
      </c>
      <c r="U68" s="451"/>
      <c r="V68" s="203">
        <v>0</v>
      </c>
      <c r="W68" s="451">
        <v>1</v>
      </c>
      <c r="X68" s="203"/>
      <c r="Y68" s="872">
        <f t="shared" si="26"/>
        <v>1</v>
      </c>
      <c r="Z68" s="888">
        <f t="shared" si="19"/>
        <v>56219800</v>
      </c>
      <c r="AA68" s="115">
        <f t="shared" ref="AA68:AA89" si="27">M68+Y68</f>
        <v>7</v>
      </c>
      <c r="AB68" s="888">
        <f t="shared" si="20"/>
        <v>928583800</v>
      </c>
      <c r="AC68" s="568">
        <f t="shared" si="17"/>
        <v>58.333333333333336</v>
      </c>
      <c r="AD68" s="568">
        <f t="shared" si="21"/>
        <v>185.71675999999999</v>
      </c>
      <c r="AE68" s="451"/>
      <c r="AF68" s="569"/>
      <c r="AG68" s="569"/>
      <c r="AH68" s="569"/>
      <c r="AI68" s="569"/>
      <c r="AJ68" s="569"/>
      <c r="AK68" s="569"/>
      <c r="AL68" s="569"/>
      <c r="AM68" s="569"/>
      <c r="AN68" s="569"/>
      <c r="AO68" s="569"/>
      <c r="AP68" s="569"/>
      <c r="AQ68" s="569"/>
      <c r="AR68" s="569"/>
      <c r="AS68" s="569"/>
      <c r="AT68" s="569"/>
      <c r="AU68" s="569"/>
      <c r="AV68" s="569"/>
      <c r="AW68" s="569"/>
      <c r="AX68" s="569"/>
      <c r="AY68" s="569"/>
      <c r="AZ68" s="569"/>
      <c r="BA68" s="569"/>
      <c r="BB68" s="569"/>
      <c r="BC68" s="570"/>
      <c r="BD68" s="570"/>
      <c r="BE68" s="570"/>
      <c r="BF68" s="570"/>
      <c r="BG68" s="570"/>
      <c r="BH68" s="570"/>
      <c r="BI68" s="570"/>
      <c r="BJ68" s="570"/>
      <c r="BK68" s="570"/>
      <c r="BL68" s="570"/>
      <c r="BM68" s="570"/>
      <c r="BN68" s="570"/>
      <c r="BO68" s="570"/>
      <c r="BP68" s="570"/>
      <c r="BQ68" s="570"/>
    </row>
    <row r="69" spans="1:69" ht="66">
      <c r="A69" s="451"/>
      <c r="B69" s="34"/>
      <c r="C69" s="577">
        <v>1</v>
      </c>
      <c r="D69" s="577" t="s">
        <v>25</v>
      </c>
      <c r="E69" s="577" t="s">
        <v>25</v>
      </c>
      <c r="F69" s="577" t="s">
        <v>25</v>
      </c>
      <c r="G69" s="577">
        <v>16</v>
      </c>
      <c r="H69" s="577">
        <v>75</v>
      </c>
      <c r="I69" s="34" t="s">
        <v>336</v>
      </c>
      <c r="J69" s="35" t="s">
        <v>2493</v>
      </c>
      <c r="K69" s="567">
        <f>2*O69</f>
        <v>5200</v>
      </c>
      <c r="L69" s="558">
        <v>4000000000</v>
      </c>
      <c r="M69" s="115">
        <v>0</v>
      </c>
      <c r="N69" s="558">
        <v>0</v>
      </c>
      <c r="O69" s="893">
        <v>2600</v>
      </c>
      <c r="P69" s="575">
        <v>2000000000</v>
      </c>
      <c r="Q69" s="115"/>
      <c r="R69" s="558">
        <v>0</v>
      </c>
      <c r="S69" s="577">
        <v>2</v>
      </c>
      <c r="T69" s="586">
        <v>53073800</v>
      </c>
      <c r="U69" s="451"/>
      <c r="V69" s="203">
        <v>0</v>
      </c>
      <c r="W69" s="451">
        <v>0</v>
      </c>
      <c r="X69" s="203"/>
      <c r="Y69" s="872">
        <f t="shared" si="26"/>
        <v>2</v>
      </c>
      <c r="Z69" s="888">
        <f t="shared" si="19"/>
        <v>53073800</v>
      </c>
      <c r="AA69" s="115">
        <f t="shared" si="27"/>
        <v>2</v>
      </c>
      <c r="AB69" s="888">
        <f t="shared" si="20"/>
        <v>53073800</v>
      </c>
      <c r="AC69" s="568">
        <f t="shared" si="17"/>
        <v>3.8461538461538464E-2</v>
      </c>
      <c r="AD69" s="568">
        <f t="shared" si="21"/>
        <v>1.3268449999999998</v>
      </c>
      <c r="AE69" s="451"/>
      <c r="AF69" s="569"/>
      <c r="AG69" s="569"/>
      <c r="AH69" s="569"/>
      <c r="AI69" s="569"/>
      <c r="AJ69" s="569"/>
      <c r="AK69" s="569"/>
      <c r="AL69" s="569"/>
      <c r="AM69" s="569"/>
      <c r="AN69" s="569"/>
      <c r="AO69" s="569"/>
      <c r="AP69" s="569"/>
      <c r="AQ69" s="569"/>
      <c r="AR69" s="569"/>
      <c r="AS69" s="569"/>
      <c r="AT69" s="569"/>
      <c r="AU69" s="569"/>
      <c r="AV69" s="569"/>
      <c r="AW69" s="569"/>
      <c r="AX69" s="569"/>
      <c r="AY69" s="569"/>
      <c r="AZ69" s="569"/>
      <c r="BA69" s="569"/>
      <c r="BB69" s="569"/>
      <c r="BC69" s="570"/>
      <c r="BD69" s="570"/>
      <c r="BE69" s="570"/>
      <c r="BF69" s="570"/>
      <c r="BG69" s="570"/>
      <c r="BH69" s="570"/>
      <c r="BI69" s="570"/>
      <c r="BJ69" s="570"/>
      <c r="BK69" s="570"/>
      <c r="BL69" s="570"/>
      <c r="BM69" s="570"/>
      <c r="BN69" s="570"/>
      <c r="BO69" s="570"/>
      <c r="BP69" s="570"/>
      <c r="BQ69" s="570"/>
    </row>
    <row r="70" spans="1:69" ht="49.5">
      <c r="A70" s="451"/>
      <c r="B70" s="34"/>
      <c r="C70" s="577">
        <v>1</v>
      </c>
      <c r="D70" s="577" t="s">
        <v>25</v>
      </c>
      <c r="E70" s="577" t="s">
        <v>25</v>
      </c>
      <c r="F70" s="577" t="s">
        <v>25</v>
      </c>
      <c r="G70" s="577" t="s">
        <v>42</v>
      </c>
      <c r="H70" s="577">
        <v>80</v>
      </c>
      <c r="I70" s="34" t="s">
        <v>337</v>
      </c>
      <c r="J70" s="35" t="s">
        <v>2494</v>
      </c>
      <c r="K70" s="115">
        <v>72</v>
      </c>
      <c r="L70" s="558">
        <f t="shared" si="25"/>
        <v>4448377500</v>
      </c>
      <c r="M70" s="115">
        <v>36</v>
      </c>
      <c r="N70" s="558">
        <v>1623014700</v>
      </c>
      <c r="O70" s="574">
        <v>12</v>
      </c>
      <c r="P70" s="890">
        <v>741396250</v>
      </c>
      <c r="Q70" s="115">
        <v>3</v>
      </c>
      <c r="R70" s="558">
        <v>12038900</v>
      </c>
      <c r="S70" s="451">
        <v>0</v>
      </c>
      <c r="T70" s="586">
        <v>0</v>
      </c>
      <c r="U70" s="451"/>
      <c r="V70" s="203"/>
      <c r="W70" s="451"/>
      <c r="X70" s="567"/>
      <c r="Y70" s="872">
        <f t="shared" si="26"/>
        <v>3</v>
      </c>
      <c r="Z70" s="888">
        <f t="shared" si="19"/>
        <v>12038900</v>
      </c>
      <c r="AA70" s="115">
        <f t="shared" si="27"/>
        <v>39</v>
      </c>
      <c r="AB70" s="888">
        <f t="shared" si="20"/>
        <v>1635053600</v>
      </c>
      <c r="AC70" s="568">
        <f t="shared" si="17"/>
        <v>54.166666666666664</v>
      </c>
      <c r="AD70" s="568">
        <f t="shared" si="21"/>
        <v>36.756179078776476</v>
      </c>
      <c r="AE70" s="451"/>
      <c r="AF70" s="569"/>
      <c r="AG70" s="569"/>
      <c r="AH70" s="569"/>
      <c r="AI70" s="569"/>
      <c r="AJ70" s="569"/>
      <c r="AK70" s="569"/>
      <c r="AL70" s="569"/>
      <c r="AM70" s="569"/>
      <c r="AN70" s="569"/>
      <c r="AO70" s="569"/>
      <c r="AP70" s="569"/>
      <c r="AQ70" s="569"/>
      <c r="AR70" s="569"/>
      <c r="AS70" s="569"/>
      <c r="AT70" s="569"/>
      <c r="AU70" s="569"/>
      <c r="AV70" s="569"/>
      <c r="AW70" s="569"/>
      <c r="AX70" s="569"/>
      <c r="AY70" s="569"/>
      <c r="AZ70" s="569"/>
      <c r="BA70" s="569"/>
      <c r="BB70" s="569"/>
      <c r="BC70" s="570"/>
      <c r="BD70" s="570"/>
      <c r="BE70" s="570"/>
      <c r="BF70" s="570"/>
      <c r="BG70" s="570"/>
      <c r="BH70" s="570"/>
      <c r="BI70" s="570"/>
      <c r="BJ70" s="570"/>
      <c r="BK70" s="570"/>
      <c r="BL70" s="570"/>
      <c r="BM70" s="570"/>
      <c r="BN70" s="570"/>
      <c r="BO70" s="570"/>
      <c r="BP70" s="570"/>
      <c r="BQ70" s="570"/>
    </row>
    <row r="71" spans="1:69" ht="49.5">
      <c r="A71" s="451"/>
      <c r="B71" s="34"/>
      <c r="C71" s="577" t="s">
        <v>25</v>
      </c>
      <c r="D71" s="577" t="s">
        <v>25</v>
      </c>
      <c r="E71" s="577" t="s">
        <v>25</v>
      </c>
      <c r="F71" s="577" t="s">
        <v>25</v>
      </c>
      <c r="G71" s="577">
        <v>16</v>
      </c>
      <c r="H71" s="577">
        <v>81</v>
      </c>
      <c r="I71" s="34" t="s">
        <v>2495</v>
      </c>
      <c r="J71" s="35" t="s">
        <v>2496</v>
      </c>
      <c r="K71" s="115">
        <v>72</v>
      </c>
      <c r="L71" s="558">
        <f>6*P71</f>
        <v>275405760000</v>
      </c>
      <c r="M71" s="115">
        <v>36</v>
      </c>
      <c r="N71" s="567">
        <f>3*P71</f>
        <v>137702880000</v>
      </c>
      <c r="O71" s="574">
        <v>12</v>
      </c>
      <c r="P71" s="890">
        <v>45900960000</v>
      </c>
      <c r="Q71" s="599">
        <v>3</v>
      </c>
      <c r="R71" s="558">
        <v>0</v>
      </c>
      <c r="S71" s="451">
        <v>6</v>
      </c>
      <c r="T71" s="581">
        <v>612311475</v>
      </c>
      <c r="U71" s="451"/>
      <c r="V71" s="203"/>
      <c r="W71" s="451"/>
      <c r="X71" s="567"/>
      <c r="Y71" s="872">
        <f t="shared" si="26"/>
        <v>9</v>
      </c>
      <c r="Z71" s="888">
        <f t="shared" ref="Z71:Z102" si="28">R71+T71+V71+X71</f>
        <v>612311475</v>
      </c>
      <c r="AA71" s="115">
        <f t="shared" si="27"/>
        <v>45</v>
      </c>
      <c r="AB71" s="888">
        <f t="shared" si="20"/>
        <v>138315191475</v>
      </c>
      <c r="AC71" s="568">
        <f t="shared" si="17"/>
        <v>62.5</v>
      </c>
      <c r="AD71" s="568">
        <f t="shared" ref="AD71:AD90" si="29">(AB71/L71)*100</f>
        <v>50.222330671297513</v>
      </c>
      <c r="AE71" s="451"/>
      <c r="AF71" s="569"/>
      <c r="AG71" s="569"/>
      <c r="AH71" s="569"/>
      <c r="AI71" s="569"/>
      <c r="AJ71" s="569"/>
      <c r="AK71" s="569"/>
      <c r="AL71" s="569"/>
      <c r="AM71" s="569"/>
      <c r="AN71" s="569"/>
      <c r="AO71" s="569"/>
      <c r="AP71" s="569"/>
      <c r="AQ71" s="569"/>
      <c r="AR71" s="569"/>
      <c r="AS71" s="569"/>
      <c r="AT71" s="569"/>
      <c r="AU71" s="569"/>
      <c r="AV71" s="569"/>
      <c r="AW71" s="569"/>
      <c r="AX71" s="569"/>
      <c r="AY71" s="569"/>
      <c r="AZ71" s="569"/>
      <c r="BA71" s="569"/>
      <c r="BB71" s="569"/>
      <c r="BC71" s="570"/>
      <c r="BD71" s="570"/>
      <c r="BE71" s="570"/>
      <c r="BF71" s="570"/>
      <c r="BG71" s="570"/>
      <c r="BH71" s="570"/>
      <c r="BI71" s="570"/>
      <c r="BJ71" s="570"/>
      <c r="BK71" s="570"/>
      <c r="BL71" s="570"/>
      <c r="BM71" s="570"/>
      <c r="BN71" s="570"/>
      <c r="BO71" s="570"/>
      <c r="BP71" s="570"/>
      <c r="BQ71" s="570"/>
    </row>
    <row r="72" spans="1:69" ht="66">
      <c r="A72" s="451"/>
      <c r="B72" s="34"/>
      <c r="C72" s="577">
        <v>1</v>
      </c>
      <c r="D72" s="577" t="s">
        <v>25</v>
      </c>
      <c r="E72" s="577" t="s">
        <v>25</v>
      </c>
      <c r="F72" s="577" t="s">
        <v>25</v>
      </c>
      <c r="G72" s="577" t="s">
        <v>42</v>
      </c>
      <c r="H72" s="577">
        <v>82</v>
      </c>
      <c r="I72" s="34" t="s">
        <v>338</v>
      </c>
      <c r="J72" s="35" t="s">
        <v>2497</v>
      </c>
      <c r="K72" s="115">
        <v>72</v>
      </c>
      <c r="L72" s="558">
        <f>6*P72</f>
        <v>121375200000</v>
      </c>
      <c r="M72" s="115">
        <v>36</v>
      </c>
      <c r="N72" s="558">
        <f>3*P72</f>
        <v>60687600000</v>
      </c>
      <c r="O72" s="574">
        <v>12</v>
      </c>
      <c r="P72" s="890">
        <v>20229200000</v>
      </c>
      <c r="Q72" s="599">
        <v>3</v>
      </c>
      <c r="R72" s="558">
        <v>0</v>
      </c>
      <c r="S72" s="451">
        <v>0</v>
      </c>
      <c r="T72" s="581">
        <v>0</v>
      </c>
      <c r="U72" s="451"/>
      <c r="V72" s="203"/>
      <c r="W72" s="451"/>
      <c r="X72" s="567"/>
      <c r="Y72" s="872">
        <f t="shared" si="26"/>
        <v>3</v>
      </c>
      <c r="Z72" s="888">
        <f t="shared" si="28"/>
        <v>0</v>
      </c>
      <c r="AA72" s="115">
        <f t="shared" si="27"/>
        <v>39</v>
      </c>
      <c r="AB72" s="888">
        <f t="shared" si="20"/>
        <v>60687600000</v>
      </c>
      <c r="AC72" s="568">
        <f t="shared" si="17"/>
        <v>54.166666666666664</v>
      </c>
      <c r="AD72" s="568">
        <f t="shared" si="29"/>
        <v>50</v>
      </c>
      <c r="AE72" s="451"/>
      <c r="AF72" s="569"/>
      <c r="AG72" s="569"/>
      <c r="AH72" s="569"/>
      <c r="AI72" s="569"/>
      <c r="AJ72" s="569"/>
      <c r="AK72" s="569"/>
      <c r="AL72" s="569"/>
      <c r="AM72" s="569"/>
      <c r="AN72" s="569"/>
      <c r="AO72" s="569"/>
      <c r="AP72" s="569"/>
      <c r="AQ72" s="569"/>
      <c r="AR72" s="569"/>
      <c r="AS72" s="569"/>
      <c r="AT72" s="569"/>
      <c r="AU72" s="569"/>
      <c r="AV72" s="569"/>
      <c r="AW72" s="569"/>
      <c r="AX72" s="569"/>
      <c r="AY72" s="569"/>
      <c r="AZ72" s="569"/>
      <c r="BA72" s="569"/>
      <c r="BB72" s="569"/>
      <c r="BC72" s="570"/>
      <c r="BD72" s="570"/>
      <c r="BE72" s="570"/>
      <c r="BF72" s="570"/>
      <c r="BG72" s="570"/>
      <c r="BH72" s="570"/>
      <c r="BI72" s="570"/>
      <c r="BJ72" s="570"/>
      <c r="BK72" s="570"/>
      <c r="BL72" s="570"/>
      <c r="BM72" s="570"/>
      <c r="BN72" s="570"/>
      <c r="BO72" s="570"/>
      <c r="BP72" s="570"/>
      <c r="BQ72" s="570"/>
    </row>
    <row r="73" spans="1:69" ht="49.5">
      <c r="A73" s="2554">
        <v>4</v>
      </c>
      <c r="B73" s="44"/>
      <c r="C73" s="768" t="s">
        <v>25</v>
      </c>
      <c r="D73" s="768" t="s">
        <v>41</v>
      </c>
      <c r="E73" s="768" t="s">
        <v>25</v>
      </c>
      <c r="F73" s="768" t="s">
        <v>39</v>
      </c>
      <c r="G73" s="768" t="s">
        <v>45</v>
      </c>
      <c r="H73" s="563"/>
      <c r="I73" s="44" t="s">
        <v>339</v>
      </c>
      <c r="J73" s="44" t="s">
        <v>340</v>
      </c>
      <c r="K73" s="1331">
        <v>78.7</v>
      </c>
      <c r="L73" s="578">
        <f>SUM(L74:L77)</f>
        <v>1918639000</v>
      </c>
      <c r="M73" s="578">
        <v>71</v>
      </c>
      <c r="N73" s="578">
        <f>SUM(N74:N77)</f>
        <v>551772526</v>
      </c>
      <c r="O73" s="578">
        <v>3</v>
      </c>
      <c r="P73" s="578">
        <f>SUM(P74:P79)</f>
        <v>1721896000</v>
      </c>
      <c r="Q73" s="578">
        <v>0</v>
      </c>
      <c r="R73" s="578">
        <f>SUM(R74:R79)</f>
        <v>64046851</v>
      </c>
      <c r="S73" s="286"/>
      <c r="T73" s="282">
        <f>SUM(T74:T79)</f>
        <v>324278700</v>
      </c>
      <c r="U73" s="282">
        <f t="shared" ref="U73:V73" si="30">SUM(U74:U77)</f>
        <v>0</v>
      </c>
      <c r="V73" s="282">
        <f t="shared" si="30"/>
        <v>0</v>
      </c>
      <c r="W73" s="286"/>
      <c r="X73" s="146"/>
      <c r="Y73" s="149">
        <f t="shared" si="26"/>
        <v>0</v>
      </c>
      <c r="Z73" s="867">
        <f t="shared" si="28"/>
        <v>388325551</v>
      </c>
      <c r="AA73" s="146">
        <f t="shared" si="27"/>
        <v>71</v>
      </c>
      <c r="AB73" s="867">
        <f>SUM(AB74:AB77)</f>
        <v>605966726</v>
      </c>
      <c r="AC73" s="868">
        <f t="shared" si="17"/>
        <v>90.216010165184244</v>
      </c>
      <c r="AD73" s="868">
        <f t="shared" si="29"/>
        <v>31.583154830064437</v>
      </c>
      <c r="AE73" s="2554" t="s">
        <v>27</v>
      </c>
      <c r="AF73" s="569"/>
      <c r="AG73" s="569"/>
      <c r="AH73" s="569"/>
      <c r="AI73" s="569"/>
      <c r="AJ73" s="569"/>
      <c r="AK73" s="569"/>
      <c r="AL73" s="569"/>
      <c r="AM73" s="569"/>
      <c r="AN73" s="569"/>
      <c r="AO73" s="569"/>
      <c r="AP73" s="569"/>
      <c r="AQ73" s="569"/>
      <c r="AR73" s="569"/>
      <c r="AS73" s="569"/>
      <c r="AT73" s="569"/>
      <c r="AU73" s="569"/>
      <c r="AV73" s="569"/>
      <c r="AW73" s="569"/>
      <c r="AX73" s="569"/>
      <c r="AY73" s="569"/>
      <c r="AZ73" s="569"/>
      <c r="BA73" s="569"/>
      <c r="BB73" s="569"/>
      <c r="BC73" s="570"/>
      <c r="BD73" s="570"/>
      <c r="BE73" s="570"/>
      <c r="BF73" s="570"/>
      <c r="BG73" s="570"/>
      <c r="BH73" s="570"/>
      <c r="BI73" s="570"/>
      <c r="BJ73" s="570"/>
      <c r="BK73" s="570"/>
      <c r="BL73" s="570"/>
      <c r="BM73" s="570"/>
      <c r="BN73" s="570"/>
      <c r="BO73" s="570"/>
      <c r="BP73" s="570"/>
      <c r="BQ73" s="570"/>
    </row>
    <row r="74" spans="1:69" ht="33">
      <c r="A74" s="451"/>
      <c r="B74" s="34"/>
      <c r="C74" s="577" t="s">
        <v>25</v>
      </c>
      <c r="D74" s="577" t="s">
        <v>41</v>
      </c>
      <c r="E74" s="577" t="s">
        <v>25</v>
      </c>
      <c r="F74" s="577" t="s">
        <v>39</v>
      </c>
      <c r="G74" s="577" t="s">
        <v>45</v>
      </c>
      <c r="H74" s="577">
        <v>18</v>
      </c>
      <c r="I74" s="554" t="s">
        <v>319</v>
      </c>
      <c r="J74" s="554" t="s">
        <v>2498</v>
      </c>
      <c r="K74" s="115">
        <v>50</v>
      </c>
      <c r="L74" s="558">
        <f>(170824+175000+180000+185000+190000+195000)*1000</f>
        <v>1095824000</v>
      </c>
      <c r="M74" s="115">
        <v>0</v>
      </c>
      <c r="N74" s="558">
        <v>0</v>
      </c>
      <c r="O74" s="579" t="s">
        <v>341</v>
      </c>
      <c r="P74" s="580">
        <v>1000000000</v>
      </c>
      <c r="Q74" s="567">
        <v>0</v>
      </c>
      <c r="R74" s="558">
        <v>0</v>
      </c>
      <c r="S74" s="451">
        <v>0</v>
      </c>
      <c r="T74" s="581">
        <v>3400000</v>
      </c>
      <c r="U74" s="451"/>
      <c r="V74" s="203"/>
      <c r="W74" s="451"/>
      <c r="X74" s="567"/>
      <c r="Y74" s="506">
        <f t="shared" si="26"/>
        <v>0</v>
      </c>
      <c r="Z74" s="888">
        <f t="shared" si="28"/>
        <v>3400000</v>
      </c>
      <c r="AA74" s="115">
        <f t="shared" si="27"/>
        <v>0</v>
      </c>
      <c r="AB74" s="888">
        <f t="shared" ref="AB74:AB79" si="31">N74+Z74</f>
        <v>3400000</v>
      </c>
      <c r="AC74" s="874">
        <f t="shared" si="17"/>
        <v>0</v>
      </c>
      <c r="AD74" s="874">
        <f t="shared" si="29"/>
        <v>0.31026880228941878</v>
      </c>
      <c r="AE74" s="451"/>
      <c r="AF74" s="569"/>
      <c r="AG74" s="569"/>
      <c r="AH74" s="569"/>
      <c r="AI74" s="569"/>
      <c r="AJ74" s="569"/>
      <c r="AK74" s="569"/>
      <c r="AL74" s="569"/>
      <c r="AM74" s="569"/>
      <c r="AN74" s="569"/>
      <c r="AO74" s="569"/>
      <c r="AP74" s="569"/>
      <c r="AQ74" s="569"/>
      <c r="AR74" s="569"/>
      <c r="AS74" s="569"/>
      <c r="AT74" s="569"/>
      <c r="AU74" s="569"/>
      <c r="AV74" s="569"/>
      <c r="AW74" s="569"/>
      <c r="AX74" s="569"/>
      <c r="AY74" s="569"/>
      <c r="AZ74" s="569"/>
      <c r="BA74" s="569"/>
      <c r="BB74" s="569"/>
      <c r="BC74" s="570"/>
      <c r="BD74" s="570"/>
      <c r="BE74" s="570"/>
      <c r="BF74" s="570"/>
      <c r="BG74" s="570"/>
      <c r="BH74" s="570"/>
      <c r="BI74" s="570"/>
      <c r="BJ74" s="570"/>
      <c r="BK74" s="570"/>
      <c r="BL74" s="570"/>
      <c r="BM74" s="570"/>
      <c r="BN74" s="570"/>
      <c r="BO74" s="570"/>
      <c r="BP74" s="570"/>
      <c r="BQ74" s="570"/>
    </row>
    <row r="75" spans="1:69" ht="49.5">
      <c r="A75" s="451"/>
      <c r="B75" s="34" t="s">
        <v>46</v>
      </c>
      <c r="C75" s="577" t="s">
        <v>25</v>
      </c>
      <c r="D75" s="577" t="s">
        <v>41</v>
      </c>
      <c r="E75" s="577" t="s">
        <v>25</v>
      </c>
      <c r="F75" s="577" t="s">
        <v>39</v>
      </c>
      <c r="G75" s="577" t="s">
        <v>45</v>
      </c>
      <c r="H75" s="577">
        <v>44</v>
      </c>
      <c r="I75" s="582" t="s">
        <v>342</v>
      </c>
      <c r="J75" s="34" t="s">
        <v>2499</v>
      </c>
      <c r="K75" s="115">
        <v>6</v>
      </c>
      <c r="L75" s="558">
        <f>3*P75</f>
        <v>112740000</v>
      </c>
      <c r="M75" s="115">
        <v>0</v>
      </c>
      <c r="N75" s="558">
        <v>0</v>
      </c>
      <c r="O75" s="583" t="s">
        <v>107</v>
      </c>
      <c r="P75" s="580">
        <v>37580000</v>
      </c>
      <c r="Q75" s="115">
        <v>1</v>
      </c>
      <c r="R75" s="558">
        <v>14678000</v>
      </c>
      <c r="S75" s="451">
        <v>0</v>
      </c>
      <c r="T75" s="581">
        <v>14678000</v>
      </c>
      <c r="U75" s="451"/>
      <c r="V75" s="203"/>
      <c r="W75" s="451"/>
      <c r="X75" s="567"/>
      <c r="Y75" s="506">
        <f t="shared" si="26"/>
        <v>1</v>
      </c>
      <c r="Z75" s="888">
        <f t="shared" si="28"/>
        <v>29356000</v>
      </c>
      <c r="AA75" s="115">
        <f t="shared" si="27"/>
        <v>1</v>
      </c>
      <c r="AB75" s="888">
        <f t="shared" si="31"/>
        <v>29356000</v>
      </c>
      <c r="AC75" s="874">
        <f t="shared" si="17"/>
        <v>16.666666666666664</v>
      </c>
      <c r="AD75" s="874">
        <f t="shared" si="29"/>
        <v>26.038673053042398</v>
      </c>
      <c r="AE75" s="451"/>
      <c r="AF75" s="569"/>
      <c r="AG75" s="569"/>
      <c r="AH75" s="569"/>
      <c r="AI75" s="569"/>
      <c r="AJ75" s="569"/>
      <c r="AK75" s="569"/>
      <c r="AL75" s="569"/>
      <c r="AM75" s="569"/>
      <c r="AN75" s="569"/>
      <c r="AO75" s="569"/>
      <c r="AP75" s="569"/>
      <c r="AQ75" s="569"/>
      <c r="AR75" s="569"/>
      <c r="AS75" s="569"/>
      <c r="AT75" s="569"/>
      <c r="AU75" s="569"/>
      <c r="AV75" s="569"/>
      <c r="AW75" s="569"/>
      <c r="AX75" s="569"/>
      <c r="AY75" s="569"/>
      <c r="AZ75" s="569"/>
      <c r="BA75" s="569"/>
      <c r="BB75" s="569"/>
      <c r="BC75" s="570"/>
      <c r="BD75" s="570"/>
      <c r="BE75" s="570"/>
      <c r="BF75" s="570"/>
      <c r="BG75" s="570"/>
      <c r="BH75" s="570"/>
      <c r="BI75" s="570"/>
      <c r="BJ75" s="570"/>
      <c r="BK75" s="570"/>
      <c r="BL75" s="570"/>
      <c r="BM75" s="570"/>
      <c r="BN75" s="570"/>
      <c r="BO75" s="570"/>
      <c r="BP75" s="570"/>
      <c r="BQ75" s="570"/>
    </row>
    <row r="76" spans="1:69" ht="66">
      <c r="A76" s="451"/>
      <c r="B76" s="34"/>
      <c r="C76" s="577" t="s">
        <v>25</v>
      </c>
      <c r="D76" s="577" t="s">
        <v>41</v>
      </c>
      <c r="E76" s="577" t="s">
        <v>25</v>
      </c>
      <c r="F76" s="577" t="s">
        <v>39</v>
      </c>
      <c r="G76" s="577" t="s">
        <v>45</v>
      </c>
      <c r="H76" s="577">
        <v>45</v>
      </c>
      <c r="I76" s="582" t="s">
        <v>343</v>
      </c>
      <c r="J76" s="34" t="s">
        <v>2500</v>
      </c>
      <c r="K76" s="115">
        <v>12</v>
      </c>
      <c r="L76" s="558">
        <f>82400000*4</f>
        <v>329600000</v>
      </c>
      <c r="M76" s="115">
        <v>6</v>
      </c>
      <c r="N76" s="1248">
        <v>508922526</v>
      </c>
      <c r="O76" s="1332" t="s">
        <v>107</v>
      </c>
      <c r="P76" s="580">
        <v>200453000</v>
      </c>
      <c r="Q76" s="115">
        <v>0</v>
      </c>
      <c r="R76" s="558">
        <v>0</v>
      </c>
      <c r="S76" s="451">
        <v>0</v>
      </c>
      <c r="T76" s="581">
        <v>21438200</v>
      </c>
      <c r="U76" s="451"/>
      <c r="V76" s="203"/>
      <c r="W76" s="451"/>
      <c r="X76" s="878"/>
      <c r="Y76" s="506">
        <f t="shared" si="26"/>
        <v>0</v>
      </c>
      <c r="Z76" s="888">
        <f t="shared" si="28"/>
        <v>21438200</v>
      </c>
      <c r="AA76" s="115">
        <f t="shared" si="27"/>
        <v>6</v>
      </c>
      <c r="AB76" s="888">
        <f t="shared" si="31"/>
        <v>530360726</v>
      </c>
      <c r="AC76" s="874">
        <f t="shared" si="17"/>
        <v>50</v>
      </c>
      <c r="AD76" s="874">
        <f t="shared" si="29"/>
        <v>160.91041444174755</v>
      </c>
      <c r="AE76" s="451"/>
      <c r="AF76" s="569"/>
      <c r="AG76" s="569"/>
      <c r="AH76" s="569"/>
      <c r="AI76" s="569"/>
      <c r="AJ76" s="569"/>
      <c r="AK76" s="569"/>
      <c r="AL76" s="569"/>
      <c r="AM76" s="569"/>
      <c r="AN76" s="569"/>
      <c r="AO76" s="569"/>
      <c r="AP76" s="569"/>
      <c r="AQ76" s="569"/>
      <c r="AR76" s="569"/>
      <c r="AS76" s="569"/>
      <c r="AT76" s="569"/>
      <c r="AU76" s="569"/>
      <c r="AV76" s="569"/>
      <c r="AW76" s="569"/>
      <c r="AX76" s="569"/>
      <c r="AY76" s="569"/>
      <c r="AZ76" s="569"/>
      <c r="BA76" s="569"/>
      <c r="BB76" s="569"/>
      <c r="BC76" s="570"/>
      <c r="BD76" s="570"/>
      <c r="BE76" s="570"/>
      <c r="BF76" s="570"/>
      <c r="BG76" s="570"/>
      <c r="BH76" s="570"/>
      <c r="BI76" s="570"/>
      <c r="BJ76" s="570"/>
      <c r="BK76" s="570"/>
      <c r="BL76" s="570"/>
      <c r="BM76" s="570"/>
      <c r="BN76" s="570"/>
      <c r="BO76" s="570"/>
      <c r="BP76" s="570"/>
      <c r="BQ76" s="570"/>
    </row>
    <row r="77" spans="1:69" ht="33">
      <c r="A77" s="451"/>
      <c r="B77" s="34"/>
      <c r="C77" s="577" t="s">
        <v>25</v>
      </c>
      <c r="D77" s="577" t="s">
        <v>41</v>
      </c>
      <c r="E77" s="577" t="s">
        <v>25</v>
      </c>
      <c r="F77" s="577" t="s">
        <v>39</v>
      </c>
      <c r="G77" s="577" t="s">
        <v>45</v>
      </c>
      <c r="H77" s="577">
        <v>48</v>
      </c>
      <c r="I77" s="582" t="s">
        <v>344</v>
      </c>
      <c r="J77" s="34" t="s">
        <v>2501</v>
      </c>
      <c r="K77" s="115">
        <v>24</v>
      </c>
      <c r="L77" s="558">
        <f>(80000+60475+70000+80000+90000)*1000</f>
        <v>380475000</v>
      </c>
      <c r="M77" s="115">
        <v>12</v>
      </c>
      <c r="N77" s="1248">
        <v>42850000</v>
      </c>
      <c r="O77" s="1332" t="s">
        <v>1735</v>
      </c>
      <c r="P77" s="580">
        <v>106614000</v>
      </c>
      <c r="Q77" s="115">
        <v>0</v>
      </c>
      <c r="R77" s="558">
        <v>0</v>
      </c>
      <c r="S77" s="451">
        <v>0</v>
      </c>
      <c r="T77" s="581">
        <v>0</v>
      </c>
      <c r="U77" s="451"/>
      <c r="V77" s="203"/>
      <c r="W77" s="451"/>
      <c r="X77" s="894"/>
      <c r="Y77" s="506">
        <f t="shared" si="26"/>
        <v>0</v>
      </c>
      <c r="Z77" s="888">
        <f t="shared" si="28"/>
        <v>0</v>
      </c>
      <c r="AA77" s="115">
        <f t="shared" si="27"/>
        <v>12</v>
      </c>
      <c r="AB77" s="888">
        <f t="shared" si="31"/>
        <v>42850000</v>
      </c>
      <c r="AC77" s="874">
        <f t="shared" si="17"/>
        <v>50</v>
      </c>
      <c r="AD77" s="874">
        <f t="shared" si="29"/>
        <v>11.262237991983705</v>
      </c>
      <c r="AE77" s="451"/>
      <c r="AF77" s="569"/>
      <c r="AG77" s="569"/>
      <c r="AH77" s="569"/>
      <c r="AI77" s="569"/>
      <c r="AJ77" s="569"/>
      <c r="AK77" s="569"/>
      <c r="AL77" s="569"/>
      <c r="AM77" s="569"/>
      <c r="AN77" s="569"/>
      <c r="AO77" s="569"/>
      <c r="AP77" s="569"/>
      <c r="AQ77" s="569"/>
      <c r="AR77" s="569"/>
      <c r="AS77" s="569"/>
      <c r="AT77" s="569"/>
      <c r="AU77" s="569"/>
      <c r="AV77" s="569"/>
      <c r="AW77" s="569"/>
      <c r="AX77" s="569"/>
      <c r="AY77" s="569"/>
      <c r="AZ77" s="569"/>
      <c r="BA77" s="569"/>
      <c r="BB77" s="569"/>
      <c r="BC77" s="570"/>
      <c r="BD77" s="570"/>
      <c r="BE77" s="570"/>
      <c r="BF77" s="570"/>
      <c r="BG77" s="570"/>
      <c r="BH77" s="570"/>
      <c r="BI77" s="570"/>
      <c r="BJ77" s="570"/>
      <c r="BK77" s="570"/>
      <c r="BL77" s="570"/>
      <c r="BM77" s="570"/>
      <c r="BN77" s="570"/>
      <c r="BO77" s="570"/>
      <c r="BP77" s="570"/>
      <c r="BQ77" s="570"/>
    </row>
    <row r="78" spans="1:69" ht="49.5">
      <c r="A78" s="451"/>
      <c r="B78" s="34"/>
      <c r="C78" s="577" t="s">
        <v>25</v>
      </c>
      <c r="D78" s="577" t="s">
        <v>41</v>
      </c>
      <c r="E78" s="577" t="s">
        <v>25</v>
      </c>
      <c r="F78" s="577" t="s">
        <v>39</v>
      </c>
      <c r="G78" s="577" t="s">
        <v>45</v>
      </c>
      <c r="H78" s="577">
        <v>68</v>
      </c>
      <c r="I78" s="582" t="s">
        <v>345</v>
      </c>
      <c r="J78" s="34" t="s">
        <v>2502</v>
      </c>
      <c r="K78" s="1333">
        <f>3*O78</f>
        <v>225</v>
      </c>
      <c r="L78" s="1304">
        <f>3*P78</f>
        <v>236250000</v>
      </c>
      <c r="M78" s="115">
        <v>0</v>
      </c>
      <c r="N78" s="1248">
        <v>0</v>
      </c>
      <c r="O78" s="1332" t="s">
        <v>346</v>
      </c>
      <c r="P78" s="580">
        <v>78750000</v>
      </c>
      <c r="Q78" s="115">
        <v>35</v>
      </c>
      <c r="R78" s="558">
        <v>49368851</v>
      </c>
      <c r="S78" s="451">
        <v>0</v>
      </c>
      <c r="T78" s="581">
        <v>29000000</v>
      </c>
      <c r="U78" s="451"/>
      <c r="V78" s="203"/>
      <c r="W78" s="451"/>
      <c r="X78" s="895"/>
      <c r="Y78" s="506">
        <f t="shared" si="26"/>
        <v>35</v>
      </c>
      <c r="Z78" s="888">
        <f t="shared" si="28"/>
        <v>78368851</v>
      </c>
      <c r="AA78" s="115">
        <f t="shared" si="27"/>
        <v>35</v>
      </c>
      <c r="AB78" s="888">
        <f t="shared" si="31"/>
        <v>78368851</v>
      </c>
      <c r="AC78" s="874">
        <f t="shared" si="17"/>
        <v>15.555555555555555</v>
      </c>
      <c r="AD78" s="874">
        <f t="shared" si="29"/>
        <v>33.172000423280423</v>
      </c>
      <c r="AE78" s="451"/>
      <c r="AF78" s="569"/>
      <c r="AG78" s="569"/>
      <c r="AH78" s="569"/>
      <c r="AI78" s="569"/>
      <c r="AJ78" s="569"/>
      <c r="AK78" s="569"/>
      <c r="AL78" s="569"/>
      <c r="AM78" s="569"/>
      <c r="AN78" s="569"/>
      <c r="AO78" s="569"/>
      <c r="AP78" s="569"/>
      <c r="AQ78" s="569"/>
      <c r="AR78" s="569"/>
      <c r="AS78" s="569"/>
      <c r="AT78" s="569"/>
      <c r="AU78" s="569"/>
      <c r="AV78" s="569"/>
      <c r="AW78" s="569"/>
      <c r="AX78" s="569"/>
      <c r="AY78" s="569"/>
      <c r="AZ78" s="569"/>
      <c r="BA78" s="569"/>
      <c r="BB78" s="569"/>
      <c r="BC78" s="570"/>
      <c r="BD78" s="570"/>
      <c r="BE78" s="570"/>
      <c r="BF78" s="570"/>
      <c r="BG78" s="570"/>
      <c r="BH78" s="570"/>
      <c r="BI78" s="570"/>
      <c r="BJ78" s="570"/>
      <c r="BK78" s="570"/>
      <c r="BL78" s="570"/>
      <c r="BM78" s="570"/>
      <c r="BN78" s="570"/>
      <c r="BO78" s="570"/>
      <c r="BP78" s="570"/>
      <c r="BQ78" s="570"/>
    </row>
    <row r="79" spans="1:69" ht="49.5">
      <c r="A79" s="451"/>
      <c r="B79" s="34"/>
      <c r="C79" s="577" t="s">
        <v>25</v>
      </c>
      <c r="D79" s="577" t="s">
        <v>41</v>
      </c>
      <c r="E79" s="577" t="s">
        <v>25</v>
      </c>
      <c r="F79" s="577" t="s">
        <v>39</v>
      </c>
      <c r="G79" s="577" t="s">
        <v>45</v>
      </c>
      <c r="H79" s="577">
        <v>70</v>
      </c>
      <c r="I79" s="582" t="s">
        <v>2503</v>
      </c>
      <c r="J79" s="34" t="s">
        <v>2504</v>
      </c>
      <c r="K79" s="1333">
        <f>3*O79</f>
        <v>225</v>
      </c>
      <c r="L79" s="558">
        <v>250000000</v>
      </c>
      <c r="M79" s="115"/>
      <c r="N79" s="1248"/>
      <c r="O79" s="1332" t="s">
        <v>346</v>
      </c>
      <c r="P79" s="580">
        <v>298499000</v>
      </c>
      <c r="Q79" s="115">
        <v>0</v>
      </c>
      <c r="R79" s="558">
        <v>0</v>
      </c>
      <c r="S79" s="451">
        <v>7</v>
      </c>
      <c r="T79" s="581">
        <v>255762500</v>
      </c>
      <c r="U79" s="451"/>
      <c r="V79" s="203"/>
      <c r="W79" s="451"/>
      <c r="X79" s="895"/>
      <c r="Y79" s="506">
        <f t="shared" si="26"/>
        <v>7</v>
      </c>
      <c r="Z79" s="888">
        <f t="shared" si="28"/>
        <v>255762500</v>
      </c>
      <c r="AA79" s="115">
        <f t="shared" si="27"/>
        <v>7</v>
      </c>
      <c r="AB79" s="888">
        <f t="shared" si="31"/>
        <v>255762500</v>
      </c>
      <c r="AC79" s="874">
        <f t="shared" si="17"/>
        <v>3.1111111111111112</v>
      </c>
      <c r="AD79" s="874">
        <f t="shared" si="29"/>
        <v>102.30500000000001</v>
      </c>
      <c r="AE79" s="451"/>
      <c r="AF79" s="569"/>
      <c r="AG79" s="569"/>
      <c r="AH79" s="569"/>
      <c r="AI79" s="569"/>
      <c r="AJ79" s="569"/>
      <c r="AK79" s="569"/>
      <c r="AL79" s="569"/>
      <c r="AM79" s="569"/>
      <c r="AN79" s="569"/>
      <c r="AO79" s="569"/>
      <c r="AP79" s="569"/>
      <c r="AQ79" s="569"/>
      <c r="AR79" s="569"/>
      <c r="AS79" s="569"/>
      <c r="AT79" s="569"/>
      <c r="AU79" s="569"/>
      <c r="AV79" s="569"/>
      <c r="AW79" s="569"/>
      <c r="AX79" s="569"/>
      <c r="AY79" s="569"/>
      <c r="AZ79" s="569"/>
      <c r="BA79" s="569"/>
      <c r="BB79" s="569"/>
      <c r="BC79" s="570"/>
      <c r="BD79" s="570"/>
      <c r="BE79" s="570"/>
      <c r="BF79" s="570"/>
      <c r="BG79" s="570"/>
      <c r="BH79" s="570"/>
      <c r="BI79" s="570"/>
      <c r="BJ79" s="570"/>
      <c r="BK79" s="570"/>
      <c r="BL79" s="570"/>
      <c r="BM79" s="570"/>
      <c r="BN79" s="570"/>
      <c r="BO79" s="570"/>
      <c r="BP79" s="570"/>
      <c r="BQ79" s="570"/>
    </row>
    <row r="80" spans="1:69" ht="87" customHeight="1">
      <c r="A80" s="2554">
        <v>5</v>
      </c>
      <c r="B80" s="44"/>
      <c r="C80" s="563">
        <v>1</v>
      </c>
      <c r="D80" s="768" t="s">
        <v>25</v>
      </c>
      <c r="E80" s="768" t="s">
        <v>25</v>
      </c>
      <c r="F80" s="768" t="s">
        <v>25</v>
      </c>
      <c r="G80" s="768" t="s">
        <v>44</v>
      </c>
      <c r="H80" s="768"/>
      <c r="I80" s="44" t="s">
        <v>347</v>
      </c>
      <c r="J80" s="44" t="s">
        <v>2505</v>
      </c>
      <c r="K80" s="775">
        <v>100</v>
      </c>
      <c r="L80" s="578">
        <f>SUM(L81:L88)</f>
        <v>19652017000</v>
      </c>
      <c r="M80" s="584">
        <v>99.65</v>
      </c>
      <c r="N80" s="578">
        <f>SUM(N81:N88)</f>
        <v>10165639126</v>
      </c>
      <c r="O80" s="584">
        <f>100-M80</f>
        <v>0.34999999999999432</v>
      </c>
      <c r="P80" s="578">
        <f>SUM(P81:P89)</f>
        <v>3037632500</v>
      </c>
      <c r="Q80" s="584">
        <v>0</v>
      </c>
      <c r="R80" s="578">
        <f>SUM(R81:R89)</f>
        <v>92278451</v>
      </c>
      <c r="S80" s="286"/>
      <c r="T80" s="282">
        <f>SUM(T81:T89)</f>
        <v>976286751</v>
      </c>
      <c r="U80" s="282"/>
      <c r="V80" s="282"/>
      <c r="W80" s="286"/>
      <c r="X80" s="146"/>
      <c r="Y80" s="149">
        <f t="shared" si="26"/>
        <v>0</v>
      </c>
      <c r="Z80" s="867">
        <f t="shared" si="28"/>
        <v>1068565202</v>
      </c>
      <c r="AA80" s="146">
        <f t="shared" si="27"/>
        <v>99.65</v>
      </c>
      <c r="AB80" s="867">
        <f>SUM(AB81:AB88)</f>
        <v>10881958328</v>
      </c>
      <c r="AC80" s="868">
        <v>85</v>
      </c>
      <c r="AD80" s="868">
        <f t="shared" si="29"/>
        <v>55.373238930131194</v>
      </c>
      <c r="AE80" s="2554" t="s">
        <v>27</v>
      </c>
      <c r="AF80" s="569"/>
      <c r="AG80" s="569"/>
      <c r="AH80" s="569"/>
      <c r="AI80" s="569"/>
      <c r="AJ80" s="569"/>
      <c r="AK80" s="569"/>
      <c r="AL80" s="569"/>
      <c r="AM80" s="569"/>
      <c r="AN80" s="569"/>
      <c r="AO80" s="569"/>
      <c r="AP80" s="569"/>
      <c r="AQ80" s="569"/>
      <c r="AR80" s="569"/>
      <c r="AS80" s="569"/>
      <c r="AT80" s="569"/>
      <c r="AU80" s="569"/>
      <c r="AV80" s="569"/>
      <c r="AW80" s="569"/>
      <c r="AX80" s="569"/>
      <c r="AY80" s="569"/>
      <c r="AZ80" s="569"/>
      <c r="BA80" s="569"/>
      <c r="BB80" s="569"/>
      <c r="BC80" s="570"/>
      <c r="BD80" s="570"/>
      <c r="BE80" s="570"/>
      <c r="BF80" s="570"/>
      <c r="BG80" s="570"/>
      <c r="BH80" s="570"/>
      <c r="BI80" s="570"/>
      <c r="BJ80" s="570"/>
      <c r="BK80" s="570"/>
      <c r="BL80" s="570"/>
      <c r="BM80" s="570"/>
      <c r="BN80" s="570"/>
      <c r="BO80" s="570"/>
      <c r="BP80" s="570"/>
      <c r="BQ80" s="570"/>
    </row>
    <row r="81" spans="1:70" ht="33">
      <c r="A81" s="451"/>
      <c r="B81" s="34"/>
      <c r="C81" s="451">
        <v>1</v>
      </c>
      <c r="D81" s="577" t="s">
        <v>25</v>
      </c>
      <c r="E81" s="577" t="s">
        <v>25</v>
      </c>
      <c r="F81" s="577" t="s">
        <v>25</v>
      </c>
      <c r="G81" s="451">
        <v>18</v>
      </c>
      <c r="H81" s="577" t="s">
        <v>25</v>
      </c>
      <c r="I81" s="35" t="s">
        <v>348</v>
      </c>
      <c r="J81" s="35" t="s">
        <v>2506</v>
      </c>
      <c r="K81" s="115">
        <f>35*6</f>
        <v>210</v>
      </c>
      <c r="L81" s="558">
        <f>50000000*6</f>
        <v>300000000</v>
      </c>
      <c r="M81" s="115">
        <v>70</v>
      </c>
      <c r="N81" s="567">
        <v>85690000</v>
      </c>
      <c r="O81" s="574">
        <v>30</v>
      </c>
      <c r="P81" s="896">
        <v>51005000</v>
      </c>
      <c r="Q81" s="115">
        <v>0</v>
      </c>
      <c r="R81" s="558">
        <v>0</v>
      </c>
      <c r="S81" s="451">
        <v>30</v>
      </c>
      <c r="T81" s="581">
        <v>37062500</v>
      </c>
      <c r="U81" s="451"/>
      <c r="V81" s="203"/>
      <c r="W81" s="451"/>
      <c r="X81" s="567"/>
      <c r="Y81" s="506">
        <f t="shared" si="26"/>
        <v>30</v>
      </c>
      <c r="Z81" s="888">
        <f t="shared" si="28"/>
        <v>37062500</v>
      </c>
      <c r="AA81" s="115">
        <f t="shared" si="27"/>
        <v>100</v>
      </c>
      <c r="AB81" s="888">
        <f t="shared" ref="AB81:AB89" si="32">N81+Z81</f>
        <v>122752500</v>
      </c>
      <c r="AC81" s="874">
        <f t="shared" ref="AC81:AC102" si="33">(AA81/K81)*100</f>
        <v>47.619047619047613</v>
      </c>
      <c r="AD81" s="874">
        <f t="shared" si="29"/>
        <v>40.917500000000004</v>
      </c>
      <c r="AE81" s="451"/>
      <c r="AF81" s="569"/>
      <c r="AG81" s="569"/>
      <c r="AH81" s="569"/>
      <c r="AI81" s="569"/>
      <c r="AJ81" s="569"/>
      <c r="AK81" s="569"/>
      <c r="AL81" s="569"/>
      <c r="AM81" s="569"/>
      <c r="AN81" s="569"/>
      <c r="AO81" s="569"/>
      <c r="AP81" s="569"/>
      <c r="AQ81" s="569"/>
      <c r="AR81" s="569"/>
      <c r="AS81" s="569"/>
      <c r="AT81" s="569"/>
      <c r="AU81" s="569"/>
      <c r="AV81" s="569"/>
      <c r="AW81" s="569"/>
      <c r="AX81" s="569"/>
      <c r="AY81" s="569"/>
      <c r="AZ81" s="569"/>
      <c r="BA81" s="569"/>
      <c r="BB81" s="569"/>
      <c r="BC81" s="570"/>
      <c r="BD81" s="570"/>
      <c r="BE81" s="570"/>
      <c r="BF81" s="570"/>
      <c r="BG81" s="570"/>
      <c r="BH81" s="570"/>
      <c r="BI81" s="570"/>
      <c r="BJ81" s="570"/>
      <c r="BK81" s="570"/>
      <c r="BL81" s="570"/>
      <c r="BM81" s="570"/>
      <c r="BN81" s="570"/>
      <c r="BO81" s="570"/>
      <c r="BP81" s="570"/>
      <c r="BQ81" s="570"/>
    </row>
    <row r="82" spans="1:70" ht="49.5">
      <c r="A82" s="451"/>
      <c r="B82" s="34"/>
      <c r="C82" s="451">
        <v>1</v>
      </c>
      <c r="D82" s="577" t="s">
        <v>25</v>
      </c>
      <c r="E82" s="577" t="s">
        <v>25</v>
      </c>
      <c r="F82" s="577" t="s">
        <v>25</v>
      </c>
      <c r="G82" s="577" t="s">
        <v>44</v>
      </c>
      <c r="H82" s="577">
        <v>22</v>
      </c>
      <c r="I82" s="211" t="s">
        <v>349</v>
      </c>
      <c r="J82" s="35" t="s">
        <v>2507</v>
      </c>
      <c r="K82" s="115">
        <f>56*6</f>
        <v>336</v>
      </c>
      <c r="L82" s="558">
        <f>150000000*6</f>
        <v>900000000</v>
      </c>
      <c r="M82" s="115">
        <v>96</v>
      </c>
      <c r="N82" s="567">
        <v>268864100</v>
      </c>
      <c r="O82" s="574">
        <v>40</v>
      </c>
      <c r="P82" s="896">
        <v>465513000</v>
      </c>
      <c r="Q82" s="115">
        <v>0</v>
      </c>
      <c r="R82" s="558">
        <v>27192500</v>
      </c>
      <c r="S82" s="451">
        <v>0</v>
      </c>
      <c r="T82" s="581">
        <v>42342500</v>
      </c>
      <c r="U82" s="451"/>
      <c r="V82" s="203"/>
      <c r="W82" s="451"/>
      <c r="X82" s="567"/>
      <c r="Y82" s="506">
        <f t="shared" si="26"/>
        <v>0</v>
      </c>
      <c r="Z82" s="888">
        <f t="shared" si="28"/>
        <v>69535000</v>
      </c>
      <c r="AA82" s="115">
        <f t="shared" si="27"/>
        <v>96</v>
      </c>
      <c r="AB82" s="888">
        <f t="shared" si="32"/>
        <v>338399100</v>
      </c>
      <c r="AC82" s="874">
        <f t="shared" si="33"/>
        <v>28.571428571428569</v>
      </c>
      <c r="AD82" s="874">
        <f t="shared" si="29"/>
        <v>37.599900000000005</v>
      </c>
      <c r="AE82" s="451"/>
      <c r="AF82" s="569"/>
      <c r="AG82" s="569"/>
      <c r="AH82" s="569"/>
      <c r="AI82" s="569"/>
      <c r="AJ82" s="569"/>
      <c r="AK82" s="569"/>
      <c r="AL82" s="569"/>
      <c r="AM82" s="569"/>
      <c r="AN82" s="569"/>
      <c r="AO82" s="569"/>
      <c r="AP82" s="569"/>
      <c r="AQ82" s="569"/>
      <c r="AR82" s="569"/>
      <c r="AS82" s="569"/>
      <c r="AT82" s="569"/>
      <c r="AU82" s="569"/>
      <c r="AV82" s="569"/>
      <c r="AW82" s="569"/>
      <c r="AX82" s="569"/>
      <c r="AY82" s="569"/>
      <c r="AZ82" s="569"/>
      <c r="BA82" s="569"/>
      <c r="BB82" s="569"/>
      <c r="BC82" s="570"/>
      <c r="BD82" s="570"/>
      <c r="BE82" s="570"/>
      <c r="BF82" s="570"/>
      <c r="BG82" s="570"/>
      <c r="BH82" s="570"/>
      <c r="BI82" s="570"/>
      <c r="BJ82" s="570"/>
      <c r="BK82" s="570"/>
      <c r="BL82" s="570"/>
      <c r="BM82" s="570"/>
      <c r="BN82" s="570"/>
      <c r="BO82" s="570"/>
      <c r="BP82" s="570"/>
      <c r="BQ82" s="570"/>
    </row>
    <row r="83" spans="1:70" ht="49.5">
      <c r="A83" s="451"/>
      <c r="B83" s="34"/>
      <c r="C83" s="451">
        <v>1</v>
      </c>
      <c r="D83" s="577" t="s">
        <v>25</v>
      </c>
      <c r="E83" s="577" t="s">
        <v>25</v>
      </c>
      <c r="F83" s="577" t="s">
        <v>25</v>
      </c>
      <c r="G83" s="577" t="s">
        <v>44</v>
      </c>
      <c r="H83" s="577">
        <v>15</v>
      </c>
      <c r="I83" s="35" t="s">
        <v>350</v>
      </c>
      <c r="J83" s="35" t="s">
        <v>2508</v>
      </c>
      <c r="K83" s="115">
        <v>6</v>
      </c>
      <c r="L83" s="558">
        <v>16009360000</v>
      </c>
      <c r="M83" s="115">
        <v>3</v>
      </c>
      <c r="N83" s="567">
        <v>8466893500</v>
      </c>
      <c r="O83" s="574">
        <v>1</v>
      </c>
      <c r="P83" s="896">
        <v>50370000</v>
      </c>
      <c r="Q83" s="599">
        <v>0</v>
      </c>
      <c r="R83" s="558">
        <v>0</v>
      </c>
      <c r="S83" s="451">
        <v>60</v>
      </c>
      <c r="T83" s="581">
        <v>132350500</v>
      </c>
      <c r="U83" s="451"/>
      <c r="V83" s="203"/>
      <c r="W83" s="451"/>
      <c r="X83" s="567"/>
      <c r="Y83" s="506">
        <f t="shared" si="26"/>
        <v>60</v>
      </c>
      <c r="Z83" s="888">
        <f t="shared" si="28"/>
        <v>132350500</v>
      </c>
      <c r="AA83" s="115">
        <f t="shared" si="27"/>
        <v>63</v>
      </c>
      <c r="AB83" s="888">
        <f t="shared" si="32"/>
        <v>8599244000</v>
      </c>
      <c r="AC83" s="874">
        <f t="shared" si="33"/>
        <v>1050</v>
      </c>
      <c r="AD83" s="874">
        <f t="shared" si="29"/>
        <v>53.713852396348138</v>
      </c>
      <c r="AE83" s="451"/>
      <c r="AF83" s="870"/>
      <c r="AG83" s="870"/>
      <c r="AH83" s="870"/>
      <c r="AI83" s="870"/>
      <c r="AJ83" s="870"/>
      <c r="AK83" s="870"/>
      <c r="AL83" s="870"/>
      <c r="AM83" s="870"/>
      <c r="AN83" s="870"/>
      <c r="AO83" s="870"/>
      <c r="AP83" s="870"/>
      <c r="AQ83" s="870"/>
      <c r="AR83" s="870"/>
      <c r="AS83" s="870"/>
      <c r="AT83" s="870"/>
      <c r="AU83" s="870"/>
      <c r="AV83" s="870"/>
      <c r="AW83" s="870"/>
      <c r="AX83" s="870"/>
      <c r="AY83" s="870"/>
      <c r="AZ83" s="870"/>
      <c r="BA83" s="870"/>
      <c r="BB83" s="870"/>
      <c r="BC83" s="871"/>
      <c r="BD83" s="871"/>
      <c r="BE83" s="871"/>
      <c r="BF83" s="871"/>
      <c r="BG83" s="871"/>
      <c r="BH83" s="871"/>
      <c r="BI83" s="871"/>
      <c r="BJ83" s="871"/>
      <c r="BK83" s="871"/>
      <c r="BL83" s="871"/>
      <c r="BM83" s="871"/>
      <c r="BN83" s="871"/>
      <c r="BO83" s="871"/>
      <c r="BP83" s="871"/>
      <c r="BQ83" s="871"/>
    </row>
    <row r="84" spans="1:70" ht="49.5">
      <c r="A84" s="451"/>
      <c r="B84" s="34"/>
      <c r="C84" s="451">
        <v>1</v>
      </c>
      <c r="D84" s="577" t="s">
        <v>25</v>
      </c>
      <c r="E84" s="577" t="s">
        <v>25</v>
      </c>
      <c r="F84" s="577" t="s">
        <v>25</v>
      </c>
      <c r="G84" s="577" t="s">
        <v>44</v>
      </c>
      <c r="H84" s="577" t="s">
        <v>49</v>
      </c>
      <c r="I84" s="34" t="s">
        <v>351</v>
      </c>
      <c r="J84" s="34" t="s">
        <v>2509</v>
      </c>
      <c r="K84" s="115">
        <v>500</v>
      </c>
      <c r="L84" s="558">
        <f>4*P84</f>
        <v>274400000</v>
      </c>
      <c r="M84" s="115">
        <v>280</v>
      </c>
      <c r="N84" s="558">
        <v>693710526</v>
      </c>
      <c r="O84" s="573">
        <v>100</v>
      </c>
      <c r="P84" s="585">
        <v>68600000</v>
      </c>
      <c r="Q84" s="115">
        <v>0</v>
      </c>
      <c r="R84" s="558">
        <v>0</v>
      </c>
      <c r="S84" s="451">
        <v>5</v>
      </c>
      <c r="T84" s="586">
        <v>190148500</v>
      </c>
      <c r="U84" s="451"/>
      <c r="V84" s="203"/>
      <c r="W84" s="451"/>
      <c r="X84" s="567"/>
      <c r="Y84" s="506">
        <f t="shared" si="26"/>
        <v>5</v>
      </c>
      <c r="Z84" s="888">
        <f t="shared" si="28"/>
        <v>190148500</v>
      </c>
      <c r="AA84" s="115">
        <f t="shared" si="27"/>
        <v>285</v>
      </c>
      <c r="AB84" s="888">
        <f t="shared" si="32"/>
        <v>883859026</v>
      </c>
      <c r="AC84" s="874">
        <f t="shared" si="33"/>
        <v>56.999999999999993</v>
      </c>
      <c r="AD84" s="874">
        <f t="shared" si="29"/>
        <v>322.10605903790088</v>
      </c>
      <c r="AE84" s="451"/>
      <c r="AF84" s="569"/>
      <c r="AG84" s="569"/>
      <c r="AH84" s="569"/>
      <c r="AI84" s="569"/>
      <c r="AJ84" s="569"/>
      <c r="AK84" s="569"/>
      <c r="AL84" s="569"/>
      <c r="AM84" s="569"/>
      <c r="AN84" s="569"/>
      <c r="AO84" s="569"/>
      <c r="AP84" s="569"/>
      <c r="AQ84" s="569"/>
      <c r="AR84" s="569"/>
      <c r="AS84" s="569"/>
      <c r="AT84" s="569"/>
      <c r="AU84" s="569"/>
      <c r="AV84" s="569"/>
      <c r="AW84" s="569"/>
      <c r="AX84" s="569"/>
      <c r="AY84" s="569"/>
      <c r="AZ84" s="569"/>
      <c r="BA84" s="569"/>
      <c r="BB84" s="569"/>
      <c r="BC84" s="570"/>
      <c r="BD84" s="570"/>
      <c r="BE84" s="570"/>
      <c r="BF84" s="570"/>
      <c r="BG84" s="570"/>
      <c r="BH84" s="570"/>
      <c r="BI84" s="570"/>
      <c r="BJ84" s="570"/>
      <c r="BK84" s="570"/>
      <c r="BL84" s="570"/>
      <c r="BM84" s="570"/>
      <c r="BN84" s="570"/>
      <c r="BO84" s="570"/>
      <c r="BP84" s="570"/>
      <c r="BQ84" s="570"/>
    </row>
    <row r="85" spans="1:70" ht="66">
      <c r="A85" s="451"/>
      <c r="B85" s="34"/>
      <c r="C85" s="451">
        <v>1</v>
      </c>
      <c r="D85" s="577" t="s">
        <v>25</v>
      </c>
      <c r="E85" s="577" t="s">
        <v>25</v>
      </c>
      <c r="F85" s="577" t="s">
        <v>25</v>
      </c>
      <c r="G85" s="577" t="s">
        <v>44</v>
      </c>
      <c r="H85" s="577">
        <v>16</v>
      </c>
      <c r="I85" s="34" t="s">
        <v>352</v>
      </c>
      <c r="J85" s="34" t="s">
        <v>2510</v>
      </c>
      <c r="K85" s="115">
        <v>12</v>
      </c>
      <c r="L85" s="558">
        <v>300000000</v>
      </c>
      <c r="M85" s="115">
        <v>6</v>
      </c>
      <c r="N85" s="558">
        <v>106555000</v>
      </c>
      <c r="O85" s="573">
        <v>2</v>
      </c>
      <c r="P85" s="585">
        <v>132772000</v>
      </c>
      <c r="Q85" s="115">
        <v>0</v>
      </c>
      <c r="R85" s="558">
        <v>0</v>
      </c>
      <c r="S85" s="451">
        <v>72</v>
      </c>
      <c r="T85" s="581">
        <v>46487400</v>
      </c>
      <c r="U85" s="451"/>
      <c r="V85" s="203"/>
      <c r="W85" s="451"/>
      <c r="X85" s="567"/>
      <c r="Y85" s="506">
        <f t="shared" si="26"/>
        <v>72</v>
      </c>
      <c r="Z85" s="888">
        <f t="shared" si="28"/>
        <v>46487400</v>
      </c>
      <c r="AA85" s="115">
        <f t="shared" si="27"/>
        <v>78</v>
      </c>
      <c r="AB85" s="888">
        <f t="shared" si="32"/>
        <v>153042400</v>
      </c>
      <c r="AC85" s="874">
        <f t="shared" si="33"/>
        <v>650</v>
      </c>
      <c r="AD85" s="874">
        <f t="shared" si="29"/>
        <v>51.014133333333334</v>
      </c>
      <c r="AE85" s="451"/>
      <c r="AF85" s="569"/>
      <c r="AG85" s="569"/>
      <c r="AH85" s="569"/>
      <c r="AI85" s="569"/>
      <c r="AJ85" s="569"/>
      <c r="AK85" s="569"/>
      <c r="AL85" s="569"/>
      <c r="AM85" s="569"/>
      <c r="AN85" s="569"/>
      <c r="AO85" s="569"/>
      <c r="AP85" s="569"/>
      <c r="AQ85" s="569"/>
      <c r="AR85" s="569"/>
      <c r="AS85" s="569"/>
      <c r="AT85" s="569"/>
      <c r="AU85" s="569"/>
      <c r="AV85" s="569"/>
      <c r="AW85" s="569"/>
      <c r="AX85" s="569"/>
      <c r="AY85" s="569"/>
      <c r="AZ85" s="569"/>
      <c r="BA85" s="569"/>
      <c r="BB85" s="569"/>
      <c r="BC85" s="570"/>
      <c r="BD85" s="570"/>
      <c r="BE85" s="570"/>
      <c r="BF85" s="570"/>
      <c r="BG85" s="570"/>
      <c r="BH85" s="570"/>
      <c r="BI85" s="570"/>
      <c r="BJ85" s="570"/>
      <c r="BK85" s="570"/>
      <c r="BL85" s="570"/>
      <c r="BM85" s="570"/>
      <c r="BN85" s="570"/>
      <c r="BO85" s="570"/>
      <c r="BP85" s="570"/>
      <c r="BQ85" s="570"/>
    </row>
    <row r="86" spans="1:70" ht="66">
      <c r="A86" s="451"/>
      <c r="B86" s="34"/>
      <c r="C86" s="451">
        <v>1</v>
      </c>
      <c r="D86" s="577" t="s">
        <v>25</v>
      </c>
      <c r="E86" s="577" t="s">
        <v>25</v>
      </c>
      <c r="F86" s="577" t="s">
        <v>25</v>
      </c>
      <c r="G86" s="577" t="s">
        <v>44</v>
      </c>
      <c r="H86" s="577">
        <v>17</v>
      </c>
      <c r="I86" s="34" t="s">
        <v>353</v>
      </c>
      <c r="J86" s="34" t="s">
        <v>2511</v>
      </c>
      <c r="K86" s="115">
        <v>12</v>
      </c>
      <c r="L86" s="558">
        <v>350000000</v>
      </c>
      <c r="M86" s="115">
        <v>6</v>
      </c>
      <c r="N86" s="558">
        <v>127640000</v>
      </c>
      <c r="O86" s="573">
        <v>2</v>
      </c>
      <c r="P86" s="585">
        <v>56750000</v>
      </c>
      <c r="Q86" s="115">
        <v>0</v>
      </c>
      <c r="R86" s="558">
        <v>0</v>
      </c>
      <c r="S86" s="451">
        <v>70</v>
      </c>
      <c r="T86" s="581">
        <v>63804400</v>
      </c>
      <c r="U86" s="451"/>
      <c r="V86" s="203"/>
      <c r="W86" s="451"/>
      <c r="X86" s="878"/>
      <c r="Y86" s="506">
        <f t="shared" si="26"/>
        <v>70</v>
      </c>
      <c r="Z86" s="888">
        <f t="shared" si="28"/>
        <v>63804400</v>
      </c>
      <c r="AA86" s="115">
        <f t="shared" si="27"/>
        <v>76</v>
      </c>
      <c r="AB86" s="888">
        <f t="shared" si="32"/>
        <v>191444400</v>
      </c>
      <c r="AC86" s="874">
        <f t="shared" si="33"/>
        <v>633.33333333333326</v>
      </c>
      <c r="AD86" s="874">
        <f t="shared" si="29"/>
        <v>54.698399999999999</v>
      </c>
      <c r="AE86" s="451"/>
      <c r="AF86" s="569"/>
      <c r="AG86" s="569"/>
      <c r="AH86" s="569"/>
      <c r="AI86" s="569"/>
      <c r="AJ86" s="569"/>
      <c r="AK86" s="569"/>
      <c r="AL86" s="569"/>
      <c r="AM86" s="569"/>
      <c r="AN86" s="569"/>
      <c r="AO86" s="569"/>
      <c r="AP86" s="569"/>
      <c r="AQ86" s="569"/>
      <c r="AR86" s="569"/>
      <c r="AS86" s="569"/>
      <c r="AT86" s="569"/>
      <c r="AU86" s="569"/>
      <c r="AV86" s="569"/>
      <c r="AW86" s="569"/>
      <c r="AX86" s="569"/>
      <c r="AY86" s="569"/>
      <c r="AZ86" s="569"/>
      <c r="BA86" s="569"/>
      <c r="BB86" s="569"/>
      <c r="BC86" s="570"/>
      <c r="BD86" s="570"/>
      <c r="BE86" s="570"/>
      <c r="BF86" s="570"/>
      <c r="BG86" s="570"/>
      <c r="BH86" s="570"/>
      <c r="BI86" s="570"/>
      <c r="BJ86" s="570"/>
      <c r="BK86" s="570"/>
      <c r="BL86" s="570"/>
      <c r="BM86" s="570"/>
      <c r="BN86" s="570"/>
      <c r="BO86" s="570"/>
      <c r="BP86" s="570"/>
      <c r="BQ86" s="570"/>
    </row>
    <row r="87" spans="1:70" ht="49.5">
      <c r="A87" s="451"/>
      <c r="B87" s="34"/>
      <c r="C87" s="451">
        <v>1</v>
      </c>
      <c r="D87" s="577" t="s">
        <v>25</v>
      </c>
      <c r="E87" s="577" t="s">
        <v>25</v>
      </c>
      <c r="F87" s="577" t="s">
        <v>25</v>
      </c>
      <c r="G87" s="577" t="s">
        <v>44</v>
      </c>
      <c r="H87" s="577">
        <v>23</v>
      </c>
      <c r="I87" s="211" t="s">
        <v>354</v>
      </c>
      <c r="J87" s="35" t="s">
        <v>2512</v>
      </c>
      <c r="K87" s="115">
        <v>6</v>
      </c>
      <c r="L87" s="558">
        <f>30000000*6</f>
        <v>180000000</v>
      </c>
      <c r="M87" s="115">
        <v>3</v>
      </c>
      <c r="N87" s="567">
        <v>23500000</v>
      </c>
      <c r="O87" s="574">
        <v>1</v>
      </c>
      <c r="P87" s="896">
        <v>37535500</v>
      </c>
      <c r="Q87" s="115">
        <v>0</v>
      </c>
      <c r="R87" s="558">
        <v>0</v>
      </c>
      <c r="S87" s="451">
        <v>0</v>
      </c>
      <c r="T87" s="586">
        <v>0</v>
      </c>
      <c r="U87" s="451"/>
      <c r="V87" s="203"/>
      <c r="W87" s="451"/>
      <c r="X87" s="567"/>
      <c r="Y87" s="506">
        <f t="shared" si="26"/>
        <v>0</v>
      </c>
      <c r="Z87" s="888">
        <f t="shared" si="28"/>
        <v>0</v>
      </c>
      <c r="AA87" s="115">
        <f t="shared" si="27"/>
        <v>3</v>
      </c>
      <c r="AB87" s="888">
        <f t="shared" si="32"/>
        <v>23500000</v>
      </c>
      <c r="AC87" s="874">
        <f t="shared" si="33"/>
        <v>50</v>
      </c>
      <c r="AD87" s="874">
        <f t="shared" si="29"/>
        <v>13.055555555555557</v>
      </c>
      <c r="AE87" s="451"/>
      <c r="AF87" s="569"/>
      <c r="AG87" s="569"/>
      <c r="AH87" s="569"/>
      <c r="AI87" s="569"/>
      <c r="AJ87" s="569"/>
      <c r="AK87" s="569"/>
      <c r="AL87" s="569"/>
      <c r="AM87" s="569"/>
      <c r="AN87" s="569"/>
      <c r="AO87" s="569"/>
      <c r="AP87" s="569"/>
      <c r="AQ87" s="569"/>
      <c r="AR87" s="569"/>
      <c r="AS87" s="569"/>
      <c r="AT87" s="569"/>
      <c r="AU87" s="569"/>
      <c r="AV87" s="569"/>
      <c r="AW87" s="569"/>
      <c r="AX87" s="569"/>
      <c r="AY87" s="569"/>
      <c r="AZ87" s="569"/>
      <c r="BA87" s="569"/>
      <c r="BB87" s="569"/>
      <c r="BC87" s="570"/>
      <c r="BD87" s="570"/>
      <c r="BE87" s="570"/>
      <c r="BF87" s="570"/>
      <c r="BG87" s="570"/>
      <c r="BH87" s="570"/>
      <c r="BI87" s="570"/>
      <c r="BJ87" s="570"/>
      <c r="BK87" s="570"/>
      <c r="BL87" s="570"/>
      <c r="BM87" s="570"/>
      <c r="BN87" s="570"/>
      <c r="BO87" s="570"/>
      <c r="BP87" s="570"/>
      <c r="BQ87" s="570"/>
    </row>
    <row r="88" spans="1:70" ht="21" customHeight="1">
      <c r="A88" s="451"/>
      <c r="B88" s="34"/>
      <c r="C88" s="451">
        <v>1</v>
      </c>
      <c r="D88" s="577" t="s">
        <v>25</v>
      </c>
      <c r="E88" s="577" t="s">
        <v>25</v>
      </c>
      <c r="F88" s="577" t="s">
        <v>25</v>
      </c>
      <c r="G88" s="577" t="s">
        <v>44</v>
      </c>
      <c r="H88" s="577">
        <v>18</v>
      </c>
      <c r="I88" s="34" t="s">
        <v>355</v>
      </c>
      <c r="J88" s="34" t="s">
        <v>2506</v>
      </c>
      <c r="K88" s="115">
        <v>648</v>
      </c>
      <c r="L88" s="558">
        <v>1338257000</v>
      </c>
      <c r="M88" s="115">
        <v>324</v>
      </c>
      <c r="N88" s="558">
        <v>392786000</v>
      </c>
      <c r="O88" s="573">
        <v>100</v>
      </c>
      <c r="P88" s="585">
        <v>221661000</v>
      </c>
      <c r="Q88" s="115">
        <v>80</v>
      </c>
      <c r="R88" s="558">
        <v>64915451</v>
      </c>
      <c r="S88" s="451">
        <v>80</v>
      </c>
      <c r="T88" s="581">
        <v>112015451</v>
      </c>
      <c r="U88" s="451"/>
      <c r="V88" s="203"/>
      <c r="W88" s="451"/>
      <c r="X88" s="567"/>
      <c r="Y88" s="506">
        <f t="shared" si="26"/>
        <v>160</v>
      </c>
      <c r="Z88" s="888">
        <f t="shared" si="28"/>
        <v>176930902</v>
      </c>
      <c r="AA88" s="115">
        <f t="shared" si="27"/>
        <v>484</v>
      </c>
      <c r="AB88" s="888">
        <f t="shared" si="32"/>
        <v>569716902</v>
      </c>
      <c r="AC88" s="874">
        <f t="shared" si="33"/>
        <v>74.691358024691354</v>
      </c>
      <c r="AD88" s="874">
        <f t="shared" si="29"/>
        <v>42.571561516211013</v>
      </c>
      <c r="AE88" s="451"/>
      <c r="AF88" s="870"/>
      <c r="AG88" s="870"/>
      <c r="AH88" s="870"/>
      <c r="AI88" s="870"/>
      <c r="AJ88" s="870"/>
      <c r="AK88" s="870"/>
      <c r="AL88" s="870"/>
      <c r="AM88" s="870"/>
      <c r="AN88" s="870"/>
      <c r="AO88" s="870"/>
      <c r="AP88" s="870"/>
      <c r="AQ88" s="870"/>
      <c r="AR88" s="870"/>
      <c r="AS88" s="870"/>
      <c r="AT88" s="870"/>
      <c r="AU88" s="870"/>
      <c r="AV88" s="870"/>
      <c r="AW88" s="870"/>
      <c r="AX88" s="870"/>
      <c r="AY88" s="870"/>
      <c r="AZ88" s="870"/>
      <c r="BA88" s="870"/>
      <c r="BB88" s="870"/>
      <c r="BC88" s="871"/>
      <c r="BD88" s="871"/>
      <c r="BE88" s="871"/>
      <c r="BF88" s="871"/>
      <c r="BG88" s="871"/>
      <c r="BH88" s="871"/>
      <c r="BI88" s="871"/>
      <c r="BJ88" s="871"/>
      <c r="BK88" s="871"/>
      <c r="BL88" s="871"/>
      <c r="BM88" s="871"/>
      <c r="BN88" s="871"/>
      <c r="BO88" s="871"/>
      <c r="BP88" s="871"/>
      <c r="BQ88" s="871"/>
    </row>
    <row r="89" spans="1:70" ht="33">
      <c r="A89" s="451"/>
      <c r="B89" s="34"/>
      <c r="C89" s="451">
        <v>1</v>
      </c>
      <c r="D89" s="577" t="s">
        <v>25</v>
      </c>
      <c r="E89" s="577" t="s">
        <v>25</v>
      </c>
      <c r="F89" s="577" t="s">
        <v>25</v>
      </c>
      <c r="G89" s="577" t="s">
        <v>44</v>
      </c>
      <c r="H89" s="577">
        <v>28</v>
      </c>
      <c r="I89" s="34" t="s">
        <v>2514</v>
      </c>
      <c r="J89" s="587" t="s">
        <v>2513</v>
      </c>
      <c r="K89" s="115">
        <v>1</v>
      </c>
      <c r="L89" s="558">
        <v>2000000000</v>
      </c>
      <c r="M89" s="115"/>
      <c r="N89" s="558"/>
      <c r="O89" s="573">
        <v>1</v>
      </c>
      <c r="P89" s="585">
        <v>1953426000</v>
      </c>
      <c r="Q89" s="115">
        <v>0</v>
      </c>
      <c r="R89" s="558">
        <v>170500</v>
      </c>
      <c r="S89" s="451">
        <v>5</v>
      </c>
      <c r="T89" s="581">
        <v>352075500</v>
      </c>
      <c r="U89" s="451"/>
      <c r="V89" s="203"/>
      <c r="W89" s="451"/>
      <c r="X89" s="567"/>
      <c r="Y89" s="506">
        <f t="shared" si="26"/>
        <v>5</v>
      </c>
      <c r="Z89" s="888">
        <f t="shared" si="28"/>
        <v>352246000</v>
      </c>
      <c r="AA89" s="115">
        <f t="shared" si="27"/>
        <v>5</v>
      </c>
      <c r="AB89" s="888">
        <f t="shared" si="32"/>
        <v>352246000</v>
      </c>
      <c r="AC89" s="874">
        <f t="shared" si="33"/>
        <v>500</v>
      </c>
      <c r="AD89" s="874">
        <f t="shared" si="29"/>
        <v>17.612300000000001</v>
      </c>
      <c r="AE89" s="451"/>
      <c r="AF89" s="569"/>
      <c r="AG89" s="569"/>
      <c r="AH89" s="569"/>
      <c r="AI89" s="569"/>
      <c r="AJ89" s="569"/>
      <c r="AK89" s="569"/>
      <c r="AL89" s="569"/>
      <c r="AM89" s="569"/>
      <c r="AN89" s="569"/>
      <c r="AO89" s="569"/>
      <c r="AP89" s="569"/>
      <c r="AQ89" s="569"/>
      <c r="AR89" s="569"/>
      <c r="AS89" s="569"/>
      <c r="AT89" s="569"/>
      <c r="AU89" s="569"/>
      <c r="AV89" s="569"/>
      <c r="AW89" s="569"/>
      <c r="AX89" s="569"/>
      <c r="AY89" s="569"/>
      <c r="AZ89" s="569"/>
      <c r="BA89" s="569"/>
      <c r="BB89" s="569"/>
      <c r="BC89" s="570"/>
      <c r="BD89" s="570"/>
      <c r="BE89" s="570"/>
      <c r="BF89" s="570"/>
      <c r="BG89" s="570"/>
      <c r="BH89" s="570"/>
      <c r="BI89" s="570"/>
      <c r="BJ89" s="570"/>
      <c r="BK89" s="570"/>
      <c r="BL89" s="570"/>
      <c r="BM89" s="570"/>
      <c r="BN89" s="570"/>
      <c r="BO89" s="570"/>
      <c r="BP89" s="570"/>
      <c r="BQ89" s="570"/>
    </row>
    <row r="90" spans="1:70" s="1315" customFormat="1" ht="49.5">
      <c r="A90" s="1322">
        <v>6</v>
      </c>
      <c r="B90" s="1339"/>
      <c r="C90" s="1322">
        <v>1</v>
      </c>
      <c r="D90" s="1340" t="s">
        <v>25</v>
      </c>
      <c r="E90" s="1340" t="s">
        <v>25</v>
      </c>
      <c r="F90" s="1340" t="s">
        <v>25</v>
      </c>
      <c r="G90" s="1340" t="s">
        <v>54</v>
      </c>
      <c r="H90" s="1340"/>
      <c r="I90" s="2781" t="s">
        <v>55</v>
      </c>
      <c r="J90" s="46" t="s">
        <v>356</v>
      </c>
      <c r="K90" s="578">
        <f>1955+980</f>
        <v>2935</v>
      </c>
      <c r="L90" s="578">
        <f t="shared" ref="L90" si="34">SUM(L93:L106)</f>
        <v>19513471500</v>
      </c>
      <c r="M90" s="578">
        <v>1467.5</v>
      </c>
      <c r="N90" s="578">
        <f>SUM(N93:N106)</f>
        <v>5916646250</v>
      </c>
      <c r="O90" s="578">
        <f>K90/6</f>
        <v>489.16666666666669</v>
      </c>
      <c r="P90" s="578">
        <f>SUM(P93:P107)</f>
        <v>13405645700</v>
      </c>
      <c r="Q90" s="578">
        <f>O90/4</f>
        <v>122.29166666666667</v>
      </c>
      <c r="R90" s="578">
        <f>SUM(R93:R107)</f>
        <v>2095269550</v>
      </c>
      <c r="S90" s="286"/>
      <c r="T90" s="282">
        <f>SUM(T93:T107)</f>
        <v>4798744575</v>
      </c>
      <c r="U90" s="282"/>
      <c r="V90" s="282"/>
      <c r="W90" s="286"/>
      <c r="X90" s="146"/>
      <c r="Y90" s="289">
        <f t="shared" si="26"/>
        <v>122.29166666666667</v>
      </c>
      <c r="Z90" s="867">
        <f t="shared" si="28"/>
        <v>6894014125</v>
      </c>
      <c r="AA90" s="289">
        <v>140</v>
      </c>
      <c r="AB90" s="867">
        <f>SUM(AB93:AB96)</f>
        <v>2236924800</v>
      </c>
      <c r="AC90" s="868">
        <f t="shared" si="33"/>
        <v>4.7700170357751279</v>
      </c>
      <c r="AD90" s="868">
        <f t="shared" si="29"/>
        <v>11.463489722984452</v>
      </c>
      <c r="AE90" s="2554" t="s">
        <v>27</v>
      </c>
      <c r="AF90" s="870"/>
      <c r="AG90" s="870"/>
      <c r="AH90" s="870"/>
      <c r="AI90" s="870"/>
      <c r="AJ90" s="870"/>
      <c r="AK90" s="870"/>
      <c r="AL90" s="870"/>
      <c r="AM90" s="870"/>
      <c r="AN90" s="870"/>
      <c r="AO90" s="870"/>
      <c r="AP90" s="870"/>
      <c r="AQ90" s="870"/>
      <c r="AR90" s="870"/>
      <c r="AS90" s="870"/>
      <c r="AT90" s="870"/>
      <c r="AU90" s="870"/>
      <c r="AV90" s="870"/>
      <c r="AW90" s="870"/>
      <c r="AX90" s="870"/>
      <c r="AY90" s="870"/>
      <c r="AZ90" s="870"/>
      <c r="BA90" s="870"/>
      <c r="BB90" s="870"/>
      <c r="BC90" s="871"/>
      <c r="BD90" s="871"/>
      <c r="BE90" s="871"/>
      <c r="BF90" s="871"/>
      <c r="BG90" s="871"/>
      <c r="BH90" s="871"/>
      <c r="BI90" s="871"/>
      <c r="BJ90" s="871"/>
      <c r="BK90" s="871"/>
      <c r="BL90" s="871"/>
      <c r="BM90" s="871"/>
      <c r="BN90" s="871"/>
      <c r="BO90" s="871"/>
      <c r="BP90" s="871"/>
      <c r="BQ90" s="871"/>
      <c r="BR90" s="1346"/>
    </row>
    <row r="91" spans="1:70" ht="49.5">
      <c r="A91" s="1325"/>
      <c r="B91" s="1336"/>
      <c r="C91" s="1327"/>
      <c r="D91" s="1337"/>
      <c r="E91" s="1337"/>
      <c r="F91" s="1337"/>
      <c r="G91" s="1337"/>
      <c r="H91" s="1337"/>
      <c r="I91" s="2782"/>
      <c r="J91" s="46" t="s">
        <v>357</v>
      </c>
      <c r="K91" s="578">
        <f>75+390</f>
        <v>465</v>
      </c>
      <c r="L91" s="578"/>
      <c r="M91" s="578">
        <f>75+390</f>
        <v>465</v>
      </c>
      <c r="N91" s="578"/>
      <c r="O91" s="578">
        <v>0</v>
      </c>
      <c r="P91" s="578"/>
      <c r="Q91" s="578">
        <v>0</v>
      </c>
      <c r="R91" s="578"/>
      <c r="S91" s="563"/>
      <c r="T91" s="564"/>
      <c r="U91" s="563"/>
      <c r="V91" s="225"/>
      <c r="W91" s="563"/>
      <c r="X91" s="224"/>
      <c r="Y91" s="149">
        <f t="shared" si="26"/>
        <v>0</v>
      </c>
      <c r="Z91" s="867">
        <f t="shared" si="28"/>
        <v>0</v>
      </c>
      <c r="AA91" s="146">
        <f t="shared" ref="AA91:AA108" si="35">M91+Y91</f>
        <v>465</v>
      </c>
      <c r="AB91" s="867"/>
      <c r="AC91" s="289">
        <f t="shared" si="33"/>
        <v>100</v>
      </c>
      <c r="AD91" s="868"/>
      <c r="AE91" s="2554"/>
      <c r="AF91" s="569"/>
      <c r="AG91" s="569"/>
      <c r="AH91" s="569"/>
      <c r="AI91" s="569"/>
      <c r="AJ91" s="569"/>
      <c r="AK91" s="569"/>
      <c r="AL91" s="569"/>
      <c r="AM91" s="569"/>
      <c r="AN91" s="569"/>
      <c r="AO91" s="569"/>
      <c r="AP91" s="569"/>
      <c r="AQ91" s="569"/>
      <c r="AR91" s="569"/>
      <c r="AS91" s="569"/>
      <c r="AT91" s="569"/>
      <c r="AU91" s="569"/>
      <c r="AV91" s="569"/>
      <c r="AW91" s="569"/>
      <c r="AX91" s="569"/>
      <c r="AY91" s="569"/>
      <c r="AZ91" s="569"/>
      <c r="BA91" s="569"/>
      <c r="BB91" s="569"/>
      <c r="BC91" s="570"/>
      <c r="BD91" s="570"/>
      <c r="BE91" s="570"/>
      <c r="BF91" s="570"/>
      <c r="BG91" s="570"/>
      <c r="BH91" s="570"/>
      <c r="BI91" s="570"/>
      <c r="BJ91" s="570"/>
      <c r="BK91" s="570"/>
      <c r="BL91" s="570"/>
      <c r="BM91" s="570"/>
      <c r="BN91" s="570"/>
      <c r="BO91" s="570"/>
      <c r="BP91" s="570"/>
      <c r="BQ91" s="570"/>
    </row>
    <row r="92" spans="1:70" ht="66">
      <c r="A92" s="1171"/>
      <c r="B92" s="1338"/>
      <c r="C92" s="1121"/>
      <c r="D92" s="1122"/>
      <c r="E92" s="1122"/>
      <c r="F92" s="1122"/>
      <c r="G92" s="1122"/>
      <c r="H92" s="1122"/>
      <c r="I92" s="1334"/>
      <c r="J92" s="46" t="s">
        <v>358</v>
      </c>
      <c r="K92" s="578">
        <v>14</v>
      </c>
      <c r="L92" s="578"/>
      <c r="M92" s="578">
        <v>14</v>
      </c>
      <c r="N92" s="578"/>
      <c r="O92" s="578">
        <v>0</v>
      </c>
      <c r="P92" s="578"/>
      <c r="Q92" s="578">
        <v>0</v>
      </c>
      <c r="R92" s="578"/>
      <c r="S92" s="563"/>
      <c r="T92" s="897"/>
      <c r="U92" s="563"/>
      <c r="V92" s="225"/>
      <c r="W92" s="563"/>
      <c r="X92" s="224"/>
      <c r="Y92" s="149">
        <f t="shared" si="26"/>
        <v>0</v>
      </c>
      <c r="Z92" s="867">
        <f t="shared" si="28"/>
        <v>0</v>
      </c>
      <c r="AA92" s="146">
        <f t="shared" si="35"/>
        <v>14</v>
      </c>
      <c r="AB92" s="867"/>
      <c r="AC92" s="289">
        <f t="shared" si="33"/>
        <v>100</v>
      </c>
      <c r="AD92" s="868"/>
      <c r="AE92" s="2554"/>
      <c r="AF92" s="569"/>
      <c r="AG92" s="569"/>
      <c r="AH92" s="569"/>
      <c r="AI92" s="569"/>
      <c r="AJ92" s="569"/>
      <c r="AK92" s="569"/>
      <c r="AL92" s="569"/>
      <c r="AM92" s="569"/>
      <c r="AN92" s="569"/>
      <c r="AO92" s="569"/>
      <c r="AP92" s="569"/>
      <c r="AQ92" s="569"/>
      <c r="AR92" s="569"/>
      <c r="AS92" s="569"/>
      <c r="AT92" s="569"/>
      <c r="AU92" s="569"/>
      <c r="AV92" s="569"/>
      <c r="AW92" s="569"/>
      <c r="AX92" s="569"/>
      <c r="AY92" s="569"/>
      <c r="AZ92" s="569"/>
      <c r="BA92" s="569"/>
      <c r="BB92" s="569"/>
      <c r="BC92" s="570"/>
      <c r="BD92" s="570"/>
      <c r="BE92" s="570"/>
      <c r="BF92" s="570"/>
      <c r="BG92" s="570"/>
      <c r="BH92" s="570"/>
      <c r="BI92" s="570"/>
      <c r="BJ92" s="570"/>
      <c r="BK92" s="570"/>
      <c r="BL92" s="570"/>
      <c r="BM92" s="570"/>
      <c r="BN92" s="570"/>
      <c r="BO92" s="570"/>
      <c r="BP92" s="570"/>
      <c r="BQ92" s="570"/>
    </row>
    <row r="93" spans="1:70" ht="82.5">
      <c r="A93" s="451"/>
      <c r="B93" s="34"/>
      <c r="C93" s="451">
        <v>1</v>
      </c>
      <c r="D93" s="577" t="s">
        <v>25</v>
      </c>
      <c r="E93" s="577" t="s">
        <v>25</v>
      </c>
      <c r="F93" s="577" t="s">
        <v>25</v>
      </c>
      <c r="G93" s="577" t="s">
        <v>54</v>
      </c>
      <c r="H93" s="577" t="s">
        <v>25</v>
      </c>
      <c r="I93" s="45" t="s">
        <v>359</v>
      </c>
      <c r="J93" s="34" t="s">
        <v>2515</v>
      </c>
      <c r="K93" s="115">
        <v>72</v>
      </c>
      <c r="L93" s="558">
        <f>(90700+141422+(4*189930))*1000</f>
        <v>991842000</v>
      </c>
      <c r="M93" s="115">
        <v>36</v>
      </c>
      <c r="N93" s="567">
        <v>344172000</v>
      </c>
      <c r="O93" s="573">
        <v>12</v>
      </c>
      <c r="P93" s="567">
        <v>72791600</v>
      </c>
      <c r="Q93" s="599">
        <v>3</v>
      </c>
      <c r="R93" s="558">
        <v>6986000</v>
      </c>
      <c r="S93" s="451">
        <v>1</v>
      </c>
      <c r="T93" s="581">
        <v>19470650</v>
      </c>
      <c r="U93" s="451"/>
      <c r="V93" s="203"/>
      <c r="W93" s="451"/>
      <c r="X93" s="567"/>
      <c r="Y93" s="506">
        <f t="shared" si="26"/>
        <v>4</v>
      </c>
      <c r="Z93" s="888">
        <f t="shared" si="28"/>
        <v>26456650</v>
      </c>
      <c r="AA93" s="115">
        <f t="shared" si="35"/>
        <v>40</v>
      </c>
      <c r="AB93" s="888">
        <f t="shared" ref="AB93:AB107" si="36">N93+Z93</f>
        <v>370628650</v>
      </c>
      <c r="AC93" s="215">
        <f t="shared" si="33"/>
        <v>55.555555555555557</v>
      </c>
      <c r="AD93" s="874">
        <f t="shared" ref="AD93:AD108" si="37">(AB93/L93)*100</f>
        <v>37.367710784580609</v>
      </c>
      <c r="AE93" s="451"/>
      <c r="AF93" s="569"/>
      <c r="AG93" s="569"/>
      <c r="AH93" s="569"/>
      <c r="AI93" s="569"/>
      <c r="AJ93" s="569"/>
      <c r="AK93" s="569"/>
      <c r="AL93" s="569"/>
      <c r="AM93" s="569"/>
      <c r="AN93" s="569"/>
      <c r="AO93" s="569"/>
      <c r="AP93" s="569"/>
      <c r="AQ93" s="569"/>
      <c r="AR93" s="569"/>
      <c r="AS93" s="569"/>
      <c r="AT93" s="569"/>
      <c r="AU93" s="569"/>
      <c r="AV93" s="569"/>
      <c r="AW93" s="569"/>
      <c r="AX93" s="569"/>
      <c r="AY93" s="569"/>
      <c r="AZ93" s="569"/>
      <c r="BA93" s="569"/>
      <c r="BB93" s="569"/>
      <c r="BC93" s="570"/>
      <c r="BD93" s="570"/>
      <c r="BE93" s="570"/>
      <c r="BF93" s="570"/>
      <c r="BG93" s="570"/>
      <c r="BH93" s="570"/>
      <c r="BI93" s="570"/>
      <c r="BJ93" s="570"/>
      <c r="BK93" s="570"/>
      <c r="BL93" s="570"/>
      <c r="BM93" s="570"/>
      <c r="BN93" s="570"/>
      <c r="BO93" s="570"/>
      <c r="BP93" s="570"/>
      <c r="BQ93" s="570"/>
    </row>
    <row r="94" spans="1:70" ht="66">
      <c r="A94" s="451"/>
      <c r="B94" s="34"/>
      <c r="C94" s="451">
        <v>1</v>
      </c>
      <c r="D94" s="577" t="s">
        <v>25</v>
      </c>
      <c r="E94" s="577" t="s">
        <v>25</v>
      </c>
      <c r="F94" s="577" t="s">
        <v>25</v>
      </c>
      <c r="G94" s="577" t="s">
        <v>54</v>
      </c>
      <c r="H94" s="577" t="s">
        <v>39</v>
      </c>
      <c r="I94" s="45" t="s">
        <v>360</v>
      </c>
      <c r="J94" s="34" t="s">
        <v>2516</v>
      </c>
      <c r="K94" s="115">
        <v>900</v>
      </c>
      <c r="L94" s="558">
        <v>1000000000</v>
      </c>
      <c r="M94" s="115">
        <v>0</v>
      </c>
      <c r="N94" s="898">
        <v>0</v>
      </c>
      <c r="O94" s="589">
        <v>300</v>
      </c>
      <c r="P94" s="590">
        <v>353763200</v>
      </c>
      <c r="Q94" s="599">
        <v>0</v>
      </c>
      <c r="R94" s="558">
        <v>1200000</v>
      </c>
      <c r="S94" s="451">
        <v>0</v>
      </c>
      <c r="T94" s="581">
        <v>4817700</v>
      </c>
      <c r="U94" s="451"/>
      <c r="V94" s="203"/>
      <c r="W94" s="451"/>
      <c r="X94" s="567"/>
      <c r="Y94" s="506">
        <f t="shared" si="26"/>
        <v>0</v>
      </c>
      <c r="Z94" s="888">
        <f t="shared" si="28"/>
        <v>6017700</v>
      </c>
      <c r="AA94" s="115">
        <f t="shared" si="35"/>
        <v>0</v>
      </c>
      <c r="AB94" s="888">
        <f t="shared" si="36"/>
        <v>6017700</v>
      </c>
      <c r="AC94" s="215">
        <f t="shared" si="33"/>
        <v>0</v>
      </c>
      <c r="AD94" s="874">
        <f t="shared" si="37"/>
        <v>0.60177000000000003</v>
      </c>
      <c r="AE94" s="451"/>
      <c r="AF94" s="569"/>
      <c r="AG94" s="569"/>
      <c r="AH94" s="569"/>
      <c r="AI94" s="569"/>
      <c r="AJ94" s="569"/>
      <c r="AK94" s="569"/>
      <c r="AL94" s="569"/>
      <c r="AM94" s="569"/>
      <c r="AN94" s="569"/>
      <c r="AO94" s="569"/>
      <c r="AP94" s="569"/>
      <c r="AQ94" s="569"/>
      <c r="AR94" s="569"/>
      <c r="AS94" s="569"/>
      <c r="AT94" s="569"/>
      <c r="AU94" s="569"/>
      <c r="AV94" s="569"/>
      <c r="AW94" s="569"/>
      <c r="AX94" s="569"/>
      <c r="AY94" s="569"/>
      <c r="AZ94" s="569"/>
      <c r="BA94" s="569"/>
      <c r="BB94" s="569"/>
      <c r="BC94" s="570"/>
      <c r="BD94" s="570"/>
      <c r="BE94" s="570"/>
      <c r="BF94" s="570"/>
      <c r="BG94" s="570"/>
      <c r="BH94" s="570"/>
      <c r="BI94" s="570"/>
      <c r="BJ94" s="570"/>
      <c r="BK94" s="570"/>
      <c r="BL94" s="570"/>
      <c r="BM94" s="570"/>
      <c r="BN94" s="570"/>
      <c r="BO94" s="570"/>
      <c r="BP94" s="570"/>
      <c r="BQ94" s="570"/>
    </row>
    <row r="95" spans="1:70" ht="49.5">
      <c r="A95" s="451"/>
      <c r="B95" s="34"/>
      <c r="C95" s="451">
        <v>1</v>
      </c>
      <c r="D95" s="577" t="s">
        <v>25</v>
      </c>
      <c r="E95" s="577" t="s">
        <v>25</v>
      </c>
      <c r="F95" s="577" t="s">
        <v>25</v>
      </c>
      <c r="G95" s="577" t="s">
        <v>54</v>
      </c>
      <c r="H95" s="577" t="s">
        <v>56</v>
      </c>
      <c r="I95" s="45" t="s">
        <v>361</v>
      </c>
      <c r="J95" s="34" t="s">
        <v>2517</v>
      </c>
      <c r="K95" s="115">
        <v>12</v>
      </c>
      <c r="L95" s="558">
        <f>(198838+272600+(4*241810))*1000</f>
        <v>1438678000</v>
      </c>
      <c r="M95" s="115">
        <v>6</v>
      </c>
      <c r="N95" s="567">
        <v>974153550</v>
      </c>
      <c r="O95" s="573">
        <v>2</v>
      </c>
      <c r="P95" s="567">
        <v>313314600</v>
      </c>
      <c r="Q95" s="599">
        <v>0</v>
      </c>
      <c r="R95" s="558">
        <v>0</v>
      </c>
      <c r="S95" s="451">
        <v>0</v>
      </c>
      <c r="T95" s="586">
        <v>1322700</v>
      </c>
      <c r="U95" s="451"/>
      <c r="V95" s="203"/>
      <c r="W95" s="451"/>
      <c r="X95" s="567"/>
      <c r="Y95" s="506">
        <f t="shared" si="26"/>
        <v>0</v>
      </c>
      <c r="Z95" s="888">
        <f t="shared" si="28"/>
        <v>1322700</v>
      </c>
      <c r="AA95" s="115">
        <f t="shared" si="35"/>
        <v>6</v>
      </c>
      <c r="AB95" s="888">
        <f t="shared" si="36"/>
        <v>975476250</v>
      </c>
      <c r="AC95" s="215">
        <f t="shared" si="33"/>
        <v>50</v>
      </c>
      <c r="AD95" s="874">
        <f t="shared" si="37"/>
        <v>67.803653771031463</v>
      </c>
      <c r="AE95" s="451"/>
      <c r="AF95" s="569"/>
      <c r="AG95" s="569"/>
      <c r="AH95" s="569"/>
      <c r="AI95" s="569"/>
      <c r="AJ95" s="569"/>
      <c r="AK95" s="569"/>
      <c r="AL95" s="569"/>
      <c r="AM95" s="569"/>
      <c r="AN95" s="569"/>
      <c r="AO95" s="569"/>
      <c r="AP95" s="569"/>
      <c r="AQ95" s="569"/>
      <c r="AR95" s="569"/>
      <c r="AS95" s="569"/>
      <c r="AT95" s="569"/>
      <c r="AU95" s="569"/>
      <c r="AV95" s="569"/>
      <c r="AW95" s="569"/>
      <c r="AX95" s="569"/>
      <c r="AY95" s="569"/>
      <c r="AZ95" s="569"/>
      <c r="BA95" s="569"/>
      <c r="BB95" s="569"/>
      <c r="BC95" s="570"/>
      <c r="BD95" s="570"/>
      <c r="BE95" s="570"/>
      <c r="BF95" s="570"/>
      <c r="BG95" s="570"/>
      <c r="BH95" s="570"/>
      <c r="BI95" s="570"/>
      <c r="BJ95" s="570"/>
      <c r="BK95" s="570"/>
      <c r="BL95" s="570"/>
      <c r="BM95" s="570"/>
      <c r="BN95" s="570"/>
      <c r="BO95" s="570"/>
      <c r="BP95" s="570"/>
      <c r="BQ95" s="570"/>
    </row>
    <row r="96" spans="1:70" ht="66">
      <c r="A96" s="451"/>
      <c r="B96" s="34"/>
      <c r="C96" s="889" t="s">
        <v>25</v>
      </c>
      <c r="D96" s="889" t="s">
        <v>25</v>
      </c>
      <c r="E96" s="889" t="s">
        <v>25</v>
      </c>
      <c r="F96" s="889" t="s">
        <v>25</v>
      </c>
      <c r="G96" s="889" t="s">
        <v>54</v>
      </c>
      <c r="H96" s="887" t="s">
        <v>30</v>
      </c>
      <c r="I96" s="45" t="s">
        <v>362</v>
      </c>
      <c r="J96" s="34" t="s">
        <v>2518</v>
      </c>
      <c r="K96" s="115">
        <v>12</v>
      </c>
      <c r="L96" s="558">
        <f>6*65000000</f>
        <v>390000000</v>
      </c>
      <c r="M96" s="115">
        <v>6</v>
      </c>
      <c r="N96" s="558">
        <v>668235500</v>
      </c>
      <c r="O96" s="573">
        <v>2</v>
      </c>
      <c r="P96" s="567">
        <v>247496500</v>
      </c>
      <c r="Q96" s="115">
        <v>0</v>
      </c>
      <c r="R96" s="558">
        <v>29043100</v>
      </c>
      <c r="S96" s="451">
        <v>75</v>
      </c>
      <c r="T96" s="581">
        <v>187523600</v>
      </c>
      <c r="U96" s="451"/>
      <c r="V96" s="203"/>
      <c r="W96" s="451"/>
      <c r="X96" s="203"/>
      <c r="Y96" s="506">
        <f t="shared" si="26"/>
        <v>75</v>
      </c>
      <c r="Z96" s="888">
        <f t="shared" si="28"/>
        <v>216566700</v>
      </c>
      <c r="AA96" s="115">
        <f t="shared" si="35"/>
        <v>81</v>
      </c>
      <c r="AB96" s="888">
        <f t="shared" si="36"/>
        <v>884802200</v>
      </c>
      <c r="AC96" s="874">
        <f t="shared" si="33"/>
        <v>675</v>
      </c>
      <c r="AD96" s="874">
        <f t="shared" si="37"/>
        <v>226.87235897435895</v>
      </c>
      <c r="AE96" s="451"/>
      <c r="AF96" s="569"/>
      <c r="AG96" s="569"/>
      <c r="AH96" s="569"/>
      <c r="AI96" s="569"/>
      <c r="AJ96" s="569"/>
      <c r="AK96" s="569"/>
      <c r="AL96" s="569"/>
      <c r="AM96" s="569"/>
      <c r="AN96" s="569"/>
      <c r="AO96" s="569"/>
      <c r="AP96" s="569"/>
      <c r="AQ96" s="569"/>
      <c r="AR96" s="569"/>
      <c r="AS96" s="569"/>
      <c r="AT96" s="569"/>
      <c r="AU96" s="569"/>
      <c r="AV96" s="569"/>
      <c r="AW96" s="569"/>
      <c r="AX96" s="569"/>
      <c r="AY96" s="569"/>
      <c r="AZ96" s="569"/>
      <c r="BA96" s="569"/>
      <c r="BB96" s="569"/>
      <c r="BC96" s="570"/>
      <c r="BD96" s="570"/>
      <c r="BE96" s="570"/>
      <c r="BF96" s="570"/>
      <c r="BG96" s="570"/>
      <c r="BH96" s="570"/>
      <c r="BI96" s="570"/>
      <c r="BJ96" s="570"/>
      <c r="BK96" s="570"/>
      <c r="BL96" s="570"/>
      <c r="BM96" s="570"/>
      <c r="BN96" s="570"/>
      <c r="BO96" s="570"/>
      <c r="BP96" s="570"/>
      <c r="BQ96" s="570"/>
    </row>
    <row r="97" spans="1:69" ht="66">
      <c r="A97" s="451"/>
      <c r="B97" s="34"/>
      <c r="C97" s="451">
        <v>1</v>
      </c>
      <c r="D97" s="577" t="s">
        <v>25</v>
      </c>
      <c r="E97" s="577" t="s">
        <v>25</v>
      </c>
      <c r="F97" s="577" t="s">
        <v>25</v>
      </c>
      <c r="G97" s="577" t="s">
        <v>54</v>
      </c>
      <c r="H97" s="577" t="s">
        <v>43</v>
      </c>
      <c r="I97" s="211" t="s">
        <v>363</v>
      </c>
      <c r="J97" s="34" t="s">
        <v>2519</v>
      </c>
      <c r="K97" s="115">
        <f>1*6</f>
        <v>6</v>
      </c>
      <c r="L97" s="558">
        <f>(226718+415035+(4*267174))*1000</f>
        <v>1710449000</v>
      </c>
      <c r="M97" s="115">
        <v>3</v>
      </c>
      <c r="N97" s="567">
        <v>173815000</v>
      </c>
      <c r="O97" s="573">
        <v>1</v>
      </c>
      <c r="P97" s="558">
        <v>65000000</v>
      </c>
      <c r="Q97" s="599">
        <v>0</v>
      </c>
      <c r="R97" s="558">
        <v>0</v>
      </c>
      <c r="S97" s="451">
        <v>0</v>
      </c>
      <c r="T97" s="586">
        <v>0</v>
      </c>
      <c r="U97" s="451"/>
      <c r="V97" s="203"/>
      <c r="W97" s="451"/>
      <c r="X97" s="567"/>
      <c r="Y97" s="506">
        <f t="shared" si="26"/>
        <v>0</v>
      </c>
      <c r="Z97" s="888">
        <f t="shared" si="28"/>
        <v>0</v>
      </c>
      <c r="AA97" s="115">
        <f t="shared" si="35"/>
        <v>3</v>
      </c>
      <c r="AB97" s="888">
        <f t="shared" si="36"/>
        <v>173815000</v>
      </c>
      <c r="AC97" s="874">
        <f t="shared" si="33"/>
        <v>50</v>
      </c>
      <c r="AD97" s="874">
        <f t="shared" si="37"/>
        <v>10.161951627905889</v>
      </c>
      <c r="AE97" s="451"/>
      <c r="AF97" s="569"/>
      <c r="AG97" s="569"/>
      <c r="AH97" s="569"/>
      <c r="AI97" s="569"/>
      <c r="AJ97" s="569"/>
      <c r="AK97" s="569"/>
      <c r="AL97" s="569"/>
      <c r="AM97" s="569"/>
      <c r="AN97" s="569"/>
      <c r="AO97" s="569"/>
      <c r="AP97" s="569"/>
      <c r="AQ97" s="569"/>
      <c r="AR97" s="569"/>
      <c r="AS97" s="569"/>
      <c r="AT97" s="569"/>
      <c r="AU97" s="569"/>
      <c r="AV97" s="569"/>
      <c r="AW97" s="569"/>
      <c r="AX97" s="569"/>
      <c r="AY97" s="569"/>
      <c r="AZ97" s="569"/>
      <c r="BA97" s="569"/>
      <c r="BB97" s="569"/>
      <c r="BC97" s="570"/>
      <c r="BD97" s="570"/>
      <c r="BE97" s="570"/>
      <c r="BF97" s="570"/>
      <c r="BG97" s="570"/>
      <c r="BH97" s="570"/>
      <c r="BI97" s="570"/>
      <c r="BJ97" s="570"/>
      <c r="BK97" s="570"/>
      <c r="BL97" s="570"/>
      <c r="BM97" s="570"/>
      <c r="BN97" s="570"/>
      <c r="BO97" s="570"/>
      <c r="BP97" s="570"/>
      <c r="BQ97" s="570"/>
    </row>
    <row r="98" spans="1:69" ht="99">
      <c r="A98" s="451"/>
      <c r="B98" s="34"/>
      <c r="C98" s="577" t="s">
        <v>25</v>
      </c>
      <c r="D98" s="577" t="s">
        <v>25</v>
      </c>
      <c r="E98" s="577" t="s">
        <v>25</v>
      </c>
      <c r="F98" s="577" t="s">
        <v>25</v>
      </c>
      <c r="G98" s="577" t="s">
        <v>54</v>
      </c>
      <c r="H98" s="577">
        <v>10</v>
      </c>
      <c r="I98" s="45" t="s">
        <v>364</v>
      </c>
      <c r="J98" s="34" t="s">
        <v>2521</v>
      </c>
      <c r="K98" s="115">
        <v>48</v>
      </c>
      <c r="L98" s="558">
        <f>(254730+222141+(4*100026))*1000</f>
        <v>876975000</v>
      </c>
      <c r="M98" s="115">
        <v>24</v>
      </c>
      <c r="N98" s="36">
        <v>1054555300</v>
      </c>
      <c r="O98" s="573">
        <v>8</v>
      </c>
      <c r="P98" s="567">
        <v>205566000</v>
      </c>
      <c r="Q98" s="599">
        <v>0</v>
      </c>
      <c r="R98" s="36">
        <v>7549600</v>
      </c>
      <c r="S98" s="577">
        <v>1</v>
      </c>
      <c r="T98" s="581">
        <v>35429400</v>
      </c>
      <c r="U98" s="451"/>
      <c r="V98" s="203"/>
      <c r="W98" s="451"/>
      <c r="X98" s="899"/>
      <c r="Y98" s="506">
        <f t="shared" ref="Y98:Y108" si="38">Q98+S98+U98+W98</f>
        <v>1</v>
      </c>
      <c r="Z98" s="888">
        <f t="shared" si="28"/>
        <v>42979000</v>
      </c>
      <c r="AA98" s="115">
        <f t="shared" si="35"/>
        <v>25</v>
      </c>
      <c r="AB98" s="888">
        <f t="shared" si="36"/>
        <v>1097534300</v>
      </c>
      <c r="AC98" s="874">
        <f t="shared" si="33"/>
        <v>52.083333333333336</v>
      </c>
      <c r="AD98" s="874">
        <f t="shared" si="37"/>
        <v>125.1500099774794</v>
      </c>
      <c r="AE98" s="451"/>
      <c r="AF98" s="569"/>
      <c r="AG98" s="569"/>
      <c r="AH98" s="569"/>
      <c r="AI98" s="569"/>
      <c r="AJ98" s="569"/>
      <c r="AK98" s="569"/>
      <c r="AL98" s="569"/>
      <c r="AM98" s="569"/>
      <c r="AN98" s="569"/>
      <c r="AO98" s="569"/>
      <c r="AP98" s="569"/>
      <c r="AQ98" s="569"/>
      <c r="AR98" s="569"/>
      <c r="AS98" s="569"/>
      <c r="AT98" s="569"/>
      <c r="AU98" s="569"/>
      <c r="AV98" s="569"/>
      <c r="AW98" s="569"/>
      <c r="AX98" s="569"/>
      <c r="AY98" s="569"/>
      <c r="AZ98" s="569"/>
      <c r="BA98" s="569"/>
      <c r="BB98" s="569"/>
      <c r="BC98" s="570"/>
      <c r="BD98" s="570"/>
      <c r="BE98" s="570"/>
      <c r="BF98" s="570"/>
      <c r="BG98" s="570"/>
      <c r="BH98" s="570"/>
      <c r="BI98" s="570"/>
      <c r="BJ98" s="570"/>
      <c r="BK98" s="570"/>
      <c r="BL98" s="570"/>
      <c r="BM98" s="570"/>
      <c r="BN98" s="570"/>
      <c r="BO98" s="570"/>
      <c r="BP98" s="570"/>
      <c r="BQ98" s="570"/>
    </row>
    <row r="99" spans="1:69" ht="49.5">
      <c r="A99" s="451"/>
      <c r="B99" s="34"/>
      <c r="C99" s="577" t="s">
        <v>25</v>
      </c>
      <c r="D99" s="577" t="s">
        <v>25</v>
      </c>
      <c r="E99" s="577" t="s">
        <v>25</v>
      </c>
      <c r="F99" s="577" t="s">
        <v>25</v>
      </c>
      <c r="G99" s="577" t="s">
        <v>54</v>
      </c>
      <c r="H99" s="577">
        <v>16</v>
      </c>
      <c r="I99" s="591" t="s">
        <v>365</v>
      </c>
      <c r="J99" s="34" t="s">
        <v>2520</v>
      </c>
      <c r="K99" s="115">
        <v>12</v>
      </c>
      <c r="L99" s="558">
        <f>(148996+140923+(4*130000))*1000</f>
        <v>809919000</v>
      </c>
      <c r="M99" s="115">
        <v>6</v>
      </c>
      <c r="N99" s="36">
        <v>58120000</v>
      </c>
      <c r="O99" s="573">
        <v>2</v>
      </c>
      <c r="P99" s="900">
        <v>71602500</v>
      </c>
      <c r="Q99" s="599">
        <v>0</v>
      </c>
      <c r="R99" s="36">
        <v>0</v>
      </c>
      <c r="S99" s="577" t="s">
        <v>40</v>
      </c>
      <c r="T99" s="586">
        <v>59377700</v>
      </c>
      <c r="U99" s="451"/>
      <c r="V99" s="203"/>
      <c r="W99" s="451"/>
      <c r="X99" s="567"/>
      <c r="Y99" s="506">
        <f t="shared" si="38"/>
        <v>0</v>
      </c>
      <c r="Z99" s="888">
        <f t="shared" si="28"/>
        <v>59377700</v>
      </c>
      <c r="AA99" s="115">
        <f t="shared" si="35"/>
        <v>6</v>
      </c>
      <c r="AB99" s="888">
        <f t="shared" si="36"/>
        <v>117497700</v>
      </c>
      <c r="AC99" s="874">
        <f t="shared" si="33"/>
        <v>50</v>
      </c>
      <c r="AD99" s="874">
        <f t="shared" si="37"/>
        <v>14.507339622851173</v>
      </c>
      <c r="AE99" s="451"/>
      <c r="AF99" s="569"/>
      <c r="AG99" s="569"/>
      <c r="AH99" s="569"/>
      <c r="AI99" s="569"/>
      <c r="AJ99" s="569"/>
      <c r="AK99" s="569"/>
      <c r="AL99" s="569"/>
      <c r="AM99" s="569"/>
      <c r="AN99" s="569"/>
      <c r="AO99" s="569"/>
      <c r="AP99" s="569"/>
      <c r="AQ99" s="569"/>
      <c r="AR99" s="569"/>
      <c r="AS99" s="569"/>
      <c r="AT99" s="569"/>
      <c r="AU99" s="569"/>
      <c r="AV99" s="569"/>
      <c r="AW99" s="569"/>
      <c r="AX99" s="569"/>
      <c r="AY99" s="569"/>
      <c r="AZ99" s="569"/>
      <c r="BA99" s="569"/>
      <c r="BB99" s="569"/>
      <c r="BC99" s="570"/>
      <c r="BD99" s="570"/>
      <c r="BE99" s="570"/>
      <c r="BF99" s="570"/>
      <c r="BG99" s="570"/>
      <c r="BH99" s="570"/>
      <c r="BI99" s="570"/>
      <c r="BJ99" s="570"/>
      <c r="BK99" s="570"/>
      <c r="BL99" s="570"/>
      <c r="BM99" s="570"/>
      <c r="BN99" s="570"/>
      <c r="BO99" s="570"/>
      <c r="BP99" s="570"/>
      <c r="BQ99" s="570"/>
    </row>
    <row r="100" spans="1:69" ht="66">
      <c r="A100" s="451"/>
      <c r="B100" s="34"/>
      <c r="C100" s="451">
        <v>1</v>
      </c>
      <c r="D100" s="577" t="s">
        <v>25</v>
      </c>
      <c r="E100" s="577" t="s">
        <v>25</v>
      </c>
      <c r="F100" s="577" t="s">
        <v>25</v>
      </c>
      <c r="G100" s="577" t="s">
        <v>54</v>
      </c>
      <c r="H100" s="577">
        <v>25</v>
      </c>
      <c r="I100" s="34" t="s">
        <v>366</v>
      </c>
      <c r="J100" s="34" t="s">
        <v>367</v>
      </c>
      <c r="K100" s="115">
        <f>4*5</f>
        <v>20</v>
      </c>
      <c r="L100" s="558">
        <f>(579714+(4*416239))*1000</f>
        <v>2244670000</v>
      </c>
      <c r="M100" s="115">
        <v>6</v>
      </c>
      <c r="N100" s="558">
        <v>645797000</v>
      </c>
      <c r="O100" s="573">
        <v>12</v>
      </c>
      <c r="P100" s="36">
        <v>156966000</v>
      </c>
      <c r="Q100" s="115">
        <v>3</v>
      </c>
      <c r="R100" s="558">
        <v>18492000</v>
      </c>
      <c r="S100" s="577" t="s">
        <v>40</v>
      </c>
      <c r="T100" s="205">
        <v>47092000</v>
      </c>
      <c r="U100" s="451"/>
      <c r="V100" s="203"/>
      <c r="W100" s="451"/>
      <c r="X100" s="567"/>
      <c r="Y100" s="506">
        <f t="shared" si="38"/>
        <v>3</v>
      </c>
      <c r="Z100" s="888">
        <f t="shared" si="28"/>
        <v>65584000</v>
      </c>
      <c r="AA100" s="115">
        <f t="shared" si="35"/>
        <v>9</v>
      </c>
      <c r="AB100" s="888">
        <f t="shared" si="36"/>
        <v>711381000</v>
      </c>
      <c r="AC100" s="874">
        <f t="shared" si="33"/>
        <v>45</v>
      </c>
      <c r="AD100" s="874">
        <f t="shared" si="37"/>
        <v>31.692008179376035</v>
      </c>
      <c r="AE100" s="451"/>
      <c r="AF100" s="569"/>
      <c r="AG100" s="569"/>
      <c r="AH100" s="569"/>
      <c r="AI100" s="569"/>
      <c r="AJ100" s="569"/>
      <c r="AK100" s="569"/>
      <c r="AL100" s="569"/>
      <c r="AM100" s="569"/>
      <c r="AN100" s="569"/>
      <c r="AO100" s="569"/>
      <c r="AP100" s="569"/>
      <c r="AQ100" s="569"/>
      <c r="AR100" s="569"/>
      <c r="AS100" s="569"/>
      <c r="AT100" s="569"/>
      <c r="AU100" s="569"/>
      <c r="AV100" s="569"/>
      <c r="AW100" s="569"/>
      <c r="AX100" s="569"/>
      <c r="AY100" s="569"/>
      <c r="AZ100" s="569"/>
      <c r="BA100" s="569"/>
      <c r="BB100" s="569"/>
      <c r="BC100" s="570"/>
      <c r="BD100" s="570"/>
      <c r="BE100" s="570"/>
      <c r="BF100" s="570"/>
      <c r="BG100" s="570"/>
      <c r="BH100" s="570"/>
      <c r="BI100" s="570"/>
      <c r="BJ100" s="570"/>
      <c r="BK100" s="570"/>
      <c r="BL100" s="570"/>
      <c r="BM100" s="570"/>
      <c r="BN100" s="570"/>
      <c r="BO100" s="570"/>
      <c r="BP100" s="570"/>
      <c r="BQ100" s="570"/>
    </row>
    <row r="101" spans="1:69" ht="66">
      <c r="A101" s="451"/>
      <c r="B101" s="34"/>
      <c r="C101" s="451">
        <v>1</v>
      </c>
      <c r="D101" s="577" t="s">
        <v>25</v>
      </c>
      <c r="E101" s="577" t="s">
        <v>25</v>
      </c>
      <c r="F101" s="577" t="s">
        <v>25</v>
      </c>
      <c r="G101" s="577" t="s">
        <v>54</v>
      </c>
      <c r="H101" s="577" t="s">
        <v>59</v>
      </c>
      <c r="I101" s="34" t="s">
        <v>368</v>
      </c>
      <c r="J101" s="34" t="s">
        <v>2522</v>
      </c>
      <c r="K101" s="115">
        <v>360</v>
      </c>
      <c r="L101" s="558">
        <f>(116950+118484+(4*130789))*1000</f>
        <v>758590000</v>
      </c>
      <c r="M101" s="115">
        <v>180</v>
      </c>
      <c r="N101" s="567">
        <v>406632900</v>
      </c>
      <c r="O101" s="573">
        <v>60</v>
      </c>
      <c r="P101" s="36">
        <v>85749800</v>
      </c>
      <c r="Q101" s="599">
        <v>0</v>
      </c>
      <c r="R101" s="558">
        <v>0</v>
      </c>
      <c r="S101" s="451">
        <v>0</v>
      </c>
      <c r="T101" s="581">
        <v>0</v>
      </c>
      <c r="U101" s="451"/>
      <c r="V101" s="203"/>
      <c r="W101" s="451"/>
      <c r="X101" s="567"/>
      <c r="Y101" s="506">
        <f t="shared" si="38"/>
        <v>0</v>
      </c>
      <c r="Z101" s="888">
        <f t="shared" si="28"/>
        <v>0</v>
      </c>
      <c r="AA101" s="115">
        <f t="shared" si="35"/>
        <v>180</v>
      </c>
      <c r="AB101" s="888">
        <f t="shared" si="36"/>
        <v>406632900</v>
      </c>
      <c r="AC101" s="874">
        <f t="shared" si="33"/>
        <v>50</v>
      </c>
      <c r="AD101" s="874">
        <f t="shared" si="37"/>
        <v>53.603778061930683</v>
      </c>
      <c r="AE101" s="451"/>
      <c r="AF101" s="569"/>
      <c r="AG101" s="569"/>
      <c r="AH101" s="569"/>
      <c r="AI101" s="569"/>
      <c r="AJ101" s="569"/>
      <c r="AK101" s="569"/>
      <c r="AL101" s="569"/>
      <c r="AM101" s="569"/>
      <c r="AN101" s="569"/>
      <c r="AO101" s="569"/>
      <c r="AP101" s="569"/>
      <c r="AQ101" s="569"/>
      <c r="AR101" s="569"/>
      <c r="AS101" s="569"/>
      <c r="AT101" s="569"/>
      <c r="AU101" s="569"/>
      <c r="AV101" s="569"/>
      <c r="AW101" s="569"/>
      <c r="AX101" s="569"/>
      <c r="AY101" s="569"/>
      <c r="AZ101" s="569"/>
      <c r="BA101" s="569"/>
      <c r="BB101" s="569"/>
      <c r="BC101" s="570"/>
      <c r="BD101" s="570"/>
      <c r="BE101" s="570"/>
      <c r="BF101" s="570"/>
      <c r="BG101" s="570"/>
      <c r="BH101" s="570"/>
      <c r="BI101" s="570"/>
      <c r="BJ101" s="570"/>
      <c r="BK101" s="570"/>
      <c r="BL101" s="570"/>
      <c r="BM101" s="570"/>
      <c r="BN101" s="570"/>
      <c r="BO101" s="570"/>
      <c r="BP101" s="570"/>
      <c r="BQ101" s="570"/>
    </row>
    <row r="102" spans="1:69" ht="66">
      <c r="A102" s="451"/>
      <c r="B102" s="577"/>
      <c r="C102" s="577" t="s">
        <v>25</v>
      </c>
      <c r="D102" s="577" t="s">
        <v>41</v>
      </c>
      <c r="E102" s="577" t="s">
        <v>25</v>
      </c>
      <c r="F102" s="577" t="s">
        <v>39</v>
      </c>
      <c r="G102" s="577" t="s">
        <v>54</v>
      </c>
      <c r="H102" s="577">
        <v>21</v>
      </c>
      <c r="I102" s="45" t="s">
        <v>369</v>
      </c>
      <c r="J102" s="587" t="s">
        <v>2523</v>
      </c>
      <c r="K102" s="115">
        <v>90</v>
      </c>
      <c r="L102" s="558">
        <f>(250000+223225+230000+235000+240000)*1000</f>
        <v>1178225000</v>
      </c>
      <c r="M102" s="115">
        <v>0</v>
      </c>
      <c r="N102" s="558">
        <v>0</v>
      </c>
      <c r="O102" s="589">
        <v>32</v>
      </c>
      <c r="P102" s="592">
        <v>242086000</v>
      </c>
      <c r="Q102" s="115">
        <v>0</v>
      </c>
      <c r="R102" s="558">
        <v>0</v>
      </c>
      <c r="S102" s="451">
        <v>0</v>
      </c>
      <c r="T102" s="581">
        <v>0</v>
      </c>
      <c r="U102" s="451"/>
      <c r="V102" s="203"/>
      <c r="W102" s="451"/>
      <c r="X102" s="115"/>
      <c r="Y102" s="506">
        <f t="shared" si="38"/>
        <v>0</v>
      </c>
      <c r="Z102" s="888">
        <f t="shared" si="28"/>
        <v>0</v>
      </c>
      <c r="AA102" s="115">
        <f t="shared" si="35"/>
        <v>0</v>
      </c>
      <c r="AB102" s="888">
        <f t="shared" si="36"/>
        <v>0</v>
      </c>
      <c r="AC102" s="874">
        <f t="shared" si="33"/>
        <v>0</v>
      </c>
      <c r="AD102" s="874">
        <f t="shared" si="37"/>
        <v>0</v>
      </c>
      <c r="AE102" s="451"/>
      <c r="AF102" s="569"/>
      <c r="AG102" s="569"/>
      <c r="AH102" s="569"/>
      <c r="AI102" s="569"/>
      <c r="AJ102" s="569"/>
      <c r="AK102" s="569"/>
      <c r="AL102" s="569"/>
      <c r="AM102" s="569"/>
      <c r="AN102" s="569"/>
      <c r="AO102" s="569"/>
      <c r="AP102" s="569"/>
      <c r="AQ102" s="569"/>
      <c r="AR102" s="569"/>
      <c r="AS102" s="569"/>
      <c r="AT102" s="569"/>
      <c r="AU102" s="569"/>
      <c r="AV102" s="569"/>
      <c r="AW102" s="569"/>
      <c r="AX102" s="569"/>
      <c r="AY102" s="569"/>
      <c r="AZ102" s="569"/>
      <c r="BA102" s="569"/>
      <c r="BB102" s="569"/>
      <c r="BC102" s="570"/>
      <c r="BD102" s="570"/>
      <c r="BE102" s="570"/>
      <c r="BF102" s="570"/>
      <c r="BG102" s="570"/>
      <c r="BH102" s="570"/>
      <c r="BI102" s="570"/>
      <c r="BJ102" s="570"/>
      <c r="BK102" s="570"/>
      <c r="BL102" s="570"/>
      <c r="BM102" s="570"/>
      <c r="BN102" s="570"/>
      <c r="BO102" s="570"/>
      <c r="BP102" s="570"/>
      <c r="BQ102" s="570"/>
    </row>
    <row r="103" spans="1:69" ht="49.5">
      <c r="A103" s="451"/>
      <c r="B103" s="34"/>
      <c r="C103" s="451">
        <v>1</v>
      </c>
      <c r="D103" s="577" t="s">
        <v>25</v>
      </c>
      <c r="E103" s="577" t="s">
        <v>25</v>
      </c>
      <c r="F103" s="577" t="s">
        <v>25</v>
      </c>
      <c r="G103" s="577" t="s">
        <v>54</v>
      </c>
      <c r="H103" s="577">
        <v>19</v>
      </c>
      <c r="I103" s="593" t="s">
        <v>370</v>
      </c>
      <c r="J103" s="593" t="s">
        <v>2524</v>
      </c>
      <c r="K103" s="115">
        <v>750</v>
      </c>
      <c r="L103" s="558">
        <f>3*P103</f>
        <v>815893500</v>
      </c>
      <c r="M103" s="115">
        <v>250</v>
      </c>
      <c r="N103" s="567">
        <v>363448500</v>
      </c>
      <c r="O103" s="901">
        <v>200</v>
      </c>
      <c r="P103" s="902">
        <v>271964500</v>
      </c>
      <c r="Q103" s="599">
        <v>0</v>
      </c>
      <c r="R103" s="558">
        <v>2627750</v>
      </c>
      <c r="S103" s="451">
        <v>100</v>
      </c>
      <c r="T103" s="581">
        <v>43009500</v>
      </c>
      <c r="U103" s="451"/>
      <c r="V103" s="203"/>
      <c r="W103" s="451"/>
      <c r="X103" s="567"/>
      <c r="Y103" s="506">
        <f t="shared" si="38"/>
        <v>100</v>
      </c>
      <c r="Z103" s="888">
        <f t="shared" ref="Z103:Z116" si="39">R103+T103+V103+X103</f>
        <v>45637250</v>
      </c>
      <c r="AA103" s="115">
        <f t="shared" si="35"/>
        <v>350</v>
      </c>
      <c r="AB103" s="888">
        <f t="shared" si="36"/>
        <v>409085750</v>
      </c>
      <c r="AC103" s="874">
        <v>30</v>
      </c>
      <c r="AD103" s="874">
        <f t="shared" si="37"/>
        <v>50.139601553389014</v>
      </c>
      <c r="AE103" s="451"/>
      <c r="AF103" s="569"/>
      <c r="AG103" s="569"/>
      <c r="AH103" s="569"/>
      <c r="AI103" s="569"/>
      <c r="AJ103" s="569"/>
      <c r="AK103" s="569"/>
      <c r="AL103" s="569"/>
      <c r="AM103" s="569"/>
      <c r="AN103" s="569"/>
      <c r="AO103" s="569"/>
      <c r="AP103" s="569"/>
      <c r="AQ103" s="569"/>
      <c r="AR103" s="569"/>
      <c r="AS103" s="569"/>
      <c r="AT103" s="569"/>
      <c r="AU103" s="569"/>
      <c r="AV103" s="569"/>
      <c r="AW103" s="569"/>
      <c r="AX103" s="569"/>
      <c r="AY103" s="569"/>
      <c r="AZ103" s="569"/>
      <c r="BA103" s="569"/>
      <c r="BB103" s="569"/>
      <c r="BC103" s="570"/>
      <c r="BD103" s="570"/>
      <c r="BE103" s="570"/>
      <c r="BF103" s="570"/>
      <c r="BG103" s="570"/>
      <c r="BH103" s="570"/>
      <c r="BI103" s="570"/>
      <c r="BJ103" s="570"/>
      <c r="BK103" s="570"/>
      <c r="BL103" s="570"/>
      <c r="BM103" s="570"/>
      <c r="BN103" s="570"/>
      <c r="BO103" s="570"/>
      <c r="BP103" s="570"/>
      <c r="BQ103" s="570"/>
    </row>
    <row r="104" spans="1:69" ht="49.5">
      <c r="A104" s="451"/>
      <c r="B104" s="34"/>
      <c r="C104" s="577" t="s">
        <v>25</v>
      </c>
      <c r="D104" s="577" t="s">
        <v>25</v>
      </c>
      <c r="E104" s="577" t="s">
        <v>25</v>
      </c>
      <c r="F104" s="577" t="s">
        <v>25</v>
      </c>
      <c r="G104" s="577">
        <v>20</v>
      </c>
      <c r="H104" s="577">
        <v>32</v>
      </c>
      <c r="I104" s="34" t="s">
        <v>371</v>
      </c>
      <c r="J104" s="34" t="s">
        <v>2525</v>
      </c>
      <c r="K104" s="115">
        <v>240</v>
      </c>
      <c r="L104" s="597">
        <f>4*84220000</f>
        <v>336880000</v>
      </c>
      <c r="M104" s="115">
        <v>0</v>
      </c>
      <c r="N104" s="900">
        <v>0</v>
      </c>
      <c r="O104" s="589">
        <v>60</v>
      </c>
      <c r="P104" s="585">
        <v>455300000</v>
      </c>
      <c r="Q104" s="599">
        <v>0</v>
      </c>
      <c r="R104" s="558">
        <v>81085200</v>
      </c>
      <c r="S104" s="451">
        <v>60</v>
      </c>
      <c r="T104" s="581">
        <v>248485275</v>
      </c>
      <c r="U104" s="451"/>
      <c r="V104" s="203"/>
      <c r="W104" s="451"/>
      <c r="X104" s="567"/>
      <c r="Y104" s="506">
        <f t="shared" si="38"/>
        <v>60</v>
      </c>
      <c r="Z104" s="888">
        <f t="shared" si="39"/>
        <v>329570475</v>
      </c>
      <c r="AA104" s="115">
        <f t="shared" si="35"/>
        <v>60</v>
      </c>
      <c r="AB104" s="888">
        <f t="shared" si="36"/>
        <v>329570475</v>
      </c>
      <c r="AC104" s="874">
        <f>(AA104/K104)*100</f>
        <v>25</v>
      </c>
      <c r="AD104" s="874">
        <f t="shared" si="37"/>
        <v>97.830228864877697</v>
      </c>
      <c r="AE104" s="451"/>
      <c r="AF104" s="569"/>
      <c r="AG104" s="569"/>
      <c r="AH104" s="569"/>
      <c r="AI104" s="569"/>
      <c r="AJ104" s="569"/>
      <c r="AK104" s="569"/>
      <c r="AL104" s="569"/>
      <c r="AM104" s="569"/>
      <c r="AN104" s="569"/>
      <c r="AO104" s="569"/>
      <c r="AP104" s="569"/>
      <c r="AQ104" s="569"/>
      <c r="AR104" s="569"/>
      <c r="AS104" s="569"/>
      <c r="AT104" s="569"/>
      <c r="AU104" s="569"/>
      <c r="AV104" s="569"/>
      <c r="AW104" s="569"/>
      <c r="AX104" s="569"/>
      <c r="AY104" s="569"/>
      <c r="AZ104" s="569"/>
      <c r="BA104" s="569"/>
      <c r="BB104" s="569"/>
      <c r="BC104" s="570"/>
      <c r="BD104" s="570"/>
      <c r="BE104" s="570"/>
      <c r="BF104" s="570"/>
      <c r="BG104" s="570"/>
      <c r="BH104" s="570"/>
      <c r="BI104" s="570"/>
      <c r="BJ104" s="570"/>
      <c r="BK104" s="570"/>
      <c r="BL104" s="570"/>
      <c r="BM104" s="570"/>
      <c r="BN104" s="570"/>
      <c r="BO104" s="570"/>
      <c r="BP104" s="570"/>
      <c r="BQ104" s="570"/>
    </row>
    <row r="105" spans="1:69" ht="49.5">
      <c r="A105" s="451"/>
      <c r="B105" s="34"/>
      <c r="C105" s="577" t="s">
        <v>25</v>
      </c>
      <c r="D105" s="577" t="s">
        <v>25</v>
      </c>
      <c r="E105" s="577" t="s">
        <v>25</v>
      </c>
      <c r="F105" s="577" t="s">
        <v>25</v>
      </c>
      <c r="G105" s="577">
        <v>20</v>
      </c>
      <c r="H105" s="577">
        <v>28</v>
      </c>
      <c r="I105" s="45" t="s">
        <v>372</v>
      </c>
      <c r="J105" s="34" t="s">
        <v>2526</v>
      </c>
      <c r="K105" s="115">
        <v>2400</v>
      </c>
      <c r="L105" s="597">
        <f>6*400000000</f>
        <v>2400000000</v>
      </c>
      <c r="M105" s="115">
        <v>1200</v>
      </c>
      <c r="N105" s="900">
        <v>1227716500</v>
      </c>
      <c r="O105" s="573">
        <v>400</v>
      </c>
      <c r="P105" s="567">
        <v>427618700</v>
      </c>
      <c r="Q105" s="599">
        <v>0</v>
      </c>
      <c r="R105" s="558">
        <v>0</v>
      </c>
      <c r="S105" s="451">
        <v>400</v>
      </c>
      <c r="T105" s="567">
        <v>293800700</v>
      </c>
      <c r="U105" s="451"/>
      <c r="V105" s="203"/>
      <c r="W105" s="451"/>
      <c r="X105" s="203"/>
      <c r="Y105" s="506">
        <f t="shared" si="38"/>
        <v>400</v>
      </c>
      <c r="Z105" s="888">
        <f t="shared" si="39"/>
        <v>293800700</v>
      </c>
      <c r="AA105" s="115">
        <f t="shared" si="35"/>
        <v>1600</v>
      </c>
      <c r="AB105" s="888">
        <f t="shared" si="36"/>
        <v>1521517200</v>
      </c>
      <c r="AC105" s="874">
        <f>(AA105/K105)*100</f>
        <v>66.666666666666657</v>
      </c>
      <c r="AD105" s="874">
        <f t="shared" si="37"/>
        <v>63.396549999999998</v>
      </c>
      <c r="AE105" s="451"/>
      <c r="AF105" s="569"/>
      <c r="AG105" s="569"/>
      <c r="AH105" s="569"/>
      <c r="AI105" s="569"/>
      <c r="AJ105" s="569"/>
      <c r="AK105" s="569"/>
      <c r="AL105" s="569"/>
      <c r="AM105" s="569"/>
      <c r="AN105" s="569"/>
      <c r="AO105" s="569"/>
      <c r="AP105" s="569"/>
      <c r="AQ105" s="569"/>
      <c r="AR105" s="569"/>
      <c r="AS105" s="569"/>
      <c r="AT105" s="569"/>
      <c r="AU105" s="569"/>
      <c r="AV105" s="569"/>
      <c r="AW105" s="569"/>
      <c r="AX105" s="569"/>
      <c r="AY105" s="569"/>
      <c r="AZ105" s="569"/>
      <c r="BA105" s="569"/>
      <c r="BB105" s="569"/>
      <c r="BC105" s="570"/>
      <c r="BD105" s="570"/>
      <c r="BE105" s="570"/>
      <c r="BF105" s="570"/>
      <c r="BG105" s="570"/>
      <c r="BH105" s="570"/>
      <c r="BI105" s="570"/>
      <c r="BJ105" s="570"/>
      <c r="BK105" s="570"/>
      <c r="BL105" s="570"/>
      <c r="BM105" s="570"/>
      <c r="BN105" s="570"/>
      <c r="BO105" s="570"/>
      <c r="BP105" s="570"/>
      <c r="BQ105" s="570"/>
    </row>
    <row r="106" spans="1:69" ht="45" customHeight="1">
      <c r="A106" s="451"/>
      <c r="B106" s="34"/>
      <c r="C106" s="451">
        <v>1</v>
      </c>
      <c r="D106" s="577" t="s">
        <v>25</v>
      </c>
      <c r="E106" s="577" t="s">
        <v>25</v>
      </c>
      <c r="F106" s="577" t="s">
        <v>25</v>
      </c>
      <c r="G106" s="577" t="s">
        <v>54</v>
      </c>
      <c r="H106" s="577">
        <v>35</v>
      </c>
      <c r="I106" s="591" t="s">
        <v>373</v>
      </c>
      <c r="J106" s="34" t="s">
        <v>2527</v>
      </c>
      <c r="K106" s="115">
        <f>1250+(4*1283)</f>
        <v>6382</v>
      </c>
      <c r="L106" s="558">
        <f>3*P106</f>
        <v>4561350000</v>
      </c>
      <c r="M106" s="203">
        <v>0</v>
      </c>
      <c r="N106" s="558">
        <v>0</v>
      </c>
      <c r="O106" s="573">
        <v>2000</v>
      </c>
      <c r="P106" s="900">
        <v>1520450000</v>
      </c>
      <c r="Q106" s="115">
        <v>0</v>
      </c>
      <c r="R106" s="558">
        <v>0</v>
      </c>
      <c r="S106" s="451">
        <v>0</v>
      </c>
      <c r="T106" s="567">
        <v>30300000</v>
      </c>
      <c r="U106" s="451"/>
      <c r="V106" s="203"/>
      <c r="W106" s="451"/>
      <c r="X106" s="567"/>
      <c r="Y106" s="506">
        <f t="shared" si="38"/>
        <v>0</v>
      </c>
      <c r="Z106" s="888">
        <f t="shared" si="39"/>
        <v>30300000</v>
      </c>
      <c r="AA106" s="115">
        <f t="shared" si="35"/>
        <v>0</v>
      </c>
      <c r="AB106" s="888">
        <f t="shared" si="36"/>
        <v>30300000</v>
      </c>
      <c r="AC106" s="874">
        <f>(AA106/K106)*100</f>
        <v>0</v>
      </c>
      <c r="AD106" s="874">
        <f t="shared" si="37"/>
        <v>0.66427702324969584</v>
      </c>
      <c r="AE106" s="451"/>
      <c r="AF106" s="569"/>
      <c r="AG106" s="569"/>
      <c r="AH106" s="569"/>
      <c r="AI106" s="569"/>
      <c r="AJ106" s="569"/>
      <c r="AK106" s="569"/>
      <c r="AL106" s="569"/>
      <c r="AM106" s="569"/>
      <c r="AN106" s="569"/>
      <c r="AO106" s="569"/>
      <c r="AP106" s="569"/>
      <c r="AQ106" s="569"/>
      <c r="AR106" s="569"/>
      <c r="AS106" s="569"/>
      <c r="AT106" s="569"/>
      <c r="AU106" s="569"/>
      <c r="AV106" s="569"/>
      <c r="AW106" s="569"/>
      <c r="AX106" s="569"/>
      <c r="AY106" s="569"/>
      <c r="AZ106" s="569"/>
      <c r="BA106" s="569"/>
      <c r="BB106" s="569"/>
      <c r="BC106" s="570"/>
      <c r="BD106" s="570"/>
      <c r="BE106" s="570"/>
      <c r="BF106" s="570"/>
      <c r="BG106" s="570"/>
      <c r="BH106" s="570"/>
      <c r="BI106" s="570"/>
      <c r="BJ106" s="570"/>
      <c r="BK106" s="570"/>
      <c r="BL106" s="570"/>
      <c r="BM106" s="570"/>
      <c r="BN106" s="570"/>
      <c r="BO106" s="570"/>
      <c r="BP106" s="570"/>
      <c r="BQ106" s="570"/>
    </row>
    <row r="107" spans="1:69" ht="49.5">
      <c r="A107" s="451"/>
      <c r="B107" s="34"/>
      <c r="C107" s="451">
        <v>1</v>
      </c>
      <c r="D107" s="577" t="s">
        <v>25</v>
      </c>
      <c r="E107" s="577" t="s">
        <v>25</v>
      </c>
      <c r="F107" s="577" t="s">
        <v>25</v>
      </c>
      <c r="G107" s="577" t="s">
        <v>54</v>
      </c>
      <c r="H107" s="577">
        <v>37</v>
      </c>
      <c r="I107" s="45" t="s">
        <v>374</v>
      </c>
      <c r="J107" s="34" t="s">
        <v>2528</v>
      </c>
      <c r="K107" s="115">
        <v>72</v>
      </c>
      <c r="L107" s="1305">
        <f>1284*12*750000</f>
        <v>11556000000</v>
      </c>
      <c r="M107" s="203">
        <v>36</v>
      </c>
      <c r="N107" s="558">
        <v>19937147500</v>
      </c>
      <c r="O107" s="573">
        <v>12</v>
      </c>
      <c r="P107" s="558">
        <v>8915976300</v>
      </c>
      <c r="Q107" s="115">
        <v>3</v>
      </c>
      <c r="R107" s="558">
        <v>1948285900</v>
      </c>
      <c r="S107" s="451">
        <v>3</v>
      </c>
      <c r="T107" s="567">
        <v>3828115350</v>
      </c>
      <c r="U107" s="451"/>
      <c r="V107" s="203"/>
      <c r="W107" s="451"/>
      <c r="X107" s="567"/>
      <c r="Y107" s="506">
        <f t="shared" si="38"/>
        <v>6</v>
      </c>
      <c r="Z107" s="888">
        <f t="shared" si="39"/>
        <v>5776401250</v>
      </c>
      <c r="AA107" s="115">
        <f t="shared" si="35"/>
        <v>42</v>
      </c>
      <c r="AB107" s="888">
        <f t="shared" si="36"/>
        <v>25713548750</v>
      </c>
      <c r="AC107" s="874">
        <f>(AA107/K107)*100</f>
        <v>58.333333333333336</v>
      </c>
      <c r="AD107" s="874">
        <f t="shared" si="37"/>
        <v>222.51253677743165</v>
      </c>
      <c r="AE107" s="451"/>
      <c r="AF107" s="569"/>
      <c r="AG107" s="569"/>
      <c r="AH107" s="569"/>
      <c r="AI107" s="569"/>
      <c r="AJ107" s="569"/>
      <c r="AK107" s="569"/>
      <c r="AL107" s="569"/>
      <c r="AM107" s="569"/>
      <c r="AN107" s="569"/>
      <c r="AO107" s="569"/>
      <c r="AP107" s="569"/>
      <c r="AQ107" s="569"/>
      <c r="AR107" s="569"/>
      <c r="AS107" s="569"/>
      <c r="AT107" s="569"/>
      <c r="AU107" s="569"/>
      <c r="AV107" s="569"/>
      <c r="AW107" s="569"/>
      <c r="AX107" s="569"/>
      <c r="AY107" s="569"/>
      <c r="AZ107" s="569"/>
      <c r="BA107" s="569"/>
      <c r="BB107" s="569"/>
      <c r="BC107" s="570"/>
      <c r="BD107" s="570"/>
      <c r="BE107" s="570"/>
      <c r="BF107" s="570"/>
      <c r="BG107" s="570"/>
      <c r="BH107" s="570"/>
      <c r="BI107" s="570"/>
      <c r="BJ107" s="570"/>
      <c r="BK107" s="570"/>
      <c r="BL107" s="570"/>
      <c r="BM107" s="570"/>
      <c r="BN107" s="570"/>
      <c r="BO107" s="570"/>
      <c r="BP107" s="570"/>
      <c r="BQ107" s="570"/>
    </row>
    <row r="108" spans="1:69" ht="33">
      <c r="A108" s="1322">
        <v>7</v>
      </c>
      <c r="B108" s="1339"/>
      <c r="C108" s="1341" t="s">
        <v>25</v>
      </c>
      <c r="D108" s="1341" t="s">
        <v>25</v>
      </c>
      <c r="E108" s="1341" t="s">
        <v>25</v>
      </c>
      <c r="F108" s="1341" t="s">
        <v>25</v>
      </c>
      <c r="G108" s="1341" t="s">
        <v>61</v>
      </c>
      <c r="H108" s="1335"/>
      <c r="I108" s="1342" t="s">
        <v>375</v>
      </c>
      <c r="J108" s="44" t="s">
        <v>376</v>
      </c>
      <c r="K108" s="584">
        <v>84.2</v>
      </c>
      <c r="L108" s="578">
        <f t="shared" ref="L108:P108" si="40">SUM(L110:L116)</f>
        <v>6076021280</v>
      </c>
      <c r="M108" s="578">
        <v>65</v>
      </c>
      <c r="N108" s="578">
        <f t="shared" ref="N108" si="41">SUM(N110:N116)</f>
        <v>2781558330</v>
      </c>
      <c r="O108" s="578">
        <v>5</v>
      </c>
      <c r="P108" s="578">
        <f t="shared" si="40"/>
        <v>921147640</v>
      </c>
      <c r="Q108" s="578">
        <v>0</v>
      </c>
      <c r="R108" s="578">
        <f>SUM(R110:R116)</f>
        <v>59291412</v>
      </c>
      <c r="S108" s="286"/>
      <c r="T108" s="282">
        <f>SUM(T110:T113)</f>
        <v>176325124</v>
      </c>
      <c r="U108" s="282"/>
      <c r="V108" s="282"/>
      <c r="W108" s="286"/>
      <c r="X108" s="146"/>
      <c r="Y108" s="149">
        <f t="shared" si="38"/>
        <v>0</v>
      </c>
      <c r="Z108" s="867">
        <f t="shared" si="39"/>
        <v>235616536</v>
      </c>
      <c r="AA108" s="146">
        <f t="shared" si="35"/>
        <v>65</v>
      </c>
      <c r="AB108" s="867">
        <f>SUM(AB110:AB116)</f>
        <v>3017174866</v>
      </c>
      <c r="AC108" s="868">
        <v>85</v>
      </c>
      <c r="AD108" s="868">
        <f t="shared" si="37"/>
        <v>49.657081944913791</v>
      </c>
      <c r="AE108" s="2866" t="s">
        <v>27</v>
      </c>
      <c r="AF108" s="569"/>
      <c r="AG108" s="569"/>
      <c r="AH108" s="569"/>
      <c r="AI108" s="569"/>
      <c r="AJ108" s="569"/>
      <c r="AK108" s="569"/>
      <c r="AL108" s="569"/>
      <c r="AM108" s="569"/>
      <c r="AN108" s="569"/>
      <c r="AO108" s="569"/>
      <c r="AP108" s="569"/>
      <c r="AQ108" s="569"/>
      <c r="AR108" s="569"/>
      <c r="AS108" s="569"/>
      <c r="AT108" s="569"/>
      <c r="AU108" s="569"/>
      <c r="AV108" s="569"/>
      <c r="AW108" s="569"/>
      <c r="AX108" s="569"/>
      <c r="AY108" s="569"/>
      <c r="AZ108" s="569"/>
      <c r="BA108" s="569"/>
      <c r="BB108" s="569"/>
      <c r="BC108" s="570"/>
      <c r="BD108" s="570"/>
      <c r="BE108" s="570"/>
      <c r="BF108" s="570"/>
      <c r="BG108" s="570"/>
      <c r="BH108" s="570"/>
      <c r="BI108" s="570"/>
      <c r="BJ108" s="570"/>
      <c r="BK108" s="570"/>
      <c r="BL108" s="570"/>
      <c r="BM108" s="570"/>
      <c r="BN108" s="570"/>
      <c r="BO108" s="570"/>
      <c r="BP108" s="570"/>
      <c r="BQ108" s="570"/>
    </row>
    <row r="109" spans="1:69" ht="33">
      <c r="A109" s="1171"/>
      <c r="B109" s="518"/>
      <c r="C109" s="1343"/>
      <c r="D109" s="1343"/>
      <c r="E109" s="1343"/>
      <c r="F109" s="1343"/>
      <c r="G109" s="1343"/>
      <c r="H109" s="1122"/>
      <c r="I109" s="1344"/>
      <c r="J109" s="44" t="s">
        <v>377</v>
      </c>
      <c r="K109" s="578">
        <v>81</v>
      </c>
      <c r="L109" s="578"/>
      <c r="M109" s="578">
        <v>65</v>
      </c>
      <c r="N109" s="578"/>
      <c r="O109" s="578">
        <v>5</v>
      </c>
      <c r="P109" s="578"/>
      <c r="Q109" s="578">
        <v>0</v>
      </c>
      <c r="R109" s="578"/>
      <c r="S109" s="563"/>
      <c r="T109" s="564"/>
      <c r="U109" s="286"/>
      <c r="V109" s="222"/>
      <c r="W109" s="286"/>
      <c r="X109" s="146"/>
      <c r="Y109" s="149"/>
      <c r="Z109" s="867">
        <f t="shared" si="39"/>
        <v>0</v>
      </c>
      <c r="AA109" s="146"/>
      <c r="AB109" s="867"/>
      <c r="AC109" s="868"/>
      <c r="AD109" s="868"/>
      <c r="AE109" s="2866"/>
      <c r="AF109" s="569"/>
      <c r="AG109" s="569"/>
      <c r="AH109" s="569"/>
      <c r="AI109" s="569"/>
      <c r="AJ109" s="569"/>
      <c r="AK109" s="569"/>
      <c r="AL109" s="569"/>
      <c r="AM109" s="569"/>
      <c r="AN109" s="569"/>
      <c r="AO109" s="569"/>
      <c r="AP109" s="569"/>
      <c r="AQ109" s="569"/>
      <c r="AR109" s="569"/>
      <c r="AS109" s="569"/>
      <c r="AT109" s="569"/>
      <c r="AU109" s="569"/>
      <c r="AV109" s="569"/>
      <c r="AW109" s="569"/>
      <c r="AX109" s="569"/>
      <c r="AY109" s="569"/>
      <c r="AZ109" s="569"/>
      <c r="BA109" s="569"/>
      <c r="BB109" s="569"/>
      <c r="BC109" s="570"/>
      <c r="BD109" s="570"/>
      <c r="BE109" s="570"/>
      <c r="BF109" s="570"/>
      <c r="BG109" s="570"/>
      <c r="BH109" s="570"/>
      <c r="BI109" s="570"/>
      <c r="BJ109" s="570"/>
      <c r="BK109" s="570"/>
      <c r="BL109" s="570"/>
      <c r="BM109" s="570"/>
      <c r="BN109" s="570"/>
      <c r="BO109" s="570"/>
      <c r="BP109" s="570"/>
      <c r="BQ109" s="570"/>
    </row>
    <row r="110" spans="1:69" ht="49.5">
      <c r="A110" s="451"/>
      <c r="B110" s="34"/>
      <c r="C110" s="889" t="s">
        <v>25</v>
      </c>
      <c r="D110" s="889" t="s">
        <v>25</v>
      </c>
      <c r="E110" s="889" t="s">
        <v>25</v>
      </c>
      <c r="F110" s="889" t="s">
        <v>25</v>
      </c>
      <c r="G110" s="889" t="s">
        <v>61</v>
      </c>
      <c r="H110" s="889" t="s">
        <v>29</v>
      </c>
      <c r="I110" s="211" t="s">
        <v>378</v>
      </c>
      <c r="J110" s="34" t="s">
        <v>2529</v>
      </c>
      <c r="K110" s="115">
        <v>6</v>
      </c>
      <c r="L110" s="558">
        <f>K110*P110</f>
        <v>356034000</v>
      </c>
      <c r="M110" s="115">
        <v>3</v>
      </c>
      <c r="N110" s="558">
        <v>173386000</v>
      </c>
      <c r="O110" s="559" t="s">
        <v>41</v>
      </c>
      <c r="P110" s="558">
        <v>59339000</v>
      </c>
      <c r="Q110" s="115">
        <v>0</v>
      </c>
      <c r="R110" s="558">
        <v>7676000</v>
      </c>
      <c r="S110" s="451">
        <v>40</v>
      </c>
      <c r="T110" s="581">
        <v>24546000</v>
      </c>
      <c r="U110" s="451"/>
      <c r="V110" s="203"/>
      <c r="W110" s="451"/>
      <c r="X110" s="567"/>
      <c r="Y110" s="506">
        <f t="shared" ref="Y110:Y116" si="42">Q110+S110+U110+W110</f>
        <v>40</v>
      </c>
      <c r="Z110" s="888">
        <f t="shared" si="39"/>
        <v>32222000</v>
      </c>
      <c r="AA110" s="115">
        <f t="shared" ref="AA110:AB113" si="43">M110+Y110</f>
        <v>43</v>
      </c>
      <c r="AB110" s="888">
        <f t="shared" si="43"/>
        <v>205608000</v>
      </c>
      <c r="AC110" s="874">
        <v>45</v>
      </c>
      <c r="AD110" s="874">
        <f t="shared" ref="AD110:AD116" si="44">(AB110/L110)*100</f>
        <v>57.749540774195715</v>
      </c>
      <c r="AE110" s="451"/>
      <c r="AF110" s="569"/>
      <c r="AG110" s="569"/>
      <c r="AH110" s="569"/>
      <c r="AI110" s="569"/>
      <c r="AJ110" s="569"/>
      <c r="AK110" s="569"/>
      <c r="AL110" s="569"/>
      <c r="AM110" s="569"/>
      <c r="AN110" s="569"/>
      <c r="AO110" s="569"/>
      <c r="AP110" s="569"/>
      <c r="AQ110" s="569"/>
      <c r="AR110" s="569"/>
      <c r="AS110" s="569"/>
      <c r="AT110" s="569"/>
      <c r="AU110" s="569"/>
      <c r="AV110" s="569"/>
      <c r="AW110" s="569"/>
      <c r="AX110" s="569"/>
      <c r="AY110" s="569"/>
      <c r="AZ110" s="569"/>
      <c r="BA110" s="569"/>
      <c r="BB110" s="569"/>
      <c r="BC110" s="570"/>
      <c r="BD110" s="570"/>
      <c r="BE110" s="570"/>
      <c r="BF110" s="570"/>
      <c r="BG110" s="570"/>
      <c r="BH110" s="570"/>
      <c r="BI110" s="570"/>
      <c r="BJ110" s="570"/>
      <c r="BK110" s="570"/>
      <c r="BL110" s="570"/>
      <c r="BM110" s="570"/>
      <c r="BN110" s="570"/>
      <c r="BO110" s="570"/>
      <c r="BP110" s="570"/>
      <c r="BQ110" s="570"/>
    </row>
    <row r="111" spans="1:69" ht="33">
      <c r="A111" s="451"/>
      <c r="B111" s="34"/>
      <c r="C111" s="889" t="s">
        <v>25</v>
      </c>
      <c r="D111" s="889" t="s">
        <v>25</v>
      </c>
      <c r="E111" s="889" t="s">
        <v>25</v>
      </c>
      <c r="F111" s="889" t="s">
        <v>25</v>
      </c>
      <c r="G111" s="889" t="s">
        <v>61</v>
      </c>
      <c r="H111" s="889" t="s">
        <v>62</v>
      </c>
      <c r="I111" s="595" t="s">
        <v>379</v>
      </c>
      <c r="J111" s="593" t="s">
        <v>2530</v>
      </c>
      <c r="K111" s="115">
        <v>72</v>
      </c>
      <c r="L111" s="558">
        <f>6*127258000</f>
        <v>763548000</v>
      </c>
      <c r="M111" s="115">
        <v>36</v>
      </c>
      <c r="N111" s="558">
        <v>319753000</v>
      </c>
      <c r="O111" s="559" t="s">
        <v>52</v>
      </c>
      <c r="P111" s="596">
        <v>106573800</v>
      </c>
      <c r="Q111" s="115">
        <v>3</v>
      </c>
      <c r="R111" s="558">
        <v>0</v>
      </c>
      <c r="S111" s="451">
        <v>0</v>
      </c>
      <c r="T111" s="581">
        <v>0</v>
      </c>
      <c r="U111" s="451"/>
      <c r="V111" s="203"/>
      <c r="W111" s="451"/>
      <c r="X111" s="567"/>
      <c r="Y111" s="506">
        <f t="shared" si="42"/>
        <v>3</v>
      </c>
      <c r="Z111" s="888">
        <f t="shared" si="39"/>
        <v>0</v>
      </c>
      <c r="AA111" s="115">
        <f t="shared" si="43"/>
        <v>39</v>
      </c>
      <c r="AB111" s="888">
        <f t="shared" si="43"/>
        <v>319753000</v>
      </c>
      <c r="AC111" s="874">
        <f>(AA111/K111)*100</f>
        <v>54.166666666666664</v>
      </c>
      <c r="AD111" s="874">
        <f t="shared" si="44"/>
        <v>41.877262464180383</v>
      </c>
      <c r="AE111" s="451"/>
      <c r="AF111" s="569"/>
      <c r="AG111" s="569"/>
      <c r="AH111" s="569"/>
      <c r="AI111" s="569"/>
      <c r="AJ111" s="569"/>
      <c r="AK111" s="569"/>
      <c r="AL111" s="569"/>
      <c r="AM111" s="569"/>
      <c r="AN111" s="569"/>
      <c r="AO111" s="569"/>
      <c r="AP111" s="569"/>
      <c r="AQ111" s="569"/>
      <c r="AR111" s="569"/>
      <c r="AS111" s="569"/>
      <c r="AT111" s="569"/>
      <c r="AU111" s="569"/>
      <c r="AV111" s="569"/>
      <c r="AW111" s="569"/>
      <c r="AX111" s="569"/>
      <c r="AY111" s="569"/>
      <c r="AZ111" s="569"/>
      <c r="BA111" s="569"/>
      <c r="BB111" s="569"/>
      <c r="BC111" s="570"/>
      <c r="BD111" s="570"/>
      <c r="BE111" s="570"/>
      <c r="BF111" s="570"/>
      <c r="BG111" s="570"/>
      <c r="BH111" s="570"/>
      <c r="BI111" s="570"/>
      <c r="BJ111" s="570"/>
      <c r="BK111" s="570"/>
      <c r="BL111" s="570"/>
      <c r="BM111" s="570"/>
      <c r="BN111" s="570"/>
      <c r="BO111" s="570"/>
      <c r="BP111" s="570"/>
      <c r="BQ111" s="570"/>
    </row>
    <row r="112" spans="1:69" ht="82.5">
      <c r="A112" s="451"/>
      <c r="B112" s="34"/>
      <c r="C112" s="889" t="s">
        <v>25</v>
      </c>
      <c r="D112" s="887" t="s">
        <v>25</v>
      </c>
      <c r="E112" s="887" t="s">
        <v>25</v>
      </c>
      <c r="F112" s="887" t="s">
        <v>25</v>
      </c>
      <c r="G112" s="887" t="s">
        <v>61</v>
      </c>
      <c r="H112" s="889" t="s">
        <v>31</v>
      </c>
      <c r="I112" s="34" t="s">
        <v>380</v>
      </c>
      <c r="J112" s="34" t="s">
        <v>2531</v>
      </c>
      <c r="K112" s="115">
        <v>6</v>
      </c>
      <c r="L112" s="36">
        <f>6*P112</f>
        <v>2990063280</v>
      </c>
      <c r="M112" s="115">
        <v>3</v>
      </c>
      <c r="N112" s="558">
        <v>1595007530</v>
      </c>
      <c r="O112" s="559" t="s">
        <v>41</v>
      </c>
      <c r="P112" s="558">
        <v>498343880</v>
      </c>
      <c r="Q112" s="115">
        <v>0.25</v>
      </c>
      <c r="R112" s="558">
        <v>38331412</v>
      </c>
      <c r="S112" s="451">
        <v>3</v>
      </c>
      <c r="T112" s="581">
        <v>97843124</v>
      </c>
      <c r="U112" s="451"/>
      <c r="V112" s="203"/>
      <c r="W112" s="451"/>
      <c r="X112" s="567"/>
      <c r="Y112" s="506">
        <f t="shared" si="42"/>
        <v>3.25</v>
      </c>
      <c r="Z112" s="888">
        <f t="shared" si="39"/>
        <v>136174536</v>
      </c>
      <c r="AA112" s="115">
        <f t="shared" si="43"/>
        <v>6.25</v>
      </c>
      <c r="AB112" s="888">
        <f t="shared" si="43"/>
        <v>1731182066</v>
      </c>
      <c r="AC112" s="874">
        <v>5</v>
      </c>
      <c r="AD112" s="874">
        <f t="shared" si="44"/>
        <v>57.897840409584909</v>
      </c>
      <c r="AE112" s="451"/>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70"/>
      <c r="BD112" s="570"/>
      <c r="BE112" s="570"/>
      <c r="BF112" s="570"/>
      <c r="BG112" s="570"/>
      <c r="BH112" s="570"/>
      <c r="BI112" s="570"/>
      <c r="BJ112" s="570"/>
      <c r="BK112" s="570"/>
      <c r="BL112" s="570"/>
      <c r="BM112" s="570"/>
      <c r="BN112" s="570"/>
      <c r="BO112" s="570"/>
      <c r="BP112" s="570"/>
      <c r="BQ112" s="570"/>
    </row>
    <row r="113" spans="1:70" ht="49.5">
      <c r="A113" s="451"/>
      <c r="B113" s="34"/>
      <c r="C113" s="887" t="s">
        <v>25</v>
      </c>
      <c r="D113" s="887" t="s">
        <v>25</v>
      </c>
      <c r="E113" s="887" t="s">
        <v>25</v>
      </c>
      <c r="F113" s="887" t="s">
        <v>25</v>
      </c>
      <c r="G113" s="887">
        <v>22</v>
      </c>
      <c r="H113" s="889" t="s">
        <v>45</v>
      </c>
      <c r="I113" s="591" t="s">
        <v>2532</v>
      </c>
      <c r="J113" s="34" t="s">
        <v>2533</v>
      </c>
      <c r="K113" s="115">
        <v>6</v>
      </c>
      <c r="L113" s="597">
        <f>6*187980000</f>
        <v>1127880000</v>
      </c>
      <c r="M113" s="115">
        <v>3</v>
      </c>
      <c r="N113" s="597">
        <v>540610000</v>
      </c>
      <c r="O113" s="559" t="s">
        <v>41</v>
      </c>
      <c r="P113" s="597">
        <v>71933000</v>
      </c>
      <c r="Q113" s="115">
        <v>0</v>
      </c>
      <c r="R113" s="597">
        <v>13284000</v>
      </c>
      <c r="S113" s="451">
        <v>1</v>
      </c>
      <c r="T113" s="581">
        <v>53936000</v>
      </c>
      <c r="U113" s="451"/>
      <c r="V113" s="203"/>
      <c r="W113" s="451"/>
      <c r="X113" s="567"/>
      <c r="Y113" s="506">
        <f t="shared" si="42"/>
        <v>1</v>
      </c>
      <c r="Z113" s="888">
        <f t="shared" si="39"/>
        <v>67220000</v>
      </c>
      <c r="AA113" s="115">
        <f t="shared" si="43"/>
        <v>4</v>
      </c>
      <c r="AB113" s="888">
        <f t="shared" si="43"/>
        <v>607830000</v>
      </c>
      <c r="AC113" s="215">
        <v>10</v>
      </c>
      <c r="AD113" s="874">
        <f t="shared" si="44"/>
        <v>53.891371422491751</v>
      </c>
      <c r="AE113" s="451"/>
      <c r="AF113" s="569"/>
      <c r="AG113" s="569"/>
      <c r="AH113" s="569"/>
      <c r="AI113" s="569"/>
      <c r="AJ113" s="569"/>
      <c r="AK113" s="569"/>
      <c r="AL113" s="569"/>
      <c r="AM113" s="569"/>
      <c r="AN113" s="569"/>
      <c r="AO113" s="569"/>
      <c r="AP113" s="569"/>
      <c r="AQ113" s="569"/>
      <c r="AR113" s="569"/>
      <c r="AS113" s="569"/>
      <c r="AT113" s="569"/>
      <c r="AU113" s="569"/>
      <c r="AV113" s="569"/>
      <c r="AW113" s="569"/>
      <c r="AX113" s="569"/>
      <c r="AY113" s="569"/>
      <c r="AZ113" s="569"/>
      <c r="BA113" s="569"/>
      <c r="BB113" s="569"/>
      <c r="BC113" s="570"/>
      <c r="BD113" s="570"/>
      <c r="BE113" s="570"/>
      <c r="BF113" s="570"/>
      <c r="BG113" s="570"/>
      <c r="BH113" s="570"/>
      <c r="BI113" s="570"/>
      <c r="BJ113" s="570"/>
      <c r="BK113" s="570"/>
      <c r="BL113" s="570"/>
      <c r="BM113" s="570"/>
      <c r="BN113" s="570"/>
      <c r="BO113" s="570"/>
      <c r="BP113" s="570"/>
      <c r="BQ113" s="570"/>
    </row>
    <row r="114" spans="1:70" ht="82.5">
      <c r="A114" s="601"/>
      <c r="B114" s="598"/>
      <c r="C114" s="887" t="s">
        <v>25</v>
      </c>
      <c r="D114" s="887" t="s">
        <v>25</v>
      </c>
      <c r="E114" s="887" t="s">
        <v>25</v>
      </c>
      <c r="F114" s="887" t="s">
        <v>25</v>
      </c>
      <c r="G114" s="887">
        <v>22</v>
      </c>
      <c r="H114" s="889" t="s">
        <v>42</v>
      </c>
      <c r="I114" s="591" t="s">
        <v>381</v>
      </c>
      <c r="J114" s="34" t="s">
        <v>2534</v>
      </c>
      <c r="K114" s="115">
        <v>36</v>
      </c>
      <c r="L114" s="597">
        <v>291000000</v>
      </c>
      <c r="M114" s="115">
        <v>0</v>
      </c>
      <c r="N114" s="597" t="s">
        <v>40</v>
      </c>
      <c r="O114" s="559" t="s">
        <v>52</v>
      </c>
      <c r="P114" s="597">
        <v>48083960</v>
      </c>
      <c r="Q114" s="599">
        <v>0</v>
      </c>
      <c r="R114" s="600">
        <v>0</v>
      </c>
      <c r="S114" s="451">
        <v>0</v>
      </c>
      <c r="T114" s="581">
        <v>0</v>
      </c>
      <c r="U114" s="451"/>
      <c r="V114" s="203"/>
      <c r="W114" s="601"/>
      <c r="X114" s="125"/>
      <c r="Y114" s="506">
        <f t="shared" si="42"/>
        <v>0</v>
      </c>
      <c r="Z114" s="888">
        <f t="shared" si="39"/>
        <v>0</v>
      </c>
      <c r="AA114" s="115">
        <f>M114+Y114</f>
        <v>0</v>
      </c>
      <c r="AB114" s="903" t="s">
        <v>40</v>
      </c>
      <c r="AC114" s="874">
        <v>10</v>
      </c>
      <c r="AD114" s="874">
        <f t="shared" si="44"/>
        <v>0</v>
      </c>
      <c r="AE114" s="601"/>
      <c r="AF114" s="870"/>
      <c r="AG114" s="870"/>
      <c r="AH114" s="870"/>
      <c r="AI114" s="870"/>
      <c r="AJ114" s="870"/>
      <c r="AK114" s="870"/>
      <c r="AL114" s="870"/>
      <c r="AM114" s="870"/>
      <c r="AN114" s="870"/>
      <c r="AO114" s="870"/>
      <c r="AP114" s="870"/>
      <c r="AQ114" s="870"/>
      <c r="AR114" s="870"/>
      <c r="AS114" s="870"/>
      <c r="AT114" s="870"/>
      <c r="AU114" s="870"/>
      <c r="AV114" s="870"/>
      <c r="AW114" s="870"/>
      <c r="AX114" s="870"/>
      <c r="AY114" s="870"/>
      <c r="AZ114" s="870"/>
      <c r="BA114" s="870"/>
      <c r="BB114" s="870"/>
      <c r="BC114" s="871"/>
      <c r="BD114" s="871"/>
      <c r="BE114" s="871"/>
      <c r="BF114" s="871"/>
      <c r="BG114" s="871"/>
      <c r="BH114" s="871"/>
      <c r="BI114" s="871"/>
      <c r="BJ114" s="871"/>
      <c r="BK114" s="871"/>
      <c r="BL114" s="871"/>
      <c r="BM114" s="871"/>
      <c r="BN114" s="871"/>
      <c r="BO114" s="871"/>
      <c r="BP114" s="871"/>
      <c r="BQ114" s="871"/>
    </row>
    <row r="115" spans="1:70" ht="66">
      <c r="A115" s="451"/>
      <c r="B115" s="34"/>
      <c r="C115" s="887" t="s">
        <v>25</v>
      </c>
      <c r="D115" s="887" t="s">
        <v>25</v>
      </c>
      <c r="E115" s="887" t="s">
        <v>25</v>
      </c>
      <c r="F115" s="887" t="s">
        <v>25</v>
      </c>
      <c r="G115" s="887">
        <v>22</v>
      </c>
      <c r="H115" s="889" t="s">
        <v>58</v>
      </c>
      <c r="I115" s="211" t="s">
        <v>382</v>
      </c>
      <c r="J115" s="34" t="s">
        <v>383</v>
      </c>
      <c r="K115" s="115">
        <v>422</v>
      </c>
      <c r="L115" s="558">
        <f>4*P115</f>
        <v>247496000</v>
      </c>
      <c r="M115" s="215">
        <v>82</v>
      </c>
      <c r="N115" s="558">
        <v>71526000</v>
      </c>
      <c r="O115" s="602">
        <v>42</v>
      </c>
      <c r="P115" s="558">
        <v>61874000</v>
      </c>
      <c r="Q115" s="115">
        <v>0</v>
      </c>
      <c r="R115" s="567">
        <v>0</v>
      </c>
      <c r="S115" s="451">
        <v>0</v>
      </c>
      <c r="T115" s="581">
        <v>0</v>
      </c>
      <c r="U115" s="451"/>
      <c r="V115" s="203"/>
      <c r="W115" s="451"/>
      <c r="X115" s="567"/>
      <c r="Y115" s="506">
        <f t="shared" si="42"/>
        <v>0</v>
      </c>
      <c r="Z115" s="888">
        <f t="shared" si="39"/>
        <v>0</v>
      </c>
      <c r="AA115" s="115">
        <f>M115+Y115</f>
        <v>82</v>
      </c>
      <c r="AB115" s="888">
        <f>N115+Z115</f>
        <v>71526000</v>
      </c>
      <c r="AC115" s="874">
        <f>(AA115/K115)*100</f>
        <v>19.431279620853083</v>
      </c>
      <c r="AD115" s="874">
        <f t="shared" si="44"/>
        <v>28.899861007854671</v>
      </c>
      <c r="AE115" s="451"/>
      <c r="AF115" s="870"/>
      <c r="AG115" s="870"/>
      <c r="AH115" s="870"/>
      <c r="AI115" s="870"/>
      <c r="AJ115" s="870"/>
      <c r="AK115" s="870"/>
      <c r="AL115" s="870"/>
      <c r="AM115" s="870"/>
      <c r="AN115" s="870"/>
      <c r="AO115" s="870"/>
      <c r="AP115" s="870"/>
      <c r="AQ115" s="870"/>
      <c r="AR115" s="870"/>
      <c r="AS115" s="870"/>
      <c r="AT115" s="870"/>
      <c r="AU115" s="870"/>
      <c r="AV115" s="870"/>
      <c r="AW115" s="870"/>
      <c r="AX115" s="870"/>
      <c r="AY115" s="870"/>
      <c r="AZ115" s="870"/>
      <c r="BA115" s="870"/>
      <c r="BB115" s="870"/>
      <c r="BC115" s="871"/>
      <c r="BD115" s="871"/>
      <c r="BE115" s="871"/>
      <c r="BF115" s="871"/>
      <c r="BG115" s="871"/>
      <c r="BH115" s="871"/>
      <c r="BI115" s="871"/>
      <c r="BJ115" s="871"/>
      <c r="BK115" s="871"/>
      <c r="BL115" s="871"/>
      <c r="BM115" s="871"/>
      <c r="BN115" s="871"/>
      <c r="BO115" s="871"/>
      <c r="BP115" s="871"/>
      <c r="BQ115" s="871"/>
    </row>
    <row r="116" spans="1:70" ht="49.5">
      <c r="A116" s="451"/>
      <c r="B116" s="34"/>
      <c r="C116" s="887" t="s">
        <v>25</v>
      </c>
      <c r="D116" s="887" t="s">
        <v>25</v>
      </c>
      <c r="E116" s="887" t="s">
        <v>25</v>
      </c>
      <c r="F116" s="887" t="s">
        <v>25</v>
      </c>
      <c r="G116" s="887">
        <v>22</v>
      </c>
      <c r="H116" s="889" t="s">
        <v>52</v>
      </c>
      <c r="I116" s="211" t="s">
        <v>384</v>
      </c>
      <c r="J116" s="34" t="s">
        <v>385</v>
      </c>
      <c r="K116" s="115">
        <f>348+74</f>
        <v>422</v>
      </c>
      <c r="L116" s="558">
        <f>4*P116</f>
        <v>300000000</v>
      </c>
      <c r="M116" s="215">
        <v>82</v>
      </c>
      <c r="N116" s="558">
        <v>81275800</v>
      </c>
      <c r="O116" s="602">
        <v>42</v>
      </c>
      <c r="P116" s="558">
        <v>75000000</v>
      </c>
      <c r="Q116" s="115">
        <v>0</v>
      </c>
      <c r="R116" s="567">
        <v>0</v>
      </c>
      <c r="S116" s="451">
        <v>0</v>
      </c>
      <c r="T116" s="203">
        <v>0</v>
      </c>
      <c r="U116" s="451"/>
      <c r="V116" s="203"/>
      <c r="W116" s="451"/>
      <c r="X116" s="567"/>
      <c r="Y116" s="506">
        <f t="shared" si="42"/>
        <v>0</v>
      </c>
      <c r="Z116" s="888">
        <f t="shared" si="39"/>
        <v>0</v>
      </c>
      <c r="AA116" s="115">
        <f>M116+Y116</f>
        <v>82</v>
      </c>
      <c r="AB116" s="888">
        <f>N116+Z116</f>
        <v>81275800</v>
      </c>
      <c r="AC116" s="874">
        <f>(AA116/K116)*100</f>
        <v>19.431279620853083</v>
      </c>
      <c r="AD116" s="874">
        <f t="shared" si="44"/>
        <v>27.091933333333333</v>
      </c>
      <c r="AE116" s="451"/>
      <c r="AF116" s="569"/>
      <c r="AG116" s="569"/>
      <c r="AH116" s="569"/>
      <c r="AI116" s="569"/>
      <c r="AJ116" s="569"/>
      <c r="AK116" s="569"/>
      <c r="AL116" s="569"/>
      <c r="AM116" s="569"/>
      <c r="AN116" s="569"/>
      <c r="AO116" s="569"/>
      <c r="AP116" s="569"/>
      <c r="AQ116" s="569"/>
      <c r="AR116" s="569"/>
      <c r="AS116" s="569"/>
      <c r="AT116" s="569"/>
      <c r="AU116" s="569"/>
      <c r="AV116" s="569"/>
      <c r="AW116" s="569"/>
      <c r="AX116" s="569"/>
      <c r="AY116" s="569"/>
      <c r="AZ116" s="569"/>
      <c r="BA116" s="569"/>
      <c r="BB116" s="569"/>
      <c r="BC116" s="570"/>
      <c r="BD116" s="570"/>
      <c r="BE116" s="570"/>
      <c r="BF116" s="570"/>
      <c r="BG116" s="570"/>
      <c r="BH116" s="570"/>
      <c r="BI116" s="570"/>
      <c r="BJ116" s="570"/>
      <c r="BK116" s="570"/>
      <c r="BL116" s="570"/>
      <c r="BM116" s="570"/>
      <c r="BN116" s="570"/>
      <c r="BO116" s="570"/>
      <c r="BP116" s="570"/>
      <c r="BQ116" s="570"/>
    </row>
    <row r="117" spans="1:70" ht="18.75" customHeight="1">
      <c r="A117" s="2802" t="s">
        <v>63</v>
      </c>
      <c r="B117" s="2802"/>
      <c r="C117" s="2802"/>
      <c r="D117" s="2802"/>
      <c r="E117" s="2802"/>
      <c r="F117" s="2802"/>
      <c r="G117" s="2802"/>
      <c r="H117" s="2802"/>
      <c r="I117" s="2802"/>
      <c r="J117" s="2802"/>
      <c r="K117" s="2802"/>
      <c r="L117" s="2802"/>
      <c r="M117" s="2802"/>
      <c r="N117" s="2802"/>
      <c r="O117" s="2802"/>
      <c r="P117" s="2802"/>
      <c r="Q117" s="2802"/>
      <c r="R117" s="2802"/>
      <c r="S117" s="2802"/>
      <c r="T117" s="2802"/>
      <c r="U117" s="2802"/>
      <c r="V117" s="2802"/>
      <c r="W117" s="2802"/>
      <c r="X117" s="2802"/>
      <c r="Y117" s="2802"/>
      <c r="Z117" s="2802"/>
      <c r="AA117" s="2802"/>
      <c r="AB117" s="2802"/>
      <c r="AC117" s="904">
        <f>(AC13+AC31+AC35+AC73+AC80+AC90+AC108)/8</f>
        <v>49.269086733453257</v>
      </c>
      <c r="AD117" s="905">
        <f>(AD13+AD31+AD35+AD73+AD80+AD90+AD108)/8</f>
        <v>34.382933785084433</v>
      </c>
      <c r="AE117" s="451"/>
      <c r="AF117" s="569"/>
      <c r="AG117" s="569"/>
      <c r="AH117" s="569"/>
      <c r="AI117" s="569"/>
      <c r="AJ117" s="569"/>
      <c r="AK117" s="569"/>
      <c r="AL117" s="569"/>
      <c r="AM117" s="569"/>
      <c r="AN117" s="569"/>
      <c r="AO117" s="569"/>
      <c r="AP117" s="569"/>
      <c r="AQ117" s="569"/>
      <c r="AR117" s="569"/>
      <c r="AS117" s="569"/>
      <c r="AT117" s="569"/>
      <c r="AU117" s="569"/>
      <c r="AV117" s="569"/>
      <c r="AW117" s="569"/>
      <c r="AX117" s="569"/>
      <c r="AY117" s="569"/>
      <c r="AZ117" s="569"/>
      <c r="BA117" s="569"/>
      <c r="BB117" s="569"/>
      <c r="BC117" s="570"/>
      <c r="BD117" s="570"/>
      <c r="BE117" s="570"/>
      <c r="BF117" s="570"/>
      <c r="BG117" s="570"/>
      <c r="BH117" s="570"/>
      <c r="BI117" s="570"/>
      <c r="BJ117" s="570"/>
      <c r="BK117" s="570"/>
      <c r="BL117" s="570"/>
      <c r="BM117" s="570"/>
      <c r="BN117" s="570"/>
      <c r="BO117" s="570"/>
      <c r="BP117" s="570"/>
      <c r="BQ117" s="570"/>
    </row>
    <row r="118" spans="1:70" ht="18.75" customHeight="1">
      <c r="A118" s="2802" t="s">
        <v>64</v>
      </c>
      <c r="B118" s="2802"/>
      <c r="C118" s="2802"/>
      <c r="D118" s="2802"/>
      <c r="E118" s="2802"/>
      <c r="F118" s="2802"/>
      <c r="G118" s="2802"/>
      <c r="H118" s="2802"/>
      <c r="I118" s="2802"/>
      <c r="J118" s="2802"/>
      <c r="K118" s="2802"/>
      <c r="L118" s="2802"/>
      <c r="M118" s="2802"/>
      <c r="N118" s="2802"/>
      <c r="O118" s="2802"/>
      <c r="P118" s="2802"/>
      <c r="Q118" s="2802"/>
      <c r="R118" s="2802"/>
      <c r="S118" s="2802"/>
      <c r="T118" s="2802"/>
      <c r="U118" s="2802"/>
      <c r="V118" s="2802"/>
      <c r="W118" s="2802"/>
      <c r="X118" s="2802"/>
      <c r="Y118" s="2802"/>
      <c r="Z118" s="2802"/>
      <c r="AA118" s="2802"/>
      <c r="AB118" s="2802"/>
      <c r="AC118" s="524" t="str">
        <f>IF(AC117&gt;=91,"ST",IF(AC117&gt;=76,"T",IF(AC117&gt;=66,"S",IF(AC117&gt;=51,"R","SR"))))</f>
        <v>SR</v>
      </c>
      <c r="AD118" s="524" t="str">
        <f>IF(AD117&gt;=91,"ST",IF(AD117&gt;=76,"T",IF(AD117&gt;=66,"S",IF(AD117&gt;=51,"R","SR"))))</f>
        <v>SR</v>
      </c>
      <c r="AE118" s="451"/>
      <c r="AF118" s="569"/>
      <c r="AG118" s="569"/>
      <c r="AH118" s="569"/>
      <c r="AI118" s="569"/>
      <c r="AJ118" s="569"/>
      <c r="AK118" s="569"/>
      <c r="AL118" s="569"/>
      <c r="AM118" s="569"/>
      <c r="AN118" s="569"/>
      <c r="AO118" s="569"/>
      <c r="AP118" s="569"/>
      <c r="AQ118" s="569"/>
      <c r="AR118" s="569"/>
      <c r="AS118" s="569"/>
      <c r="AT118" s="569"/>
      <c r="AU118" s="569"/>
      <c r="AV118" s="569"/>
      <c r="AW118" s="569"/>
      <c r="AX118" s="569"/>
      <c r="AY118" s="569"/>
      <c r="AZ118" s="569"/>
      <c r="BA118" s="569"/>
      <c r="BB118" s="569"/>
      <c r="BC118" s="570"/>
      <c r="BD118" s="570"/>
      <c r="BE118" s="570"/>
      <c r="BF118" s="570"/>
      <c r="BG118" s="570"/>
      <c r="BH118" s="570"/>
      <c r="BI118" s="570"/>
      <c r="BJ118" s="570"/>
      <c r="BK118" s="570"/>
      <c r="BL118" s="570"/>
      <c r="BM118" s="570"/>
      <c r="BN118" s="570"/>
      <c r="BO118" s="570"/>
      <c r="BP118" s="570"/>
      <c r="BQ118" s="570"/>
    </row>
    <row r="119" spans="1:70" ht="26.25" customHeight="1">
      <c r="A119" s="1474" t="s">
        <v>14</v>
      </c>
      <c r="B119" s="1475"/>
      <c r="C119" s="1476"/>
      <c r="D119" s="1476"/>
      <c r="E119" s="1476"/>
      <c r="F119" s="1476"/>
      <c r="G119" s="1476"/>
      <c r="H119" s="1476"/>
      <c r="I119" s="2874" t="s">
        <v>65</v>
      </c>
      <c r="J119" s="2875"/>
      <c r="K119" s="1477"/>
      <c r="L119" s="1478"/>
      <c r="M119" s="1477"/>
      <c r="N119" s="1479"/>
      <c r="O119" s="1477"/>
      <c r="P119" s="1479"/>
      <c r="Q119" s="1477"/>
      <c r="R119" s="1480"/>
      <c r="S119" s="1475"/>
      <c r="T119" s="1480"/>
      <c r="U119" s="1475"/>
      <c r="V119" s="1481"/>
      <c r="W119" s="1475"/>
      <c r="X119" s="1475"/>
      <c r="Y119" s="1477"/>
      <c r="Z119" s="1480"/>
      <c r="AA119" s="1477"/>
      <c r="AB119" s="1480"/>
      <c r="AC119" s="1477"/>
      <c r="AD119" s="1477"/>
      <c r="AE119" s="1476"/>
      <c r="AF119" s="861"/>
      <c r="AG119" s="861"/>
      <c r="AH119" s="861"/>
      <c r="AI119" s="861"/>
      <c r="AJ119" s="861"/>
      <c r="AK119" s="861"/>
      <c r="AL119" s="861"/>
      <c r="AM119" s="861"/>
      <c r="AN119" s="861"/>
      <c r="AO119" s="861"/>
      <c r="AP119" s="861"/>
      <c r="AQ119" s="861"/>
      <c r="AR119" s="861"/>
      <c r="AS119" s="861"/>
      <c r="AT119" s="861"/>
      <c r="AU119" s="861"/>
      <c r="AV119" s="861"/>
      <c r="AW119" s="861"/>
      <c r="AX119" s="861"/>
      <c r="AY119" s="861"/>
      <c r="AZ119" s="861"/>
      <c r="BA119" s="861"/>
      <c r="BB119" s="861"/>
      <c r="BC119" s="862"/>
      <c r="BD119" s="862"/>
      <c r="BE119" s="862"/>
      <c r="BF119" s="862"/>
      <c r="BG119" s="862"/>
      <c r="BH119" s="862"/>
      <c r="BI119" s="862"/>
      <c r="BJ119" s="862"/>
      <c r="BK119" s="862"/>
      <c r="BL119" s="862"/>
      <c r="BM119" s="862"/>
      <c r="BN119" s="862"/>
      <c r="BO119" s="862"/>
      <c r="BP119" s="862"/>
      <c r="BQ119" s="862"/>
    </row>
    <row r="120" spans="1:70" s="1154" customFormat="1" ht="27.75" customHeight="1">
      <c r="A120" s="2871" t="s">
        <v>417</v>
      </c>
      <c r="B120" s="2872"/>
      <c r="C120" s="2872"/>
      <c r="D120" s="2872"/>
      <c r="E120" s="2872"/>
      <c r="F120" s="2872"/>
      <c r="G120" s="2872"/>
      <c r="H120" s="2873"/>
      <c r="I120" s="1485"/>
      <c r="J120" s="1486"/>
      <c r="K120" s="1487" t="s">
        <v>1997</v>
      </c>
      <c r="L120" s="1488">
        <f>L121+L138+L141+L144+L149+L156+L162+L166+L173+L183+L189+L198+L203+L205+L211+L219</f>
        <v>472693642417.59998</v>
      </c>
      <c r="M120" s="1489"/>
      <c r="N120" s="1488">
        <f>N121+N138+N141+N144+N149+N156+N162+N166+N173+N183+N189+N198+N203+N205+N211+N219</f>
        <v>109756070482</v>
      </c>
      <c r="O120" s="1490" t="s">
        <v>52</v>
      </c>
      <c r="P120" s="2562">
        <f>SUM(P121+P138+P141+P144+P149+P156+P162+P166+P173+P183+P189+P198+P203+P205+P211+P216+P219+P221)</f>
        <v>91049563534.949997</v>
      </c>
      <c r="Q120" s="1491" t="s">
        <v>574</v>
      </c>
      <c r="R120" s="1488">
        <f>R121+R138+R141+R144+R149+R156+R162+R166+R173+R183+R189+R198+R203+R205+R211+R219</f>
        <v>2523164338</v>
      </c>
      <c r="S120" s="1492"/>
      <c r="T120" s="1493">
        <f>SUM(T121+T138+T141+T144+T149+T156+T162+T166+T173+T183+T189+T198+T203+T205+T211+T219+T221)</f>
        <v>20914695472</v>
      </c>
      <c r="U120" s="1492"/>
      <c r="V120" s="1493"/>
      <c r="W120" s="1494"/>
      <c r="X120" s="1495"/>
      <c r="Y120" s="1492"/>
      <c r="Z120" s="1488">
        <f>Z121+Z138+Z141+Z144+Z149+Z156+Z162+Z166+Z173+Z183+Z189+Z198+Z203+Z205+Z211+Z219</f>
        <v>23409447860</v>
      </c>
      <c r="AA120" s="1496"/>
      <c r="AB120" s="1488">
        <f>AB121+AB138+AB141+AB144+AB149+AB156+AB162+AB166+AB173+AB183+AB189+AB198+AB203+AB205+AB211+AB219</f>
        <v>133165518342</v>
      </c>
      <c r="AC120" s="1497"/>
      <c r="AD120" s="1498"/>
      <c r="AE120" s="2582"/>
      <c r="AF120" s="1347"/>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c r="BA120" s="200"/>
      <c r="BB120" s="200"/>
      <c r="BC120" s="970"/>
      <c r="BD120" s="970"/>
      <c r="BE120" s="970"/>
      <c r="BF120" s="970"/>
      <c r="BG120" s="970"/>
      <c r="BH120" s="970"/>
      <c r="BI120" s="970"/>
      <c r="BJ120" s="970"/>
      <c r="BK120" s="970"/>
      <c r="BL120" s="970"/>
      <c r="BM120" s="970"/>
      <c r="BN120" s="970"/>
      <c r="BO120" s="970"/>
      <c r="BP120" s="970"/>
      <c r="BQ120" s="970"/>
      <c r="BR120" s="970"/>
    </row>
    <row r="121" spans="1:70" s="1288" customFormat="1" ht="82.5">
      <c r="A121" s="1398">
        <v>1</v>
      </c>
      <c r="B121" s="439"/>
      <c r="C121" s="1398">
        <v>5</v>
      </c>
      <c r="D121" s="1402" t="s">
        <v>25</v>
      </c>
      <c r="E121" s="1402" t="s">
        <v>25</v>
      </c>
      <c r="F121" s="1398"/>
      <c r="G121" s="1398"/>
      <c r="H121" s="1403"/>
      <c r="I121" s="486" t="s">
        <v>66</v>
      </c>
      <c r="J121" s="1352" t="s">
        <v>684</v>
      </c>
      <c r="K121" s="1353" t="s">
        <v>87</v>
      </c>
      <c r="L121" s="911">
        <v>26459369097.599998</v>
      </c>
      <c r="M121" s="1354" t="s">
        <v>529</v>
      </c>
      <c r="N121" s="444">
        <f>SUM(N122:N137)</f>
        <v>3330685508</v>
      </c>
      <c r="O121" s="1355" t="s">
        <v>52</v>
      </c>
      <c r="P121" s="1356">
        <f>SUM(P122:P137)</f>
        <v>2607792125</v>
      </c>
      <c r="Q121" s="1357" t="s">
        <v>574</v>
      </c>
      <c r="R121" s="445">
        <f>SUM(R122:R137)</f>
        <v>240710382</v>
      </c>
      <c r="S121" s="1362"/>
      <c r="T121" s="1362">
        <f>SUM(T122:T137)</f>
        <v>586318819</v>
      </c>
      <c r="U121" s="1362"/>
      <c r="V121" s="1362">
        <f>SUM(V122:V137)</f>
        <v>0</v>
      </c>
      <c r="W121" s="1362">
        <v>0</v>
      </c>
      <c r="X121" s="1362"/>
      <c r="Y121" s="1367">
        <f t="shared" ref="Y121:Y152" si="45">Q121+S121+U121+W121</f>
        <v>3</v>
      </c>
      <c r="Z121" s="1381">
        <f t="shared" ref="Z121:Z152" si="46">R121+T121+V121+X121</f>
        <v>827029201</v>
      </c>
      <c r="AA121" s="1368">
        <f t="shared" ref="AA121:AA161" si="47">M121+Y121</f>
        <v>39</v>
      </c>
      <c r="AB121" s="1381">
        <f t="shared" ref="AB121:AB161" si="48">N121+Z121</f>
        <v>4157714709</v>
      </c>
      <c r="AC121" s="1367">
        <f t="shared" ref="AC121:AC161" si="49">(AA121/K121)*100</f>
        <v>54.166666666666664</v>
      </c>
      <c r="AD121" s="1367">
        <f t="shared" ref="AD121:AD161" si="50">(AB121/L121)*100</f>
        <v>15.713582185816843</v>
      </c>
      <c r="AE121" s="2583" t="s">
        <v>418</v>
      </c>
      <c r="AF121" s="1287"/>
      <c r="AG121" s="1287"/>
      <c r="AH121" s="1287"/>
      <c r="AI121" s="1287"/>
      <c r="AJ121" s="1287"/>
      <c r="AK121" s="1287"/>
      <c r="AL121" s="1287"/>
      <c r="AM121" s="1287"/>
      <c r="AN121" s="1287"/>
      <c r="AO121" s="1287"/>
      <c r="AP121" s="1287"/>
      <c r="AQ121" s="1287"/>
      <c r="AR121" s="1287"/>
      <c r="AS121" s="1287"/>
      <c r="AT121" s="1287"/>
      <c r="AU121" s="1287"/>
      <c r="AV121" s="1287"/>
      <c r="AW121" s="1287"/>
      <c r="AX121" s="1287"/>
      <c r="AY121" s="1287"/>
      <c r="AZ121" s="1287"/>
      <c r="BA121" s="1287"/>
      <c r="BB121" s="1287"/>
    </row>
    <row r="122" spans="1:70" ht="49.5">
      <c r="A122" s="437"/>
      <c r="B122" s="421"/>
      <c r="C122" s="437">
        <v>5</v>
      </c>
      <c r="D122" s="1404" t="s">
        <v>25</v>
      </c>
      <c r="E122" s="1404" t="s">
        <v>25</v>
      </c>
      <c r="F122" s="437"/>
      <c r="G122" s="437"/>
      <c r="H122" s="1405"/>
      <c r="I122" s="422" t="s">
        <v>67</v>
      </c>
      <c r="J122" s="427" t="s">
        <v>2535</v>
      </c>
      <c r="K122" s="1349" t="s">
        <v>87</v>
      </c>
      <c r="L122" s="909">
        <v>2851744390.4000001</v>
      </c>
      <c r="M122" s="454" t="s">
        <v>529</v>
      </c>
      <c r="N122" s="453">
        <f>355140000+'[1]TW IV 2018'!N124+296520000</f>
        <v>651660000</v>
      </c>
      <c r="O122" s="454" t="s">
        <v>52</v>
      </c>
      <c r="P122" s="453">
        <v>355140000</v>
      </c>
      <c r="Q122" s="1350" t="s">
        <v>574</v>
      </c>
      <c r="R122" s="453">
        <v>58766680</v>
      </c>
      <c r="S122" s="1363"/>
      <c r="T122" s="1363">
        <v>99608975</v>
      </c>
      <c r="U122" s="1363"/>
      <c r="V122" s="1363">
        <v>0</v>
      </c>
      <c r="W122" s="1363">
        <v>0</v>
      </c>
      <c r="X122" s="1363">
        <v>0</v>
      </c>
      <c r="Y122" s="1369">
        <f t="shared" si="45"/>
        <v>3</v>
      </c>
      <c r="Z122" s="1382">
        <f t="shared" si="46"/>
        <v>158375655</v>
      </c>
      <c r="AA122" s="1369">
        <f t="shared" si="47"/>
        <v>39</v>
      </c>
      <c r="AB122" s="1382">
        <f t="shared" si="48"/>
        <v>810035655</v>
      </c>
      <c r="AC122" s="1369">
        <f t="shared" si="49"/>
        <v>54.166666666666664</v>
      </c>
      <c r="AD122" s="1369">
        <f t="shared" si="50"/>
        <v>28.404917976760895</v>
      </c>
      <c r="AE122" s="2584"/>
    </row>
    <row r="123" spans="1:70" ht="49.5">
      <c r="A123" s="437"/>
      <c r="B123" s="421"/>
      <c r="C123" s="437"/>
      <c r="D123" s="437"/>
      <c r="E123" s="437"/>
      <c r="F123" s="437"/>
      <c r="G123" s="437"/>
      <c r="H123" s="1405"/>
      <c r="I123" s="422" t="s">
        <v>419</v>
      </c>
      <c r="J123" s="427" t="s">
        <v>2536</v>
      </c>
      <c r="K123" s="1349" t="s">
        <v>87</v>
      </c>
      <c r="L123" s="909">
        <v>6281600470.3999996</v>
      </c>
      <c r="M123" s="454" t="s">
        <v>529</v>
      </c>
      <c r="N123" s="453">
        <f>403715384+'[1]TW IV 2018'!N125</f>
        <v>403715384</v>
      </c>
      <c r="O123" s="454" t="s">
        <v>52</v>
      </c>
      <c r="P123" s="453">
        <v>400000000</v>
      </c>
      <c r="Q123" s="1350" t="s">
        <v>574</v>
      </c>
      <c r="R123" s="453">
        <v>20053002</v>
      </c>
      <c r="S123" s="1363"/>
      <c r="T123" s="1363">
        <v>82543444</v>
      </c>
      <c r="U123" s="1363"/>
      <c r="V123" s="1363">
        <v>0</v>
      </c>
      <c r="W123" s="1363">
        <v>0</v>
      </c>
      <c r="X123" s="1363">
        <v>0</v>
      </c>
      <c r="Y123" s="1369">
        <f t="shared" si="45"/>
        <v>3</v>
      </c>
      <c r="Z123" s="1382">
        <f t="shared" si="46"/>
        <v>102596446</v>
      </c>
      <c r="AA123" s="1369">
        <f t="shared" si="47"/>
        <v>39</v>
      </c>
      <c r="AB123" s="1382">
        <f t="shared" si="48"/>
        <v>506311830</v>
      </c>
      <c r="AC123" s="1369">
        <f t="shared" si="49"/>
        <v>54.166666666666664</v>
      </c>
      <c r="AD123" s="1369">
        <f t="shared" si="50"/>
        <v>8.0602361195340251</v>
      </c>
      <c r="AE123" s="2584"/>
    </row>
    <row r="124" spans="1:70" ht="33">
      <c r="A124" s="437"/>
      <c r="B124" s="421"/>
      <c r="C124" s="437">
        <v>5</v>
      </c>
      <c r="D124" s="1404" t="s">
        <v>25</v>
      </c>
      <c r="E124" s="1404" t="s">
        <v>25</v>
      </c>
      <c r="F124" s="437"/>
      <c r="G124" s="437"/>
      <c r="H124" s="1405"/>
      <c r="I124" s="422" t="s">
        <v>68</v>
      </c>
      <c r="J124" s="421" t="s">
        <v>2537</v>
      </c>
      <c r="K124" s="1349" t="s">
        <v>87</v>
      </c>
      <c r="L124" s="909">
        <v>2228926080</v>
      </c>
      <c r="M124" s="454" t="s">
        <v>529</v>
      </c>
      <c r="N124" s="453">
        <f>192251004+'[1]TW IV 2018'!N126</f>
        <v>192251004</v>
      </c>
      <c r="O124" s="454" t="s">
        <v>52</v>
      </c>
      <c r="P124" s="453">
        <v>406499044</v>
      </c>
      <c r="Q124" s="1350" t="s">
        <v>574</v>
      </c>
      <c r="R124" s="453">
        <v>32134000</v>
      </c>
      <c r="S124" s="1363"/>
      <c r="T124" s="1363">
        <v>50832700</v>
      </c>
      <c r="U124" s="1363"/>
      <c r="V124" s="1363">
        <v>0</v>
      </c>
      <c r="W124" s="1363">
        <v>0</v>
      </c>
      <c r="X124" s="1363">
        <v>0</v>
      </c>
      <c r="Y124" s="1369">
        <f t="shared" si="45"/>
        <v>3</v>
      </c>
      <c r="Z124" s="1382">
        <f t="shared" si="46"/>
        <v>82966700</v>
      </c>
      <c r="AA124" s="1369">
        <f t="shared" si="47"/>
        <v>39</v>
      </c>
      <c r="AB124" s="1382">
        <f t="shared" si="48"/>
        <v>275217704</v>
      </c>
      <c r="AC124" s="1369">
        <f t="shared" si="49"/>
        <v>54.166666666666664</v>
      </c>
      <c r="AD124" s="1369">
        <f t="shared" si="50"/>
        <v>12.347547389279056</v>
      </c>
      <c r="AE124" s="2584"/>
    </row>
    <row r="125" spans="1:70" ht="33">
      <c r="A125" s="437"/>
      <c r="B125" s="421"/>
      <c r="C125" s="437">
        <v>5</v>
      </c>
      <c r="D125" s="1404" t="s">
        <v>25</v>
      </c>
      <c r="E125" s="1404" t="s">
        <v>25</v>
      </c>
      <c r="F125" s="437"/>
      <c r="G125" s="437"/>
      <c r="H125" s="1405"/>
      <c r="I125" s="422" t="s">
        <v>69</v>
      </c>
      <c r="J125" s="427" t="s">
        <v>2538</v>
      </c>
      <c r="K125" s="1349" t="s">
        <v>87</v>
      </c>
      <c r="L125" s="909">
        <v>2622831120</v>
      </c>
      <c r="M125" s="454" t="s">
        <v>529</v>
      </c>
      <c r="N125" s="453">
        <f>458259724+'[1]TW IV 2018'!N127</f>
        <v>458259724</v>
      </c>
      <c r="O125" s="454" t="s">
        <v>52</v>
      </c>
      <c r="P125" s="453">
        <v>549259724</v>
      </c>
      <c r="Q125" s="1350" t="s">
        <v>574</v>
      </c>
      <c r="R125" s="453">
        <v>80000000</v>
      </c>
      <c r="S125" s="1363"/>
      <c r="T125" s="1363">
        <v>138482000</v>
      </c>
      <c r="U125" s="1363"/>
      <c r="V125" s="1363">
        <v>0</v>
      </c>
      <c r="W125" s="1363">
        <v>0</v>
      </c>
      <c r="X125" s="1363">
        <v>0</v>
      </c>
      <c r="Y125" s="1369">
        <f t="shared" si="45"/>
        <v>3</v>
      </c>
      <c r="Z125" s="1382">
        <f t="shared" si="46"/>
        <v>218482000</v>
      </c>
      <c r="AA125" s="1369">
        <f t="shared" si="47"/>
        <v>39</v>
      </c>
      <c r="AB125" s="1382">
        <f t="shared" si="48"/>
        <v>676741724</v>
      </c>
      <c r="AC125" s="1369">
        <f t="shared" si="49"/>
        <v>54.166666666666664</v>
      </c>
      <c r="AD125" s="1369">
        <f t="shared" si="50"/>
        <v>25.801955712649928</v>
      </c>
      <c r="AE125" s="2584"/>
    </row>
    <row r="126" spans="1:70" ht="49.5">
      <c r="A126" s="437"/>
      <c r="B126" s="421"/>
      <c r="C126" s="437"/>
      <c r="D126" s="437"/>
      <c r="E126" s="437"/>
      <c r="F126" s="437"/>
      <c r="G126" s="437"/>
      <c r="H126" s="1405"/>
      <c r="I126" s="422" t="s">
        <v>420</v>
      </c>
      <c r="J126" s="427" t="s">
        <v>2539</v>
      </c>
      <c r="K126" s="1349" t="s">
        <v>87</v>
      </c>
      <c r="L126" s="909">
        <v>178057888</v>
      </c>
      <c r="M126" s="454" t="s">
        <v>529</v>
      </c>
      <c r="N126" s="453">
        <f>10450000+'[1]RKPD 2017'!O130+18400000</f>
        <v>28850000</v>
      </c>
      <c r="O126" s="454" t="s">
        <v>52</v>
      </c>
      <c r="P126" s="453">
        <v>13200000</v>
      </c>
      <c r="Q126" s="1350" t="s">
        <v>574</v>
      </c>
      <c r="R126" s="453">
        <v>0</v>
      </c>
      <c r="S126" s="1363"/>
      <c r="T126" s="1363">
        <v>3900000</v>
      </c>
      <c r="U126" s="1363"/>
      <c r="V126" s="1363">
        <v>0</v>
      </c>
      <c r="W126" s="1363">
        <v>0</v>
      </c>
      <c r="X126" s="1363">
        <v>0</v>
      </c>
      <c r="Y126" s="1369">
        <f t="shared" si="45"/>
        <v>3</v>
      </c>
      <c r="Z126" s="1382">
        <f t="shared" si="46"/>
        <v>3900000</v>
      </c>
      <c r="AA126" s="1369">
        <f t="shared" si="47"/>
        <v>39</v>
      </c>
      <c r="AB126" s="1382">
        <f t="shared" si="48"/>
        <v>32750000</v>
      </c>
      <c r="AC126" s="1369">
        <f t="shared" si="49"/>
        <v>54.166666666666664</v>
      </c>
      <c r="AD126" s="1369">
        <f t="shared" si="50"/>
        <v>18.392894787115523</v>
      </c>
      <c r="AE126" s="2584"/>
    </row>
    <row r="127" spans="1:70" ht="49.5">
      <c r="A127" s="437"/>
      <c r="B127" s="421"/>
      <c r="C127" s="437">
        <v>5</v>
      </c>
      <c r="D127" s="1404" t="s">
        <v>25</v>
      </c>
      <c r="E127" s="1404" t="s">
        <v>25</v>
      </c>
      <c r="F127" s="437"/>
      <c r="G127" s="437"/>
      <c r="H127" s="1405"/>
      <c r="I127" s="422" t="s">
        <v>70</v>
      </c>
      <c r="J127" s="427" t="s">
        <v>2540</v>
      </c>
      <c r="K127" s="1349" t="s">
        <v>87</v>
      </c>
      <c r="L127" s="909">
        <v>1427473435.2</v>
      </c>
      <c r="M127" s="454" t="s">
        <v>529</v>
      </c>
      <c r="N127" s="453">
        <f>73062000+'[1]RKPD 2017'!O131+27631620</f>
        <v>100693620</v>
      </c>
      <c r="O127" s="454" t="s">
        <v>52</v>
      </c>
      <c r="P127" s="453">
        <v>31538532</v>
      </c>
      <c r="Q127" s="1350" t="s">
        <v>574</v>
      </c>
      <c r="R127" s="455">
        <v>0</v>
      </c>
      <c r="S127" s="1363"/>
      <c r="T127" s="1363">
        <v>10811000</v>
      </c>
      <c r="U127" s="1363"/>
      <c r="V127" s="1363">
        <v>0</v>
      </c>
      <c r="W127" s="1363">
        <v>0</v>
      </c>
      <c r="X127" s="1363">
        <v>0</v>
      </c>
      <c r="Y127" s="1369">
        <f t="shared" si="45"/>
        <v>3</v>
      </c>
      <c r="Z127" s="1382">
        <f t="shared" si="46"/>
        <v>10811000</v>
      </c>
      <c r="AA127" s="1369">
        <f t="shared" si="47"/>
        <v>39</v>
      </c>
      <c r="AB127" s="1382">
        <f t="shared" si="48"/>
        <v>111504620</v>
      </c>
      <c r="AC127" s="1369">
        <f t="shared" si="49"/>
        <v>54.166666666666664</v>
      </c>
      <c r="AD127" s="1369">
        <f t="shared" si="50"/>
        <v>7.8113271498027794</v>
      </c>
      <c r="AE127" s="2584"/>
    </row>
    <row r="128" spans="1:70" ht="49.5">
      <c r="A128" s="437"/>
      <c r="B128" s="421"/>
      <c r="C128" s="437">
        <v>5</v>
      </c>
      <c r="D128" s="1404" t="s">
        <v>25</v>
      </c>
      <c r="E128" s="1404" t="s">
        <v>25</v>
      </c>
      <c r="F128" s="437"/>
      <c r="G128" s="437"/>
      <c r="H128" s="1405"/>
      <c r="I128" s="422" t="s">
        <v>71</v>
      </c>
      <c r="J128" s="428" t="s">
        <v>2541</v>
      </c>
      <c r="K128" s="1349" t="s">
        <v>87</v>
      </c>
      <c r="L128" s="909">
        <v>813429920</v>
      </c>
      <c r="M128" s="454" t="s">
        <v>529</v>
      </c>
      <c r="N128" s="453">
        <f>50968650+'[1]RKPD 2017'!O132+27450685</f>
        <v>78419335</v>
      </c>
      <c r="O128" s="454" t="s">
        <v>52</v>
      </c>
      <c r="P128" s="453">
        <v>27450685</v>
      </c>
      <c r="Q128" s="1350" t="s">
        <v>574</v>
      </c>
      <c r="R128" s="453">
        <v>2600000</v>
      </c>
      <c r="S128" s="1363"/>
      <c r="T128" s="1363">
        <v>10089000</v>
      </c>
      <c r="U128" s="1363"/>
      <c r="V128" s="1363">
        <v>0</v>
      </c>
      <c r="W128" s="1363">
        <v>0</v>
      </c>
      <c r="X128" s="1363">
        <v>0</v>
      </c>
      <c r="Y128" s="1369">
        <f t="shared" si="45"/>
        <v>3</v>
      </c>
      <c r="Z128" s="1382">
        <f t="shared" si="46"/>
        <v>12689000</v>
      </c>
      <c r="AA128" s="1369">
        <f t="shared" si="47"/>
        <v>39</v>
      </c>
      <c r="AB128" s="1382">
        <f t="shared" si="48"/>
        <v>91108335</v>
      </c>
      <c r="AC128" s="1369">
        <f t="shared" si="49"/>
        <v>54.166666666666664</v>
      </c>
      <c r="AD128" s="1369">
        <f t="shared" si="50"/>
        <v>11.200514360229089</v>
      </c>
      <c r="AE128" s="2584"/>
    </row>
    <row r="129" spans="1:69" ht="82.5">
      <c r="A129" s="437"/>
      <c r="B129" s="421"/>
      <c r="C129" s="437">
        <v>5</v>
      </c>
      <c r="D129" s="1404" t="s">
        <v>25</v>
      </c>
      <c r="E129" s="1404" t="s">
        <v>25</v>
      </c>
      <c r="F129" s="437"/>
      <c r="G129" s="437"/>
      <c r="H129" s="1405"/>
      <c r="I129" s="422" t="s">
        <v>2543</v>
      </c>
      <c r="J129" s="427" t="s">
        <v>2542</v>
      </c>
      <c r="K129" s="1349" t="s">
        <v>87</v>
      </c>
      <c r="L129" s="909">
        <v>1379884582.4000001</v>
      </c>
      <c r="M129" s="454" t="s">
        <v>529</v>
      </c>
      <c r="N129" s="453">
        <f>34782535+'[1]RKPD 2017'!O133+28641250</f>
        <v>63423785</v>
      </c>
      <c r="O129" s="454" t="s">
        <v>52</v>
      </c>
      <c r="P129" s="453">
        <v>19993024</v>
      </c>
      <c r="Q129" s="1350" t="s">
        <v>574</v>
      </c>
      <c r="R129" s="453">
        <v>1095000</v>
      </c>
      <c r="S129" s="1363"/>
      <c r="T129" s="1363">
        <v>8826000</v>
      </c>
      <c r="U129" s="1363"/>
      <c r="V129" s="1363">
        <v>0</v>
      </c>
      <c r="W129" s="1363">
        <v>0</v>
      </c>
      <c r="X129" s="1363">
        <v>0</v>
      </c>
      <c r="Y129" s="1369">
        <f t="shared" si="45"/>
        <v>3</v>
      </c>
      <c r="Z129" s="1382">
        <f t="shared" si="46"/>
        <v>9921000</v>
      </c>
      <c r="AA129" s="1369">
        <f t="shared" si="47"/>
        <v>39</v>
      </c>
      <c r="AB129" s="1382">
        <f t="shared" si="48"/>
        <v>73344785</v>
      </c>
      <c r="AC129" s="1369">
        <f t="shared" si="49"/>
        <v>54.166666666666664</v>
      </c>
      <c r="AD129" s="1369">
        <f t="shared" si="50"/>
        <v>5.315284041541589</v>
      </c>
      <c r="AE129" s="2584"/>
    </row>
    <row r="130" spans="1:69" ht="99">
      <c r="A130" s="437"/>
      <c r="B130" s="421"/>
      <c r="C130" s="437">
        <v>1</v>
      </c>
      <c r="D130" s="1404" t="s">
        <v>25</v>
      </c>
      <c r="E130" s="1404" t="s">
        <v>28</v>
      </c>
      <c r="F130" s="1404" t="s">
        <v>25</v>
      </c>
      <c r="G130" s="1404"/>
      <c r="H130" s="1405"/>
      <c r="I130" s="422" t="s">
        <v>421</v>
      </c>
      <c r="J130" s="427" t="s">
        <v>2544</v>
      </c>
      <c r="K130" s="1349" t="s">
        <v>87</v>
      </c>
      <c r="L130" s="909">
        <v>898808036.79999995</v>
      </c>
      <c r="M130" s="454" t="s">
        <v>529</v>
      </c>
      <c r="N130" s="453">
        <f>309296200+'[1]RKPD 2017'!O134+148287800</f>
        <v>457584000</v>
      </c>
      <c r="O130" s="454" t="s">
        <v>52</v>
      </c>
      <c r="P130" s="453">
        <v>300000000</v>
      </c>
      <c r="Q130" s="1350" t="s">
        <v>574</v>
      </c>
      <c r="R130" s="453">
        <v>2850000</v>
      </c>
      <c r="S130" s="1363"/>
      <c r="T130" s="1363">
        <v>108555900</v>
      </c>
      <c r="U130" s="1363"/>
      <c r="V130" s="1363">
        <v>0</v>
      </c>
      <c r="W130" s="1363">
        <v>0</v>
      </c>
      <c r="X130" s="1363">
        <v>0</v>
      </c>
      <c r="Y130" s="1369">
        <f t="shared" si="45"/>
        <v>3</v>
      </c>
      <c r="Z130" s="1382">
        <f t="shared" si="46"/>
        <v>111405900</v>
      </c>
      <c r="AA130" s="1369">
        <f t="shared" si="47"/>
        <v>39</v>
      </c>
      <c r="AB130" s="1382">
        <f t="shared" si="48"/>
        <v>568989900</v>
      </c>
      <c r="AC130" s="1369">
        <f t="shared" si="49"/>
        <v>54.166666666666664</v>
      </c>
      <c r="AD130" s="1369">
        <f t="shared" si="50"/>
        <v>63.304941289327822</v>
      </c>
      <c r="AE130" s="2584"/>
    </row>
    <row r="131" spans="1:69" ht="49.5">
      <c r="A131" s="437"/>
      <c r="B131" s="421"/>
      <c r="C131" s="437">
        <v>5</v>
      </c>
      <c r="D131" s="1404" t="s">
        <v>25</v>
      </c>
      <c r="E131" s="1404" t="s">
        <v>25</v>
      </c>
      <c r="F131" s="437"/>
      <c r="G131" s="437"/>
      <c r="H131" s="1405"/>
      <c r="I131" s="422" t="s">
        <v>73</v>
      </c>
      <c r="J131" s="427" t="s">
        <v>2545</v>
      </c>
      <c r="K131" s="1349" t="s">
        <v>87</v>
      </c>
      <c r="L131" s="910">
        <v>177289292.80000001</v>
      </c>
      <c r="M131" s="454" t="s">
        <v>529</v>
      </c>
      <c r="N131" s="453">
        <f>11220000+'[1]RKPD 2017'!O135+13900000</f>
        <v>25120000</v>
      </c>
      <c r="O131" s="454" t="s">
        <v>52</v>
      </c>
      <c r="P131" s="453">
        <v>13900000</v>
      </c>
      <c r="Q131" s="1350" t="s">
        <v>574</v>
      </c>
      <c r="R131" s="453">
        <v>3610000</v>
      </c>
      <c r="S131" s="1363"/>
      <c r="T131" s="1363">
        <v>6960000</v>
      </c>
      <c r="U131" s="1363"/>
      <c r="V131" s="1363">
        <v>0</v>
      </c>
      <c r="W131" s="1363">
        <v>0</v>
      </c>
      <c r="X131" s="1363">
        <v>0</v>
      </c>
      <c r="Y131" s="1369">
        <f t="shared" si="45"/>
        <v>3</v>
      </c>
      <c r="Z131" s="1382">
        <f t="shared" si="46"/>
        <v>10570000</v>
      </c>
      <c r="AA131" s="1369">
        <f t="shared" si="47"/>
        <v>39</v>
      </c>
      <c r="AB131" s="1382">
        <f t="shared" si="48"/>
        <v>35690000</v>
      </c>
      <c r="AC131" s="1369">
        <f t="shared" si="49"/>
        <v>54.166666666666664</v>
      </c>
      <c r="AD131" s="1369">
        <f t="shared" si="50"/>
        <v>20.130939345706498</v>
      </c>
      <c r="AE131" s="2584"/>
    </row>
    <row r="132" spans="1:69" ht="66">
      <c r="A132" s="437"/>
      <c r="B132" s="421"/>
      <c r="C132" s="437">
        <v>5</v>
      </c>
      <c r="D132" s="1404" t="s">
        <v>25</v>
      </c>
      <c r="E132" s="1404" t="s">
        <v>25</v>
      </c>
      <c r="F132" s="437"/>
      <c r="G132" s="437"/>
      <c r="H132" s="1405"/>
      <c r="I132" s="422" t="s">
        <v>75</v>
      </c>
      <c r="J132" s="427" t="s">
        <v>2546</v>
      </c>
      <c r="K132" s="1349" t="s">
        <v>87</v>
      </c>
      <c r="L132" s="909">
        <v>2640636908.8000002</v>
      </c>
      <c r="M132" s="454" t="s">
        <v>529</v>
      </c>
      <c r="N132" s="453">
        <f>93064000+'[1]RKPD 2017'!O136+78187494</f>
        <v>171251494</v>
      </c>
      <c r="O132" s="454" t="s">
        <v>52</v>
      </c>
      <c r="P132" s="453">
        <v>102107494</v>
      </c>
      <c r="Q132" s="1350" t="s">
        <v>574</v>
      </c>
      <c r="R132" s="453">
        <v>7465700</v>
      </c>
      <c r="S132" s="1363"/>
      <c r="T132" s="1363">
        <v>16472050</v>
      </c>
      <c r="U132" s="1363"/>
      <c r="V132" s="1363">
        <v>0</v>
      </c>
      <c r="W132" s="1363">
        <v>0</v>
      </c>
      <c r="X132" s="1363">
        <v>0</v>
      </c>
      <c r="Y132" s="1369">
        <f t="shared" si="45"/>
        <v>3</v>
      </c>
      <c r="Z132" s="1382">
        <f t="shared" si="46"/>
        <v>23937750</v>
      </c>
      <c r="AA132" s="1369">
        <f t="shared" si="47"/>
        <v>39</v>
      </c>
      <c r="AB132" s="1382">
        <f t="shared" si="48"/>
        <v>195189244</v>
      </c>
      <c r="AC132" s="1369">
        <f t="shared" si="49"/>
        <v>54.166666666666664</v>
      </c>
      <c r="AD132" s="1369">
        <f t="shared" si="50"/>
        <v>7.3917486856873857</v>
      </c>
      <c r="AE132" s="2584"/>
    </row>
    <row r="133" spans="1:69" ht="66">
      <c r="A133" s="437"/>
      <c r="B133" s="421"/>
      <c r="C133" s="437">
        <v>5</v>
      </c>
      <c r="D133" s="1404" t="s">
        <v>25</v>
      </c>
      <c r="E133" s="1404" t="s">
        <v>25</v>
      </c>
      <c r="F133" s="437"/>
      <c r="G133" s="437"/>
      <c r="H133" s="1405"/>
      <c r="I133" s="422" t="s">
        <v>76</v>
      </c>
      <c r="J133" s="429" t="s">
        <v>2547</v>
      </c>
      <c r="K133" s="1349" t="s">
        <v>87</v>
      </c>
      <c r="L133" s="909">
        <v>1441116000</v>
      </c>
      <c r="M133" s="454" t="s">
        <v>529</v>
      </c>
      <c r="N133" s="453">
        <f>117909197+'[1]RKPD 2017'!O137+90050000</f>
        <v>207959197</v>
      </c>
      <c r="O133" s="454" t="s">
        <v>52</v>
      </c>
      <c r="P133" s="453">
        <v>45000000</v>
      </c>
      <c r="Q133" s="1350" t="s">
        <v>574</v>
      </c>
      <c r="R133" s="453">
        <v>3175000</v>
      </c>
      <c r="S133" s="1363"/>
      <c r="T133" s="1363">
        <v>3725000</v>
      </c>
      <c r="U133" s="1363"/>
      <c r="V133" s="1363">
        <v>0</v>
      </c>
      <c r="W133" s="1363">
        <v>0</v>
      </c>
      <c r="X133" s="1363">
        <v>0</v>
      </c>
      <c r="Y133" s="1369">
        <f t="shared" si="45"/>
        <v>3</v>
      </c>
      <c r="Z133" s="1382">
        <f t="shared" si="46"/>
        <v>6900000</v>
      </c>
      <c r="AA133" s="1369">
        <f t="shared" si="47"/>
        <v>39</v>
      </c>
      <c r="AB133" s="1382">
        <f t="shared" si="48"/>
        <v>214859197</v>
      </c>
      <c r="AC133" s="1369">
        <f t="shared" si="49"/>
        <v>54.166666666666664</v>
      </c>
      <c r="AD133" s="1369">
        <f t="shared" si="50"/>
        <v>14.909222921680144</v>
      </c>
      <c r="AE133" s="2584"/>
    </row>
    <row r="134" spans="1:69" ht="33">
      <c r="A134" s="437"/>
      <c r="B134" s="421"/>
      <c r="C134" s="437">
        <v>1</v>
      </c>
      <c r="D134" s="1404" t="s">
        <v>25</v>
      </c>
      <c r="E134" s="1404" t="s">
        <v>28</v>
      </c>
      <c r="F134" s="1404" t="s">
        <v>25</v>
      </c>
      <c r="G134" s="1404"/>
      <c r="H134" s="1405"/>
      <c r="I134" s="422" t="s">
        <v>422</v>
      </c>
      <c r="J134" s="427" t="s">
        <v>2548</v>
      </c>
      <c r="K134" s="1349" t="s">
        <v>87</v>
      </c>
      <c r="L134" s="909">
        <v>115289280</v>
      </c>
      <c r="M134" s="454" t="s">
        <v>529</v>
      </c>
      <c r="N134" s="453">
        <f>25000000+'[1]RKPD 2017'!O138+44000000</f>
        <v>69000000</v>
      </c>
      <c r="O134" s="454" t="s">
        <v>52</v>
      </c>
      <c r="P134" s="453">
        <v>221000000</v>
      </c>
      <c r="Q134" s="1350" t="s">
        <v>574</v>
      </c>
      <c r="R134" s="453">
        <v>11000000</v>
      </c>
      <c r="S134" s="1363"/>
      <c r="T134" s="1363">
        <v>12000000</v>
      </c>
      <c r="U134" s="1363"/>
      <c r="V134" s="1363">
        <v>0</v>
      </c>
      <c r="W134" s="1363">
        <v>0</v>
      </c>
      <c r="X134" s="1363">
        <v>0</v>
      </c>
      <c r="Y134" s="1369">
        <f t="shared" si="45"/>
        <v>3</v>
      </c>
      <c r="Z134" s="1382">
        <f t="shared" si="46"/>
        <v>23000000</v>
      </c>
      <c r="AA134" s="1369">
        <f t="shared" si="47"/>
        <v>39</v>
      </c>
      <c r="AB134" s="1382">
        <f t="shared" si="48"/>
        <v>92000000</v>
      </c>
      <c r="AC134" s="1369">
        <f t="shared" si="49"/>
        <v>54.166666666666664</v>
      </c>
      <c r="AD134" s="1369">
        <f t="shared" si="50"/>
        <v>79.799266679434538</v>
      </c>
      <c r="AE134" s="2584"/>
    </row>
    <row r="135" spans="1:69" ht="82.5">
      <c r="A135" s="437"/>
      <c r="B135" s="421"/>
      <c r="C135" s="437">
        <v>5</v>
      </c>
      <c r="D135" s="1404" t="s">
        <v>25</v>
      </c>
      <c r="E135" s="1404" t="s">
        <v>28</v>
      </c>
      <c r="F135" s="1404" t="s">
        <v>25</v>
      </c>
      <c r="G135" s="1404"/>
      <c r="H135" s="1405"/>
      <c r="I135" s="422" t="s">
        <v>77</v>
      </c>
      <c r="J135" s="429" t="s">
        <v>2549</v>
      </c>
      <c r="K135" s="1349" t="s">
        <v>87</v>
      </c>
      <c r="L135" s="909">
        <v>1769690448</v>
      </c>
      <c r="M135" s="454" t="s">
        <v>529</v>
      </c>
      <c r="N135" s="453">
        <f>21415000+'[1]RKPD 2017'!O139+61900000</f>
        <v>83315000</v>
      </c>
      <c r="O135" s="454" t="s">
        <v>52</v>
      </c>
      <c r="P135" s="453">
        <v>60000000</v>
      </c>
      <c r="Q135" s="1350" t="s">
        <v>574</v>
      </c>
      <c r="R135" s="453">
        <v>11475000</v>
      </c>
      <c r="S135" s="1363"/>
      <c r="T135" s="1363">
        <v>21115000</v>
      </c>
      <c r="U135" s="1363"/>
      <c r="V135" s="1363">
        <v>0</v>
      </c>
      <c r="W135" s="1363">
        <v>0</v>
      </c>
      <c r="X135" s="1363">
        <v>0</v>
      </c>
      <c r="Y135" s="1369">
        <f t="shared" si="45"/>
        <v>3</v>
      </c>
      <c r="Z135" s="1382">
        <f t="shared" si="46"/>
        <v>32590000</v>
      </c>
      <c r="AA135" s="1369">
        <f t="shared" si="47"/>
        <v>39</v>
      </c>
      <c r="AB135" s="1382">
        <f t="shared" si="48"/>
        <v>115905000</v>
      </c>
      <c r="AC135" s="1369">
        <f t="shared" si="49"/>
        <v>54.166666666666664</v>
      </c>
      <c r="AD135" s="1369">
        <f t="shared" si="50"/>
        <v>6.5494505059339057</v>
      </c>
      <c r="AE135" s="2584"/>
    </row>
    <row r="136" spans="1:69" ht="36" customHeight="1">
      <c r="A136" s="437"/>
      <c r="B136" s="421"/>
      <c r="C136" s="437">
        <v>1</v>
      </c>
      <c r="D136" s="1404" t="s">
        <v>25</v>
      </c>
      <c r="E136" s="1404" t="s">
        <v>28</v>
      </c>
      <c r="F136" s="1404" t="s">
        <v>25</v>
      </c>
      <c r="G136" s="1404"/>
      <c r="H136" s="1405"/>
      <c r="I136" s="1359" t="s">
        <v>423</v>
      </c>
      <c r="J136" s="427" t="s">
        <v>2550</v>
      </c>
      <c r="K136" s="1349" t="s">
        <v>87</v>
      </c>
      <c r="L136" s="453">
        <v>1246661414.4000001</v>
      </c>
      <c r="M136" s="454" t="s">
        <v>529</v>
      </c>
      <c r="N136" s="453">
        <f>88102799+'[1]RKPD 2017'!O140+108328810</f>
        <v>196431609</v>
      </c>
      <c r="O136" s="454" t="s">
        <v>40</v>
      </c>
      <c r="P136" s="453"/>
      <c r="Q136" s="1350"/>
      <c r="R136" s="453"/>
      <c r="S136" s="1363"/>
      <c r="T136" s="1363">
        <v>0</v>
      </c>
      <c r="U136" s="1363"/>
      <c r="V136" s="1363">
        <v>0</v>
      </c>
      <c r="W136" s="1363">
        <v>0</v>
      </c>
      <c r="X136" s="1363">
        <v>0</v>
      </c>
      <c r="Y136" s="1369">
        <f t="shared" si="45"/>
        <v>0</v>
      </c>
      <c r="Z136" s="1382">
        <f t="shared" si="46"/>
        <v>0</v>
      </c>
      <c r="AA136" s="1369">
        <f t="shared" si="47"/>
        <v>36</v>
      </c>
      <c r="AB136" s="1382">
        <f t="shared" si="48"/>
        <v>196431609</v>
      </c>
      <c r="AC136" s="1369">
        <f t="shared" si="49"/>
        <v>50</v>
      </c>
      <c r="AD136" s="1369">
        <f t="shared" si="50"/>
        <v>15.75661255983764</v>
      </c>
      <c r="AE136" s="2584"/>
    </row>
    <row r="137" spans="1:69" ht="66">
      <c r="A137" s="437"/>
      <c r="B137" s="421"/>
      <c r="C137" s="437">
        <v>1</v>
      </c>
      <c r="D137" s="1404" t="s">
        <v>25</v>
      </c>
      <c r="E137" s="1404" t="s">
        <v>28</v>
      </c>
      <c r="F137" s="1404" t="s">
        <v>25</v>
      </c>
      <c r="G137" s="1404"/>
      <c r="H137" s="1405"/>
      <c r="I137" s="422" t="s">
        <v>424</v>
      </c>
      <c r="J137" s="429" t="s">
        <v>2551</v>
      </c>
      <c r="K137" s="1360">
        <v>48</v>
      </c>
      <c r="L137" s="909">
        <v>1626091244.8</v>
      </c>
      <c r="M137" s="1360">
        <v>24</v>
      </c>
      <c r="N137" s="453">
        <f>81275779+'[1]RKPD 2017'!O141+61475577</f>
        <v>142751356</v>
      </c>
      <c r="O137" s="1360">
        <v>8</v>
      </c>
      <c r="P137" s="453">
        <v>62703622</v>
      </c>
      <c r="Q137" s="1360">
        <v>2</v>
      </c>
      <c r="R137" s="453">
        <v>6486000</v>
      </c>
      <c r="S137" s="1363"/>
      <c r="T137" s="1363">
        <v>12397750</v>
      </c>
      <c r="U137" s="1363"/>
      <c r="V137" s="1363">
        <v>0</v>
      </c>
      <c r="W137" s="1363">
        <v>0</v>
      </c>
      <c r="X137" s="1363">
        <v>0</v>
      </c>
      <c r="Y137" s="1369">
        <f t="shared" si="45"/>
        <v>2</v>
      </c>
      <c r="Z137" s="1382">
        <f t="shared" si="46"/>
        <v>18883750</v>
      </c>
      <c r="AA137" s="1369">
        <f t="shared" si="47"/>
        <v>26</v>
      </c>
      <c r="AB137" s="1382">
        <f t="shared" si="48"/>
        <v>161635106</v>
      </c>
      <c r="AC137" s="1369">
        <f t="shared" si="49"/>
        <v>54.166666666666664</v>
      </c>
      <c r="AD137" s="1369">
        <f t="shared" si="50"/>
        <v>9.9401006257727076</v>
      </c>
      <c r="AE137" s="2584"/>
      <c r="AF137" s="750"/>
      <c r="AG137" s="750"/>
      <c r="AH137" s="750"/>
      <c r="AI137" s="750"/>
      <c r="AJ137" s="750"/>
      <c r="AK137" s="750"/>
      <c r="AL137" s="750"/>
      <c r="AM137" s="750"/>
      <c r="AN137" s="750"/>
      <c r="AO137" s="750"/>
      <c r="AP137" s="750"/>
      <c r="AQ137" s="750"/>
      <c r="AR137" s="750"/>
      <c r="AS137" s="750"/>
      <c r="AT137" s="750"/>
      <c r="AU137" s="750"/>
      <c r="AV137" s="750"/>
      <c r="AW137" s="750"/>
      <c r="AX137" s="750"/>
      <c r="AY137" s="750"/>
      <c r="AZ137" s="750"/>
      <c r="BA137" s="750"/>
      <c r="BB137" s="750"/>
      <c r="BC137" s="752"/>
      <c r="BD137" s="752"/>
      <c r="BE137" s="752"/>
      <c r="BF137" s="752"/>
      <c r="BG137" s="752"/>
      <c r="BH137" s="752"/>
      <c r="BI137" s="752"/>
      <c r="BJ137" s="752"/>
      <c r="BK137" s="752"/>
      <c r="BL137" s="752"/>
      <c r="BM137" s="752"/>
      <c r="BN137" s="752"/>
      <c r="BO137" s="752"/>
      <c r="BP137" s="752"/>
      <c r="BQ137" s="752"/>
    </row>
    <row r="138" spans="1:69" s="1288" customFormat="1" ht="82.5">
      <c r="A138" s="1398">
        <v>2</v>
      </c>
      <c r="B138" s="439"/>
      <c r="C138" s="1398">
        <v>1</v>
      </c>
      <c r="D138" s="1402" t="s">
        <v>25</v>
      </c>
      <c r="E138" s="1402" t="s">
        <v>28</v>
      </c>
      <c r="F138" s="1402" t="s">
        <v>28</v>
      </c>
      <c r="G138" s="1402"/>
      <c r="H138" s="1406"/>
      <c r="I138" s="441" t="s">
        <v>36</v>
      </c>
      <c r="J138" s="439" t="s">
        <v>2552</v>
      </c>
      <c r="K138" s="1362">
        <v>72</v>
      </c>
      <c r="L138" s="444">
        <v>610000000</v>
      </c>
      <c r="M138" s="1362">
        <v>36</v>
      </c>
      <c r="N138" s="445">
        <f>N140</f>
        <v>88782000</v>
      </c>
      <c r="O138" s="1387">
        <v>12</v>
      </c>
      <c r="P138" s="445">
        <f>SUM(P139:P140)</f>
        <v>800000000</v>
      </c>
      <c r="Q138" s="1387">
        <v>3</v>
      </c>
      <c r="R138" s="444">
        <f>SUM(R139:R140)</f>
        <v>252940003</v>
      </c>
      <c r="S138" s="484"/>
      <c r="T138" s="444">
        <f>SUM(T140)</f>
        <v>119989500</v>
      </c>
      <c r="U138" s="484"/>
      <c r="V138" s="445">
        <f>V140</f>
        <v>0</v>
      </c>
      <c r="W138" s="439">
        <f>SUM(W140)</f>
        <v>0</v>
      </c>
      <c r="X138" s="444">
        <f>SUM(X140)</f>
        <v>0</v>
      </c>
      <c r="Y138" s="1367">
        <f t="shared" si="45"/>
        <v>3</v>
      </c>
      <c r="Z138" s="1381">
        <f t="shared" si="46"/>
        <v>372929503</v>
      </c>
      <c r="AA138" s="1367">
        <f t="shared" si="47"/>
        <v>39</v>
      </c>
      <c r="AB138" s="1381">
        <f t="shared" si="48"/>
        <v>461711503</v>
      </c>
      <c r="AC138" s="1367">
        <f t="shared" si="49"/>
        <v>54.166666666666664</v>
      </c>
      <c r="AD138" s="1367">
        <f t="shared" si="50"/>
        <v>75.690410327868847</v>
      </c>
      <c r="AE138" s="2583" t="s">
        <v>418</v>
      </c>
      <c r="AF138" s="201"/>
      <c r="AG138" s="201"/>
      <c r="AH138" s="201"/>
      <c r="AI138" s="201"/>
      <c r="AJ138" s="201"/>
      <c r="AK138" s="201"/>
      <c r="AL138" s="201"/>
      <c r="AM138" s="201"/>
      <c r="AN138" s="201"/>
      <c r="AO138" s="201"/>
      <c r="AP138" s="201"/>
      <c r="AQ138" s="201"/>
      <c r="AR138" s="201"/>
      <c r="AS138" s="201"/>
      <c r="AT138" s="201"/>
      <c r="AU138" s="201"/>
      <c r="AV138" s="201"/>
      <c r="AW138" s="201"/>
      <c r="AX138" s="201"/>
      <c r="AY138" s="201"/>
      <c r="AZ138" s="201"/>
      <c r="BA138" s="201"/>
      <c r="BB138" s="201"/>
      <c r="BC138" s="20"/>
      <c r="BD138" s="20"/>
      <c r="BE138" s="20"/>
      <c r="BF138" s="20"/>
      <c r="BG138" s="20"/>
      <c r="BH138" s="20"/>
      <c r="BI138" s="20"/>
      <c r="BJ138" s="20"/>
      <c r="BK138" s="20"/>
      <c r="BL138" s="20"/>
      <c r="BM138" s="20"/>
      <c r="BN138" s="20"/>
      <c r="BO138" s="20"/>
      <c r="BP138" s="20"/>
      <c r="BQ138" s="20"/>
    </row>
    <row r="139" spans="1:69" ht="33">
      <c r="A139" s="437"/>
      <c r="B139" s="434"/>
      <c r="C139" s="437">
        <v>1</v>
      </c>
      <c r="D139" s="1404" t="s">
        <v>25</v>
      </c>
      <c r="E139" s="1404" t="s">
        <v>28</v>
      </c>
      <c r="F139" s="1404" t="s">
        <v>28</v>
      </c>
      <c r="G139" s="437"/>
      <c r="H139" s="1405"/>
      <c r="I139" s="422" t="s">
        <v>425</v>
      </c>
      <c r="J139" s="421" t="s">
        <v>2553</v>
      </c>
      <c r="K139" s="1393">
        <v>1</v>
      </c>
      <c r="L139" s="453">
        <f>P139</f>
        <v>300000000</v>
      </c>
      <c r="M139" s="1391"/>
      <c r="N139" s="457"/>
      <c r="O139" s="1394">
        <v>1</v>
      </c>
      <c r="P139" s="466">
        <v>300000000</v>
      </c>
      <c r="Q139" s="1390">
        <v>1</v>
      </c>
      <c r="R139" s="453">
        <v>252940000</v>
      </c>
      <c r="S139" s="431"/>
      <c r="T139" s="433"/>
      <c r="U139" s="431"/>
      <c r="V139" s="432"/>
      <c r="W139" s="434"/>
      <c r="X139" s="433"/>
      <c r="Y139" s="1370">
        <f t="shared" si="45"/>
        <v>1</v>
      </c>
      <c r="Z139" s="1383">
        <f t="shared" si="46"/>
        <v>252940000</v>
      </c>
      <c r="AA139" s="1370">
        <f t="shared" si="47"/>
        <v>1</v>
      </c>
      <c r="AB139" s="1383">
        <f t="shared" si="48"/>
        <v>252940000</v>
      </c>
      <c r="AC139" s="1370">
        <f t="shared" si="49"/>
        <v>100</v>
      </c>
      <c r="AD139" s="1370">
        <f t="shared" si="50"/>
        <v>84.313333333333333</v>
      </c>
      <c r="AE139" s="2584"/>
    </row>
    <row r="140" spans="1:69" ht="49.5">
      <c r="A140" s="437"/>
      <c r="B140" s="421"/>
      <c r="C140" s="437">
        <v>1</v>
      </c>
      <c r="D140" s="1404" t="s">
        <v>25</v>
      </c>
      <c r="E140" s="1404" t="s">
        <v>28</v>
      </c>
      <c r="F140" s="1404" t="s">
        <v>28</v>
      </c>
      <c r="G140" s="1404"/>
      <c r="H140" s="1405"/>
      <c r="I140" s="422" t="s">
        <v>426</v>
      </c>
      <c r="J140" s="421" t="s">
        <v>243</v>
      </c>
      <c r="K140" s="1393">
        <v>72</v>
      </c>
      <c r="L140" s="453">
        <v>610000000</v>
      </c>
      <c r="M140" s="1393">
        <v>36</v>
      </c>
      <c r="N140" s="453">
        <f>88782000+'[1]RKPD 2017'!O144</f>
        <v>88782000</v>
      </c>
      <c r="O140" s="1394">
        <v>12</v>
      </c>
      <c r="P140" s="453">
        <v>500000000</v>
      </c>
      <c r="Q140" s="1394">
        <v>3</v>
      </c>
      <c r="R140" s="455">
        <v>3</v>
      </c>
      <c r="S140" s="430"/>
      <c r="T140" s="423">
        <v>119989500</v>
      </c>
      <c r="U140" s="430"/>
      <c r="V140" s="423">
        <v>0</v>
      </c>
      <c r="W140" s="421">
        <v>0</v>
      </c>
      <c r="X140" s="423">
        <v>0</v>
      </c>
      <c r="Y140" s="1369">
        <f t="shared" si="45"/>
        <v>3</v>
      </c>
      <c r="Z140" s="1382">
        <f t="shared" si="46"/>
        <v>119989503</v>
      </c>
      <c r="AA140" s="1369">
        <f t="shared" si="47"/>
        <v>39</v>
      </c>
      <c r="AB140" s="1382">
        <f t="shared" si="48"/>
        <v>208771503</v>
      </c>
      <c r="AC140" s="1369">
        <f t="shared" si="49"/>
        <v>54.166666666666664</v>
      </c>
      <c r="AD140" s="1369">
        <f t="shared" si="50"/>
        <v>34.224836557377046</v>
      </c>
      <c r="AE140" s="2584"/>
    </row>
    <row r="141" spans="1:69" s="1288" customFormat="1" ht="66">
      <c r="A141" s="1398">
        <v>3</v>
      </c>
      <c r="B141" s="439"/>
      <c r="C141" s="1398">
        <v>5</v>
      </c>
      <c r="D141" s="1402" t="s">
        <v>25</v>
      </c>
      <c r="E141" s="1402" t="s">
        <v>38</v>
      </c>
      <c r="F141" s="1398"/>
      <c r="G141" s="1398"/>
      <c r="H141" s="1403"/>
      <c r="I141" s="486" t="s">
        <v>1088</v>
      </c>
      <c r="J141" s="1352" t="s">
        <v>2554</v>
      </c>
      <c r="K141" s="1396">
        <v>100</v>
      </c>
      <c r="L141" s="911">
        <v>1025000000</v>
      </c>
      <c r="M141" s="1395">
        <v>34</v>
      </c>
      <c r="N141" s="1356">
        <f>26880000+'[1]RKPD 2017'!O143</f>
        <v>26880000</v>
      </c>
      <c r="O141" s="1395">
        <v>17</v>
      </c>
      <c r="P141" s="452">
        <f>P142+P143</f>
        <v>64733800</v>
      </c>
      <c r="Q141" s="1395">
        <f>Q143</f>
        <v>2</v>
      </c>
      <c r="R141" s="445">
        <f>SUM(R142:R143)</f>
        <v>6465000</v>
      </c>
      <c r="S141" s="485"/>
      <c r="T141" s="444">
        <f>SUM(T142:T143)</f>
        <v>11381000</v>
      </c>
      <c r="U141" s="485"/>
      <c r="V141" s="445">
        <f>V143</f>
        <v>0</v>
      </c>
      <c r="W141" s="439">
        <f t="shared" ref="W141:X141" si="51">W142</f>
        <v>0</v>
      </c>
      <c r="X141" s="444">
        <f t="shared" si="51"/>
        <v>0</v>
      </c>
      <c r="Y141" s="1367">
        <f t="shared" si="45"/>
        <v>2</v>
      </c>
      <c r="Z141" s="1381">
        <f t="shared" si="46"/>
        <v>17846000</v>
      </c>
      <c r="AA141" s="1367">
        <f t="shared" si="47"/>
        <v>36</v>
      </c>
      <c r="AB141" s="1381">
        <f t="shared" si="48"/>
        <v>44726000</v>
      </c>
      <c r="AC141" s="1367">
        <f t="shared" si="49"/>
        <v>36</v>
      </c>
      <c r="AD141" s="1367">
        <f t="shared" si="50"/>
        <v>4.3635121951219515</v>
      </c>
      <c r="AE141" s="2583" t="s">
        <v>418</v>
      </c>
      <c r="AF141" s="1287"/>
      <c r="AG141" s="1287"/>
      <c r="AH141" s="1287"/>
      <c r="AI141" s="1287"/>
      <c r="AJ141" s="1287"/>
      <c r="AK141" s="1287"/>
      <c r="AL141" s="1287"/>
      <c r="AM141" s="1287"/>
      <c r="AN141" s="1287"/>
      <c r="AO141" s="1287"/>
      <c r="AP141" s="1287"/>
      <c r="AQ141" s="1287"/>
      <c r="AR141" s="1287"/>
      <c r="AS141" s="1287"/>
      <c r="AT141" s="1287"/>
      <c r="AU141" s="1287"/>
      <c r="AV141" s="1287"/>
      <c r="AW141" s="1287"/>
      <c r="AX141" s="1287"/>
      <c r="AY141" s="1287"/>
      <c r="AZ141" s="1287"/>
      <c r="BA141" s="1287"/>
      <c r="BB141" s="1287"/>
    </row>
    <row r="142" spans="1:69" ht="68.25" customHeight="1">
      <c r="A142" s="437"/>
      <c r="B142" s="421"/>
      <c r="C142" s="437">
        <v>5</v>
      </c>
      <c r="D142" s="1404" t="s">
        <v>25</v>
      </c>
      <c r="E142" s="1404" t="s">
        <v>38</v>
      </c>
      <c r="F142" s="437"/>
      <c r="G142" s="437"/>
      <c r="H142" s="1405"/>
      <c r="I142" s="422" t="s">
        <v>427</v>
      </c>
      <c r="J142" s="421" t="s">
        <v>2555</v>
      </c>
      <c r="K142" s="1388">
        <v>10</v>
      </c>
      <c r="L142" s="1388">
        <v>50000000</v>
      </c>
      <c r="M142" s="1389">
        <v>5</v>
      </c>
      <c r="N142" s="1389">
        <f>26880000+'[1]RKPD 2017'!O144</f>
        <v>26880000</v>
      </c>
      <c r="O142" s="1388">
        <v>0</v>
      </c>
      <c r="P142" s="1388">
        <v>0</v>
      </c>
      <c r="Q142" s="1389">
        <v>0</v>
      </c>
      <c r="R142" s="453">
        <v>0</v>
      </c>
      <c r="S142" s="424"/>
      <c r="T142" s="423">
        <v>0</v>
      </c>
      <c r="U142" s="421"/>
      <c r="V142" s="423">
        <v>0</v>
      </c>
      <c r="W142" s="421">
        <v>0</v>
      </c>
      <c r="X142" s="423">
        <v>0</v>
      </c>
      <c r="Y142" s="1369">
        <f t="shared" si="45"/>
        <v>0</v>
      </c>
      <c r="Z142" s="1382">
        <f t="shared" si="46"/>
        <v>0</v>
      </c>
      <c r="AA142" s="1369">
        <f t="shared" si="47"/>
        <v>5</v>
      </c>
      <c r="AB142" s="1382">
        <f t="shared" si="48"/>
        <v>26880000</v>
      </c>
      <c r="AC142" s="1369">
        <f t="shared" si="49"/>
        <v>50</v>
      </c>
      <c r="AD142" s="1369">
        <f t="shared" si="50"/>
        <v>53.76</v>
      </c>
      <c r="AE142" s="2584"/>
    </row>
    <row r="143" spans="1:69" ht="84.75" customHeight="1">
      <c r="A143" s="437"/>
      <c r="B143" s="421"/>
      <c r="C143" s="437">
        <v>1</v>
      </c>
      <c r="D143" s="1404" t="s">
        <v>25</v>
      </c>
      <c r="E143" s="1404" t="s">
        <v>28</v>
      </c>
      <c r="F143" s="1404" t="s">
        <v>38</v>
      </c>
      <c r="G143" s="1404"/>
      <c r="H143" s="1405"/>
      <c r="I143" s="422" t="s">
        <v>428</v>
      </c>
      <c r="J143" s="421" t="s">
        <v>2556</v>
      </c>
      <c r="K143" s="1388">
        <v>100</v>
      </c>
      <c r="L143" s="453">
        <v>605000000</v>
      </c>
      <c r="M143" s="1388">
        <v>0</v>
      </c>
      <c r="N143" s="453">
        <v>0</v>
      </c>
      <c r="O143" s="1388">
        <v>17</v>
      </c>
      <c r="P143" s="453">
        <v>64733800</v>
      </c>
      <c r="Q143" s="1389">
        <v>2</v>
      </c>
      <c r="R143" s="453">
        <v>6465000</v>
      </c>
      <c r="S143" s="424"/>
      <c r="T143" s="423">
        <v>11381000</v>
      </c>
      <c r="U143" s="424"/>
      <c r="V143" s="423">
        <v>0</v>
      </c>
      <c r="W143" s="421"/>
      <c r="X143" s="423"/>
      <c r="Y143" s="1369">
        <f t="shared" si="45"/>
        <v>2</v>
      </c>
      <c r="Z143" s="1382">
        <f t="shared" si="46"/>
        <v>17846000</v>
      </c>
      <c r="AA143" s="1369">
        <f t="shared" si="47"/>
        <v>2</v>
      </c>
      <c r="AB143" s="1382">
        <f t="shared" si="48"/>
        <v>17846000</v>
      </c>
      <c r="AC143" s="1369">
        <f t="shared" si="49"/>
        <v>2</v>
      </c>
      <c r="AD143" s="1369">
        <f t="shared" si="50"/>
        <v>2.9497520661157024</v>
      </c>
      <c r="AE143" s="2584"/>
    </row>
    <row r="144" spans="1:69" s="1346" customFormat="1" ht="99">
      <c r="A144" s="1402">
        <v>4</v>
      </c>
      <c r="B144" s="440"/>
      <c r="C144" s="1398">
        <v>1</v>
      </c>
      <c r="D144" s="1402" t="s">
        <v>25</v>
      </c>
      <c r="E144" s="1402" t="s">
        <v>28</v>
      </c>
      <c r="F144" s="1402" t="s">
        <v>45</v>
      </c>
      <c r="G144" s="1402"/>
      <c r="H144" s="1407"/>
      <c r="I144" s="440" t="s">
        <v>429</v>
      </c>
      <c r="J144" s="186" t="s">
        <v>430</v>
      </c>
      <c r="K144" s="1387">
        <v>95</v>
      </c>
      <c r="L144" s="911">
        <v>35672637500</v>
      </c>
      <c r="M144" s="1387">
        <v>83</v>
      </c>
      <c r="N144" s="1356">
        <f>4207055720+'[1]RKPD 2017'!O149</f>
        <v>4207055720</v>
      </c>
      <c r="O144" s="1387">
        <v>85</v>
      </c>
      <c r="P144" s="1356">
        <f>SUM(P145:P147)</f>
        <v>4284783029.9499998</v>
      </c>
      <c r="Q144" s="1387">
        <f>SUM(Q145:Q148)/4</f>
        <v>1.5042499999999999</v>
      </c>
      <c r="R144" s="1397">
        <f>SUM(R145:R148)</f>
        <v>7565000</v>
      </c>
      <c r="S144" s="1365"/>
      <c r="T144" s="1365">
        <f>SUM(T145:T148)</f>
        <v>12208100</v>
      </c>
      <c r="U144" s="1365"/>
      <c r="V144" s="1365">
        <f>SUM(V145:V148)</f>
        <v>0</v>
      </c>
      <c r="W144" s="1365">
        <v>0</v>
      </c>
      <c r="X144" s="1365">
        <f>SUM(X145:X148)</f>
        <v>0</v>
      </c>
      <c r="Y144" s="1367">
        <f t="shared" si="45"/>
        <v>1.5042499999999999</v>
      </c>
      <c r="Z144" s="1399">
        <f t="shared" si="46"/>
        <v>19773100</v>
      </c>
      <c r="AA144" s="1375">
        <f t="shared" si="47"/>
        <v>84.504249999999999</v>
      </c>
      <c r="AB144" s="1399">
        <f t="shared" si="48"/>
        <v>4226828820</v>
      </c>
      <c r="AC144" s="1395">
        <f t="shared" si="49"/>
        <v>88.951842105263154</v>
      </c>
      <c r="AD144" s="1375">
        <f t="shared" si="50"/>
        <v>11.848938335439874</v>
      </c>
      <c r="AE144" s="2583" t="s">
        <v>418</v>
      </c>
      <c r="AF144" s="1345"/>
      <c r="AG144" s="1345"/>
      <c r="AH144" s="1345"/>
      <c r="AI144" s="1345"/>
      <c r="AJ144" s="1345"/>
      <c r="AK144" s="1345"/>
      <c r="AL144" s="1345"/>
      <c r="AM144" s="1345"/>
      <c r="AN144" s="1345"/>
      <c r="AO144" s="1345"/>
      <c r="AP144" s="1345"/>
      <c r="AQ144" s="1345"/>
      <c r="AR144" s="1345"/>
      <c r="AS144" s="1345"/>
      <c r="AT144" s="1345"/>
      <c r="AU144" s="1345"/>
      <c r="AV144" s="1345"/>
      <c r="AW144" s="1345"/>
      <c r="AX144" s="1345"/>
      <c r="AY144" s="1345"/>
      <c r="AZ144" s="1345"/>
      <c r="BA144" s="1345"/>
      <c r="BB144" s="1345"/>
    </row>
    <row r="145" spans="1:70" ht="82.5">
      <c r="A145" s="437"/>
      <c r="B145" s="1348"/>
      <c r="C145" s="437">
        <v>1</v>
      </c>
      <c r="D145" s="1404" t="s">
        <v>25</v>
      </c>
      <c r="E145" s="1404" t="s">
        <v>28</v>
      </c>
      <c r="F145" s="1404" t="s">
        <v>45</v>
      </c>
      <c r="G145" s="1404"/>
      <c r="H145" s="1408"/>
      <c r="I145" s="1400" t="s">
        <v>431</v>
      </c>
      <c r="J145" s="429" t="s">
        <v>432</v>
      </c>
      <c r="K145" s="1388">
        <v>95</v>
      </c>
      <c r="L145" s="453">
        <v>32991000000</v>
      </c>
      <c r="M145" s="1388">
        <v>32</v>
      </c>
      <c r="N145" s="453">
        <f>3866872870+'[1]RKPD 2017'!O150</f>
        <v>3866872870</v>
      </c>
      <c r="O145" s="1388">
        <v>16</v>
      </c>
      <c r="P145" s="453">
        <v>4073363000</v>
      </c>
      <c r="Q145" s="1389">
        <v>2</v>
      </c>
      <c r="R145" s="460">
        <v>0</v>
      </c>
      <c r="S145" s="1363">
        <v>0</v>
      </c>
      <c r="T145" s="1363">
        <v>0</v>
      </c>
      <c r="U145" s="1363"/>
      <c r="V145" s="1363">
        <v>0</v>
      </c>
      <c r="W145" s="1363">
        <v>0</v>
      </c>
      <c r="X145" s="1363">
        <v>0</v>
      </c>
      <c r="Y145" s="1369">
        <f t="shared" si="45"/>
        <v>2</v>
      </c>
      <c r="Z145" s="1382">
        <f t="shared" si="46"/>
        <v>0</v>
      </c>
      <c r="AA145" s="1369">
        <f t="shared" si="47"/>
        <v>34</v>
      </c>
      <c r="AB145" s="1382">
        <f t="shared" si="48"/>
        <v>3866872870</v>
      </c>
      <c r="AC145" s="1371">
        <f t="shared" si="49"/>
        <v>35.789473684210527</v>
      </c>
      <c r="AD145" s="1372">
        <f t="shared" si="50"/>
        <v>11.720993210269468</v>
      </c>
      <c r="AE145" s="2584"/>
      <c r="AF145" s="201"/>
      <c r="AG145" s="201"/>
      <c r="AH145" s="201"/>
      <c r="AI145" s="201"/>
      <c r="AJ145" s="201"/>
      <c r="AK145" s="201"/>
      <c r="AL145" s="201"/>
      <c r="AM145" s="201"/>
      <c r="AN145" s="201"/>
      <c r="AO145" s="201"/>
      <c r="AP145" s="201"/>
      <c r="AQ145" s="201"/>
      <c r="AR145" s="201"/>
      <c r="AS145" s="201"/>
      <c r="AT145" s="201"/>
      <c r="AU145" s="201"/>
      <c r="AV145" s="201"/>
      <c r="AW145" s="201"/>
      <c r="AX145" s="201"/>
      <c r="AY145" s="201"/>
      <c r="AZ145" s="201"/>
      <c r="BA145" s="201"/>
      <c r="BB145" s="201"/>
      <c r="BC145" s="20"/>
      <c r="BD145" s="20"/>
      <c r="BE145" s="20"/>
      <c r="BF145" s="20"/>
      <c r="BG145" s="20"/>
      <c r="BH145" s="20"/>
      <c r="BI145" s="20"/>
      <c r="BJ145" s="20"/>
      <c r="BK145" s="20"/>
      <c r="BL145" s="20"/>
      <c r="BM145" s="20"/>
      <c r="BN145" s="20"/>
      <c r="BO145" s="20"/>
      <c r="BP145" s="20"/>
      <c r="BQ145" s="20"/>
    </row>
    <row r="146" spans="1:70" ht="66">
      <c r="A146" s="437"/>
      <c r="B146" s="1348"/>
      <c r="C146" s="437">
        <v>1</v>
      </c>
      <c r="D146" s="1404" t="s">
        <v>25</v>
      </c>
      <c r="E146" s="1404" t="s">
        <v>28</v>
      </c>
      <c r="F146" s="437">
        <v>15</v>
      </c>
      <c r="G146" s="437"/>
      <c r="H146" s="1408"/>
      <c r="I146" s="1400" t="s">
        <v>433</v>
      </c>
      <c r="J146" s="429" t="s">
        <v>434</v>
      </c>
      <c r="K146" s="1388">
        <v>90</v>
      </c>
      <c r="L146" s="453">
        <v>2186637500</v>
      </c>
      <c r="M146" s="1388">
        <v>30</v>
      </c>
      <c r="N146" s="453">
        <f>260755750+'[1]RKPD 2017'!O151</f>
        <v>260755750</v>
      </c>
      <c r="O146" s="1388">
        <v>15</v>
      </c>
      <c r="P146" s="462">
        <v>194620029.94999999</v>
      </c>
      <c r="Q146" s="1389">
        <v>4</v>
      </c>
      <c r="R146" s="463">
        <v>7565000</v>
      </c>
      <c r="S146" s="1363">
        <v>0.02</v>
      </c>
      <c r="T146" s="1363">
        <v>10408100</v>
      </c>
      <c r="U146" s="1363"/>
      <c r="V146" s="1363">
        <v>0</v>
      </c>
      <c r="W146" s="1363">
        <v>0</v>
      </c>
      <c r="X146" s="1363">
        <v>0</v>
      </c>
      <c r="Y146" s="1373">
        <f t="shared" si="45"/>
        <v>4.0199999999999996</v>
      </c>
      <c r="Z146" s="1382">
        <f t="shared" si="46"/>
        <v>17973100</v>
      </c>
      <c r="AA146" s="1369">
        <f t="shared" si="47"/>
        <v>34.019999999999996</v>
      </c>
      <c r="AB146" s="1382">
        <f t="shared" si="48"/>
        <v>278728850</v>
      </c>
      <c r="AC146" s="1371">
        <f t="shared" si="49"/>
        <v>37.799999999999997</v>
      </c>
      <c r="AD146" s="1372">
        <f t="shared" si="50"/>
        <v>12.746916212678142</v>
      </c>
      <c r="AE146" s="2584"/>
    </row>
    <row r="147" spans="1:70" ht="49.5">
      <c r="A147" s="437"/>
      <c r="B147" s="1348"/>
      <c r="C147" s="437">
        <v>1</v>
      </c>
      <c r="D147" s="1404" t="s">
        <v>25</v>
      </c>
      <c r="E147" s="1404" t="s">
        <v>28</v>
      </c>
      <c r="F147" s="437">
        <v>15</v>
      </c>
      <c r="G147" s="437"/>
      <c r="H147" s="1408"/>
      <c r="I147" s="1400" t="s">
        <v>2557</v>
      </c>
      <c r="J147" s="429" t="s">
        <v>2558</v>
      </c>
      <c r="K147" s="1388">
        <v>6</v>
      </c>
      <c r="L147" s="453">
        <v>495000000</v>
      </c>
      <c r="M147" s="1388">
        <v>3</v>
      </c>
      <c r="N147" s="453">
        <f>41149850+'[1]RKPD 2017'!O152</f>
        <v>41149850</v>
      </c>
      <c r="O147" s="1388">
        <v>1</v>
      </c>
      <c r="P147" s="453">
        <v>16800000</v>
      </c>
      <c r="Q147" s="1389">
        <v>5.0000000000000001E-3</v>
      </c>
      <c r="R147" s="463">
        <v>0</v>
      </c>
      <c r="S147" s="1363">
        <v>0.04</v>
      </c>
      <c r="T147" s="1363">
        <v>1800000</v>
      </c>
      <c r="U147" s="1363"/>
      <c r="V147" s="1363">
        <v>0</v>
      </c>
      <c r="W147" s="1363">
        <v>0</v>
      </c>
      <c r="X147" s="1363">
        <v>0</v>
      </c>
      <c r="Y147" s="1373">
        <f t="shared" si="45"/>
        <v>4.4999999999999998E-2</v>
      </c>
      <c r="Z147" s="1382">
        <f t="shared" si="46"/>
        <v>1800000</v>
      </c>
      <c r="AA147" s="1369">
        <f t="shared" si="47"/>
        <v>3.0449999999999999</v>
      </c>
      <c r="AB147" s="1382">
        <f t="shared" si="48"/>
        <v>42949850</v>
      </c>
      <c r="AC147" s="1371">
        <f t="shared" si="49"/>
        <v>50.749999999999993</v>
      </c>
      <c r="AD147" s="1372">
        <f t="shared" si="50"/>
        <v>8.6767373737373745</v>
      </c>
      <c r="AE147" s="2584"/>
    </row>
    <row r="148" spans="1:70" ht="82.5">
      <c r="A148" s="437"/>
      <c r="B148" s="421"/>
      <c r="C148" s="437">
        <v>1</v>
      </c>
      <c r="D148" s="1404" t="s">
        <v>25</v>
      </c>
      <c r="E148" s="1404" t="s">
        <v>28</v>
      </c>
      <c r="F148" s="437">
        <v>15</v>
      </c>
      <c r="G148" s="437"/>
      <c r="H148" s="1408"/>
      <c r="I148" s="1400" t="s">
        <v>435</v>
      </c>
      <c r="J148" s="429" t="s">
        <v>2559</v>
      </c>
      <c r="K148" s="1388">
        <v>800</v>
      </c>
      <c r="L148" s="453">
        <f>4*N148</f>
        <v>153109000</v>
      </c>
      <c r="M148" s="1388">
        <v>267</v>
      </c>
      <c r="N148" s="453">
        <v>38277250</v>
      </c>
      <c r="O148" s="1388">
        <v>0</v>
      </c>
      <c r="P148" s="453">
        <v>0</v>
      </c>
      <c r="Q148" s="1389">
        <v>1.2E-2</v>
      </c>
      <c r="R148" s="463">
        <v>0</v>
      </c>
      <c r="S148" s="1363"/>
      <c r="T148" s="1363">
        <v>0</v>
      </c>
      <c r="U148" s="1363"/>
      <c r="V148" s="1363">
        <v>0</v>
      </c>
      <c r="W148" s="1363">
        <v>0</v>
      </c>
      <c r="X148" s="1363">
        <v>0</v>
      </c>
      <c r="Y148" s="1373">
        <f t="shared" si="45"/>
        <v>1.2E-2</v>
      </c>
      <c r="Z148" s="1382">
        <f t="shared" si="46"/>
        <v>0</v>
      </c>
      <c r="AA148" s="1369">
        <f t="shared" si="47"/>
        <v>267.012</v>
      </c>
      <c r="AB148" s="1382">
        <f t="shared" si="48"/>
        <v>38277250</v>
      </c>
      <c r="AC148" s="1371">
        <f t="shared" si="49"/>
        <v>33.3765</v>
      </c>
      <c r="AD148" s="1372">
        <f t="shared" si="50"/>
        <v>25</v>
      </c>
      <c r="AE148" s="2584"/>
    </row>
    <row r="149" spans="1:70" s="1288" customFormat="1" ht="42" customHeight="1">
      <c r="A149" s="1398">
        <v>5</v>
      </c>
      <c r="B149" s="439"/>
      <c r="C149" s="1398">
        <v>1</v>
      </c>
      <c r="D149" s="1402" t="s">
        <v>25</v>
      </c>
      <c r="E149" s="1402" t="s">
        <v>28</v>
      </c>
      <c r="F149" s="1402" t="s">
        <v>42</v>
      </c>
      <c r="G149" s="1402"/>
      <c r="H149" s="1406"/>
      <c r="I149" s="441" t="s">
        <v>436</v>
      </c>
      <c r="J149" s="1401" t="s">
        <v>437</v>
      </c>
      <c r="K149" s="1395">
        <v>2.5</v>
      </c>
      <c r="L149" s="911">
        <v>28845135000</v>
      </c>
      <c r="M149" s="1375">
        <v>2.4</v>
      </c>
      <c r="N149" s="444">
        <f>6500154822+'[1]RKPD 2017'!O155</f>
        <v>6500154822</v>
      </c>
      <c r="O149" s="1395">
        <v>0.05</v>
      </c>
      <c r="P149" s="444">
        <f>SUM(P150:P155)</f>
        <v>17799311280</v>
      </c>
      <c r="Q149" s="1387">
        <v>0</v>
      </c>
      <c r="R149" s="445">
        <f>SUM(R150:R154)</f>
        <v>322404205</v>
      </c>
      <c r="S149" s="1362"/>
      <c r="T149" s="1362">
        <f>SUM(T150:T154)</f>
        <v>2380812245</v>
      </c>
      <c r="U149" s="1362"/>
      <c r="V149" s="1362">
        <f>SUM(V150:V154)</f>
        <v>0</v>
      </c>
      <c r="W149" s="1362">
        <v>0</v>
      </c>
      <c r="X149" s="1362">
        <v>0</v>
      </c>
      <c r="Y149" s="1367">
        <f t="shared" si="45"/>
        <v>0</v>
      </c>
      <c r="Z149" s="1381">
        <f t="shared" si="46"/>
        <v>2703216450</v>
      </c>
      <c r="AA149" s="1375">
        <f t="shared" si="47"/>
        <v>2.4</v>
      </c>
      <c r="AB149" s="1381">
        <f t="shared" si="48"/>
        <v>9203371272</v>
      </c>
      <c r="AC149" s="1395">
        <f t="shared" si="49"/>
        <v>96</v>
      </c>
      <c r="AD149" s="1375">
        <f t="shared" si="50"/>
        <v>31.906147334723862</v>
      </c>
      <c r="AE149" s="2583" t="s">
        <v>418</v>
      </c>
      <c r="AF149" s="1287"/>
      <c r="AG149" s="1287"/>
      <c r="AH149" s="1287"/>
      <c r="AI149" s="1287"/>
      <c r="AJ149" s="1287"/>
      <c r="AK149" s="1287"/>
      <c r="AL149" s="1287"/>
      <c r="AM149" s="1287"/>
      <c r="AN149" s="1287"/>
      <c r="AO149" s="1287"/>
      <c r="AP149" s="1287"/>
      <c r="AQ149" s="1287"/>
      <c r="AR149" s="1287"/>
      <c r="AS149" s="1287"/>
      <c r="AT149" s="1287"/>
      <c r="AU149" s="1287"/>
      <c r="AV149" s="1287"/>
      <c r="AW149" s="1287"/>
      <c r="AX149" s="1287"/>
      <c r="AY149" s="1287"/>
      <c r="AZ149" s="1287"/>
      <c r="BA149" s="1287"/>
      <c r="BB149" s="1287"/>
    </row>
    <row r="150" spans="1:70" ht="70.5" customHeight="1">
      <c r="A150" s="437"/>
      <c r="B150" s="421"/>
      <c r="C150" s="437">
        <v>1</v>
      </c>
      <c r="D150" s="1404" t="s">
        <v>25</v>
      </c>
      <c r="E150" s="1404" t="s">
        <v>28</v>
      </c>
      <c r="F150" s="437">
        <v>16</v>
      </c>
      <c r="G150" s="437"/>
      <c r="H150" s="1409"/>
      <c r="I150" s="435" t="s">
        <v>438</v>
      </c>
      <c r="J150" s="429" t="s">
        <v>2560</v>
      </c>
      <c r="K150" s="1393">
        <v>95</v>
      </c>
      <c r="L150" s="453">
        <v>1537500000</v>
      </c>
      <c r="M150" s="1388">
        <v>48</v>
      </c>
      <c r="N150" s="453">
        <f>125121972+'[1]RKPD 2017'!O156</f>
        <v>125121972</v>
      </c>
      <c r="O150" s="1389">
        <v>16</v>
      </c>
      <c r="P150" s="453">
        <v>119564082</v>
      </c>
      <c r="Q150" s="1392">
        <v>3</v>
      </c>
      <c r="R150" s="2626">
        <v>3435000</v>
      </c>
      <c r="S150" s="2634">
        <v>0.02</v>
      </c>
      <c r="T150" s="2629">
        <v>2229100</v>
      </c>
      <c r="U150" s="1363"/>
      <c r="V150" s="1363">
        <v>0</v>
      </c>
      <c r="W150" s="1363">
        <v>0</v>
      </c>
      <c r="X150" s="1363">
        <v>0</v>
      </c>
      <c r="Y150" s="1371">
        <f t="shared" si="45"/>
        <v>3.02</v>
      </c>
      <c r="Z150" s="1382">
        <f t="shared" si="46"/>
        <v>5664100</v>
      </c>
      <c r="AA150" s="1372">
        <f t="shared" si="47"/>
        <v>51.02</v>
      </c>
      <c r="AB150" s="1382">
        <f t="shared" si="48"/>
        <v>130786072</v>
      </c>
      <c r="AC150" s="1371">
        <f t="shared" si="49"/>
        <v>53.705263157894748</v>
      </c>
      <c r="AD150" s="1372">
        <f t="shared" si="50"/>
        <v>8.5064111869918708</v>
      </c>
      <c r="AE150" s="2584"/>
    </row>
    <row r="151" spans="1:70" ht="115.5">
      <c r="A151" s="437"/>
      <c r="B151" s="421"/>
      <c r="C151" s="437">
        <v>1</v>
      </c>
      <c r="D151" s="1404" t="s">
        <v>25</v>
      </c>
      <c r="E151" s="1404" t="s">
        <v>28</v>
      </c>
      <c r="F151" s="437">
        <v>16</v>
      </c>
      <c r="G151" s="437"/>
      <c r="H151" s="1409"/>
      <c r="I151" s="435" t="s">
        <v>439</v>
      </c>
      <c r="J151" s="429" t="s">
        <v>2561</v>
      </c>
      <c r="K151" s="1388">
        <v>95</v>
      </c>
      <c r="L151" s="453">
        <v>4817385000</v>
      </c>
      <c r="M151" s="1388">
        <v>48</v>
      </c>
      <c r="N151" s="453">
        <f>743873200+'[1]RKPD 2017'!O157</f>
        <v>743873200</v>
      </c>
      <c r="O151" s="1389">
        <v>16</v>
      </c>
      <c r="P151" s="453">
        <v>2267459397</v>
      </c>
      <c r="Q151" s="1392">
        <v>2.5</v>
      </c>
      <c r="R151" s="2626">
        <v>200060555</v>
      </c>
      <c r="S151" s="2635">
        <v>0.02</v>
      </c>
      <c r="T151" s="2629">
        <v>435025259</v>
      </c>
      <c r="U151" s="1363"/>
      <c r="V151" s="1363">
        <v>0</v>
      </c>
      <c r="W151" s="1363">
        <v>0</v>
      </c>
      <c r="X151" s="1363">
        <v>0</v>
      </c>
      <c r="Y151" s="1371">
        <f t="shared" si="45"/>
        <v>2.52</v>
      </c>
      <c r="Z151" s="1382">
        <f t="shared" si="46"/>
        <v>635085814</v>
      </c>
      <c r="AA151" s="1372">
        <f t="shared" si="47"/>
        <v>50.52</v>
      </c>
      <c r="AB151" s="1382">
        <f t="shared" si="48"/>
        <v>1378959014</v>
      </c>
      <c r="AC151" s="1371">
        <f t="shared" si="49"/>
        <v>53.178947368421056</v>
      </c>
      <c r="AD151" s="1372">
        <f t="shared" si="50"/>
        <v>28.624637931159747</v>
      </c>
      <c r="AE151" s="2584"/>
      <c r="AF151" s="201"/>
      <c r="AG151" s="201"/>
      <c r="AH151" s="201"/>
      <c r="AI151" s="201"/>
      <c r="AJ151" s="201"/>
      <c r="AK151" s="201"/>
      <c r="AL151" s="201"/>
      <c r="AM151" s="201"/>
      <c r="AN151" s="201"/>
      <c r="AO151" s="201"/>
      <c r="AP151" s="201"/>
      <c r="AQ151" s="201"/>
      <c r="AR151" s="201"/>
      <c r="AS151" s="201"/>
      <c r="AT151" s="201"/>
      <c r="AU151" s="201"/>
      <c r="AV151" s="201"/>
      <c r="AW151" s="201"/>
      <c r="AX151" s="201"/>
      <c r="AY151" s="201"/>
      <c r="AZ151" s="201"/>
      <c r="BA151" s="201"/>
      <c r="BB151" s="201"/>
      <c r="BC151" s="20"/>
      <c r="BD151" s="20"/>
      <c r="BE151" s="20"/>
      <c r="BF151" s="20"/>
      <c r="BG151" s="20"/>
      <c r="BH151" s="20"/>
      <c r="BI151" s="20"/>
      <c r="BJ151" s="20"/>
      <c r="BK151" s="20"/>
      <c r="BL151" s="20"/>
      <c r="BM151" s="20"/>
      <c r="BN151" s="20"/>
      <c r="BO151" s="20"/>
      <c r="BP151" s="20"/>
      <c r="BQ151" s="20"/>
    </row>
    <row r="152" spans="1:70" ht="66">
      <c r="A152" s="437"/>
      <c r="B152" s="421"/>
      <c r="C152" s="437">
        <v>1</v>
      </c>
      <c r="D152" s="1404" t="s">
        <v>25</v>
      </c>
      <c r="E152" s="1404" t="s">
        <v>28</v>
      </c>
      <c r="F152" s="437">
        <v>16</v>
      </c>
      <c r="G152" s="437"/>
      <c r="H152" s="1409"/>
      <c r="I152" s="435" t="s">
        <v>440</v>
      </c>
      <c r="J152" s="429" t="s">
        <v>441</v>
      </c>
      <c r="K152" s="456">
        <v>0.95</v>
      </c>
      <c r="L152" s="453">
        <v>21750000000</v>
      </c>
      <c r="M152" s="461">
        <f t="shared" ref="M152" si="52">(K152/6)*2</f>
        <v>0.31666666666666665</v>
      </c>
      <c r="N152" s="453">
        <f>5562727550+'[1]RKPD 2017'!O158</f>
        <v>5562727550</v>
      </c>
      <c r="O152" s="458">
        <v>0.16</v>
      </c>
      <c r="P152" s="453">
        <v>14970171000</v>
      </c>
      <c r="Q152" s="459">
        <v>5.0000000000000001E-3</v>
      </c>
      <c r="R152" s="2626">
        <v>113787000</v>
      </c>
      <c r="S152" s="2635">
        <v>0.04</v>
      </c>
      <c r="T152" s="2629">
        <v>1930494000</v>
      </c>
      <c r="U152" s="1363"/>
      <c r="V152" s="1363">
        <v>0</v>
      </c>
      <c r="W152" s="1363">
        <v>0</v>
      </c>
      <c r="X152" s="1363">
        <v>0</v>
      </c>
      <c r="Y152" s="1371">
        <f t="shared" si="45"/>
        <v>4.4999999999999998E-2</v>
      </c>
      <c r="Z152" s="1382">
        <f t="shared" si="46"/>
        <v>2044281000</v>
      </c>
      <c r="AA152" s="1372">
        <f t="shared" si="47"/>
        <v>0.36166666666666664</v>
      </c>
      <c r="AB152" s="1382">
        <f t="shared" si="48"/>
        <v>7607008550</v>
      </c>
      <c r="AC152" s="1371">
        <f t="shared" si="49"/>
        <v>38.070175438596486</v>
      </c>
      <c r="AD152" s="1372">
        <f t="shared" si="50"/>
        <v>34.974751954022985</v>
      </c>
      <c r="AE152" s="2584"/>
    </row>
    <row r="153" spans="1:70" ht="99">
      <c r="A153" s="437"/>
      <c r="B153" s="421"/>
      <c r="C153" s="437">
        <v>1</v>
      </c>
      <c r="D153" s="1404" t="s">
        <v>25</v>
      </c>
      <c r="E153" s="1404" t="s">
        <v>28</v>
      </c>
      <c r="F153" s="437">
        <v>16</v>
      </c>
      <c r="G153" s="437"/>
      <c r="H153" s="1409"/>
      <c r="I153" s="435" t="s">
        <v>442</v>
      </c>
      <c r="J153" s="429" t="s">
        <v>2562</v>
      </c>
      <c r="K153" s="1388">
        <v>72</v>
      </c>
      <c r="L153" s="464">
        <v>470000000</v>
      </c>
      <c r="M153" s="1388">
        <v>36</v>
      </c>
      <c r="N153" s="465">
        <f>51355550+'[1]RKPD 2017'!O159</f>
        <v>51355550</v>
      </c>
      <c r="O153" s="1389">
        <v>48</v>
      </c>
      <c r="P153" s="453">
        <v>45843758</v>
      </c>
      <c r="Q153" s="1389">
        <v>3</v>
      </c>
      <c r="R153" s="2626">
        <v>4997250</v>
      </c>
      <c r="S153" s="2636">
        <v>0.03</v>
      </c>
      <c r="T153" s="2630">
        <v>9953636</v>
      </c>
      <c r="U153" s="1364"/>
      <c r="V153" s="1364">
        <v>0</v>
      </c>
      <c r="W153" s="1364">
        <v>0</v>
      </c>
      <c r="X153" s="1364">
        <v>0</v>
      </c>
      <c r="Y153" s="1371">
        <f t="shared" ref="Y153:Y184" si="53">Q153+S153+U153+W153</f>
        <v>3.03</v>
      </c>
      <c r="Z153" s="1382">
        <f t="shared" ref="Z153:Z184" si="54">R153+T153+V153+X153</f>
        <v>14950886</v>
      </c>
      <c r="AA153" s="1372">
        <f t="shared" si="47"/>
        <v>39.03</v>
      </c>
      <c r="AB153" s="1384">
        <f t="shared" si="48"/>
        <v>66306436</v>
      </c>
      <c r="AC153" s="1371">
        <f t="shared" si="49"/>
        <v>54.208333333333336</v>
      </c>
      <c r="AD153" s="1372">
        <f t="shared" si="50"/>
        <v>14.107752340425531</v>
      </c>
      <c r="AE153" s="2585"/>
    </row>
    <row r="154" spans="1:70" ht="82.5">
      <c r="A154" s="437"/>
      <c r="B154" s="421"/>
      <c r="C154" s="437">
        <v>1</v>
      </c>
      <c r="D154" s="1404" t="s">
        <v>25</v>
      </c>
      <c r="E154" s="1404" t="s">
        <v>28</v>
      </c>
      <c r="F154" s="437">
        <v>16</v>
      </c>
      <c r="G154" s="437"/>
      <c r="H154" s="1409"/>
      <c r="I154" s="435" t="s">
        <v>443</v>
      </c>
      <c r="J154" s="429" t="s">
        <v>444</v>
      </c>
      <c r="K154" s="1388">
        <v>100</v>
      </c>
      <c r="L154" s="464">
        <v>270250000</v>
      </c>
      <c r="M154" s="1388">
        <v>33</v>
      </c>
      <c r="N154" s="465">
        <f>17076550+'[1]RKPD 2017'!O160</f>
        <v>17076550</v>
      </c>
      <c r="O154" s="1389">
        <v>16</v>
      </c>
      <c r="P154" s="453">
        <v>26673043</v>
      </c>
      <c r="Q154" s="1389">
        <v>2.1000000000000001E-2</v>
      </c>
      <c r="R154" s="2626">
        <v>124400</v>
      </c>
      <c r="S154" s="2636">
        <v>0.02</v>
      </c>
      <c r="T154" s="2630">
        <v>3110250</v>
      </c>
      <c r="U154" s="1364"/>
      <c r="V154" s="1364">
        <v>0</v>
      </c>
      <c r="W154" s="1364">
        <v>0</v>
      </c>
      <c r="X154" s="1364">
        <v>0</v>
      </c>
      <c r="Y154" s="1371">
        <f t="shared" si="53"/>
        <v>4.1000000000000002E-2</v>
      </c>
      <c r="Z154" s="1382">
        <f t="shared" si="54"/>
        <v>3234650</v>
      </c>
      <c r="AA154" s="1372">
        <f t="shared" si="47"/>
        <v>33.040999999999997</v>
      </c>
      <c r="AB154" s="1384">
        <f t="shared" si="48"/>
        <v>20311200</v>
      </c>
      <c r="AC154" s="1371">
        <f t="shared" si="49"/>
        <v>33.040999999999997</v>
      </c>
      <c r="AD154" s="1372">
        <f t="shared" si="50"/>
        <v>7.5157076780758558</v>
      </c>
      <c r="AE154" s="2586"/>
    </row>
    <row r="155" spans="1:70" ht="38.25" customHeight="1">
      <c r="A155" s="437"/>
      <c r="B155" s="421"/>
      <c r="C155" s="437">
        <v>1</v>
      </c>
      <c r="D155" s="1404" t="s">
        <v>25</v>
      </c>
      <c r="E155" s="1404" t="s">
        <v>28</v>
      </c>
      <c r="F155" s="437">
        <v>16</v>
      </c>
      <c r="G155" s="437"/>
      <c r="H155" s="1409"/>
      <c r="I155" s="1359" t="s">
        <v>445</v>
      </c>
      <c r="J155" s="429" t="s">
        <v>2563</v>
      </c>
      <c r="K155" s="1388">
        <v>36</v>
      </c>
      <c r="L155" s="464">
        <f>3*P155</f>
        <v>1108800000</v>
      </c>
      <c r="M155" s="1388">
        <v>0</v>
      </c>
      <c r="N155" s="465">
        <v>0</v>
      </c>
      <c r="O155" s="1389">
        <v>12</v>
      </c>
      <c r="P155" s="453">
        <v>369600000</v>
      </c>
      <c r="Q155" s="1389">
        <v>3</v>
      </c>
      <c r="R155" s="2626">
        <v>0</v>
      </c>
      <c r="S155" s="2636">
        <v>0</v>
      </c>
      <c r="T155" s="2630">
        <v>0</v>
      </c>
      <c r="U155" s="1364"/>
      <c r="V155" s="1364"/>
      <c r="W155" s="1364"/>
      <c r="X155" s="1364"/>
      <c r="Y155" s="1371">
        <f t="shared" si="53"/>
        <v>3</v>
      </c>
      <c r="Z155" s="1382">
        <f t="shared" si="54"/>
        <v>0</v>
      </c>
      <c r="AA155" s="1372">
        <f t="shared" si="47"/>
        <v>3</v>
      </c>
      <c r="AB155" s="1384">
        <f t="shared" si="48"/>
        <v>0</v>
      </c>
      <c r="AC155" s="1371">
        <f t="shared" si="49"/>
        <v>8.3333333333333321</v>
      </c>
      <c r="AD155" s="1372">
        <f t="shared" si="50"/>
        <v>0</v>
      </c>
      <c r="AE155" s="2586"/>
    </row>
    <row r="156" spans="1:70" s="1315" customFormat="1" ht="49.5">
      <c r="A156" s="1398">
        <v>6</v>
      </c>
      <c r="B156" s="439"/>
      <c r="C156" s="1398">
        <v>1</v>
      </c>
      <c r="D156" s="1402" t="s">
        <v>25</v>
      </c>
      <c r="E156" s="1402" t="s">
        <v>28</v>
      </c>
      <c r="F156" s="1402" t="s">
        <v>47</v>
      </c>
      <c r="G156" s="1402"/>
      <c r="H156" s="1406"/>
      <c r="I156" s="441" t="s">
        <v>2564</v>
      </c>
      <c r="J156" s="1455" t="s">
        <v>2565</v>
      </c>
      <c r="K156" s="1387">
        <v>65</v>
      </c>
      <c r="L156" s="911">
        <v>9800000000</v>
      </c>
      <c r="M156" s="1365">
        <v>50</v>
      </c>
      <c r="N156" s="444">
        <f>SUM(N157:N160)</f>
        <v>568646293</v>
      </c>
      <c r="O156" s="1387">
        <v>5</v>
      </c>
      <c r="P156" s="444">
        <f>SUM(P157:P161)</f>
        <v>593189421</v>
      </c>
      <c r="Q156" s="1387">
        <v>1</v>
      </c>
      <c r="R156" s="2627">
        <f>SUM(R157:R161)</f>
        <v>28151050</v>
      </c>
      <c r="S156" s="1362"/>
      <c r="T156" s="2631">
        <f>SUM(T157:T160)</f>
        <v>125391644</v>
      </c>
      <c r="U156" s="1362"/>
      <c r="V156" s="1362">
        <f>SUM(V157:V160)</f>
        <v>0</v>
      </c>
      <c r="W156" s="1362">
        <v>0</v>
      </c>
      <c r="X156" s="1362">
        <f>SUM(X157:X160)</f>
        <v>0</v>
      </c>
      <c r="Y156" s="1367">
        <f t="shared" si="53"/>
        <v>1</v>
      </c>
      <c r="Z156" s="1381">
        <f t="shared" si="54"/>
        <v>153542694</v>
      </c>
      <c r="AA156" s="1367">
        <f t="shared" si="47"/>
        <v>51</v>
      </c>
      <c r="AB156" s="1381">
        <f t="shared" si="48"/>
        <v>722188987</v>
      </c>
      <c r="AC156" s="1375">
        <f t="shared" si="49"/>
        <v>78.461538461538467</v>
      </c>
      <c r="AD156" s="1375">
        <f t="shared" si="50"/>
        <v>7.3692753775510198</v>
      </c>
      <c r="AE156" s="2583" t="s">
        <v>418</v>
      </c>
      <c r="AF156" s="1345"/>
      <c r="AG156" s="1345"/>
      <c r="AH156" s="1345"/>
      <c r="AI156" s="1345"/>
      <c r="AJ156" s="1345"/>
      <c r="AK156" s="1345"/>
      <c r="AL156" s="1345"/>
      <c r="AM156" s="1345"/>
      <c r="AN156" s="1345"/>
      <c r="AO156" s="1345"/>
      <c r="AP156" s="1345"/>
      <c r="AQ156" s="1345"/>
      <c r="AR156" s="1345"/>
      <c r="AS156" s="1345"/>
      <c r="AT156" s="1345"/>
      <c r="AU156" s="1345"/>
      <c r="AV156" s="1345"/>
      <c r="AW156" s="1345"/>
      <c r="AX156" s="1345"/>
      <c r="AY156" s="1345"/>
      <c r="AZ156" s="1345"/>
      <c r="BA156" s="1345"/>
      <c r="BB156" s="1345"/>
      <c r="BC156" s="1346"/>
      <c r="BD156" s="1346"/>
      <c r="BE156" s="1346"/>
      <c r="BF156" s="1346"/>
      <c r="BG156" s="1346"/>
      <c r="BH156" s="1346"/>
      <c r="BI156" s="1346"/>
      <c r="BJ156" s="1346"/>
      <c r="BK156" s="1346"/>
      <c r="BL156" s="1346"/>
      <c r="BM156" s="1346"/>
      <c r="BN156" s="1346"/>
      <c r="BO156" s="1346"/>
      <c r="BP156" s="1346"/>
      <c r="BQ156" s="1346"/>
      <c r="BR156" s="1346"/>
    </row>
    <row r="157" spans="1:70" s="22" customFormat="1" ht="68.25" customHeight="1">
      <c r="A157" s="437"/>
      <c r="B157" s="421"/>
      <c r="C157" s="437">
        <v>1</v>
      </c>
      <c r="D157" s="1404" t="s">
        <v>25</v>
      </c>
      <c r="E157" s="1404" t="s">
        <v>28</v>
      </c>
      <c r="F157" s="437">
        <v>19</v>
      </c>
      <c r="G157" s="437"/>
      <c r="H157" s="1409"/>
      <c r="I157" s="435" t="s">
        <v>2566</v>
      </c>
      <c r="J157" s="429" t="s">
        <v>2567</v>
      </c>
      <c r="K157" s="1388">
        <v>6</v>
      </c>
      <c r="L157" s="453">
        <v>2295000000</v>
      </c>
      <c r="M157" s="1388">
        <v>3</v>
      </c>
      <c r="N157" s="453">
        <f>156892800+'[1]RKPD 2017'!O163</f>
        <v>156892800</v>
      </c>
      <c r="O157" s="1389">
        <v>1</v>
      </c>
      <c r="P157" s="453">
        <v>149042720</v>
      </c>
      <c r="Q157" s="1389">
        <v>1.4999999999999999E-2</v>
      </c>
      <c r="R157" s="2626">
        <v>10661500</v>
      </c>
      <c r="S157" s="2635">
        <v>0.03</v>
      </c>
      <c r="T157" s="2629">
        <v>30874500</v>
      </c>
      <c r="U157" s="1363"/>
      <c r="V157" s="1363">
        <v>0</v>
      </c>
      <c r="W157" s="1363">
        <v>0</v>
      </c>
      <c r="X157" s="1363">
        <v>0</v>
      </c>
      <c r="Y157" s="1369">
        <f t="shared" si="53"/>
        <v>4.4999999999999998E-2</v>
      </c>
      <c r="Z157" s="1382">
        <f t="shared" si="54"/>
        <v>41536000</v>
      </c>
      <c r="AA157" s="1369">
        <f t="shared" si="47"/>
        <v>3.0449999999999999</v>
      </c>
      <c r="AB157" s="1382">
        <f t="shared" si="48"/>
        <v>198428800</v>
      </c>
      <c r="AC157" s="1372">
        <f t="shared" si="49"/>
        <v>50.749999999999993</v>
      </c>
      <c r="AD157" s="1372">
        <f t="shared" si="50"/>
        <v>8.6461350762527225</v>
      </c>
      <c r="AE157" s="2584"/>
      <c r="AF157" s="201"/>
      <c r="AG157" s="201"/>
      <c r="AH157" s="201"/>
      <c r="AI157" s="201"/>
      <c r="AJ157" s="201"/>
      <c r="AK157" s="201"/>
      <c r="AL157" s="201"/>
      <c r="AM157" s="201"/>
      <c r="AN157" s="201"/>
      <c r="AO157" s="201"/>
      <c r="AP157" s="201"/>
      <c r="AQ157" s="201"/>
      <c r="AR157" s="201"/>
      <c r="AS157" s="201"/>
      <c r="AT157" s="201"/>
      <c r="AU157" s="201"/>
      <c r="AV157" s="201"/>
      <c r="AW157" s="201"/>
      <c r="AX157" s="201"/>
      <c r="AY157" s="201"/>
      <c r="AZ157" s="201"/>
      <c r="BA157" s="201"/>
      <c r="BB157" s="201"/>
      <c r="BC157" s="20"/>
      <c r="BD157" s="20"/>
      <c r="BE157" s="20"/>
      <c r="BF157" s="20"/>
      <c r="BG157" s="20"/>
      <c r="BH157" s="20"/>
      <c r="BI157" s="20"/>
      <c r="BJ157" s="20"/>
      <c r="BK157" s="20"/>
      <c r="BL157" s="20"/>
      <c r="BM157" s="20"/>
      <c r="BN157" s="20"/>
      <c r="BO157" s="20"/>
      <c r="BP157" s="20"/>
      <c r="BQ157" s="20"/>
      <c r="BR157" s="752"/>
    </row>
    <row r="158" spans="1:70" s="22" customFormat="1" ht="49.5">
      <c r="A158" s="437"/>
      <c r="B158" s="421"/>
      <c r="C158" s="437">
        <v>1</v>
      </c>
      <c r="D158" s="1404" t="s">
        <v>25</v>
      </c>
      <c r="E158" s="1404" t="s">
        <v>28</v>
      </c>
      <c r="F158" s="437">
        <v>19</v>
      </c>
      <c r="G158" s="437"/>
      <c r="H158" s="1409"/>
      <c r="I158" s="435" t="s">
        <v>446</v>
      </c>
      <c r="J158" s="429" t="s">
        <v>2568</v>
      </c>
      <c r="K158" s="1388">
        <v>100</v>
      </c>
      <c r="L158" s="453">
        <v>2020000000</v>
      </c>
      <c r="M158" s="1388">
        <v>50</v>
      </c>
      <c r="N158" s="453">
        <f>177333050+'[1]RKPD 2017'!O164</f>
        <v>177333050</v>
      </c>
      <c r="O158" s="1389">
        <v>17</v>
      </c>
      <c r="P158" s="453">
        <v>109808534</v>
      </c>
      <c r="Q158" s="1389">
        <v>2</v>
      </c>
      <c r="R158" s="2626">
        <v>2108500</v>
      </c>
      <c r="S158" s="2635">
        <v>0.02</v>
      </c>
      <c r="T158" s="2629">
        <v>45212000</v>
      </c>
      <c r="U158" s="1363"/>
      <c r="V158" s="1363">
        <v>0</v>
      </c>
      <c r="W158" s="1363">
        <v>0</v>
      </c>
      <c r="X158" s="1363">
        <v>0</v>
      </c>
      <c r="Y158" s="1369">
        <f t="shared" si="53"/>
        <v>2.02</v>
      </c>
      <c r="Z158" s="1382">
        <f t="shared" si="54"/>
        <v>47320500</v>
      </c>
      <c r="AA158" s="1369">
        <f t="shared" si="47"/>
        <v>52.02</v>
      </c>
      <c r="AB158" s="1382">
        <f t="shared" si="48"/>
        <v>224653550</v>
      </c>
      <c r="AC158" s="1372">
        <f t="shared" si="49"/>
        <v>52.019999999999996</v>
      </c>
      <c r="AD158" s="1372">
        <f t="shared" si="50"/>
        <v>11.121462871287129</v>
      </c>
      <c r="AE158" s="2584"/>
      <c r="AF158" s="750"/>
      <c r="AG158" s="750"/>
      <c r="AH158" s="750"/>
      <c r="AI158" s="750"/>
      <c r="AJ158" s="750"/>
      <c r="AK158" s="750"/>
      <c r="AL158" s="750"/>
      <c r="AM158" s="750"/>
      <c r="AN158" s="750"/>
      <c r="AO158" s="750"/>
      <c r="AP158" s="750"/>
      <c r="AQ158" s="750"/>
      <c r="AR158" s="750"/>
      <c r="AS158" s="750"/>
      <c r="AT158" s="750"/>
      <c r="AU158" s="750"/>
      <c r="AV158" s="750"/>
      <c r="AW158" s="750"/>
      <c r="AX158" s="750"/>
      <c r="AY158" s="750"/>
      <c r="AZ158" s="750"/>
      <c r="BA158" s="750"/>
      <c r="BB158" s="750"/>
      <c r="BC158" s="752"/>
      <c r="BD158" s="752"/>
      <c r="BE158" s="752"/>
      <c r="BF158" s="752"/>
      <c r="BG158" s="752"/>
      <c r="BH158" s="752"/>
      <c r="BI158" s="752"/>
      <c r="BJ158" s="752"/>
      <c r="BK158" s="752"/>
      <c r="BL158" s="752"/>
      <c r="BM158" s="752"/>
      <c r="BN158" s="752"/>
      <c r="BO158" s="752"/>
      <c r="BP158" s="752"/>
      <c r="BQ158" s="752"/>
      <c r="BR158" s="752"/>
    </row>
    <row r="159" spans="1:70" s="22" customFormat="1" ht="49.5">
      <c r="A159" s="437"/>
      <c r="B159" s="421"/>
      <c r="C159" s="437">
        <v>1</v>
      </c>
      <c r="D159" s="1404" t="s">
        <v>25</v>
      </c>
      <c r="E159" s="1404" t="s">
        <v>28</v>
      </c>
      <c r="F159" s="437">
        <v>19</v>
      </c>
      <c r="G159" s="437"/>
      <c r="H159" s="1409"/>
      <c r="I159" s="435" t="s">
        <v>447</v>
      </c>
      <c r="J159" s="429" t="s">
        <v>2569</v>
      </c>
      <c r="K159" s="1388">
        <v>100</v>
      </c>
      <c r="L159" s="453">
        <v>710000000</v>
      </c>
      <c r="M159" s="1388">
        <v>50</v>
      </c>
      <c r="N159" s="453">
        <v>138379050</v>
      </c>
      <c r="O159" s="1389">
        <v>17</v>
      </c>
      <c r="P159" s="453">
        <v>73850500</v>
      </c>
      <c r="Q159" s="1389">
        <v>2</v>
      </c>
      <c r="R159" s="2626">
        <v>6452750</v>
      </c>
      <c r="S159" s="2635">
        <v>0.03</v>
      </c>
      <c r="T159" s="2629">
        <v>39407744</v>
      </c>
      <c r="U159" s="1363"/>
      <c r="V159" s="1363">
        <v>0</v>
      </c>
      <c r="W159" s="1363">
        <v>0</v>
      </c>
      <c r="X159" s="1363">
        <v>0</v>
      </c>
      <c r="Y159" s="1369">
        <f t="shared" si="53"/>
        <v>2.0299999999999998</v>
      </c>
      <c r="Z159" s="1382">
        <f t="shared" si="54"/>
        <v>45860494</v>
      </c>
      <c r="AA159" s="1369">
        <f t="shared" si="47"/>
        <v>52.03</v>
      </c>
      <c r="AB159" s="1382">
        <f t="shared" si="48"/>
        <v>184239544</v>
      </c>
      <c r="AC159" s="1372">
        <f t="shared" si="49"/>
        <v>52.03</v>
      </c>
      <c r="AD159" s="1372">
        <f t="shared" si="50"/>
        <v>25.949231549295774</v>
      </c>
      <c r="AE159" s="2584"/>
      <c r="AF159" s="750"/>
      <c r="AG159" s="750"/>
      <c r="AH159" s="750"/>
      <c r="AI159" s="750"/>
      <c r="AJ159" s="750"/>
      <c r="AK159" s="750"/>
      <c r="AL159" s="750"/>
      <c r="AM159" s="750"/>
      <c r="AN159" s="750"/>
      <c r="AO159" s="750"/>
      <c r="AP159" s="750"/>
      <c r="AQ159" s="750"/>
      <c r="AR159" s="750"/>
      <c r="AS159" s="750"/>
      <c r="AT159" s="750"/>
      <c r="AU159" s="750"/>
      <c r="AV159" s="750"/>
      <c r="AW159" s="750"/>
      <c r="AX159" s="750"/>
      <c r="AY159" s="750"/>
      <c r="AZ159" s="750"/>
      <c r="BA159" s="750"/>
      <c r="BB159" s="750"/>
      <c r="BC159" s="752"/>
      <c r="BD159" s="752"/>
      <c r="BE159" s="752"/>
      <c r="BF159" s="752"/>
      <c r="BG159" s="752"/>
      <c r="BH159" s="752"/>
      <c r="BI159" s="752"/>
      <c r="BJ159" s="752"/>
      <c r="BK159" s="752"/>
      <c r="BL159" s="752"/>
      <c r="BM159" s="752"/>
      <c r="BN159" s="752"/>
      <c r="BO159" s="752"/>
      <c r="BP159" s="752"/>
      <c r="BQ159" s="752"/>
      <c r="BR159" s="752"/>
    </row>
    <row r="160" spans="1:70" s="22" customFormat="1" ht="66">
      <c r="A160" s="437"/>
      <c r="B160" s="421"/>
      <c r="C160" s="437">
        <v>1</v>
      </c>
      <c r="D160" s="1404" t="s">
        <v>25</v>
      </c>
      <c r="E160" s="1404" t="s">
        <v>28</v>
      </c>
      <c r="F160" s="437">
        <v>19</v>
      </c>
      <c r="G160" s="437"/>
      <c r="H160" s="1409"/>
      <c r="I160" s="435" t="s">
        <v>448</v>
      </c>
      <c r="J160" s="429" t="s">
        <v>2570</v>
      </c>
      <c r="K160" s="1388">
        <v>6</v>
      </c>
      <c r="L160" s="453">
        <v>4775000000</v>
      </c>
      <c r="M160" s="1388">
        <v>3</v>
      </c>
      <c r="N160" s="453">
        <f>96041393+'[1]RKPD 2017'!O166</f>
        <v>96041393</v>
      </c>
      <c r="O160" s="1389">
        <v>1</v>
      </c>
      <c r="P160" s="453">
        <v>110397744</v>
      </c>
      <c r="Q160" s="1389">
        <v>5.0000000000000001E-3</v>
      </c>
      <c r="R160" s="2626">
        <v>6253800</v>
      </c>
      <c r="S160" s="2635">
        <v>0.02</v>
      </c>
      <c r="T160" s="2629">
        <v>9897400</v>
      </c>
      <c r="U160" s="1363"/>
      <c r="V160" s="1363">
        <v>0</v>
      </c>
      <c r="W160" s="1363">
        <v>0</v>
      </c>
      <c r="X160" s="1363">
        <v>0</v>
      </c>
      <c r="Y160" s="1369">
        <f t="shared" si="53"/>
        <v>2.5000000000000001E-2</v>
      </c>
      <c r="Z160" s="1382">
        <f t="shared" si="54"/>
        <v>16151200</v>
      </c>
      <c r="AA160" s="1369">
        <f t="shared" si="47"/>
        <v>3.0249999999999999</v>
      </c>
      <c r="AB160" s="1382">
        <f t="shared" si="48"/>
        <v>112192593</v>
      </c>
      <c r="AC160" s="1372">
        <f t="shared" si="49"/>
        <v>50.416666666666664</v>
      </c>
      <c r="AD160" s="1372">
        <f t="shared" si="50"/>
        <v>2.34958309947644</v>
      </c>
      <c r="AE160" s="2584"/>
      <c r="AF160" s="750"/>
      <c r="AG160" s="750"/>
      <c r="AH160" s="750"/>
      <c r="AI160" s="750"/>
      <c r="AJ160" s="750"/>
      <c r="AK160" s="750"/>
      <c r="AL160" s="750"/>
      <c r="AM160" s="750"/>
      <c r="AN160" s="750"/>
      <c r="AO160" s="750"/>
      <c r="AP160" s="750"/>
      <c r="AQ160" s="750"/>
      <c r="AR160" s="750"/>
      <c r="AS160" s="750"/>
      <c r="AT160" s="750"/>
      <c r="AU160" s="750"/>
      <c r="AV160" s="750"/>
      <c r="AW160" s="750"/>
      <c r="AX160" s="750"/>
      <c r="AY160" s="750"/>
      <c r="AZ160" s="750"/>
      <c r="BA160" s="750"/>
      <c r="BB160" s="750"/>
      <c r="BC160" s="752"/>
      <c r="BD160" s="752"/>
      <c r="BE160" s="752"/>
      <c r="BF160" s="752"/>
      <c r="BG160" s="752"/>
      <c r="BH160" s="752"/>
      <c r="BI160" s="752"/>
      <c r="BJ160" s="752"/>
      <c r="BK160" s="752"/>
      <c r="BL160" s="752"/>
      <c r="BM160" s="752"/>
      <c r="BN160" s="752"/>
      <c r="BO160" s="752"/>
      <c r="BP160" s="752"/>
      <c r="BQ160" s="752"/>
      <c r="BR160" s="752"/>
    </row>
    <row r="161" spans="1:70" s="22" customFormat="1" ht="66">
      <c r="A161" s="437"/>
      <c r="B161" s="421"/>
      <c r="C161" s="437">
        <v>1</v>
      </c>
      <c r="D161" s="1404" t="s">
        <v>25</v>
      </c>
      <c r="E161" s="1404" t="s">
        <v>28</v>
      </c>
      <c r="F161" s="437">
        <v>19</v>
      </c>
      <c r="G161" s="437"/>
      <c r="H161" s="1409"/>
      <c r="I161" s="435" t="s">
        <v>449</v>
      </c>
      <c r="J161" s="429" t="s">
        <v>2571</v>
      </c>
      <c r="K161" s="1388">
        <f>15*3</f>
        <v>45</v>
      </c>
      <c r="L161" s="453">
        <f>3*P161</f>
        <v>450269769</v>
      </c>
      <c r="M161" s="1388">
        <v>0</v>
      </c>
      <c r="N161" s="453">
        <v>0</v>
      </c>
      <c r="O161" s="1389">
        <v>15</v>
      </c>
      <c r="P161" s="453">
        <v>150089923</v>
      </c>
      <c r="Q161" s="1389">
        <v>0</v>
      </c>
      <c r="R161" s="2626">
        <v>2674500</v>
      </c>
      <c r="S161" s="2635">
        <v>0.02</v>
      </c>
      <c r="T161" s="2629">
        <v>16610000</v>
      </c>
      <c r="U161" s="1363"/>
      <c r="V161" s="1363"/>
      <c r="W161" s="1363"/>
      <c r="X161" s="1363"/>
      <c r="Y161" s="1369">
        <f t="shared" si="53"/>
        <v>0.02</v>
      </c>
      <c r="Z161" s="1382">
        <f t="shared" si="54"/>
        <v>19284500</v>
      </c>
      <c r="AA161" s="1369">
        <f t="shared" si="47"/>
        <v>0.02</v>
      </c>
      <c r="AB161" s="1382">
        <f t="shared" si="48"/>
        <v>19284500</v>
      </c>
      <c r="AC161" s="1372">
        <f t="shared" si="49"/>
        <v>4.4444444444444446E-2</v>
      </c>
      <c r="AD161" s="1372">
        <f t="shared" si="50"/>
        <v>4.282876916837826</v>
      </c>
      <c r="AE161" s="2584"/>
      <c r="AF161" s="201"/>
      <c r="AG161" s="201"/>
      <c r="AH161" s="201"/>
      <c r="AI161" s="201"/>
      <c r="AJ161" s="201"/>
      <c r="AK161" s="201"/>
      <c r="AL161" s="201"/>
      <c r="AM161" s="201"/>
      <c r="AN161" s="201"/>
      <c r="AO161" s="201"/>
      <c r="AP161" s="201"/>
      <c r="AQ161" s="201"/>
      <c r="AR161" s="201"/>
      <c r="AS161" s="201"/>
      <c r="AT161" s="201"/>
      <c r="AU161" s="201"/>
      <c r="AV161" s="201"/>
      <c r="AW161" s="201"/>
      <c r="AX161" s="201"/>
      <c r="AY161" s="201"/>
      <c r="AZ161" s="201"/>
      <c r="BA161" s="201"/>
      <c r="BB161" s="201"/>
      <c r="BC161" s="20"/>
      <c r="BD161" s="20"/>
      <c r="BE161" s="20"/>
      <c r="BF161" s="20"/>
      <c r="BG161" s="20"/>
      <c r="BH161" s="20"/>
      <c r="BI161" s="20"/>
      <c r="BJ161" s="20"/>
      <c r="BK161" s="20"/>
      <c r="BL161" s="20"/>
      <c r="BM161" s="20"/>
      <c r="BN161" s="20"/>
      <c r="BO161" s="20"/>
      <c r="BP161" s="20"/>
      <c r="BQ161" s="20"/>
      <c r="BR161" s="752"/>
    </row>
    <row r="162" spans="1:70" s="20" customFormat="1" ht="66">
      <c r="A162" s="1398">
        <v>7</v>
      </c>
      <c r="B162" s="439"/>
      <c r="C162" s="1398">
        <v>1</v>
      </c>
      <c r="D162" s="1402" t="s">
        <v>25</v>
      </c>
      <c r="E162" s="1402" t="s">
        <v>28</v>
      </c>
      <c r="F162" s="1402" t="s">
        <v>54</v>
      </c>
      <c r="G162" s="1402"/>
      <c r="H162" s="1406"/>
      <c r="I162" s="441" t="s">
        <v>450</v>
      </c>
      <c r="J162" s="186" t="s">
        <v>2572</v>
      </c>
      <c r="K162" s="1395">
        <v>6.6</v>
      </c>
      <c r="L162" s="1456">
        <v>2207259000</v>
      </c>
      <c r="M162" s="1375">
        <v>7.5</v>
      </c>
      <c r="N162" s="1356">
        <v>292015450</v>
      </c>
      <c r="O162" s="1395">
        <f>M162-K162</f>
        <v>0.90000000000000036</v>
      </c>
      <c r="P162" s="1356">
        <f>SUM(P163:P165)</f>
        <v>973857871</v>
      </c>
      <c r="Q162" s="1387">
        <v>0</v>
      </c>
      <c r="R162" s="2628">
        <f>SUM(R163:R165)</f>
        <v>16158100</v>
      </c>
      <c r="S162" s="1361">
        <v>1.9E-2</v>
      </c>
      <c r="T162" s="2632">
        <f>SUM(T163:T165)</f>
        <v>22394345</v>
      </c>
      <c r="U162" s="485"/>
      <c r="V162" s="445">
        <f>SUM(V163:V165)</f>
        <v>0</v>
      </c>
      <c r="W162" s="1362">
        <v>0</v>
      </c>
      <c r="X162" s="444">
        <f>SUM(X163:X165)</f>
        <v>0</v>
      </c>
      <c r="Y162" s="1367">
        <f t="shared" si="53"/>
        <v>1.9E-2</v>
      </c>
      <c r="Z162" s="1381">
        <f t="shared" si="54"/>
        <v>38552445</v>
      </c>
      <c r="AA162" s="1367">
        <f>M162-Y162</f>
        <v>7.4809999999999999</v>
      </c>
      <c r="AB162" s="1381">
        <f t="shared" ref="AB162:AB193" si="55">N162+Z162</f>
        <v>330567895</v>
      </c>
      <c r="AC162" s="1375">
        <f>(K162/AA162)*100</f>
        <v>88.223499532148111</v>
      </c>
      <c r="AD162" s="1375">
        <f t="shared" ref="AD162:AD173" si="56">(AB162/L162)*100</f>
        <v>14.976398102805335</v>
      </c>
      <c r="AE162" s="2583" t="s">
        <v>418</v>
      </c>
      <c r="AF162" s="201"/>
      <c r="AG162" s="201"/>
      <c r="AH162" s="201"/>
      <c r="AI162" s="201"/>
      <c r="AJ162" s="201"/>
      <c r="AK162" s="201"/>
      <c r="AL162" s="201"/>
      <c r="AM162" s="201"/>
      <c r="AN162" s="201"/>
      <c r="AO162" s="201"/>
      <c r="AP162" s="201"/>
      <c r="AQ162" s="201"/>
      <c r="AR162" s="201"/>
      <c r="AS162" s="201"/>
      <c r="AT162" s="201"/>
      <c r="AU162" s="201"/>
      <c r="AV162" s="201"/>
      <c r="AW162" s="201"/>
      <c r="AX162" s="201"/>
      <c r="AY162" s="201"/>
      <c r="AZ162" s="201"/>
      <c r="BA162" s="201"/>
      <c r="BB162" s="201"/>
    </row>
    <row r="163" spans="1:70" s="22" customFormat="1" ht="99">
      <c r="A163" s="437"/>
      <c r="B163" s="421"/>
      <c r="C163" s="437">
        <v>1</v>
      </c>
      <c r="D163" s="1404" t="s">
        <v>25</v>
      </c>
      <c r="E163" s="1404" t="s">
        <v>28</v>
      </c>
      <c r="F163" s="1404" t="s">
        <v>54</v>
      </c>
      <c r="G163" s="1404"/>
      <c r="H163" s="1409"/>
      <c r="I163" s="435" t="s">
        <v>451</v>
      </c>
      <c r="J163" s="429" t="s">
        <v>2573</v>
      </c>
      <c r="K163" s="1388">
        <v>100</v>
      </c>
      <c r="L163" s="453">
        <v>1356100000</v>
      </c>
      <c r="M163" s="1388">
        <v>50</v>
      </c>
      <c r="N163" s="453">
        <v>115425000</v>
      </c>
      <c r="O163" s="1388">
        <v>17</v>
      </c>
      <c r="P163" s="453">
        <v>800000000</v>
      </c>
      <c r="Q163" s="1389">
        <v>0</v>
      </c>
      <c r="R163" s="2626">
        <v>642000</v>
      </c>
      <c r="S163" s="424">
        <v>0.02</v>
      </c>
      <c r="T163" s="2633">
        <v>7732495</v>
      </c>
      <c r="U163" s="424"/>
      <c r="V163" s="423">
        <v>0</v>
      </c>
      <c r="W163" s="1363">
        <v>0</v>
      </c>
      <c r="X163" s="423">
        <v>0</v>
      </c>
      <c r="Y163" s="1369">
        <f t="shared" si="53"/>
        <v>0.02</v>
      </c>
      <c r="Z163" s="1382">
        <f t="shared" si="54"/>
        <v>8374495</v>
      </c>
      <c r="AA163" s="1369">
        <f t="shared" ref="AA163:AA204" si="57">M163+Y163</f>
        <v>50.02</v>
      </c>
      <c r="AB163" s="1382">
        <f t="shared" si="55"/>
        <v>123799495</v>
      </c>
      <c r="AC163" s="1372">
        <f t="shared" ref="AC163:AC204" si="58">(AA163/K163)*100</f>
        <v>50.019999999999996</v>
      </c>
      <c r="AD163" s="1372">
        <f t="shared" si="56"/>
        <v>9.1290830322247629</v>
      </c>
      <c r="AE163" s="2584"/>
      <c r="AF163" s="750"/>
      <c r="AG163" s="750"/>
      <c r="AH163" s="750"/>
      <c r="AI163" s="750"/>
      <c r="AJ163" s="750"/>
      <c r="AK163" s="750"/>
      <c r="AL163" s="750"/>
      <c r="AM163" s="750"/>
      <c r="AN163" s="750"/>
      <c r="AO163" s="750"/>
      <c r="AP163" s="750"/>
      <c r="AQ163" s="750"/>
      <c r="AR163" s="750"/>
      <c r="AS163" s="750"/>
      <c r="AT163" s="750"/>
      <c r="AU163" s="750"/>
      <c r="AV163" s="750"/>
      <c r="AW163" s="750"/>
      <c r="AX163" s="750"/>
      <c r="AY163" s="750"/>
      <c r="AZ163" s="750"/>
      <c r="BA163" s="750"/>
      <c r="BB163" s="750"/>
      <c r="BC163" s="752"/>
      <c r="BD163" s="752"/>
      <c r="BE163" s="752"/>
      <c r="BF163" s="752"/>
      <c r="BG163" s="752"/>
      <c r="BH163" s="752"/>
      <c r="BI163" s="752"/>
      <c r="BJ163" s="752"/>
      <c r="BK163" s="752"/>
      <c r="BL163" s="752"/>
      <c r="BM163" s="752"/>
      <c r="BN163" s="752"/>
      <c r="BO163" s="752"/>
      <c r="BP163" s="752"/>
      <c r="BQ163" s="752"/>
      <c r="BR163" s="752"/>
    </row>
    <row r="164" spans="1:70" ht="49.5">
      <c r="A164" s="437"/>
      <c r="B164" s="421"/>
      <c r="C164" s="437">
        <v>1</v>
      </c>
      <c r="D164" s="1404" t="s">
        <v>25</v>
      </c>
      <c r="E164" s="1404" t="s">
        <v>28</v>
      </c>
      <c r="F164" s="1404" t="s">
        <v>54</v>
      </c>
      <c r="G164" s="1404"/>
      <c r="H164" s="1409"/>
      <c r="I164" s="435" t="s">
        <v>452</v>
      </c>
      <c r="J164" s="429" t="s">
        <v>2574</v>
      </c>
      <c r="K164" s="1388">
        <v>72</v>
      </c>
      <c r="L164" s="464">
        <v>424452000</v>
      </c>
      <c r="M164" s="1388">
        <v>36</v>
      </c>
      <c r="N164" s="453">
        <v>71383750</v>
      </c>
      <c r="O164" s="1388">
        <v>12</v>
      </c>
      <c r="P164" s="453">
        <v>96332871</v>
      </c>
      <c r="Q164" s="1388">
        <v>3</v>
      </c>
      <c r="R164" s="2626">
        <v>6561600</v>
      </c>
      <c r="S164" s="424">
        <v>2.3E-2</v>
      </c>
      <c r="T164" s="2633">
        <v>11529850</v>
      </c>
      <c r="U164" s="424"/>
      <c r="V164" s="423">
        <v>0</v>
      </c>
      <c r="W164" s="1363">
        <v>0</v>
      </c>
      <c r="X164" s="423">
        <v>0</v>
      </c>
      <c r="Y164" s="1369">
        <f t="shared" si="53"/>
        <v>3.0230000000000001</v>
      </c>
      <c r="Z164" s="1382">
        <f t="shared" si="54"/>
        <v>18091450</v>
      </c>
      <c r="AA164" s="1369">
        <f t="shared" si="57"/>
        <v>39.023000000000003</v>
      </c>
      <c r="AB164" s="1382">
        <f t="shared" si="55"/>
        <v>89475200</v>
      </c>
      <c r="AC164" s="1372">
        <f t="shared" si="58"/>
        <v>54.19861111111112</v>
      </c>
      <c r="AD164" s="1372">
        <f t="shared" si="56"/>
        <v>21.080169253531615</v>
      </c>
      <c r="AE164" s="2584"/>
    </row>
    <row r="165" spans="1:70" ht="49.5">
      <c r="A165" s="437"/>
      <c r="B165" s="421"/>
      <c r="C165" s="437">
        <v>1</v>
      </c>
      <c r="D165" s="1404" t="s">
        <v>25</v>
      </c>
      <c r="E165" s="1404" t="s">
        <v>28</v>
      </c>
      <c r="F165" s="1404" t="s">
        <v>54</v>
      </c>
      <c r="G165" s="1404"/>
      <c r="H165" s="1409"/>
      <c r="I165" s="435" t="s">
        <v>453</v>
      </c>
      <c r="J165" s="429" t="s">
        <v>2575</v>
      </c>
      <c r="K165" s="1388">
        <v>72</v>
      </c>
      <c r="L165" s="453">
        <v>426707000</v>
      </c>
      <c r="M165" s="1388">
        <v>36</v>
      </c>
      <c r="N165" s="453">
        <v>105206700</v>
      </c>
      <c r="O165" s="1388">
        <v>12</v>
      </c>
      <c r="P165" s="453">
        <v>77525000</v>
      </c>
      <c r="Q165" s="1388">
        <v>3</v>
      </c>
      <c r="R165" s="453">
        <v>8954500</v>
      </c>
      <c r="S165" s="424">
        <v>1.4999999999999999E-2</v>
      </c>
      <c r="T165" s="423">
        <v>3132000</v>
      </c>
      <c r="U165" s="424"/>
      <c r="V165" s="423">
        <v>0</v>
      </c>
      <c r="W165" s="1363">
        <v>0</v>
      </c>
      <c r="X165" s="423">
        <v>0</v>
      </c>
      <c r="Y165" s="1369">
        <f t="shared" si="53"/>
        <v>3.0150000000000001</v>
      </c>
      <c r="Z165" s="1382">
        <f t="shared" si="54"/>
        <v>12086500</v>
      </c>
      <c r="AA165" s="1369">
        <f t="shared" si="57"/>
        <v>39.015000000000001</v>
      </c>
      <c r="AB165" s="1382">
        <f t="shared" si="55"/>
        <v>117293200</v>
      </c>
      <c r="AC165" s="1372">
        <f t="shared" si="58"/>
        <v>54.1875</v>
      </c>
      <c r="AD165" s="1372">
        <f t="shared" si="56"/>
        <v>27.487995275446618</v>
      </c>
      <c r="AE165" s="2584"/>
    </row>
    <row r="166" spans="1:70" s="752" customFormat="1" ht="33">
      <c r="A166" s="1398">
        <v>8</v>
      </c>
      <c r="B166" s="439"/>
      <c r="C166" s="1398">
        <v>1</v>
      </c>
      <c r="D166" s="1402" t="s">
        <v>25</v>
      </c>
      <c r="E166" s="1402" t="s">
        <v>28</v>
      </c>
      <c r="F166" s="1402" t="s">
        <v>35</v>
      </c>
      <c r="G166" s="1402"/>
      <c r="H166" s="1406"/>
      <c r="I166" s="441" t="s">
        <v>454</v>
      </c>
      <c r="J166" s="186" t="s">
        <v>2576</v>
      </c>
      <c r="K166" s="1395">
        <v>97.85</v>
      </c>
      <c r="L166" s="911">
        <v>7067548100</v>
      </c>
      <c r="M166" s="1395">
        <v>43</v>
      </c>
      <c r="N166" s="444">
        <v>761992008</v>
      </c>
      <c r="O166" s="1395">
        <v>26.89</v>
      </c>
      <c r="P166" s="452">
        <f>SUM(P167:P172)</f>
        <v>819467600</v>
      </c>
      <c r="Q166" s="1367">
        <v>4</v>
      </c>
      <c r="R166" s="444">
        <f>SUM(R167:R172)</f>
        <v>48368830</v>
      </c>
      <c r="S166" s="485">
        <v>2.4999999999999998E-2</v>
      </c>
      <c r="T166" s="444">
        <f>SUM(T167:T172)</f>
        <v>97874712</v>
      </c>
      <c r="U166" s="485"/>
      <c r="V166" s="445">
        <f>SUM(V167:V171)</f>
        <v>0</v>
      </c>
      <c r="W166" s="1362">
        <v>0</v>
      </c>
      <c r="X166" s="444">
        <f>SUM(X167:X171)</f>
        <v>0</v>
      </c>
      <c r="Y166" s="1367">
        <f t="shared" si="53"/>
        <v>4.0250000000000004</v>
      </c>
      <c r="Z166" s="1381">
        <f t="shared" si="54"/>
        <v>146243542</v>
      </c>
      <c r="AA166" s="1367">
        <f t="shared" si="57"/>
        <v>47.024999999999999</v>
      </c>
      <c r="AB166" s="1381">
        <f t="shared" si="55"/>
        <v>908235550</v>
      </c>
      <c r="AC166" s="1375">
        <f t="shared" si="58"/>
        <v>48.05825242718447</v>
      </c>
      <c r="AD166" s="1375">
        <f t="shared" si="56"/>
        <v>12.850786965284325</v>
      </c>
      <c r="AE166" s="2583" t="s">
        <v>418</v>
      </c>
      <c r="AF166" s="750"/>
      <c r="AG166" s="750"/>
      <c r="AH166" s="750"/>
      <c r="AI166" s="750"/>
      <c r="AJ166" s="750"/>
      <c r="AK166" s="750"/>
      <c r="AL166" s="750"/>
      <c r="AM166" s="750"/>
      <c r="AN166" s="750"/>
      <c r="AO166" s="750"/>
      <c r="AP166" s="750"/>
      <c r="AQ166" s="750"/>
      <c r="AR166" s="750"/>
      <c r="AS166" s="750"/>
      <c r="AT166" s="750"/>
      <c r="AU166" s="750"/>
      <c r="AV166" s="750"/>
      <c r="AW166" s="750"/>
      <c r="AX166" s="750"/>
      <c r="AY166" s="750"/>
      <c r="AZ166" s="750"/>
      <c r="BA166" s="750"/>
      <c r="BB166" s="750"/>
    </row>
    <row r="167" spans="1:70" ht="66">
      <c r="A167" s="437"/>
      <c r="B167" s="421"/>
      <c r="C167" s="437">
        <v>1</v>
      </c>
      <c r="D167" s="1404" t="s">
        <v>25</v>
      </c>
      <c r="E167" s="1404" t="s">
        <v>28</v>
      </c>
      <c r="F167" s="1404" t="s">
        <v>35</v>
      </c>
      <c r="G167" s="1404"/>
      <c r="H167" s="1409"/>
      <c r="I167" s="435" t="s">
        <v>455</v>
      </c>
      <c r="J167" s="429" t="s">
        <v>2577</v>
      </c>
      <c r="K167" s="1364">
        <v>72</v>
      </c>
      <c r="L167" s="447">
        <v>2098352500</v>
      </c>
      <c r="M167" s="1364">
        <v>36</v>
      </c>
      <c r="N167" s="436">
        <f>422605586+'[1]RKPD 2017'!O174</f>
        <v>422605586</v>
      </c>
      <c r="O167" s="1457">
        <v>12</v>
      </c>
      <c r="P167" s="436">
        <v>381497086</v>
      </c>
      <c r="Q167" s="1363">
        <v>3</v>
      </c>
      <c r="R167" s="423">
        <v>8441500</v>
      </c>
      <c r="S167" s="424">
        <v>2.5000000000000001E-2</v>
      </c>
      <c r="T167" s="423">
        <v>16007973</v>
      </c>
      <c r="U167" s="424"/>
      <c r="V167" s="423">
        <v>0</v>
      </c>
      <c r="W167" s="421">
        <v>0</v>
      </c>
      <c r="X167" s="423">
        <v>0</v>
      </c>
      <c r="Y167" s="1369">
        <f t="shared" si="53"/>
        <v>3.0249999999999999</v>
      </c>
      <c r="Z167" s="1382">
        <f t="shared" si="54"/>
        <v>24449473</v>
      </c>
      <c r="AA167" s="1369">
        <f t="shared" si="57"/>
        <v>39.024999999999999</v>
      </c>
      <c r="AB167" s="1382">
        <f t="shared" si="55"/>
        <v>447055059</v>
      </c>
      <c r="AC167" s="1372">
        <f t="shared" si="58"/>
        <v>54.201388888888893</v>
      </c>
      <c r="AD167" s="1372">
        <f t="shared" si="56"/>
        <v>21.305050462207848</v>
      </c>
      <c r="AE167" s="2584"/>
    </row>
    <row r="168" spans="1:70" ht="53.25" customHeight="1">
      <c r="A168" s="437"/>
      <c r="B168" s="421"/>
      <c r="C168" s="437">
        <v>1</v>
      </c>
      <c r="D168" s="1404" t="s">
        <v>25</v>
      </c>
      <c r="E168" s="1404" t="s">
        <v>28</v>
      </c>
      <c r="F168" s="1404" t="s">
        <v>35</v>
      </c>
      <c r="G168" s="1404"/>
      <c r="H168" s="1409"/>
      <c r="I168" s="435" t="s">
        <v>456</v>
      </c>
      <c r="J168" s="429" t="s">
        <v>2578</v>
      </c>
      <c r="K168" s="1364">
        <v>6</v>
      </c>
      <c r="L168" s="436">
        <v>504948000</v>
      </c>
      <c r="M168" s="1364">
        <v>3</v>
      </c>
      <c r="N168" s="436">
        <f>36850060+'[1]RKPD 2017'!O175</f>
        <v>36850060</v>
      </c>
      <c r="O168" s="1457">
        <v>1</v>
      </c>
      <c r="P168" s="436">
        <v>39332426</v>
      </c>
      <c r="Q168" s="1363">
        <v>4.2000000000000003E-2</v>
      </c>
      <c r="R168" s="423">
        <v>3205750</v>
      </c>
      <c r="S168" s="424">
        <v>0.03</v>
      </c>
      <c r="T168" s="423">
        <v>26778400</v>
      </c>
      <c r="U168" s="424"/>
      <c r="V168" s="423">
        <v>0</v>
      </c>
      <c r="W168" s="421">
        <v>0</v>
      </c>
      <c r="X168" s="423">
        <v>0</v>
      </c>
      <c r="Y168" s="1369">
        <f t="shared" si="53"/>
        <v>7.2000000000000008E-2</v>
      </c>
      <c r="Z168" s="1382">
        <f t="shared" si="54"/>
        <v>29984150</v>
      </c>
      <c r="AA168" s="1369">
        <f t="shared" si="57"/>
        <v>3.0720000000000001</v>
      </c>
      <c r="AB168" s="1382">
        <f t="shared" si="55"/>
        <v>66834210</v>
      </c>
      <c r="AC168" s="1372">
        <f t="shared" si="58"/>
        <v>51.2</v>
      </c>
      <c r="AD168" s="1372">
        <f t="shared" si="56"/>
        <v>13.235859930131419</v>
      </c>
      <c r="AE168" s="2584"/>
    </row>
    <row r="169" spans="1:70" ht="49.5">
      <c r="A169" s="437"/>
      <c r="B169" s="421"/>
      <c r="C169" s="437">
        <v>1</v>
      </c>
      <c r="D169" s="1404" t="s">
        <v>25</v>
      </c>
      <c r="E169" s="1404" t="s">
        <v>28</v>
      </c>
      <c r="F169" s="1404" t="s">
        <v>35</v>
      </c>
      <c r="G169" s="1404"/>
      <c r="H169" s="1409"/>
      <c r="I169" s="435" t="s">
        <v>457</v>
      </c>
      <c r="J169" s="429" t="s">
        <v>2579</v>
      </c>
      <c r="K169" s="1364">
        <v>6</v>
      </c>
      <c r="L169" s="447">
        <v>448869500</v>
      </c>
      <c r="M169" s="1364">
        <v>3</v>
      </c>
      <c r="N169" s="436">
        <f>22881700+'[1]RKPD 2017'!O176</f>
        <v>22881700</v>
      </c>
      <c r="O169" s="1457">
        <v>1</v>
      </c>
      <c r="P169" s="436">
        <v>24407306</v>
      </c>
      <c r="Q169" s="1363">
        <v>3.4000000000000002E-2</v>
      </c>
      <c r="R169" s="423">
        <v>1736950</v>
      </c>
      <c r="S169" s="424">
        <v>0.03</v>
      </c>
      <c r="T169" s="423">
        <v>5338450</v>
      </c>
      <c r="U169" s="424"/>
      <c r="V169" s="423">
        <v>0</v>
      </c>
      <c r="W169" s="421">
        <v>0</v>
      </c>
      <c r="X169" s="423">
        <v>0</v>
      </c>
      <c r="Y169" s="1369">
        <f t="shared" si="53"/>
        <v>6.4000000000000001E-2</v>
      </c>
      <c r="Z169" s="1382">
        <f t="shared" si="54"/>
        <v>7075400</v>
      </c>
      <c r="AA169" s="1369">
        <f t="shared" si="57"/>
        <v>3.0640000000000001</v>
      </c>
      <c r="AB169" s="1382">
        <f t="shared" si="55"/>
        <v>29957100</v>
      </c>
      <c r="AC169" s="1372">
        <f t="shared" si="58"/>
        <v>51.06666666666667</v>
      </c>
      <c r="AD169" s="1372">
        <f t="shared" si="56"/>
        <v>6.6738996523488456</v>
      </c>
      <c r="AE169" s="2584"/>
      <c r="AF169" s="201"/>
      <c r="AG169" s="201"/>
      <c r="AH169" s="201"/>
      <c r="AI169" s="201"/>
      <c r="AJ169" s="201"/>
      <c r="AK169" s="201"/>
      <c r="AL169" s="201"/>
      <c r="AM169" s="201"/>
      <c r="AN169" s="201"/>
      <c r="AO169" s="201"/>
      <c r="AP169" s="201"/>
      <c r="AQ169" s="201"/>
      <c r="AR169" s="201"/>
      <c r="AS169" s="201"/>
      <c r="AT169" s="201"/>
      <c r="AU169" s="201"/>
      <c r="AV169" s="201"/>
      <c r="AW169" s="201"/>
      <c r="AX169" s="201"/>
      <c r="AY169" s="201"/>
      <c r="AZ169" s="201"/>
      <c r="BA169" s="201"/>
      <c r="BB169" s="201"/>
      <c r="BC169" s="20"/>
      <c r="BD169" s="20"/>
      <c r="BE169" s="20"/>
      <c r="BF169" s="20"/>
      <c r="BG169" s="20"/>
      <c r="BH169" s="20"/>
      <c r="BI169" s="20"/>
      <c r="BJ169" s="20"/>
      <c r="BK169" s="20"/>
      <c r="BL169" s="20"/>
      <c r="BM169" s="20"/>
      <c r="BN169" s="20"/>
      <c r="BO169" s="20"/>
      <c r="BP169" s="20"/>
      <c r="BQ169" s="20"/>
    </row>
    <row r="170" spans="1:70" ht="66">
      <c r="A170" s="437"/>
      <c r="B170" s="421"/>
      <c r="C170" s="437">
        <v>1</v>
      </c>
      <c r="D170" s="1404" t="s">
        <v>25</v>
      </c>
      <c r="E170" s="1404" t="s">
        <v>28</v>
      </c>
      <c r="F170" s="1404" t="s">
        <v>35</v>
      </c>
      <c r="G170" s="1404"/>
      <c r="H170" s="1409"/>
      <c r="I170" s="435" t="s">
        <v>458</v>
      </c>
      <c r="J170" s="429" t="s">
        <v>2580</v>
      </c>
      <c r="K170" s="1364">
        <v>85</v>
      </c>
      <c r="L170" s="447">
        <f>6*P170</f>
        <v>450931986</v>
      </c>
      <c r="M170" s="1364">
        <f>28+14</f>
        <v>42</v>
      </c>
      <c r="N170" s="436">
        <f>113720236+'[1]RKPD 2017'!O177</f>
        <v>113720236</v>
      </c>
      <c r="O170" s="1457">
        <v>14</v>
      </c>
      <c r="P170" s="436">
        <v>75155331</v>
      </c>
      <c r="Q170" s="1363">
        <v>3.1E-2</v>
      </c>
      <c r="R170" s="421">
        <v>0</v>
      </c>
      <c r="S170" s="424">
        <v>0.02</v>
      </c>
      <c r="T170" s="423">
        <v>0</v>
      </c>
      <c r="U170" s="424"/>
      <c r="V170" s="423">
        <v>0</v>
      </c>
      <c r="W170" s="421">
        <v>0</v>
      </c>
      <c r="X170" s="423">
        <v>0</v>
      </c>
      <c r="Y170" s="1369">
        <f t="shared" si="53"/>
        <v>5.1000000000000004E-2</v>
      </c>
      <c r="Z170" s="1382">
        <f t="shared" si="54"/>
        <v>0</v>
      </c>
      <c r="AA170" s="1369">
        <f t="shared" si="57"/>
        <v>42.051000000000002</v>
      </c>
      <c r="AB170" s="1382">
        <f t="shared" si="55"/>
        <v>113720236</v>
      </c>
      <c r="AC170" s="1372">
        <f t="shared" si="58"/>
        <v>49.471764705882357</v>
      </c>
      <c r="AD170" s="1372">
        <f t="shared" si="56"/>
        <v>25.218933127533781</v>
      </c>
      <c r="AE170" s="2584"/>
    </row>
    <row r="171" spans="1:70" ht="82.5">
      <c r="A171" s="437"/>
      <c r="B171" s="421"/>
      <c r="C171" s="437">
        <v>1</v>
      </c>
      <c r="D171" s="1404" t="s">
        <v>25</v>
      </c>
      <c r="E171" s="1404" t="s">
        <v>28</v>
      </c>
      <c r="F171" s="1404" t="s">
        <v>35</v>
      </c>
      <c r="G171" s="1404"/>
      <c r="H171" s="1409"/>
      <c r="I171" s="435" t="s">
        <v>459</v>
      </c>
      <c r="J171" s="429" t="s">
        <v>2581</v>
      </c>
      <c r="K171" s="1364">
        <v>6</v>
      </c>
      <c r="L171" s="436">
        <v>812478900</v>
      </c>
      <c r="M171" s="1364">
        <v>3</v>
      </c>
      <c r="N171" s="436">
        <f>165934426+'[1]RKPD 2017'!O178</f>
        <v>165934426</v>
      </c>
      <c r="O171" s="1457">
        <v>1</v>
      </c>
      <c r="P171" s="436">
        <v>250100000</v>
      </c>
      <c r="Q171" s="1363">
        <v>3.2000000000000001E-2</v>
      </c>
      <c r="R171" s="423">
        <v>29146880</v>
      </c>
      <c r="S171" s="424">
        <v>0.03</v>
      </c>
      <c r="T171" s="423">
        <v>45662939</v>
      </c>
      <c r="U171" s="424"/>
      <c r="V171" s="423">
        <v>0</v>
      </c>
      <c r="W171" s="421">
        <v>0</v>
      </c>
      <c r="X171" s="423">
        <v>0</v>
      </c>
      <c r="Y171" s="1369">
        <f t="shared" si="53"/>
        <v>6.2E-2</v>
      </c>
      <c r="Z171" s="1382">
        <f t="shared" si="54"/>
        <v>74809819</v>
      </c>
      <c r="AA171" s="1374">
        <f t="shared" si="57"/>
        <v>3.0619999999999998</v>
      </c>
      <c r="AB171" s="1382">
        <f t="shared" si="55"/>
        <v>240744245</v>
      </c>
      <c r="AC171" s="1372">
        <f t="shared" si="58"/>
        <v>51.033333333333331</v>
      </c>
      <c r="AD171" s="1372">
        <f t="shared" si="56"/>
        <v>29.630830412949798</v>
      </c>
      <c r="AE171" s="2584"/>
    </row>
    <row r="172" spans="1:70" ht="49.5">
      <c r="A172" s="437"/>
      <c r="B172" s="421"/>
      <c r="C172" s="437">
        <v>1</v>
      </c>
      <c r="D172" s="1404" t="s">
        <v>25</v>
      </c>
      <c r="E172" s="1404" t="s">
        <v>28</v>
      </c>
      <c r="F172" s="437">
        <v>21</v>
      </c>
      <c r="G172" s="437"/>
      <c r="H172" s="1409"/>
      <c r="I172" s="435" t="s">
        <v>460</v>
      </c>
      <c r="J172" s="429" t="s">
        <v>2582</v>
      </c>
      <c r="K172" s="1364">
        <v>90</v>
      </c>
      <c r="L172" s="436">
        <v>1032245000</v>
      </c>
      <c r="M172" s="1364">
        <v>45</v>
      </c>
      <c r="N172" s="436">
        <v>0</v>
      </c>
      <c r="O172" s="1457">
        <v>15</v>
      </c>
      <c r="P172" s="436">
        <v>48975451</v>
      </c>
      <c r="Q172" s="1363">
        <v>4.2000000000000003E-2</v>
      </c>
      <c r="R172" s="423">
        <v>5837750</v>
      </c>
      <c r="S172" s="424">
        <v>0.02</v>
      </c>
      <c r="T172" s="423">
        <v>4086950</v>
      </c>
      <c r="U172" s="424"/>
      <c r="V172" s="423">
        <v>0</v>
      </c>
      <c r="W172" s="421"/>
      <c r="X172" s="423"/>
      <c r="Y172" s="1369">
        <f t="shared" si="53"/>
        <v>6.2E-2</v>
      </c>
      <c r="Z172" s="1382">
        <f t="shared" si="54"/>
        <v>9924700</v>
      </c>
      <c r="AA172" s="1369">
        <f t="shared" si="57"/>
        <v>45.061999999999998</v>
      </c>
      <c r="AB172" s="1382">
        <f t="shared" si="55"/>
        <v>9924700</v>
      </c>
      <c r="AC172" s="1372">
        <f t="shared" si="58"/>
        <v>50.068888888888885</v>
      </c>
      <c r="AD172" s="1372">
        <f t="shared" si="56"/>
        <v>0.96146748107280733</v>
      </c>
      <c r="AE172" s="2584"/>
    </row>
    <row r="173" spans="1:70" s="1288" customFormat="1" ht="23.25" customHeight="1">
      <c r="A173" s="1412">
        <v>9</v>
      </c>
      <c r="B173" s="473"/>
      <c r="C173" s="1412">
        <v>1</v>
      </c>
      <c r="D173" s="1413" t="s">
        <v>25</v>
      </c>
      <c r="E173" s="1413" t="s">
        <v>28</v>
      </c>
      <c r="F173" s="1413" t="s">
        <v>61</v>
      </c>
      <c r="G173" s="1413"/>
      <c r="H173" s="1414"/>
      <c r="I173" s="2826" t="s">
        <v>461</v>
      </c>
      <c r="J173" s="186" t="s">
        <v>462</v>
      </c>
      <c r="K173" s="1387">
        <v>95</v>
      </c>
      <c r="L173" s="911">
        <v>10450960000</v>
      </c>
      <c r="M173" s="1387">
        <v>92</v>
      </c>
      <c r="N173" s="444">
        <f>SUM(N176:N182)</f>
        <v>577449879</v>
      </c>
      <c r="O173" s="1387">
        <v>1</v>
      </c>
      <c r="P173" s="444">
        <f>SUM(P176:P182)</f>
        <v>619044055</v>
      </c>
      <c r="Q173" s="1362">
        <f>SUM(Q176:Q182)/7</f>
        <v>1.5784285714285713</v>
      </c>
      <c r="R173" s="444">
        <f>SUM(R176:R182)</f>
        <v>54988282</v>
      </c>
      <c r="S173" s="485">
        <v>2.1999999999999999E-2</v>
      </c>
      <c r="T173" s="444">
        <f>SUM(T176:T182)</f>
        <v>101792951</v>
      </c>
      <c r="U173" s="485"/>
      <c r="V173" s="445">
        <f>SUM(V176:V181)</f>
        <v>0</v>
      </c>
      <c r="W173" s="1358">
        <v>0</v>
      </c>
      <c r="X173" s="444">
        <f>SUM(X176:X181)</f>
        <v>0</v>
      </c>
      <c r="Y173" s="1367">
        <f t="shared" si="53"/>
        <v>1.6004285714285713</v>
      </c>
      <c r="Z173" s="1381">
        <f t="shared" si="54"/>
        <v>156781233</v>
      </c>
      <c r="AA173" s="1367">
        <f t="shared" si="57"/>
        <v>93.600428571428566</v>
      </c>
      <c r="AB173" s="1381">
        <f t="shared" si="55"/>
        <v>734231112</v>
      </c>
      <c r="AC173" s="1375">
        <f t="shared" si="58"/>
        <v>98.52676691729323</v>
      </c>
      <c r="AD173" s="1375">
        <f t="shared" si="56"/>
        <v>7.0254896392293151</v>
      </c>
      <c r="AE173" s="2583" t="s">
        <v>418</v>
      </c>
      <c r="AF173" s="1287"/>
      <c r="AG173" s="1287"/>
      <c r="AH173" s="1287"/>
      <c r="AI173" s="1287"/>
      <c r="AJ173" s="1287"/>
      <c r="AK173" s="1287"/>
      <c r="AL173" s="1287"/>
      <c r="AM173" s="1287"/>
      <c r="AN173" s="1287"/>
      <c r="AO173" s="1287"/>
      <c r="AP173" s="1287"/>
      <c r="AQ173" s="1287"/>
      <c r="AR173" s="1287"/>
      <c r="AS173" s="1287"/>
      <c r="AT173" s="1287"/>
      <c r="AU173" s="1287"/>
      <c r="AV173" s="1287"/>
      <c r="AW173" s="1287"/>
      <c r="AX173" s="1287"/>
      <c r="AY173" s="1287"/>
      <c r="AZ173" s="1287"/>
      <c r="BA173" s="1287"/>
      <c r="BB173" s="1287"/>
    </row>
    <row r="174" spans="1:70" s="1288" customFormat="1" ht="18.75" customHeight="1">
      <c r="A174" s="1435"/>
      <c r="B174" s="1458"/>
      <c r="C174" s="1435"/>
      <c r="D174" s="1434"/>
      <c r="E174" s="1434"/>
      <c r="F174" s="1434"/>
      <c r="G174" s="1434"/>
      <c r="H174" s="1459"/>
      <c r="I174" s="2827"/>
      <c r="J174" s="186" t="s">
        <v>2583</v>
      </c>
      <c r="K174" s="1387">
        <v>100</v>
      </c>
      <c r="L174" s="911"/>
      <c r="M174" s="1387">
        <v>95</v>
      </c>
      <c r="N174" s="444"/>
      <c r="O174" s="1387">
        <v>5</v>
      </c>
      <c r="P174" s="444"/>
      <c r="Q174" s="1362"/>
      <c r="R174" s="444"/>
      <c r="S174" s="485"/>
      <c r="T174" s="444"/>
      <c r="U174" s="485"/>
      <c r="V174" s="445"/>
      <c r="W174" s="1358"/>
      <c r="X174" s="444"/>
      <c r="Y174" s="1367">
        <f t="shared" si="53"/>
        <v>0</v>
      </c>
      <c r="Z174" s="1381">
        <f t="shared" si="54"/>
        <v>0</v>
      </c>
      <c r="AA174" s="1367">
        <f t="shared" si="57"/>
        <v>95</v>
      </c>
      <c r="AB174" s="1381">
        <f t="shared" si="55"/>
        <v>0</v>
      </c>
      <c r="AC174" s="1375">
        <f t="shared" si="58"/>
        <v>95</v>
      </c>
      <c r="AD174" s="1375"/>
      <c r="AE174" s="2583"/>
      <c r="AF174" s="1287"/>
      <c r="AG174" s="1287"/>
      <c r="AH174" s="1287"/>
      <c r="AI174" s="1287"/>
      <c r="AJ174" s="1287"/>
      <c r="AK174" s="1287"/>
      <c r="AL174" s="1287"/>
      <c r="AM174" s="1287"/>
      <c r="AN174" s="1287"/>
      <c r="AO174" s="1287"/>
      <c r="AP174" s="1287"/>
      <c r="AQ174" s="1287"/>
      <c r="AR174" s="1287"/>
      <c r="AS174" s="1287"/>
      <c r="AT174" s="1287"/>
      <c r="AU174" s="1287"/>
      <c r="AV174" s="1287"/>
      <c r="AW174" s="1287"/>
      <c r="AX174" s="1287"/>
      <c r="AY174" s="1287"/>
      <c r="AZ174" s="1287"/>
      <c r="BA174" s="1287"/>
      <c r="BB174" s="1287"/>
    </row>
    <row r="175" spans="1:70" s="1288" customFormat="1" ht="33">
      <c r="A175" s="1462"/>
      <c r="B175" s="1461"/>
      <c r="C175" s="1462"/>
      <c r="D175" s="1463"/>
      <c r="E175" s="1463"/>
      <c r="F175" s="1463"/>
      <c r="G175" s="1463"/>
      <c r="H175" s="1464"/>
      <c r="I175" s="2828"/>
      <c r="J175" s="186" t="s">
        <v>2584</v>
      </c>
      <c r="K175" s="1387">
        <v>100</v>
      </c>
      <c r="L175" s="911"/>
      <c r="M175" s="1387">
        <v>95</v>
      </c>
      <c r="N175" s="444"/>
      <c r="O175" s="1387">
        <v>5</v>
      </c>
      <c r="P175" s="444"/>
      <c r="Q175" s="1362"/>
      <c r="R175" s="444"/>
      <c r="S175" s="485"/>
      <c r="T175" s="444"/>
      <c r="U175" s="485"/>
      <c r="V175" s="445"/>
      <c r="W175" s="1358"/>
      <c r="X175" s="444"/>
      <c r="Y175" s="1367">
        <f t="shared" si="53"/>
        <v>0</v>
      </c>
      <c r="Z175" s="1381">
        <f t="shared" si="54"/>
        <v>0</v>
      </c>
      <c r="AA175" s="1367">
        <f t="shared" si="57"/>
        <v>95</v>
      </c>
      <c r="AB175" s="1381">
        <f t="shared" si="55"/>
        <v>0</v>
      </c>
      <c r="AC175" s="1375">
        <f t="shared" si="58"/>
        <v>95</v>
      </c>
      <c r="AD175" s="1375"/>
      <c r="AE175" s="2583"/>
      <c r="AF175" s="1287"/>
      <c r="AG175" s="1287"/>
      <c r="AH175" s="1287"/>
      <c r="AI175" s="1287"/>
      <c r="AJ175" s="1287"/>
      <c r="AK175" s="1287"/>
      <c r="AL175" s="1287"/>
      <c r="AM175" s="1287"/>
      <c r="AN175" s="1287"/>
      <c r="AO175" s="1287"/>
      <c r="AP175" s="1287"/>
      <c r="AQ175" s="1287"/>
      <c r="AR175" s="1287"/>
      <c r="AS175" s="1287"/>
      <c r="AT175" s="1287"/>
      <c r="AU175" s="1287"/>
      <c r="AV175" s="1287"/>
      <c r="AW175" s="1287"/>
      <c r="AX175" s="1287"/>
      <c r="AY175" s="1287"/>
      <c r="AZ175" s="1287"/>
      <c r="BA175" s="1287"/>
      <c r="BB175" s="1287"/>
    </row>
    <row r="176" spans="1:70" ht="49.5">
      <c r="A176" s="437"/>
      <c r="B176" s="421"/>
      <c r="C176" s="437">
        <v>1</v>
      </c>
      <c r="D176" s="1404" t="s">
        <v>25</v>
      </c>
      <c r="E176" s="1404" t="s">
        <v>28</v>
      </c>
      <c r="F176" s="1404" t="s">
        <v>61</v>
      </c>
      <c r="G176" s="1404"/>
      <c r="H176" s="1409"/>
      <c r="I176" s="435" t="s">
        <v>2585</v>
      </c>
      <c r="J176" s="429" t="s">
        <v>2586</v>
      </c>
      <c r="K176" s="1364">
        <v>6</v>
      </c>
      <c r="L176" s="436">
        <v>1875000000</v>
      </c>
      <c r="M176" s="1364">
        <v>3</v>
      </c>
      <c r="N176" s="436">
        <f>159828000+'[1]RKPD 2017'!O181</f>
        <v>159828000</v>
      </c>
      <c r="O176" s="1457">
        <v>1</v>
      </c>
      <c r="P176" s="436">
        <v>153475457</v>
      </c>
      <c r="Q176" s="1363">
        <v>1.2E-2</v>
      </c>
      <c r="R176" s="426">
        <v>19112632</v>
      </c>
      <c r="S176" s="424">
        <v>2.3E-2</v>
      </c>
      <c r="T176" s="423">
        <v>38343120</v>
      </c>
      <c r="U176" s="424"/>
      <c r="V176" s="423">
        <v>0</v>
      </c>
      <c r="W176" s="421">
        <v>0</v>
      </c>
      <c r="X176" s="423">
        <v>0</v>
      </c>
      <c r="Y176" s="1369">
        <f t="shared" si="53"/>
        <v>3.5000000000000003E-2</v>
      </c>
      <c r="Z176" s="1382">
        <f t="shared" si="54"/>
        <v>57455752</v>
      </c>
      <c r="AA176" s="1369">
        <f t="shared" si="57"/>
        <v>3.0350000000000001</v>
      </c>
      <c r="AB176" s="1382">
        <f t="shared" si="55"/>
        <v>217283752</v>
      </c>
      <c r="AC176" s="1372">
        <f t="shared" si="58"/>
        <v>50.583333333333336</v>
      </c>
      <c r="AD176" s="1372">
        <f t="shared" ref="AD176:AD205" si="59">(AB176/L176)*100</f>
        <v>11.588466773333334</v>
      </c>
      <c r="AE176" s="2584"/>
    </row>
    <row r="177" spans="1:69" ht="49.5">
      <c r="A177" s="437"/>
      <c r="B177" s="421"/>
      <c r="C177" s="437">
        <v>1</v>
      </c>
      <c r="D177" s="1404" t="s">
        <v>25</v>
      </c>
      <c r="E177" s="1404" t="s">
        <v>28</v>
      </c>
      <c r="F177" s="1404" t="s">
        <v>61</v>
      </c>
      <c r="G177" s="1404"/>
      <c r="H177" s="1409"/>
      <c r="I177" s="435" t="s">
        <v>463</v>
      </c>
      <c r="J177" s="429" t="s">
        <v>2587</v>
      </c>
      <c r="K177" s="1364">
        <v>98</v>
      </c>
      <c r="L177" s="436">
        <v>1850000000</v>
      </c>
      <c r="M177" s="1364">
        <v>50</v>
      </c>
      <c r="N177" s="436">
        <f>127722364+'[1]RKPD 2017'!O182</f>
        <v>127722364</v>
      </c>
      <c r="O177" s="1457">
        <v>16</v>
      </c>
      <c r="P177" s="436">
        <v>113855147</v>
      </c>
      <c r="Q177" s="1363">
        <v>2.5000000000000001E-2</v>
      </c>
      <c r="R177" s="423">
        <v>3538950</v>
      </c>
      <c r="S177" s="442">
        <v>0.02</v>
      </c>
      <c r="T177" s="423">
        <v>27065531</v>
      </c>
      <c r="U177" s="424"/>
      <c r="V177" s="423">
        <v>0</v>
      </c>
      <c r="W177" s="425">
        <v>0</v>
      </c>
      <c r="X177" s="423">
        <v>0</v>
      </c>
      <c r="Y177" s="1369">
        <f t="shared" si="53"/>
        <v>4.4999999999999998E-2</v>
      </c>
      <c r="Z177" s="1382">
        <f t="shared" si="54"/>
        <v>30604481</v>
      </c>
      <c r="AA177" s="1369">
        <f t="shared" si="57"/>
        <v>50.045000000000002</v>
      </c>
      <c r="AB177" s="1382">
        <f t="shared" si="55"/>
        <v>158326845</v>
      </c>
      <c r="AC177" s="1372">
        <f t="shared" si="58"/>
        <v>51.066326530612251</v>
      </c>
      <c r="AD177" s="1372">
        <f t="shared" si="59"/>
        <v>8.5582078378378377</v>
      </c>
      <c r="AE177" s="2584"/>
    </row>
    <row r="178" spans="1:69" ht="33">
      <c r="A178" s="437"/>
      <c r="B178" s="421"/>
      <c r="C178" s="437">
        <v>1</v>
      </c>
      <c r="D178" s="1404" t="s">
        <v>25</v>
      </c>
      <c r="E178" s="1404" t="s">
        <v>28</v>
      </c>
      <c r="F178" s="1404" t="s">
        <v>61</v>
      </c>
      <c r="G178" s="1404"/>
      <c r="H178" s="1409"/>
      <c r="I178" s="435" t="s">
        <v>2588</v>
      </c>
      <c r="J178" s="429" t="s">
        <v>2589</v>
      </c>
      <c r="K178" s="1364">
        <v>72</v>
      </c>
      <c r="L178" s="436">
        <v>2295000000</v>
      </c>
      <c r="M178" s="1364">
        <v>36</v>
      </c>
      <c r="N178" s="436">
        <f>24368400+'[1]RKPD 2017'!O183</f>
        <v>24368400</v>
      </c>
      <c r="O178" s="1457">
        <v>12</v>
      </c>
      <c r="P178" s="436">
        <v>42104204</v>
      </c>
      <c r="Q178" s="1363">
        <v>3</v>
      </c>
      <c r="R178" s="423">
        <v>0</v>
      </c>
      <c r="S178" s="424">
        <v>0.01</v>
      </c>
      <c r="T178" s="423">
        <v>0</v>
      </c>
      <c r="U178" s="424"/>
      <c r="V178" s="423">
        <v>0</v>
      </c>
      <c r="W178" s="421">
        <v>0</v>
      </c>
      <c r="X178" s="423">
        <v>0</v>
      </c>
      <c r="Y178" s="1369">
        <f t="shared" si="53"/>
        <v>3.01</v>
      </c>
      <c r="Z178" s="1382">
        <f t="shared" si="54"/>
        <v>0</v>
      </c>
      <c r="AA178" s="1369">
        <f t="shared" si="57"/>
        <v>39.01</v>
      </c>
      <c r="AB178" s="1382">
        <f t="shared" si="55"/>
        <v>24368400</v>
      </c>
      <c r="AC178" s="1372">
        <f t="shared" si="58"/>
        <v>54.180555555555557</v>
      </c>
      <c r="AD178" s="1372">
        <f t="shared" si="59"/>
        <v>1.0618039215686275</v>
      </c>
      <c r="AE178" s="2584"/>
      <c r="BC178" s="1526"/>
      <c r="BD178" s="1527"/>
      <c r="BE178" s="1527"/>
      <c r="BF178" s="1527"/>
      <c r="BG178" s="1527"/>
      <c r="BH178" s="1527"/>
      <c r="BI178" s="1527"/>
      <c r="BJ178" s="1527"/>
      <c r="BK178" s="1527"/>
      <c r="BL178" s="1527"/>
      <c r="BM178" s="1527"/>
      <c r="BN178" s="1527"/>
      <c r="BO178" s="1527"/>
      <c r="BP178" s="1527"/>
      <c r="BQ178" s="1527"/>
    </row>
    <row r="179" spans="1:69" ht="49.5">
      <c r="A179" s="437"/>
      <c r="B179" s="421"/>
      <c r="C179" s="437">
        <v>1</v>
      </c>
      <c r="D179" s="1404" t="s">
        <v>25</v>
      </c>
      <c r="E179" s="1404" t="s">
        <v>28</v>
      </c>
      <c r="F179" s="1404" t="s">
        <v>61</v>
      </c>
      <c r="G179" s="1404"/>
      <c r="H179" s="1409"/>
      <c r="I179" s="435" t="s">
        <v>464</v>
      </c>
      <c r="J179" s="429" t="s">
        <v>2590</v>
      </c>
      <c r="K179" s="1364">
        <v>98</v>
      </c>
      <c r="L179" s="436">
        <v>2560960000</v>
      </c>
      <c r="M179" s="1364">
        <v>50</v>
      </c>
      <c r="N179" s="436">
        <f>128061415+'[1]RKPD 2017'!O184</f>
        <v>128061415</v>
      </c>
      <c r="O179" s="1457">
        <v>16</v>
      </c>
      <c r="P179" s="436">
        <v>111477510</v>
      </c>
      <c r="Q179" s="1363">
        <v>1.2E-2</v>
      </c>
      <c r="R179" s="423">
        <v>4692500</v>
      </c>
      <c r="S179" s="424">
        <v>2.1000000000000001E-2</v>
      </c>
      <c r="T179" s="423">
        <v>6300000</v>
      </c>
      <c r="U179" s="424"/>
      <c r="V179" s="423">
        <v>0</v>
      </c>
      <c r="W179" s="421">
        <v>0</v>
      </c>
      <c r="X179" s="423">
        <v>0</v>
      </c>
      <c r="Y179" s="1369">
        <f t="shared" si="53"/>
        <v>3.3000000000000002E-2</v>
      </c>
      <c r="Z179" s="1382">
        <f t="shared" si="54"/>
        <v>10992500</v>
      </c>
      <c r="AA179" s="1369">
        <f t="shared" si="57"/>
        <v>50.033000000000001</v>
      </c>
      <c r="AB179" s="1382">
        <f t="shared" si="55"/>
        <v>139053915</v>
      </c>
      <c r="AC179" s="1372">
        <f t="shared" si="58"/>
        <v>51.054081632653059</v>
      </c>
      <c r="AD179" s="1372">
        <f t="shared" si="59"/>
        <v>5.4297573956641259</v>
      </c>
      <c r="AE179" s="2584"/>
      <c r="AF179" s="201"/>
      <c r="AG179" s="201"/>
      <c r="AH179" s="201"/>
      <c r="AI179" s="201"/>
      <c r="AJ179" s="201"/>
      <c r="AK179" s="201"/>
      <c r="AL179" s="201"/>
      <c r="AM179" s="201"/>
      <c r="AN179" s="201"/>
      <c r="AO179" s="201"/>
      <c r="AP179" s="201"/>
      <c r="AQ179" s="201"/>
      <c r="AR179" s="201"/>
      <c r="AS179" s="201"/>
      <c r="AT179" s="201"/>
      <c r="AU179" s="201"/>
      <c r="AV179" s="201"/>
      <c r="AW179" s="201"/>
      <c r="AX179" s="201"/>
      <c r="AY179" s="201"/>
      <c r="AZ179" s="201"/>
      <c r="BA179" s="201"/>
      <c r="BB179" s="201"/>
      <c r="BC179" s="20"/>
      <c r="BD179" s="20"/>
      <c r="BE179" s="20"/>
      <c r="BF179" s="20"/>
      <c r="BG179" s="20"/>
      <c r="BH179" s="20"/>
      <c r="BI179" s="20"/>
      <c r="BJ179" s="20"/>
      <c r="BK179" s="20"/>
      <c r="BL179" s="20"/>
      <c r="BM179" s="20"/>
      <c r="BN179" s="20"/>
      <c r="BO179" s="20"/>
      <c r="BP179" s="20"/>
      <c r="BQ179" s="20"/>
    </row>
    <row r="180" spans="1:69" ht="115.5">
      <c r="A180" s="437"/>
      <c r="B180" s="421"/>
      <c r="C180" s="437">
        <v>1</v>
      </c>
      <c r="D180" s="1404" t="s">
        <v>25</v>
      </c>
      <c r="E180" s="1404" t="s">
        <v>28</v>
      </c>
      <c r="F180" s="1404" t="s">
        <v>61</v>
      </c>
      <c r="G180" s="1404"/>
      <c r="H180" s="1409"/>
      <c r="I180" s="435" t="s">
        <v>465</v>
      </c>
      <c r="J180" s="429" t="s">
        <v>2591</v>
      </c>
      <c r="K180" s="1364">
        <v>100</v>
      </c>
      <c r="L180" s="436">
        <v>570000000</v>
      </c>
      <c r="M180" s="1364">
        <v>50</v>
      </c>
      <c r="N180" s="436">
        <f>62793500+'[1]RKPD 2017'!O185</f>
        <v>62793500</v>
      </c>
      <c r="O180" s="1457">
        <v>17</v>
      </c>
      <c r="P180" s="436">
        <v>79872062</v>
      </c>
      <c r="Q180" s="1363">
        <v>2</v>
      </c>
      <c r="R180" s="423">
        <v>11696750</v>
      </c>
      <c r="S180" s="424">
        <v>2.3E-2</v>
      </c>
      <c r="T180" s="423">
        <v>12475750</v>
      </c>
      <c r="U180" s="424"/>
      <c r="V180" s="423">
        <v>0</v>
      </c>
      <c r="W180" s="421">
        <v>0</v>
      </c>
      <c r="X180" s="423">
        <v>0</v>
      </c>
      <c r="Y180" s="1369">
        <f t="shared" si="53"/>
        <v>2.0230000000000001</v>
      </c>
      <c r="Z180" s="1382">
        <f t="shared" si="54"/>
        <v>24172500</v>
      </c>
      <c r="AA180" s="1369">
        <f t="shared" si="57"/>
        <v>52.023000000000003</v>
      </c>
      <c r="AB180" s="1382">
        <f t="shared" si="55"/>
        <v>86966000</v>
      </c>
      <c r="AC180" s="1372">
        <f t="shared" si="58"/>
        <v>52.02300000000001</v>
      </c>
      <c r="AD180" s="1372">
        <f t="shared" si="59"/>
        <v>15.257192982456141</v>
      </c>
      <c r="AE180" s="2584"/>
    </row>
    <row r="181" spans="1:69" ht="49.5">
      <c r="A181" s="437"/>
      <c r="B181" s="421"/>
      <c r="C181" s="437">
        <v>1</v>
      </c>
      <c r="D181" s="1404" t="s">
        <v>25</v>
      </c>
      <c r="E181" s="1404" t="s">
        <v>28</v>
      </c>
      <c r="F181" s="1404" t="s">
        <v>61</v>
      </c>
      <c r="G181" s="1404"/>
      <c r="H181" s="1409"/>
      <c r="I181" s="435" t="s">
        <v>466</v>
      </c>
      <c r="J181" s="429" t="s">
        <v>2592</v>
      </c>
      <c r="K181" s="1364">
        <v>72</v>
      </c>
      <c r="L181" s="436">
        <v>725000000</v>
      </c>
      <c r="M181" s="1364">
        <v>36</v>
      </c>
      <c r="N181" s="436">
        <f>74676200+'[1]RKPD 2017'!O186</f>
        <v>74676200</v>
      </c>
      <c r="O181" s="1457">
        <v>12</v>
      </c>
      <c r="P181" s="436">
        <v>64377007</v>
      </c>
      <c r="Q181" s="1363">
        <v>3</v>
      </c>
      <c r="R181" s="423">
        <v>10471700</v>
      </c>
      <c r="S181" s="424">
        <v>2.4E-2</v>
      </c>
      <c r="T181" s="423">
        <v>5473850</v>
      </c>
      <c r="U181" s="424"/>
      <c r="V181" s="443">
        <v>0</v>
      </c>
      <c r="W181" s="421">
        <v>0</v>
      </c>
      <c r="X181" s="423">
        <v>0</v>
      </c>
      <c r="Y181" s="1369">
        <f t="shared" si="53"/>
        <v>3.024</v>
      </c>
      <c r="Z181" s="1382">
        <f t="shared" si="54"/>
        <v>15945550</v>
      </c>
      <c r="AA181" s="1369">
        <f t="shared" si="57"/>
        <v>39.024000000000001</v>
      </c>
      <c r="AB181" s="1382">
        <f t="shared" si="55"/>
        <v>90621750</v>
      </c>
      <c r="AC181" s="1372">
        <f t="shared" si="58"/>
        <v>54.2</v>
      </c>
      <c r="AD181" s="1372">
        <f t="shared" si="59"/>
        <v>12.49955172413793</v>
      </c>
      <c r="AE181" s="2584"/>
    </row>
    <row r="182" spans="1:69" ht="49.5">
      <c r="A182" s="437"/>
      <c r="B182" s="421"/>
      <c r="C182" s="437">
        <v>1</v>
      </c>
      <c r="D182" s="1404" t="s">
        <v>25</v>
      </c>
      <c r="E182" s="1404" t="s">
        <v>28</v>
      </c>
      <c r="F182" s="437">
        <v>22</v>
      </c>
      <c r="G182" s="437"/>
      <c r="H182" s="1409"/>
      <c r="I182" s="435" t="s">
        <v>467</v>
      </c>
      <c r="J182" s="427" t="s">
        <v>2593</v>
      </c>
      <c r="K182" s="1364">
        <v>72</v>
      </c>
      <c r="L182" s="436">
        <v>575000000</v>
      </c>
      <c r="M182" s="1364">
        <v>36</v>
      </c>
      <c r="N182" s="436">
        <v>0</v>
      </c>
      <c r="O182" s="1457">
        <v>12</v>
      </c>
      <c r="P182" s="436">
        <v>53882668</v>
      </c>
      <c r="Q182" s="1363">
        <v>3</v>
      </c>
      <c r="R182" s="423">
        <v>5475750</v>
      </c>
      <c r="S182" s="424">
        <v>0.03</v>
      </c>
      <c r="T182" s="423">
        <v>12134700</v>
      </c>
      <c r="U182" s="424"/>
      <c r="V182" s="423">
        <v>0</v>
      </c>
      <c r="W182" s="421"/>
      <c r="X182" s="423"/>
      <c r="Y182" s="1369">
        <f t="shared" si="53"/>
        <v>3.03</v>
      </c>
      <c r="Z182" s="1382">
        <f t="shared" si="54"/>
        <v>17610450</v>
      </c>
      <c r="AA182" s="1369">
        <f t="shared" si="57"/>
        <v>39.03</v>
      </c>
      <c r="AB182" s="1382">
        <f t="shared" si="55"/>
        <v>17610450</v>
      </c>
      <c r="AC182" s="1372">
        <f t="shared" si="58"/>
        <v>54.208333333333336</v>
      </c>
      <c r="AD182" s="1372">
        <f t="shared" si="59"/>
        <v>3.0626869565217389</v>
      </c>
      <c r="AE182" s="2584"/>
    </row>
    <row r="183" spans="1:69" s="1288" customFormat="1" ht="66">
      <c r="A183" s="1398">
        <v>10</v>
      </c>
      <c r="B183" s="439"/>
      <c r="C183" s="1398">
        <v>1</v>
      </c>
      <c r="D183" s="1402" t="s">
        <v>25</v>
      </c>
      <c r="E183" s="1402" t="s">
        <v>28</v>
      </c>
      <c r="F183" s="1402" t="s">
        <v>48</v>
      </c>
      <c r="G183" s="1402"/>
      <c r="H183" s="1406"/>
      <c r="I183" s="441" t="s">
        <v>468</v>
      </c>
      <c r="J183" s="1401" t="s">
        <v>2594</v>
      </c>
      <c r="K183" s="1387">
        <v>100</v>
      </c>
      <c r="L183" s="911">
        <v>14783911700</v>
      </c>
      <c r="M183" s="1362">
        <v>85</v>
      </c>
      <c r="N183" s="444">
        <v>1499238280</v>
      </c>
      <c r="O183" s="1387">
        <v>15</v>
      </c>
      <c r="P183" s="452">
        <f>SUM(P184:P188)</f>
        <v>1869047670</v>
      </c>
      <c r="Q183" s="1362">
        <v>3.8699999999999998E-2</v>
      </c>
      <c r="R183" s="445">
        <f>SUM(R184:R188)</f>
        <v>61819350</v>
      </c>
      <c r="S183" s="485">
        <v>3.9E-2</v>
      </c>
      <c r="T183" s="444">
        <f>SUM(T184:T188)</f>
        <v>247078372</v>
      </c>
      <c r="U183" s="485"/>
      <c r="V183" s="445">
        <f>SUM(V184:V188)</f>
        <v>0</v>
      </c>
      <c r="W183" s="439">
        <v>0</v>
      </c>
      <c r="X183" s="444">
        <f>SUM(X184:X188)</f>
        <v>0</v>
      </c>
      <c r="Y183" s="1367">
        <f t="shared" si="53"/>
        <v>7.7699999999999991E-2</v>
      </c>
      <c r="Z183" s="1381">
        <f t="shared" si="54"/>
        <v>308897722</v>
      </c>
      <c r="AA183" s="1367">
        <f t="shared" si="57"/>
        <v>85.077699999999993</v>
      </c>
      <c r="AB183" s="1381">
        <f t="shared" si="55"/>
        <v>1808136002</v>
      </c>
      <c r="AC183" s="1375">
        <f t="shared" si="58"/>
        <v>85.077699999999993</v>
      </c>
      <c r="AD183" s="1375">
        <f t="shared" si="59"/>
        <v>12.230430204747503</v>
      </c>
      <c r="AE183" s="2583" t="s">
        <v>418</v>
      </c>
      <c r="AF183" s="1287"/>
      <c r="AG183" s="1287"/>
      <c r="AH183" s="1287"/>
      <c r="AI183" s="1287"/>
      <c r="AJ183" s="1287"/>
      <c r="AK183" s="1287"/>
      <c r="AL183" s="1287"/>
      <c r="AM183" s="1287"/>
      <c r="AN183" s="1287"/>
      <c r="AO183" s="1287"/>
      <c r="AP183" s="1287"/>
      <c r="AQ183" s="1287"/>
      <c r="AR183" s="1287"/>
      <c r="AS183" s="1287"/>
      <c r="AT183" s="1287"/>
      <c r="AU183" s="1287"/>
      <c r="AV183" s="1287"/>
      <c r="AW183" s="1287"/>
      <c r="AX183" s="1287"/>
      <c r="AY183" s="1287"/>
      <c r="AZ183" s="1287"/>
      <c r="BA183" s="1287"/>
      <c r="BB183" s="1287"/>
    </row>
    <row r="184" spans="1:69" ht="49.5">
      <c r="A184" s="437"/>
      <c r="B184" s="421"/>
      <c r="C184" s="437">
        <v>1</v>
      </c>
      <c r="D184" s="1404" t="s">
        <v>25</v>
      </c>
      <c r="E184" s="1404" t="s">
        <v>28</v>
      </c>
      <c r="F184" s="1404" t="s">
        <v>48</v>
      </c>
      <c r="G184" s="1404"/>
      <c r="H184" s="1409"/>
      <c r="I184" s="435" t="s">
        <v>469</v>
      </c>
      <c r="J184" s="429" t="s">
        <v>2595</v>
      </c>
      <c r="K184" s="1364">
        <v>6</v>
      </c>
      <c r="L184" s="436">
        <f>2*N184</f>
        <v>901524876</v>
      </c>
      <c r="M184" s="1364">
        <v>3</v>
      </c>
      <c r="N184" s="436">
        <f>450762438+'[1]RKPD 2017'!O189</f>
        <v>450762438</v>
      </c>
      <c r="O184" s="1457">
        <v>1</v>
      </c>
      <c r="P184" s="436">
        <v>155418827</v>
      </c>
      <c r="Q184" s="1363">
        <v>0</v>
      </c>
      <c r="R184" s="423">
        <v>16919450</v>
      </c>
      <c r="S184" s="2637">
        <v>0.03</v>
      </c>
      <c r="T184" s="423">
        <v>74436200</v>
      </c>
      <c r="U184" s="424"/>
      <c r="V184" s="423">
        <v>0</v>
      </c>
      <c r="W184" s="421">
        <v>0</v>
      </c>
      <c r="X184" s="423">
        <v>0</v>
      </c>
      <c r="Y184" s="1369">
        <f t="shared" si="53"/>
        <v>0.03</v>
      </c>
      <c r="Z184" s="1382">
        <f t="shared" si="54"/>
        <v>91355650</v>
      </c>
      <c r="AA184" s="1369">
        <f t="shared" si="57"/>
        <v>3.03</v>
      </c>
      <c r="AB184" s="1382">
        <f t="shared" si="55"/>
        <v>542118088</v>
      </c>
      <c r="AC184" s="1372">
        <f t="shared" si="58"/>
        <v>50.5</v>
      </c>
      <c r="AD184" s="1372">
        <f t="shared" si="59"/>
        <v>60.13345859133009</v>
      </c>
      <c r="AE184" s="2584"/>
    </row>
    <row r="185" spans="1:69" ht="49.5">
      <c r="A185" s="437"/>
      <c r="B185" s="421"/>
      <c r="C185" s="437">
        <v>1</v>
      </c>
      <c r="D185" s="1404" t="s">
        <v>25</v>
      </c>
      <c r="E185" s="1404" t="s">
        <v>28</v>
      </c>
      <c r="F185" s="1404" t="s">
        <v>48</v>
      </c>
      <c r="G185" s="1404"/>
      <c r="H185" s="1409"/>
      <c r="I185" s="435" t="s">
        <v>470</v>
      </c>
      <c r="J185" s="429" t="s">
        <v>2596</v>
      </c>
      <c r="K185" s="1364">
        <v>72</v>
      </c>
      <c r="L185" s="436">
        <v>485000000</v>
      </c>
      <c r="M185" s="1364">
        <v>36</v>
      </c>
      <c r="N185" s="436">
        <f>55314008+'[1]RKPD 2017'!O190</f>
        <v>55314008</v>
      </c>
      <c r="O185" s="1457">
        <v>12</v>
      </c>
      <c r="P185" s="436">
        <v>42816558</v>
      </c>
      <c r="Q185" s="1363">
        <v>3</v>
      </c>
      <c r="R185" s="423">
        <v>1725000</v>
      </c>
      <c r="S185" s="2637">
        <v>2.1000000000000001E-2</v>
      </c>
      <c r="T185" s="423">
        <v>2499750</v>
      </c>
      <c r="U185" s="424"/>
      <c r="V185" s="423">
        <v>0</v>
      </c>
      <c r="W185" s="421">
        <v>0</v>
      </c>
      <c r="X185" s="423">
        <v>0</v>
      </c>
      <c r="Y185" s="1369">
        <f t="shared" ref="Y185:Y216" si="60">Q185+S185+U185+W185</f>
        <v>3.0209999999999999</v>
      </c>
      <c r="Z185" s="1382">
        <f t="shared" ref="Z185:Z216" si="61">R185+T185+V185+X185</f>
        <v>4224750</v>
      </c>
      <c r="AA185" s="1369">
        <f t="shared" si="57"/>
        <v>39.021000000000001</v>
      </c>
      <c r="AB185" s="1382">
        <f t="shared" si="55"/>
        <v>59538758</v>
      </c>
      <c r="AC185" s="1372">
        <f t="shared" si="58"/>
        <v>54.195833333333333</v>
      </c>
      <c r="AD185" s="1372">
        <f t="shared" si="59"/>
        <v>12.276032577319587</v>
      </c>
      <c r="AE185" s="2584"/>
      <c r="AF185" s="201"/>
      <c r="AG185" s="201"/>
      <c r="AH185" s="201"/>
      <c r="AI185" s="201"/>
      <c r="AJ185" s="201"/>
      <c r="AK185" s="201"/>
      <c r="AL185" s="201"/>
      <c r="AM185" s="201"/>
      <c r="AN185" s="201"/>
      <c r="AO185" s="201"/>
      <c r="AP185" s="201"/>
      <c r="AQ185" s="201"/>
      <c r="AR185" s="201"/>
      <c r="AS185" s="201"/>
      <c r="AT185" s="201"/>
      <c r="AU185" s="201"/>
      <c r="AV185" s="201"/>
      <c r="AW185" s="201"/>
      <c r="AX185" s="201"/>
      <c r="AY185" s="201"/>
      <c r="AZ185" s="201"/>
      <c r="BA185" s="201"/>
      <c r="BB185" s="201"/>
      <c r="BC185" s="20"/>
      <c r="BD185" s="20"/>
      <c r="BE185" s="20"/>
      <c r="BF185" s="20"/>
      <c r="BG185" s="20"/>
      <c r="BH185" s="20"/>
      <c r="BI185" s="20"/>
      <c r="BJ185" s="20"/>
      <c r="BK185" s="20"/>
      <c r="BL185" s="20"/>
      <c r="BM185" s="20"/>
      <c r="BN185" s="20"/>
      <c r="BO185" s="20"/>
      <c r="BP185" s="20"/>
      <c r="BQ185" s="20"/>
    </row>
    <row r="186" spans="1:69" ht="49.5">
      <c r="A186" s="437"/>
      <c r="B186" s="421"/>
      <c r="C186" s="437">
        <v>1</v>
      </c>
      <c r="D186" s="1404" t="s">
        <v>25</v>
      </c>
      <c r="E186" s="1404" t="s">
        <v>28</v>
      </c>
      <c r="F186" s="1404" t="s">
        <v>48</v>
      </c>
      <c r="G186" s="1404"/>
      <c r="H186" s="1409"/>
      <c r="I186" s="435" t="s">
        <v>471</v>
      </c>
      <c r="J186" s="429" t="s">
        <v>2597</v>
      </c>
      <c r="K186" s="1364">
        <v>95</v>
      </c>
      <c r="L186" s="436">
        <v>757321500</v>
      </c>
      <c r="M186" s="1364">
        <v>48</v>
      </c>
      <c r="N186" s="436">
        <f>65831950+'[1]RKPD 2017'!O191</f>
        <v>65831950</v>
      </c>
      <c r="O186" s="1457">
        <v>16</v>
      </c>
      <c r="P186" s="436">
        <v>96548640</v>
      </c>
      <c r="Q186" s="1363">
        <v>5.0999999999999997E-2</v>
      </c>
      <c r="R186" s="423">
        <v>3409900</v>
      </c>
      <c r="S186" s="2637">
        <v>2.5000000000000001E-2</v>
      </c>
      <c r="T186" s="423">
        <v>7746350</v>
      </c>
      <c r="U186" s="424"/>
      <c r="V186" s="423">
        <v>0</v>
      </c>
      <c r="W186" s="421">
        <v>0</v>
      </c>
      <c r="X186" s="423">
        <v>0</v>
      </c>
      <c r="Y186" s="1369">
        <f t="shared" si="60"/>
        <v>7.5999999999999998E-2</v>
      </c>
      <c r="Z186" s="1382">
        <f t="shared" si="61"/>
        <v>11156250</v>
      </c>
      <c r="AA186" s="1369">
        <f t="shared" si="57"/>
        <v>48.076000000000001</v>
      </c>
      <c r="AB186" s="1382">
        <f t="shared" si="55"/>
        <v>76988200</v>
      </c>
      <c r="AC186" s="1372">
        <f t="shared" si="58"/>
        <v>50.60631578947369</v>
      </c>
      <c r="AD186" s="1372">
        <f t="shared" si="59"/>
        <v>10.165854264008086</v>
      </c>
      <c r="AE186" s="2584"/>
    </row>
    <row r="187" spans="1:69" ht="82.5">
      <c r="A187" s="437"/>
      <c r="B187" s="421"/>
      <c r="C187" s="437">
        <v>1</v>
      </c>
      <c r="D187" s="1404" t="s">
        <v>25</v>
      </c>
      <c r="E187" s="1404" t="s">
        <v>28</v>
      </c>
      <c r="F187" s="1404" t="s">
        <v>48</v>
      </c>
      <c r="G187" s="1404"/>
      <c r="H187" s="1409"/>
      <c r="I187" s="435" t="s">
        <v>472</v>
      </c>
      <c r="J187" s="429" t="s">
        <v>2598</v>
      </c>
      <c r="K187" s="1364">
        <v>72</v>
      </c>
      <c r="L187" s="436">
        <v>595000000</v>
      </c>
      <c r="M187" s="1364">
        <v>36</v>
      </c>
      <c r="N187" s="436">
        <f>41456000+'[1]RKPD 2017'!O192</f>
        <v>41456000</v>
      </c>
      <c r="O187" s="1457">
        <v>12</v>
      </c>
      <c r="P187" s="436">
        <v>59205645</v>
      </c>
      <c r="Q187" s="1363">
        <v>3</v>
      </c>
      <c r="R187" s="423">
        <v>1025000</v>
      </c>
      <c r="S187" s="2637">
        <v>3.2000000000000001E-2</v>
      </c>
      <c r="T187" s="423">
        <v>8713122</v>
      </c>
      <c r="U187" s="424"/>
      <c r="V187" s="423">
        <v>0</v>
      </c>
      <c r="W187" s="421">
        <v>0</v>
      </c>
      <c r="X187" s="423">
        <v>0</v>
      </c>
      <c r="Y187" s="1369">
        <f t="shared" si="60"/>
        <v>3.032</v>
      </c>
      <c r="Z187" s="1382">
        <f t="shared" si="61"/>
        <v>9738122</v>
      </c>
      <c r="AA187" s="1369">
        <f t="shared" si="57"/>
        <v>39.031999999999996</v>
      </c>
      <c r="AB187" s="1382">
        <f t="shared" si="55"/>
        <v>51194122</v>
      </c>
      <c r="AC187" s="1372">
        <f t="shared" si="58"/>
        <v>54.211111111111109</v>
      </c>
      <c r="AD187" s="1372">
        <f t="shared" si="59"/>
        <v>8.604054117647058</v>
      </c>
      <c r="AE187" s="2584"/>
    </row>
    <row r="188" spans="1:69" ht="49.5">
      <c r="A188" s="437"/>
      <c r="B188" s="421"/>
      <c r="C188" s="437">
        <v>1</v>
      </c>
      <c r="D188" s="1404" t="s">
        <v>25</v>
      </c>
      <c r="E188" s="1404" t="s">
        <v>28</v>
      </c>
      <c r="F188" s="1404" t="s">
        <v>48</v>
      </c>
      <c r="G188" s="1404"/>
      <c r="H188" s="1409"/>
      <c r="I188" s="435" t="s">
        <v>473</v>
      </c>
      <c r="J188" s="429" t="s">
        <v>2595</v>
      </c>
      <c r="K188" s="1364">
        <v>14</v>
      </c>
      <c r="L188" s="436">
        <v>4027035200</v>
      </c>
      <c r="M188" s="1364">
        <v>4</v>
      </c>
      <c r="N188" s="436">
        <f>885873884+'[1]RKPD 2017'!O193</f>
        <v>885873884</v>
      </c>
      <c r="O188" s="1457">
        <v>6</v>
      </c>
      <c r="P188" s="436">
        <v>1515058000</v>
      </c>
      <c r="Q188" s="1363">
        <v>3.6999999999999998E-2</v>
      </c>
      <c r="R188" s="423">
        <v>38740000</v>
      </c>
      <c r="S188" s="2637">
        <v>3.1E-2</v>
      </c>
      <c r="T188" s="423">
        <v>153682950</v>
      </c>
      <c r="U188" s="424"/>
      <c r="V188" s="423">
        <v>0</v>
      </c>
      <c r="W188" s="421">
        <v>0</v>
      </c>
      <c r="X188" s="423">
        <v>0</v>
      </c>
      <c r="Y188" s="1369">
        <f t="shared" si="60"/>
        <v>6.8000000000000005E-2</v>
      </c>
      <c r="Z188" s="1382">
        <f t="shared" si="61"/>
        <v>192422950</v>
      </c>
      <c r="AA188" s="1369">
        <f t="shared" si="57"/>
        <v>4.0679999999999996</v>
      </c>
      <c r="AB188" s="1382">
        <f t="shared" si="55"/>
        <v>1078296834</v>
      </c>
      <c r="AC188" s="1372">
        <f t="shared" si="58"/>
        <v>29.057142857142853</v>
      </c>
      <c r="AD188" s="1372">
        <f t="shared" si="59"/>
        <v>26.776444218813882</v>
      </c>
      <c r="AE188" s="2584"/>
    </row>
    <row r="189" spans="1:69" s="20" customFormat="1" ht="115.5">
      <c r="A189" s="1398">
        <v>11</v>
      </c>
      <c r="B189" s="439"/>
      <c r="C189" s="1398">
        <v>1</v>
      </c>
      <c r="D189" s="1402" t="s">
        <v>25</v>
      </c>
      <c r="E189" s="1402" t="s">
        <v>28</v>
      </c>
      <c r="F189" s="1402" t="s">
        <v>474</v>
      </c>
      <c r="G189" s="1402"/>
      <c r="H189" s="1406"/>
      <c r="I189" s="441" t="s">
        <v>475</v>
      </c>
      <c r="J189" s="186" t="s">
        <v>2599</v>
      </c>
      <c r="K189" s="1387">
        <v>100</v>
      </c>
      <c r="L189" s="911">
        <v>107046500000</v>
      </c>
      <c r="M189" s="1387">
        <v>50</v>
      </c>
      <c r="N189" s="444">
        <v>10009119676</v>
      </c>
      <c r="O189" s="1387">
        <v>20</v>
      </c>
      <c r="P189" s="444">
        <f>SUM(P190:P197)</f>
        <v>12753525890</v>
      </c>
      <c r="Q189" s="1362">
        <f>SUM(Q190:Q193)/4</f>
        <v>0.76200000000000001</v>
      </c>
      <c r="R189" s="444">
        <f>SUM(R190:R197)</f>
        <v>16443252</v>
      </c>
      <c r="S189" s="485"/>
      <c r="T189" s="444">
        <f>SUM(T190:T197)</f>
        <v>2010459779</v>
      </c>
      <c r="U189" s="485"/>
      <c r="V189" s="444">
        <f>SUM(V190:V197)</f>
        <v>0</v>
      </c>
      <c r="W189" s="439">
        <v>0</v>
      </c>
      <c r="X189" s="444">
        <f>SUM(X190:X197)</f>
        <v>0</v>
      </c>
      <c r="Y189" s="1367">
        <f t="shared" si="60"/>
        <v>0.76200000000000001</v>
      </c>
      <c r="Z189" s="1381">
        <f t="shared" si="61"/>
        <v>2026903031</v>
      </c>
      <c r="AA189" s="1367">
        <f t="shared" si="57"/>
        <v>50.762</v>
      </c>
      <c r="AB189" s="1381">
        <f t="shared" si="55"/>
        <v>12036022707</v>
      </c>
      <c r="AC189" s="1375">
        <f t="shared" si="58"/>
        <v>50.761999999999993</v>
      </c>
      <c r="AD189" s="1375">
        <f t="shared" si="59"/>
        <v>11.243733057129377</v>
      </c>
      <c r="AE189" s="2583" t="s">
        <v>418</v>
      </c>
      <c r="AF189" s="201"/>
      <c r="AG189" s="201"/>
      <c r="AH189" s="201"/>
      <c r="AI189" s="201"/>
      <c r="AJ189" s="201"/>
      <c r="AK189" s="201"/>
      <c r="AL189" s="201"/>
      <c r="AM189" s="201"/>
      <c r="AN189" s="201"/>
      <c r="AO189" s="201"/>
      <c r="AP189" s="201"/>
      <c r="AQ189" s="201"/>
      <c r="AR189" s="201"/>
      <c r="AS189" s="201"/>
      <c r="AT189" s="201"/>
      <c r="AU189" s="201"/>
      <c r="AV189" s="201"/>
      <c r="AW189" s="201"/>
      <c r="AX189" s="201"/>
      <c r="AY189" s="201"/>
      <c r="AZ189" s="201"/>
      <c r="BA189" s="201"/>
      <c r="BB189" s="201"/>
    </row>
    <row r="190" spans="1:69" ht="66">
      <c r="A190" s="437"/>
      <c r="B190" s="421"/>
      <c r="C190" s="437">
        <v>1</v>
      </c>
      <c r="D190" s="1404" t="s">
        <v>25</v>
      </c>
      <c r="E190" s="1404" t="s">
        <v>28</v>
      </c>
      <c r="F190" s="1404" t="s">
        <v>474</v>
      </c>
      <c r="G190" s="1404"/>
      <c r="H190" s="1409"/>
      <c r="I190" s="435" t="s">
        <v>476</v>
      </c>
      <c r="J190" s="429" t="s">
        <v>2600</v>
      </c>
      <c r="K190" s="1364">
        <v>6</v>
      </c>
      <c r="L190" s="436">
        <v>2400000000</v>
      </c>
      <c r="M190" s="1364">
        <v>2</v>
      </c>
      <c r="N190" s="436">
        <f>806600750+'[1]RKPD 2017'!O196</f>
        <v>806600750</v>
      </c>
      <c r="O190" s="1457">
        <v>1</v>
      </c>
      <c r="P190" s="436">
        <v>390000000</v>
      </c>
      <c r="Q190" s="1363">
        <v>1.2999999999999999E-2</v>
      </c>
      <c r="R190" s="421">
        <v>0</v>
      </c>
      <c r="S190" s="424"/>
      <c r="T190" s="423">
        <v>0</v>
      </c>
      <c r="U190" s="421"/>
      <c r="V190" s="421"/>
      <c r="W190" s="421">
        <v>0</v>
      </c>
      <c r="X190" s="423">
        <v>0</v>
      </c>
      <c r="Y190" s="1369">
        <f t="shared" si="60"/>
        <v>1.2999999999999999E-2</v>
      </c>
      <c r="Z190" s="1382">
        <f t="shared" si="61"/>
        <v>0</v>
      </c>
      <c r="AA190" s="1369">
        <f t="shared" si="57"/>
        <v>2.0129999999999999</v>
      </c>
      <c r="AB190" s="1382">
        <f t="shared" si="55"/>
        <v>806600750</v>
      </c>
      <c r="AC190" s="1372">
        <f t="shared" si="58"/>
        <v>33.549999999999997</v>
      </c>
      <c r="AD190" s="1372">
        <f t="shared" si="59"/>
        <v>33.608364583333334</v>
      </c>
      <c r="AE190" s="2584"/>
    </row>
    <row r="191" spans="1:69" ht="49.5">
      <c r="A191" s="437"/>
      <c r="B191" s="421"/>
      <c r="C191" s="437">
        <v>1</v>
      </c>
      <c r="D191" s="1404" t="s">
        <v>25</v>
      </c>
      <c r="E191" s="1404" t="s">
        <v>28</v>
      </c>
      <c r="F191" s="1404" t="s">
        <v>474</v>
      </c>
      <c r="G191" s="1404"/>
      <c r="H191" s="1409"/>
      <c r="I191" s="435" t="s">
        <v>477</v>
      </c>
      <c r="J191" s="429" t="s">
        <v>2601</v>
      </c>
      <c r="K191" s="1364">
        <v>10</v>
      </c>
      <c r="L191" s="436">
        <v>12346500000</v>
      </c>
      <c r="M191" s="1364">
        <v>2</v>
      </c>
      <c r="N191" s="436">
        <f>1230110000+'[1]RKPD 2017'!O197</f>
        <v>1230110000</v>
      </c>
      <c r="O191" s="1457">
        <v>3</v>
      </c>
      <c r="P191" s="436">
        <v>4332000000</v>
      </c>
      <c r="Q191" s="1363">
        <v>1.2E-2</v>
      </c>
      <c r="R191" s="421">
        <v>0</v>
      </c>
      <c r="S191" s="424"/>
      <c r="T191" s="423">
        <v>0</v>
      </c>
      <c r="U191" s="430"/>
      <c r="V191" s="423">
        <v>0</v>
      </c>
      <c r="W191" s="421">
        <v>0</v>
      </c>
      <c r="X191" s="423">
        <v>0</v>
      </c>
      <c r="Y191" s="1369">
        <f t="shared" si="60"/>
        <v>1.2E-2</v>
      </c>
      <c r="Z191" s="1382">
        <f t="shared" si="61"/>
        <v>0</v>
      </c>
      <c r="AA191" s="1369">
        <f t="shared" si="57"/>
        <v>2.012</v>
      </c>
      <c r="AB191" s="1382">
        <f t="shared" si="55"/>
        <v>1230110000</v>
      </c>
      <c r="AC191" s="1372">
        <f t="shared" si="58"/>
        <v>20.119999999999997</v>
      </c>
      <c r="AD191" s="1372">
        <f t="shared" si="59"/>
        <v>9.9632284453083866</v>
      </c>
      <c r="AE191" s="2584"/>
    </row>
    <row r="192" spans="1:69" ht="49.5">
      <c r="A192" s="437"/>
      <c r="B192" s="421"/>
      <c r="C192" s="437">
        <v>1</v>
      </c>
      <c r="D192" s="1404" t="s">
        <v>25</v>
      </c>
      <c r="E192" s="1404" t="s">
        <v>28</v>
      </c>
      <c r="F192" s="1404" t="s">
        <v>474</v>
      </c>
      <c r="G192" s="1404"/>
      <c r="H192" s="1409"/>
      <c r="I192" s="435" t="s">
        <v>2602</v>
      </c>
      <c r="J192" s="429" t="s">
        <v>2606</v>
      </c>
      <c r="K192" s="1364">
        <v>72</v>
      </c>
      <c r="L192" s="436">
        <v>34000000000</v>
      </c>
      <c r="M192" s="1364">
        <v>36</v>
      </c>
      <c r="N192" s="436">
        <f>4517922476+'[1]RKPD 2017'!O198</f>
        <v>4517922476</v>
      </c>
      <c r="O192" s="1457">
        <v>12</v>
      </c>
      <c r="P192" s="436">
        <v>2072950306</v>
      </c>
      <c r="Q192" s="1363">
        <v>3</v>
      </c>
      <c r="R192" s="423">
        <v>5528002</v>
      </c>
      <c r="S192" s="2637">
        <v>1.2999999999999999E-2</v>
      </c>
      <c r="T192" s="423">
        <v>451529750</v>
      </c>
      <c r="U192" s="430"/>
      <c r="V192" s="423">
        <v>0</v>
      </c>
      <c r="W192" s="421">
        <v>0</v>
      </c>
      <c r="X192" s="423">
        <v>0</v>
      </c>
      <c r="Y192" s="1369">
        <f t="shared" si="60"/>
        <v>3.0129999999999999</v>
      </c>
      <c r="Z192" s="1382">
        <f t="shared" si="61"/>
        <v>457057752</v>
      </c>
      <c r="AA192" s="1369">
        <f t="shared" si="57"/>
        <v>39.012999999999998</v>
      </c>
      <c r="AB192" s="1382">
        <f t="shared" si="55"/>
        <v>4974980228</v>
      </c>
      <c r="AC192" s="1372">
        <f t="shared" si="58"/>
        <v>54.184722222222213</v>
      </c>
      <c r="AD192" s="1372">
        <f t="shared" si="59"/>
        <v>14.632294788235296</v>
      </c>
      <c r="AE192" s="2584"/>
    </row>
    <row r="193" spans="1:69" ht="49.5">
      <c r="A193" s="437"/>
      <c r="B193" s="421"/>
      <c r="C193" s="437">
        <v>1</v>
      </c>
      <c r="D193" s="1404" t="s">
        <v>25</v>
      </c>
      <c r="E193" s="1404" t="s">
        <v>28</v>
      </c>
      <c r="F193" s="1404" t="s">
        <v>474</v>
      </c>
      <c r="G193" s="1404"/>
      <c r="H193" s="1409"/>
      <c r="I193" s="435" t="s">
        <v>479</v>
      </c>
      <c r="J193" s="429" t="s">
        <v>478</v>
      </c>
      <c r="K193" s="1384">
        <v>4</v>
      </c>
      <c r="L193" s="436">
        <v>4150000000</v>
      </c>
      <c r="M193" s="1364">
        <v>1</v>
      </c>
      <c r="N193" s="436">
        <v>461938750</v>
      </c>
      <c r="O193" s="1457">
        <v>1</v>
      </c>
      <c r="P193" s="436">
        <v>306839526</v>
      </c>
      <c r="Q193" s="1363">
        <v>2.3E-2</v>
      </c>
      <c r="R193" s="423">
        <v>8927250</v>
      </c>
      <c r="S193" s="2637">
        <v>1.2E-2</v>
      </c>
      <c r="T193" s="423">
        <v>84733450</v>
      </c>
      <c r="U193" s="430"/>
      <c r="V193" s="423">
        <v>0</v>
      </c>
      <c r="W193" s="421">
        <v>0</v>
      </c>
      <c r="X193" s="423">
        <v>0</v>
      </c>
      <c r="Y193" s="1369">
        <f t="shared" si="60"/>
        <v>3.5000000000000003E-2</v>
      </c>
      <c r="Z193" s="1382">
        <f t="shared" si="61"/>
        <v>93660700</v>
      </c>
      <c r="AA193" s="1369">
        <f t="shared" si="57"/>
        <v>1.0349999999999999</v>
      </c>
      <c r="AB193" s="1382">
        <f t="shared" si="55"/>
        <v>555599450</v>
      </c>
      <c r="AC193" s="1372">
        <f t="shared" si="58"/>
        <v>25.874999999999996</v>
      </c>
      <c r="AD193" s="1372">
        <f t="shared" si="59"/>
        <v>13.387938554216868</v>
      </c>
      <c r="AE193" s="2584"/>
      <c r="AF193" s="201"/>
      <c r="AG193" s="201"/>
      <c r="AH193" s="201"/>
      <c r="AI193" s="201"/>
      <c r="AJ193" s="201"/>
      <c r="AK193" s="201"/>
      <c r="AL193" s="201"/>
      <c r="AM193" s="201"/>
      <c r="AN193" s="201"/>
      <c r="AO193" s="201"/>
      <c r="AP193" s="201"/>
      <c r="AQ193" s="201"/>
      <c r="AR193" s="201"/>
      <c r="AS193" s="201"/>
      <c r="AT193" s="201"/>
      <c r="AU193" s="201"/>
      <c r="AV193" s="201"/>
      <c r="AW193" s="201"/>
      <c r="AX193" s="201"/>
      <c r="AY193" s="201"/>
      <c r="AZ193" s="201"/>
      <c r="BA193" s="201"/>
      <c r="BB193" s="201"/>
      <c r="BC193" s="20"/>
      <c r="BD193" s="20"/>
      <c r="BE193" s="20"/>
      <c r="BF193" s="20"/>
      <c r="BG193" s="20"/>
      <c r="BH193" s="20"/>
      <c r="BI193" s="20"/>
      <c r="BJ193" s="20"/>
      <c r="BK193" s="20"/>
      <c r="BL193" s="20"/>
      <c r="BM193" s="20"/>
      <c r="BN193" s="20"/>
      <c r="BO193" s="20"/>
      <c r="BP193" s="20"/>
      <c r="BQ193" s="20"/>
    </row>
    <row r="194" spans="1:69" ht="66">
      <c r="A194" s="437"/>
      <c r="B194" s="421"/>
      <c r="C194" s="437">
        <v>1</v>
      </c>
      <c r="D194" s="1404" t="s">
        <v>25</v>
      </c>
      <c r="E194" s="1404" t="s">
        <v>28</v>
      </c>
      <c r="F194" s="1404" t="s">
        <v>474</v>
      </c>
      <c r="G194" s="1404"/>
      <c r="H194" s="1409"/>
      <c r="I194" s="435" t="s">
        <v>480</v>
      </c>
      <c r="J194" s="429" t="s">
        <v>2603</v>
      </c>
      <c r="K194" s="1364">
        <v>1</v>
      </c>
      <c r="L194" s="436">
        <f>P194</f>
        <v>3933736500</v>
      </c>
      <c r="M194" s="1364"/>
      <c r="N194" s="436"/>
      <c r="O194" s="1457">
        <v>1</v>
      </c>
      <c r="P194" s="436">
        <v>3933736500</v>
      </c>
      <c r="Q194" s="1363">
        <v>1.4999999999999999E-2</v>
      </c>
      <c r="R194" s="423">
        <v>1988000</v>
      </c>
      <c r="S194" s="2637">
        <v>2.1000000000000001E-2</v>
      </c>
      <c r="T194" s="423">
        <v>1032221779</v>
      </c>
      <c r="U194" s="430"/>
      <c r="V194" s="423">
        <v>0</v>
      </c>
      <c r="W194" s="421">
        <v>0</v>
      </c>
      <c r="X194" s="423">
        <v>0</v>
      </c>
      <c r="Y194" s="1369">
        <f t="shared" si="60"/>
        <v>3.6000000000000004E-2</v>
      </c>
      <c r="Z194" s="1382">
        <f t="shared" si="61"/>
        <v>1034209779</v>
      </c>
      <c r="AA194" s="1369">
        <f t="shared" si="57"/>
        <v>3.6000000000000004E-2</v>
      </c>
      <c r="AB194" s="1382">
        <f t="shared" ref="AB194:AB222" si="62">N194+Z194</f>
        <v>1034209779</v>
      </c>
      <c r="AC194" s="1372">
        <f t="shared" si="58"/>
        <v>3.6000000000000005</v>
      </c>
      <c r="AD194" s="1372">
        <f t="shared" si="59"/>
        <v>26.290774153276409</v>
      </c>
      <c r="AE194" s="2584"/>
    </row>
    <row r="195" spans="1:69" ht="49.5">
      <c r="A195" s="437"/>
      <c r="B195" s="421"/>
      <c r="C195" s="437">
        <v>1</v>
      </c>
      <c r="D195" s="1404" t="s">
        <v>25</v>
      </c>
      <c r="E195" s="1404" t="s">
        <v>28</v>
      </c>
      <c r="F195" s="1404" t="s">
        <v>474</v>
      </c>
      <c r="G195" s="1404"/>
      <c r="H195" s="1409"/>
      <c r="I195" s="435" t="s">
        <v>481</v>
      </c>
      <c r="J195" s="429" t="s">
        <v>2604</v>
      </c>
      <c r="K195" s="1364">
        <v>6</v>
      </c>
      <c r="L195" s="436">
        <v>7400000000</v>
      </c>
      <c r="M195" s="1364">
        <v>3</v>
      </c>
      <c r="N195" s="436">
        <f>679375000+'[1]RKPD 2017'!O201</f>
        <v>679375000</v>
      </c>
      <c r="O195" s="1457">
        <v>1</v>
      </c>
      <c r="P195" s="436">
        <v>843000000</v>
      </c>
      <c r="Q195" s="1363">
        <v>1.4999999999999999E-2</v>
      </c>
      <c r="R195" s="421">
        <v>0</v>
      </c>
      <c r="S195" s="2637">
        <v>1.2E-2</v>
      </c>
      <c r="T195" s="423">
        <v>441974800</v>
      </c>
      <c r="U195" s="430"/>
      <c r="V195" s="421">
        <v>0</v>
      </c>
      <c r="W195" s="421">
        <v>0</v>
      </c>
      <c r="X195" s="423">
        <v>0</v>
      </c>
      <c r="Y195" s="1369">
        <f t="shared" si="60"/>
        <v>2.7E-2</v>
      </c>
      <c r="Z195" s="1382">
        <f t="shared" si="61"/>
        <v>441974800</v>
      </c>
      <c r="AA195" s="1369">
        <f t="shared" si="57"/>
        <v>3.0270000000000001</v>
      </c>
      <c r="AB195" s="1382">
        <f t="shared" si="62"/>
        <v>1121349800</v>
      </c>
      <c r="AC195" s="1372">
        <f t="shared" si="58"/>
        <v>50.45</v>
      </c>
      <c r="AD195" s="1372">
        <f t="shared" si="59"/>
        <v>15.153375675675676</v>
      </c>
      <c r="AE195" s="2584"/>
    </row>
    <row r="196" spans="1:69" ht="49.5">
      <c r="A196" s="437"/>
      <c r="B196" s="421"/>
      <c r="C196" s="437">
        <v>1</v>
      </c>
      <c r="D196" s="1404" t="s">
        <v>25</v>
      </c>
      <c r="E196" s="1404" t="s">
        <v>28</v>
      </c>
      <c r="F196" s="1404" t="s">
        <v>474</v>
      </c>
      <c r="G196" s="437"/>
      <c r="H196" s="1409"/>
      <c r="I196" s="435" t="s">
        <v>482</v>
      </c>
      <c r="J196" s="429" t="s">
        <v>2605</v>
      </c>
      <c r="K196" s="1364">
        <v>36</v>
      </c>
      <c r="L196" s="436">
        <f>3*P196</f>
        <v>224998674</v>
      </c>
      <c r="M196" s="1364">
        <v>0</v>
      </c>
      <c r="N196" s="436">
        <v>0</v>
      </c>
      <c r="O196" s="1457">
        <v>12</v>
      </c>
      <c r="P196" s="436">
        <v>74999558</v>
      </c>
      <c r="Q196" s="1363">
        <v>3</v>
      </c>
      <c r="R196" s="421"/>
      <c r="S196" s="424"/>
      <c r="T196" s="423"/>
      <c r="U196" s="430"/>
      <c r="V196" s="421"/>
      <c r="W196" s="421"/>
      <c r="X196" s="423"/>
      <c r="Y196" s="1369">
        <f t="shared" si="60"/>
        <v>3</v>
      </c>
      <c r="Z196" s="1382">
        <f t="shared" si="61"/>
        <v>0</v>
      </c>
      <c r="AA196" s="1369">
        <f t="shared" si="57"/>
        <v>3</v>
      </c>
      <c r="AB196" s="1382">
        <f t="shared" si="62"/>
        <v>0</v>
      </c>
      <c r="AC196" s="1372">
        <f t="shared" si="58"/>
        <v>8.3333333333333321</v>
      </c>
      <c r="AD196" s="1372">
        <f t="shared" si="59"/>
        <v>0</v>
      </c>
      <c r="AE196" s="2584"/>
    </row>
    <row r="197" spans="1:69" ht="49.5">
      <c r="A197" s="437"/>
      <c r="B197" s="421"/>
      <c r="C197" s="437">
        <v>1</v>
      </c>
      <c r="D197" s="1404" t="s">
        <v>25</v>
      </c>
      <c r="E197" s="1404" t="s">
        <v>28</v>
      </c>
      <c r="F197" s="1404" t="s">
        <v>474</v>
      </c>
      <c r="G197" s="1404"/>
      <c r="H197" s="1409"/>
      <c r="I197" s="435" t="s">
        <v>483</v>
      </c>
      <c r="J197" s="429" t="s">
        <v>2607</v>
      </c>
      <c r="K197" s="1364">
        <v>6</v>
      </c>
      <c r="L197" s="436">
        <v>8800000000</v>
      </c>
      <c r="M197" s="1364">
        <v>1</v>
      </c>
      <c r="N197" s="436">
        <v>1061304000</v>
      </c>
      <c r="O197" s="1364">
        <v>1</v>
      </c>
      <c r="P197" s="436">
        <v>800000000</v>
      </c>
      <c r="Q197" s="1363">
        <v>0</v>
      </c>
      <c r="R197" s="421">
        <v>0</v>
      </c>
      <c r="S197" s="424"/>
      <c r="T197" s="423">
        <v>0</v>
      </c>
      <c r="U197" s="430"/>
      <c r="V197" s="421">
        <v>0</v>
      </c>
      <c r="W197" s="421">
        <v>0</v>
      </c>
      <c r="X197" s="423">
        <v>0</v>
      </c>
      <c r="Y197" s="1369">
        <f t="shared" si="60"/>
        <v>0</v>
      </c>
      <c r="Z197" s="1382">
        <f t="shared" si="61"/>
        <v>0</v>
      </c>
      <c r="AA197" s="1369">
        <f t="shared" si="57"/>
        <v>1</v>
      </c>
      <c r="AB197" s="1382">
        <f t="shared" si="62"/>
        <v>1061304000</v>
      </c>
      <c r="AC197" s="1372">
        <f t="shared" si="58"/>
        <v>16.666666666666664</v>
      </c>
      <c r="AD197" s="1372">
        <f t="shared" si="59"/>
        <v>12.060272727272729</v>
      </c>
      <c r="AE197" s="2584"/>
    </row>
    <row r="198" spans="1:69" s="20" customFormat="1" ht="66">
      <c r="A198" s="1398">
        <v>12</v>
      </c>
      <c r="B198" s="439"/>
      <c r="C198" s="1398">
        <v>1</v>
      </c>
      <c r="D198" s="1402" t="s">
        <v>25</v>
      </c>
      <c r="E198" s="1402" t="s">
        <v>28</v>
      </c>
      <c r="F198" s="1402" t="s">
        <v>50</v>
      </c>
      <c r="G198" s="1402"/>
      <c r="H198" s="1406"/>
      <c r="I198" s="441" t="s">
        <v>484</v>
      </c>
      <c r="J198" s="186" t="s">
        <v>2608</v>
      </c>
      <c r="K198" s="1387">
        <v>100</v>
      </c>
      <c r="L198" s="911">
        <v>180684091900</v>
      </c>
      <c r="M198" s="1362">
        <v>85</v>
      </c>
      <c r="N198" s="444">
        <f>SUM(N199:N202)</f>
        <v>76420377950</v>
      </c>
      <c r="O198" s="1387">
        <v>5</v>
      </c>
      <c r="P198" s="444">
        <f>SUM(P199:P202)</f>
        <v>27337639353</v>
      </c>
      <c r="Q198" s="1362">
        <f>SUM(Q199:Q202)/4</f>
        <v>3</v>
      </c>
      <c r="R198" s="445">
        <f>SUM(R199:R202)</f>
        <v>790752434</v>
      </c>
      <c r="S198" s="485">
        <v>3.1E-2</v>
      </c>
      <c r="T198" s="444">
        <f>SUM(T199:T202)</f>
        <v>13324803607</v>
      </c>
      <c r="U198" s="485"/>
      <c r="V198" s="444">
        <f>SUM(V199:V202)</f>
        <v>0</v>
      </c>
      <c r="W198" s="439">
        <v>0</v>
      </c>
      <c r="X198" s="444">
        <v>0</v>
      </c>
      <c r="Y198" s="1367">
        <f t="shared" si="60"/>
        <v>3.0310000000000001</v>
      </c>
      <c r="Z198" s="1381">
        <f t="shared" si="61"/>
        <v>14115556041</v>
      </c>
      <c r="AA198" s="1367">
        <f t="shared" si="57"/>
        <v>88.031000000000006</v>
      </c>
      <c r="AB198" s="1381">
        <f t="shared" si="62"/>
        <v>90535933991</v>
      </c>
      <c r="AC198" s="1375">
        <f t="shared" si="58"/>
        <v>88.031000000000006</v>
      </c>
      <c r="AD198" s="1375">
        <f t="shared" si="59"/>
        <v>50.107307754081255</v>
      </c>
      <c r="AE198" s="2583" t="s">
        <v>418</v>
      </c>
      <c r="AF198" s="201"/>
      <c r="AG198" s="201"/>
      <c r="AH198" s="201"/>
      <c r="AI198" s="201"/>
      <c r="AJ198" s="201"/>
      <c r="AK198" s="201"/>
      <c r="AL198" s="201"/>
      <c r="AM198" s="201"/>
      <c r="AN198" s="201"/>
      <c r="AO198" s="201"/>
      <c r="AP198" s="201"/>
      <c r="AQ198" s="201"/>
      <c r="AR198" s="201"/>
      <c r="AS198" s="201"/>
      <c r="AT198" s="201"/>
      <c r="AU198" s="201"/>
      <c r="AV198" s="201"/>
      <c r="AW198" s="201"/>
      <c r="AX198" s="201"/>
      <c r="AY198" s="201"/>
      <c r="AZ198" s="201"/>
      <c r="BA198" s="201"/>
      <c r="BB198" s="201"/>
    </row>
    <row r="199" spans="1:69" ht="49.5">
      <c r="A199" s="437"/>
      <c r="B199" s="421"/>
      <c r="C199" s="437">
        <v>1</v>
      </c>
      <c r="D199" s="1404" t="s">
        <v>25</v>
      </c>
      <c r="E199" s="1404" t="s">
        <v>28</v>
      </c>
      <c r="F199" s="1404" t="s">
        <v>50</v>
      </c>
      <c r="G199" s="1404"/>
      <c r="H199" s="1409"/>
      <c r="I199" s="435" t="s">
        <v>485</v>
      </c>
      <c r="J199" s="429" t="s">
        <v>2609</v>
      </c>
      <c r="K199" s="1364">
        <v>72</v>
      </c>
      <c r="L199" s="436">
        <v>38975000000</v>
      </c>
      <c r="M199" s="1364">
        <v>36</v>
      </c>
      <c r="N199" s="436">
        <f>3*5500000000</f>
        <v>16500000000</v>
      </c>
      <c r="O199" s="1457">
        <v>12</v>
      </c>
      <c r="P199" s="436">
        <v>6744613929</v>
      </c>
      <c r="Q199" s="1363">
        <v>3</v>
      </c>
      <c r="R199" s="423">
        <v>15208750</v>
      </c>
      <c r="S199" s="2637">
        <v>0.04</v>
      </c>
      <c r="T199" s="423">
        <v>5163608750</v>
      </c>
      <c r="U199" s="424"/>
      <c r="V199" s="423">
        <v>0</v>
      </c>
      <c r="W199" s="421">
        <v>0</v>
      </c>
      <c r="X199" s="423">
        <v>0</v>
      </c>
      <c r="Y199" s="1369">
        <f t="shared" si="60"/>
        <v>3.04</v>
      </c>
      <c r="Z199" s="1382">
        <f t="shared" si="61"/>
        <v>5178817500</v>
      </c>
      <c r="AA199" s="1369">
        <f t="shared" si="57"/>
        <v>39.04</v>
      </c>
      <c r="AB199" s="1382">
        <f t="shared" si="62"/>
        <v>21678817500</v>
      </c>
      <c r="AC199" s="1372">
        <f t="shared" si="58"/>
        <v>54.222222222222214</v>
      </c>
      <c r="AD199" s="1372">
        <f t="shared" si="59"/>
        <v>55.622366901860168</v>
      </c>
      <c r="AE199" s="2584"/>
    </row>
    <row r="200" spans="1:69" ht="66">
      <c r="A200" s="437"/>
      <c r="B200" s="421"/>
      <c r="C200" s="437">
        <v>1</v>
      </c>
      <c r="D200" s="1404" t="s">
        <v>25</v>
      </c>
      <c r="E200" s="1404" t="s">
        <v>28</v>
      </c>
      <c r="F200" s="437">
        <v>28</v>
      </c>
      <c r="G200" s="437"/>
      <c r="H200" s="1409"/>
      <c r="I200" s="435" t="s">
        <v>486</v>
      </c>
      <c r="J200" s="429" t="s">
        <v>2610</v>
      </c>
      <c r="K200" s="1364">
        <v>72</v>
      </c>
      <c r="L200" s="436">
        <v>4029091900</v>
      </c>
      <c r="M200" s="1364">
        <v>36</v>
      </c>
      <c r="N200" s="436">
        <f>L200/2</f>
        <v>2014545950</v>
      </c>
      <c r="O200" s="1364">
        <v>12</v>
      </c>
      <c r="P200" s="436">
        <v>1291081424</v>
      </c>
      <c r="Q200" s="1363">
        <v>3</v>
      </c>
      <c r="R200" s="423">
        <v>69138790</v>
      </c>
      <c r="S200" s="2637">
        <v>0.03</v>
      </c>
      <c r="T200" s="423">
        <v>157833750</v>
      </c>
      <c r="U200" s="424"/>
      <c r="V200" s="423">
        <v>0</v>
      </c>
      <c r="W200" s="421">
        <v>0</v>
      </c>
      <c r="X200" s="423">
        <v>0</v>
      </c>
      <c r="Y200" s="1369">
        <f t="shared" si="60"/>
        <v>3.03</v>
      </c>
      <c r="Z200" s="1382">
        <f t="shared" si="61"/>
        <v>226972540</v>
      </c>
      <c r="AA200" s="1369">
        <f t="shared" si="57"/>
        <v>39.03</v>
      </c>
      <c r="AB200" s="1382">
        <f t="shared" si="62"/>
        <v>2241518490</v>
      </c>
      <c r="AC200" s="1372">
        <f t="shared" si="58"/>
        <v>54.208333333333336</v>
      </c>
      <c r="AD200" s="1372">
        <f t="shared" si="59"/>
        <v>55.633342341980338</v>
      </c>
      <c r="AE200" s="2584"/>
      <c r="AF200" s="201"/>
      <c r="AG200" s="201"/>
      <c r="AH200" s="201"/>
      <c r="AI200" s="201"/>
      <c r="AJ200" s="201"/>
      <c r="AK200" s="201"/>
      <c r="AL200" s="201"/>
      <c r="AM200" s="201"/>
      <c r="AN200" s="201"/>
      <c r="AO200" s="201"/>
      <c r="AP200" s="201"/>
      <c r="AQ200" s="201"/>
      <c r="AR200" s="201"/>
      <c r="AS200" s="201"/>
      <c r="AT200" s="201"/>
      <c r="AU200" s="201"/>
      <c r="AV200" s="201"/>
      <c r="AW200" s="201"/>
      <c r="AX200" s="201"/>
      <c r="AY200" s="201"/>
      <c r="AZ200" s="201"/>
      <c r="BA200" s="201"/>
      <c r="BB200" s="201"/>
      <c r="BC200" s="20"/>
      <c r="BD200" s="20"/>
      <c r="BE200" s="20"/>
      <c r="BF200" s="20"/>
      <c r="BG200" s="20"/>
      <c r="BH200" s="20"/>
      <c r="BI200" s="20"/>
      <c r="BJ200" s="20"/>
      <c r="BK200" s="20"/>
      <c r="BL200" s="20"/>
      <c r="BM200" s="20"/>
      <c r="BN200" s="20"/>
      <c r="BO200" s="20"/>
      <c r="BP200" s="20"/>
      <c r="BQ200" s="20"/>
    </row>
    <row r="201" spans="1:69" ht="66">
      <c r="A201" s="437"/>
      <c r="B201" s="421"/>
      <c r="C201" s="437">
        <v>1</v>
      </c>
      <c r="D201" s="1404" t="s">
        <v>25</v>
      </c>
      <c r="E201" s="1404" t="s">
        <v>28</v>
      </c>
      <c r="F201" s="437">
        <v>28</v>
      </c>
      <c r="G201" s="437"/>
      <c r="H201" s="1409"/>
      <c r="I201" s="435" t="s">
        <v>487</v>
      </c>
      <c r="J201" s="429" t="s">
        <v>2611</v>
      </c>
      <c r="K201" s="1364">
        <v>72</v>
      </c>
      <c r="L201" s="436">
        <v>123500000000</v>
      </c>
      <c r="M201" s="1364">
        <v>36</v>
      </c>
      <c r="N201" s="436">
        <f>3*P201</f>
        <v>52787832000</v>
      </c>
      <c r="O201" s="1364">
        <f>K201/6</f>
        <v>12</v>
      </c>
      <c r="P201" s="436">
        <v>17595944000</v>
      </c>
      <c r="Q201" s="1363">
        <v>3</v>
      </c>
      <c r="R201" s="426">
        <v>706404894</v>
      </c>
      <c r="S201" s="2637">
        <v>2.5000000000000001E-2</v>
      </c>
      <c r="T201" s="423">
        <v>6806400021</v>
      </c>
      <c r="U201" s="424"/>
      <c r="V201" s="423">
        <v>0</v>
      </c>
      <c r="W201" s="421">
        <v>0</v>
      </c>
      <c r="X201" s="423">
        <v>0</v>
      </c>
      <c r="Y201" s="1369">
        <f t="shared" si="60"/>
        <v>3.0249999999999999</v>
      </c>
      <c r="Z201" s="1382">
        <f t="shared" si="61"/>
        <v>7512804915</v>
      </c>
      <c r="AA201" s="1369">
        <f t="shared" si="57"/>
        <v>39.024999999999999</v>
      </c>
      <c r="AB201" s="1382">
        <f t="shared" si="62"/>
        <v>60300636915</v>
      </c>
      <c r="AC201" s="1372">
        <f t="shared" si="58"/>
        <v>54.201388888888893</v>
      </c>
      <c r="AD201" s="1372">
        <f t="shared" si="59"/>
        <v>48.826426651821862</v>
      </c>
      <c r="AE201" s="2584"/>
    </row>
    <row r="202" spans="1:69" ht="66">
      <c r="A202" s="437"/>
      <c r="B202" s="421"/>
      <c r="C202" s="437">
        <v>1</v>
      </c>
      <c r="D202" s="1404" t="s">
        <v>25</v>
      </c>
      <c r="E202" s="1404" t="s">
        <v>28</v>
      </c>
      <c r="F202" s="437">
        <v>28</v>
      </c>
      <c r="G202" s="437"/>
      <c r="H202" s="1409"/>
      <c r="I202" s="435" t="s">
        <v>488</v>
      </c>
      <c r="J202" s="429" t="s">
        <v>2612</v>
      </c>
      <c r="K202" s="1364">
        <v>72</v>
      </c>
      <c r="L202" s="436">
        <f>6*P202</f>
        <v>10236000000</v>
      </c>
      <c r="M202" s="1364">
        <v>36</v>
      </c>
      <c r="N202" s="436">
        <f>3*P202</f>
        <v>5118000000</v>
      </c>
      <c r="O202" s="1364">
        <v>12</v>
      </c>
      <c r="P202" s="436">
        <v>1706000000</v>
      </c>
      <c r="Q202" s="1363">
        <v>3</v>
      </c>
      <c r="R202" s="426">
        <v>0</v>
      </c>
      <c r="S202" s="2637">
        <v>2.8000000000000001E-2</v>
      </c>
      <c r="T202" s="423">
        <v>1196961086</v>
      </c>
      <c r="U202" s="424"/>
      <c r="V202" s="423">
        <v>0</v>
      </c>
      <c r="W202" s="421">
        <v>0</v>
      </c>
      <c r="X202" s="423">
        <v>0</v>
      </c>
      <c r="Y202" s="1369">
        <f t="shared" si="60"/>
        <v>3.028</v>
      </c>
      <c r="Z202" s="1382">
        <f t="shared" si="61"/>
        <v>1196961086</v>
      </c>
      <c r="AA202" s="1369">
        <f t="shared" si="57"/>
        <v>39.027999999999999</v>
      </c>
      <c r="AB202" s="1382">
        <f t="shared" si="62"/>
        <v>6314961086</v>
      </c>
      <c r="AC202" s="1372">
        <f t="shared" si="58"/>
        <v>54.205555555555549</v>
      </c>
      <c r="AD202" s="1372">
        <f t="shared" si="59"/>
        <v>61.693640933958584</v>
      </c>
      <c r="AE202" s="2584"/>
    </row>
    <row r="203" spans="1:69" s="20" customFormat="1" ht="82.5">
      <c r="A203" s="1398">
        <v>13</v>
      </c>
      <c r="B203" s="439"/>
      <c r="C203" s="1398">
        <v>1</v>
      </c>
      <c r="D203" s="1402" t="s">
        <v>25</v>
      </c>
      <c r="E203" s="1402" t="s">
        <v>28</v>
      </c>
      <c r="F203" s="1398">
        <v>30</v>
      </c>
      <c r="G203" s="1398"/>
      <c r="H203" s="1403"/>
      <c r="I203" s="486" t="s">
        <v>489</v>
      </c>
      <c r="J203" s="186" t="s">
        <v>2613</v>
      </c>
      <c r="K203" s="1387">
        <v>85</v>
      </c>
      <c r="L203" s="912">
        <f t="shared" ref="L203:V203" si="63">L204</f>
        <v>535000000</v>
      </c>
      <c r="M203" s="1387">
        <v>70</v>
      </c>
      <c r="N203" s="445">
        <f t="shared" si="63"/>
        <v>267500000</v>
      </c>
      <c r="O203" s="1387">
        <v>5</v>
      </c>
      <c r="P203" s="452">
        <f t="shared" si="63"/>
        <v>165691050</v>
      </c>
      <c r="Q203" s="1362">
        <f t="shared" si="63"/>
        <v>3</v>
      </c>
      <c r="R203" s="445">
        <f t="shared" si="63"/>
        <v>1391000</v>
      </c>
      <c r="S203" s="485"/>
      <c r="T203" s="445">
        <f t="shared" si="63"/>
        <v>4262500</v>
      </c>
      <c r="U203" s="485"/>
      <c r="V203" s="445">
        <f t="shared" si="63"/>
        <v>0</v>
      </c>
      <c r="W203" s="439">
        <v>0</v>
      </c>
      <c r="X203" s="444">
        <f>X204</f>
        <v>0</v>
      </c>
      <c r="Y203" s="1367">
        <f t="shared" si="60"/>
        <v>3</v>
      </c>
      <c r="Z203" s="1381">
        <f t="shared" si="61"/>
        <v>5653500</v>
      </c>
      <c r="AA203" s="1367">
        <f t="shared" si="57"/>
        <v>73</v>
      </c>
      <c r="AB203" s="1381">
        <f t="shared" si="62"/>
        <v>273153500</v>
      </c>
      <c r="AC203" s="1375">
        <f t="shared" si="58"/>
        <v>85.882352941176464</v>
      </c>
      <c r="AD203" s="1375">
        <f t="shared" si="59"/>
        <v>51.05672897196262</v>
      </c>
      <c r="AE203" s="2583" t="s">
        <v>418</v>
      </c>
      <c r="AF203" s="201"/>
      <c r="AG203" s="201"/>
      <c r="AH203" s="201"/>
      <c r="AI203" s="201"/>
      <c r="AJ203" s="201"/>
      <c r="AK203" s="201"/>
      <c r="AL203" s="201"/>
      <c r="AM203" s="201"/>
      <c r="AN203" s="201"/>
      <c r="AO203" s="201"/>
      <c r="AP203" s="201"/>
      <c r="AQ203" s="201"/>
      <c r="AR203" s="201"/>
      <c r="AS203" s="201"/>
      <c r="AT203" s="201"/>
      <c r="AU203" s="201"/>
      <c r="AV203" s="201"/>
      <c r="AW203" s="201"/>
      <c r="AX203" s="201"/>
      <c r="AY203" s="201"/>
      <c r="AZ203" s="201"/>
      <c r="BA203" s="201"/>
      <c r="BB203" s="201"/>
    </row>
    <row r="204" spans="1:69" ht="66">
      <c r="A204" s="437"/>
      <c r="B204" s="421"/>
      <c r="C204" s="437">
        <v>1</v>
      </c>
      <c r="D204" s="1404" t="s">
        <v>25</v>
      </c>
      <c r="E204" s="1404" t="s">
        <v>28</v>
      </c>
      <c r="F204" s="1404" t="s">
        <v>53</v>
      </c>
      <c r="G204" s="1404"/>
      <c r="H204" s="1409"/>
      <c r="I204" s="435" t="s">
        <v>490</v>
      </c>
      <c r="J204" s="47" t="s">
        <v>2614</v>
      </c>
      <c r="K204" s="1364">
        <v>72</v>
      </c>
      <c r="L204" s="436">
        <v>535000000</v>
      </c>
      <c r="M204" s="1364">
        <v>36</v>
      </c>
      <c r="N204" s="436">
        <f>L204/2</f>
        <v>267500000</v>
      </c>
      <c r="O204" s="1364">
        <v>12</v>
      </c>
      <c r="P204" s="436">
        <v>165691050</v>
      </c>
      <c r="Q204" s="1363">
        <v>3</v>
      </c>
      <c r="R204" s="423">
        <v>1391000</v>
      </c>
      <c r="S204" s="424">
        <v>1.4999999999999999E-2</v>
      </c>
      <c r="T204" s="423">
        <v>4262500</v>
      </c>
      <c r="U204" s="424"/>
      <c r="V204" s="423">
        <v>0</v>
      </c>
      <c r="W204" s="421">
        <v>0</v>
      </c>
      <c r="X204" s="423">
        <v>0</v>
      </c>
      <c r="Y204" s="1369">
        <f t="shared" si="60"/>
        <v>3.0150000000000001</v>
      </c>
      <c r="Z204" s="1382">
        <f t="shared" si="61"/>
        <v>5653500</v>
      </c>
      <c r="AA204" s="1369">
        <f t="shared" si="57"/>
        <v>39.015000000000001</v>
      </c>
      <c r="AB204" s="1382">
        <f t="shared" si="62"/>
        <v>273153500</v>
      </c>
      <c r="AC204" s="1372">
        <f t="shared" si="58"/>
        <v>54.1875</v>
      </c>
      <c r="AD204" s="1372">
        <f t="shared" si="59"/>
        <v>51.05672897196262</v>
      </c>
      <c r="AE204" s="2584"/>
      <c r="AF204" s="201"/>
      <c r="AG204" s="201"/>
      <c r="AH204" s="201"/>
      <c r="AI204" s="201"/>
      <c r="AJ204" s="201"/>
      <c r="AK204" s="201"/>
      <c r="AL204" s="201"/>
      <c r="AM204" s="201"/>
      <c r="AN204" s="201"/>
      <c r="AO204" s="201"/>
      <c r="AP204" s="201"/>
      <c r="AQ204" s="201"/>
      <c r="AR204" s="201"/>
      <c r="AS204" s="201"/>
      <c r="AT204" s="201"/>
      <c r="AU204" s="201"/>
      <c r="AV204" s="201"/>
      <c r="AW204" s="201"/>
      <c r="AX204" s="201"/>
      <c r="AY204" s="201"/>
      <c r="AZ204" s="201"/>
      <c r="BA204" s="201"/>
      <c r="BB204" s="201"/>
      <c r="BC204" s="20"/>
      <c r="BD204" s="20"/>
      <c r="BE204" s="20"/>
      <c r="BF204" s="20"/>
      <c r="BG204" s="20"/>
      <c r="BH204" s="20"/>
      <c r="BI204" s="20"/>
      <c r="BJ204" s="20"/>
      <c r="BK204" s="20"/>
      <c r="BL204" s="20"/>
      <c r="BM204" s="20"/>
      <c r="BN204" s="20"/>
      <c r="BO204" s="20"/>
      <c r="BP204" s="20"/>
      <c r="BQ204" s="20"/>
    </row>
    <row r="205" spans="1:69" s="20" customFormat="1" ht="66" customHeight="1">
      <c r="A205" s="1412">
        <v>14</v>
      </c>
      <c r="B205" s="472"/>
      <c r="C205" s="1412">
        <v>1</v>
      </c>
      <c r="D205" s="1413" t="s">
        <v>25</v>
      </c>
      <c r="E205" s="1413" t="s">
        <v>28</v>
      </c>
      <c r="F205" s="1413" t="s">
        <v>60</v>
      </c>
      <c r="G205" s="1413"/>
      <c r="H205" s="1465"/>
      <c r="I205" s="473" t="s">
        <v>491</v>
      </c>
      <c r="J205" s="1401" t="s">
        <v>2615</v>
      </c>
      <c r="K205" s="1387">
        <v>90</v>
      </c>
      <c r="L205" s="911">
        <v>21607915700</v>
      </c>
      <c r="M205" s="1387">
        <v>96</v>
      </c>
      <c r="N205" s="1356">
        <f>SUM(N208:N210)</f>
        <v>452445365</v>
      </c>
      <c r="O205" s="1387">
        <v>2</v>
      </c>
      <c r="P205" s="452">
        <f>SUM(P208:P210)</f>
        <v>2024918428</v>
      </c>
      <c r="Q205" s="1387">
        <v>0</v>
      </c>
      <c r="R205" s="452">
        <f>SUM(R208:R210)</f>
        <v>31065250</v>
      </c>
      <c r="S205" s="1387"/>
      <c r="T205" s="1356">
        <f>SUM(T208:T210)</f>
        <v>168570659</v>
      </c>
      <c r="U205" s="1361"/>
      <c r="V205" s="452">
        <f>SUM(V208:V210)</f>
        <v>0</v>
      </c>
      <c r="W205" s="1351">
        <v>0</v>
      </c>
      <c r="X205" s="444">
        <f>SUM(X208:X210)</f>
        <v>0</v>
      </c>
      <c r="Y205" s="1367">
        <f t="shared" si="60"/>
        <v>0</v>
      </c>
      <c r="Z205" s="1381">
        <f t="shared" si="61"/>
        <v>199635909</v>
      </c>
      <c r="AA205" s="1367">
        <f>M205-Y205</f>
        <v>96</v>
      </c>
      <c r="AB205" s="1381">
        <f t="shared" si="62"/>
        <v>652081274</v>
      </c>
      <c r="AC205" s="1375">
        <f>(K205/AA205)*100</f>
        <v>93.75</v>
      </c>
      <c r="AD205" s="1375">
        <f t="shared" si="59"/>
        <v>3.0177888652166485</v>
      </c>
      <c r="AE205" s="2583" t="s">
        <v>418</v>
      </c>
      <c r="AF205" s="201"/>
      <c r="AG205" s="201"/>
      <c r="AH205" s="201"/>
      <c r="AI205" s="201"/>
      <c r="AJ205" s="201"/>
      <c r="AK205" s="201"/>
      <c r="AL205" s="201"/>
      <c r="AM205" s="201"/>
      <c r="AN205" s="201"/>
      <c r="AO205" s="201"/>
      <c r="AP205" s="201"/>
      <c r="AQ205" s="201"/>
      <c r="AR205" s="201"/>
      <c r="AS205" s="201"/>
      <c r="AT205" s="201"/>
      <c r="AU205" s="201"/>
      <c r="AV205" s="201"/>
      <c r="AW205" s="201"/>
      <c r="AX205" s="201"/>
      <c r="AY205" s="201"/>
      <c r="AZ205" s="201"/>
      <c r="BA205" s="201"/>
      <c r="BB205" s="201"/>
    </row>
    <row r="206" spans="1:69" s="20" customFormat="1" ht="66" customHeight="1">
      <c r="A206" s="1435"/>
      <c r="B206" s="363"/>
      <c r="C206" s="1435"/>
      <c r="D206" s="1434"/>
      <c r="E206" s="1434"/>
      <c r="F206" s="1434"/>
      <c r="G206" s="1434"/>
      <c r="H206" s="1466"/>
      <c r="I206" s="1458"/>
      <c r="J206" s="1401" t="s">
        <v>2616</v>
      </c>
      <c r="K206" s="1387">
        <v>30</v>
      </c>
      <c r="L206" s="911"/>
      <c r="M206" s="1387">
        <v>33</v>
      </c>
      <c r="N206" s="1356"/>
      <c r="O206" s="1387">
        <v>1</v>
      </c>
      <c r="P206" s="452"/>
      <c r="Q206" s="1387">
        <v>0</v>
      </c>
      <c r="R206" s="452"/>
      <c r="S206" s="1387"/>
      <c r="T206" s="1356"/>
      <c r="U206" s="1361"/>
      <c r="V206" s="452"/>
      <c r="W206" s="1351"/>
      <c r="X206" s="444"/>
      <c r="Y206" s="1367">
        <f t="shared" si="60"/>
        <v>0</v>
      </c>
      <c r="Z206" s="1381">
        <f t="shared" si="61"/>
        <v>0</v>
      </c>
      <c r="AA206" s="1367">
        <v>96</v>
      </c>
      <c r="AB206" s="1381">
        <f t="shared" si="62"/>
        <v>0</v>
      </c>
      <c r="AC206" s="1375">
        <v>93.75</v>
      </c>
      <c r="AD206" s="1375"/>
      <c r="AE206" s="2583" t="s">
        <v>418</v>
      </c>
      <c r="AF206" s="201"/>
      <c r="AG206" s="201"/>
      <c r="AH206" s="201"/>
      <c r="AI206" s="201"/>
      <c r="AJ206" s="201"/>
      <c r="AK206" s="201"/>
      <c r="AL206" s="201"/>
      <c r="AM206" s="201"/>
      <c r="AN206" s="201"/>
      <c r="AO206" s="201"/>
      <c r="AP206" s="201"/>
      <c r="AQ206" s="201"/>
      <c r="AR206" s="201"/>
      <c r="AS206" s="201"/>
      <c r="AT206" s="201"/>
      <c r="AU206" s="201"/>
      <c r="AV206" s="201"/>
      <c r="AW206" s="201"/>
      <c r="AX206" s="201"/>
      <c r="AY206" s="201"/>
      <c r="AZ206" s="201"/>
      <c r="BA206" s="201"/>
      <c r="BB206" s="201"/>
    </row>
    <row r="207" spans="1:69" s="20" customFormat="1" ht="66" customHeight="1">
      <c r="A207" s="1462"/>
      <c r="B207" s="1460"/>
      <c r="C207" s="1462"/>
      <c r="D207" s="1463"/>
      <c r="E207" s="1463"/>
      <c r="F207" s="1463"/>
      <c r="G207" s="1463"/>
      <c r="H207" s="1467"/>
      <c r="I207" s="1461"/>
      <c r="J207" s="1401" t="s">
        <v>2617</v>
      </c>
      <c r="K207" s="1387">
        <v>20</v>
      </c>
      <c r="L207" s="911"/>
      <c r="M207" s="1387">
        <v>23</v>
      </c>
      <c r="N207" s="1356"/>
      <c r="O207" s="1387">
        <v>1</v>
      </c>
      <c r="P207" s="452"/>
      <c r="Q207" s="1387">
        <v>0</v>
      </c>
      <c r="R207" s="452"/>
      <c r="S207" s="1387"/>
      <c r="T207" s="1356"/>
      <c r="U207" s="1361"/>
      <c r="V207" s="452"/>
      <c r="W207" s="1351"/>
      <c r="X207" s="444"/>
      <c r="Y207" s="1367">
        <f t="shared" si="60"/>
        <v>0</v>
      </c>
      <c r="Z207" s="1381">
        <f t="shared" si="61"/>
        <v>0</v>
      </c>
      <c r="AA207" s="1367">
        <v>96</v>
      </c>
      <c r="AB207" s="1381">
        <f t="shared" si="62"/>
        <v>0</v>
      </c>
      <c r="AC207" s="1375">
        <v>93.75</v>
      </c>
      <c r="AD207" s="1375"/>
      <c r="AE207" s="2583" t="s">
        <v>418</v>
      </c>
      <c r="AF207" s="201"/>
      <c r="AG207" s="201"/>
      <c r="AH207" s="201"/>
      <c r="AI207" s="201"/>
      <c r="AJ207" s="201"/>
      <c r="AK207" s="201"/>
      <c r="AL207" s="201"/>
      <c r="AM207" s="201"/>
      <c r="AN207" s="201"/>
      <c r="AO207" s="201"/>
      <c r="AP207" s="201"/>
      <c r="AQ207" s="201"/>
      <c r="AR207" s="201"/>
      <c r="AS207" s="201"/>
      <c r="AT207" s="201"/>
      <c r="AU207" s="201"/>
      <c r="AV207" s="201"/>
      <c r="AW207" s="201"/>
      <c r="AX207" s="201"/>
      <c r="AY207" s="201"/>
      <c r="AZ207" s="201"/>
      <c r="BA207" s="201"/>
      <c r="BB207" s="201"/>
    </row>
    <row r="208" spans="1:69" ht="66">
      <c r="A208" s="437"/>
      <c r="B208" s="421"/>
      <c r="C208" s="437">
        <v>1</v>
      </c>
      <c r="D208" s="1404" t="s">
        <v>25</v>
      </c>
      <c r="E208" s="1404" t="s">
        <v>78</v>
      </c>
      <c r="F208" s="1404" t="s">
        <v>60</v>
      </c>
      <c r="G208" s="1404"/>
      <c r="H208" s="1409"/>
      <c r="I208" s="435" t="s">
        <v>492</v>
      </c>
      <c r="J208" s="446" t="s">
        <v>2618</v>
      </c>
      <c r="K208" s="1364">
        <v>72</v>
      </c>
      <c r="L208" s="436">
        <v>3587915700</v>
      </c>
      <c r="M208" s="1364">
        <v>36</v>
      </c>
      <c r="N208" s="436">
        <f>339707787+'[1]RKPD 2017'!O214</f>
        <v>339707787</v>
      </c>
      <c r="O208" s="1364">
        <v>12</v>
      </c>
      <c r="P208" s="436">
        <v>112350012</v>
      </c>
      <c r="Q208" s="1363">
        <v>3</v>
      </c>
      <c r="R208" s="423">
        <v>9665250</v>
      </c>
      <c r="S208" s="2637">
        <v>2.5999999999999999E-2</v>
      </c>
      <c r="T208" s="423">
        <v>34576050</v>
      </c>
      <c r="U208" s="424"/>
      <c r="V208" s="423">
        <v>0</v>
      </c>
      <c r="W208" s="421">
        <v>0</v>
      </c>
      <c r="X208" s="423">
        <v>0</v>
      </c>
      <c r="Y208" s="1369">
        <f t="shared" si="60"/>
        <v>3.0259999999999998</v>
      </c>
      <c r="Z208" s="1382">
        <f t="shared" si="61"/>
        <v>44241300</v>
      </c>
      <c r="AA208" s="1369">
        <f t="shared" ref="AA208:AA220" si="64">M208+Y208</f>
        <v>39.025999999999996</v>
      </c>
      <c r="AB208" s="1382">
        <f t="shared" si="62"/>
        <v>383949087</v>
      </c>
      <c r="AC208" s="1372">
        <f t="shared" ref="AC208:AC220" si="65">(AA208/K208)*100</f>
        <v>54.202777777777776</v>
      </c>
      <c r="AD208" s="1372">
        <f t="shared" ref="AD208:AD220" si="66">(AB208/L208)*100</f>
        <v>10.701173581084973</v>
      </c>
      <c r="AE208" s="2584"/>
    </row>
    <row r="209" spans="1:69" ht="66">
      <c r="A209" s="437"/>
      <c r="B209" s="421"/>
      <c r="C209" s="437">
        <v>1</v>
      </c>
      <c r="D209" s="1404" t="s">
        <v>25</v>
      </c>
      <c r="E209" s="1404" t="s">
        <v>78</v>
      </c>
      <c r="F209" s="1404" t="s">
        <v>60</v>
      </c>
      <c r="G209" s="1404"/>
      <c r="H209" s="1409"/>
      <c r="I209" s="435" t="s">
        <v>493</v>
      </c>
      <c r="J209" s="446" t="s">
        <v>2619</v>
      </c>
      <c r="K209" s="1364">
        <v>72</v>
      </c>
      <c r="L209" s="436">
        <v>520000000</v>
      </c>
      <c r="M209" s="1364">
        <v>36</v>
      </c>
      <c r="N209" s="436">
        <f>66437800+'[1]RKPD 2017'!O215</f>
        <v>66437800</v>
      </c>
      <c r="O209" s="1364">
        <v>12</v>
      </c>
      <c r="P209" s="436">
        <v>42568416</v>
      </c>
      <c r="Q209" s="1363">
        <v>3</v>
      </c>
      <c r="R209" s="423">
        <v>1600000</v>
      </c>
      <c r="S209" s="2637">
        <v>1.7000000000000001E-2</v>
      </c>
      <c r="T209" s="423">
        <v>2400000</v>
      </c>
      <c r="U209" s="424"/>
      <c r="V209" s="423">
        <v>0</v>
      </c>
      <c r="W209" s="421">
        <v>0</v>
      </c>
      <c r="X209" s="423">
        <v>0</v>
      </c>
      <c r="Y209" s="1369">
        <f t="shared" si="60"/>
        <v>3.0169999999999999</v>
      </c>
      <c r="Z209" s="1382">
        <f t="shared" si="61"/>
        <v>4000000</v>
      </c>
      <c r="AA209" s="1369">
        <f t="shared" si="64"/>
        <v>39.017000000000003</v>
      </c>
      <c r="AB209" s="1382">
        <f t="shared" si="62"/>
        <v>70437800</v>
      </c>
      <c r="AC209" s="1372">
        <f t="shared" si="65"/>
        <v>54.190277777777787</v>
      </c>
      <c r="AD209" s="1372">
        <f t="shared" si="66"/>
        <v>13.545730769230769</v>
      </c>
      <c r="AE209" s="2584"/>
    </row>
    <row r="210" spans="1:69" ht="82.5">
      <c r="A210" s="437"/>
      <c r="B210" s="421"/>
      <c r="C210" s="437">
        <v>1</v>
      </c>
      <c r="D210" s="1404" t="s">
        <v>25</v>
      </c>
      <c r="E210" s="1404" t="s">
        <v>78</v>
      </c>
      <c r="F210" s="1404" t="s">
        <v>60</v>
      </c>
      <c r="G210" s="1404"/>
      <c r="H210" s="1409"/>
      <c r="I210" s="435" t="s">
        <v>2620</v>
      </c>
      <c r="J210" s="429" t="s">
        <v>2621</v>
      </c>
      <c r="K210" s="1364">
        <v>72</v>
      </c>
      <c r="L210" s="436">
        <v>17500000000</v>
      </c>
      <c r="M210" s="1364">
        <v>36</v>
      </c>
      <c r="N210" s="436">
        <f>46299778+'[1]RKPD 2017'!O216</f>
        <v>46299778</v>
      </c>
      <c r="O210" s="1364">
        <v>12</v>
      </c>
      <c r="P210" s="436">
        <v>1870000000</v>
      </c>
      <c r="Q210" s="1363">
        <v>3</v>
      </c>
      <c r="R210" s="423">
        <v>19800000</v>
      </c>
      <c r="S210" s="2637">
        <v>2.8000000000000001E-2</v>
      </c>
      <c r="T210" s="426">
        <v>131594609</v>
      </c>
      <c r="U210" s="424"/>
      <c r="V210" s="423">
        <v>0</v>
      </c>
      <c r="W210" s="421">
        <v>0</v>
      </c>
      <c r="X210" s="423">
        <v>0</v>
      </c>
      <c r="Y210" s="1369">
        <f t="shared" si="60"/>
        <v>3.028</v>
      </c>
      <c r="Z210" s="1382">
        <f t="shared" si="61"/>
        <v>151394609</v>
      </c>
      <c r="AA210" s="1369">
        <f t="shared" si="64"/>
        <v>39.027999999999999</v>
      </c>
      <c r="AB210" s="1382">
        <f t="shared" si="62"/>
        <v>197694387</v>
      </c>
      <c r="AC210" s="1372">
        <f t="shared" si="65"/>
        <v>54.205555555555549</v>
      </c>
      <c r="AD210" s="1372">
        <f t="shared" si="66"/>
        <v>1.1296822114285714</v>
      </c>
      <c r="AE210" s="2584"/>
    </row>
    <row r="211" spans="1:69" s="20" customFormat="1" ht="49.5">
      <c r="A211" s="1398">
        <v>15</v>
      </c>
      <c r="B211" s="439"/>
      <c r="C211" s="1398">
        <v>1</v>
      </c>
      <c r="D211" s="1402" t="s">
        <v>25</v>
      </c>
      <c r="E211" s="1402" t="s">
        <v>28</v>
      </c>
      <c r="F211" s="1402" t="s">
        <v>494</v>
      </c>
      <c r="G211" s="1402"/>
      <c r="H211" s="1406"/>
      <c r="I211" s="441" t="s">
        <v>495</v>
      </c>
      <c r="J211" s="186" t="s">
        <v>496</v>
      </c>
      <c r="K211" s="1387">
        <v>700</v>
      </c>
      <c r="L211" s="911">
        <v>3748186500</v>
      </c>
      <c r="M211" s="1387">
        <v>40</v>
      </c>
      <c r="N211" s="444">
        <f>SUM(N212:N214)</f>
        <v>323701947</v>
      </c>
      <c r="O211" s="1387">
        <v>10</v>
      </c>
      <c r="P211" s="444">
        <f>SUM(P212:P215)</f>
        <v>289530843</v>
      </c>
      <c r="Q211" s="1362">
        <v>1</v>
      </c>
      <c r="R211" s="2627">
        <f>SUM(R212:R215)</f>
        <v>14783750</v>
      </c>
      <c r="S211" s="2642">
        <f t="shared" ref="S211" si="67">SUM(S212:S215)/4</f>
        <v>2.75E-2</v>
      </c>
      <c r="T211" s="2640">
        <f>SUM(T212:T215)</f>
        <v>27448150</v>
      </c>
      <c r="U211" s="485"/>
      <c r="V211" s="445">
        <f>SUM(V212:V214)</f>
        <v>0</v>
      </c>
      <c r="W211" s="439">
        <v>0</v>
      </c>
      <c r="X211" s="444">
        <f>SUM(X212:X214)</f>
        <v>0</v>
      </c>
      <c r="Y211" s="1367">
        <f t="shared" si="60"/>
        <v>1.0275000000000001</v>
      </c>
      <c r="Z211" s="1381">
        <f t="shared" si="61"/>
        <v>42231900</v>
      </c>
      <c r="AA211" s="1367">
        <f t="shared" si="64"/>
        <v>41.027500000000003</v>
      </c>
      <c r="AB211" s="1381">
        <f t="shared" si="62"/>
        <v>365933847</v>
      </c>
      <c r="AC211" s="1375">
        <f t="shared" si="65"/>
        <v>5.8610714285714298</v>
      </c>
      <c r="AD211" s="1375">
        <f t="shared" si="66"/>
        <v>9.76295728614358</v>
      </c>
      <c r="AE211" s="2583" t="s">
        <v>418</v>
      </c>
      <c r="AF211" s="201"/>
      <c r="AG211" s="201"/>
      <c r="AH211" s="201"/>
      <c r="AI211" s="201"/>
      <c r="AJ211" s="201"/>
      <c r="AK211" s="201"/>
      <c r="AL211" s="201"/>
      <c r="AM211" s="201"/>
      <c r="AN211" s="201"/>
      <c r="AO211" s="201"/>
      <c r="AP211" s="201"/>
      <c r="AQ211" s="201"/>
      <c r="AR211" s="201"/>
      <c r="AS211" s="201"/>
      <c r="AT211" s="201"/>
      <c r="AU211" s="201"/>
      <c r="AV211" s="201"/>
      <c r="AW211" s="201"/>
      <c r="AX211" s="201"/>
      <c r="AY211" s="201"/>
      <c r="AZ211" s="201"/>
      <c r="BA211" s="201"/>
      <c r="BB211" s="201"/>
      <c r="BC211" s="1468"/>
      <c r="BD211" s="1469"/>
      <c r="BE211" s="1469"/>
      <c r="BF211" s="1469"/>
      <c r="BG211" s="1469"/>
      <c r="BH211" s="1469"/>
      <c r="BI211" s="1469"/>
      <c r="BJ211" s="1469"/>
      <c r="BK211" s="1469"/>
      <c r="BL211" s="1469"/>
      <c r="BM211" s="1469"/>
      <c r="BN211" s="1469"/>
      <c r="BO211" s="1469"/>
      <c r="BP211" s="1469"/>
      <c r="BQ211" s="1469"/>
    </row>
    <row r="212" spans="1:69" ht="66">
      <c r="A212" s="437"/>
      <c r="B212" s="421"/>
      <c r="C212" s="437">
        <v>1</v>
      </c>
      <c r="D212" s="1404" t="s">
        <v>25</v>
      </c>
      <c r="E212" s="1404" t="s">
        <v>28</v>
      </c>
      <c r="F212" s="1404" t="s">
        <v>494</v>
      </c>
      <c r="G212" s="1404"/>
      <c r="H212" s="1409"/>
      <c r="I212" s="435" t="s">
        <v>2622</v>
      </c>
      <c r="J212" s="429" t="s">
        <v>2623</v>
      </c>
      <c r="K212" s="1364">
        <v>6</v>
      </c>
      <c r="L212" s="436">
        <f>3*N212</f>
        <v>262140750</v>
      </c>
      <c r="M212" s="1364">
        <v>3</v>
      </c>
      <c r="N212" s="436">
        <f>87380250+'[1]RKPD 2017'!O219</f>
        <v>87380250</v>
      </c>
      <c r="O212" s="1364">
        <v>1</v>
      </c>
      <c r="P212" s="436">
        <v>94513602</v>
      </c>
      <c r="Q212" s="1363">
        <v>2.1000000000000001E-2</v>
      </c>
      <c r="R212" s="2638">
        <v>3927750</v>
      </c>
      <c r="S212" s="2643">
        <v>2.4E-2</v>
      </c>
      <c r="T212" s="2633">
        <v>6631000</v>
      </c>
      <c r="U212" s="424"/>
      <c r="V212" s="423">
        <v>0</v>
      </c>
      <c r="W212" s="421">
        <v>0</v>
      </c>
      <c r="X212" s="423">
        <v>0</v>
      </c>
      <c r="Y212" s="1369">
        <f t="shared" si="60"/>
        <v>4.4999999999999998E-2</v>
      </c>
      <c r="Z212" s="1382">
        <f t="shared" si="61"/>
        <v>10558750</v>
      </c>
      <c r="AA212" s="1369">
        <f t="shared" si="64"/>
        <v>3.0449999999999999</v>
      </c>
      <c r="AB212" s="1382">
        <f t="shared" si="62"/>
        <v>97939000</v>
      </c>
      <c r="AC212" s="1372">
        <f t="shared" si="65"/>
        <v>50.749999999999993</v>
      </c>
      <c r="AD212" s="1372">
        <f t="shared" si="66"/>
        <v>37.361226745555584</v>
      </c>
      <c r="AE212" s="2584"/>
    </row>
    <row r="213" spans="1:69" ht="66">
      <c r="A213" s="437"/>
      <c r="B213" s="421"/>
      <c r="C213" s="437">
        <v>1</v>
      </c>
      <c r="D213" s="1404" t="s">
        <v>25</v>
      </c>
      <c r="E213" s="1404" t="s">
        <v>28</v>
      </c>
      <c r="F213" s="1404" t="s">
        <v>494</v>
      </c>
      <c r="G213" s="1404"/>
      <c r="H213" s="1409"/>
      <c r="I213" s="435" t="s">
        <v>497</v>
      </c>
      <c r="J213" s="429" t="s">
        <v>2624</v>
      </c>
      <c r="K213" s="1364">
        <v>72</v>
      </c>
      <c r="L213" s="436">
        <f t="shared" ref="L213:L214" si="68">3*N213</f>
        <v>202753500</v>
      </c>
      <c r="M213" s="1364">
        <v>36</v>
      </c>
      <c r="N213" s="436">
        <f>67584500+'[1]RKPD 2017'!O220</f>
        <v>67584500</v>
      </c>
      <c r="O213" s="1364">
        <v>12</v>
      </c>
      <c r="P213" s="436">
        <v>47601419</v>
      </c>
      <c r="Q213" s="1363">
        <v>3</v>
      </c>
      <c r="R213" s="2638">
        <v>5454250</v>
      </c>
      <c r="S213" s="2643">
        <v>2.3E-2</v>
      </c>
      <c r="T213" s="2633">
        <v>5831650</v>
      </c>
      <c r="U213" s="424"/>
      <c r="V213" s="423">
        <v>0</v>
      </c>
      <c r="W213" s="421">
        <v>0</v>
      </c>
      <c r="X213" s="423">
        <v>0</v>
      </c>
      <c r="Y213" s="1369">
        <f t="shared" si="60"/>
        <v>3.0230000000000001</v>
      </c>
      <c r="Z213" s="1382">
        <f t="shared" si="61"/>
        <v>11285900</v>
      </c>
      <c r="AA213" s="1369">
        <f t="shared" si="64"/>
        <v>39.023000000000003</v>
      </c>
      <c r="AB213" s="1382">
        <f t="shared" si="62"/>
        <v>78870400</v>
      </c>
      <c r="AC213" s="1372">
        <f t="shared" si="65"/>
        <v>54.19861111111112</v>
      </c>
      <c r="AD213" s="1372">
        <f t="shared" si="66"/>
        <v>38.899649081273566</v>
      </c>
      <c r="AE213" s="2584"/>
      <c r="AF213" s="750"/>
      <c r="AG213" s="750"/>
      <c r="AH213" s="750"/>
      <c r="AI213" s="750"/>
      <c r="AJ213" s="750"/>
      <c r="AK213" s="750"/>
      <c r="AL213" s="750"/>
      <c r="AM213" s="750"/>
      <c r="AN213" s="750"/>
      <c r="AO213" s="750"/>
      <c r="AP213" s="750"/>
      <c r="AQ213" s="750"/>
      <c r="AR213" s="750"/>
      <c r="AS213" s="750"/>
      <c r="AT213" s="750"/>
      <c r="AU213" s="750"/>
      <c r="AV213" s="750"/>
      <c r="AW213" s="750"/>
      <c r="AX213" s="750"/>
      <c r="AY213" s="750"/>
      <c r="AZ213" s="750"/>
      <c r="BA213" s="750"/>
      <c r="BB213" s="750"/>
      <c r="BC213" s="752"/>
      <c r="BD213" s="752"/>
      <c r="BE213" s="752"/>
      <c r="BF213" s="752"/>
      <c r="BG213" s="752"/>
      <c r="BH213" s="752"/>
      <c r="BI213" s="752"/>
      <c r="BJ213" s="752"/>
      <c r="BK213" s="752"/>
      <c r="BL213" s="752"/>
      <c r="BM213" s="752"/>
      <c r="BN213" s="752"/>
      <c r="BO213" s="752"/>
      <c r="BP213" s="752"/>
      <c r="BQ213" s="752"/>
    </row>
    <row r="214" spans="1:69" ht="66">
      <c r="A214" s="437"/>
      <c r="B214" s="421"/>
      <c r="C214" s="437">
        <v>1</v>
      </c>
      <c r="D214" s="1404" t="s">
        <v>25</v>
      </c>
      <c r="E214" s="1404" t="s">
        <v>28</v>
      </c>
      <c r="F214" s="437">
        <v>33</v>
      </c>
      <c r="G214" s="437"/>
      <c r="H214" s="1409"/>
      <c r="I214" s="435" t="s">
        <v>498</v>
      </c>
      <c r="J214" s="429" t="s">
        <v>2625</v>
      </c>
      <c r="K214" s="1364">
        <v>72</v>
      </c>
      <c r="L214" s="436">
        <f t="shared" si="68"/>
        <v>506211591</v>
      </c>
      <c r="M214" s="1364">
        <v>36</v>
      </c>
      <c r="N214" s="436">
        <f>168737197+'[1]RKPD 2017'!O221</f>
        <v>168737197</v>
      </c>
      <c r="O214" s="1364">
        <v>12</v>
      </c>
      <c r="P214" s="436">
        <v>74777911</v>
      </c>
      <c r="Q214" s="1363">
        <v>3</v>
      </c>
      <c r="R214" s="2639">
        <v>1167500</v>
      </c>
      <c r="S214" s="2644">
        <v>3.1E-2</v>
      </c>
      <c r="T214" s="2641">
        <v>13685500</v>
      </c>
      <c r="U214" s="438"/>
      <c r="V214" s="436">
        <v>0</v>
      </c>
      <c r="W214" s="429">
        <v>0</v>
      </c>
      <c r="X214" s="436">
        <v>0</v>
      </c>
      <c r="Y214" s="1369">
        <f t="shared" si="60"/>
        <v>3.0310000000000001</v>
      </c>
      <c r="Z214" s="1382">
        <f t="shared" si="61"/>
        <v>14853000</v>
      </c>
      <c r="AA214" s="1369">
        <f t="shared" si="64"/>
        <v>39.030999999999999</v>
      </c>
      <c r="AB214" s="1384">
        <f t="shared" si="62"/>
        <v>183590197</v>
      </c>
      <c r="AC214" s="1372">
        <f t="shared" si="65"/>
        <v>54.209722222222226</v>
      </c>
      <c r="AD214" s="1372">
        <f t="shared" si="66"/>
        <v>36.267481872022167</v>
      </c>
      <c r="AE214" s="2585"/>
      <c r="BC214" s="1841"/>
      <c r="BD214" s="1804"/>
      <c r="BE214" s="1804"/>
      <c r="BF214" s="1804"/>
      <c r="BG214" s="1804"/>
      <c r="BH214" s="1804"/>
      <c r="BI214" s="1804"/>
      <c r="BJ214" s="1804"/>
      <c r="BK214" s="1804"/>
      <c r="BL214" s="1804"/>
      <c r="BM214" s="1804"/>
      <c r="BN214" s="1804"/>
      <c r="BO214" s="1804"/>
      <c r="BP214" s="1804"/>
      <c r="BQ214" s="1804"/>
    </row>
    <row r="215" spans="1:69" ht="49.5">
      <c r="A215" s="437"/>
      <c r="B215" s="421"/>
      <c r="C215" s="437">
        <v>1</v>
      </c>
      <c r="D215" s="1404" t="s">
        <v>25</v>
      </c>
      <c r="E215" s="1404" t="s">
        <v>28</v>
      </c>
      <c r="F215" s="437">
        <v>33</v>
      </c>
      <c r="G215" s="437"/>
      <c r="H215" s="1409"/>
      <c r="I215" s="435" t="s">
        <v>499</v>
      </c>
      <c r="J215" s="429" t="s">
        <v>2626</v>
      </c>
      <c r="K215" s="1364">
        <v>36</v>
      </c>
      <c r="L215" s="436">
        <f>3*P215</f>
        <v>217913733</v>
      </c>
      <c r="M215" s="1364">
        <v>0</v>
      </c>
      <c r="N215" s="436">
        <v>0</v>
      </c>
      <c r="O215" s="1364">
        <v>12</v>
      </c>
      <c r="P215" s="436">
        <v>72637911</v>
      </c>
      <c r="Q215" s="1363">
        <v>3</v>
      </c>
      <c r="R215" s="2639">
        <v>4234250</v>
      </c>
      <c r="S215" s="2645">
        <v>3.2000000000000001E-2</v>
      </c>
      <c r="T215" s="2641">
        <v>1300000</v>
      </c>
      <c r="U215" s="438"/>
      <c r="V215" s="436">
        <v>0</v>
      </c>
      <c r="W215" s="429"/>
      <c r="X215" s="436"/>
      <c r="Y215" s="1369">
        <f t="shared" si="60"/>
        <v>3.032</v>
      </c>
      <c r="Z215" s="1382">
        <f t="shared" si="61"/>
        <v>5534250</v>
      </c>
      <c r="AA215" s="1369">
        <f t="shared" si="64"/>
        <v>3.032</v>
      </c>
      <c r="AB215" s="1384">
        <f t="shared" si="62"/>
        <v>5534250</v>
      </c>
      <c r="AC215" s="1372">
        <f t="shared" si="65"/>
        <v>8.4222222222222225</v>
      </c>
      <c r="AD215" s="1372">
        <f t="shared" si="66"/>
        <v>2.5396517804593803</v>
      </c>
      <c r="AE215" s="2585"/>
      <c r="BC215" s="1842"/>
      <c r="BD215" s="1805"/>
      <c r="BE215" s="1805"/>
      <c r="BF215" s="1805"/>
      <c r="BG215" s="1805"/>
      <c r="BH215" s="1805"/>
      <c r="BI215" s="1805"/>
      <c r="BJ215" s="1805"/>
      <c r="BK215" s="1805"/>
      <c r="BL215" s="1805"/>
      <c r="BM215" s="1805"/>
      <c r="BN215" s="1805"/>
      <c r="BO215" s="1805"/>
      <c r="BP215" s="1805"/>
      <c r="BQ215" s="1805"/>
    </row>
    <row r="216" spans="1:69" s="20" customFormat="1" ht="99">
      <c r="A216" s="1398">
        <v>16</v>
      </c>
      <c r="B216" s="439"/>
      <c r="C216" s="1398">
        <v>1</v>
      </c>
      <c r="D216" s="1402" t="s">
        <v>25</v>
      </c>
      <c r="E216" s="1402" t="s">
        <v>28</v>
      </c>
      <c r="F216" s="1398">
        <v>26</v>
      </c>
      <c r="G216" s="1398"/>
      <c r="H216" s="1406"/>
      <c r="I216" s="441" t="s">
        <v>1998</v>
      </c>
      <c r="J216" s="439" t="s">
        <v>2627</v>
      </c>
      <c r="K216" s="1362">
        <v>100</v>
      </c>
      <c r="L216" s="444">
        <f>SUM(L217:L218)</f>
        <v>36014464323</v>
      </c>
      <c r="M216" s="1362">
        <v>50</v>
      </c>
      <c r="N216" s="444">
        <f>SUM(N217:N218)</f>
        <v>0</v>
      </c>
      <c r="O216" s="1362">
        <v>20</v>
      </c>
      <c r="P216" s="444">
        <f>SUM(P217:P218)</f>
        <v>12004821441</v>
      </c>
      <c r="Q216" s="1362"/>
      <c r="R216" s="444">
        <f>SUM(R217:R218)</f>
        <v>0</v>
      </c>
      <c r="S216" s="1362"/>
      <c r="T216" s="444">
        <f>SUM(T217:T218)</f>
        <v>0</v>
      </c>
      <c r="U216" s="485"/>
      <c r="V216" s="444">
        <f>SUM(V217:V218)</f>
        <v>0</v>
      </c>
      <c r="W216" s="439"/>
      <c r="X216" s="444">
        <f>SUM(X217:X218)</f>
        <v>0</v>
      </c>
      <c r="Y216" s="1367">
        <f t="shared" si="60"/>
        <v>0</v>
      </c>
      <c r="Z216" s="1381">
        <f t="shared" si="61"/>
        <v>0</v>
      </c>
      <c r="AA216" s="1367">
        <f t="shared" si="64"/>
        <v>50</v>
      </c>
      <c r="AB216" s="1381">
        <f t="shared" si="62"/>
        <v>0</v>
      </c>
      <c r="AC216" s="1375">
        <f t="shared" si="65"/>
        <v>50</v>
      </c>
      <c r="AD216" s="1375">
        <f t="shared" si="66"/>
        <v>0</v>
      </c>
      <c r="AE216" s="2583" t="s">
        <v>418</v>
      </c>
      <c r="AF216" s="201"/>
      <c r="AG216" s="201"/>
      <c r="AH216" s="201"/>
      <c r="AI216" s="201"/>
      <c r="AJ216" s="201"/>
      <c r="AK216" s="201"/>
      <c r="AL216" s="201"/>
      <c r="AM216" s="201"/>
      <c r="AN216" s="201"/>
      <c r="AO216" s="201"/>
      <c r="AP216" s="201"/>
      <c r="AQ216" s="201"/>
      <c r="AR216" s="201"/>
      <c r="AS216" s="201"/>
      <c r="AT216" s="201"/>
      <c r="AU216" s="201"/>
      <c r="AV216" s="201"/>
      <c r="AW216" s="201"/>
      <c r="AX216" s="201"/>
      <c r="AY216" s="201"/>
      <c r="AZ216" s="201"/>
      <c r="BA216" s="201"/>
      <c r="BB216" s="201"/>
      <c r="BC216" s="201"/>
      <c r="BD216" s="201"/>
      <c r="BE216" s="201"/>
      <c r="BF216" s="201"/>
      <c r="BG216" s="201"/>
      <c r="BH216" s="201"/>
      <c r="BI216" s="201"/>
      <c r="BJ216" s="201"/>
      <c r="BK216" s="201"/>
      <c r="BL216" s="201"/>
      <c r="BM216" s="201"/>
      <c r="BN216" s="201"/>
      <c r="BO216" s="201"/>
      <c r="BP216" s="201"/>
      <c r="BQ216" s="201"/>
    </row>
    <row r="217" spans="1:69" ht="49.5">
      <c r="A217" s="437"/>
      <c r="B217" s="421"/>
      <c r="C217" s="437">
        <v>1</v>
      </c>
      <c r="D217" s="1404" t="s">
        <v>25</v>
      </c>
      <c r="E217" s="1404" t="s">
        <v>28</v>
      </c>
      <c r="F217" s="437">
        <v>26</v>
      </c>
      <c r="G217" s="437"/>
      <c r="H217" s="1409"/>
      <c r="I217" s="435" t="s">
        <v>1999</v>
      </c>
      <c r="J217" s="429" t="s">
        <v>2628</v>
      </c>
      <c r="K217" s="1364">
        <v>6</v>
      </c>
      <c r="L217" s="436">
        <f>3*P217</f>
        <v>13514464323</v>
      </c>
      <c r="M217" s="1364">
        <v>0</v>
      </c>
      <c r="N217" s="436">
        <v>0</v>
      </c>
      <c r="O217" s="1470">
        <v>1</v>
      </c>
      <c r="P217" s="436">
        <v>4504821441</v>
      </c>
      <c r="Q217" s="1363"/>
      <c r="R217" s="436"/>
      <c r="S217" s="1364"/>
      <c r="T217" s="436"/>
      <c r="U217" s="438"/>
      <c r="V217" s="436"/>
      <c r="W217" s="429"/>
      <c r="X217" s="436"/>
      <c r="Y217" s="1369">
        <f t="shared" ref="Y217:Y222" si="69">Q217+S217+U217+W217</f>
        <v>0</v>
      </c>
      <c r="Z217" s="1382">
        <f t="shared" ref="Z217:Z222" si="70">R217+T217+V217+X217</f>
        <v>0</v>
      </c>
      <c r="AA217" s="1369">
        <f t="shared" si="64"/>
        <v>0</v>
      </c>
      <c r="AB217" s="1384">
        <f t="shared" si="62"/>
        <v>0</v>
      </c>
      <c r="AC217" s="1372">
        <f t="shared" si="65"/>
        <v>0</v>
      </c>
      <c r="AD217" s="1372">
        <f t="shared" si="66"/>
        <v>0</v>
      </c>
      <c r="AE217" s="2585"/>
      <c r="BC217" s="1287"/>
      <c r="BD217" s="1287"/>
      <c r="BE217" s="1287"/>
      <c r="BF217" s="1287"/>
      <c r="BG217" s="1287"/>
      <c r="BH217" s="1287"/>
      <c r="BI217" s="1287"/>
      <c r="BJ217" s="1287"/>
      <c r="BK217" s="1287"/>
      <c r="BL217" s="1287"/>
      <c r="BM217" s="1287"/>
      <c r="BN217" s="1287"/>
      <c r="BO217" s="1287"/>
      <c r="BP217" s="1287"/>
      <c r="BQ217" s="1287"/>
    </row>
    <row r="218" spans="1:69" ht="49.5">
      <c r="A218" s="437"/>
      <c r="B218" s="421"/>
      <c r="C218" s="437">
        <v>1</v>
      </c>
      <c r="D218" s="1404" t="s">
        <v>25</v>
      </c>
      <c r="E218" s="1404" t="s">
        <v>28</v>
      </c>
      <c r="F218" s="437">
        <v>26</v>
      </c>
      <c r="G218" s="437"/>
      <c r="H218" s="1409"/>
      <c r="I218" s="435" t="s">
        <v>2000</v>
      </c>
      <c r="J218" s="429" t="s">
        <v>2629</v>
      </c>
      <c r="K218" s="1364">
        <v>6</v>
      </c>
      <c r="L218" s="436">
        <f>3*P218</f>
        <v>22500000000</v>
      </c>
      <c r="M218" s="1364">
        <v>0</v>
      </c>
      <c r="N218" s="436">
        <v>0</v>
      </c>
      <c r="O218" s="1364">
        <v>1</v>
      </c>
      <c r="P218" s="436">
        <v>7500000000</v>
      </c>
      <c r="Q218" s="1363"/>
      <c r="R218" s="436"/>
      <c r="S218" s="1364"/>
      <c r="T218" s="436"/>
      <c r="U218" s="438"/>
      <c r="V218" s="436"/>
      <c r="W218" s="429"/>
      <c r="X218" s="436"/>
      <c r="Y218" s="1369">
        <f t="shared" si="69"/>
        <v>0</v>
      </c>
      <c r="Z218" s="1382">
        <f t="shared" si="70"/>
        <v>0</v>
      </c>
      <c r="AA218" s="1369">
        <f t="shared" si="64"/>
        <v>0</v>
      </c>
      <c r="AB218" s="1384">
        <f t="shared" si="62"/>
        <v>0</v>
      </c>
      <c r="AC218" s="1372">
        <f t="shared" si="65"/>
        <v>0</v>
      </c>
      <c r="AD218" s="1372">
        <f t="shared" si="66"/>
        <v>0</v>
      </c>
      <c r="AE218" s="2585"/>
      <c r="BC218" s="1287"/>
      <c r="BD218" s="1287"/>
      <c r="BE218" s="1287"/>
      <c r="BF218" s="1287"/>
      <c r="BG218" s="1287"/>
      <c r="BH218" s="1287"/>
      <c r="BI218" s="1287"/>
      <c r="BJ218" s="1287"/>
      <c r="BK218" s="1287"/>
      <c r="BL218" s="1287"/>
      <c r="BM218" s="1287"/>
      <c r="BN218" s="1287"/>
      <c r="BO218" s="1287"/>
      <c r="BP218" s="1287"/>
      <c r="BQ218" s="1287"/>
    </row>
    <row r="219" spans="1:69" s="20" customFormat="1" ht="82.5">
      <c r="A219" s="1398">
        <v>17</v>
      </c>
      <c r="B219" s="439"/>
      <c r="C219" s="1402" t="s">
        <v>28</v>
      </c>
      <c r="D219" s="1398">
        <v>1</v>
      </c>
      <c r="E219" s="1402" t="s">
        <v>25</v>
      </c>
      <c r="F219" s="1402" t="s">
        <v>28</v>
      </c>
      <c r="G219" s="1402"/>
      <c r="H219" s="1406"/>
      <c r="I219" s="441" t="s">
        <v>500</v>
      </c>
      <c r="J219" s="186" t="s">
        <v>2630</v>
      </c>
      <c r="K219" s="1362">
        <v>60</v>
      </c>
      <c r="L219" s="445">
        <f>L220</f>
        <v>22150127920</v>
      </c>
      <c r="M219" s="1362">
        <v>24</v>
      </c>
      <c r="N219" s="444">
        <f>N220</f>
        <v>4430025584</v>
      </c>
      <c r="O219" s="1362">
        <v>12</v>
      </c>
      <c r="P219" s="444">
        <f>P220</f>
        <v>5933867827</v>
      </c>
      <c r="Q219" s="1362">
        <v>3</v>
      </c>
      <c r="R219" s="444">
        <f>R220</f>
        <v>629158450</v>
      </c>
      <c r="S219" s="2646">
        <v>2.7</v>
      </c>
      <c r="T219" s="1362">
        <f>T220</f>
        <v>1645497139</v>
      </c>
      <c r="U219" s="1362"/>
      <c r="V219" s="1362">
        <f>V220</f>
        <v>0</v>
      </c>
      <c r="W219" s="1362">
        <v>0</v>
      </c>
      <c r="X219" s="1362">
        <f>X220</f>
        <v>0</v>
      </c>
      <c r="Y219" s="1362">
        <f t="shared" si="69"/>
        <v>5.7</v>
      </c>
      <c r="Z219" s="1381">
        <f t="shared" si="70"/>
        <v>2274655589</v>
      </c>
      <c r="AA219" s="1367">
        <f t="shared" si="64"/>
        <v>29.7</v>
      </c>
      <c r="AB219" s="1381">
        <f t="shared" si="62"/>
        <v>6704681173</v>
      </c>
      <c r="AC219" s="1375">
        <f t="shared" si="65"/>
        <v>49.5</v>
      </c>
      <c r="AD219" s="1375">
        <f t="shared" si="66"/>
        <v>30.269266151488665</v>
      </c>
      <c r="AE219" s="2583" t="s">
        <v>418</v>
      </c>
      <c r="AF219" s="870"/>
      <c r="AG219" s="870"/>
      <c r="AH219" s="870"/>
      <c r="AI219" s="870"/>
      <c r="AJ219" s="870"/>
      <c r="AK219" s="870"/>
      <c r="AL219" s="870"/>
      <c r="AM219" s="870"/>
      <c r="AN219" s="870"/>
      <c r="AO219" s="870"/>
      <c r="AP219" s="870"/>
      <c r="AQ219" s="870"/>
      <c r="AR219" s="870"/>
      <c r="AS219" s="870"/>
      <c r="AT219" s="870"/>
      <c r="AU219" s="870"/>
      <c r="AV219" s="870"/>
      <c r="AW219" s="870"/>
      <c r="AX219" s="870"/>
      <c r="AY219" s="870"/>
      <c r="AZ219" s="870"/>
      <c r="BA219" s="870"/>
      <c r="BB219" s="870"/>
      <c r="BC219" s="871"/>
      <c r="BD219" s="871"/>
      <c r="BE219" s="871"/>
      <c r="BF219" s="871"/>
      <c r="BG219" s="871"/>
      <c r="BH219" s="871"/>
      <c r="BI219" s="871"/>
      <c r="BJ219" s="871"/>
      <c r="BK219" s="871"/>
      <c r="BL219" s="871"/>
      <c r="BM219" s="871"/>
      <c r="BN219" s="871"/>
      <c r="BO219" s="871"/>
      <c r="BP219" s="871"/>
      <c r="BQ219" s="871"/>
    </row>
    <row r="220" spans="1:69" ht="66">
      <c r="A220" s="1410"/>
      <c r="B220" s="429"/>
      <c r="C220" s="1410">
        <v>1</v>
      </c>
      <c r="D220" s="1411" t="s">
        <v>25</v>
      </c>
      <c r="E220" s="1411" t="s">
        <v>28</v>
      </c>
      <c r="F220" s="1410">
        <v>16</v>
      </c>
      <c r="G220" s="1410"/>
      <c r="H220" s="1409"/>
      <c r="I220" s="435" t="s">
        <v>501</v>
      </c>
      <c r="J220" s="47" t="s">
        <v>2631</v>
      </c>
      <c r="K220" s="1364">
        <v>60</v>
      </c>
      <c r="L220" s="436">
        <f>5*N220</f>
        <v>22150127920</v>
      </c>
      <c r="M220" s="1364">
        <v>24</v>
      </c>
      <c r="N220" s="436">
        <v>4430025584</v>
      </c>
      <c r="O220" s="1364">
        <v>12</v>
      </c>
      <c r="P220" s="436">
        <v>5933867827</v>
      </c>
      <c r="Q220" s="1364">
        <v>3</v>
      </c>
      <c r="R220" s="436">
        <v>629158450</v>
      </c>
      <c r="S220" s="2647">
        <v>2.7</v>
      </c>
      <c r="T220" s="1364">
        <v>1645497139</v>
      </c>
      <c r="U220" s="1364"/>
      <c r="V220" s="1364">
        <v>0</v>
      </c>
      <c r="W220" s="1364">
        <v>0</v>
      </c>
      <c r="X220" s="1364">
        <v>0</v>
      </c>
      <c r="Y220" s="1364">
        <f t="shared" si="69"/>
        <v>5.7</v>
      </c>
      <c r="Z220" s="1384">
        <f t="shared" si="70"/>
        <v>2274655589</v>
      </c>
      <c r="AA220" s="1369">
        <f t="shared" si="64"/>
        <v>29.7</v>
      </c>
      <c r="AB220" s="1384">
        <f t="shared" si="62"/>
        <v>6704681173</v>
      </c>
      <c r="AC220" s="1372">
        <f t="shared" si="65"/>
        <v>49.5</v>
      </c>
      <c r="AD220" s="1372">
        <f t="shared" si="66"/>
        <v>30.269266151488665</v>
      </c>
      <c r="AE220" s="2585"/>
      <c r="AF220" s="569"/>
      <c r="AG220" s="569"/>
      <c r="AH220" s="569"/>
      <c r="AI220" s="569"/>
      <c r="AJ220" s="569"/>
      <c r="AK220" s="569"/>
      <c r="AL220" s="569"/>
      <c r="AM220" s="569"/>
      <c r="AN220" s="569"/>
      <c r="AO220" s="569"/>
      <c r="AP220" s="569"/>
      <c r="AQ220" s="569"/>
      <c r="AR220" s="569"/>
      <c r="AS220" s="569"/>
      <c r="AT220" s="569"/>
      <c r="AU220" s="569"/>
      <c r="AV220" s="569"/>
      <c r="AW220" s="569"/>
      <c r="AX220" s="569"/>
      <c r="AY220" s="569"/>
      <c r="AZ220" s="569"/>
      <c r="BA220" s="569"/>
      <c r="BB220" s="569"/>
      <c r="BC220" s="570"/>
      <c r="BD220" s="570"/>
      <c r="BE220" s="570"/>
      <c r="BF220" s="570"/>
      <c r="BG220" s="570"/>
      <c r="BH220" s="570"/>
      <c r="BI220" s="570"/>
      <c r="BJ220" s="570"/>
      <c r="BK220" s="570"/>
      <c r="BL220" s="570"/>
      <c r="BM220" s="570"/>
      <c r="BN220" s="570"/>
      <c r="BO220" s="570"/>
      <c r="BP220" s="570"/>
      <c r="BQ220" s="570"/>
    </row>
    <row r="221" spans="1:69" ht="66">
      <c r="A221" s="1412">
        <v>18</v>
      </c>
      <c r="B221" s="472"/>
      <c r="C221" s="1412"/>
      <c r="D221" s="1413"/>
      <c r="E221" s="1413"/>
      <c r="F221" s="1412"/>
      <c r="G221" s="1412"/>
      <c r="H221" s="1414"/>
      <c r="I221" s="473" t="s">
        <v>2001</v>
      </c>
      <c r="J221" s="474" t="s">
        <v>2632</v>
      </c>
      <c r="K221" s="1471" t="s">
        <v>2633</v>
      </c>
      <c r="L221" s="475">
        <f>L222</f>
        <v>325025553</v>
      </c>
      <c r="M221" s="1472" t="s">
        <v>2633</v>
      </c>
      <c r="N221" s="475">
        <f>N222</f>
        <v>0</v>
      </c>
      <c r="O221" s="1472" t="s">
        <v>2633</v>
      </c>
      <c r="P221" s="475">
        <f>P222</f>
        <v>108341851</v>
      </c>
      <c r="Q221" s="2649">
        <v>0.03</v>
      </c>
      <c r="R221" s="475">
        <f>R222</f>
        <v>13950000</v>
      </c>
      <c r="S221" s="476">
        <v>0.03</v>
      </c>
      <c r="T221" s="475">
        <f>T222</f>
        <v>28411950</v>
      </c>
      <c r="U221" s="476"/>
      <c r="V221" s="475">
        <f>V222</f>
        <v>0</v>
      </c>
      <c r="W221" s="472"/>
      <c r="X221" s="475">
        <f>X222</f>
        <v>0</v>
      </c>
      <c r="Y221" s="1376">
        <f t="shared" si="69"/>
        <v>0.06</v>
      </c>
      <c r="Z221" s="1385">
        <f t="shared" si="70"/>
        <v>42361950</v>
      </c>
      <c r="AA221" s="1376" t="s">
        <v>2633</v>
      </c>
      <c r="AB221" s="1385">
        <f t="shared" si="62"/>
        <v>42361950</v>
      </c>
      <c r="AC221" s="1377">
        <v>100</v>
      </c>
      <c r="AD221" s="1377">
        <f>(AB221/L221)*100</f>
        <v>13.033421406100953</v>
      </c>
      <c r="AE221" s="2583" t="s">
        <v>418</v>
      </c>
      <c r="AF221" s="569"/>
      <c r="AG221" s="569"/>
      <c r="AH221" s="569"/>
      <c r="AI221" s="569"/>
      <c r="AJ221" s="569"/>
      <c r="AK221" s="569"/>
      <c r="AL221" s="569"/>
      <c r="AM221" s="569"/>
      <c r="AN221" s="569"/>
      <c r="AO221" s="569"/>
      <c r="AP221" s="569"/>
      <c r="AQ221" s="569"/>
      <c r="AR221" s="569"/>
      <c r="AS221" s="569"/>
      <c r="AT221" s="569"/>
      <c r="AU221" s="569"/>
      <c r="AV221" s="569"/>
      <c r="AW221" s="569"/>
      <c r="AX221" s="569"/>
      <c r="AY221" s="569"/>
      <c r="AZ221" s="569"/>
      <c r="BA221" s="569"/>
      <c r="BB221" s="569"/>
      <c r="BC221" s="570"/>
      <c r="BD221" s="570"/>
      <c r="BE221" s="570"/>
      <c r="BF221" s="570"/>
      <c r="BG221" s="570"/>
      <c r="BH221" s="570"/>
      <c r="BI221" s="570"/>
      <c r="BJ221" s="570"/>
      <c r="BK221" s="570"/>
      <c r="BL221" s="570"/>
      <c r="BM221" s="570"/>
      <c r="BN221" s="570"/>
      <c r="BO221" s="570"/>
      <c r="BP221" s="570"/>
      <c r="BQ221" s="570"/>
    </row>
    <row r="222" spans="1:69" ht="38.25" customHeight="1">
      <c r="A222" s="1415"/>
      <c r="B222" s="467"/>
      <c r="C222" s="1415"/>
      <c r="D222" s="1416"/>
      <c r="E222" s="1416"/>
      <c r="F222" s="1415"/>
      <c r="G222" s="1415"/>
      <c r="H222" s="1417"/>
      <c r="I222" s="468" t="s">
        <v>2003</v>
      </c>
      <c r="J222" s="469" t="s">
        <v>2634</v>
      </c>
      <c r="K222" s="1366">
        <v>36</v>
      </c>
      <c r="L222" s="470">
        <f>3*P222</f>
        <v>325025553</v>
      </c>
      <c r="M222" s="1366">
        <v>0</v>
      </c>
      <c r="N222" s="470">
        <v>0</v>
      </c>
      <c r="O222" s="1473">
        <v>12</v>
      </c>
      <c r="P222" s="470">
        <v>108341851</v>
      </c>
      <c r="Q222" s="2648">
        <v>3</v>
      </c>
      <c r="R222" s="470">
        <v>13950000</v>
      </c>
      <c r="S222" s="1366">
        <v>3</v>
      </c>
      <c r="T222" s="470">
        <v>28411950</v>
      </c>
      <c r="U222" s="471"/>
      <c r="V222" s="470"/>
      <c r="W222" s="467"/>
      <c r="X222" s="470"/>
      <c r="Y222" s="1378">
        <f t="shared" si="69"/>
        <v>6</v>
      </c>
      <c r="Z222" s="1386">
        <f t="shared" si="70"/>
        <v>42361950</v>
      </c>
      <c r="AA222" s="1379">
        <f>M222+Y222</f>
        <v>6</v>
      </c>
      <c r="AB222" s="1386">
        <f t="shared" si="62"/>
        <v>42361950</v>
      </c>
      <c r="AC222" s="1380">
        <f>(AA222/K222)*100</f>
        <v>16.666666666666664</v>
      </c>
      <c r="AD222" s="1380">
        <f>(AB222/L222)*100</f>
        <v>13.033421406100953</v>
      </c>
      <c r="AE222" s="1415"/>
      <c r="AF222" s="569"/>
      <c r="AG222" s="569"/>
      <c r="AH222" s="569"/>
      <c r="AI222" s="569"/>
      <c r="AJ222" s="569"/>
      <c r="AK222" s="569"/>
      <c r="AL222" s="569"/>
      <c r="AM222" s="569"/>
      <c r="AN222" s="569"/>
      <c r="AO222" s="569"/>
      <c r="AP222" s="569"/>
      <c r="AQ222" s="569"/>
      <c r="AR222" s="569"/>
      <c r="AS222" s="569"/>
      <c r="AT222" s="569"/>
      <c r="AU222" s="569"/>
      <c r="AV222" s="569"/>
      <c r="AW222" s="569"/>
      <c r="AX222" s="569"/>
      <c r="AY222" s="569"/>
      <c r="AZ222" s="569"/>
      <c r="BA222" s="569"/>
      <c r="BB222" s="569"/>
      <c r="BC222" s="570"/>
      <c r="BD222" s="570"/>
      <c r="BE222" s="570"/>
      <c r="BF222" s="570"/>
      <c r="BG222" s="570"/>
      <c r="BH222" s="570"/>
      <c r="BI222" s="570"/>
      <c r="BJ222" s="570"/>
      <c r="BK222" s="570"/>
      <c r="BL222" s="570"/>
      <c r="BM222" s="570"/>
      <c r="BN222" s="570"/>
      <c r="BO222" s="570"/>
      <c r="BP222" s="570"/>
      <c r="BQ222" s="570"/>
    </row>
    <row r="223" spans="1:69" ht="19.5" customHeight="1">
      <c r="A223" s="1418"/>
      <c r="B223" s="913"/>
      <c r="C223" s="1418"/>
      <c r="D223" s="1418"/>
      <c r="E223" s="1418"/>
      <c r="F223" s="1418"/>
      <c r="G223" s="1418"/>
      <c r="H223" s="1418"/>
      <c r="I223" s="913"/>
      <c r="J223" s="913"/>
      <c r="K223" s="913"/>
      <c r="L223" s="913"/>
      <c r="M223" s="913"/>
      <c r="N223" s="913"/>
      <c r="O223" s="913"/>
      <c r="P223" s="913"/>
      <c r="Q223" s="913"/>
      <c r="R223" s="913"/>
      <c r="S223" s="913"/>
      <c r="T223" s="913"/>
      <c r="U223" s="913"/>
      <c r="V223" s="913"/>
      <c r="W223" s="913"/>
      <c r="X223" s="913"/>
      <c r="Y223" s="913"/>
      <c r="Z223" s="2805" t="s">
        <v>2002</v>
      </c>
      <c r="AA223" s="2805"/>
      <c r="AB223" s="2806"/>
      <c r="AC223" s="1370">
        <f>(AC121+AC138+AC141+AC144+AC149+AC156+AC162+AC166+AC173+AC183+AC189+AC198+AC203+AC205+AC211+AC216+AC219+AC221)/18</f>
        <v>69.523297619250471</v>
      </c>
      <c r="AD223" s="1370">
        <f>(AD121+AD138+AD141+AD144+AD149+AD156+AD162+AD166+AD173+AD183+AD189+AD198+AD203+AD205+AD211+AD216+AD219+AD221)/18</f>
        <v>20.137009675595113</v>
      </c>
      <c r="AE223" s="2587"/>
      <c r="AF223" s="569"/>
      <c r="AG223" s="569"/>
      <c r="AH223" s="569"/>
      <c r="AI223" s="569"/>
      <c r="AJ223" s="569"/>
      <c r="AK223" s="569"/>
      <c r="AL223" s="569"/>
      <c r="AM223" s="569"/>
      <c r="AN223" s="569"/>
      <c r="AO223" s="569"/>
      <c r="AP223" s="569"/>
      <c r="AQ223" s="569"/>
      <c r="AR223" s="569"/>
      <c r="AS223" s="569"/>
      <c r="AT223" s="569"/>
      <c r="AU223" s="569"/>
      <c r="AV223" s="569"/>
      <c r="AW223" s="569"/>
      <c r="AX223" s="569"/>
      <c r="AY223" s="569"/>
      <c r="AZ223" s="569"/>
      <c r="BA223" s="569"/>
      <c r="BB223" s="569"/>
      <c r="BC223" s="570"/>
      <c r="BD223" s="570"/>
      <c r="BE223" s="570"/>
      <c r="BF223" s="570"/>
      <c r="BG223" s="570"/>
      <c r="BH223" s="570"/>
      <c r="BI223" s="570"/>
      <c r="BJ223" s="570"/>
      <c r="BK223" s="570"/>
      <c r="BL223" s="570"/>
      <c r="BM223" s="570"/>
      <c r="BN223" s="570"/>
      <c r="BO223" s="570"/>
      <c r="BP223" s="570"/>
      <c r="BQ223" s="570"/>
    </row>
    <row r="224" spans="1:69" ht="21.75" customHeight="1">
      <c r="A224" s="1419"/>
      <c r="B224" s="914"/>
      <c r="C224" s="1419"/>
      <c r="D224" s="1419"/>
      <c r="E224" s="1419"/>
      <c r="F224" s="1419"/>
      <c r="G224" s="1419"/>
      <c r="H224" s="1419"/>
      <c r="I224" s="914"/>
      <c r="J224" s="914"/>
      <c r="K224" s="914"/>
      <c r="L224" s="914"/>
      <c r="M224" s="914"/>
      <c r="N224" s="914"/>
      <c r="O224" s="914"/>
      <c r="P224" s="914"/>
      <c r="Q224" s="914"/>
      <c r="R224" s="914"/>
      <c r="S224" s="914"/>
      <c r="T224" s="914"/>
      <c r="U224" s="914"/>
      <c r="V224" s="914"/>
      <c r="W224" s="914"/>
      <c r="X224" s="914"/>
      <c r="Y224" s="914"/>
      <c r="Z224" s="2807" t="s">
        <v>395</v>
      </c>
      <c r="AA224" s="2807"/>
      <c r="AB224" s="2808"/>
      <c r="AC224" s="524" t="str">
        <f>IF(AC223&gt;=91,"ST",IF(AC223&gt;=76,"T",IF(AC223&gt;=66,"S",IF(AC223&gt;=51,"R","SR"))))</f>
        <v>S</v>
      </c>
      <c r="AD224" s="524" t="str">
        <f>IF(AD223&gt;=91,"ST",IF(AD223&gt;=76,"T",IF(AD223&gt;=66,"S",IF(AD223&gt;=51,"R","SR"))))</f>
        <v>SR</v>
      </c>
      <c r="AE224" s="2588"/>
      <c r="AF224" s="569"/>
      <c r="AG224" s="569"/>
      <c r="AH224" s="569"/>
      <c r="AI224" s="569"/>
      <c r="AJ224" s="569"/>
      <c r="AK224" s="569"/>
      <c r="AL224" s="569"/>
      <c r="AM224" s="569"/>
      <c r="AN224" s="569"/>
      <c r="AO224" s="569"/>
      <c r="AP224" s="569"/>
      <c r="AQ224" s="569"/>
      <c r="AR224" s="569"/>
      <c r="AS224" s="569"/>
      <c r="AT224" s="569"/>
      <c r="AU224" s="569"/>
      <c r="AV224" s="569"/>
      <c r="AW224" s="569"/>
      <c r="AX224" s="569"/>
      <c r="AY224" s="569"/>
      <c r="AZ224" s="569"/>
      <c r="BA224" s="569"/>
      <c r="BB224" s="569"/>
      <c r="BC224" s="570"/>
      <c r="BD224" s="570"/>
      <c r="BE224" s="570"/>
      <c r="BF224" s="570"/>
      <c r="BG224" s="570"/>
      <c r="BH224" s="570"/>
      <c r="BI224" s="570"/>
      <c r="BJ224" s="570"/>
      <c r="BK224" s="570"/>
      <c r="BL224" s="570"/>
      <c r="BM224" s="570"/>
      <c r="BN224" s="570"/>
      <c r="BO224" s="570"/>
      <c r="BP224" s="570"/>
      <c r="BQ224" s="570"/>
    </row>
    <row r="225" spans="1:70" s="1235" customFormat="1" ht="26.25" customHeight="1">
      <c r="A225" s="2809" t="s">
        <v>2277</v>
      </c>
      <c r="B225" s="2810"/>
      <c r="C225" s="2810"/>
      <c r="D225" s="2810"/>
      <c r="E225" s="2810"/>
      <c r="F225" s="2810"/>
      <c r="G225" s="2810"/>
      <c r="H225" s="2811"/>
      <c r="I225" s="1499"/>
      <c r="J225" s="1499"/>
      <c r="K225" s="1499"/>
      <c r="L225" s="1500">
        <f>SUM(L226+L228+L230)</f>
        <v>402322336376</v>
      </c>
      <c r="M225" s="1499"/>
      <c r="N225" s="1500">
        <f>SUM(N226+N228+N230)</f>
        <v>12219253006</v>
      </c>
      <c r="O225" s="1499"/>
      <c r="P225" s="1500">
        <f>SUM(P226+P228+P230)</f>
        <v>84967766951</v>
      </c>
      <c r="Q225" s="1499"/>
      <c r="R225" s="1500">
        <f>SUM(R226+R228+R230)</f>
        <v>10409797000</v>
      </c>
      <c r="S225" s="1499"/>
      <c r="T225" s="1500">
        <f>T226+T228+T230</f>
        <v>15147665000</v>
      </c>
      <c r="U225" s="1499"/>
      <c r="V225" s="1499"/>
      <c r="W225" s="1499"/>
      <c r="X225" s="1499"/>
      <c r="Y225" s="1499"/>
      <c r="Z225" s="2533">
        <f>SUM(Z226+Z228)</f>
        <v>25551962000</v>
      </c>
      <c r="AA225" s="1501"/>
      <c r="AB225" s="1500">
        <f>SUM(Z226+Z228+Z230)</f>
        <v>25557462000</v>
      </c>
      <c r="AC225" s="1502"/>
      <c r="AD225" s="1503"/>
      <c r="AE225" s="2589"/>
      <c r="AF225" s="946"/>
      <c r="AG225" s="946"/>
      <c r="AH225" s="946"/>
      <c r="AI225" s="946"/>
      <c r="AJ225" s="946"/>
      <c r="AK225" s="946"/>
      <c r="AL225" s="946"/>
      <c r="AM225" s="946"/>
      <c r="AN225" s="946"/>
      <c r="AO225" s="946"/>
      <c r="AP225" s="946"/>
      <c r="AQ225" s="946"/>
      <c r="AR225" s="946"/>
      <c r="AS225" s="946"/>
      <c r="AT225" s="946"/>
      <c r="AU225" s="946"/>
      <c r="AV225" s="946"/>
      <c r="AW225" s="946"/>
      <c r="AX225" s="946"/>
      <c r="AY225" s="946"/>
      <c r="AZ225" s="946"/>
      <c r="BA225" s="946"/>
      <c r="BB225" s="946"/>
      <c r="BC225" s="947"/>
      <c r="BD225" s="947"/>
      <c r="BE225" s="947"/>
      <c r="BF225" s="947"/>
      <c r="BG225" s="947"/>
      <c r="BH225" s="947"/>
      <c r="BI225" s="947"/>
      <c r="BJ225" s="947"/>
      <c r="BK225" s="947"/>
      <c r="BL225" s="947"/>
      <c r="BM225" s="947"/>
      <c r="BN225" s="947"/>
      <c r="BO225" s="947"/>
      <c r="BP225" s="947"/>
      <c r="BQ225" s="947"/>
      <c r="BR225" s="862"/>
    </row>
    <row r="226" spans="1:70" ht="115.5">
      <c r="A226" s="2558">
        <v>1</v>
      </c>
      <c r="B226" s="161"/>
      <c r="C226" s="303">
        <v>1</v>
      </c>
      <c r="D226" s="303" t="s">
        <v>25</v>
      </c>
      <c r="E226" s="303" t="s">
        <v>28</v>
      </c>
      <c r="F226" s="303">
        <v>2</v>
      </c>
      <c r="G226" s="303">
        <v>34</v>
      </c>
      <c r="H226" s="161"/>
      <c r="I226" s="33" t="s">
        <v>2321</v>
      </c>
      <c r="J226" s="33" t="s">
        <v>2637</v>
      </c>
      <c r="K226" s="33">
        <v>100</v>
      </c>
      <c r="L226" s="159">
        <f>SUM(L227)</f>
        <v>364250898000</v>
      </c>
      <c r="M226" s="148">
        <v>83</v>
      </c>
      <c r="N226" s="159">
        <f>SUM(N227:N227)</f>
        <v>52969006</v>
      </c>
      <c r="O226" s="33">
        <v>17</v>
      </c>
      <c r="P226" s="159">
        <f>SUM(P227:P227)</f>
        <v>65306138600</v>
      </c>
      <c r="Q226" s="33">
        <v>5</v>
      </c>
      <c r="R226" s="144">
        <f>R227</f>
        <v>10336375000</v>
      </c>
      <c r="S226" s="33">
        <f>S227</f>
        <v>3</v>
      </c>
      <c r="T226" s="144">
        <f>SUM(T227:T227)</f>
        <v>14976768000</v>
      </c>
      <c r="U226" s="151">
        <f>U227</f>
        <v>0</v>
      </c>
      <c r="V226" s="1138">
        <f>V227</f>
        <v>0</v>
      </c>
      <c r="W226" s="33"/>
      <c r="X226" s="144">
        <f>X227</f>
        <v>0</v>
      </c>
      <c r="Y226" s="403">
        <f t="shared" ref="Y226:Y235" si="71">Q226+S226+U226+W226</f>
        <v>8</v>
      </c>
      <c r="Z226" s="144">
        <f t="shared" ref="Z226:Z235" si="72">R226+T226+V226+X226</f>
        <v>25313143000</v>
      </c>
      <c r="AA226" s="609">
        <f t="shared" ref="AA226:AA235" si="73">M226+Y226</f>
        <v>91</v>
      </c>
      <c r="AB226" s="159">
        <f t="shared" ref="AB226:AB235" si="74">N226+Z226</f>
        <v>25366112006</v>
      </c>
      <c r="AC226" s="151">
        <f t="shared" ref="AC226:AC235" si="75">(AA226/K226)*100</f>
        <v>91</v>
      </c>
      <c r="AD226" s="151">
        <f t="shared" ref="AD226:AD235" si="76">(AB226/L226)*100</f>
        <v>6.9639120027646442</v>
      </c>
      <c r="AE226" s="2558" t="s">
        <v>2322</v>
      </c>
      <c r="AF226" s="569"/>
      <c r="AG226" s="569"/>
      <c r="AH226" s="569"/>
      <c r="AI226" s="569"/>
      <c r="AJ226" s="569"/>
      <c r="AK226" s="569"/>
      <c r="AL226" s="569"/>
      <c r="AM226" s="569"/>
      <c r="AN226" s="569"/>
      <c r="AO226" s="569"/>
      <c r="AP226" s="569"/>
      <c r="AQ226" s="569"/>
      <c r="AR226" s="569"/>
      <c r="AS226" s="569"/>
      <c r="AT226" s="569"/>
      <c r="AU226" s="569"/>
      <c r="AV226" s="569"/>
      <c r="AW226" s="569"/>
      <c r="AX226" s="569"/>
      <c r="AY226" s="569"/>
      <c r="AZ226" s="569"/>
      <c r="BA226" s="569"/>
      <c r="BB226" s="569"/>
      <c r="BC226" s="570"/>
      <c r="BD226" s="570"/>
      <c r="BE226" s="570"/>
      <c r="BF226" s="570"/>
      <c r="BG226" s="570"/>
      <c r="BH226" s="570"/>
      <c r="BI226" s="570"/>
      <c r="BJ226" s="570"/>
      <c r="BK226" s="570"/>
      <c r="BL226" s="570"/>
      <c r="BM226" s="570"/>
      <c r="BN226" s="570"/>
      <c r="BO226" s="570"/>
      <c r="BP226" s="570"/>
      <c r="BQ226" s="570"/>
    </row>
    <row r="227" spans="1:70" ht="66">
      <c r="A227" s="551"/>
      <c r="B227" s="307"/>
      <c r="C227" s="916">
        <v>1</v>
      </c>
      <c r="D227" s="916" t="s">
        <v>25</v>
      </c>
      <c r="E227" s="628" t="s">
        <v>28</v>
      </c>
      <c r="F227" s="916" t="s">
        <v>28</v>
      </c>
      <c r="G227" s="916">
        <v>34</v>
      </c>
      <c r="H227" s="916" t="s">
        <v>25</v>
      </c>
      <c r="I227" s="19" t="s">
        <v>2323</v>
      </c>
      <c r="J227" s="19" t="s">
        <v>2635</v>
      </c>
      <c r="K227" s="13">
        <v>72</v>
      </c>
      <c r="L227" s="13">
        <v>364250898000</v>
      </c>
      <c r="M227" s="917">
        <v>36</v>
      </c>
      <c r="N227" s="918">
        <v>52969006</v>
      </c>
      <c r="O227" s="19">
        <v>12</v>
      </c>
      <c r="P227" s="919">
        <v>65306138600</v>
      </c>
      <c r="Q227" s="920">
        <v>3</v>
      </c>
      <c r="R227" s="27">
        <v>10336375000</v>
      </c>
      <c r="S227" s="919">
        <v>3</v>
      </c>
      <c r="T227" s="921">
        <v>14976768000</v>
      </c>
      <c r="U227" s="380"/>
      <c r="V227" s="918"/>
      <c r="W227" s="19"/>
      <c r="X227" s="918"/>
      <c r="Y227" s="88">
        <f t="shared" si="71"/>
        <v>6</v>
      </c>
      <c r="Z227" s="27">
        <f t="shared" si="72"/>
        <v>25313143000</v>
      </c>
      <c r="AA227" s="922">
        <f t="shared" si="73"/>
        <v>42</v>
      </c>
      <c r="AB227" s="27">
        <f t="shared" si="74"/>
        <v>25366112006</v>
      </c>
      <c r="AC227" s="923">
        <f t="shared" si="75"/>
        <v>58.333333333333336</v>
      </c>
      <c r="AD227" s="924">
        <f t="shared" si="76"/>
        <v>6.9639120027646442</v>
      </c>
      <c r="AE227" s="89"/>
      <c r="AF227" s="569"/>
      <c r="AG227" s="569"/>
      <c r="AH227" s="569"/>
      <c r="AI227" s="569"/>
      <c r="AJ227" s="569"/>
      <c r="AK227" s="569"/>
      <c r="AL227" s="569"/>
      <c r="AM227" s="569"/>
      <c r="AN227" s="569"/>
      <c r="AO227" s="569"/>
      <c r="AP227" s="569"/>
      <c r="AQ227" s="569"/>
      <c r="AR227" s="569"/>
      <c r="AS227" s="569"/>
      <c r="AT227" s="569"/>
      <c r="AU227" s="569"/>
      <c r="AV227" s="569"/>
      <c r="AW227" s="569"/>
      <c r="AX227" s="569"/>
      <c r="AY227" s="569"/>
      <c r="AZ227" s="569"/>
      <c r="BA227" s="569"/>
      <c r="BB227" s="569"/>
      <c r="BC227" s="570"/>
      <c r="BD227" s="570"/>
      <c r="BE227" s="570"/>
      <c r="BF227" s="570"/>
      <c r="BG227" s="570"/>
      <c r="BH227" s="570"/>
      <c r="BI227" s="570"/>
      <c r="BJ227" s="570"/>
      <c r="BK227" s="570"/>
      <c r="BL227" s="570"/>
      <c r="BM227" s="570"/>
      <c r="BN227" s="570"/>
      <c r="BO227" s="570"/>
      <c r="BP227" s="570"/>
      <c r="BQ227" s="570"/>
    </row>
    <row r="228" spans="1:70" s="16" customFormat="1" ht="114" customHeight="1">
      <c r="A228" s="2558">
        <v>2</v>
      </c>
      <c r="B228" s="161"/>
      <c r="C228" s="303">
        <v>1</v>
      </c>
      <c r="D228" s="303" t="s">
        <v>25</v>
      </c>
      <c r="E228" s="303" t="s">
        <v>28</v>
      </c>
      <c r="F228" s="303" t="s">
        <v>28</v>
      </c>
      <c r="G228" s="303">
        <v>16</v>
      </c>
      <c r="H228" s="161"/>
      <c r="I228" s="33" t="s">
        <v>2324</v>
      </c>
      <c r="J228" s="33" t="s">
        <v>2637</v>
      </c>
      <c r="K228" s="33">
        <v>100</v>
      </c>
      <c r="L228" s="159">
        <f>SUM(L229)</f>
        <v>1000000000</v>
      </c>
      <c r="M228" s="33">
        <v>83</v>
      </c>
      <c r="N228" s="159">
        <f t="shared" ref="N228:P228" si="77">N229</f>
        <v>183521000</v>
      </c>
      <c r="O228" s="33">
        <v>17</v>
      </c>
      <c r="P228" s="159">
        <f t="shared" si="77"/>
        <v>300000000</v>
      </c>
      <c r="Q228" s="33">
        <v>5</v>
      </c>
      <c r="R228" s="1504">
        <f>R229</f>
        <v>73422000</v>
      </c>
      <c r="S228" s="33"/>
      <c r="T228" s="144">
        <f>SUM(T229)</f>
        <v>165397000</v>
      </c>
      <c r="U228" s="33"/>
      <c r="V228" s="144"/>
      <c r="W228" s="33"/>
      <c r="X228" s="144"/>
      <c r="Y228" s="33">
        <f t="shared" si="71"/>
        <v>5</v>
      </c>
      <c r="Z228" s="144">
        <f t="shared" si="72"/>
        <v>238819000</v>
      </c>
      <c r="AA228" s="151">
        <f t="shared" si="73"/>
        <v>88</v>
      </c>
      <c r="AB228" s="1138">
        <f t="shared" si="74"/>
        <v>422340000</v>
      </c>
      <c r="AC228" s="1000">
        <f t="shared" si="75"/>
        <v>88</v>
      </c>
      <c r="AD228" s="151">
        <f t="shared" si="76"/>
        <v>42.234000000000002</v>
      </c>
      <c r="AE228" s="2558" t="s">
        <v>2322</v>
      </c>
      <c r="AF228" s="870"/>
      <c r="AG228" s="870"/>
      <c r="AH228" s="870"/>
      <c r="AI228" s="870"/>
      <c r="AJ228" s="870"/>
      <c r="AK228" s="870"/>
      <c r="AL228" s="870"/>
      <c r="AM228" s="870"/>
      <c r="AN228" s="870"/>
      <c r="AO228" s="870"/>
      <c r="AP228" s="870"/>
      <c r="AQ228" s="870"/>
      <c r="AR228" s="870"/>
      <c r="AS228" s="870"/>
      <c r="AT228" s="870"/>
      <c r="AU228" s="870"/>
      <c r="AV228" s="870"/>
      <c r="AW228" s="870"/>
      <c r="AX228" s="870"/>
      <c r="AY228" s="870"/>
      <c r="AZ228" s="870"/>
      <c r="BA228" s="870"/>
      <c r="BB228" s="870"/>
      <c r="BC228" s="871"/>
      <c r="BD228" s="871"/>
      <c r="BE228" s="871"/>
      <c r="BF228" s="871"/>
      <c r="BG228" s="871"/>
      <c r="BH228" s="871"/>
      <c r="BI228" s="871"/>
      <c r="BJ228" s="871"/>
      <c r="BK228" s="871"/>
      <c r="BL228" s="871"/>
      <c r="BM228" s="871"/>
      <c r="BN228" s="871"/>
      <c r="BO228" s="871"/>
      <c r="BP228" s="871"/>
      <c r="BQ228" s="871"/>
      <c r="BR228" s="20"/>
    </row>
    <row r="229" spans="1:70" ht="72" customHeight="1">
      <c r="A229" s="551"/>
      <c r="B229" s="525"/>
      <c r="C229" s="916">
        <v>1</v>
      </c>
      <c r="D229" s="916" t="s">
        <v>25</v>
      </c>
      <c r="E229" s="628" t="s">
        <v>28</v>
      </c>
      <c r="F229" s="916" t="s">
        <v>28</v>
      </c>
      <c r="G229" s="916">
        <v>16</v>
      </c>
      <c r="H229" s="916">
        <v>11</v>
      </c>
      <c r="I229" s="19" t="s">
        <v>2325</v>
      </c>
      <c r="J229" s="19" t="s">
        <v>2636</v>
      </c>
      <c r="K229" s="12">
        <v>180</v>
      </c>
      <c r="L229" s="13">
        <v>1000000000</v>
      </c>
      <c r="M229" s="920">
        <v>74</v>
      </c>
      <c r="N229" s="918">
        <v>183521000</v>
      </c>
      <c r="O229" s="19">
        <v>30</v>
      </c>
      <c r="P229" s="919">
        <v>300000000</v>
      </c>
      <c r="Q229" s="920">
        <v>22</v>
      </c>
      <c r="R229" s="918">
        <v>73422000</v>
      </c>
      <c r="S229" s="920">
        <v>20</v>
      </c>
      <c r="T229" s="27">
        <v>165397000</v>
      </c>
      <c r="U229" s="19"/>
      <c r="V229" s="27"/>
      <c r="W229" s="19"/>
      <c r="X229" s="27"/>
      <c r="Y229" s="88">
        <f t="shared" si="71"/>
        <v>42</v>
      </c>
      <c r="Z229" s="27">
        <f t="shared" si="72"/>
        <v>238819000</v>
      </c>
      <c r="AA229" s="380">
        <f t="shared" si="73"/>
        <v>116</v>
      </c>
      <c r="AB229" s="27">
        <f t="shared" si="74"/>
        <v>422340000</v>
      </c>
      <c r="AC229" s="923">
        <f t="shared" si="75"/>
        <v>64.444444444444443</v>
      </c>
      <c r="AD229" s="380">
        <f t="shared" si="76"/>
        <v>42.234000000000002</v>
      </c>
      <c r="AE229" s="89"/>
      <c r="AF229" s="569"/>
      <c r="AG229" s="569"/>
      <c r="AH229" s="569"/>
      <c r="AI229" s="569"/>
      <c r="AJ229" s="569"/>
      <c r="AK229" s="569"/>
      <c r="AL229" s="569"/>
      <c r="AM229" s="569"/>
      <c r="AN229" s="569"/>
      <c r="AO229" s="569"/>
      <c r="AP229" s="569"/>
      <c r="AQ229" s="569"/>
      <c r="AR229" s="569"/>
      <c r="AS229" s="569"/>
      <c r="AT229" s="569"/>
      <c r="AU229" s="569"/>
      <c r="AV229" s="569"/>
      <c r="AW229" s="569"/>
      <c r="AX229" s="569"/>
      <c r="AY229" s="569"/>
      <c r="AZ229" s="569"/>
      <c r="BA229" s="569"/>
      <c r="BB229" s="569"/>
      <c r="BC229" s="570"/>
      <c r="BD229" s="570"/>
      <c r="BE229" s="570"/>
      <c r="BF229" s="570"/>
      <c r="BG229" s="570"/>
      <c r="BH229" s="570"/>
      <c r="BI229" s="570"/>
      <c r="BJ229" s="570"/>
      <c r="BK229" s="570"/>
      <c r="BL229" s="570"/>
      <c r="BM229" s="570"/>
      <c r="BN229" s="570"/>
      <c r="BO229" s="570"/>
      <c r="BP229" s="570"/>
      <c r="BQ229" s="570"/>
    </row>
    <row r="230" spans="1:70" s="16" customFormat="1" ht="132.75" customHeight="1">
      <c r="A230" s="2558">
        <v>2</v>
      </c>
      <c r="B230" s="161"/>
      <c r="C230" s="161">
        <v>1</v>
      </c>
      <c r="D230" s="303" t="s">
        <v>28</v>
      </c>
      <c r="E230" s="303" t="s">
        <v>28</v>
      </c>
      <c r="F230" s="303" t="s">
        <v>25</v>
      </c>
      <c r="G230" s="303">
        <v>26</v>
      </c>
      <c r="H230" s="161"/>
      <c r="I230" s="33" t="s">
        <v>2326</v>
      </c>
      <c r="J230" s="33" t="s">
        <v>2637</v>
      </c>
      <c r="K230" s="159">
        <v>100</v>
      </c>
      <c r="L230" s="159">
        <f>SUM(L231:L235)</f>
        <v>37071438376</v>
      </c>
      <c r="M230" s="159">
        <v>83</v>
      </c>
      <c r="N230" s="159">
        <f>SUM(N231:N235)</f>
        <v>11982763000</v>
      </c>
      <c r="O230" s="159">
        <v>17</v>
      </c>
      <c r="P230" s="403">
        <f>SUM(P231:P235)</f>
        <v>19361628351</v>
      </c>
      <c r="Q230" s="159">
        <f>Q232</f>
        <v>0</v>
      </c>
      <c r="R230" s="144">
        <f>SUM(R231:R235)</f>
        <v>0</v>
      </c>
      <c r="S230" s="159"/>
      <c r="T230" s="159">
        <f>SUM(T231:T235)</f>
        <v>5500000</v>
      </c>
      <c r="U230" s="33"/>
      <c r="V230" s="159">
        <f>SUM(V231:V235)</f>
        <v>0</v>
      </c>
      <c r="W230" s="33"/>
      <c r="X230" s="144">
        <f>SUM(X231:X235)</f>
        <v>0</v>
      </c>
      <c r="Y230" s="33">
        <f t="shared" si="71"/>
        <v>0</v>
      </c>
      <c r="Z230" s="1138">
        <f t="shared" si="72"/>
        <v>5500000</v>
      </c>
      <c r="AA230" s="33">
        <f t="shared" si="73"/>
        <v>83</v>
      </c>
      <c r="AB230" s="1138">
        <f t="shared" si="74"/>
        <v>11988263000</v>
      </c>
      <c r="AC230" s="1000">
        <f t="shared" si="75"/>
        <v>83</v>
      </c>
      <c r="AD230" s="151">
        <f t="shared" si="76"/>
        <v>32.338273142811708</v>
      </c>
      <c r="AE230" s="2558" t="s">
        <v>2322</v>
      </c>
      <c r="AF230" s="870"/>
      <c r="AG230" s="870"/>
      <c r="AH230" s="870"/>
      <c r="AI230" s="870"/>
      <c r="AJ230" s="870"/>
      <c r="AK230" s="870"/>
      <c r="AL230" s="870"/>
      <c r="AM230" s="870"/>
      <c r="AN230" s="870"/>
      <c r="AO230" s="870"/>
      <c r="AP230" s="870"/>
      <c r="AQ230" s="870"/>
      <c r="AR230" s="870"/>
      <c r="AS230" s="870"/>
      <c r="AT230" s="870"/>
      <c r="AU230" s="870"/>
      <c r="AV230" s="870"/>
      <c r="AW230" s="870"/>
      <c r="AX230" s="870"/>
      <c r="AY230" s="870"/>
      <c r="AZ230" s="870"/>
      <c r="BA230" s="870"/>
      <c r="BB230" s="870"/>
      <c r="BC230" s="871"/>
      <c r="BD230" s="871"/>
      <c r="BE230" s="871"/>
      <c r="BF230" s="871"/>
      <c r="BG230" s="871"/>
      <c r="BH230" s="871"/>
      <c r="BI230" s="871"/>
      <c r="BJ230" s="871"/>
      <c r="BK230" s="871"/>
      <c r="BL230" s="871"/>
      <c r="BM230" s="871"/>
      <c r="BN230" s="871"/>
      <c r="BO230" s="871"/>
      <c r="BP230" s="871"/>
      <c r="BQ230" s="871"/>
      <c r="BR230" s="20"/>
    </row>
    <row r="231" spans="1:70" ht="49.5">
      <c r="A231" s="520"/>
      <c r="B231" s="102"/>
      <c r="C231" s="520"/>
      <c r="D231" s="925"/>
      <c r="E231" s="628"/>
      <c r="F231" s="925"/>
      <c r="G231" s="925"/>
      <c r="H231" s="520"/>
      <c r="I231" s="88" t="s">
        <v>2328</v>
      </c>
      <c r="J231" s="124" t="s">
        <v>2638</v>
      </c>
      <c r="K231" s="125">
        <v>3</v>
      </c>
      <c r="L231" s="125">
        <f>3*P231</f>
        <v>141038376</v>
      </c>
      <c r="M231" s="926">
        <v>0</v>
      </c>
      <c r="N231" s="926">
        <v>0</v>
      </c>
      <c r="O231" s="7">
        <v>1</v>
      </c>
      <c r="P231" s="927">
        <v>47012792</v>
      </c>
      <c r="Q231" s="7"/>
      <c r="R231" s="928"/>
      <c r="S231" s="7"/>
      <c r="T231" s="926">
        <v>5500000</v>
      </c>
      <c r="U231" s="7"/>
      <c r="V231" s="926"/>
      <c r="W231" s="7"/>
      <c r="X231" s="928"/>
      <c r="Y231" s="8">
        <f t="shared" si="71"/>
        <v>0</v>
      </c>
      <c r="Z231" s="926">
        <f t="shared" si="72"/>
        <v>5500000</v>
      </c>
      <c r="AA231" s="7">
        <f t="shared" si="73"/>
        <v>0</v>
      </c>
      <c r="AB231" s="926">
        <f t="shared" si="74"/>
        <v>5500000</v>
      </c>
      <c r="AC231" s="929">
        <f t="shared" si="75"/>
        <v>0</v>
      </c>
      <c r="AD231" s="827">
        <f t="shared" si="76"/>
        <v>3.8996478518725994</v>
      </c>
      <c r="AE231" s="102"/>
      <c r="AF231" s="569"/>
      <c r="AG231" s="569"/>
      <c r="AH231" s="569"/>
      <c r="AI231" s="569"/>
      <c r="AJ231" s="569"/>
      <c r="AK231" s="569"/>
      <c r="AL231" s="569"/>
      <c r="AM231" s="569"/>
      <c r="AN231" s="569"/>
      <c r="AO231" s="569"/>
      <c r="AP231" s="569"/>
      <c r="AQ231" s="569"/>
      <c r="AR231" s="569"/>
      <c r="AS231" s="569"/>
      <c r="AT231" s="569"/>
      <c r="AU231" s="569"/>
      <c r="AV231" s="569"/>
      <c r="AW231" s="569"/>
      <c r="AX231" s="569"/>
      <c r="AY231" s="569"/>
      <c r="AZ231" s="569"/>
      <c r="BA231" s="569"/>
      <c r="BB231" s="569"/>
      <c r="BC231" s="570"/>
      <c r="BD231" s="570"/>
      <c r="BE231" s="570"/>
      <c r="BF231" s="570"/>
      <c r="BG231" s="570"/>
      <c r="BH231" s="570"/>
      <c r="BI231" s="570"/>
      <c r="BJ231" s="570"/>
      <c r="BK231" s="570"/>
      <c r="BL231" s="570"/>
      <c r="BM231" s="570"/>
      <c r="BN231" s="570"/>
      <c r="BO231" s="570"/>
      <c r="BP231" s="570"/>
      <c r="BQ231" s="570"/>
    </row>
    <row r="232" spans="1:70" ht="49.5">
      <c r="A232" s="520"/>
      <c r="B232" s="102"/>
      <c r="C232" s="520"/>
      <c r="D232" s="925"/>
      <c r="E232" s="628"/>
      <c r="F232" s="925"/>
      <c r="G232" s="925"/>
      <c r="H232" s="930"/>
      <c r="I232" s="88" t="s">
        <v>2329</v>
      </c>
      <c r="J232" s="124" t="s">
        <v>2628</v>
      </c>
      <c r="K232" s="823">
        <v>6</v>
      </c>
      <c r="L232" s="125">
        <v>25000000000</v>
      </c>
      <c r="M232" s="328">
        <v>3</v>
      </c>
      <c r="N232" s="321">
        <v>11865126000</v>
      </c>
      <c r="O232" s="328">
        <v>1</v>
      </c>
      <c r="P232" s="321">
        <v>16734215559</v>
      </c>
      <c r="Q232" s="321">
        <v>0</v>
      </c>
      <c r="R232" s="931">
        <v>0</v>
      </c>
      <c r="S232" s="328"/>
      <c r="T232" s="321"/>
      <c r="U232" s="328"/>
      <c r="V232" s="321"/>
      <c r="W232" s="328"/>
      <c r="X232" s="321"/>
      <c r="Y232" s="88">
        <f t="shared" si="71"/>
        <v>0</v>
      </c>
      <c r="Z232" s="321">
        <f t="shared" si="72"/>
        <v>0</v>
      </c>
      <c r="AA232" s="19">
        <f t="shared" si="73"/>
        <v>3</v>
      </c>
      <c r="AB232" s="27">
        <f t="shared" si="74"/>
        <v>11865126000</v>
      </c>
      <c r="AC232" s="923">
        <f t="shared" si="75"/>
        <v>50</v>
      </c>
      <c r="AD232" s="123">
        <f t="shared" si="76"/>
        <v>47.460504</v>
      </c>
      <c r="AE232" s="89"/>
      <c r="AF232" s="569"/>
      <c r="AG232" s="569"/>
      <c r="AH232" s="569"/>
      <c r="AI232" s="569"/>
      <c r="AJ232" s="569"/>
      <c r="AK232" s="569"/>
      <c r="AL232" s="569"/>
      <c r="AM232" s="569"/>
      <c r="AN232" s="569"/>
      <c r="AO232" s="569"/>
      <c r="AP232" s="569"/>
      <c r="AQ232" s="569"/>
      <c r="AR232" s="569"/>
      <c r="AS232" s="569"/>
      <c r="AT232" s="569"/>
      <c r="AU232" s="569"/>
      <c r="AV232" s="569"/>
      <c r="AW232" s="569"/>
      <c r="AX232" s="569"/>
      <c r="AY232" s="569"/>
      <c r="AZ232" s="569"/>
      <c r="BA232" s="569"/>
      <c r="BB232" s="569"/>
      <c r="BC232" s="570"/>
      <c r="BD232" s="570"/>
      <c r="BE232" s="570"/>
      <c r="BF232" s="570"/>
      <c r="BG232" s="570"/>
      <c r="BH232" s="570"/>
      <c r="BI232" s="570"/>
      <c r="BJ232" s="570"/>
      <c r="BK232" s="570"/>
      <c r="BL232" s="570"/>
      <c r="BM232" s="570"/>
      <c r="BN232" s="570"/>
      <c r="BO232" s="570"/>
      <c r="BP232" s="570"/>
      <c r="BQ232" s="570"/>
    </row>
    <row r="233" spans="1:70" ht="49.5">
      <c r="A233" s="520"/>
      <c r="B233" s="102"/>
      <c r="C233" s="520"/>
      <c r="D233" s="925"/>
      <c r="E233" s="628"/>
      <c r="F233" s="925"/>
      <c r="G233" s="925"/>
      <c r="H233" s="930"/>
      <c r="I233" s="88" t="s">
        <v>2330</v>
      </c>
      <c r="J233" s="124" t="s">
        <v>2628</v>
      </c>
      <c r="K233" s="823">
        <v>6</v>
      </c>
      <c r="L233" s="125">
        <v>6000000000</v>
      </c>
      <c r="M233" s="328">
        <v>0</v>
      </c>
      <c r="N233" s="321">
        <v>0</v>
      </c>
      <c r="O233" s="328">
        <v>100</v>
      </c>
      <c r="P233" s="321">
        <v>0</v>
      </c>
      <c r="Q233" s="321">
        <v>0</v>
      </c>
      <c r="R233" s="931">
        <v>0</v>
      </c>
      <c r="S233" s="328"/>
      <c r="T233" s="321"/>
      <c r="U233" s="328"/>
      <c r="V233" s="321"/>
      <c r="W233" s="328"/>
      <c r="X233" s="321"/>
      <c r="Y233" s="88">
        <f t="shared" si="71"/>
        <v>0</v>
      </c>
      <c r="Z233" s="321">
        <f t="shared" si="72"/>
        <v>0</v>
      </c>
      <c r="AA233" s="19">
        <f t="shared" si="73"/>
        <v>0</v>
      </c>
      <c r="AB233" s="27">
        <f t="shared" si="74"/>
        <v>0</v>
      </c>
      <c r="AC233" s="923">
        <f t="shared" si="75"/>
        <v>0</v>
      </c>
      <c r="AD233" s="123">
        <f t="shared" si="76"/>
        <v>0</v>
      </c>
      <c r="AE233" s="89"/>
      <c r="AF233" s="569"/>
      <c r="AG233" s="569"/>
      <c r="AH233" s="569"/>
      <c r="AI233" s="569"/>
      <c r="AJ233" s="569"/>
      <c r="AK233" s="569"/>
      <c r="AL233" s="569"/>
      <c r="AM233" s="569"/>
      <c r="AN233" s="569"/>
      <c r="AO233" s="569"/>
      <c r="AP233" s="569"/>
      <c r="AQ233" s="569"/>
      <c r="AR233" s="569"/>
      <c r="AS233" s="569"/>
      <c r="AT233" s="569"/>
      <c r="AU233" s="569"/>
      <c r="AV233" s="569"/>
      <c r="AW233" s="569"/>
      <c r="AX233" s="569"/>
      <c r="AY233" s="569"/>
      <c r="AZ233" s="569"/>
      <c r="BA233" s="569"/>
      <c r="BB233" s="569"/>
      <c r="BC233" s="570"/>
      <c r="BD233" s="570"/>
      <c r="BE233" s="570"/>
      <c r="BF233" s="570"/>
      <c r="BG233" s="570"/>
      <c r="BH233" s="570"/>
      <c r="BI233" s="570"/>
      <c r="BJ233" s="570"/>
      <c r="BK233" s="570"/>
      <c r="BL233" s="570"/>
      <c r="BM233" s="570"/>
      <c r="BN233" s="570"/>
      <c r="BO233" s="570"/>
      <c r="BP233" s="570"/>
      <c r="BQ233" s="570"/>
    </row>
    <row r="234" spans="1:70" ht="49.5">
      <c r="A234" s="520"/>
      <c r="B234" s="102"/>
      <c r="C234" s="520"/>
      <c r="D234" s="925"/>
      <c r="E234" s="628"/>
      <c r="F234" s="925"/>
      <c r="G234" s="925"/>
      <c r="H234" s="930"/>
      <c r="I234" s="88" t="s">
        <v>2331</v>
      </c>
      <c r="J234" s="124" t="s">
        <v>2628</v>
      </c>
      <c r="K234" s="823">
        <v>6</v>
      </c>
      <c r="L234" s="125">
        <v>3350000000</v>
      </c>
      <c r="M234" s="11">
        <v>3</v>
      </c>
      <c r="N234" s="24">
        <v>117637000</v>
      </c>
      <c r="O234" s="11">
        <v>1</v>
      </c>
      <c r="P234" s="24">
        <v>0</v>
      </c>
      <c r="Q234" s="24">
        <v>0</v>
      </c>
      <c r="R234" s="931">
        <v>0</v>
      </c>
      <c r="S234" s="11"/>
      <c r="T234" s="24"/>
      <c r="U234" s="11"/>
      <c r="V234" s="11"/>
      <c r="W234" s="307"/>
      <c r="X234" s="932"/>
      <c r="Y234" s="88">
        <f t="shared" si="71"/>
        <v>0</v>
      </c>
      <c r="Z234" s="321">
        <f t="shared" si="72"/>
        <v>0</v>
      </c>
      <c r="AA234" s="19">
        <f t="shared" si="73"/>
        <v>3</v>
      </c>
      <c r="AB234" s="27">
        <f t="shared" si="74"/>
        <v>117637000</v>
      </c>
      <c r="AC234" s="923">
        <f t="shared" si="75"/>
        <v>50</v>
      </c>
      <c r="AD234" s="123">
        <f t="shared" si="76"/>
        <v>3.5115522388059697</v>
      </c>
      <c r="AE234" s="89"/>
      <c r="AF234" s="569"/>
      <c r="AG234" s="569"/>
      <c r="AH234" s="569"/>
      <c r="AI234" s="569"/>
      <c r="AJ234" s="569"/>
      <c r="AK234" s="569"/>
      <c r="AL234" s="569"/>
      <c r="AM234" s="569"/>
      <c r="AN234" s="569"/>
      <c r="AO234" s="569"/>
      <c r="AP234" s="569"/>
      <c r="AQ234" s="569"/>
      <c r="AR234" s="569"/>
      <c r="AS234" s="569"/>
      <c r="AT234" s="569"/>
      <c r="AU234" s="569"/>
      <c r="AV234" s="569"/>
      <c r="AW234" s="569"/>
      <c r="AX234" s="569"/>
      <c r="AY234" s="569"/>
      <c r="AZ234" s="569"/>
      <c r="BA234" s="569"/>
      <c r="BB234" s="569"/>
      <c r="BC234" s="570"/>
      <c r="BD234" s="570"/>
      <c r="BE234" s="570"/>
      <c r="BF234" s="570"/>
      <c r="BG234" s="570"/>
      <c r="BH234" s="570"/>
      <c r="BI234" s="570"/>
      <c r="BJ234" s="570"/>
      <c r="BK234" s="570"/>
      <c r="BL234" s="570"/>
      <c r="BM234" s="570"/>
      <c r="BN234" s="570"/>
      <c r="BO234" s="570"/>
      <c r="BP234" s="570"/>
      <c r="BQ234" s="570"/>
    </row>
    <row r="235" spans="1:70" ht="49.5">
      <c r="A235" s="520"/>
      <c r="B235" s="102"/>
      <c r="C235" s="520"/>
      <c r="D235" s="925"/>
      <c r="E235" s="628"/>
      <c r="F235" s="925"/>
      <c r="G235" s="925"/>
      <c r="H235" s="930"/>
      <c r="I235" s="88" t="s">
        <v>2327</v>
      </c>
      <c r="J235" s="124" t="s">
        <v>2639</v>
      </c>
      <c r="K235" s="823">
        <v>1</v>
      </c>
      <c r="L235" s="125">
        <f>P235</f>
        <v>2580400000</v>
      </c>
      <c r="M235" s="321">
        <v>0</v>
      </c>
      <c r="N235" s="321">
        <v>0</v>
      </c>
      <c r="O235" s="328">
        <v>1</v>
      </c>
      <c r="P235" s="321">
        <v>2580400000</v>
      </c>
      <c r="Q235" s="321">
        <v>0</v>
      </c>
      <c r="R235" s="931">
        <v>0</v>
      </c>
      <c r="S235" s="328"/>
      <c r="T235" s="321"/>
      <c r="U235" s="328"/>
      <c r="V235" s="321"/>
      <c r="W235" s="328"/>
      <c r="X235" s="321"/>
      <c r="Y235" s="88">
        <f t="shared" si="71"/>
        <v>0</v>
      </c>
      <c r="Z235" s="321">
        <f t="shared" si="72"/>
        <v>0</v>
      </c>
      <c r="AA235" s="19">
        <f t="shared" si="73"/>
        <v>0</v>
      </c>
      <c r="AB235" s="27">
        <f t="shared" si="74"/>
        <v>0</v>
      </c>
      <c r="AC235" s="923">
        <f t="shared" si="75"/>
        <v>0</v>
      </c>
      <c r="AD235" s="123">
        <f t="shared" si="76"/>
        <v>0</v>
      </c>
      <c r="AE235" s="89"/>
      <c r="AF235" s="569"/>
      <c r="AG235" s="569"/>
      <c r="AH235" s="569"/>
      <c r="AI235" s="569"/>
      <c r="AJ235" s="569"/>
      <c r="AK235" s="569"/>
      <c r="AL235" s="569"/>
      <c r="AM235" s="569"/>
      <c r="AN235" s="569"/>
      <c r="AO235" s="569"/>
      <c r="AP235" s="569"/>
      <c r="AQ235" s="569"/>
      <c r="AR235" s="569"/>
      <c r="AS235" s="569"/>
      <c r="AT235" s="569"/>
      <c r="AU235" s="569"/>
      <c r="AV235" s="569"/>
      <c r="AW235" s="569"/>
      <c r="AX235" s="569"/>
      <c r="AY235" s="569"/>
      <c r="AZ235" s="569"/>
      <c r="BA235" s="569"/>
      <c r="BB235" s="569"/>
      <c r="BC235" s="570"/>
      <c r="BD235" s="570"/>
      <c r="BE235" s="570"/>
      <c r="BF235" s="570"/>
      <c r="BG235" s="570"/>
      <c r="BH235" s="570"/>
      <c r="BI235" s="570"/>
      <c r="BJ235" s="570"/>
      <c r="BK235" s="570"/>
      <c r="BL235" s="570"/>
      <c r="BM235" s="570"/>
      <c r="BN235" s="570"/>
      <c r="BO235" s="570"/>
      <c r="BP235" s="570"/>
      <c r="BQ235" s="570"/>
    </row>
    <row r="236" spans="1:70" s="1235" customFormat="1" ht="21.75" customHeight="1">
      <c r="A236" s="2750" t="s">
        <v>63</v>
      </c>
      <c r="B236" s="2751"/>
      <c r="C236" s="2751"/>
      <c r="D236" s="2751"/>
      <c r="E236" s="2751"/>
      <c r="F236" s="2751"/>
      <c r="G236" s="2751"/>
      <c r="H236" s="2751"/>
      <c r="I236" s="2751"/>
      <c r="J236" s="2751"/>
      <c r="K236" s="2751"/>
      <c r="L236" s="2751"/>
      <c r="M236" s="2751"/>
      <c r="N236" s="2751"/>
      <c r="O236" s="2751"/>
      <c r="P236" s="2751"/>
      <c r="Q236" s="2751"/>
      <c r="R236" s="2751"/>
      <c r="S236" s="2751"/>
      <c r="T236" s="2751"/>
      <c r="U236" s="2751"/>
      <c r="V236" s="2751"/>
      <c r="W236" s="2751"/>
      <c r="X236" s="2751"/>
      <c r="Y236" s="2751"/>
      <c r="Z236" s="2751"/>
      <c r="AA236" s="2751"/>
      <c r="AB236" s="2752"/>
      <c r="AC236" s="1505">
        <f>(AC226+AC228+AC230)/3</f>
        <v>87.333333333333329</v>
      </c>
      <c r="AD236" s="1505">
        <f>(AD226+AD228+AD230)/3</f>
        <v>27.178728381858786</v>
      </c>
      <c r="AE236" s="131"/>
      <c r="AF236" s="946"/>
      <c r="AG236" s="946"/>
      <c r="AH236" s="946"/>
      <c r="AI236" s="946"/>
      <c r="AJ236" s="946"/>
      <c r="AK236" s="946"/>
      <c r="AL236" s="946"/>
      <c r="AM236" s="946"/>
      <c r="AN236" s="946"/>
      <c r="AO236" s="946"/>
      <c r="AP236" s="946"/>
      <c r="AQ236" s="946"/>
      <c r="AR236" s="946"/>
      <c r="AS236" s="946"/>
      <c r="AT236" s="946"/>
      <c r="AU236" s="946"/>
      <c r="AV236" s="946"/>
      <c r="AW236" s="946"/>
      <c r="AX236" s="946"/>
      <c r="AY236" s="946"/>
      <c r="AZ236" s="946"/>
      <c r="BA236" s="946"/>
      <c r="BB236" s="946"/>
      <c r="BC236" s="947"/>
      <c r="BD236" s="947"/>
      <c r="BE236" s="947"/>
      <c r="BF236" s="947"/>
      <c r="BG236" s="947"/>
      <c r="BH236" s="947"/>
      <c r="BI236" s="947"/>
      <c r="BJ236" s="947"/>
      <c r="BK236" s="947"/>
      <c r="BL236" s="947"/>
      <c r="BM236" s="947"/>
      <c r="BN236" s="947"/>
      <c r="BO236" s="947"/>
      <c r="BP236" s="947"/>
      <c r="BQ236" s="947"/>
      <c r="BR236" s="862"/>
    </row>
    <row r="237" spans="1:70" s="1235" customFormat="1" ht="21.75" customHeight="1">
      <c r="A237" s="2750" t="s">
        <v>64</v>
      </c>
      <c r="B237" s="2751"/>
      <c r="C237" s="2751"/>
      <c r="D237" s="2751"/>
      <c r="E237" s="2751"/>
      <c r="F237" s="2751"/>
      <c r="G237" s="2751"/>
      <c r="H237" s="2751"/>
      <c r="I237" s="2751"/>
      <c r="J237" s="2751"/>
      <c r="K237" s="2751"/>
      <c r="L237" s="2751"/>
      <c r="M237" s="2751"/>
      <c r="N237" s="2751"/>
      <c r="O237" s="2751"/>
      <c r="P237" s="2751"/>
      <c r="Q237" s="2751"/>
      <c r="R237" s="2751"/>
      <c r="S237" s="2751"/>
      <c r="T237" s="2751"/>
      <c r="U237" s="2751"/>
      <c r="V237" s="2751"/>
      <c r="W237" s="2751"/>
      <c r="X237" s="2751"/>
      <c r="Y237" s="2751"/>
      <c r="Z237" s="2751"/>
      <c r="AA237" s="2751"/>
      <c r="AB237" s="2752"/>
      <c r="AC237" s="604" t="str">
        <f>IF(AC236&gt;=91,"ST",IF(AC236&gt;=76,"T",IF(AC236&gt;=66,"S",IF(AC236&gt;=51,"R","SR"))))</f>
        <v>T</v>
      </c>
      <c r="AD237" s="604" t="str">
        <f>IF(AD236&gt;=91,"ST",IF(AD236&gt;=76,"T",IF(AD236&gt;=66,"S",IF(AD236&gt;=51,"R","SR"))))</f>
        <v>SR</v>
      </c>
      <c r="AE237" s="131"/>
      <c r="AF237" s="946"/>
      <c r="AG237" s="946"/>
      <c r="AH237" s="946"/>
      <c r="AI237" s="946"/>
      <c r="AJ237" s="946"/>
      <c r="AK237" s="946"/>
      <c r="AL237" s="946"/>
      <c r="AM237" s="946"/>
      <c r="AN237" s="946"/>
      <c r="AO237" s="946"/>
      <c r="AP237" s="946"/>
      <c r="AQ237" s="946"/>
      <c r="AR237" s="946"/>
      <c r="AS237" s="946"/>
      <c r="AT237" s="946"/>
      <c r="AU237" s="946"/>
      <c r="AV237" s="946"/>
      <c r="AW237" s="946"/>
      <c r="AX237" s="946"/>
      <c r="AY237" s="946"/>
      <c r="AZ237" s="946"/>
      <c r="BA237" s="946"/>
      <c r="BB237" s="946"/>
      <c r="BC237" s="947"/>
      <c r="BD237" s="947"/>
      <c r="BE237" s="947"/>
      <c r="BF237" s="947"/>
      <c r="BG237" s="947"/>
      <c r="BH237" s="947"/>
      <c r="BI237" s="947"/>
      <c r="BJ237" s="947"/>
      <c r="BK237" s="947"/>
      <c r="BL237" s="947"/>
      <c r="BM237" s="947"/>
      <c r="BN237" s="947"/>
      <c r="BO237" s="947"/>
      <c r="BP237" s="947"/>
      <c r="BQ237" s="947"/>
      <c r="BR237" s="862"/>
    </row>
    <row r="238" spans="1:70" ht="34.5" customHeight="1">
      <c r="A238" s="863" t="s">
        <v>15</v>
      </c>
      <c r="B238" s="864"/>
      <c r="C238" s="865"/>
      <c r="D238" s="865"/>
      <c r="E238" s="865"/>
      <c r="F238" s="865"/>
      <c r="G238" s="865"/>
      <c r="H238" s="865"/>
      <c r="I238" s="2746" t="s">
        <v>79</v>
      </c>
      <c r="J238" s="2747"/>
      <c r="K238" s="866"/>
      <c r="L238" s="1285"/>
      <c r="M238" s="866"/>
      <c r="N238" s="1286"/>
      <c r="O238" s="1516"/>
      <c r="P238" s="1517"/>
      <c r="Q238" s="1518"/>
      <c r="R238" s="1320"/>
      <c r="S238" s="864"/>
      <c r="T238" s="1517"/>
      <c r="U238" s="864"/>
      <c r="V238" s="1519"/>
      <c r="W238" s="864"/>
      <c r="X238" s="1520"/>
      <c r="Y238" s="1518"/>
      <c r="Z238" s="1320"/>
      <c r="AA238" s="866"/>
      <c r="AB238" s="1320"/>
      <c r="AC238" s="866"/>
      <c r="AD238" s="866"/>
      <c r="AE238" s="478"/>
      <c r="AF238" s="200"/>
    </row>
    <row r="239" spans="1:70" ht="24.75" customHeight="1">
      <c r="A239" s="2570" t="s">
        <v>80</v>
      </c>
      <c r="B239" s="1507"/>
      <c r="C239" s="1508"/>
      <c r="D239" s="1508"/>
      <c r="E239" s="1508"/>
      <c r="F239" s="1508"/>
      <c r="G239" s="1508"/>
      <c r="H239" s="1508"/>
      <c r="I239" s="1507"/>
      <c r="J239" s="1507"/>
      <c r="K239" s="1507"/>
      <c r="L239" s="1509">
        <f>SUM(L240+L253+L276+L278+L285+L291+L299+L307+L317+L322+L325+L328+L379+L383+L385+L388+L393+L409+L411+L416)</f>
        <v>809922731131.5</v>
      </c>
      <c r="M239" s="1507"/>
      <c r="N239" s="1509">
        <f>SUM(N240+N253+N276+N278+N285+N291+N299+N307+N317+N322+N325+N328+N379+N383+N385+N388+N393+N409+N411+N416)</f>
        <v>153398443024</v>
      </c>
      <c r="O239" s="1510"/>
      <c r="P239" s="1509">
        <f>SUM(P240+P253+P276+P278+P285+P291+P299+P307+P317+P322+P325+P328+P379+P383+P385+P388+P393+P409+P411+P416+P414)</f>
        <v>218654613874</v>
      </c>
      <c r="Q239" s="1511"/>
      <c r="R239" s="1509">
        <f>SUM(R240+R253+R276+R278+R285+R291+R299+R307+R317+R322+R325+R328+R379+R383+R385+R388+R393+R409+R411+R416)</f>
        <v>3618605105</v>
      </c>
      <c r="S239" s="1507"/>
      <c r="T239" s="1509">
        <f>SUM(T240+T253+T276+T278+T285+T291+T299+T307+T317+T322+T325+T328+T379+T383+T385+T388+T393+T409+T411+T416)</f>
        <v>44371795620</v>
      </c>
      <c r="U239" s="1507"/>
      <c r="V239" s="1513"/>
      <c r="W239" s="1507"/>
      <c r="X239" s="1514"/>
      <c r="Y239" s="1511"/>
      <c r="Z239" s="1509">
        <f>SUM(Z240+Z253+Z276+Z278+Z285+Z291+Z299+Z307+Z317+Z322+Z325+Z328+Z379+Z383+Z385+Z388+Z393+Z409+Z411+Z416)</f>
        <v>47990400725</v>
      </c>
      <c r="AA239" s="1507"/>
      <c r="AB239" s="1509">
        <f>SUM(AB240+AB253+AB276+AB278+AB285+AB291+AB299+AB307+AB317+AB322+AB325+AB328+AB379+AB383+AB385+AB388+AB393+AB409+AB411+AB416)</f>
        <v>201388843749</v>
      </c>
      <c r="AC239" s="1507"/>
      <c r="AD239" s="1515"/>
      <c r="AE239" s="2590"/>
      <c r="AF239" s="200"/>
    </row>
    <row r="240" spans="1:70" s="938" customFormat="1" ht="75.75" customHeight="1">
      <c r="A240" s="1420">
        <v>1</v>
      </c>
      <c r="B240" s="487"/>
      <c r="C240" s="1420">
        <v>1</v>
      </c>
      <c r="D240" s="1421" t="s">
        <v>25</v>
      </c>
      <c r="E240" s="1421">
        <v>1</v>
      </c>
      <c r="F240" s="1421" t="s">
        <v>25</v>
      </c>
      <c r="G240" s="1421"/>
      <c r="H240" s="1421" t="s">
        <v>39</v>
      </c>
      <c r="I240" s="487" t="s">
        <v>26</v>
      </c>
      <c r="J240" s="488" t="s">
        <v>684</v>
      </c>
      <c r="K240" s="1552">
        <v>72</v>
      </c>
      <c r="L240" s="1528">
        <f>SUM(L241:L252)</f>
        <v>10099207770</v>
      </c>
      <c r="M240" s="1569">
        <v>36</v>
      </c>
      <c r="N240" s="1528">
        <f>SUM(N241:N252)</f>
        <v>1463461963</v>
      </c>
      <c r="O240" s="1569">
        <v>12</v>
      </c>
      <c r="P240" s="1528">
        <f>SUM(P241:P252)</f>
        <v>1484153846</v>
      </c>
      <c r="Q240" s="1569">
        <v>3</v>
      </c>
      <c r="R240" s="1528">
        <f>SUM(R241:R252)</f>
        <v>302424506</v>
      </c>
      <c r="S240" s="1529">
        <v>3</v>
      </c>
      <c r="T240" s="1530">
        <v>807940176</v>
      </c>
      <c r="U240" s="1529"/>
      <c r="V240" s="1530"/>
      <c r="W240" s="1529"/>
      <c r="X240" s="1530"/>
      <c r="Y240" s="1569">
        <f t="shared" ref="Y240:Y271" si="78">Q240+S240+U240+W240</f>
        <v>6</v>
      </c>
      <c r="Z240" s="1530">
        <f t="shared" ref="Z240:Z271" si="79">R240+T240+V240+X240</f>
        <v>1110364682</v>
      </c>
      <c r="AA240" s="1569">
        <f t="shared" ref="AA240:AA271" si="80">M240+Y240</f>
        <v>42</v>
      </c>
      <c r="AB240" s="1530">
        <f t="shared" ref="AB240:AB271" si="81">N240+Z240</f>
        <v>2573826645</v>
      </c>
      <c r="AC240" s="1531">
        <f t="shared" ref="AC240:AC271" si="82">AA240/K240*100</f>
        <v>58.333333333333336</v>
      </c>
      <c r="AD240" s="1531">
        <f t="shared" ref="AD240:AD271" si="83">AB240/L240*100</f>
        <v>25.485431170607555</v>
      </c>
      <c r="AE240" s="1420" t="s">
        <v>111</v>
      </c>
      <c r="AF240" s="201"/>
      <c r="AG240" s="750"/>
      <c r="AH240" s="750"/>
      <c r="AI240" s="750"/>
      <c r="AJ240" s="750"/>
      <c r="AK240" s="750"/>
      <c r="AL240" s="750"/>
      <c r="AM240" s="750"/>
      <c r="AN240" s="750"/>
      <c r="AO240" s="750"/>
      <c r="AP240" s="750"/>
      <c r="AQ240" s="750"/>
      <c r="AR240" s="750"/>
      <c r="AS240" s="750"/>
      <c r="AT240" s="750"/>
      <c r="AU240" s="750"/>
      <c r="AV240" s="750"/>
      <c r="AW240" s="750"/>
      <c r="AX240" s="750"/>
      <c r="AY240" s="750"/>
      <c r="AZ240" s="750"/>
      <c r="BA240" s="750"/>
      <c r="BB240" s="750"/>
      <c r="BC240" s="1547"/>
      <c r="BD240" s="1548"/>
      <c r="BE240" s="1548"/>
      <c r="BF240" s="1548"/>
      <c r="BG240" s="1548"/>
      <c r="BH240" s="1548"/>
      <c r="BI240" s="1548"/>
      <c r="BJ240" s="1548"/>
      <c r="BK240" s="1548"/>
      <c r="BL240" s="1548"/>
      <c r="BM240" s="1548"/>
      <c r="BN240" s="1548"/>
      <c r="BO240" s="1548"/>
      <c r="BP240" s="1548"/>
      <c r="BQ240" s="1548"/>
      <c r="BR240" s="1548"/>
    </row>
    <row r="241" spans="1:70" s="938" customFormat="1" ht="54" customHeight="1">
      <c r="A241" s="79"/>
      <c r="B241" s="47"/>
      <c r="C241" s="1422">
        <v>1</v>
      </c>
      <c r="D241" s="1423" t="s">
        <v>25</v>
      </c>
      <c r="E241" s="1423">
        <v>1</v>
      </c>
      <c r="F241" s="1423" t="s">
        <v>25</v>
      </c>
      <c r="G241" s="1423"/>
      <c r="H241" s="1423" t="s">
        <v>39</v>
      </c>
      <c r="I241" s="47" t="s">
        <v>67</v>
      </c>
      <c r="J241" s="47" t="s">
        <v>685</v>
      </c>
      <c r="K241" s="1553">
        <v>72</v>
      </c>
      <c r="L241" s="63">
        <v>1770778880</v>
      </c>
      <c r="M241" s="1553">
        <v>36</v>
      </c>
      <c r="N241" s="63">
        <v>227762377</v>
      </c>
      <c r="O241" s="1553">
        <v>12</v>
      </c>
      <c r="P241" s="63">
        <v>234750000</v>
      </c>
      <c r="Q241" s="1553">
        <v>3</v>
      </c>
      <c r="R241" s="63">
        <v>63349666</v>
      </c>
      <c r="S241" s="62">
        <v>3</v>
      </c>
      <c r="T241" s="51">
        <v>153085890</v>
      </c>
      <c r="U241" s="62"/>
      <c r="V241" s="50"/>
      <c r="W241" s="62"/>
      <c r="X241" s="50"/>
      <c r="Y241" s="1553">
        <f t="shared" si="78"/>
        <v>6</v>
      </c>
      <c r="Z241" s="55">
        <f t="shared" si="79"/>
        <v>216435556</v>
      </c>
      <c r="AA241" s="1553">
        <f t="shared" si="80"/>
        <v>42</v>
      </c>
      <c r="AB241" s="51">
        <f t="shared" si="81"/>
        <v>444197933</v>
      </c>
      <c r="AC241" s="1522">
        <f t="shared" si="82"/>
        <v>58.333333333333336</v>
      </c>
      <c r="AD241" s="1522">
        <f t="shared" si="83"/>
        <v>25.084889932728359</v>
      </c>
      <c r="AE241" s="79"/>
      <c r="AF241" s="201"/>
      <c r="AG241" s="750"/>
      <c r="AH241" s="750"/>
      <c r="AI241" s="750"/>
      <c r="AJ241" s="750"/>
      <c r="AK241" s="750"/>
      <c r="AL241" s="750"/>
      <c r="AM241" s="750"/>
      <c r="AN241" s="750"/>
      <c r="AO241" s="750"/>
      <c r="AP241" s="750"/>
      <c r="AQ241" s="750"/>
      <c r="AR241" s="750"/>
      <c r="AS241" s="750"/>
      <c r="AT241" s="750"/>
      <c r="AU241" s="750"/>
      <c r="AV241" s="750"/>
      <c r="AW241" s="750"/>
      <c r="AX241" s="750"/>
      <c r="AY241" s="750"/>
      <c r="AZ241" s="750"/>
      <c r="BA241" s="750"/>
      <c r="BB241" s="750"/>
      <c r="BC241" s="1547"/>
      <c r="BD241" s="1548"/>
      <c r="BE241" s="1548"/>
      <c r="BF241" s="1548"/>
      <c r="BG241" s="1548"/>
      <c r="BH241" s="1548"/>
      <c r="BI241" s="1548"/>
      <c r="BJ241" s="1548"/>
      <c r="BK241" s="1548"/>
      <c r="BL241" s="1548"/>
      <c r="BM241" s="1548"/>
      <c r="BN241" s="1548"/>
      <c r="BO241" s="1548"/>
      <c r="BP241" s="1548"/>
      <c r="BQ241" s="1548"/>
      <c r="BR241" s="1548"/>
    </row>
    <row r="242" spans="1:70" s="938" customFormat="1" ht="49.5">
      <c r="A242" s="1422"/>
      <c r="B242" s="48"/>
      <c r="C242" s="1422">
        <v>1</v>
      </c>
      <c r="D242" s="1423" t="s">
        <v>25</v>
      </c>
      <c r="E242" s="1423">
        <v>1</v>
      </c>
      <c r="F242" s="1423" t="s">
        <v>25</v>
      </c>
      <c r="G242" s="1423"/>
      <c r="H242" s="1423" t="s">
        <v>39</v>
      </c>
      <c r="I242" s="48" t="s">
        <v>686</v>
      </c>
      <c r="J242" s="48" t="s">
        <v>687</v>
      </c>
      <c r="K242" s="1554">
        <v>60</v>
      </c>
      <c r="L242" s="64">
        <v>193912736</v>
      </c>
      <c r="M242" s="1554">
        <v>24</v>
      </c>
      <c r="N242" s="64">
        <v>5411081</v>
      </c>
      <c r="O242" s="1554"/>
      <c r="P242" s="64"/>
      <c r="Q242" s="1554"/>
      <c r="R242" s="64"/>
      <c r="S242" s="71"/>
      <c r="T242" s="54"/>
      <c r="U242" s="71"/>
      <c r="V242" s="54"/>
      <c r="W242" s="71"/>
      <c r="X242" s="54"/>
      <c r="Y242" s="1554">
        <f t="shared" si="78"/>
        <v>0</v>
      </c>
      <c r="Z242" s="55">
        <f t="shared" si="79"/>
        <v>0</v>
      </c>
      <c r="AA242" s="1554">
        <f t="shared" si="80"/>
        <v>24</v>
      </c>
      <c r="AB242" s="55">
        <f t="shared" si="81"/>
        <v>5411081</v>
      </c>
      <c r="AC242" s="1524">
        <f t="shared" si="82"/>
        <v>40</v>
      </c>
      <c r="AD242" s="1524">
        <f t="shared" si="83"/>
        <v>2.7904722049819357</v>
      </c>
      <c r="AE242" s="1422"/>
      <c r="AF242" s="201"/>
      <c r="AG242" s="750"/>
      <c r="AH242" s="750"/>
      <c r="AI242" s="750"/>
      <c r="AJ242" s="750"/>
      <c r="AK242" s="750"/>
      <c r="AL242" s="750"/>
      <c r="AM242" s="750"/>
      <c r="AN242" s="750"/>
      <c r="AO242" s="750"/>
      <c r="AP242" s="750"/>
      <c r="AQ242" s="750"/>
      <c r="AR242" s="750"/>
      <c r="AS242" s="750"/>
      <c r="AT242" s="750"/>
      <c r="AU242" s="750"/>
      <c r="AV242" s="750"/>
      <c r="AW242" s="750"/>
      <c r="AX242" s="750"/>
      <c r="AY242" s="750"/>
      <c r="AZ242" s="750"/>
      <c r="BA242" s="750"/>
      <c r="BB242" s="750"/>
      <c r="BC242" s="1547"/>
      <c r="BD242" s="1548"/>
      <c r="BE242" s="1548"/>
      <c r="BF242" s="1548"/>
      <c r="BG242" s="1548"/>
      <c r="BH242" s="1548"/>
      <c r="BI242" s="1548"/>
      <c r="BJ242" s="1548"/>
      <c r="BK242" s="1548"/>
      <c r="BL242" s="1548"/>
      <c r="BM242" s="1548"/>
      <c r="BN242" s="1548"/>
      <c r="BO242" s="1548"/>
      <c r="BP242" s="1548"/>
      <c r="BQ242" s="1548"/>
      <c r="BR242" s="1548"/>
    </row>
    <row r="243" spans="1:70" s="938" customFormat="1" ht="49.5">
      <c r="A243" s="79"/>
      <c r="B243" s="47"/>
      <c r="C243" s="1422">
        <v>1</v>
      </c>
      <c r="D243" s="1423" t="s">
        <v>25</v>
      </c>
      <c r="E243" s="1423">
        <v>1</v>
      </c>
      <c r="F243" s="1423" t="s">
        <v>25</v>
      </c>
      <c r="G243" s="1423"/>
      <c r="H243" s="1423" t="s">
        <v>39</v>
      </c>
      <c r="I243" s="47" t="s">
        <v>68</v>
      </c>
      <c r="J243" s="47" t="s">
        <v>688</v>
      </c>
      <c r="K243" s="1553">
        <v>72</v>
      </c>
      <c r="L243" s="63">
        <v>2157334080</v>
      </c>
      <c r="M243" s="1553">
        <v>36</v>
      </c>
      <c r="N243" s="63">
        <v>427000000</v>
      </c>
      <c r="O243" s="1553">
        <v>12</v>
      </c>
      <c r="P243" s="63">
        <v>476710000</v>
      </c>
      <c r="Q243" s="1553">
        <v>3</v>
      </c>
      <c r="R243" s="63">
        <v>73941748</v>
      </c>
      <c r="S243" s="62">
        <v>3</v>
      </c>
      <c r="T243" s="51">
        <v>192691748</v>
      </c>
      <c r="U243" s="62"/>
      <c r="V243" s="50"/>
      <c r="W243" s="62"/>
      <c r="X243" s="50"/>
      <c r="Y243" s="1553">
        <f t="shared" si="78"/>
        <v>6</v>
      </c>
      <c r="Z243" s="55">
        <f t="shared" si="79"/>
        <v>266633496</v>
      </c>
      <c r="AA243" s="1553">
        <f t="shared" si="80"/>
        <v>42</v>
      </c>
      <c r="AB243" s="51">
        <f t="shared" si="81"/>
        <v>693633496</v>
      </c>
      <c r="AC243" s="1522">
        <f t="shared" si="82"/>
        <v>58.333333333333336</v>
      </c>
      <c r="AD243" s="1522">
        <f t="shared" si="83"/>
        <v>32.152344990535724</v>
      </c>
      <c r="AE243" s="79"/>
      <c r="AF243" s="201"/>
      <c r="AG243" s="750"/>
      <c r="AH243" s="750"/>
      <c r="AI243" s="750"/>
      <c r="AJ243" s="750"/>
      <c r="AK243" s="750"/>
      <c r="AL243" s="750"/>
      <c r="AM243" s="750"/>
      <c r="AN243" s="750"/>
      <c r="AO243" s="750"/>
      <c r="AP243" s="750"/>
      <c r="AQ243" s="750"/>
      <c r="AR243" s="750"/>
      <c r="AS243" s="750"/>
      <c r="AT243" s="750"/>
      <c r="AU243" s="750"/>
      <c r="AV243" s="750"/>
      <c r="AW243" s="750"/>
      <c r="AX243" s="750"/>
      <c r="AY243" s="750"/>
      <c r="AZ243" s="750"/>
      <c r="BA243" s="750"/>
      <c r="BB243" s="750"/>
      <c r="BC243" s="1547"/>
      <c r="BD243" s="1548"/>
      <c r="BE243" s="1548"/>
      <c r="BF243" s="1548"/>
      <c r="BG243" s="1548"/>
      <c r="BH243" s="1548"/>
      <c r="BI243" s="1548"/>
      <c r="BJ243" s="1548"/>
      <c r="BK243" s="1548"/>
      <c r="BL243" s="1548"/>
      <c r="BM243" s="1548"/>
      <c r="BN243" s="1548"/>
      <c r="BO243" s="1548"/>
      <c r="BP243" s="1548"/>
      <c r="BQ243" s="1548"/>
      <c r="BR243" s="1548"/>
    </row>
    <row r="244" spans="1:70" s="938" customFormat="1" ht="49.5">
      <c r="A244" s="79"/>
      <c r="B244" s="47"/>
      <c r="C244" s="1422">
        <v>1</v>
      </c>
      <c r="D244" s="1423" t="s">
        <v>25</v>
      </c>
      <c r="E244" s="1423">
        <v>1</v>
      </c>
      <c r="F244" s="1423" t="s">
        <v>25</v>
      </c>
      <c r="G244" s="1423"/>
      <c r="H244" s="1423" t="s">
        <v>39</v>
      </c>
      <c r="I244" s="47" t="s">
        <v>69</v>
      </c>
      <c r="J244" s="47" t="s">
        <v>689</v>
      </c>
      <c r="K244" s="1553">
        <v>72</v>
      </c>
      <c r="L244" s="63">
        <v>1287308066</v>
      </c>
      <c r="M244" s="1553">
        <v>36</v>
      </c>
      <c r="N244" s="63">
        <v>204220000</v>
      </c>
      <c r="O244" s="1553">
        <v>12</v>
      </c>
      <c r="P244" s="63">
        <v>204750000</v>
      </c>
      <c r="Q244" s="1553">
        <v>3</v>
      </c>
      <c r="R244" s="63">
        <v>45419555</v>
      </c>
      <c r="S244" s="62">
        <v>3</v>
      </c>
      <c r="T244" s="50">
        <v>126525661</v>
      </c>
      <c r="U244" s="62"/>
      <c r="V244" s="50"/>
      <c r="W244" s="62"/>
      <c r="X244" s="50"/>
      <c r="Y244" s="1553">
        <f t="shared" si="78"/>
        <v>6</v>
      </c>
      <c r="Z244" s="51">
        <f t="shared" si="79"/>
        <v>171945216</v>
      </c>
      <c r="AA244" s="1553">
        <f t="shared" si="80"/>
        <v>42</v>
      </c>
      <c r="AB244" s="51">
        <f t="shared" si="81"/>
        <v>376165216</v>
      </c>
      <c r="AC244" s="1522">
        <f t="shared" si="82"/>
        <v>58.333333333333336</v>
      </c>
      <c r="AD244" s="1522">
        <f t="shared" si="83"/>
        <v>29.221071935705563</v>
      </c>
      <c r="AE244" s="79"/>
      <c r="AF244" s="201"/>
      <c r="AG244" s="750"/>
      <c r="AH244" s="750"/>
      <c r="AI244" s="750"/>
      <c r="AJ244" s="750"/>
      <c r="AK244" s="750"/>
      <c r="AL244" s="750"/>
      <c r="AM244" s="750"/>
      <c r="AN244" s="750"/>
      <c r="AO244" s="750"/>
      <c r="AP244" s="750"/>
      <c r="AQ244" s="750"/>
      <c r="AR244" s="750"/>
      <c r="AS244" s="750"/>
      <c r="AT244" s="750"/>
      <c r="AU244" s="750"/>
      <c r="AV244" s="750"/>
      <c r="AW244" s="750"/>
      <c r="AX244" s="750"/>
      <c r="AY244" s="750"/>
      <c r="AZ244" s="750"/>
      <c r="BA244" s="750"/>
      <c r="BB244" s="750"/>
      <c r="BC244" s="1547"/>
      <c r="BD244" s="1548"/>
      <c r="BE244" s="1548"/>
      <c r="BF244" s="1548"/>
      <c r="BG244" s="1548"/>
      <c r="BH244" s="1548"/>
      <c r="BI244" s="1548"/>
      <c r="BJ244" s="1548"/>
      <c r="BK244" s="1548"/>
      <c r="BL244" s="1548"/>
      <c r="BM244" s="1548"/>
      <c r="BN244" s="1548"/>
      <c r="BO244" s="1548"/>
      <c r="BP244" s="1548"/>
      <c r="BQ244" s="1548"/>
      <c r="BR244" s="1548"/>
    </row>
    <row r="245" spans="1:70" s="938" customFormat="1" ht="49.5">
      <c r="A245" s="79"/>
      <c r="B245" s="47"/>
      <c r="C245" s="1422">
        <v>1</v>
      </c>
      <c r="D245" s="1423" t="s">
        <v>25</v>
      </c>
      <c r="E245" s="1423">
        <v>1</v>
      </c>
      <c r="F245" s="1423" t="s">
        <v>25</v>
      </c>
      <c r="G245" s="1423"/>
      <c r="H245" s="1423" t="s">
        <v>39</v>
      </c>
      <c r="I245" s="47" t="s">
        <v>70</v>
      </c>
      <c r="J245" s="47" t="s">
        <v>690</v>
      </c>
      <c r="K245" s="1553">
        <v>72</v>
      </c>
      <c r="L245" s="63">
        <v>295442909</v>
      </c>
      <c r="M245" s="1553">
        <v>36</v>
      </c>
      <c r="N245" s="63">
        <v>23653116</v>
      </c>
      <c r="O245" s="1553">
        <v>12</v>
      </c>
      <c r="P245" s="63">
        <v>30073445</v>
      </c>
      <c r="Q245" s="1553">
        <v>3</v>
      </c>
      <c r="R245" s="63">
        <v>12290250</v>
      </c>
      <c r="S245" s="62">
        <v>3</v>
      </c>
      <c r="T245" s="50">
        <v>19560000</v>
      </c>
      <c r="U245" s="62"/>
      <c r="V245" s="50"/>
      <c r="W245" s="62"/>
      <c r="X245" s="50"/>
      <c r="Y245" s="1553">
        <f t="shared" si="78"/>
        <v>6</v>
      </c>
      <c r="Z245" s="51">
        <f t="shared" si="79"/>
        <v>31850250</v>
      </c>
      <c r="AA245" s="1553">
        <f t="shared" si="80"/>
        <v>42</v>
      </c>
      <c r="AB245" s="51">
        <f t="shared" si="81"/>
        <v>55503366</v>
      </c>
      <c r="AC245" s="1522">
        <f t="shared" si="82"/>
        <v>58.333333333333336</v>
      </c>
      <c r="AD245" s="1522">
        <f t="shared" si="83"/>
        <v>18.786494550796615</v>
      </c>
      <c r="AE245" s="79"/>
      <c r="AF245" s="201"/>
      <c r="AG245" s="750"/>
      <c r="AH245" s="750"/>
      <c r="AI245" s="750"/>
      <c r="AJ245" s="750"/>
      <c r="AK245" s="750"/>
      <c r="AL245" s="750"/>
      <c r="AM245" s="750"/>
      <c r="AN245" s="750"/>
      <c r="AO245" s="750"/>
      <c r="AP245" s="750"/>
      <c r="AQ245" s="750"/>
      <c r="AR245" s="750"/>
      <c r="AS245" s="750"/>
      <c r="AT245" s="750"/>
      <c r="AU245" s="750"/>
      <c r="AV245" s="750"/>
      <c r="AW245" s="750"/>
      <c r="AX245" s="750"/>
      <c r="AY245" s="750"/>
      <c r="AZ245" s="750"/>
      <c r="BA245" s="750"/>
      <c r="BB245" s="750"/>
      <c r="BC245" s="1547"/>
      <c r="BD245" s="1548"/>
      <c r="BE245" s="1548"/>
      <c r="BF245" s="1548"/>
      <c r="BG245" s="1548"/>
      <c r="BH245" s="1548"/>
      <c r="BI245" s="1548"/>
      <c r="BJ245" s="1548"/>
      <c r="BK245" s="1548"/>
      <c r="BL245" s="1548"/>
      <c r="BM245" s="1548"/>
      <c r="BN245" s="1548"/>
      <c r="BO245" s="1548"/>
      <c r="BP245" s="1548"/>
      <c r="BQ245" s="1548"/>
      <c r="BR245" s="1548"/>
    </row>
    <row r="246" spans="1:70" s="938" customFormat="1" ht="66">
      <c r="A246" s="79"/>
      <c r="B246" s="47"/>
      <c r="C246" s="1422">
        <v>1</v>
      </c>
      <c r="D246" s="1423" t="s">
        <v>25</v>
      </c>
      <c r="E246" s="1423">
        <v>1</v>
      </c>
      <c r="F246" s="1423" t="s">
        <v>25</v>
      </c>
      <c r="G246" s="1423"/>
      <c r="H246" s="1423" t="s">
        <v>39</v>
      </c>
      <c r="I246" s="47" t="s">
        <v>71</v>
      </c>
      <c r="J246" s="47" t="s">
        <v>691</v>
      </c>
      <c r="K246" s="1553">
        <v>72</v>
      </c>
      <c r="L246" s="63">
        <v>360168349</v>
      </c>
      <c r="M246" s="1553">
        <v>36</v>
      </c>
      <c r="N246" s="63">
        <v>38646565</v>
      </c>
      <c r="O246" s="1553">
        <v>12</v>
      </c>
      <c r="P246" s="63">
        <v>19804475</v>
      </c>
      <c r="Q246" s="1553">
        <v>3</v>
      </c>
      <c r="R246" s="63">
        <v>6173700</v>
      </c>
      <c r="S246" s="62">
        <v>3</v>
      </c>
      <c r="T246" s="50">
        <v>9133700</v>
      </c>
      <c r="U246" s="62"/>
      <c r="V246" s="50"/>
      <c r="W246" s="62"/>
      <c r="X246" s="50"/>
      <c r="Y246" s="1553">
        <f t="shared" si="78"/>
        <v>6</v>
      </c>
      <c r="Z246" s="51">
        <f t="shared" si="79"/>
        <v>15307400</v>
      </c>
      <c r="AA246" s="1553">
        <f t="shared" si="80"/>
        <v>42</v>
      </c>
      <c r="AB246" s="51">
        <f t="shared" si="81"/>
        <v>53953965</v>
      </c>
      <c r="AC246" s="1522">
        <f t="shared" si="82"/>
        <v>58.333333333333336</v>
      </c>
      <c r="AD246" s="1522">
        <f t="shared" si="83"/>
        <v>14.980207214154733</v>
      </c>
      <c r="AE246" s="79"/>
      <c r="AF246" s="201"/>
      <c r="AG246" s="750"/>
      <c r="AH246" s="750"/>
      <c r="AI246" s="750"/>
      <c r="AJ246" s="750"/>
      <c r="AK246" s="750"/>
      <c r="AL246" s="750"/>
      <c r="AM246" s="750"/>
      <c r="AN246" s="750"/>
      <c r="AO246" s="750"/>
      <c r="AP246" s="750"/>
      <c r="AQ246" s="750"/>
      <c r="AR246" s="750"/>
      <c r="AS246" s="750"/>
      <c r="AT246" s="750"/>
      <c r="AU246" s="750"/>
      <c r="AV246" s="750"/>
      <c r="AW246" s="750"/>
      <c r="AX246" s="750"/>
      <c r="AY246" s="750"/>
      <c r="AZ246" s="750"/>
      <c r="BA246" s="750"/>
      <c r="BB246" s="750"/>
      <c r="BC246" s="1547"/>
      <c r="BD246" s="1548"/>
      <c r="BE246" s="1548"/>
      <c r="BF246" s="1548"/>
      <c r="BG246" s="1548"/>
      <c r="BH246" s="1548"/>
      <c r="BI246" s="1548"/>
      <c r="BJ246" s="1548"/>
      <c r="BK246" s="1548"/>
      <c r="BL246" s="1548"/>
      <c r="BM246" s="1548"/>
      <c r="BN246" s="1548"/>
      <c r="BO246" s="1548"/>
      <c r="BP246" s="1548"/>
      <c r="BQ246" s="1548"/>
      <c r="BR246" s="1548"/>
    </row>
    <row r="247" spans="1:70" s="938" customFormat="1" ht="82.5">
      <c r="A247" s="79"/>
      <c r="B247" s="47"/>
      <c r="C247" s="1422">
        <v>1</v>
      </c>
      <c r="D247" s="1423" t="s">
        <v>25</v>
      </c>
      <c r="E247" s="1423">
        <v>1</v>
      </c>
      <c r="F247" s="1423" t="s">
        <v>25</v>
      </c>
      <c r="G247" s="1423"/>
      <c r="H247" s="1423" t="s">
        <v>39</v>
      </c>
      <c r="I247" s="47" t="s">
        <v>72</v>
      </c>
      <c r="J247" s="47" t="s">
        <v>692</v>
      </c>
      <c r="K247" s="1553">
        <v>72</v>
      </c>
      <c r="L247" s="63">
        <v>42103350</v>
      </c>
      <c r="M247" s="1553">
        <v>36</v>
      </c>
      <c r="N247" s="63">
        <v>4994000</v>
      </c>
      <c r="O247" s="1553">
        <v>12</v>
      </c>
      <c r="P247" s="63">
        <v>4994000</v>
      </c>
      <c r="Q247" s="1553">
        <v>3</v>
      </c>
      <c r="R247" s="63">
        <v>4994000</v>
      </c>
      <c r="S247" s="62">
        <v>3</v>
      </c>
      <c r="T247" s="1532">
        <v>4994000</v>
      </c>
      <c r="U247" s="62"/>
      <c r="V247" s="50"/>
      <c r="W247" s="62"/>
      <c r="X247" s="50"/>
      <c r="Y247" s="1553">
        <f t="shared" si="78"/>
        <v>6</v>
      </c>
      <c r="Z247" s="51">
        <f t="shared" si="79"/>
        <v>9988000</v>
      </c>
      <c r="AA247" s="1553">
        <f t="shared" si="80"/>
        <v>42</v>
      </c>
      <c r="AB247" s="51">
        <f t="shared" si="81"/>
        <v>14982000</v>
      </c>
      <c r="AC247" s="1522">
        <f t="shared" si="82"/>
        <v>58.333333333333336</v>
      </c>
      <c r="AD247" s="1522">
        <f t="shared" si="83"/>
        <v>35.583866841949629</v>
      </c>
      <c r="AE247" s="79"/>
      <c r="AF247" s="201"/>
      <c r="AG247" s="750"/>
      <c r="AH247" s="750"/>
      <c r="AI247" s="750"/>
      <c r="AJ247" s="750"/>
      <c r="AK247" s="750"/>
      <c r="AL247" s="750"/>
      <c r="AM247" s="750"/>
      <c r="AN247" s="750"/>
      <c r="AO247" s="750"/>
      <c r="AP247" s="750"/>
      <c r="AQ247" s="750"/>
      <c r="AR247" s="750"/>
      <c r="AS247" s="750"/>
      <c r="AT247" s="750"/>
      <c r="AU247" s="750"/>
      <c r="AV247" s="750"/>
      <c r="AW247" s="750"/>
      <c r="AX247" s="750"/>
      <c r="AY247" s="750"/>
      <c r="AZ247" s="750"/>
      <c r="BA247" s="750"/>
      <c r="BB247" s="750"/>
      <c r="BC247" s="1547"/>
      <c r="BD247" s="1548"/>
      <c r="BE247" s="1548"/>
      <c r="BF247" s="1548"/>
      <c r="BG247" s="1548"/>
      <c r="BH247" s="1548"/>
      <c r="BI247" s="1548"/>
      <c r="BJ247" s="1548"/>
      <c r="BK247" s="1548"/>
      <c r="BL247" s="1548"/>
      <c r="BM247" s="1548"/>
      <c r="BN247" s="1548"/>
      <c r="BO247" s="1548"/>
      <c r="BP247" s="1548"/>
      <c r="BQ247" s="1548"/>
      <c r="BR247" s="1548"/>
    </row>
    <row r="248" spans="1:70" s="938" customFormat="1" ht="49.5">
      <c r="A248" s="79"/>
      <c r="B248" s="47"/>
      <c r="C248" s="1422">
        <v>1</v>
      </c>
      <c r="D248" s="1423" t="s">
        <v>25</v>
      </c>
      <c r="E248" s="1423">
        <v>1</v>
      </c>
      <c r="F248" s="1423" t="s">
        <v>25</v>
      </c>
      <c r="G248" s="1423"/>
      <c r="H248" s="1423" t="s">
        <v>39</v>
      </c>
      <c r="I248" s="49" t="s">
        <v>421</v>
      </c>
      <c r="J248" s="47" t="s">
        <v>693</v>
      </c>
      <c r="K248" s="1553">
        <v>72</v>
      </c>
      <c r="L248" s="63">
        <v>449963200</v>
      </c>
      <c r="M248" s="1553">
        <v>36</v>
      </c>
      <c r="N248" s="63">
        <v>63275400</v>
      </c>
      <c r="O248" s="1553">
        <v>12</v>
      </c>
      <c r="P248" s="63">
        <v>102260000</v>
      </c>
      <c r="Q248" s="1553"/>
      <c r="R248" s="63"/>
      <c r="S248" s="62">
        <v>4</v>
      </c>
      <c r="T248" s="50">
        <v>101373000</v>
      </c>
      <c r="U248" s="62"/>
      <c r="V248" s="50"/>
      <c r="W248" s="62"/>
      <c r="X248" s="50"/>
      <c r="Y248" s="1553">
        <f t="shared" si="78"/>
        <v>4</v>
      </c>
      <c r="Z248" s="51">
        <f t="shared" si="79"/>
        <v>101373000</v>
      </c>
      <c r="AA248" s="1553">
        <f t="shared" si="80"/>
        <v>40</v>
      </c>
      <c r="AB248" s="51">
        <f t="shared" si="81"/>
        <v>164648400</v>
      </c>
      <c r="AC248" s="1522">
        <f t="shared" si="82"/>
        <v>55.555555555555557</v>
      </c>
      <c r="AD248" s="1522">
        <f t="shared" si="83"/>
        <v>36.591525706991149</v>
      </c>
      <c r="AE248" s="79"/>
      <c r="AF248" s="201"/>
      <c r="AG248" s="750"/>
      <c r="AH248" s="750"/>
      <c r="AI248" s="750"/>
      <c r="AJ248" s="750"/>
      <c r="AK248" s="750"/>
      <c r="AL248" s="750"/>
      <c r="AM248" s="750"/>
      <c r="AN248" s="750"/>
      <c r="AO248" s="750"/>
      <c r="AP248" s="750"/>
      <c r="AQ248" s="750"/>
      <c r="AR248" s="750"/>
      <c r="AS248" s="750"/>
      <c r="AT248" s="750"/>
      <c r="AU248" s="750"/>
      <c r="AV248" s="750"/>
      <c r="AW248" s="750"/>
      <c r="AX248" s="750"/>
      <c r="AY248" s="750"/>
      <c r="AZ248" s="750"/>
      <c r="BA248" s="750"/>
      <c r="BB248" s="750"/>
      <c r="BC248" s="1547"/>
      <c r="BD248" s="1548"/>
      <c r="BE248" s="1548"/>
      <c r="BF248" s="1548"/>
      <c r="BG248" s="1548"/>
      <c r="BH248" s="1548"/>
      <c r="BI248" s="1548"/>
      <c r="BJ248" s="1548"/>
      <c r="BK248" s="1548"/>
      <c r="BL248" s="1548"/>
      <c r="BM248" s="1548"/>
      <c r="BN248" s="1548"/>
      <c r="BO248" s="1548"/>
      <c r="BP248" s="1548"/>
      <c r="BQ248" s="1548"/>
      <c r="BR248" s="1548"/>
    </row>
    <row r="249" spans="1:70" s="938" customFormat="1" ht="49.5">
      <c r="A249" s="79"/>
      <c r="B249" s="47"/>
      <c r="C249" s="1422">
        <v>1</v>
      </c>
      <c r="D249" s="1423" t="s">
        <v>25</v>
      </c>
      <c r="E249" s="1423">
        <v>1</v>
      </c>
      <c r="F249" s="1423" t="s">
        <v>25</v>
      </c>
      <c r="G249" s="1423"/>
      <c r="H249" s="1423" t="s">
        <v>39</v>
      </c>
      <c r="I249" s="47" t="s">
        <v>75</v>
      </c>
      <c r="J249" s="47" t="s">
        <v>694</v>
      </c>
      <c r="K249" s="1553">
        <v>72</v>
      </c>
      <c r="L249" s="63">
        <v>611162032</v>
      </c>
      <c r="M249" s="1553">
        <v>36</v>
      </c>
      <c r="N249" s="63">
        <v>72002500</v>
      </c>
      <c r="O249" s="1553">
        <v>12</v>
      </c>
      <c r="P249" s="63">
        <v>99300000</v>
      </c>
      <c r="Q249" s="1553">
        <v>3</v>
      </c>
      <c r="R249" s="63">
        <v>33480000</v>
      </c>
      <c r="S249" s="62">
        <v>3</v>
      </c>
      <c r="T249" s="51">
        <v>66930000</v>
      </c>
      <c r="U249" s="62"/>
      <c r="V249" s="50"/>
      <c r="W249" s="62"/>
      <c r="X249" s="50"/>
      <c r="Y249" s="1553">
        <f t="shared" si="78"/>
        <v>6</v>
      </c>
      <c r="Z249" s="51">
        <f t="shared" si="79"/>
        <v>100410000</v>
      </c>
      <c r="AA249" s="1553">
        <f t="shared" si="80"/>
        <v>42</v>
      </c>
      <c r="AB249" s="51">
        <f t="shared" si="81"/>
        <v>172412500</v>
      </c>
      <c r="AC249" s="1522">
        <f t="shared" si="82"/>
        <v>58.333333333333336</v>
      </c>
      <c r="AD249" s="1522">
        <f t="shared" si="83"/>
        <v>28.210603894320453</v>
      </c>
      <c r="AE249" s="79"/>
      <c r="AF249" s="201"/>
      <c r="AG249" s="750"/>
      <c r="AH249" s="750"/>
      <c r="AI249" s="750"/>
      <c r="AJ249" s="750"/>
      <c r="AK249" s="750"/>
      <c r="AL249" s="750"/>
      <c r="AM249" s="750"/>
      <c r="AN249" s="750"/>
      <c r="AO249" s="750"/>
      <c r="AP249" s="750"/>
      <c r="AQ249" s="750"/>
      <c r="AR249" s="750"/>
      <c r="AS249" s="750"/>
      <c r="AT249" s="750"/>
      <c r="AU249" s="750"/>
      <c r="AV249" s="750"/>
      <c r="AW249" s="750"/>
      <c r="AX249" s="750"/>
      <c r="AY249" s="750"/>
      <c r="AZ249" s="750"/>
      <c r="BA249" s="750"/>
      <c r="BB249" s="750"/>
      <c r="BC249" s="1547"/>
      <c r="BD249" s="1548"/>
      <c r="BE249" s="1548"/>
      <c r="BF249" s="1548"/>
      <c r="BG249" s="1548"/>
      <c r="BH249" s="1548"/>
      <c r="BI249" s="1548"/>
      <c r="BJ249" s="1548"/>
      <c r="BK249" s="1548"/>
      <c r="BL249" s="1548"/>
      <c r="BM249" s="1548"/>
      <c r="BN249" s="1548"/>
      <c r="BO249" s="1548"/>
      <c r="BP249" s="1548"/>
      <c r="BQ249" s="1548"/>
      <c r="BR249" s="1548"/>
    </row>
    <row r="250" spans="1:70" s="938" customFormat="1" ht="66">
      <c r="A250" s="79"/>
      <c r="B250" s="47"/>
      <c r="C250" s="1422">
        <v>1</v>
      </c>
      <c r="D250" s="1423" t="s">
        <v>25</v>
      </c>
      <c r="E250" s="1423">
        <v>1</v>
      </c>
      <c r="F250" s="1423" t="s">
        <v>25</v>
      </c>
      <c r="G250" s="1423"/>
      <c r="H250" s="1423" t="s">
        <v>39</v>
      </c>
      <c r="I250" s="47" t="s">
        <v>76</v>
      </c>
      <c r="J250" s="47" t="s">
        <v>695</v>
      </c>
      <c r="K250" s="1553">
        <v>72</v>
      </c>
      <c r="L250" s="63">
        <v>1852103536</v>
      </c>
      <c r="M250" s="1553">
        <v>36</v>
      </c>
      <c r="N250" s="63">
        <v>322553344</v>
      </c>
      <c r="O250" s="1553">
        <v>12</v>
      </c>
      <c r="P250" s="63">
        <v>112175000</v>
      </c>
      <c r="Q250" s="1553">
        <v>3</v>
      </c>
      <c r="R250" s="63">
        <v>21680721</v>
      </c>
      <c r="S250" s="62">
        <v>3</v>
      </c>
      <c r="T250" s="50">
        <v>38766733</v>
      </c>
      <c r="U250" s="62"/>
      <c r="V250" s="50"/>
      <c r="W250" s="62"/>
      <c r="X250" s="50"/>
      <c r="Y250" s="1553">
        <f t="shared" si="78"/>
        <v>6</v>
      </c>
      <c r="Z250" s="51">
        <f t="shared" si="79"/>
        <v>60447454</v>
      </c>
      <c r="AA250" s="1553">
        <f t="shared" si="80"/>
        <v>42</v>
      </c>
      <c r="AB250" s="51">
        <f t="shared" si="81"/>
        <v>383000798</v>
      </c>
      <c r="AC250" s="1522">
        <f t="shared" si="82"/>
        <v>58.333333333333336</v>
      </c>
      <c r="AD250" s="1522">
        <f t="shared" si="83"/>
        <v>20.679232589079188</v>
      </c>
      <c r="AE250" s="79"/>
      <c r="AF250" s="201"/>
      <c r="AG250" s="750"/>
      <c r="AH250" s="750"/>
      <c r="AI250" s="750"/>
      <c r="AJ250" s="750"/>
      <c r="AK250" s="750"/>
      <c r="AL250" s="750"/>
      <c r="AM250" s="750"/>
      <c r="AN250" s="750"/>
      <c r="AO250" s="750"/>
      <c r="AP250" s="750"/>
      <c r="AQ250" s="750"/>
      <c r="AR250" s="750"/>
      <c r="AS250" s="750"/>
      <c r="AT250" s="750"/>
      <c r="AU250" s="750"/>
      <c r="AV250" s="750"/>
      <c r="AW250" s="750"/>
      <c r="AX250" s="750"/>
      <c r="AY250" s="750"/>
      <c r="AZ250" s="750"/>
      <c r="BA250" s="750"/>
      <c r="BB250" s="750"/>
      <c r="BC250" s="1547"/>
      <c r="BD250" s="1548"/>
      <c r="BE250" s="1548"/>
      <c r="BF250" s="1548"/>
      <c r="BG250" s="1548"/>
      <c r="BH250" s="1548"/>
      <c r="BI250" s="1548"/>
      <c r="BJ250" s="1548"/>
      <c r="BK250" s="1548"/>
      <c r="BL250" s="1548"/>
      <c r="BM250" s="1548"/>
      <c r="BN250" s="1548"/>
      <c r="BO250" s="1548"/>
      <c r="BP250" s="1548"/>
      <c r="BQ250" s="1548"/>
      <c r="BR250" s="1548"/>
    </row>
    <row r="251" spans="1:70" s="938" customFormat="1" ht="66">
      <c r="A251" s="79"/>
      <c r="B251" s="47"/>
      <c r="C251" s="1422">
        <v>1</v>
      </c>
      <c r="D251" s="1423" t="s">
        <v>25</v>
      </c>
      <c r="E251" s="1423">
        <v>1</v>
      </c>
      <c r="F251" s="1423" t="s">
        <v>25</v>
      </c>
      <c r="G251" s="1423"/>
      <c r="H251" s="1423" t="s">
        <v>39</v>
      </c>
      <c r="I251" s="47" t="s">
        <v>77</v>
      </c>
      <c r="J251" s="47" t="s">
        <v>696</v>
      </c>
      <c r="K251" s="1553">
        <v>72</v>
      </c>
      <c r="L251" s="63">
        <v>928930632</v>
      </c>
      <c r="M251" s="1553">
        <v>36</v>
      </c>
      <c r="N251" s="63">
        <v>73943580</v>
      </c>
      <c r="O251" s="1553">
        <v>12</v>
      </c>
      <c r="P251" s="63">
        <v>142755000</v>
      </c>
      <c r="Q251" s="1553">
        <v>3</v>
      </c>
      <c r="R251" s="63">
        <v>29545466</v>
      </c>
      <c r="S251" s="62">
        <v>3</v>
      </c>
      <c r="T251" s="50">
        <v>70025887</v>
      </c>
      <c r="U251" s="62"/>
      <c r="V251" s="50"/>
      <c r="W251" s="62"/>
      <c r="X251" s="50"/>
      <c r="Y251" s="1553">
        <f t="shared" si="78"/>
        <v>6</v>
      </c>
      <c r="Z251" s="51">
        <f t="shared" si="79"/>
        <v>99571353</v>
      </c>
      <c r="AA251" s="1553">
        <f t="shared" si="80"/>
        <v>42</v>
      </c>
      <c r="AB251" s="51">
        <f t="shared" si="81"/>
        <v>173514933</v>
      </c>
      <c r="AC251" s="1522">
        <f t="shared" si="82"/>
        <v>58.333333333333336</v>
      </c>
      <c r="AD251" s="1522">
        <f t="shared" si="83"/>
        <v>18.678997873761581</v>
      </c>
      <c r="AE251" s="79"/>
      <c r="AF251" s="201"/>
      <c r="AG251" s="750"/>
      <c r="AH251" s="750"/>
      <c r="AI251" s="750"/>
      <c r="AJ251" s="750"/>
      <c r="AK251" s="750"/>
      <c r="AL251" s="750"/>
      <c r="AM251" s="750"/>
      <c r="AN251" s="750"/>
      <c r="AO251" s="750"/>
      <c r="AP251" s="750"/>
      <c r="AQ251" s="750"/>
      <c r="AR251" s="750"/>
      <c r="AS251" s="750"/>
      <c r="AT251" s="750"/>
      <c r="AU251" s="750"/>
      <c r="AV251" s="750"/>
      <c r="AW251" s="750"/>
      <c r="AX251" s="750"/>
      <c r="AY251" s="750"/>
      <c r="AZ251" s="750"/>
      <c r="BA251" s="750"/>
      <c r="BB251" s="750"/>
      <c r="BC251" s="1547"/>
      <c r="BD251" s="1548"/>
      <c r="BE251" s="1548"/>
      <c r="BF251" s="1548"/>
      <c r="BG251" s="1548"/>
      <c r="BH251" s="1548"/>
      <c r="BI251" s="1548"/>
      <c r="BJ251" s="1548"/>
      <c r="BK251" s="1548"/>
      <c r="BL251" s="1548"/>
      <c r="BM251" s="1548"/>
      <c r="BN251" s="1548"/>
      <c r="BO251" s="1548"/>
      <c r="BP251" s="1548"/>
      <c r="BQ251" s="1548"/>
      <c r="BR251" s="1548"/>
    </row>
    <row r="252" spans="1:70" s="938" customFormat="1" ht="66">
      <c r="A252" s="79"/>
      <c r="B252" s="47"/>
      <c r="C252" s="79">
        <v>1</v>
      </c>
      <c r="D252" s="1423" t="s">
        <v>25</v>
      </c>
      <c r="E252" s="1423">
        <v>1</v>
      </c>
      <c r="F252" s="1423" t="s">
        <v>25</v>
      </c>
      <c r="G252" s="1423"/>
      <c r="H252" s="1423" t="s">
        <v>39</v>
      </c>
      <c r="I252" s="47" t="s">
        <v>424</v>
      </c>
      <c r="J252" s="47" t="s">
        <v>697</v>
      </c>
      <c r="K252" s="1553">
        <v>36</v>
      </c>
      <c r="L252" s="63">
        <v>150000000</v>
      </c>
      <c r="M252" s="1553">
        <v>0</v>
      </c>
      <c r="N252" s="63">
        <v>0</v>
      </c>
      <c r="O252" s="1553">
        <v>12</v>
      </c>
      <c r="P252" s="63">
        <v>56581926</v>
      </c>
      <c r="Q252" s="1553">
        <v>3</v>
      </c>
      <c r="R252" s="63">
        <v>11549400</v>
      </c>
      <c r="S252" s="62">
        <v>3</v>
      </c>
      <c r="T252" s="50">
        <v>24853557</v>
      </c>
      <c r="U252" s="62"/>
      <c r="V252" s="50"/>
      <c r="W252" s="62"/>
      <c r="X252" s="50"/>
      <c r="Y252" s="1553">
        <f t="shared" si="78"/>
        <v>6</v>
      </c>
      <c r="Z252" s="51">
        <f t="shared" si="79"/>
        <v>36402957</v>
      </c>
      <c r="AA252" s="1553">
        <f t="shared" si="80"/>
        <v>6</v>
      </c>
      <c r="AB252" s="51">
        <f t="shared" si="81"/>
        <v>36402957</v>
      </c>
      <c r="AC252" s="1522">
        <f t="shared" si="82"/>
        <v>16.666666666666664</v>
      </c>
      <c r="AD252" s="1522">
        <f t="shared" si="83"/>
        <v>24.268637999999999</v>
      </c>
      <c r="AE252" s="79"/>
      <c r="AF252" s="201"/>
      <c r="AG252" s="750"/>
      <c r="AH252" s="750"/>
      <c r="AI252" s="750"/>
      <c r="AJ252" s="750"/>
      <c r="AK252" s="750"/>
      <c r="AL252" s="750"/>
      <c r="AM252" s="750"/>
      <c r="AN252" s="750"/>
      <c r="AO252" s="750"/>
      <c r="AP252" s="750"/>
      <c r="AQ252" s="750"/>
      <c r="AR252" s="750"/>
      <c r="AS252" s="750"/>
      <c r="AT252" s="750"/>
      <c r="AU252" s="750"/>
      <c r="AV252" s="750"/>
      <c r="AW252" s="750"/>
      <c r="AX252" s="750"/>
      <c r="AY252" s="750"/>
      <c r="AZ252" s="750"/>
      <c r="BA252" s="750"/>
      <c r="BB252" s="750"/>
      <c r="BC252" s="1547"/>
      <c r="BD252" s="1548"/>
      <c r="BE252" s="1548"/>
      <c r="BF252" s="1548"/>
      <c r="BG252" s="1548"/>
      <c r="BH252" s="1548"/>
      <c r="BI252" s="1548"/>
      <c r="BJ252" s="1548"/>
      <c r="BK252" s="1548"/>
      <c r="BL252" s="1548"/>
      <c r="BM252" s="1548"/>
      <c r="BN252" s="1548"/>
      <c r="BO252" s="1548"/>
      <c r="BP252" s="1548"/>
      <c r="BQ252" s="1548"/>
      <c r="BR252" s="1548"/>
    </row>
    <row r="253" spans="1:70" s="938" customFormat="1" ht="66">
      <c r="A253" s="194">
        <v>2</v>
      </c>
      <c r="B253" s="186"/>
      <c r="C253" s="194">
        <v>1</v>
      </c>
      <c r="D253" s="1424" t="s">
        <v>25</v>
      </c>
      <c r="E253" s="1424">
        <v>1</v>
      </c>
      <c r="F253" s="1424" t="s">
        <v>25</v>
      </c>
      <c r="G253" s="1424"/>
      <c r="H253" s="1424" t="s">
        <v>39</v>
      </c>
      <c r="I253" s="186" t="s">
        <v>36</v>
      </c>
      <c r="J253" s="187" t="s">
        <v>698</v>
      </c>
      <c r="K253" s="1555">
        <v>72</v>
      </c>
      <c r="L253" s="1533">
        <f>SUM(L254:L275)</f>
        <v>6647923180.5</v>
      </c>
      <c r="M253" s="1556">
        <v>36</v>
      </c>
      <c r="N253" s="1533">
        <f>SUM(N254:N275)</f>
        <v>942355296</v>
      </c>
      <c r="O253" s="1556">
        <v>12</v>
      </c>
      <c r="P253" s="1533">
        <f>SUM(P254:P275)</f>
        <v>312343000</v>
      </c>
      <c r="Q253" s="1556">
        <v>3</v>
      </c>
      <c r="R253" s="1533">
        <f>SUM(R254:R275)</f>
        <v>42160808</v>
      </c>
      <c r="S253" s="188"/>
      <c r="T253" s="1521">
        <v>126398650</v>
      </c>
      <c r="U253" s="188"/>
      <c r="V253" s="1521"/>
      <c r="W253" s="191"/>
      <c r="X253" s="1521"/>
      <c r="Y253" s="1556">
        <f t="shared" si="78"/>
        <v>3</v>
      </c>
      <c r="Z253" s="190">
        <f t="shared" si="79"/>
        <v>168559458</v>
      </c>
      <c r="AA253" s="1556">
        <f t="shared" si="80"/>
        <v>39</v>
      </c>
      <c r="AB253" s="190">
        <f t="shared" si="81"/>
        <v>1110914754</v>
      </c>
      <c r="AC253" s="1523">
        <f t="shared" si="82"/>
        <v>54.166666666666664</v>
      </c>
      <c r="AD253" s="1523">
        <f t="shared" si="83"/>
        <v>16.710703836930417</v>
      </c>
      <c r="AE253" s="194" t="s">
        <v>111</v>
      </c>
      <c r="AF253" s="201"/>
      <c r="AG253" s="750"/>
      <c r="AH253" s="750"/>
      <c r="AI253" s="750"/>
      <c r="AJ253" s="750"/>
      <c r="AK253" s="750"/>
      <c r="AL253" s="750"/>
      <c r="AM253" s="750"/>
      <c r="AN253" s="750"/>
      <c r="AO253" s="750"/>
      <c r="AP253" s="750"/>
      <c r="AQ253" s="750"/>
      <c r="AR253" s="750"/>
      <c r="AS253" s="750"/>
      <c r="AT253" s="750"/>
      <c r="AU253" s="750"/>
      <c r="AV253" s="750"/>
      <c r="AW253" s="750"/>
      <c r="AX253" s="750"/>
      <c r="AY253" s="750"/>
      <c r="AZ253" s="750"/>
      <c r="BA253" s="750"/>
      <c r="BB253" s="750"/>
      <c r="BC253" s="1547"/>
      <c r="BD253" s="1548"/>
      <c r="BE253" s="1548"/>
      <c r="BF253" s="1548"/>
      <c r="BG253" s="1548"/>
      <c r="BH253" s="1548"/>
      <c r="BI253" s="1548"/>
      <c r="BJ253" s="1548"/>
      <c r="BK253" s="1548"/>
      <c r="BL253" s="1548"/>
      <c r="BM253" s="1548"/>
      <c r="BN253" s="1548"/>
      <c r="BO253" s="1548"/>
      <c r="BP253" s="1548"/>
      <c r="BQ253" s="1548"/>
      <c r="BR253" s="1548"/>
    </row>
    <row r="254" spans="1:70" s="938" customFormat="1" ht="38.25" customHeight="1">
      <c r="A254" s="79"/>
      <c r="B254" s="47"/>
      <c r="C254" s="79">
        <v>1</v>
      </c>
      <c r="D254" s="1425" t="s">
        <v>25</v>
      </c>
      <c r="E254" s="1425">
        <v>1</v>
      </c>
      <c r="F254" s="1425" t="s">
        <v>25</v>
      </c>
      <c r="G254" s="1425"/>
      <c r="H254" s="1425" t="s">
        <v>39</v>
      </c>
      <c r="I254" s="49" t="s">
        <v>699</v>
      </c>
      <c r="J254" s="47" t="s">
        <v>700</v>
      </c>
      <c r="K254" s="1553">
        <v>37</v>
      </c>
      <c r="L254" s="50">
        <v>3000000000</v>
      </c>
      <c r="M254" s="1554">
        <v>5</v>
      </c>
      <c r="N254" s="63">
        <v>528679045</v>
      </c>
      <c r="O254" s="1579"/>
      <c r="P254" s="63"/>
      <c r="Q254" s="1553"/>
      <c r="R254" s="63"/>
      <c r="S254" s="65"/>
      <c r="T254" s="51"/>
      <c r="U254" s="65"/>
      <c r="V254" s="50"/>
      <c r="W254" s="65"/>
      <c r="X254" s="50"/>
      <c r="Y254" s="1553">
        <f t="shared" si="78"/>
        <v>0</v>
      </c>
      <c r="Z254" s="51">
        <f t="shared" si="79"/>
        <v>0</v>
      </c>
      <c r="AA254" s="1553">
        <f t="shared" si="80"/>
        <v>5</v>
      </c>
      <c r="AB254" s="51">
        <f t="shared" si="81"/>
        <v>528679045</v>
      </c>
      <c r="AC254" s="1522">
        <f t="shared" si="82"/>
        <v>13.513513513513514</v>
      </c>
      <c r="AD254" s="1522">
        <f t="shared" si="83"/>
        <v>17.622634833333333</v>
      </c>
      <c r="AE254" s="79"/>
      <c r="AF254" s="201"/>
      <c r="AG254" s="750"/>
      <c r="AH254" s="750"/>
      <c r="AI254" s="750"/>
      <c r="AJ254" s="750"/>
      <c r="AK254" s="750"/>
      <c r="AL254" s="750"/>
      <c r="AM254" s="750"/>
      <c r="AN254" s="750"/>
      <c r="AO254" s="750"/>
      <c r="AP254" s="750"/>
      <c r="AQ254" s="750"/>
      <c r="AR254" s="750"/>
      <c r="AS254" s="750"/>
      <c r="AT254" s="750"/>
      <c r="AU254" s="750"/>
      <c r="AV254" s="750"/>
      <c r="AW254" s="750"/>
      <c r="AX254" s="750"/>
      <c r="AY254" s="750"/>
      <c r="AZ254" s="750"/>
      <c r="BA254" s="750"/>
      <c r="BB254" s="750"/>
      <c r="BC254" s="1547"/>
      <c r="BD254" s="1548"/>
      <c r="BE254" s="1548"/>
      <c r="BF254" s="1548"/>
      <c r="BG254" s="1548"/>
      <c r="BH254" s="1548"/>
      <c r="BI254" s="1548"/>
      <c r="BJ254" s="1548"/>
      <c r="BK254" s="1548"/>
      <c r="BL254" s="1548"/>
      <c r="BM254" s="1548"/>
      <c r="BN254" s="1548"/>
      <c r="BO254" s="1548"/>
      <c r="BP254" s="1548"/>
      <c r="BQ254" s="1548"/>
      <c r="BR254" s="1548"/>
    </row>
    <row r="255" spans="1:70" s="938" customFormat="1" ht="66">
      <c r="A255" s="79"/>
      <c r="B255" s="47"/>
      <c r="C255" s="79" t="s">
        <v>701</v>
      </c>
      <c r="D255" s="1425" t="s">
        <v>25</v>
      </c>
      <c r="E255" s="1425">
        <v>1</v>
      </c>
      <c r="F255" s="1425" t="s">
        <v>25</v>
      </c>
      <c r="G255" s="1425"/>
      <c r="H255" s="1425" t="s">
        <v>39</v>
      </c>
      <c r="I255" s="48" t="s">
        <v>702</v>
      </c>
      <c r="J255" s="48" t="s">
        <v>703</v>
      </c>
      <c r="K255" s="1553">
        <v>72</v>
      </c>
      <c r="L255" s="50">
        <v>862108782</v>
      </c>
      <c r="M255" s="1553">
        <v>36</v>
      </c>
      <c r="N255" s="63">
        <v>149232603</v>
      </c>
      <c r="O255" s="1553">
        <v>12</v>
      </c>
      <c r="P255" s="63">
        <v>177300000</v>
      </c>
      <c r="Q255" s="1553">
        <v>3</v>
      </c>
      <c r="R255" s="63">
        <v>21998445</v>
      </c>
      <c r="S255" s="62">
        <v>3</v>
      </c>
      <c r="T255" s="50">
        <v>65966019</v>
      </c>
      <c r="U255" s="62"/>
      <c r="V255" s="50"/>
      <c r="W255" s="62"/>
      <c r="X255" s="50"/>
      <c r="Y255" s="1553">
        <f t="shared" si="78"/>
        <v>6</v>
      </c>
      <c r="Z255" s="51">
        <f t="shared" si="79"/>
        <v>87964464</v>
      </c>
      <c r="AA255" s="1553">
        <f t="shared" si="80"/>
        <v>42</v>
      </c>
      <c r="AB255" s="51">
        <f t="shared" si="81"/>
        <v>237197067</v>
      </c>
      <c r="AC255" s="1522">
        <f t="shared" si="82"/>
        <v>58.333333333333336</v>
      </c>
      <c r="AD255" s="1522">
        <f t="shared" si="83"/>
        <v>27.513588998563293</v>
      </c>
      <c r="AE255" s="79"/>
      <c r="AF255" s="201"/>
      <c r="AG255" s="750"/>
      <c r="AH255" s="750"/>
      <c r="AI255" s="750"/>
      <c r="AJ255" s="750"/>
      <c r="AK255" s="750"/>
      <c r="AL255" s="750"/>
      <c r="AM255" s="750"/>
      <c r="AN255" s="750"/>
      <c r="AO255" s="750"/>
      <c r="AP255" s="750"/>
      <c r="AQ255" s="750"/>
      <c r="AR255" s="750"/>
      <c r="AS255" s="750"/>
      <c r="AT255" s="750"/>
      <c r="AU255" s="750"/>
      <c r="AV255" s="750"/>
      <c r="AW255" s="750"/>
      <c r="AX255" s="750"/>
      <c r="AY255" s="750"/>
      <c r="AZ255" s="750"/>
      <c r="BA255" s="750"/>
      <c r="BB255" s="750"/>
      <c r="BC255" s="1547"/>
      <c r="BD255" s="1548"/>
      <c r="BE255" s="1548"/>
      <c r="BF255" s="1548"/>
      <c r="BG255" s="1548"/>
      <c r="BH255" s="1548"/>
      <c r="BI255" s="1548"/>
      <c r="BJ255" s="1548"/>
      <c r="BK255" s="1548"/>
      <c r="BL255" s="1548"/>
      <c r="BM255" s="1548"/>
      <c r="BN255" s="1548"/>
      <c r="BO255" s="1548"/>
      <c r="BP255" s="1548"/>
      <c r="BQ255" s="1548"/>
      <c r="BR255" s="1548"/>
    </row>
    <row r="256" spans="1:70" s="938" customFormat="1" ht="49.5">
      <c r="A256" s="79"/>
      <c r="B256" s="47"/>
      <c r="C256" s="79">
        <v>1</v>
      </c>
      <c r="D256" s="1425" t="s">
        <v>25</v>
      </c>
      <c r="E256" s="1425">
        <v>1</v>
      </c>
      <c r="F256" s="1425" t="s">
        <v>25</v>
      </c>
      <c r="G256" s="1425"/>
      <c r="H256" s="1425" t="s">
        <v>39</v>
      </c>
      <c r="I256" s="48" t="s">
        <v>704</v>
      </c>
      <c r="J256" s="48" t="s">
        <v>705</v>
      </c>
      <c r="K256" s="1553">
        <v>72</v>
      </c>
      <c r="L256" s="50">
        <v>307954958</v>
      </c>
      <c r="M256" s="1553">
        <v>36</v>
      </c>
      <c r="N256" s="63">
        <v>11905500</v>
      </c>
      <c r="O256" s="1553">
        <v>12</v>
      </c>
      <c r="P256" s="63">
        <v>34748000</v>
      </c>
      <c r="Q256" s="1553">
        <v>3</v>
      </c>
      <c r="R256" s="63">
        <v>4806000</v>
      </c>
      <c r="S256" s="62">
        <v>3</v>
      </c>
      <c r="T256" s="50">
        <v>10117768</v>
      </c>
      <c r="U256" s="62"/>
      <c r="V256" s="50"/>
      <c r="W256" s="62"/>
      <c r="X256" s="50"/>
      <c r="Y256" s="1553">
        <f t="shared" si="78"/>
        <v>6</v>
      </c>
      <c r="Z256" s="51">
        <f t="shared" si="79"/>
        <v>14923768</v>
      </c>
      <c r="AA256" s="1553">
        <f t="shared" si="80"/>
        <v>42</v>
      </c>
      <c r="AB256" s="51">
        <f t="shared" si="81"/>
        <v>26829268</v>
      </c>
      <c r="AC256" s="1522">
        <f t="shared" si="82"/>
        <v>58.333333333333336</v>
      </c>
      <c r="AD256" s="1522">
        <f t="shared" si="83"/>
        <v>8.712075354864071</v>
      </c>
      <c r="AE256" s="79"/>
      <c r="AF256" s="201"/>
      <c r="AG256" s="750"/>
      <c r="AH256" s="750"/>
      <c r="AI256" s="750"/>
      <c r="AJ256" s="750"/>
      <c r="AK256" s="750"/>
      <c r="AL256" s="750"/>
      <c r="AM256" s="750"/>
      <c r="AN256" s="750"/>
      <c r="AO256" s="750"/>
      <c r="AP256" s="750"/>
      <c r="AQ256" s="750"/>
      <c r="AR256" s="750"/>
      <c r="AS256" s="750"/>
      <c r="AT256" s="750"/>
      <c r="AU256" s="750"/>
      <c r="AV256" s="750"/>
      <c r="AW256" s="750"/>
      <c r="AX256" s="750"/>
      <c r="AY256" s="750"/>
      <c r="AZ256" s="750"/>
      <c r="BA256" s="750"/>
      <c r="BB256" s="750"/>
      <c r="BC256" s="1547"/>
      <c r="BD256" s="1548"/>
      <c r="BE256" s="1548"/>
      <c r="BF256" s="1548"/>
      <c r="BG256" s="1548"/>
      <c r="BH256" s="1548"/>
      <c r="BI256" s="1548"/>
      <c r="BJ256" s="1548"/>
      <c r="BK256" s="1548"/>
      <c r="BL256" s="1548"/>
      <c r="BM256" s="1548"/>
      <c r="BN256" s="1548"/>
      <c r="BO256" s="1548"/>
      <c r="BP256" s="1548"/>
      <c r="BQ256" s="1548"/>
      <c r="BR256" s="1548"/>
    </row>
    <row r="257" spans="1:70" s="938" customFormat="1" ht="33">
      <c r="A257" s="79"/>
      <c r="B257" s="47"/>
      <c r="C257" s="79">
        <v>1</v>
      </c>
      <c r="D257" s="1425" t="s">
        <v>25</v>
      </c>
      <c r="E257" s="1425">
        <v>1</v>
      </c>
      <c r="F257" s="1425" t="s">
        <v>25</v>
      </c>
      <c r="G257" s="1425"/>
      <c r="H257" s="1425" t="s">
        <v>39</v>
      </c>
      <c r="I257" s="48" t="s">
        <v>706</v>
      </c>
      <c r="J257" s="48" t="s">
        <v>707</v>
      </c>
      <c r="K257" s="1553">
        <v>72</v>
      </c>
      <c r="L257" s="50">
        <v>276281562</v>
      </c>
      <c r="M257" s="1553">
        <v>36</v>
      </c>
      <c r="N257" s="63">
        <v>48078170</v>
      </c>
      <c r="O257" s="1553">
        <v>12</v>
      </c>
      <c r="P257" s="63">
        <v>100295000</v>
      </c>
      <c r="Q257" s="1553">
        <v>3</v>
      </c>
      <c r="R257" s="63">
        <v>15356363</v>
      </c>
      <c r="S257" s="62">
        <v>3</v>
      </c>
      <c r="T257" s="50">
        <v>50314863</v>
      </c>
      <c r="U257" s="62"/>
      <c r="V257" s="50"/>
      <c r="W257" s="62"/>
      <c r="X257" s="50"/>
      <c r="Y257" s="1553">
        <f t="shared" si="78"/>
        <v>6</v>
      </c>
      <c r="Z257" s="51">
        <f t="shared" si="79"/>
        <v>65671226</v>
      </c>
      <c r="AA257" s="1553">
        <f t="shared" si="80"/>
        <v>42</v>
      </c>
      <c r="AB257" s="51">
        <f t="shared" si="81"/>
        <v>113749396</v>
      </c>
      <c r="AC257" s="1522">
        <f t="shared" si="82"/>
        <v>58.333333333333336</v>
      </c>
      <c r="AD257" s="1522">
        <f t="shared" si="83"/>
        <v>41.171548031134989</v>
      </c>
      <c r="AE257" s="79"/>
      <c r="AF257" s="201"/>
      <c r="AG257" s="750"/>
      <c r="AH257" s="750"/>
      <c r="AI257" s="750"/>
      <c r="AJ257" s="750"/>
      <c r="AK257" s="750"/>
      <c r="AL257" s="750"/>
      <c r="AM257" s="750"/>
      <c r="AN257" s="750"/>
      <c r="AO257" s="750"/>
      <c r="AP257" s="750"/>
      <c r="AQ257" s="750"/>
      <c r="AR257" s="750"/>
      <c r="AS257" s="750"/>
      <c r="AT257" s="750"/>
      <c r="AU257" s="750"/>
      <c r="AV257" s="750"/>
      <c r="AW257" s="750"/>
      <c r="AX257" s="750"/>
      <c r="AY257" s="750"/>
      <c r="AZ257" s="750"/>
      <c r="BA257" s="750"/>
      <c r="BB257" s="750"/>
      <c r="BC257" s="1547"/>
      <c r="BD257" s="1548"/>
      <c r="BE257" s="1548"/>
      <c r="BF257" s="1548"/>
      <c r="BG257" s="1548"/>
      <c r="BH257" s="1548"/>
      <c r="BI257" s="1548"/>
      <c r="BJ257" s="1548"/>
      <c r="BK257" s="1548"/>
      <c r="BL257" s="1548"/>
      <c r="BM257" s="1548"/>
      <c r="BN257" s="1548"/>
      <c r="BO257" s="1548"/>
      <c r="BP257" s="1548"/>
      <c r="BQ257" s="1548"/>
      <c r="BR257" s="1548"/>
    </row>
    <row r="258" spans="1:70" s="938" customFormat="1" ht="49.5">
      <c r="A258" s="79"/>
      <c r="B258" s="47"/>
      <c r="C258" s="79">
        <v>1</v>
      </c>
      <c r="D258" s="1425" t="s">
        <v>25</v>
      </c>
      <c r="E258" s="1425">
        <v>1</v>
      </c>
      <c r="F258" s="1425" t="s">
        <v>25</v>
      </c>
      <c r="G258" s="1425"/>
      <c r="H258" s="1425" t="s">
        <v>39</v>
      </c>
      <c r="I258" s="49" t="s">
        <v>708</v>
      </c>
      <c r="J258" s="47" t="s">
        <v>709</v>
      </c>
      <c r="K258" s="1553">
        <v>1</v>
      </c>
      <c r="L258" s="50">
        <v>207459978.5</v>
      </c>
      <c r="M258" s="1553">
        <v>1</v>
      </c>
      <c r="N258" s="63">
        <v>204459978</v>
      </c>
      <c r="O258" s="1553"/>
      <c r="P258" s="63"/>
      <c r="Q258" s="1570"/>
      <c r="R258" s="63"/>
      <c r="S258" s="62"/>
      <c r="T258" s="50"/>
      <c r="U258" s="62"/>
      <c r="V258" s="50"/>
      <c r="W258" s="62"/>
      <c r="X258" s="50"/>
      <c r="Y258" s="1553">
        <f t="shared" si="78"/>
        <v>0</v>
      </c>
      <c r="Z258" s="51">
        <f t="shared" si="79"/>
        <v>0</v>
      </c>
      <c r="AA258" s="1553">
        <f t="shared" si="80"/>
        <v>1</v>
      </c>
      <c r="AB258" s="51">
        <f t="shared" si="81"/>
        <v>204459978</v>
      </c>
      <c r="AC258" s="1522">
        <f t="shared" si="82"/>
        <v>100</v>
      </c>
      <c r="AD258" s="1522">
        <f t="shared" si="83"/>
        <v>98.553937717678892</v>
      </c>
      <c r="AE258" s="79"/>
      <c r="AF258" s="201"/>
      <c r="AG258" s="750"/>
      <c r="AH258" s="750"/>
      <c r="AI258" s="750"/>
      <c r="AJ258" s="750"/>
      <c r="AK258" s="750"/>
      <c r="AL258" s="750"/>
      <c r="AM258" s="750"/>
      <c r="AN258" s="750"/>
      <c r="AO258" s="750"/>
      <c r="AP258" s="750"/>
      <c r="AQ258" s="750"/>
      <c r="AR258" s="750"/>
      <c r="AS258" s="750"/>
      <c r="AT258" s="750"/>
      <c r="AU258" s="750"/>
      <c r="AV258" s="750"/>
      <c r="AW258" s="750"/>
      <c r="AX258" s="750"/>
      <c r="AY258" s="750"/>
      <c r="AZ258" s="750"/>
      <c r="BA258" s="750"/>
      <c r="BB258" s="750"/>
      <c r="BC258" s="1547"/>
      <c r="BD258" s="1548"/>
      <c r="BE258" s="1548"/>
      <c r="BF258" s="1548"/>
      <c r="BG258" s="1548"/>
      <c r="BH258" s="1548"/>
      <c r="BI258" s="1548"/>
      <c r="BJ258" s="1548"/>
      <c r="BK258" s="1548"/>
      <c r="BL258" s="1548"/>
      <c r="BM258" s="1548"/>
      <c r="BN258" s="1548"/>
      <c r="BO258" s="1548"/>
      <c r="BP258" s="1548"/>
      <c r="BQ258" s="1548"/>
      <c r="BR258" s="1548"/>
    </row>
    <row r="259" spans="1:70" s="938" customFormat="1" ht="99">
      <c r="A259" s="79"/>
      <c r="B259" s="47"/>
      <c r="C259" s="79">
        <v>1</v>
      </c>
      <c r="D259" s="1425" t="s">
        <v>25</v>
      </c>
      <c r="E259" s="1425">
        <v>1</v>
      </c>
      <c r="F259" s="1425" t="s">
        <v>25</v>
      </c>
      <c r="G259" s="1425"/>
      <c r="H259" s="1425" t="s">
        <v>39</v>
      </c>
      <c r="I259" s="49" t="s">
        <v>710</v>
      </c>
      <c r="J259" s="47" t="s">
        <v>711</v>
      </c>
      <c r="K259" s="1553">
        <v>1</v>
      </c>
      <c r="L259" s="50">
        <v>100000000</v>
      </c>
      <c r="M259" s="1570">
        <v>0</v>
      </c>
      <c r="N259" s="63"/>
      <c r="O259" s="1553"/>
      <c r="P259" s="63"/>
      <c r="Q259" s="1541"/>
      <c r="R259" s="63"/>
      <c r="S259" s="62"/>
      <c r="T259" s="50"/>
      <c r="U259" s="62"/>
      <c r="V259" s="50"/>
      <c r="W259" s="78"/>
      <c r="X259" s="50"/>
      <c r="Y259" s="1553">
        <f t="shared" si="78"/>
        <v>0</v>
      </c>
      <c r="Z259" s="51">
        <f t="shared" si="79"/>
        <v>0</v>
      </c>
      <c r="AA259" s="1553">
        <f t="shared" si="80"/>
        <v>0</v>
      </c>
      <c r="AB259" s="51">
        <f t="shared" si="81"/>
        <v>0</v>
      </c>
      <c r="AC259" s="1522">
        <f t="shared" si="82"/>
        <v>0</v>
      </c>
      <c r="AD259" s="1522">
        <f t="shared" si="83"/>
        <v>0</v>
      </c>
      <c r="AE259" s="79"/>
      <c r="AF259" s="201"/>
      <c r="AG259" s="750"/>
      <c r="AH259" s="750"/>
      <c r="AI259" s="750"/>
      <c r="AJ259" s="750"/>
      <c r="AK259" s="750"/>
      <c r="AL259" s="750"/>
      <c r="AM259" s="750"/>
      <c r="AN259" s="750"/>
      <c r="AO259" s="750"/>
      <c r="AP259" s="750"/>
      <c r="AQ259" s="750"/>
      <c r="AR259" s="750"/>
      <c r="AS259" s="750"/>
      <c r="AT259" s="750"/>
      <c r="AU259" s="750"/>
      <c r="AV259" s="750"/>
      <c r="AW259" s="750"/>
      <c r="AX259" s="750"/>
      <c r="AY259" s="750"/>
      <c r="AZ259" s="750"/>
      <c r="BA259" s="750"/>
      <c r="BB259" s="750"/>
      <c r="BC259" s="1547"/>
      <c r="BD259" s="1548"/>
      <c r="BE259" s="1548"/>
      <c r="BF259" s="1548"/>
      <c r="BG259" s="1548"/>
      <c r="BH259" s="1548"/>
      <c r="BI259" s="1548"/>
      <c r="BJ259" s="1548"/>
      <c r="BK259" s="1548"/>
      <c r="BL259" s="1548"/>
      <c r="BM259" s="1548"/>
      <c r="BN259" s="1548"/>
      <c r="BO259" s="1548"/>
      <c r="BP259" s="1548"/>
      <c r="BQ259" s="1548"/>
      <c r="BR259" s="1548"/>
    </row>
    <row r="260" spans="1:70" s="938" customFormat="1" ht="99">
      <c r="A260" s="79"/>
      <c r="B260" s="47"/>
      <c r="C260" s="79">
        <v>1</v>
      </c>
      <c r="D260" s="1425" t="s">
        <v>25</v>
      </c>
      <c r="E260" s="1425">
        <v>1</v>
      </c>
      <c r="F260" s="1425" t="s">
        <v>25</v>
      </c>
      <c r="G260" s="1425"/>
      <c r="H260" s="1425" t="s">
        <v>39</v>
      </c>
      <c r="I260" s="49" t="s">
        <v>712</v>
      </c>
      <c r="J260" s="47" t="s">
        <v>711</v>
      </c>
      <c r="K260" s="1553">
        <v>1</v>
      </c>
      <c r="L260" s="50">
        <v>100000000</v>
      </c>
      <c r="M260" s="1570">
        <v>0</v>
      </c>
      <c r="N260" s="63"/>
      <c r="O260" s="1553"/>
      <c r="P260" s="63"/>
      <c r="Q260" s="1541"/>
      <c r="R260" s="63"/>
      <c r="S260" s="62"/>
      <c r="T260" s="50"/>
      <c r="U260" s="62"/>
      <c r="V260" s="50"/>
      <c r="W260" s="78"/>
      <c r="X260" s="50"/>
      <c r="Y260" s="1553">
        <f t="shared" si="78"/>
        <v>0</v>
      </c>
      <c r="Z260" s="51">
        <f t="shared" si="79"/>
        <v>0</v>
      </c>
      <c r="AA260" s="1553">
        <f t="shared" si="80"/>
        <v>0</v>
      </c>
      <c r="AB260" s="51">
        <f t="shared" si="81"/>
        <v>0</v>
      </c>
      <c r="AC260" s="1522">
        <f t="shared" si="82"/>
        <v>0</v>
      </c>
      <c r="AD260" s="1522">
        <f t="shared" si="83"/>
        <v>0</v>
      </c>
      <c r="AE260" s="79"/>
      <c r="AF260" s="201"/>
      <c r="AG260" s="750"/>
      <c r="AH260" s="750"/>
      <c r="AI260" s="750"/>
      <c r="AJ260" s="750"/>
      <c r="AK260" s="750"/>
      <c r="AL260" s="750"/>
      <c r="AM260" s="750"/>
      <c r="AN260" s="750"/>
      <c r="AO260" s="750"/>
      <c r="AP260" s="750"/>
      <c r="AQ260" s="750"/>
      <c r="AR260" s="750"/>
      <c r="AS260" s="750"/>
      <c r="AT260" s="750"/>
      <c r="AU260" s="750"/>
      <c r="AV260" s="750"/>
      <c r="AW260" s="750"/>
      <c r="AX260" s="750"/>
      <c r="AY260" s="750"/>
      <c r="AZ260" s="750"/>
      <c r="BA260" s="750"/>
      <c r="BB260" s="750"/>
      <c r="BC260" s="1547"/>
      <c r="BD260" s="1548"/>
      <c r="BE260" s="1548"/>
      <c r="BF260" s="1548"/>
      <c r="BG260" s="1548"/>
      <c r="BH260" s="1548"/>
      <c r="BI260" s="1548"/>
      <c r="BJ260" s="1548"/>
      <c r="BK260" s="1548"/>
      <c r="BL260" s="1548"/>
      <c r="BM260" s="1548"/>
      <c r="BN260" s="1548"/>
      <c r="BO260" s="1548"/>
      <c r="BP260" s="1548"/>
      <c r="BQ260" s="1548"/>
      <c r="BR260" s="1548"/>
    </row>
    <row r="261" spans="1:70" s="938" customFormat="1" ht="99">
      <c r="A261" s="79"/>
      <c r="B261" s="47"/>
      <c r="C261" s="79">
        <v>1</v>
      </c>
      <c r="D261" s="1425" t="s">
        <v>25</v>
      </c>
      <c r="E261" s="1425">
        <v>1</v>
      </c>
      <c r="F261" s="1425" t="s">
        <v>25</v>
      </c>
      <c r="G261" s="1425"/>
      <c r="H261" s="1425" t="s">
        <v>39</v>
      </c>
      <c r="I261" s="49" t="s">
        <v>713</v>
      </c>
      <c r="J261" s="47" t="s">
        <v>714</v>
      </c>
      <c r="K261" s="1553">
        <v>1</v>
      </c>
      <c r="L261" s="50">
        <v>200000000</v>
      </c>
      <c r="M261" s="1570">
        <v>0</v>
      </c>
      <c r="N261" s="63"/>
      <c r="O261" s="1553"/>
      <c r="P261" s="63"/>
      <c r="Q261" s="1541"/>
      <c r="R261" s="63"/>
      <c r="S261" s="62"/>
      <c r="T261" s="50"/>
      <c r="U261" s="62"/>
      <c r="V261" s="50"/>
      <c r="W261" s="78"/>
      <c r="X261" s="50"/>
      <c r="Y261" s="1553">
        <f t="shared" si="78"/>
        <v>0</v>
      </c>
      <c r="Z261" s="51">
        <f t="shared" si="79"/>
        <v>0</v>
      </c>
      <c r="AA261" s="1553">
        <f t="shared" si="80"/>
        <v>0</v>
      </c>
      <c r="AB261" s="51">
        <f t="shared" si="81"/>
        <v>0</v>
      </c>
      <c r="AC261" s="1522">
        <f t="shared" si="82"/>
        <v>0</v>
      </c>
      <c r="AD261" s="1522">
        <f t="shared" si="83"/>
        <v>0</v>
      </c>
      <c r="AE261" s="79"/>
      <c r="AF261" s="201"/>
      <c r="AG261" s="750"/>
      <c r="AH261" s="750"/>
      <c r="AI261" s="750"/>
      <c r="AJ261" s="750"/>
      <c r="AK261" s="750"/>
      <c r="AL261" s="750"/>
      <c r="AM261" s="750"/>
      <c r="AN261" s="750"/>
      <c r="AO261" s="750"/>
      <c r="AP261" s="750"/>
      <c r="AQ261" s="750"/>
      <c r="AR261" s="750"/>
      <c r="AS261" s="750"/>
      <c r="AT261" s="750"/>
      <c r="AU261" s="750"/>
      <c r="AV261" s="750"/>
      <c r="AW261" s="750"/>
      <c r="AX261" s="750"/>
      <c r="AY261" s="750"/>
      <c r="AZ261" s="750"/>
      <c r="BA261" s="750"/>
      <c r="BB261" s="750"/>
      <c r="BC261" s="1547"/>
      <c r="BD261" s="1548"/>
      <c r="BE261" s="1548"/>
      <c r="BF261" s="1548"/>
      <c r="BG261" s="1548"/>
      <c r="BH261" s="1548"/>
      <c r="BI261" s="1548"/>
      <c r="BJ261" s="1548"/>
      <c r="BK261" s="1548"/>
      <c r="BL261" s="1548"/>
      <c r="BM261" s="1548"/>
      <c r="BN261" s="1548"/>
      <c r="BO261" s="1548"/>
      <c r="BP261" s="1548"/>
      <c r="BQ261" s="1548"/>
      <c r="BR261" s="1548"/>
    </row>
    <row r="262" spans="1:70" s="938" customFormat="1" ht="99">
      <c r="A262" s="79"/>
      <c r="B262" s="47"/>
      <c r="C262" s="79">
        <v>1</v>
      </c>
      <c r="D262" s="1425" t="s">
        <v>25</v>
      </c>
      <c r="E262" s="1425">
        <v>1</v>
      </c>
      <c r="F262" s="1425" t="s">
        <v>25</v>
      </c>
      <c r="G262" s="1425"/>
      <c r="H262" s="1425" t="s">
        <v>39</v>
      </c>
      <c r="I262" s="49" t="s">
        <v>715</v>
      </c>
      <c r="J262" s="47" t="s">
        <v>711</v>
      </c>
      <c r="K262" s="1553">
        <v>1</v>
      </c>
      <c r="L262" s="50">
        <v>150000000</v>
      </c>
      <c r="M262" s="1570">
        <v>0</v>
      </c>
      <c r="N262" s="63"/>
      <c r="O262" s="1553"/>
      <c r="P262" s="63"/>
      <c r="Q262" s="1541"/>
      <c r="R262" s="63"/>
      <c r="S262" s="62"/>
      <c r="T262" s="50"/>
      <c r="U262" s="62"/>
      <c r="V262" s="50"/>
      <c r="W262" s="78"/>
      <c r="X262" s="50"/>
      <c r="Y262" s="1553">
        <f t="shared" si="78"/>
        <v>0</v>
      </c>
      <c r="Z262" s="51">
        <f t="shared" si="79"/>
        <v>0</v>
      </c>
      <c r="AA262" s="1553">
        <f t="shared" si="80"/>
        <v>0</v>
      </c>
      <c r="AB262" s="51">
        <f t="shared" si="81"/>
        <v>0</v>
      </c>
      <c r="AC262" s="1522">
        <f t="shared" si="82"/>
        <v>0</v>
      </c>
      <c r="AD262" s="1522">
        <f t="shared" si="83"/>
        <v>0</v>
      </c>
      <c r="AE262" s="79"/>
      <c r="AF262" s="201"/>
      <c r="AG262" s="750"/>
      <c r="AH262" s="750"/>
      <c r="AI262" s="750"/>
      <c r="AJ262" s="750"/>
      <c r="AK262" s="750"/>
      <c r="AL262" s="750"/>
      <c r="AM262" s="750"/>
      <c r="AN262" s="750"/>
      <c r="AO262" s="750"/>
      <c r="AP262" s="750"/>
      <c r="AQ262" s="750"/>
      <c r="AR262" s="750"/>
      <c r="AS262" s="750"/>
      <c r="AT262" s="750"/>
      <c r="AU262" s="750"/>
      <c r="AV262" s="750"/>
      <c r="AW262" s="750"/>
      <c r="AX262" s="750"/>
      <c r="AY262" s="750"/>
      <c r="AZ262" s="750"/>
      <c r="BA262" s="750"/>
      <c r="BB262" s="750"/>
      <c r="BC262" s="1547"/>
      <c r="BD262" s="1548"/>
      <c r="BE262" s="1548"/>
      <c r="BF262" s="1548"/>
      <c r="BG262" s="1548"/>
      <c r="BH262" s="1548"/>
      <c r="BI262" s="1548"/>
      <c r="BJ262" s="1548"/>
      <c r="BK262" s="1548"/>
      <c r="BL262" s="1548"/>
      <c r="BM262" s="1548"/>
      <c r="BN262" s="1548"/>
      <c r="BO262" s="1548"/>
      <c r="BP262" s="1548"/>
      <c r="BQ262" s="1548"/>
      <c r="BR262" s="1548"/>
    </row>
    <row r="263" spans="1:70" s="938" customFormat="1" ht="99">
      <c r="A263" s="79"/>
      <c r="B263" s="47"/>
      <c r="C263" s="79">
        <v>1</v>
      </c>
      <c r="D263" s="1425" t="s">
        <v>25</v>
      </c>
      <c r="E263" s="1425">
        <v>1</v>
      </c>
      <c r="F263" s="1425" t="s">
        <v>25</v>
      </c>
      <c r="G263" s="1425"/>
      <c r="H263" s="1425" t="s">
        <v>39</v>
      </c>
      <c r="I263" s="49" t="s">
        <v>716</v>
      </c>
      <c r="J263" s="47" t="s">
        <v>711</v>
      </c>
      <c r="K263" s="1553">
        <v>1</v>
      </c>
      <c r="L263" s="50">
        <v>45000000</v>
      </c>
      <c r="M263" s="1570">
        <v>0</v>
      </c>
      <c r="N263" s="63"/>
      <c r="O263" s="1553"/>
      <c r="P263" s="63"/>
      <c r="Q263" s="1541"/>
      <c r="R263" s="63"/>
      <c r="S263" s="62"/>
      <c r="T263" s="50"/>
      <c r="U263" s="62"/>
      <c r="V263" s="50"/>
      <c r="W263" s="78"/>
      <c r="X263" s="50"/>
      <c r="Y263" s="1553">
        <f t="shared" si="78"/>
        <v>0</v>
      </c>
      <c r="Z263" s="51">
        <f t="shared" si="79"/>
        <v>0</v>
      </c>
      <c r="AA263" s="1553">
        <f t="shared" si="80"/>
        <v>0</v>
      </c>
      <c r="AB263" s="51">
        <f t="shared" si="81"/>
        <v>0</v>
      </c>
      <c r="AC263" s="1522">
        <f t="shared" si="82"/>
        <v>0</v>
      </c>
      <c r="AD263" s="1522">
        <f t="shared" si="83"/>
        <v>0</v>
      </c>
      <c r="AE263" s="79"/>
      <c r="AF263" s="201"/>
      <c r="AG263" s="750"/>
      <c r="AH263" s="750"/>
      <c r="AI263" s="750"/>
      <c r="AJ263" s="750"/>
      <c r="AK263" s="750"/>
      <c r="AL263" s="750"/>
      <c r="AM263" s="750"/>
      <c r="AN263" s="750"/>
      <c r="AO263" s="750"/>
      <c r="AP263" s="750"/>
      <c r="AQ263" s="750"/>
      <c r="AR263" s="750"/>
      <c r="AS263" s="750"/>
      <c r="AT263" s="750"/>
      <c r="AU263" s="750"/>
      <c r="AV263" s="750"/>
      <c r="AW263" s="750"/>
      <c r="AX263" s="750"/>
      <c r="AY263" s="750"/>
      <c r="AZ263" s="750"/>
      <c r="BA263" s="750"/>
      <c r="BB263" s="750"/>
      <c r="BC263" s="1547"/>
      <c r="BD263" s="1548"/>
      <c r="BE263" s="1548"/>
      <c r="BF263" s="1548"/>
      <c r="BG263" s="1548"/>
      <c r="BH263" s="1548"/>
      <c r="BI263" s="1548"/>
      <c r="BJ263" s="1548"/>
      <c r="BK263" s="1548"/>
      <c r="BL263" s="1548"/>
      <c r="BM263" s="1548"/>
      <c r="BN263" s="1548"/>
      <c r="BO263" s="1548"/>
      <c r="BP263" s="1548"/>
      <c r="BQ263" s="1548"/>
      <c r="BR263" s="1548"/>
    </row>
    <row r="264" spans="1:70" s="938" customFormat="1" ht="99">
      <c r="A264" s="79"/>
      <c r="B264" s="47"/>
      <c r="C264" s="79">
        <v>1</v>
      </c>
      <c r="D264" s="1425" t="s">
        <v>25</v>
      </c>
      <c r="E264" s="1425">
        <v>1</v>
      </c>
      <c r="F264" s="1425" t="s">
        <v>25</v>
      </c>
      <c r="G264" s="1425"/>
      <c r="H264" s="1425" t="s">
        <v>39</v>
      </c>
      <c r="I264" s="49" t="s">
        <v>717</v>
      </c>
      <c r="J264" s="47" t="s">
        <v>711</v>
      </c>
      <c r="K264" s="1553">
        <v>1</v>
      </c>
      <c r="L264" s="50">
        <v>45000000</v>
      </c>
      <c r="M264" s="1570">
        <v>0</v>
      </c>
      <c r="N264" s="63"/>
      <c r="O264" s="1553"/>
      <c r="P264" s="63"/>
      <c r="Q264" s="1541"/>
      <c r="R264" s="63"/>
      <c r="S264" s="62"/>
      <c r="T264" s="50"/>
      <c r="U264" s="62"/>
      <c r="V264" s="50"/>
      <c r="W264" s="78"/>
      <c r="X264" s="50"/>
      <c r="Y264" s="1553">
        <f t="shared" si="78"/>
        <v>0</v>
      </c>
      <c r="Z264" s="51">
        <f t="shared" si="79"/>
        <v>0</v>
      </c>
      <c r="AA264" s="1553">
        <f t="shared" si="80"/>
        <v>0</v>
      </c>
      <c r="AB264" s="51">
        <f t="shared" si="81"/>
        <v>0</v>
      </c>
      <c r="AC264" s="1522">
        <f t="shared" si="82"/>
        <v>0</v>
      </c>
      <c r="AD264" s="1522">
        <f t="shared" si="83"/>
        <v>0</v>
      </c>
      <c r="AE264" s="79"/>
      <c r="AF264" s="201"/>
      <c r="AG264" s="750"/>
      <c r="AH264" s="750"/>
      <c r="AI264" s="750"/>
      <c r="AJ264" s="750"/>
      <c r="AK264" s="750"/>
      <c r="AL264" s="750"/>
      <c r="AM264" s="750"/>
      <c r="AN264" s="750"/>
      <c r="AO264" s="750"/>
      <c r="AP264" s="750"/>
      <c r="AQ264" s="750"/>
      <c r="AR264" s="750"/>
      <c r="AS264" s="750"/>
      <c r="AT264" s="750"/>
      <c r="AU264" s="750"/>
      <c r="AV264" s="750"/>
      <c r="AW264" s="750"/>
      <c r="AX264" s="750"/>
      <c r="AY264" s="750"/>
      <c r="AZ264" s="750"/>
      <c r="BA264" s="750"/>
      <c r="BB264" s="750"/>
      <c r="BC264" s="1547"/>
      <c r="BD264" s="1548"/>
      <c r="BE264" s="1548"/>
      <c r="BF264" s="1548"/>
      <c r="BG264" s="1548"/>
      <c r="BH264" s="1548"/>
      <c r="BI264" s="1548"/>
      <c r="BJ264" s="1548"/>
      <c r="BK264" s="1548"/>
      <c r="BL264" s="1548"/>
      <c r="BM264" s="1548"/>
      <c r="BN264" s="1548"/>
      <c r="BO264" s="1548"/>
      <c r="BP264" s="1548"/>
      <c r="BQ264" s="1548"/>
      <c r="BR264" s="1548"/>
    </row>
    <row r="265" spans="1:70" s="938" customFormat="1" ht="99">
      <c r="A265" s="79"/>
      <c r="B265" s="47"/>
      <c r="C265" s="79">
        <v>1</v>
      </c>
      <c r="D265" s="1425" t="s">
        <v>25</v>
      </c>
      <c r="E265" s="1425">
        <v>1</v>
      </c>
      <c r="F265" s="1425" t="s">
        <v>25</v>
      </c>
      <c r="G265" s="1425"/>
      <c r="H265" s="1425" t="s">
        <v>39</v>
      </c>
      <c r="I265" s="49" t="s">
        <v>718</v>
      </c>
      <c r="J265" s="47" t="s">
        <v>711</v>
      </c>
      <c r="K265" s="1553">
        <v>1</v>
      </c>
      <c r="L265" s="50">
        <v>100000000</v>
      </c>
      <c r="M265" s="1570">
        <v>0</v>
      </c>
      <c r="N265" s="63"/>
      <c r="O265" s="1553"/>
      <c r="P265" s="63"/>
      <c r="Q265" s="1541"/>
      <c r="R265" s="63"/>
      <c r="S265" s="62"/>
      <c r="T265" s="50"/>
      <c r="U265" s="62"/>
      <c r="V265" s="50"/>
      <c r="W265" s="78"/>
      <c r="X265" s="50"/>
      <c r="Y265" s="1553">
        <f t="shared" si="78"/>
        <v>0</v>
      </c>
      <c r="Z265" s="51">
        <f t="shared" si="79"/>
        <v>0</v>
      </c>
      <c r="AA265" s="1553">
        <f t="shared" si="80"/>
        <v>0</v>
      </c>
      <c r="AB265" s="51">
        <f t="shared" si="81"/>
        <v>0</v>
      </c>
      <c r="AC265" s="1522">
        <f t="shared" si="82"/>
        <v>0</v>
      </c>
      <c r="AD265" s="1522">
        <f t="shared" si="83"/>
        <v>0</v>
      </c>
      <c r="AE265" s="79"/>
      <c r="AF265" s="201"/>
      <c r="AG265" s="750"/>
      <c r="AH265" s="750"/>
      <c r="AI265" s="750"/>
      <c r="AJ265" s="750"/>
      <c r="AK265" s="750"/>
      <c r="AL265" s="750"/>
      <c r="AM265" s="750"/>
      <c r="AN265" s="750"/>
      <c r="AO265" s="750"/>
      <c r="AP265" s="750"/>
      <c r="AQ265" s="750"/>
      <c r="AR265" s="750"/>
      <c r="AS265" s="750"/>
      <c r="AT265" s="750"/>
      <c r="AU265" s="750"/>
      <c r="AV265" s="750"/>
      <c r="AW265" s="750"/>
      <c r="AX265" s="750"/>
      <c r="AY265" s="750"/>
      <c r="AZ265" s="750"/>
      <c r="BA265" s="750"/>
      <c r="BB265" s="750"/>
      <c r="BC265" s="1547"/>
      <c r="BD265" s="1548"/>
      <c r="BE265" s="1548"/>
      <c r="BF265" s="1548"/>
      <c r="BG265" s="1548"/>
      <c r="BH265" s="1548"/>
      <c r="BI265" s="1548"/>
      <c r="BJ265" s="1548"/>
      <c r="BK265" s="1548"/>
      <c r="BL265" s="1548"/>
      <c r="BM265" s="1548"/>
      <c r="BN265" s="1548"/>
      <c r="BO265" s="1548"/>
      <c r="BP265" s="1548"/>
      <c r="BQ265" s="1548"/>
      <c r="BR265" s="1548"/>
    </row>
    <row r="266" spans="1:70" s="938" customFormat="1" ht="99">
      <c r="A266" s="79"/>
      <c r="B266" s="47"/>
      <c r="C266" s="79">
        <v>1</v>
      </c>
      <c r="D266" s="1425" t="s">
        <v>25</v>
      </c>
      <c r="E266" s="1425">
        <v>1</v>
      </c>
      <c r="F266" s="1425" t="s">
        <v>25</v>
      </c>
      <c r="G266" s="1425"/>
      <c r="H266" s="1425" t="s">
        <v>39</v>
      </c>
      <c r="I266" s="49" t="s">
        <v>719</v>
      </c>
      <c r="J266" s="47" t="s">
        <v>711</v>
      </c>
      <c r="K266" s="1553">
        <v>1</v>
      </c>
      <c r="L266" s="50">
        <v>100000000</v>
      </c>
      <c r="M266" s="1570">
        <v>0</v>
      </c>
      <c r="N266" s="63"/>
      <c r="O266" s="1553"/>
      <c r="P266" s="63"/>
      <c r="Q266" s="1541"/>
      <c r="R266" s="63"/>
      <c r="S266" s="62"/>
      <c r="T266" s="50"/>
      <c r="U266" s="62"/>
      <c r="V266" s="50"/>
      <c r="W266" s="78"/>
      <c r="X266" s="50"/>
      <c r="Y266" s="1553">
        <f t="shared" si="78"/>
        <v>0</v>
      </c>
      <c r="Z266" s="51">
        <f t="shared" si="79"/>
        <v>0</v>
      </c>
      <c r="AA266" s="1553">
        <f t="shared" si="80"/>
        <v>0</v>
      </c>
      <c r="AB266" s="51">
        <f t="shared" si="81"/>
        <v>0</v>
      </c>
      <c r="AC266" s="1522">
        <f t="shared" si="82"/>
        <v>0</v>
      </c>
      <c r="AD266" s="1522">
        <f t="shared" si="83"/>
        <v>0</v>
      </c>
      <c r="AE266" s="79"/>
      <c r="AF266" s="201"/>
      <c r="AG266" s="750"/>
      <c r="AH266" s="750"/>
      <c r="AI266" s="750"/>
      <c r="AJ266" s="750"/>
      <c r="AK266" s="750"/>
      <c r="AL266" s="750"/>
      <c r="AM266" s="750"/>
      <c r="AN266" s="750"/>
      <c r="AO266" s="750"/>
      <c r="AP266" s="750"/>
      <c r="AQ266" s="750"/>
      <c r="AR266" s="750"/>
      <c r="AS266" s="750"/>
      <c r="AT266" s="750"/>
      <c r="AU266" s="750"/>
      <c r="AV266" s="750"/>
      <c r="AW266" s="750"/>
      <c r="AX266" s="750"/>
      <c r="AY266" s="750"/>
      <c r="AZ266" s="750"/>
      <c r="BA266" s="750"/>
      <c r="BB266" s="750"/>
      <c r="BC266" s="1547"/>
      <c r="BD266" s="1548"/>
      <c r="BE266" s="1548"/>
      <c r="BF266" s="1548"/>
      <c r="BG266" s="1548"/>
      <c r="BH266" s="1548"/>
      <c r="BI266" s="1548"/>
      <c r="BJ266" s="1548"/>
      <c r="BK266" s="1548"/>
      <c r="BL266" s="1548"/>
      <c r="BM266" s="1548"/>
      <c r="BN266" s="1548"/>
      <c r="BO266" s="1548"/>
      <c r="BP266" s="1548"/>
      <c r="BQ266" s="1548"/>
      <c r="BR266" s="1548"/>
    </row>
    <row r="267" spans="1:70" s="938" customFormat="1" ht="99">
      <c r="A267" s="79"/>
      <c r="B267" s="47"/>
      <c r="C267" s="79">
        <v>1</v>
      </c>
      <c r="D267" s="1425" t="s">
        <v>25</v>
      </c>
      <c r="E267" s="1425">
        <v>1</v>
      </c>
      <c r="F267" s="1425" t="s">
        <v>25</v>
      </c>
      <c r="G267" s="1425"/>
      <c r="H267" s="1425" t="s">
        <v>39</v>
      </c>
      <c r="I267" s="49" t="s">
        <v>720</v>
      </c>
      <c r="J267" s="47" t="s">
        <v>711</v>
      </c>
      <c r="K267" s="1553">
        <v>1</v>
      </c>
      <c r="L267" s="50">
        <v>100000000</v>
      </c>
      <c r="M267" s="1570">
        <v>0</v>
      </c>
      <c r="N267" s="63"/>
      <c r="O267" s="1553"/>
      <c r="P267" s="63"/>
      <c r="Q267" s="1541"/>
      <c r="R267" s="63"/>
      <c r="S267" s="62"/>
      <c r="T267" s="50"/>
      <c r="U267" s="62"/>
      <c r="V267" s="50"/>
      <c r="W267" s="78"/>
      <c r="X267" s="50"/>
      <c r="Y267" s="1553">
        <f t="shared" si="78"/>
        <v>0</v>
      </c>
      <c r="Z267" s="51">
        <f t="shared" si="79"/>
        <v>0</v>
      </c>
      <c r="AA267" s="1553">
        <f t="shared" si="80"/>
        <v>0</v>
      </c>
      <c r="AB267" s="51">
        <f t="shared" si="81"/>
        <v>0</v>
      </c>
      <c r="AC267" s="1522">
        <f t="shared" si="82"/>
        <v>0</v>
      </c>
      <c r="AD267" s="1522">
        <f t="shared" si="83"/>
        <v>0</v>
      </c>
      <c r="AE267" s="79"/>
      <c r="AF267" s="201"/>
      <c r="AG267" s="750"/>
      <c r="AH267" s="750"/>
      <c r="AI267" s="750"/>
      <c r="AJ267" s="750"/>
      <c r="AK267" s="750"/>
      <c r="AL267" s="750"/>
      <c r="AM267" s="750"/>
      <c r="AN267" s="750"/>
      <c r="AO267" s="750"/>
      <c r="AP267" s="750"/>
      <c r="AQ267" s="750"/>
      <c r="AR267" s="750"/>
      <c r="AS267" s="750"/>
      <c r="AT267" s="750"/>
      <c r="AU267" s="750"/>
      <c r="AV267" s="750"/>
      <c r="AW267" s="750"/>
      <c r="AX267" s="750"/>
      <c r="AY267" s="750"/>
      <c r="AZ267" s="750"/>
      <c r="BA267" s="750"/>
      <c r="BB267" s="750"/>
      <c r="BC267" s="1547"/>
      <c r="BD267" s="1548"/>
      <c r="BE267" s="1548"/>
      <c r="BF267" s="1548"/>
      <c r="BG267" s="1548"/>
      <c r="BH267" s="1548"/>
      <c r="BI267" s="1548"/>
      <c r="BJ267" s="1548"/>
      <c r="BK267" s="1548"/>
      <c r="BL267" s="1548"/>
      <c r="BM267" s="1548"/>
      <c r="BN267" s="1548"/>
      <c r="BO267" s="1548"/>
      <c r="BP267" s="1548"/>
      <c r="BQ267" s="1548"/>
      <c r="BR267" s="1548"/>
    </row>
    <row r="268" spans="1:70" s="938" customFormat="1" ht="99">
      <c r="A268" s="79"/>
      <c r="B268" s="47"/>
      <c r="C268" s="79">
        <v>1</v>
      </c>
      <c r="D268" s="1425" t="s">
        <v>25</v>
      </c>
      <c r="E268" s="1425">
        <v>1</v>
      </c>
      <c r="F268" s="1425" t="s">
        <v>25</v>
      </c>
      <c r="G268" s="1425"/>
      <c r="H268" s="1425" t="s">
        <v>39</v>
      </c>
      <c r="I268" s="49" t="s">
        <v>721</v>
      </c>
      <c r="J268" s="47" t="s">
        <v>711</v>
      </c>
      <c r="K268" s="1553">
        <v>1</v>
      </c>
      <c r="L268" s="50">
        <v>150000000</v>
      </c>
      <c r="M268" s="1570">
        <v>0</v>
      </c>
      <c r="N268" s="63"/>
      <c r="O268" s="1553"/>
      <c r="P268" s="63"/>
      <c r="Q268" s="1541"/>
      <c r="R268" s="63"/>
      <c r="S268" s="62"/>
      <c r="T268" s="50"/>
      <c r="U268" s="62"/>
      <c r="V268" s="50"/>
      <c r="W268" s="78"/>
      <c r="X268" s="50"/>
      <c r="Y268" s="1553">
        <f t="shared" si="78"/>
        <v>0</v>
      </c>
      <c r="Z268" s="51">
        <f t="shared" si="79"/>
        <v>0</v>
      </c>
      <c r="AA268" s="1553">
        <f t="shared" si="80"/>
        <v>0</v>
      </c>
      <c r="AB268" s="51">
        <f t="shared" si="81"/>
        <v>0</v>
      </c>
      <c r="AC268" s="1522">
        <f t="shared" si="82"/>
        <v>0</v>
      </c>
      <c r="AD268" s="1522">
        <f t="shared" si="83"/>
        <v>0</v>
      </c>
      <c r="AE268" s="79"/>
      <c r="AF268" s="201"/>
      <c r="AG268" s="750"/>
      <c r="AH268" s="750"/>
      <c r="AI268" s="750"/>
      <c r="AJ268" s="750"/>
      <c r="AK268" s="750"/>
      <c r="AL268" s="750"/>
      <c r="AM268" s="750"/>
      <c r="AN268" s="750"/>
      <c r="AO268" s="750"/>
      <c r="AP268" s="750"/>
      <c r="AQ268" s="750"/>
      <c r="AR268" s="750"/>
      <c r="AS268" s="750"/>
      <c r="AT268" s="750"/>
      <c r="AU268" s="750"/>
      <c r="AV268" s="750"/>
      <c r="AW268" s="750"/>
      <c r="AX268" s="750"/>
      <c r="AY268" s="750"/>
      <c r="AZ268" s="750"/>
      <c r="BA268" s="750"/>
      <c r="BB268" s="750"/>
      <c r="BC268" s="1547"/>
      <c r="BD268" s="1548"/>
      <c r="BE268" s="1548"/>
      <c r="BF268" s="1548"/>
      <c r="BG268" s="1548"/>
      <c r="BH268" s="1548"/>
      <c r="BI268" s="1548"/>
      <c r="BJ268" s="1548"/>
      <c r="BK268" s="1548"/>
      <c r="BL268" s="1548"/>
      <c r="BM268" s="1548"/>
      <c r="BN268" s="1548"/>
      <c r="BO268" s="1548"/>
      <c r="BP268" s="1548"/>
      <c r="BQ268" s="1548"/>
      <c r="BR268" s="1548"/>
    </row>
    <row r="269" spans="1:70" s="938" customFormat="1" ht="99">
      <c r="A269" s="79"/>
      <c r="B269" s="47"/>
      <c r="C269" s="79">
        <v>1</v>
      </c>
      <c r="D269" s="1425" t="s">
        <v>25</v>
      </c>
      <c r="E269" s="1425">
        <v>1</v>
      </c>
      <c r="F269" s="1425" t="s">
        <v>25</v>
      </c>
      <c r="G269" s="1425"/>
      <c r="H269" s="1425" t="s">
        <v>39</v>
      </c>
      <c r="I269" s="49" t="s">
        <v>722</v>
      </c>
      <c r="J269" s="47" t="s">
        <v>711</v>
      </c>
      <c r="K269" s="1553">
        <v>1</v>
      </c>
      <c r="L269" s="50">
        <v>100000000</v>
      </c>
      <c r="M269" s="1570">
        <v>0</v>
      </c>
      <c r="N269" s="63"/>
      <c r="O269" s="1553"/>
      <c r="P269" s="63"/>
      <c r="Q269" s="1541"/>
      <c r="R269" s="63"/>
      <c r="S269" s="62"/>
      <c r="T269" s="50"/>
      <c r="U269" s="62"/>
      <c r="V269" s="50"/>
      <c r="W269" s="78"/>
      <c r="X269" s="50"/>
      <c r="Y269" s="1553">
        <f t="shared" si="78"/>
        <v>0</v>
      </c>
      <c r="Z269" s="51">
        <f t="shared" si="79"/>
        <v>0</v>
      </c>
      <c r="AA269" s="1553">
        <f t="shared" si="80"/>
        <v>0</v>
      </c>
      <c r="AB269" s="51">
        <f t="shared" si="81"/>
        <v>0</v>
      </c>
      <c r="AC269" s="1522">
        <f t="shared" si="82"/>
        <v>0</v>
      </c>
      <c r="AD269" s="1522">
        <f t="shared" si="83"/>
        <v>0</v>
      </c>
      <c r="AE269" s="79"/>
      <c r="AF269" s="201"/>
      <c r="AG269" s="750"/>
      <c r="AH269" s="750"/>
      <c r="AI269" s="750"/>
      <c r="AJ269" s="750"/>
      <c r="AK269" s="750"/>
      <c r="AL269" s="750"/>
      <c r="AM269" s="750"/>
      <c r="AN269" s="750"/>
      <c r="AO269" s="750"/>
      <c r="AP269" s="750"/>
      <c r="AQ269" s="750"/>
      <c r="AR269" s="750"/>
      <c r="AS269" s="750"/>
      <c r="AT269" s="750"/>
      <c r="AU269" s="750"/>
      <c r="AV269" s="750"/>
      <c r="AW269" s="750"/>
      <c r="AX269" s="750"/>
      <c r="AY269" s="750"/>
      <c r="AZ269" s="750"/>
      <c r="BA269" s="750"/>
      <c r="BB269" s="750"/>
      <c r="BC269" s="1547"/>
      <c r="BD269" s="1548"/>
      <c r="BE269" s="1548"/>
      <c r="BF269" s="1548"/>
      <c r="BG269" s="1548"/>
      <c r="BH269" s="1548"/>
      <c r="BI269" s="1548"/>
      <c r="BJ269" s="1548"/>
      <c r="BK269" s="1548"/>
      <c r="BL269" s="1548"/>
      <c r="BM269" s="1548"/>
      <c r="BN269" s="1548"/>
      <c r="BO269" s="1548"/>
      <c r="BP269" s="1548"/>
      <c r="BQ269" s="1548"/>
      <c r="BR269" s="1548"/>
    </row>
    <row r="270" spans="1:70" s="938" customFormat="1" ht="82.5">
      <c r="A270" s="79"/>
      <c r="B270" s="47"/>
      <c r="C270" s="79">
        <v>1</v>
      </c>
      <c r="D270" s="1425" t="s">
        <v>25</v>
      </c>
      <c r="E270" s="1425">
        <v>1</v>
      </c>
      <c r="F270" s="1425" t="s">
        <v>25</v>
      </c>
      <c r="G270" s="1425"/>
      <c r="H270" s="1425" t="s">
        <v>39</v>
      </c>
      <c r="I270" s="49" t="s">
        <v>723</v>
      </c>
      <c r="J270" s="47" t="s">
        <v>711</v>
      </c>
      <c r="K270" s="1553">
        <v>1</v>
      </c>
      <c r="L270" s="50">
        <v>150000000</v>
      </c>
      <c r="M270" s="1570">
        <v>0</v>
      </c>
      <c r="N270" s="63"/>
      <c r="O270" s="1553"/>
      <c r="P270" s="63"/>
      <c r="Q270" s="1541"/>
      <c r="R270" s="63"/>
      <c r="S270" s="62"/>
      <c r="T270" s="50"/>
      <c r="U270" s="62"/>
      <c r="V270" s="50"/>
      <c r="W270" s="78"/>
      <c r="X270" s="50"/>
      <c r="Y270" s="1553">
        <f t="shared" si="78"/>
        <v>0</v>
      </c>
      <c r="Z270" s="51">
        <f t="shared" si="79"/>
        <v>0</v>
      </c>
      <c r="AA270" s="1553">
        <f t="shared" si="80"/>
        <v>0</v>
      </c>
      <c r="AB270" s="51">
        <f t="shared" si="81"/>
        <v>0</v>
      </c>
      <c r="AC270" s="1522">
        <f t="shared" si="82"/>
        <v>0</v>
      </c>
      <c r="AD270" s="1522">
        <f t="shared" si="83"/>
        <v>0</v>
      </c>
      <c r="AE270" s="79"/>
      <c r="AF270" s="201"/>
      <c r="AG270" s="750"/>
      <c r="AH270" s="750"/>
      <c r="AI270" s="750"/>
      <c r="AJ270" s="750"/>
      <c r="AK270" s="750"/>
      <c r="AL270" s="750"/>
      <c r="AM270" s="750"/>
      <c r="AN270" s="750"/>
      <c r="AO270" s="750"/>
      <c r="AP270" s="750"/>
      <c r="AQ270" s="750"/>
      <c r="AR270" s="750"/>
      <c r="AS270" s="750"/>
      <c r="AT270" s="750"/>
      <c r="AU270" s="750"/>
      <c r="AV270" s="750"/>
      <c r="AW270" s="750"/>
      <c r="AX270" s="750"/>
      <c r="AY270" s="750"/>
      <c r="AZ270" s="750"/>
      <c r="BA270" s="750"/>
      <c r="BB270" s="750"/>
      <c r="BC270" s="1547"/>
      <c r="BD270" s="1548"/>
      <c r="BE270" s="1548"/>
      <c r="BF270" s="1548"/>
      <c r="BG270" s="1548"/>
      <c r="BH270" s="1548"/>
      <c r="BI270" s="1548"/>
      <c r="BJ270" s="1548"/>
      <c r="BK270" s="1548"/>
      <c r="BL270" s="1548"/>
      <c r="BM270" s="1548"/>
      <c r="BN270" s="1548"/>
      <c r="BO270" s="1548"/>
      <c r="BP270" s="1548"/>
      <c r="BQ270" s="1548"/>
      <c r="BR270" s="1548"/>
    </row>
    <row r="271" spans="1:70" s="938" customFormat="1" ht="99">
      <c r="A271" s="79"/>
      <c r="B271" s="47"/>
      <c r="C271" s="79">
        <v>1</v>
      </c>
      <c r="D271" s="1425" t="s">
        <v>25</v>
      </c>
      <c r="E271" s="1425">
        <v>1</v>
      </c>
      <c r="F271" s="1425" t="s">
        <v>25</v>
      </c>
      <c r="G271" s="1425"/>
      <c r="H271" s="1425" t="s">
        <v>39</v>
      </c>
      <c r="I271" s="49" t="s">
        <v>724</v>
      </c>
      <c r="J271" s="47" t="s">
        <v>711</v>
      </c>
      <c r="K271" s="1553">
        <v>1</v>
      </c>
      <c r="L271" s="50">
        <v>150000000</v>
      </c>
      <c r="M271" s="1570">
        <v>0</v>
      </c>
      <c r="N271" s="63"/>
      <c r="O271" s="1553"/>
      <c r="P271" s="63"/>
      <c r="Q271" s="1541"/>
      <c r="R271" s="63"/>
      <c r="S271" s="62"/>
      <c r="T271" s="50"/>
      <c r="U271" s="62"/>
      <c r="V271" s="50"/>
      <c r="W271" s="78"/>
      <c r="X271" s="50"/>
      <c r="Y271" s="1553">
        <f t="shared" si="78"/>
        <v>0</v>
      </c>
      <c r="Z271" s="51">
        <f t="shared" si="79"/>
        <v>0</v>
      </c>
      <c r="AA271" s="1553">
        <f t="shared" si="80"/>
        <v>0</v>
      </c>
      <c r="AB271" s="51">
        <f t="shared" si="81"/>
        <v>0</v>
      </c>
      <c r="AC271" s="1522">
        <f t="shared" si="82"/>
        <v>0</v>
      </c>
      <c r="AD271" s="1522">
        <f t="shared" si="83"/>
        <v>0</v>
      </c>
      <c r="AE271" s="79"/>
      <c r="AF271" s="201"/>
      <c r="AG271" s="750"/>
      <c r="AH271" s="750"/>
      <c r="AI271" s="750"/>
      <c r="AJ271" s="750"/>
      <c r="AK271" s="750"/>
      <c r="AL271" s="750"/>
      <c r="AM271" s="750"/>
      <c r="AN271" s="750"/>
      <c r="AO271" s="750"/>
      <c r="AP271" s="750"/>
      <c r="AQ271" s="750"/>
      <c r="AR271" s="750"/>
      <c r="AS271" s="750"/>
      <c r="AT271" s="750"/>
      <c r="AU271" s="750"/>
      <c r="AV271" s="750"/>
      <c r="AW271" s="750"/>
      <c r="AX271" s="750"/>
      <c r="AY271" s="750"/>
      <c r="AZ271" s="750"/>
      <c r="BA271" s="750"/>
      <c r="BB271" s="750"/>
      <c r="BC271" s="1547"/>
      <c r="BD271" s="1548"/>
      <c r="BE271" s="1548"/>
      <c r="BF271" s="1548"/>
      <c r="BG271" s="1548"/>
      <c r="BH271" s="1548"/>
      <c r="BI271" s="1548"/>
      <c r="BJ271" s="1548"/>
      <c r="BK271" s="1548"/>
      <c r="BL271" s="1548"/>
      <c r="BM271" s="1548"/>
      <c r="BN271" s="1548"/>
      <c r="BO271" s="1548"/>
      <c r="BP271" s="1548"/>
      <c r="BQ271" s="1548"/>
      <c r="BR271" s="1548"/>
    </row>
    <row r="272" spans="1:70" s="938" customFormat="1" ht="105.75" customHeight="1">
      <c r="A272" s="79"/>
      <c r="B272" s="47"/>
      <c r="C272" s="79">
        <v>1</v>
      </c>
      <c r="D272" s="1425" t="s">
        <v>25</v>
      </c>
      <c r="E272" s="1425">
        <v>1</v>
      </c>
      <c r="F272" s="1425" t="s">
        <v>25</v>
      </c>
      <c r="G272" s="1425"/>
      <c r="H272" s="1425" t="s">
        <v>39</v>
      </c>
      <c r="I272" s="49" t="s">
        <v>725</v>
      </c>
      <c r="J272" s="47" t="s">
        <v>711</v>
      </c>
      <c r="K272" s="1553">
        <v>1</v>
      </c>
      <c r="L272" s="50">
        <v>150000000</v>
      </c>
      <c r="M272" s="1570">
        <v>0</v>
      </c>
      <c r="N272" s="63"/>
      <c r="O272" s="1553"/>
      <c r="P272" s="63"/>
      <c r="Q272" s="1541"/>
      <c r="R272" s="63"/>
      <c r="S272" s="62"/>
      <c r="T272" s="50"/>
      <c r="U272" s="62"/>
      <c r="V272" s="50"/>
      <c r="W272" s="78"/>
      <c r="X272" s="50"/>
      <c r="Y272" s="1553">
        <f t="shared" ref="Y272:Y303" si="84">Q272+S272+U272+W272</f>
        <v>0</v>
      </c>
      <c r="Z272" s="51">
        <f t="shared" ref="Z272:Z303" si="85">R272+T272+V272+X272</f>
        <v>0</v>
      </c>
      <c r="AA272" s="1553">
        <f t="shared" ref="AA272:AA303" si="86">M272+Y272</f>
        <v>0</v>
      </c>
      <c r="AB272" s="51">
        <f t="shared" ref="AB272:AB303" si="87">N272+Z272</f>
        <v>0</v>
      </c>
      <c r="AC272" s="1522">
        <f t="shared" ref="AC272:AC307" si="88">AA272/K272*100</f>
        <v>0</v>
      </c>
      <c r="AD272" s="1522">
        <f t="shared" ref="AD272:AD307" si="89">AB272/L272*100</f>
        <v>0</v>
      </c>
      <c r="AE272" s="79"/>
      <c r="AF272" s="201"/>
      <c r="AG272" s="750"/>
      <c r="AH272" s="750"/>
      <c r="AI272" s="750"/>
      <c r="AJ272" s="750"/>
      <c r="AK272" s="750"/>
      <c r="AL272" s="750"/>
      <c r="AM272" s="750"/>
      <c r="AN272" s="750"/>
      <c r="AO272" s="750"/>
      <c r="AP272" s="750"/>
      <c r="AQ272" s="750"/>
      <c r="AR272" s="750"/>
      <c r="AS272" s="750"/>
      <c r="AT272" s="750"/>
      <c r="AU272" s="750"/>
      <c r="AV272" s="750"/>
      <c r="AW272" s="750"/>
      <c r="AX272" s="750"/>
      <c r="AY272" s="750"/>
      <c r="AZ272" s="750"/>
      <c r="BA272" s="750"/>
      <c r="BB272" s="750"/>
      <c r="BC272" s="1547"/>
      <c r="BD272" s="1548"/>
      <c r="BE272" s="1548"/>
      <c r="BF272" s="1548"/>
      <c r="BG272" s="1548"/>
      <c r="BH272" s="1548"/>
      <c r="BI272" s="1548"/>
      <c r="BJ272" s="1548"/>
      <c r="BK272" s="1548"/>
      <c r="BL272" s="1548"/>
      <c r="BM272" s="1548"/>
      <c r="BN272" s="1548"/>
      <c r="BO272" s="1548"/>
      <c r="BP272" s="1548"/>
      <c r="BQ272" s="1548"/>
      <c r="BR272" s="1548"/>
    </row>
    <row r="273" spans="1:70" s="938" customFormat="1" ht="102.75" customHeight="1">
      <c r="A273" s="79"/>
      <c r="B273" s="47"/>
      <c r="C273" s="79">
        <v>1</v>
      </c>
      <c r="D273" s="1425" t="s">
        <v>25</v>
      </c>
      <c r="E273" s="1425">
        <v>1</v>
      </c>
      <c r="F273" s="1425" t="s">
        <v>25</v>
      </c>
      <c r="G273" s="1425"/>
      <c r="H273" s="1425" t="s">
        <v>39</v>
      </c>
      <c r="I273" s="49" t="s">
        <v>726</v>
      </c>
      <c r="J273" s="47" t="s">
        <v>711</v>
      </c>
      <c r="K273" s="1553">
        <v>1</v>
      </c>
      <c r="L273" s="50">
        <v>150000000</v>
      </c>
      <c r="M273" s="1570">
        <v>0</v>
      </c>
      <c r="N273" s="63"/>
      <c r="O273" s="1553"/>
      <c r="P273" s="63"/>
      <c r="Q273" s="1541"/>
      <c r="R273" s="63"/>
      <c r="S273" s="62"/>
      <c r="T273" s="50"/>
      <c r="U273" s="62"/>
      <c r="V273" s="50"/>
      <c r="W273" s="78"/>
      <c r="X273" s="50"/>
      <c r="Y273" s="1553">
        <f t="shared" si="84"/>
        <v>0</v>
      </c>
      <c r="Z273" s="51">
        <f t="shared" si="85"/>
        <v>0</v>
      </c>
      <c r="AA273" s="1553">
        <f t="shared" si="86"/>
        <v>0</v>
      </c>
      <c r="AB273" s="51">
        <f t="shared" si="87"/>
        <v>0</v>
      </c>
      <c r="AC273" s="1522">
        <f t="shared" si="88"/>
        <v>0</v>
      </c>
      <c r="AD273" s="1522">
        <f t="shared" si="89"/>
        <v>0</v>
      </c>
      <c r="AE273" s="79"/>
      <c r="AF273" s="201"/>
      <c r="AG273" s="750"/>
      <c r="AH273" s="750"/>
      <c r="AI273" s="750"/>
      <c r="AJ273" s="750"/>
      <c r="AK273" s="750"/>
      <c r="AL273" s="750"/>
      <c r="AM273" s="750"/>
      <c r="AN273" s="750"/>
      <c r="AO273" s="750"/>
      <c r="AP273" s="750"/>
      <c r="AQ273" s="750"/>
      <c r="AR273" s="750"/>
      <c r="AS273" s="750"/>
      <c r="AT273" s="750"/>
      <c r="AU273" s="750"/>
      <c r="AV273" s="750"/>
      <c r="AW273" s="750"/>
      <c r="AX273" s="750"/>
      <c r="AY273" s="750"/>
      <c r="AZ273" s="750"/>
      <c r="BA273" s="750"/>
      <c r="BB273" s="750"/>
      <c r="BC273" s="1547"/>
      <c r="BD273" s="1548"/>
      <c r="BE273" s="1548"/>
      <c r="BF273" s="1548"/>
      <c r="BG273" s="1548"/>
      <c r="BH273" s="1548"/>
      <c r="BI273" s="1548"/>
      <c r="BJ273" s="1548"/>
      <c r="BK273" s="1548"/>
      <c r="BL273" s="1548"/>
      <c r="BM273" s="1548"/>
      <c r="BN273" s="1548"/>
      <c r="BO273" s="1548"/>
      <c r="BP273" s="1548"/>
      <c r="BQ273" s="1548"/>
      <c r="BR273" s="1548"/>
    </row>
    <row r="274" spans="1:70" s="938" customFormat="1" ht="99.75" customHeight="1">
      <c r="A274" s="79"/>
      <c r="B274" s="47"/>
      <c r="C274" s="79">
        <v>1</v>
      </c>
      <c r="D274" s="1425" t="s">
        <v>25</v>
      </c>
      <c r="E274" s="1425">
        <v>1</v>
      </c>
      <c r="F274" s="1425" t="s">
        <v>25</v>
      </c>
      <c r="G274" s="1425"/>
      <c r="H274" s="1425" t="s">
        <v>39</v>
      </c>
      <c r="I274" s="49" t="s">
        <v>727</v>
      </c>
      <c r="J274" s="47" t="s">
        <v>711</v>
      </c>
      <c r="K274" s="1553">
        <v>1</v>
      </c>
      <c r="L274" s="50">
        <v>100000000</v>
      </c>
      <c r="M274" s="1570">
        <v>0</v>
      </c>
      <c r="N274" s="63"/>
      <c r="O274" s="1553"/>
      <c r="P274" s="63"/>
      <c r="Q274" s="1541"/>
      <c r="R274" s="63"/>
      <c r="S274" s="62"/>
      <c r="T274" s="50"/>
      <c r="U274" s="62"/>
      <c r="V274" s="50"/>
      <c r="W274" s="78"/>
      <c r="X274" s="50"/>
      <c r="Y274" s="1553">
        <f t="shared" si="84"/>
        <v>0</v>
      </c>
      <c r="Z274" s="51">
        <f t="shared" si="85"/>
        <v>0</v>
      </c>
      <c r="AA274" s="1553">
        <f t="shared" si="86"/>
        <v>0</v>
      </c>
      <c r="AB274" s="51">
        <f t="shared" si="87"/>
        <v>0</v>
      </c>
      <c r="AC274" s="1522">
        <f t="shared" si="88"/>
        <v>0</v>
      </c>
      <c r="AD274" s="1522">
        <f t="shared" si="89"/>
        <v>0</v>
      </c>
      <c r="AE274" s="79"/>
      <c r="AF274" s="201"/>
      <c r="AG274" s="750"/>
      <c r="AH274" s="750"/>
      <c r="AI274" s="750"/>
      <c r="AJ274" s="750"/>
      <c r="AK274" s="750"/>
      <c r="AL274" s="750"/>
      <c r="AM274" s="750"/>
      <c r="AN274" s="750"/>
      <c r="AO274" s="750"/>
      <c r="AP274" s="750"/>
      <c r="AQ274" s="750"/>
      <c r="AR274" s="750"/>
      <c r="AS274" s="750"/>
      <c r="AT274" s="750"/>
      <c r="AU274" s="750"/>
      <c r="AV274" s="750"/>
      <c r="AW274" s="750"/>
      <c r="AX274" s="750"/>
      <c r="AY274" s="750"/>
      <c r="AZ274" s="750"/>
      <c r="BA274" s="750"/>
      <c r="BB274" s="750"/>
      <c r="BC274" s="1547"/>
      <c r="BD274" s="1548"/>
      <c r="BE274" s="1548"/>
      <c r="BF274" s="1548"/>
      <c r="BG274" s="1548"/>
      <c r="BH274" s="1548"/>
      <c r="BI274" s="1548"/>
      <c r="BJ274" s="1548"/>
      <c r="BK274" s="1548"/>
      <c r="BL274" s="1548"/>
      <c r="BM274" s="1548"/>
      <c r="BN274" s="1548"/>
      <c r="BO274" s="1548"/>
      <c r="BP274" s="1548"/>
      <c r="BQ274" s="1548"/>
      <c r="BR274" s="1548"/>
    </row>
    <row r="275" spans="1:70" s="938" customFormat="1" ht="99">
      <c r="A275" s="79"/>
      <c r="B275" s="47"/>
      <c r="C275" s="79">
        <v>1</v>
      </c>
      <c r="D275" s="1425" t="s">
        <v>25</v>
      </c>
      <c r="E275" s="1425">
        <v>1</v>
      </c>
      <c r="F275" s="1425" t="s">
        <v>25</v>
      </c>
      <c r="G275" s="1425"/>
      <c r="H275" s="1425" t="s">
        <v>39</v>
      </c>
      <c r="I275" s="49" t="s">
        <v>728</v>
      </c>
      <c r="J275" s="47"/>
      <c r="K275" s="1553">
        <v>1</v>
      </c>
      <c r="L275" s="50">
        <v>104117900</v>
      </c>
      <c r="M275" s="1570">
        <v>0</v>
      </c>
      <c r="N275" s="63"/>
      <c r="O275" s="1553"/>
      <c r="P275" s="63"/>
      <c r="Q275" s="1541"/>
      <c r="R275" s="63"/>
      <c r="S275" s="62"/>
      <c r="T275" s="50"/>
      <c r="U275" s="62"/>
      <c r="V275" s="50"/>
      <c r="W275" s="62"/>
      <c r="X275" s="50"/>
      <c r="Y275" s="1553">
        <f t="shared" si="84"/>
        <v>0</v>
      </c>
      <c r="Z275" s="51">
        <f t="shared" si="85"/>
        <v>0</v>
      </c>
      <c r="AA275" s="1553">
        <f t="shared" si="86"/>
        <v>0</v>
      </c>
      <c r="AB275" s="51">
        <f t="shared" si="87"/>
        <v>0</v>
      </c>
      <c r="AC275" s="1522">
        <f t="shared" si="88"/>
        <v>0</v>
      </c>
      <c r="AD275" s="1522">
        <f t="shared" si="89"/>
        <v>0</v>
      </c>
      <c r="AE275" s="79"/>
      <c r="AF275" s="201"/>
      <c r="AG275" s="750"/>
      <c r="AH275" s="750"/>
      <c r="AI275" s="750"/>
      <c r="AJ275" s="750"/>
      <c r="AK275" s="750"/>
      <c r="AL275" s="750"/>
      <c r="AM275" s="750"/>
      <c r="AN275" s="750"/>
      <c r="AO275" s="750"/>
      <c r="AP275" s="750"/>
      <c r="AQ275" s="750"/>
      <c r="AR275" s="750"/>
      <c r="AS275" s="750"/>
      <c r="AT275" s="750"/>
      <c r="AU275" s="750"/>
      <c r="AV275" s="750"/>
      <c r="AW275" s="750"/>
      <c r="AX275" s="750"/>
      <c r="AY275" s="750"/>
      <c r="AZ275" s="750"/>
      <c r="BA275" s="750"/>
      <c r="BB275" s="750"/>
      <c r="BC275" s="1547"/>
      <c r="BD275" s="1548"/>
      <c r="BE275" s="1548"/>
      <c r="BF275" s="1548"/>
      <c r="BG275" s="1548"/>
      <c r="BH275" s="1548"/>
      <c r="BI275" s="1548"/>
      <c r="BJ275" s="1548"/>
      <c r="BK275" s="1548"/>
      <c r="BL275" s="1548"/>
      <c r="BM275" s="1548"/>
      <c r="BN275" s="1548"/>
      <c r="BO275" s="1548"/>
      <c r="BP275" s="1548"/>
      <c r="BQ275" s="1548"/>
      <c r="BR275" s="1548"/>
    </row>
    <row r="276" spans="1:70" s="1588" customFormat="1" ht="50.25" customHeight="1">
      <c r="A276" s="194">
        <v>3</v>
      </c>
      <c r="B276" s="186"/>
      <c r="C276" s="194">
        <v>1</v>
      </c>
      <c r="D276" s="1424" t="s">
        <v>25</v>
      </c>
      <c r="E276" s="1424">
        <v>1</v>
      </c>
      <c r="F276" s="1424" t="s">
        <v>25</v>
      </c>
      <c r="G276" s="1424"/>
      <c r="H276" s="1424" t="s">
        <v>39</v>
      </c>
      <c r="I276" s="186" t="s">
        <v>729</v>
      </c>
      <c r="J276" s="187" t="s">
        <v>730</v>
      </c>
      <c r="K276" s="1556">
        <v>100</v>
      </c>
      <c r="L276" s="940">
        <f>L277</f>
        <v>230800000</v>
      </c>
      <c r="M276" s="1556">
        <v>90</v>
      </c>
      <c r="N276" s="940">
        <f>N277</f>
        <v>74115800</v>
      </c>
      <c r="O276" s="1556">
        <v>5</v>
      </c>
      <c r="P276" s="940">
        <f>P277</f>
        <v>35600000</v>
      </c>
      <c r="Q276" s="1556">
        <v>5</v>
      </c>
      <c r="R276" s="940">
        <f>R277</f>
        <v>35422000</v>
      </c>
      <c r="S276" s="188"/>
      <c r="T276" s="192">
        <v>35422000</v>
      </c>
      <c r="U276" s="188"/>
      <c r="V276" s="192"/>
      <c r="W276" s="191"/>
      <c r="X276" s="189"/>
      <c r="Y276" s="1556">
        <f t="shared" si="84"/>
        <v>5</v>
      </c>
      <c r="Z276" s="190">
        <f t="shared" si="85"/>
        <v>70844000</v>
      </c>
      <c r="AA276" s="1556">
        <f t="shared" si="86"/>
        <v>95</v>
      </c>
      <c r="AB276" s="190">
        <f t="shared" si="87"/>
        <v>144959800</v>
      </c>
      <c r="AC276" s="1523">
        <f t="shared" si="88"/>
        <v>95</v>
      </c>
      <c r="AD276" s="1523">
        <f t="shared" si="89"/>
        <v>62.807538994800694</v>
      </c>
      <c r="AE276" s="194" t="s">
        <v>111</v>
      </c>
      <c r="AF276" s="201"/>
      <c r="AG276" s="201"/>
      <c r="AH276" s="201"/>
      <c r="AI276" s="201"/>
      <c r="AJ276" s="201"/>
      <c r="AK276" s="201"/>
      <c r="AL276" s="201"/>
      <c r="AM276" s="201"/>
      <c r="AN276" s="201"/>
      <c r="AO276" s="201"/>
      <c r="AP276" s="201"/>
      <c r="AQ276" s="201"/>
      <c r="AR276" s="201"/>
      <c r="AS276" s="201"/>
      <c r="AT276" s="201"/>
      <c r="AU276" s="201"/>
      <c r="AV276" s="201"/>
      <c r="AW276" s="201"/>
      <c r="AX276" s="201"/>
      <c r="AY276" s="201"/>
      <c r="AZ276" s="201"/>
      <c r="BA276" s="201"/>
      <c r="BB276" s="201"/>
      <c r="BC276" s="1468"/>
      <c r="BD276" s="1469"/>
      <c r="BE276" s="1469"/>
      <c r="BF276" s="1469"/>
      <c r="BG276" s="1469"/>
      <c r="BH276" s="1469"/>
      <c r="BI276" s="1469"/>
      <c r="BJ276" s="1469"/>
      <c r="BK276" s="1469"/>
      <c r="BL276" s="1469"/>
      <c r="BM276" s="1469"/>
      <c r="BN276" s="1469"/>
      <c r="BO276" s="1469"/>
      <c r="BP276" s="1469"/>
      <c r="BQ276" s="1469"/>
      <c r="BR276" s="1469"/>
    </row>
    <row r="277" spans="1:70" s="938" customFormat="1" ht="49.5">
      <c r="A277" s="1422"/>
      <c r="B277" s="48"/>
      <c r="C277" s="1422">
        <v>1</v>
      </c>
      <c r="D277" s="1423" t="s">
        <v>25</v>
      </c>
      <c r="E277" s="1423">
        <v>1</v>
      </c>
      <c r="F277" s="1423" t="s">
        <v>25</v>
      </c>
      <c r="G277" s="1423"/>
      <c r="H277" s="1423" t="s">
        <v>39</v>
      </c>
      <c r="I277" s="936" t="s">
        <v>731</v>
      </c>
      <c r="J277" s="48" t="s">
        <v>732</v>
      </c>
      <c r="K277" s="1554">
        <v>6</v>
      </c>
      <c r="L277" s="1534">
        <v>230800000</v>
      </c>
      <c r="M277" s="1554">
        <v>3</v>
      </c>
      <c r="N277" s="64">
        <v>74115800</v>
      </c>
      <c r="O277" s="1554">
        <v>1</v>
      </c>
      <c r="P277" s="1535">
        <v>35600000</v>
      </c>
      <c r="Q277" s="1554">
        <v>1</v>
      </c>
      <c r="R277" s="64">
        <v>35422000</v>
      </c>
      <c r="S277" s="71"/>
      <c r="T277" s="55">
        <v>35422000</v>
      </c>
      <c r="U277" s="71"/>
      <c r="V277" s="55"/>
      <c r="W277" s="71"/>
      <c r="X277" s="54"/>
      <c r="Y277" s="1579">
        <f t="shared" si="84"/>
        <v>1</v>
      </c>
      <c r="Z277" s="55">
        <f t="shared" si="85"/>
        <v>70844000</v>
      </c>
      <c r="AA277" s="1579">
        <f t="shared" si="86"/>
        <v>4</v>
      </c>
      <c r="AB277" s="55">
        <f t="shared" si="87"/>
        <v>144959800</v>
      </c>
      <c r="AC277" s="1524">
        <f t="shared" si="88"/>
        <v>66.666666666666657</v>
      </c>
      <c r="AD277" s="1524">
        <f t="shared" si="89"/>
        <v>62.807538994800694</v>
      </c>
      <c r="AE277" s="1422"/>
      <c r="AF277" s="201"/>
      <c r="AG277" s="750"/>
      <c r="AH277" s="750"/>
      <c r="AI277" s="750"/>
      <c r="AJ277" s="750"/>
      <c r="AK277" s="750"/>
      <c r="AL277" s="750"/>
      <c r="AM277" s="750"/>
      <c r="AN277" s="750"/>
      <c r="AO277" s="750"/>
      <c r="AP277" s="750"/>
      <c r="AQ277" s="750"/>
      <c r="AR277" s="750"/>
      <c r="AS277" s="750"/>
      <c r="AT277" s="750"/>
      <c r="AU277" s="750"/>
      <c r="AV277" s="750"/>
      <c r="AW277" s="750"/>
      <c r="AX277" s="750"/>
      <c r="AY277" s="750"/>
      <c r="AZ277" s="750"/>
      <c r="BA277" s="750"/>
      <c r="BB277" s="750"/>
      <c r="BC277" s="1547"/>
      <c r="BD277" s="1548"/>
      <c r="BE277" s="1548"/>
      <c r="BF277" s="1548"/>
      <c r="BG277" s="1548"/>
      <c r="BH277" s="1548"/>
      <c r="BI277" s="1548"/>
      <c r="BJ277" s="1548"/>
      <c r="BK277" s="1548"/>
      <c r="BL277" s="1548"/>
      <c r="BM277" s="1548"/>
      <c r="BN277" s="1548"/>
      <c r="BO277" s="1548"/>
      <c r="BP277" s="1548"/>
      <c r="BQ277" s="1548"/>
      <c r="BR277" s="1548"/>
    </row>
    <row r="278" spans="1:70" s="938" customFormat="1" ht="105.75" customHeight="1">
      <c r="A278" s="1424">
        <v>4</v>
      </c>
      <c r="B278" s="186"/>
      <c r="C278" s="194">
        <v>1</v>
      </c>
      <c r="D278" s="1424" t="s">
        <v>25</v>
      </c>
      <c r="E278" s="1424" t="s">
        <v>28</v>
      </c>
      <c r="F278" s="1424" t="s">
        <v>25</v>
      </c>
      <c r="G278" s="1424"/>
      <c r="H278" s="1424" t="s">
        <v>25</v>
      </c>
      <c r="I278" s="186" t="s">
        <v>733</v>
      </c>
      <c r="J278" s="186" t="s">
        <v>734</v>
      </c>
      <c r="K278" s="1556">
        <v>100</v>
      </c>
      <c r="L278" s="940">
        <f>SUM(L279:L284)</f>
        <v>64139403355</v>
      </c>
      <c r="M278" s="1589">
        <v>0</v>
      </c>
      <c r="N278" s="940">
        <f>SUM(N279:N284)</f>
        <v>0</v>
      </c>
      <c r="O278" s="1556">
        <v>100</v>
      </c>
      <c r="P278" s="940">
        <f>SUM(P279:P284)</f>
        <v>63037385000</v>
      </c>
      <c r="Q278" s="1589">
        <v>0</v>
      </c>
      <c r="R278" s="940">
        <f>SUM(R279:R284)</f>
        <v>0</v>
      </c>
      <c r="S278" s="191"/>
      <c r="T278" s="1536"/>
      <c r="U278" s="191"/>
      <c r="V278" s="192"/>
      <c r="W278" s="191"/>
      <c r="X278" s="192"/>
      <c r="Y278" s="1556">
        <f t="shared" si="84"/>
        <v>0</v>
      </c>
      <c r="Z278" s="190">
        <f t="shared" si="85"/>
        <v>0</v>
      </c>
      <c r="AA278" s="1556">
        <f t="shared" si="86"/>
        <v>0</v>
      </c>
      <c r="AB278" s="190">
        <f t="shared" si="87"/>
        <v>0</v>
      </c>
      <c r="AC278" s="1523">
        <f t="shared" si="88"/>
        <v>0</v>
      </c>
      <c r="AD278" s="1523">
        <f t="shared" si="89"/>
        <v>0</v>
      </c>
      <c r="AE278" s="194" t="s">
        <v>111</v>
      </c>
      <c r="AF278" s="201"/>
      <c r="AG278" s="750"/>
      <c r="AH278" s="750"/>
      <c r="AI278" s="750"/>
      <c r="AJ278" s="750"/>
      <c r="AK278" s="750"/>
      <c r="AL278" s="750"/>
      <c r="AM278" s="750"/>
      <c r="AN278" s="750"/>
      <c r="AO278" s="750"/>
      <c r="AP278" s="750"/>
      <c r="AQ278" s="750"/>
      <c r="AR278" s="750"/>
      <c r="AS278" s="750"/>
      <c r="AT278" s="750"/>
      <c r="AU278" s="750"/>
      <c r="AV278" s="750"/>
      <c r="AW278" s="750"/>
      <c r="AX278" s="750"/>
      <c r="AY278" s="750"/>
      <c r="AZ278" s="750"/>
      <c r="BA278" s="750"/>
      <c r="BB278" s="750"/>
      <c r="BC278" s="1547"/>
      <c r="BD278" s="1548"/>
      <c r="BE278" s="1548"/>
      <c r="BF278" s="1548"/>
      <c r="BG278" s="1548"/>
      <c r="BH278" s="1548"/>
      <c r="BI278" s="1548"/>
      <c r="BJ278" s="1548"/>
      <c r="BK278" s="1548"/>
      <c r="BL278" s="1548"/>
      <c r="BM278" s="1548"/>
      <c r="BN278" s="1548"/>
      <c r="BO278" s="1548"/>
      <c r="BP278" s="1548"/>
      <c r="BQ278" s="1548"/>
      <c r="BR278" s="1548"/>
    </row>
    <row r="279" spans="1:70" s="938" customFormat="1" ht="33">
      <c r="A279" s="79"/>
      <c r="B279" s="47"/>
      <c r="C279" s="1425">
        <v>1</v>
      </c>
      <c r="D279" s="1425" t="s">
        <v>25</v>
      </c>
      <c r="E279" s="1425" t="s">
        <v>28</v>
      </c>
      <c r="F279" s="1425" t="s">
        <v>25</v>
      </c>
      <c r="G279" s="1425"/>
      <c r="H279" s="1425"/>
      <c r="I279" s="1537" t="s">
        <v>735</v>
      </c>
      <c r="J279" s="47" t="s">
        <v>736</v>
      </c>
      <c r="K279" s="1553">
        <v>1</v>
      </c>
      <c r="L279" s="50">
        <v>226293805</v>
      </c>
      <c r="M279" s="1571">
        <v>0</v>
      </c>
      <c r="N279" s="84">
        <v>0</v>
      </c>
      <c r="O279" s="1553"/>
      <c r="P279" s="63"/>
      <c r="Q279" s="1584"/>
      <c r="R279" s="63"/>
      <c r="S279" s="65"/>
      <c r="T279" s="50"/>
      <c r="U279" s="65"/>
      <c r="V279" s="50"/>
      <c r="W279" s="65"/>
      <c r="X279" s="50"/>
      <c r="Y279" s="1575">
        <f t="shared" si="84"/>
        <v>0</v>
      </c>
      <c r="Z279" s="51">
        <f t="shared" si="85"/>
        <v>0</v>
      </c>
      <c r="AA279" s="1575">
        <f t="shared" si="86"/>
        <v>0</v>
      </c>
      <c r="AB279" s="51">
        <f t="shared" si="87"/>
        <v>0</v>
      </c>
      <c r="AC279" s="1522">
        <f t="shared" si="88"/>
        <v>0</v>
      </c>
      <c r="AD279" s="1522">
        <f t="shared" si="89"/>
        <v>0</v>
      </c>
      <c r="AE279" s="79" t="s">
        <v>737</v>
      </c>
      <c r="AF279" s="201"/>
      <c r="AG279" s="750"/>
      <c r="AH279" s="750"/>
      <c r="AI279" s="750"/>
      <c r="AJ279" s="750"/>
      <c r="AK279" s="750"/>
      <c r="AL279" s="750"/>
      <c r="AM279" s="750"/>
      <c r="AN279" s="750"/>
      <c r="AO279" s="750"/>
      <c r="AP279" s="750"/>
      <c r="AQ279" s="750"/>
      <c r="AR279" s="750"/>
      <c r="AS279" s="750"/>
      <c r="AT279" s="750"/>
      <c r="AU279" s="750"/>
      <c r="AV279" s="750"/>
      <c r="AW279" s="750"/>
      <c r="AX279" s="750"/>
      <c r="AY279" s="750"/>
      <c r="AZ279" s="750"/>
      <c r="BA279" s="750"/>
      <c r="BB279" s="750"/>
      <c r="BC279" s="1547"/>
      <c r="BD279" s="1548"/>
      <c r="BE279" s="1548"/>
      <c r="BF279" s="1548"/>
      <c r="BG279" s="1548"/>
      <c r="BH279" s="1548"/>
      <c r="BI279" s="1548"/>
      <c r="BJ279" s="1548"/>
      <c r="BK279" s="1548"/>
      <c r="BL279" s="1548"/>
      <c r="BM279" s="1548"/>
      <c r="BN279" s="1548"/>
      <c r="BO279" s="1548"/>
      <c r="BP279" s="1548"/>
      <c r="BQ279" s="1548"/>
      <c r="BR279" s="1548"/>
    </row>
    <row r="280" spans="1:70" s="938" customFormat="1" ht="49.5">
      <c r="A280" s="79"/>
      <c r="B280" s="47"/>
      <c r="C280" s="1425">
        <v>1</v>
      </c>
      <c r="D280" s="1425" t="s">
        <v>25</v>
      </c>
      <c r="E280" s="1425" t="s">
        <v>28</v>
      </c>
      <c r="F280" s="1425" t="s">
        <v>25</v>
      </c>
      <c r="G280" s="1425"/>
      <c r="H280" s="1425"/>
      <c r="I280" s="1537" t="s">
        <v>738</v>
      </c>
      <c r="J280" s="47" t="s">
        <v>739</v>
      </c>
      <c r="K280" s="1553">
        <v>1</v>
      </c>
      <c r="L280" s="50">
        <v>383121500</v>
      </c>
      <c r="M280" s="1571">
        <v>0</v>
      </c>
      <c r="N280" s="84">
        <v>0</v>
      </c>
      <c r="O280" s="1553"/>
      <c r="P280" s="63"/>
      <c r="Q280" s="1584"/>
      <c r="R280" s="63"/>
      <c r="S280" s="65"/>
      <c r="T280" s="50"/>
      <c r="U280" s="65"/>
      <c r="V280" s="50"/>
      <c r="W280" s="65"/>
      <c r="X280" s="50"/>
      <c r="Y280" s="1575">
        <f t="shared" si="84"/>
        <v>0</v>
      </c>
      <c r="Z280" s="51">
        <f t="shared" si="85"/>
        <v>0</v>
      </c>
      <c r="AA280" s="1575">
        <f t="shared" si="86"/>
        <v>0</v>
      </c>
      <c r="AB280" s="51">
        <f t="shared" si="87"/>
        <v>0</v>
      </c>
      <c r="AC280" s="1522">
        <f t="shared" si="88"/>
        <v>0</v>
      </c>
      <c r="AD280" s="1522">
        <f t="shared" si="89"/>
        <v>0</v>
      </c>
      <c r="AE280" s="79" t="s">
        <v>740</v>
      </c>
      <c r="AF280" s="201"/>
      <c r="AG280" s="750"/>
      <c r="AH280" s="750"/>
      <c r="AI280" s="750"/>
      <c r="AJ280" s="750"/>
      <c r="AK280" s="750"/>
      <c r="AL280" s="750"/>
      <c r="AM280" s="750"/>
      <c r="AN280" s="750"/>
      <c r="AO280" s="750"/>
      <c r="AP280" s="750"/>
      <c r="AQ280" s="750"/>
      <c r="AR280" s="750"/>
      <c r="AS280" s="750"/>
      <c r="AT280" s="750"/>
      <c r="AU280" s="750"/>
      <c r="AV280" s="750"/>
      <c r="AW280" s="750"/>
      <c r="AX280" s="750"/>
      <c r="AY280" s="750"/>
      <c r="AZ280" s="750"/>
      <c r="BA280" s="750"/>
      <c r="BB280" s="750"/>
      <c r="BC280" s="1547"/>
      <c r="BD280" s="1548"/>
      <c r="BE280" s="1548"/>
      <c r="BF280" s="1548"/>
      <c r="BG280" s="1548"/>
      <c r="BH280" s="1548"/>
      <c r="BI280" s="1548"/>
      <c r="BJ280" s="1548"/>
      <c r="BK280" s="1548"/>
      <c r="BL280" s="1548"/>
      <c r="BM280" s="1548"/>
      <c r="BN280" s="1548"/>
      <c r="BO280" s="1548"/>
      <c r="BP280" s="1548"/>
      <c r="BQ280" s="1548"/>
      <c r="BR280" s="1548"/>
    </row>
    <row r="281" spans="1:70" s="938" customFormat="1" ht="49.5">
      <c r="A281" s="79"/>
      <c r="B281" s="47"/>
      <c r="C281" s="1425">
        <v>1</v>
      </c>
      <c r="D281" s="1425" t="s">
        <v>25</v>
      </c>
      <c r="E281" s="1425" t="s">
        <v>28</v>
      </c>
      <c r="F281" s="1425" t="s">
        <v>25</v>
      </c>
      <c r="G281" s="1425"/>
      <c r="H281" s="1425"/>
      <c r="I281" s="1537" t="s">
        <v>741</v>
      </c>
      <c r="J281" s="1537" t="s">
        <v>742</v>
      </c>
      <c r="K281" s="1553">
        <v>1</v>
      </c>
      <c r="L281" s="50">
        <v>63037385000</v>
      </c>
      <c r="M281" s="1571">
        <v>0</v>
      </c>
      <c r="N281" s="84">
        <v>0</v>
      </c>
      <c r="O281" s="1553">
        <v>1</v>
      </c>
      <c r="P281" s="63">
        <v>63037385000</v>
      </c>
      <c r="Q281" s="1541">
        <v>0</v>
      </c>
      <c r="R281" s="63">
        <v>0</v>
      </c>
      <c r="S281" s="65">
        <v>0</v>
      </c>
      <c r="T281" s="50">
        <v>0</v>
      </c>
      <c r="U281" s="65"/>
      <c r="V281" s="50"/>
      <c r="W281" s="65"/>
      <c r="X281" s="50"/>
      <c r="Y281" s="1575">
        <f t="shared" si="84"/>
        <v>0</v>
      </c>
      <c r="Z281" s="51">
        <f t="shared" si="85"/>
        <v>0</v>
      </c>
      <c r="AA281" s="1575">
        <f t="shared" si="86"/>
        <v>0</v>
      </c>
      <c r="AB281" s="51">
        <f t="shared" si="87"/>
        <v>0</v>
      </c>
      <c r="AC281" s="1522">
        <f t="shared" si="88"/>
        <v>0</v>
      </c>
      <c r="AD281" s="1522">
        <f t="shared" si="89"/>
        <v>0</v>
      </c>
      <c r="AE281" s="79" t="s">
        <v>740</v>
      </c>
      <c r="AF281" s="201"/>
      <c r="AG281" s="750"/>
      <c r="AH281" s="750"/>
      <c r="AI281" s="750"/>
      <c r="AJ281" s="750"/>
      <c r="AK281" s="750"/>
      <c r="AL281" s="750"/>
      <c r="AM281" s="750"/>
      <c r="AN281" s="750"/>
      <c r="AO281" s="750"/>
      <c r="AP281" s="750"/>
      <c r="AQ281" s="750"/>
      <c r="AR281" s="750"/>
      <c r="AS281" s="750"/>
      <c r="AT281" s="750"/>
      <c r="AU281" s="750"/>
      <c r="AV281" s="750"/>
      <c r="AW281" s="750"/>
      <c r="AX281" s="750"/>
      <c r="AY281" s="750"/>
      <c r="AZ281" s="750"/>
      <c r="BA281" s="750"/>
      <c r="BB281" s="750"/>
      <c r="BC281" s="1547"/>
      <c r="BD281" s="1548"/>
      <c r="BE281" s="1548"/>
      <c r="BF281" s="1548"/>
      <c r="BG281" s="1548"/>
      <c r="BH281" s="1548"/>
      <c r="BI281" s="1548"/>
      <c r="BJ281" s="1548"/>
      <c r="BK281" s="1548"/>
      <c r="BL281" s="1548"/>
      <c r="BM281" s="1548"/>
      <c r="BN281" s="1548"/>
      <c r="BO281" s="1548"/>
      <c r="BP281" s="1548"/>
      <c r="BQ281" s="1548"/>
      <c r="BR281" s="1548"/>
    </row>
    <row r="282" spans="1:70" s="938" customFormat="1" ht="49.5">
      <c r="A282" s="79"/>
      <c r="B282" s="47"/>
      <c r="C282" s="1425">
        <v>1</v>
      </c>
      <c r="D282" s="1425" t="s">
        <v>25</v>
      </c>
      <c r="E282" s="1425" t="s">
        <v>28</v>
      </c>
      <c r="F282" s="1425" t="s">
        <v>25</v>
      </c>
      <c r="G282" s="1425"/>
      <c r="H282" s="1425"/>
      <c r="I282" s="1537" t="s">
        <v>743</v>
      </c>
      <c r="J282" s="1537" t="s">
        <v>743</v>
      </c>
      <c r="K282" s="1553">
        <v>3</v>
      </c>
      <c r="L282" s="50">
        <v>378411000</v>
      </c>
      <c r="M282" s="1571">
        <v>0</v>
      </c>
      <c r="N282" s="84">
        <v>0</v>
      </c>
      <c r="O282" s="1553"/>
      <c r="P282" s="63"/>
      <c r="Q282" s="1584"/>
      <c r="R282" s="63"/>
      <c r="S282" s="65"/>
      <c r="T282" s="50"/>
      <c r="U282" s="65"/>
      <c r="V282" s="50"/>
      <c r="W282" s="65"/>
      <c r="X282" s="50"/>
      <c r="Y282" s="1575">
        <f t="shared" si="84"/>
        <v>0</v>
      </c>
      <c r="Z282" s="51">
        <f t="shared" si="85"/>
        <v>0</v>
      </c>
      <c r="AA282" s="1575">
        <f t="shared" si="86"/>
        <v>0</v>
      </c>
      <c r="AB282" s="51">
        <f t="shared" si="87"/>
        <v>0</v>
      </c>
      <c r="AC282" s="1522">
        <f t="shared" si="88"/>
        <v>0</v>
      </c>
      <c r="AD282" s="1522">
        <f t="shared" si="89"/>
        <v>0</v>
      </c>
      <c r="AE282" s="79"/>
      <c r="AF282" s="201"/>
      <c r="AG282" s="750"/>
      <c r="AH282" s="750"/>
      <c r="AI282" s="750"/>
      <c r="AJ282" s="750"/>
      <c r="AK282" s="750"/>
      <c r="AL282" s="750"/>
      <c r="AM282" s="750"/>
      <c r="AN282" s="750"/>
      <c r="AO282" s="750"/>
      <c r="AP282" s="750"/>
      <c r="AQ282" s="750"/>
      <c r="AR282" s="750"/>
      <c r="AS282" s="750"/>
      <c r="AT282" s="750"/>
      <c r="AU282" s="750"/>
      <c r="AV282" s="750"/>
      <c r="AW282" s="750"/>
      <c r="AX282" s="750"/>
      <c r="AY282" s="750"/>
      <c r="AZ282" s="750"/>
      <c r="BA282" s="750"/>
      <c r="BB282" s="750"/>
      <c r="BC282" s="1547"/>
      <c r="BD282" s="1548"/>
      <c r="BE282" s="1548"/>
      <c r="BF282" s="1548"/>
      <c r="BG282" s="1548"/>
      <c r="BH282" s="1548"/>
      <c r="BI282" s="1548"/>
      <c r="BJ282" s="1548"/>
      <c r="BK282" s="1548"/>
      <c r="BL282" s="1548"/>
      <c r="BM282" s="1548"/>
      <c r="BN282" s="1548"/>
      <c r="BO282" s="1548"/>
      <c r="BP282" s="1548"/>
      <c r="BQ282" s="1548"/>
      <c r="BR282" s="1548"/>
    </row>
    <row r="283" spans="1:70" s="938" customFormat="1" ht="66">
      <c r="A283" s="79"/>
      <c r="B283" s="47"/>
      <c r="C283" s="1425">
        <v>1</v>
      </c>
      <c r="D283" s="1425" t="s">
        <v>25</v>
      </c>
      <c r="E283" s="1425" t="s">
        <v>28</v>
      </c>
      <c r="F283" s="1425" t="s">
        <v>25</v>
      </c>
      <c r="G283" s="1425"/>
      <c r="H283" s="1425"/>
      <c r="I283" s="1537" t="s">
        <v>744</v>
      </c>
      <c r="J283" s="1537" t="s">
        <v>745</v>
      </c>
      <c r="K283" s="1553">
        <v>1</v>
      </c>
      <c r="L283" s="50">
        <v>49847000</v>
      </c>
      <c r="M283" s="1571">
        <v>0</v>
      </c>
      <c r="N283" s="84">
        <v>0</v>
      </c>
      <c r="O283" s="1553"/>
      <c r="P283" s="63"/>
      <c r="Q283" s="1584"/>
      <c r="R283" s="63"/>
      <c r="S283" s="65"/>
      <c r="T283" s="50"/>
      <c r="U283" s="65"/>
      <c r="V283" s="50"/>
      <c r="W283" s="65"/>
      <c r="X283" s="50"/>
      <c r="Y283" s="1575">
        <f t="shared" si="84"/>
        <v>0</v>
      </c>
      <c r="Z283" s="51">
        <f t="shared" si="85"/>
        <v>0</v>
      </c>
      <c r="AA283" s="1575">
        <f t="shared" si="86"/>
        <v>0</v>
      </c>
      <c r="AB283" s="51">
        <f t="shared" si="87"/>
        <v>0</v>
      </c>
      <c r="AC283" s="1522">
        <f t="shared" si="88"/>
        <v>0</v>
      </c>
      <c r="AD283" s="1522">
        <f t="shared" si="89"/>
        <v>0</v>
      </c>
      <c r="AE283" s="79"/>
      <c r="AF283" s="201"/>
      <c r="AG283" s="750"/>
      <c r="AH283" s="750"/>
      <c r="AI283" s="750"/>
      <c r="AJ283" s="750"/>
      <c r="AK283" s="750"/>
      <c r="AL283" s="750"/>
      <c r="AM283" s="750"/>
      <c r="AN283" s="750"/>
      <c r="AO283" s="750"/>
      <c r="AP283" s="750"/>
      <c r="AQ283" s="750"/>
      <c r="AR283" s="750"/>
      <c r="AS283" s="750"/>
      <c r="AT283" s="750"/>
      <c r="AU283" s="750"/>
      <c r="AV283" s="750"/>
      <c r="AW283" s="750"/>
      <c r="AX283" s="750"/>
      <c r="AY283" s="750"/>
      <c r="AZ283" s="750"/>
      <c r="BA283" s="750"/>
      <c r="BB283" s="750"/>
      <c r="BC283" s="1547"/>
      <c r="BD283" s="1548"/>
      <c r="BE283" s="1548"/>
      <c r="BF283" s="1548"/>
      <c r="BG283" s="1548"/>
      <c r="BH283" s="1548"/>
      <c r="BI283" s="1548"/>
      <c r="BJ283" s="1548"/>
      <c r="BK283" s="1548"/>
      <c r="BL283" s="1548"/>
      <c r="BM283" s="1548"/>
      <c r="BN283" s="1548"/>
      <c r="BO283" s="1548"/>
      <c r="BP283" s="1548"/>
      <c r="BQ283" s="1548"/>
      <c r="BR283" s="1548"/>
    </row>
    <row r="284" spans="1:70" s="938" customFormat="1" ht="66">
      <c r="A284" s="79"/>
      <c r="B284" s="47"/>
      <c r="C284" s="1425">
        <v>1</v>
      </c>
      <c r="D284" s="1425" t="s">
        <v>25</v>
      </c>
      <c r="E284" s="1425" t="s">
        <v>28</v>
      </c>
      <c r="F284" s="1425" t="s">
        <v>25</v>
      </c>
      <c r="G284" s="1425"/>
      <c r="H284" s="1425"/>
      <c r="I284" s="1537" t="s">
        <v>746</v>
      </c>
      <c r="J284" s="1537" t="s">
        <v>746</v>
      </c>
      <c r="K284" s="1553"/>
      <c r="L284" s="50">
        <v>64345050</v>
      </c>
      <c r="M284" s="1571">
        <v>0</v>
      </c>
      <c r="N284" s="84">
        <v>0</v>
      </c>
      <c r="O284" s="1553"/>
      <c r="P284" s="63"/>
      <c r="Q284" s="1584"/>
      <c r="R284" s="63"/>
      <c r="S284" s="65"/>
      <c r="T284" s="50"/>
      <c r="U284" s="65"/>
      <c r="V284" s="50"/>
      <c r="W284" s="65"/>
      <c r="X284" s="50"/>
      <c r="Y284" s="1575">
        <f t="shared" si="84"/>
        <v>0</v>
      </c>
      <c r="Z284" s="51">
        <f t="shared" si="85"/>
        <v>0</v>
      </c>
      <c r="AA284" s="1575">
        <f t="shared" si="86"/>
        <v>0</v>
      </c>
      <c r="AB284" s="51">
        <f t="shared" si="87"/>
        <v>0</v>
      </c>
      <c r="AC284" s="1522" t="e">
        <f t="shared" si="88"/>
        <v>#DIV/0!</v>
      </c>
      <c r="AD284" s="1522">
        <f t="shared" si="89"/>
        <v>0</v>
      </c>
      <c r="AE284" s="79"/>
      <c r="AF284" s="201"/>
      <c r="AG284" s="750"/>
      <c r="AH284" s="750"/>
      <c r="AI284" s="750"/>
      <c r="AJ284" s="750"/>
      <c r="AK284" s="750"/>
      <c r="AL284" s="750"/>
      <c r="AM284" s="750"/>
      <c r="AN284" s="750"/>
      <c r="AO284" s="750"/>
      <c r="AP284" s="750"/>
      <c r="AQ284" s="750"/>
      <c r="AR284" s="750"/>
      <c r="AS284" s="750"/>
      <c r="AT284" s="750"/>
      <c r="AU284" s="750"/>
      <c r="AV284" s="750"/>
      <c r="AW284" s="750"/>
      <c r="AX284" s="750"/>
      <c r="AY284" s="750"/>
      <c r="AZ284" s="750"/>
      <c r="BA284" s="750"/>
      <c r="BB284" s="750"/>
      <c r="BC284" s="1547"/>
      <c r="BD284" s="1548"/>
      <c r="BE284" s="1548"/>
      <c r="BF284" s="1548"/>
      <c r="BG284" s="1548"/>
      <c r="BH284" s="1548"/>
      <c r="BI284" s="1548"/>
      <c r="BJ284" s="1548"/>
      <c r="BK284" s="1548"/>
      <c r="BL284" s="1548"/>
      <c r="BM284" s="1548"/>
      <c r="BN284" s="1548"/>
      <c r="BO284" s="1548"/>
      <c r="BP284" s="1548"/>
      <c r="BQ284" s="1548"/>
      <c r="BR284" s="1548"/>
    </row>
    <row r="285" spans="1:70" s="938" customFormat="1" ht="49.5">
      <c r="A285" s="1424">
        <v>5</v>
      </c>
      <c r="B285" s="186"/>
      <c r="C285" s="194">
        <v>1</v>
      </c>
      <c r="D285" s="1424" t="s">
        <v>25</v>
      </c>
      <c r="E285" s="1424" t="s">
        <v>39</v>
      </c>
      <c r="F285" s="1424" t="s">
        <v>25</v>
      </c>
      <c r="G285" s="1424"/>
      <c r="H285" s="1424" t="s">
        <v>25</v>
      </c>
      <c r="I285" s="186" t="s">
        <v>2645</v>
      </c>
      <c r="J285" s="197" t="s">
        <v>747</v>
      </c>
      <c r="K285" s="1557">
        <v>60</v>
      </c>
      <c r="L285" s="1533">
        <f>SUM(L286:L290)</f>
        <v>33448175000</v>
      </c>
      <c r="M285" s="1557">
        <v>48</v>
      </c>
      <c r="N285" s="1533">
        <f>SUM(N286:N290)</f>
        <v>1629699252</v>
      </c>
      <c r="O285" s="1557">
        <v>4</v>
      </c>
      <c r="P285" s="1533">
        <f>SUM(P286:P290)</f>
        <v>1209252353</v>
      </c>
      <c r="Q285" s="1557">
        <v>1</v>
      </c>
      <c r="R285" s="1533">
        <f>SUM(R286:R290)</f>
        <v>100033900</v>
      </c>
      <c r="S285" s="1538"/>
      <c r="T285" s="1521">
        <v>346525900</v>
      </c>
      <c r="U285" s="191"/>
      <c r="V285" s="1521"/>
      <c r="W285" s="191"/>
      <c r="X285" s="192"/>
      <c r="Y285" s="1556">
        <f t="shared" si="84"/>
        <v>1</v>
      </c>
      <c r="Z285" s="190">
        <f t="shared" si="85"/>
        <v>446559800</v>
      </c>
      <c r="AA285" s="1556">
        <f t="shared" si="86"/>
        <v>49</v>
      </c>
      <c r="AB285" s="190">
        <f t="shared" si="87"/>
        <v>2076259052</v>
      </c>
      <c r="AC285" s="1523">
        <f t="shared" si="88"/>
        <v>81.666666666666671</v>
      </c>
      <c r="AD285" s="1523">
        <f t="shared" si="89"/>
        <v>6.2073911416691638</v>
      </c>
      <c r="AE285" s="194" t="s">
        <v>111</v>
      </c>
      <c r="AF285" s="201"/>
      <c r="AG285" s="750"/>
      <c r="AH285" s="750"/>
      <c r="AI285" s="750"/>
      <c r="AJ285" s="750"/>
      <c r="AK285" s="750"/>
      <c r="AL285" s="750"/>
      <c r="AM285" s="750"/>
      <c r="AN285" s="750"/>
      <c r="AO285" s="750"/>
      <c r="AP285" s="750"/>
      <c r="AQ285" s="750"/>
      <c r="AR285" s="750"/>
      <c r="AS285" s="750"/>
      <c r="AT285" s="750"/>
      <c r="AU285" s="750"/>
      <c r="AV285" s="750"/>
      <c r="AW285" s="750"/>
      <c r="AX285" s="750"/>
      <c r="AY285" s="750"/>
      <c r="AZ285" s="750"/>
      <c r="BA285" s="750"/>
      <c r="BB285" s="750"/>
      <c r="BC285" s="1547"/>
      <c r="BD285" s="1548"/>
      <c r="BE285" s="1548"/>
      <c r="BF285" s="1548"/>
      <c r="BG285" s="1548"/>
      <c r="BH285" s="1548"/>
      <c r="BI285" s="1548"/>
      <c r="BJ285" s="1548"/>
      <c r="BK285" s="1548"/>
      <c r="BL285" s="1548"/>
      <c r="BM285" s="1548"/>
      <c r="BN285" s="1548"/>
      <c r="BO285" s="1548"/>
      <c r="BP285" s="1548"/>
      <c r="BQ285" s="1548"/>
      <c r="BR285" s="1548"/>
    </row>
    <row r="286" spans="1:70" s="938" customFormat="1" ht="49.5">
      <c r="A286" s="79"/>
      <c r="B286" s="47"/>
      <c r="C286" s="79">
        <v>1</v>
      </c>
      <c r="D286" s="1425" t="s">
        <v>25</v>
      </c>
      <c r="E286" s="1425" t="s">
        <v>39</v>
      </c>
      <c r="F286" s="1425">
        <v>1</v>
      </c>
      <c r="G286" s="1425"/>
      <c r="H286" s="1425" t="s">
        <v>25</v>
      </c>
      <c r="I286" s="49" t="s">
        <v>748</v>
      </c>
      <c r="J286" s="49" t="s">
        <v>2640</v>
      </c>
      <c r="K286" s="1558">
        <v>72</v>
      </c>
      <c r="L286" s="50">
        <v>3731208000</v>
      </c>
      <c r="M286" s="1558">
        <v>36</v>
      </c>
      <c r="N286" s="63">
        <v>393668971</v>
      </c>
      <c r="O286" s="1558">
        <v>12</v>
      </c>
      <c r="P286" s="63">
        <v>372665105</v>
      </c>
      <c r="Q286" s="1558">
        <v>3</v>
      </c>
      <c r="R286" s="63">
        <v>45890900</v>
      </c>
      <c r="S286" s="1539">
        <v>3</v>
      </c>
      <c r="T286" s="50">
        <v>160927900</v>
      </c>
      <c r="U286" s="1539"/>
      <c r="V286" s="50"/>
      <c r="W286" s="65"/>
      <c r="X286" s="50"/>
      <c r="Y286" s="1553">
        <f t="shared" si="84"/>
        <v>6</v>
      </c>
      <c r="Z286" s="51">
        <f t="shared" si="85"/>
        <v>206818800</v>
      </c>
      <c r="AA286" s="1562">
        <f t="shared" si="86"/>
        <v>42</v>
      </c>
      <c r="AB286" s="51">
        <f t="shared" si="87"/>
        <v>600487771</v>
      </c>
      <c r="AC286" s="1522">
        <f t="shared" si="88"/>
        <v>58.333333333333336</v>
      </c>
      <c r="AD286" s="1522">
        <f t="shared" si="89"/>
        <v>16.093655754383033</v>
      </c>
      <c r="AE286" s="79"/>
      <c r="AF286" s="201"/>
      <c r="AG286" s="750"/>
      <c r="AH286" s="750"/>
      <c r="AI286" s="750"/>
      <c r="AJ286" s="750"/>
      <c r="AK286" s="750"/>
      <c r="AL286" s="750"/>
      <c r="AM286" s="750"/>
      <c r="AN286" s="750"/>
      <c r="AO286" s="750"/>
      <c r="AP286" s="750"/>
      <c r="AQ286" s="750"/>
      <c r="AR286" s="750"/>
      <c r="AS286" s="750"/>
      <c r="AT286" s="750"/>
      <c r="AU286" s="750"/>
      <c r="AV286" s="750"/>
      <c r="AW286" s="750"/>
      <c r="AX286" s="750"/>
      <c r="AY286" s="750"/>
      <c r="AZ286" s="750"/>
      <c r="BA286" s="750"/>
      <c r="BB286" s="750"/>
      <c r="BC286" s="1547"/>
      <c r="BD286" s="1548"/>
      <c r="BE286" s="1548"/>
      <c r="BF286" s="1548"/>
      <c r="BG286" s="1548"/>
      <c r="BH286" s="1548"/>
      <c r="BI286" s="1548"/>
      <c r="BJ286" s="1548"/>
      <c r="BK286" s="1548"/>
      <c r="BL286" s="1548"/>
      <c r="BM286" s="1548"/>
      <c r="BN286" s="1548"/>
      <c r="BO286" s="1548"/>
      <c r="BP286" s="1548"/>
      <c r="BQ286" s="1548"/>
      <c r="BR286" s="1548"/>
    </row>
    <row r="287" spans="1:70" s="938" customFormat="1" ht="99">
      <c r="A287" s="79"/>
      <c r="B287" s="47"/>
      <c r="C287" s="79">
        <v>1</v>
      </c>
      <c r="D287" s="1425" t="s">
        <v>25</v>
      </c>
      <c r="E287" s="1425" t="s">
        <v>39</v>
      </c>
      <c r="F287" s="1425">
        <v>1</v>
      </c>
      <c r="G287" s="1425"/>
      <c r="H287" s="1425" t="s">
        <v>25</v>
      </c>
      <c r="I287" s="1540" t="s">
        <v>749</v>
      </c>
      <c r="J287" s="49" t="s">
        <v>2641</v>
      </c>
      <c r="K287" s="1558">
        <v>15</v>
      </c>
      <c r="L287" s="50">
        <v>21886967000</v>
      </c>
      <c r="M287" s="1558">
        <v>0</v>
      </c>
      <c r="N287" s="84">
        <v>0</v>
      </c>
      <c r="O287" s="1558"/>
      <c r="P287" s="63"/>
      <c r="Q287" s="1558"/>
      <c r="R287" s="63"/>
      <c r="S287" s="1539"/>
      <c r="T287" s="50"/>
      <c r="U287" s="1539"/>
      <c r="V287" s="50"/>
      <c r="W287" s="65"/>
      <c r="X287" s="50"/>
      <c r="Y287" s="1553">
        <f t="shared" si="84"/>
        <v>0</v>
      </c>
      <c r="Z287" s="51">
        <f t="shared" si="85"/>
        <v>0</v>
      </c>
      <c r="AA287" s="1583">
        <f t="shared" si="86"/>
        <v>0</v>
      </c>
      <c r="AB287" s="51">
        <f t="shared" si="87"/>
        <v>0</v>
      </c>
      <c r="AC287" s="1522">
        <f t="shared" si="88"/>
        <v>0</v>
      </c>
      <c r="AD287" s="1522">
        <f t="shared" si="89"/>
        <v>0</v>
      </c>
      <c r="AE287" s="79"/>
      <c r="AF287" s="201"/>
      <c r="AG287" s="750"/>
      <c r="AH287" s="750"/>
      <c r="AI287" s="750"/>
      <c r="AJ287" s="750"/>
      <c r="AK287" s="750"/>
      <c r="AL287" s="750"/>
      <c r="AM287" s="750"/>
      <c r="AN287" s="750"/>
      <c r="AO287" s="750"/>
      <c r="AP287" s="750"/>
      <c r="AQ287" s="750"/>
      <c r="AR287" s="750"/>
      <c r="AS287" s="750"/>
      <c r="AT287" s="750"/>
      <c r="AU287" s="750"/>
      <c r="AV287" s="750"/>
      <c r="AW287" s="750"/>
      <c r="AX287" s="750"/>
      <c r="AY287" s="750"/>
      <c r="AZ287" s="750"/>
      <c r="BA287" s="750"/>
      <c r="BB287" s="750"/>
      <c r="BC287" s="1547"/>
      <c r="BD287" s="1548"/>
      <c r="BE287" s="1548"/>
      <c r="BF287" s="1548"/>
      <c r="BG287" s="1548"/>
      <c r="BH287" s="1548"/>
      <c r="BI287" s="1548"/>
      <c r="BJ287" s="1548"/>
      <c r="BK287" s="1548"/>
      <c r="BL287" s="1548"/>
      <c r="BM287" s="1548"/>
      <c r="BN287" s="1548"/>
      <c r="BO287" s="1548"/>
      <c r="BP287" s="1548"/>
      <c r="BQ287" s="1548"/>
      <c r="BR287" s="1548"/>
    </row>
    <row r="288" spans="1:70" s="938" customFormat="1" ht="99">
      <c r="A288" s="79"/>
      <c r="B288" s="47"/>
      <c r="C288" s="1425">
        <v>1</v>
      </c>
      <c r="D288" s="1425" t="s">
        <v>25</v>
      </c>
      <c r="E288" s="1425" t="s">
        <v>39</v>
      </c>
      <c r="F288" s="1425">
        <v>1</v>
      </c>
      <c r="G288" s="1425"/>
      <c r="H288" s="1425" t="s">
        <v>25</v>
      </c>
      <c r="I288" s="1540" t="s">
        <v>750</v>
      </c>
      <c r="J288" s="1540" t="s">
        <v>2642</v>
      </c>
      <c r="K288" s="1558">
        <v>26</v>
      </c>
      <c r="L288" s="942">
        <v>6900000000</v>
      </c>
      <c r="M288" s="1553">
        <v>4</v>
      </c>
      <c r="N288" s="63">
        <v>1163267181</v>
      </c>
      <c r="O288" s="1558">
        <v>3</v>
      </c>
      <c r="P288" s="63">
        <v>786594356</v>
      </c>
      <c r="Q288" s="1535">
        <v>0</v>
      </c>
      <c r="R288" s="63">
        <v>52772400</v>
      </c>
      <c r="S288" s="2658">
        <v>1</v>
      </c>
      <c r="T288" s="50">
        <v>184227400</v>
      </c>
      <c r="U288" s="75"/>
      <c r="V288" s="50"/>
      <c r="W288" s="77"/>
      <c r="X288" s="50"/>
      <c r="Y288" s="1553">
        <f t="shared" si="84"/>
        <v>1</v>
      </c>
      <c r="Z288" s="51">
        <f t="shared" si="85"/>
        <v>236999800</v>
      </c>
      <c r="AA288" s="1562">
        <f t="shared" si="86"/>
        <v>5</v>
      </c>
      <c r="AB288" s="51">
        <f t="shared" si="87"/>
        <v>1400266981</v>
      </c>
      <c r="AC288" s="1522">
        <f t="shared" si="88"/>
        <v>19.230769230769234</v>
      </c>
      <c r="AD288" s="1522">
        <f t="shared" si="89"/>
        <v>20.293724362318841</v>
      </c>
      <c r="AE288" s="79"/>
      <c r="AF288" s="201"/>
      <c r="AG288" s="750"/>
      <c r="AH288" s="750"/>
      <c r="AI288" s="750"/>
      <c r="AJ288" s="750"/>
      <c r="AK288" s="750"/>
      <c r="AL288" s="750"/>
      <c r="AM288" s="750"/>
      <c r="AN288" s="750"/>
      <c r="AO288" s="750"/>
      <c r="AP288" s="750"/>
      <c r="AQ288" s="750"/>
      <c r="AR288" s="750"/>
      <c r="AS288" s="750"/>
      <c r="AT288" s="750"/>
      <c r="AU288" s="750"/>
      <c r="AV288" s="750"/>
      <c r="AW288" s="750"/>
      <c r="AX288" s="750"/>
      <c r="AY288" s="750"/>
      <c r="AZ288" s="750"/>
      <c r="BA288" s="750"/>
      <c r="BB288" s="750"/>
      <c r="BC288" s="1547"/>
      <c r="BD288" s="1548"/>
      <c r="BE288" s="1548"/>
      <c r="BF288" s="1548"/>
      <c r="BG288" s="1548"/>
      <c r="BH288" s="1548"/>
      <c r="BI288" s="1548"/>
      <c r="BJ288" s="1548"/>
      <c r="BK288" s="1548"/>
      <c r="BL288" s="1548"/>
      <c r="BM288" s="1548"/>
      <c r="BN288" s="1548"/>
      <c r="BO288" s="1548"/>
      <c r="BP288" s="1548"/>
      <c r="BQ288" s="1548"/>
      <c r="BR288" s="1548"/>
    </row>
    <row r="289" spans="1:70" s="938" customFormat="1" ht="82.5">
      <c r="A289" s="79"/>
      <c r="B289" s="47"/>
      <c r="C289" s="1425">
        <v>1</v>
      </c>
      <c r="D289" s="1425" t="s">
        <v>25</v>
      </c>
      <c r="E289" s="1425" t="s">
        <v>39</v>
      </c>
      <c r="F289" s="1425">
        <v>1</v>
      </c>
      <c r="G289" s="1425"/>
      <c r="H289" s="1425" t="s">
        <v>25</v>
      </c>
      <c r="I289" s="1540" t="s">
        <v>751</v>
      </c>
      <c r="J289" s="47" t="s">
        <v>752</v>
      </c>
      <c r="K289" s="1558">
        <v>6</v>
      </c>
      <c r="L289" s="942">
        <v>480000000</v>
      </c>
      <c r="M289" s="1558">
        <v>2</v>
      </c>
      <c r="N289" s="63">
        <v>72763100</v>
      </c>
      <c r="O289" s="1558"/>
      <c r="P289" s="1541"/>
      <c r="Q289" s="1558"/>
      <c r="R289" s="63"/>
      <c r="S289" s="65"/>
      <c r="T289" s="50"/>
      <c r="U289" s="77"/>
      <c r="V289" s="50"/>
      <c r="W289" s="77"/>
      <c r="X289" s="50"/>
      <c r="Y289" s="1575">
        <f t="shared" si="84"/>
        <v>0</v>
      </c>
      <c r="Z289" s="51">
        <f t="shared" si="85"/>
        <v>0</v>
      </c>
      <c r="AA289" s="1575">
        <f t="shared" si="86"/>
        <v>2</v>
      </c>
      <c r="AB289" s="51">
        <f t="shared" si="87"/>
        <v>72763100</v>
      </c>
      <c r="AC289" s="1522">
        <f t="shared" si="88"/>
        <v>33.333333333333329</v>
      </c>
      <c r="AD289" s="1522">
        <f t="shared" si="89"/>
        <v>15.158979166666667</v>
      </c>
      <c r="AE289" s="79"/>
      <c r="AF289" s="201"/>
      <c r="AG289" s="750"/>
      <c r="AH289" s="750"/>
      <c r="AI289" s="750"/>
      <c r="AJ289" s="750"/>
      <c r="AK289" s="750"/>
      <c r="AL289" s="750"/>
      <c r="AM289" s="750"/>
      <c r="AN289" s="750"/>
      <c r="AO289" s="750"/>
      <c r="AP289" s="750"/>
      <c r="AQ289" s="750"/>
      <c r="AR289" s="750"/>
      <c r="AS289" s="750"/>
      <c r="AT289" s="750"/>
      <c r="AU289" s="750"/>
      <c r="AV289" s="750"/>
      <c r="AW289" s="750"/>
      <c r="AX289" s="750"/>
      <c r="AY289" s="750"/>
      <c r="AZ289" s="750"/>
      <c r="BA289" s="750"/>
      <c r="BB289" s="750"/>
      <c r="BC289" s="1547"/>
      <c r="BD289" s="1548"/>
      <c r="BE289" s="1548"/>
      <c r="BF289" s="1548"/>
      <c r="BG289" s="1548"/>
      <c r="BH289" s="1548"/>
      <c r="BI289" s="1548"/>
      <c r="BJ289" s="1548"/>
      <c r="BK289" s="1548"/>
      <c r="BL289" s="1548"/>
      <c r="BM289" s="1548"/>
      <c r="BN289" s="1548"/>
      <c r="BO289" s="1548"/>
      <c r="BP289" s="1548"/>
      <c r="BQ289" s="1548"/>
      <c r="BR289" s="1548"/>
    </row>
    <row r="290" spans="1:70" s="938" customFormat="1" ht="33">
      <c r="A290" s="79"/>
      <c r="B290" s="47"/>
      <c r="C290" s="1425">
        <v>1</v>
      </c>
      <c r="D290" s="1425" t="s">
        <v>25</v>
      </c>
      <c r="E290" s="1425" t="s">
        <v>39</v>
      </c>
      <c r="F290" s="1425">
        <v>1</v>
      </c>
      <c r="G290" s="1425"/>
      <c r="H290" s="1425" t="s">
        <v>25</v>
      </c>
      <c r="I290" s="1540" t="s">
        <v>753</v>
      </c>
      <c r="J290" s="47" t="s">
        <v>754</v>
      </c>
      <c r="K290" s="1558">
        <v>3</v>
      </c>
      <c r="L290" s="942">
        <v>450000000</v>
      </c>
      <c r="M290" s="1535">
        <v>0</v>
      </c>
      <c r="N290" s="84">
        <v>0</v>
      </c>
      <c r="O290" s="1558">
        <v>1</v>
      </c>
      <c r="P290" s="63">
        <v>49992892</v>
      </c>
      <c r="Q290" s="1535">
        <v>0</v>
      </c>
      <c r="R290" s="63">
        <v>1370600</v>
      </c>
      <c r="S290" s="65">
        <v>0</v>
      </c>
      <c r="T290" s="50">
        <v>1370600</v>
      </c>
      <c r="U290" s="77"/>
      <c r="V290" s="50"/>
      <c r="W290" s="77"/>
      <c r="X290" s="50"/>
      <c r="Y290" s="1575">
        <f t="shared" si="84"/>
        <v>0</v>
      </c>
      <c r="Z290" s="51">
        <f t="shared" si="85"/>
        <v>2741200</v>
      </c>
      <c r="AA290" s="1575">
        <f t="shared" si="86"/>
        <v>0</v>
      </c>
      <c r="AB290" s="51">
        <f t="shared" si="87"/>
        <v>2741200</v>
      </c>
      <c r="AC290" s="1522">
        <f t="shared" si="88"/>
        <v>0</v>
      </c>
      <c r="AD290" s="1522">
        <f t="shared" si="89"/>
        <v>0.60915555555555556</v>
      </c>
      <c r="AE290" s="79"/>
      <c r="AF290" s="201"/>
      <c r="AG290" s="750"/>
      <c r="AH290" s="750"/>
      <c r="AI290" s="750"/>
      <c r="AJ290" s="750"/>
      <c r="AK290" s="750"/>
      <c r="AL290" s="750"/>
      <c r="AM290" s="750"/>
      <c r="AN290" s="750"/>
      <c r="AO290" s="750"/>
      <c r="AP290" s="750"/>
      <c r="AQ290" s="750"/>
      <c r="AR290" s="750"/>
      <c r="AS290" s="750"/>
      <c r="AT290" s="750"/>
      <c r="AU290" s="750"/>
      <c r="AV290" s="750"/>
      <c r="AW290" s="750"/>
      <c r="AX290" s="750"/>
      <c r="AY290" s="750"/>
      <c r="AZ290" s="750"/>
      <c r="BA290" s="750"/>
      <c r="BB290" s="750"/>
      <c r="BC290" s="1547"/>
      <c r="BD290" s="1548"/>
      <c r="BE290" s="1548"/>
      <c r="BF290" s="1548"/>
      <c r="BG290" s="1548"/>
      <c r="BH290" s="1548"/>
      <c r="BI290" s="1548"/>
      <c r="BJ290" s="1548"/>
      <c r="BK290" s="1548"/>
      <c r="BL290" s="1548"/>
      <c r="BM290" s="1548"/>
      <c r="BN290" s="1548"/>
      <c r="BO290" s="1548"/>
      <c r="BP290" s="1548"/>
      <c r="BQ290" s="1548"/>
      <c r="BR290" s="1548"/>
    </row>
    <row r="291" spans="1:70" s="938" customFormat="1" ht="49.5">
      <c r="A291" s="194">
        <v>6</v>
      </c>
      <c r="B291" s="186"/>
      <c r="C291" s="194">
        <v>1</v>
      </c>
      <c r="D291" s="1424" t="s">
        <v>25</v>
      </c>
      <c r="E291" s="1424" t="s">
        <v>39</v>
      </c>
      <c r="F291" s="1424">
        <v>1</v>
      </c>
      <c r="G291" s="1424"/>
      <c r="H291" s="1424" t="s">
        <v>25</v>
      </c>
      <c r="I291" s="186" t="s">
        <v>755</v>
      </c>
      <c r="J291" s="197" t="s">
        <v>2643</v>
      </c>
      <c r="K291" s="1557">
        <v>1730</v>
      </c>
      <c r="L291" s="940">
        <f>SUM(L292:L298)</f>
        <v>42046049360</v>
      </c>
      <c r="M291" s="1572">
        <v>757</v>
      </c>
      <c r="N291" s="940">
        <f>SUM(N292:N298)</f>
        <v>8800138333</v>
      </c>
      <c r="O291" s="1572">
        <v>200</v>
      </c>
      <c r="P291" s="940">
        <f>SUM(P292:P298)</f>
        <v>4373935717</v>
      </c>
      <c r="Q291" s="1572">
        <v>30</v>
      </c>
      <c r="R291" s="940">
        <f>SUM(R292:R298)</f>
        <v>351423800</v>
      </c>
      <c r="S291" s="941"/>
      <c r="T291" s="1521">
        <v>2413980139</v>
      </c>
      <c r="U291" s="941"/>
      <c r="V291" s="1521"/>
      <c r="W291" s="191"/>
      <c r="X291" s="192"/>
      <c r="Y291" s="1556">
        <f t="shared" si="84"/>
        <v>30</v>
      </c>
      <c r="Z291" s="190">
        <f t="shared" si="85"/>
        <v>2765403939</v>
      </c>
      <c r="AA291" s="1557">
        <f t="shared" si="86"/>
        <v>787</v>
      </c>
      <c r="AB291" s="190">
        <f t="shared" si="87"/>
        <v>11565542272</v>
      </c>
      <c r="AC291" s="1523">
        <f t="shared" si="88"/>
        <v>45.491329479768787</v>
      </c>
      <c r="AD291" s="1523">
        <f t="shared" si="89"/>
        <v>27.506846536223538</v>
      </c>
      <c r="AE291" s="194" t="s">
        <v>111</v>
      </c>
      <c r="AF291" s="201"/>
      <c r="AG291" s="750"/>
      <c r="AH291" s="750"/>
      <c r="AI291" s="750"/>
      <c r="AJ291" s="750"/>
      <c r="AK291" s="750"/>
      <c r="AL291" s="750"/>
      <c r="AM291" s="750"/>
      <c r="AN291" s="750"/>
      <c r="AO291" s="750"/>
      <c r="AP291" s="750"/>
      <c r="AQ291" s="750"/>
      <c r="AR291" s="750"/>
      <c r="AS291" s="750"/>
      <c r="AT291" s="750"/>
      <c r="AU291" s="750"/>
      <c r="AV291" s="750"/>
      <c r="AW291" s="750"/>
      <c r="AX291" s="750"/>
      <c r="AY291" s="750"/>
      <c r="AZ291" s="750"/>
      <c r="BA291" s="750"/>
      <c r="BB291" s="750"/>
      <c r="BC291" s="1547"/>
      <c r="BD291" s="1548"/>
      <c r="BE291" s="1548"/>
      <c r="BF291" s="1548"/>
      <c r="BG291" s="1548"/>
      <c r="BH291" s="1548"/>
      <c r="BI291" s="1548"/>
      <c r="BJ291" s="1548"/>
      <c r="BK291" s="1548"/>
      <c r="BL291" s="1548"/>
      <c r="BM291" s="1548"/>
      <c r="BN291" s="1548"/>
      <c r="BO291" s="1548"/>
      <c r="BP291" s="1548"/>
      <c r="BQ291" s="1548"/>
      <c r="BR291" s="1548"/>
    </row>
    <row r="292" spans="1:70" s="938" customFormat="1" ht="33">
      <c r="A292" s="79"/>
      <c r="B292" s="47"/>
      <c r="C292" s="70">
        <v>1</v>
      </c>
      <c r="D292" s="1426" t="s">
        <v>25</v>
      </c>
      <c r="E292" s="1426" t="s">
        <v>39</v>
      </c>
      <c r="F292" s="1426">
        <v>1</v>
      </c>
      <c r="G292" s="1426"/>
      <c r="H292" s="1426" t="s">
        <v>25</v>
      </c>
      <c r="I292" s="49" t="s">
        <v>756</v>
      </c>
      <c r="J292" s="49" t="s">
        <v>757</v>
      </c>
      <c r="K292" s="1558">
        <v>72</v>
      </c>
      <c r="L292" s="50">
        <v>22500000000</v>
      </c>
      <c r="M292" s="1573">
        <v>36</v>
      </c>
      <c r="N292" s="63">
        <v>4111038490</v>
      </c>
      <c r="O292" s="1573">
        <v>12</v>
      </c>
      <c r="P292" s="63">
        <v>1993322972</v>
      </c>
      <c r="Q292" s="1573">
        <v>3</v>
      </c>
      <c r="R292" s="63">
        <v>232957250</v>
      </c>
      <c r="S292" s="1542">
        <v>3</v>
      </c>
      <c r="T292" s="50">
        <v>1517112250</v>
      </c>
      <c r="U292" s="1542"/>
      <c r="V292" s="50"/>
      <c r="W292" s="65"/>
      <c r="X292" s="50"/>
      <c r="Y292" s="1575">
        <f t="shared" si="84"/>
        <v>6</v>
      </c>
      <c r="Z292" s="51">
        <f t="shared" si="85"/>
        <v>1750069500</v>
      </c>
      <c r="AA292" s="1585">
        <f t="shared" si="86"/>
        <v>42</v>
      </c>
      <c r="AB292" s="51">
        <f t="shared" si="87"/>
        <v>5861107990</v>
      </c>
      <c r="AC292" s="1522">
        <f t="shared" si="88"/>
        <v>58.333333333333336</v>
      </c>
      <c r="AD292" s="1522">
        <f t="shared" si="89"/>
        <v>26.049368844444444</v>
      </c>
      <c r="AE292" s="79"/>
      <c r="AF292" s="201"/>
      <c r="AG292" s="750"/>
      <c r="AH292" s="750"/>
      <c r="AI292" s="750"/>
      <c r="AJ292" s="750"/>
      <c r="AK292" s="750"/>
      <c r="AL292" s="750"/>
      <c r="AM292" s="750"/>
      <c r="AN292" s="750"/>
      <c r="AO292" s="750"/>
      <c r="AP292" s="750"/>
      <c r="AQ292" s="750"/>
      <c r="AR292" s="750"/>
      <c r="AS292" s="750"/>
      <c r="AT292" s="750"/>
      <c r="AU292" s="750"/>
      <c r="AV292" s="750"/>
      <c r="AW292" s="750"/>
      <c r="AX292" s="750"/>
      <c r="AY292" s="750"/>
      <c r="AZ292" s="750"/>
      <c r="BA292" s="750"/>
      <c r="BB292" s="750"/>
      <c r="BC292" s="1547"/>
      <c r="BD292" s="1548"/>
      <c r="BE292" s="1548"/>
      <c r="BF292" s="1548"/>
      <c r="BG292" s="1548"/>
      <c r="BH292" s="1548"/>
      <c r="BI292" s="1548"/>
      <c r="BJ292" s="1548"/>
      <c r="BK292" s="1548"/>
      <c r="BL292" s="1548"/>
      <c r="BM292" s="1548"/>
      <c r="BN292" s="1548"/>
      <c r="BO292" s="1548"/>
      <c r="BP292" s="1548"/>
      <c r="BQ292" s="1548"/>
      <c r="BR292" s="1548"/>
    </row>
    <row r="293" spans="1:70" s="938" customFormat="1" ht="33">
      <c r="A293" s="79"/>
      <c r="B293" s="47"/>
      <c r="C293" s="70">
        <v>1</v>
      </c>
      <c r="D293" s="1426" t="s">
        <v>25</v>
      </c>
      <c r="E293" s="1426" t="s">
        <v>39</v>
      </c>
      <c r="F293" s="1426">
        <v>1</v>
      </c>
      <c r="G293" s="1426"/>
      <c r="H293" s="1426" t="s">
        <v>25</v>
      </c>
      <c r="I293" s="49" t="s">
        <v>758</v>
      </c>
      <c r="J293" s="49" t="s">
        <v>759</v>
      </c>
      <c r="K293" s="1558">
        <v>72</v>
      </c>
      <c r="L293" s="50">
        <f>3*N293</f>
        <v>3436995771</v>
      </c>
      <c r="M293" s="1573">
        <v>36</v>
      </c>
      <c r="N293" s="63">
        <v>1145665257</v>
      </c>
      <c r="O293" s="1573">
        <v>12</v>
      </c>
      <c r="P293" s="63">
        <v>719947829</v>
      </c>
      <c r="Q293" s="1573">
        <v>3</v>
      </c>
      <c r="R293" s="63">
        <v>115140000</v>
      </c>
      <c r="S293" s="1542">
        <v>3</v>
      </c>
      <c r="T293" s="50">
        <v>308626000</v>
      </c>
      <c r="U293" s="1542"/>
      <c r="V293" s="50"/>
      <c r="W293" s="65"/>
      <c r="X293" s="50"/>
      <c r="Y293" s="1575">
        <f t="shared" si="84"/>
        <v>6</v>
      </c>
      <c r="Z293" s="51">
        <f t="shared" si="85"/>
        <v>423766000</v>
      </c>
      <c r="AA293" s="1585">
        <f t="shared" si="86"/>
        <v>42</v>
      </c>
      <c r="AB293" s="51">
        <f t="shared" si="87"/>
        <v>1569431257</v>
      </c>
      <c r="AC293" s="1522">
        <f t="shared" si="88"/>
        <v>58.333333333333336</v>
      </c>
      <c r="AD293" s="1522">
        <f t="shared" si="89"/>
        <v>45.662880072249003</v>
      </c>
      <c r="AE293" s="79"/>
      <c r="AF293" s="201"/>
      <c r="AG293" s="750"/>
      <c r="AH293" s="750"/>
      <c r="AI293" s="750"/>
      <c r="AJ293" s="750"/>
      <c r="AK293" s="750"/>
      <c r="AL293" s="750"/>
      <c r="AM293" s="750"/>
      <c r="AN293" s="750"/>
      <c r="AO293" s="750"/>
      <c r="AP293" s="750"/>
      <c r="AQ293" s="750"/>
      <c r="AR293" s="750"/>
      <c r="AS293" s="750"/>
      <c r="AT293" s="750"/>
      <c r="AU293" s="750"/>
      <c r="AV293" s="750"/>
      <c r="AW293" s="750"/>
      <c r="AX293" s="750"/>
      <c r="AY293" s="750"/>
      <c r="AZ293" s="750"/>
      <c r="BA293" s="750"/>
      <c r="BB293" s="750"/>
      <c r="BC293" s="1547"/>
      <c r="BD293" s="1548"/>
      <c r="BE293" s="1548"/>
      <c r="BF293" s="1548"/>
      <c r="BG293" s="1548"/>
      <c r="BH293" s="1548"/>
      <c r="BI293" s="1548"/>
      <c r="BJ293" s="1548"/>
      <c r="BK293" s="1548"/>
      <c r="BL293" s="1548"/>
      <c r="BM293" s="1548"/>
      <c r="BN293" s="1548"/>
      <c r="BO293" s="1548"/>
      <c r="BP293" s="1548"/>
      <c r="BQ293" s="1548"/>
      <c r="BR293" s="1548"/>
    </row>
    <row r="294" spans="1:70" s="938" customFormat="1" ht="33">
      <c r="A294" s="79"/>
      <c r="B294" s="47"/>
      <c r="C294" s="70">
        <v>1</v>
      </c>
      <c r="D294" s="1426" t="s">
        <v>25</v>
      </c>
      <c r="E294" s="1426" t="s">
        <v>39</v>
      </c>
      <c r="F294" s="1426">
        <v>1</v>
      </c>
      <c r="G294" s="1426"/>
      <c r="H294" s="1426" t="s">
        <v>25</v>
      </c>
      <c r="I294" s="49" t="s">
        <v>760</v>
      </c>
      <c r="J294" s="49" t="s">
        <v>2644</v>
      </c>
      <c r="K294" s="1558">
        <v>10</v>
      </c>
      <c r="L294" s="50">
        <v>15450000000</v>
      </c>
      <c r="M294" s="1573">
        <v>5</v>
      </c>
      <c r="N294" s="63">
        <v>3543434586</v>
      </c>
      <c r="O294" s="1573">
        <v>3</v>
      </c>
      <c r="P294" s="63">
        <v>1660664916</v>
      </c>
      <c r="Q294" s="1573">
        <v>0</v>
      </c>
      <c r="R294" s="63">
        <v>3326550</v>
      </c>
      <c r="S294" s="1542">
        <v>3</v>
      </c>
      <c r="T294" s="50">
        <v>588241889</v>
      </c>
      <c r="U294" s="1542"/>
      <c r="V294" s="50"/>
      <c r="W294" s="65"/>
      <c r="X294" s="50"/>
      <c r="Y294" s="1575">
        <f t="shared" si="84"/>
        <v>3</v>
      </c>
      <c r="Z294" s="51">
        <f t="shared" si="85"/>
        <v>591568439</v>
      </c>
      <c r="AA294" s="1585">
        <f t="shared" si="86"/>
        <v>8</v>
      </c>
      <c r="AB294" s="51">
        <f t="shared" si="87"/>
        <v>4135003025</v>
      </c>
      <c r="AC294" s="1522">
        <f t="shared" si="88"/>
        <v>80</v>
      </c>
      <c r="AD294" s="1522">
        <f t="shared" si="89"/>
        <v>26.763773624595473</v>
      </c>
      <c r="AE294" s="79"/>
      <c r="AF294" s="201"/>
      <c r="AG294" s="750"/>
      <c r="AH294" s="750"/>
      <c r="AI294" s="750"/>
      <c r="AJ294" s="750"/>
      <c r="AK294" s="750"/>
      <c r="AL294" s="750"/>
      <c r="AM294" s="750"/>
      <c r="AN294" s="750"/>
      <c r="AO294" s="750"/>
      <c r="AP294" s="750"/>
      <c r="AQ294" s="750"/>
      <c r="AR294" s="750"/>
      <c r="AS294" s="750"/>
      <c r="AT294" s="750"/>
      <c r="AU294" s="750"/>
      <c r="AV294" s="750"/>
      <c r="AW294" s="750"/>
      <c r="AX294" s="750"/>
      <c r="AY294" s="750"/>
      <c r="AZ294" s="750"/>
      <c r="BA294" s="750"/>
      <c r="BB294" s="750"/>
      <c r="BC294" s="1547"/>
      <c r="BD294" s="1548"/>
      <c r="BE294" s="1548"/>
      <c r="BF294" s="1548"/>
      <c r="BG294" s="1548"/>
      <c r="BH294" s="1548"/>
      <c r="BI294" s="1548"/>
      <c r="BJ294" s="1548"/>
      <c r="BK294" s="1548"/>
      <c r="BL294" s="1548"/>
      <c r="BM294" s="1548"/>
      <c r="BN294" s="1548"/>
      <c r="BO294" s="1548"/>
      <c r="BP294" s="1548"/>
      <c r="BQ294" s="1548"/>
      <c r="BR294" s="1548"/>
    </row>
    <row r="295" spans="1:70" s="938" customFormat="1" ht="116.25" customHeight="1">
      <c r="A295" s="79"/>
      <c r="B295" s="47"/>
      <c r="C295" s="70">
        <v>1</v>
      </c>
      <c r="D295" s="1426" t="s">
        <v>25</v>
      </c>
      <c r="E295" s="1426" t="s">
        <v>39</v>
      </c>
      <c r="F295" s="1426">
        <v>1</v>
      </c>
      <c r="G295" s="1426"/>
      <c r="H295" s="1426" t="s">
        <v>25</v>
      </c>
      <c r="I295" s="49" t="s">
        <v>761</v>
      </c>
      <c r="J295" s="49" t="s">
        <v>762</v>
      </c>
      <c r="K295" s="1558">
        <v>1</v>
      </c>
      <c r="L295" s="50">
        <v>190000000</v>
      </c>
      <c r="M295" s="1573"/>
      <c r="N295" s="1543"/>
      <c r="O295" s="1573"/>
      <c r="P295" s="63"/>
      <c r="Q295" s="1573"/>
      <c r="R295" s="63"/>
      <c r="S295" s="1542"/>
      <c r="T295" s="50"/>
      <c r="U295" s="1542"/>
      <c r="V295" s="50"/>
      <c r="W295" s="65"/>
      <c r="X295" s="50"/>
      <c r="Y295" s="1575">
        <f t="shared" si="84"/>
        <v>0</v>
      </c>
      <c r="Z295" s="51">
        <f t="shared" si="85"/>
        <v>0</v>
      </c>
      <c r="AA295" s="1585">
        <f t="shared" si="86"/>
        <v>0</v>
      </c>
      <c r="AB295" s="51">
        <f t="shared" si="87"/>
        <v>0</v>
      </c>
      <c r="AC295" s="1522">
        <f t="shared" si="88"/>
        <v>0</v>
      </c>
      <c r="AD295" s="1522">
        <f t="shared" si="89"/>
        <v>0</v>
      </c>
      <c r="AE295" s="79"/>
      <c r="AF295" s="201"/>
      <c r="AG295" s="750"/>
      <c r="AH295" s="750"/>
      <c r="AI295" s="750"/>
      <c r="AJ295" s="750"/>
      <c r="AK295" s="750"/>
      <c r="AL295" s="750"/>
      <c r="AM295" s="750"/>
      <c r="AN295" s="750"/>
      <c r="AO295" s="750"/>
      <c r="AP295" s="750"/>
      <c r="AQ295" s="750"/>
      <c r="AR295" s="750"/>
      <c r="AS295" s="750"/>
      <c r="AT295" s="750"/>
      <c r="AU295" s="750"/>
      <c r="AV295" s="750"/>
      <c r="AW295" s="750"/>
      <c r="AX295" s="750"/>
      <c r="AY295" s="750"/>
      <c r="AZ295" s="750"/>
      <c r="BA295" s="750"/>
      <c r="BB295" s="750"/>
      <c r="BC295" s="1547"/>
      <c r="BD295" s="1548"/>
      <c r="BE295" s="1548"/>
      <c r="BF295" s="1548"/>
      <c r="BG295" s="1548"/>
      <c r="BH295" s="1548"/>
      <c r="BI295" s="1548"/>
      <c r="BJ295" s="1548"/>
      <c r="BK295" s="1548"/>
      <c r="BL295" s="1548"/>
      <c r="BM295" s="1548"/>
      <c r="BN295" s="1548"/>
      <c r="BO295" s="1548"/>
      <c r="BP295" s="1548"/>
      <c r="BQ295" s="1548"/>
      <c r="BR295" s="1548"/>
    </row>
    <row r="296" spans="1:70" s="938" customFormat="1" ht="117" customHeight="1">
      <c r="A296" s="79"/>
      <c r="B296" s="47"/>
      <c r="C296" s="70">
        <v>1</v>
      </c>
      <c r="D296" s="1426" t="s">
        <v>25</v>
      </c>
      <c r="E296" s="1426" t="s">
        <v>39</v>
      </c>
      <c r="F296" s="1426">
        <v>1</v>
      </c>
      <c r="G296" s="1426"/>
      <c r="H296" s="1426" t="s">
        <v>25</v>
      </c>
      <c r="I296" s="49" t="s">
        <v>763</v>
      </c>
      <c r="J296" s="49" t="s">
        <v>762</v>
      </c>
      <c r="K296" s="1558">
        <v>1</v>
      </c>
      <c r="L296" s="50">
        <v>190000000</v>
      </c>
      <c r="M296" s="1573"/>
      <c r="N296" s="1543"/>
      <c r="O296" s="1573"/>
      <c r="P296" s="63"/>
      <c r="Q296" s="1573"/>
      <c r="R296" s="63"/>
      <c r="S296" s="1542"/>
      <c r="T296" s="50"/>
      <c r="U296" s="1542"/>
      <c r="V296" s="50"/>
      <c r="W296" s="65"/>
      <c r="X296" s="50"/>
      <c r="Y296" s="1575">
        <f t="shared" si="84"/>
        <v>0</v>
      </c>
      <c r="Z296" s="51">
        <f t="shared" si="85"/>
        <v>0</v>
      </c>
      <c r="AA296" s="1585">
        <f t="shared" si="86"/>
        <v>0</v>
      </c>
      <c r="AB296" s="51">
        <f t="shared" si="87"/>
        <v>0</v>
      </c>
      <c r="AC296" s="1522">
        <f t="shared" si="88"/>
        <v>0</v>
      </c>
      <c r="AD296" s="1522">
        <f t="shared" si="89"/>
        <v>0</v>
      </c>
      <c r="AE296" s="79"/>
      <c r="AF296" s="201"/>
      <c r="AG296" s="750"/>
      <c r="AH296" s="750"/>
      <c r="AI296" s="750"/>
      <c r="AJ296" s="750"/>
      <c r="AK296" s="750"/>
      <c r="AL296" s="750"/>
      <c r="AM296" s="750"/>
      <c r="AN296" s="750"/>
      <c r="AO296" s="750"/>
      <c r="AP296" s="750"/>
      <c r="AQ296" s="750"/>
      <c r="AR296" s="750"/>
      <c r="AS296" s="750"/>
      <c r="AT296" s="750"/>
      <c r="AU296" s="750"/>
      <c r="AV296" s="750"/>
      <c r="AW296" s="750"/>
      <c r="AX296" s="750"/>
      <c r="AY296" s="750"/>
      <c r="AZ296" s="750"/>
      <c r="BA296" s="750"/>
      <c r="BB296" s="750"/>
      <c r="BC296" s="1547"/>
      <c r="BD296" s="1548"/>
      <c r="BE296" s="1548"/>
      <c r="BF296" s="1548"/>
      <c r="BG296" s="1548"/>
      <c r="BH296" s="1548"/>
      <c r="BI296" s="1548"/>
      <c r="BJ296" s="1548"/>
      <c r="BK296" s="1548"/>
      <c r="BL296" s="1548"/>
      <c r="BM296" s="1548"/>
      <c r="BN296" s="1548"/>
      <c r="BO296" s="1548"/>
      <c r="BP296" s="1548"/>
      <c r="BQ296" s="1548"/>
      <c r="BR296" s="1548"/>
    </row>
    <row r="297" spans="1:70" s="938" customFormat="1" ht="133.5" customHeight="1">
      <c r="A297" s="79"/>
      <c r="B297" s="47"/>
      <c r="C297" s="70">
        <v>1</v>
      </c>
      <c r="D297" s="1426" t="s">
        <v>25</v>
      </c>
      <c r="E297" s="1426" t="s">
        <v>39</v>
      </c>
      <c r="F297" s="1426">
        <v>1</v>
      </c>
      <c r="G297" s="1426"/>
      <c r="H297" s="1426" t="s">
        <v>25</v>
      </c>
      <c r="I297" s="49" t="s">
        <v>764</v>
      </c>
      <c r="J297" s="49" t="s">
        <v>762</v>
      </c>
      <c r="K297" s="1558">
        <v>1</v>
      </c>
      <c r="L297" s="50">
        <v>200000000</v>
      </c>
      <c r="M297" s="1573"/>
      <c r="N297" s="1543"/>
      <c r="O297" s="1573"/>
      <c r="P297" s="63"/>
      <c r="Q297" s="1573"/>
      <c r="R297" s="63"/>
      <c r="S297" s="1542"/>
      <c r="T297" s="50"/>
      <c r="U297" s="1542"/>
      <c r="V297" s="50"/>
      <c r="W297" s="65"/>
      <c r="X297" s="50"/>
      <c r="Y297" s="1575">
        <f t="shared" si="84"/>
        <v>0</v>
      </c>
      <c r="Z297" s="51">
        <f t="shared" si="85"/>
        <v>0</v>
      </c>
      <c r="AA297" s="1585">
        <f t="shared" si="86"/>
        <v>0</v>
      </c>
      <c r="AB297" s="51">
        <f t="shared" si="87"/>
        <v>0</v>
      </c>
      <c r="AC297" s="1522">
        <f t="shared" si="88"/>
        <v>0</v>
      </c>
      <c r="AD297" s="1522">
        <f t="shared" si="89"/>
        <v>0</v>
      </c>
      <c r="AE297" s="79"/>
      <c r="AF297" s="201"/>
      <c r="AG297" s="750"/>
      <c r="AH297" s="750"/>
      <c r="AI297" s="750"/>
      <c r="AJ297" s="750"/>
      <c r="AK297" s="750"/>
      <c r="AL297" s="750"/>
      <c r="AM297" s="750"/>
      <c r="AN297" s="750"/>
      <c r="AO297" s="750"/>
      <c r="AP297" s="750"/>
      <c r="AQ297" s="750"/>
      <c r="AR297" s="750"/>
      <c r="AS297" s="750"/>
      <c r="AT297" s="750"/>
      <c r="AU297" s="750"/>
      <c r="AV297" s="750"/>
      <c r="AW297" s="750"/>
      <c r="AX297" s="750"/>
      <c r="AY297" s="750"/>
      <c r="AZ297" s="750"/>
      <c r="BA297" s="750"/>
      <c r="BB297" s="750"/>
      <c r="BC297" s="1547"/>
      <c r="BD297" s="1548"/>
      <c r="BE297" s="1548"/>
      <c r="BF297" s="1548"/>
      <c r="BG297" s="1548"/>
      <c r="BH297" s="1548"/>
      <c r="BI297" s="1548"/>
      <c r="BJ297" s="1548"/>
      <c r="BK297" s="1548"/>
      <c r="BL297" s="1548"/>
      <c r="BM297" s="1548"/>
      <c r="BN297" s="1548"/>
      <c r="BO297" s="1548"/>
      <c r="BP297" s="1548"/>
      <c r="BQ297" s="1548"/>
      <c r="BR297" s="1548"/>
    </row>
    <row r="298" spans="1:70" s="938" customFormat="1" ht="33">
      <c r="A298" s="79"/>
      <c r="B298" s="47"/>
      <c r="C298" s="70"/>
      <c r="D298" s="1426"/>
      <c r="E298" s="1426"/>
      <c r="F298" s="1426"/>
      <c r="G298" s="1426"/>
      <c r="H298" s="1426"/>
      <c r="I298" s="49" t="s">
        <v>765</v>
      </c>
      <c r="J298" s="49" t="s">
        <v>762</v>
      </c>
      <c r="K298" s="1559"/>
      <c r="L298" s="50">
        <v>79053589</v>
      </c>
      <c r="M298" s="1573">
        <v>0</v>
      </c>
      <c r="N298" s="63"/>
      <c r="O298" s="1580"/>
      <c r="P298" s="63"/>
      <c r="Q298" s="1573"/>
      <c r="R298" s="63"/>
      <c r="S298" s="65"/>
      <c r="T298" s="50"/>
      <c r="U298" s="65"/>
      <c r="V298" s="50"/>
      <c r="W298" s="65"/>
      <c r="X298" s="50"/>
      <c r="Y298" s="1553">
        <f t="shared" si="84"/>
        <v>0</v>
      </c>
      <c r="Z298" s="51">
        <f t="shared" si="85"/>
        <v>0</v>
      </c>
      <c r="AA298" s="1553">
        <f t="shared" si="86"/>
        <v>0</v>
      </c>
      <c r="AB298" s="51">
        <f t="shared" si="87"/>
        <v>0</v>
      </c>
      <c r="AC298" s="1522" t="e">
        <f t="shared" si="88"/>
        <v>#DIV/0!</v>
      </c>
      <c r="AD298" s="1522">
        <f t="shared" si="89"/>
        <v>0</v>
      </c>
      <c r="AE298" s="79"/>
      <c r="AF298" s="201"/>
      <c r="AG298" s="750"/>
      <c r="AH298" s="750"/>
      <c r="AI298" s="750"/>
      <c r="AJ298" s="750"/>
      <c r="AK298" s="750"/>
      <c r="AL298" s="750"/>
      <c r="AM298" s="750"/>
      <c r="AN298" s="750"/>
      <c r="AO298" s="750"/>
      <c r="AP298" s="750"/>
      <c r="AQ298" s="750"/>
      <c r="AR298" s="750"/>
      <c r="AS298" s="750"/>
      <c r="AT298" s="750"/>
      <c r="AU298" s="750"/>
      <c r="AV298" s="750"/>
      <c r="AW298" s="750"/>
      <c r="AX298" s="750"/>
      <c r="AY298" s="750"/>
      <c r="AZ298" s="750"/>
      <c r="BA298" s="750"/>
      <c r="BB298" s="750"/>
      <c r="BC298" s="1547"/>
      <c r="BD298" s="1548"/>
      <c r="BE298" s="1548"/>
      <c r="BF298" s="1548"/>
      <c r="BG298" s="1548"/>
      <c r="BH298" s="1548"/>
      <c r="BI298" s="1548"/>
      <c r="BJ298" s="1548"/>
      <c r="BK298" s="1548"/>
      <c r="BL298" s="1548"/>
      <c r="BM298" s="1548"/>
      <c r="BN298" s="1548"/>
      <c r="BO298" s="1548"/>
      <c r="BP298" s="1548"/>
      <c r="BQ298" s="1548"/>
      <c r="BR298" s="1548"/>
    </row>
    <row r="299" spans="1:70" s="938" customFormat="1" ht="82.5">
      <c r="A299" s="194">
        <v>7</v>
      </c>
      <c r="B299" s="186"/>
      <c r="C299" s="194">
        <v>1</v>
      </c>
      <c r="D299" s="1424" t="s">
        <v>25</v>
      </c>
      <c r="E299" s="1424" t="s">
        <v>39</v>
      </c>
      <c r="F299" s="1424">
        <v>1</v>
      </c>
      <c r="G299" s="1424"/>
      <c r="H299" s="1424" t="s">
        <v>25</v>
      </c>
      <c r="I299" s="187" t="s">
        <v>906</v>
      </c>
      <c r="J299" s="186" t="s">
        <v>2646</v>
      </c>
      <c r="K299" s="1556">
        <v>50</v>
      </c>
      <c r="L299" s="189">
        <f>SUM(L300:L306)</f>
        <v>34197431350</v>
      </c>
      <c r="M299" s="1556">
        <v>40</v>
      </c>
      <c r="N299" s="189">
        <f>SUM(N300:N306)</f>
        <v>7903106055</v>
      </c>
      <c r="O299" s="1556">
        <v>3</v>
      </c>
      <c r="P299" s="189">
        <f>SUM(P300:P306)</f>
        <v>8619138565</v>
      </c>
      <c r="Q299" s="1568">
        <v>1</v>
      </c>
      <c r="R299" s="189">
        <f>SUM(R300:R306)</f>
        <v>292365192</v>
      </c>
      <c r="S299" s="937"/>
      <c r="T299" s="190">
        <v>3224907792</v>
      </c>
      <c r="U299" s="937"/>
      <c r="V299" s="190"/>
      <c r="W299" s="191"/>
      <c r="X299" s="192"/>
      <c r="Y299" s="1556">
        <f t="shared" si="84"/>
        <v>1</v>
      </c>
      <c r="Z299" s="190">
        <f t="shared" si="85"/>
        <v>3517272984</v>
      </c>
      <c r="AA299" s="1556">
        <f t="shared" si="86"/>
        <v>41</v>
      </c>
      <c r="AB299" s="190">
        <f t="shared" si="87"/>
        <v>11420379039</v>
      </c>
      <c r="AC299" s="1523">
        <f t="shared" si="88"/>
        <v>82</v>
      </c>
      <c r="AD299" s="1523">
        <f t="shared" si="89"/>
        <v>33.395429388002853</v>
      </c>
      <c r="AE299" s="194" t="s">
        <v>111</v>
      </c>
      <c r="AF299" s="201"/>
      <c r="AG299" s="750"/>
      <c r="AH299" s="750"/>
      <c r="AI299" s="750"/>
      <c r="AJ299" s="750"/>
      <c r="AK299" s="750"/>
      <c r="AL299" s="750"/>
      <c r="AM299" s="750"/>
      <c r="AN299" s="750"/>
      <c r="AO299" s="750"/>
      <c r="AP299" s="750"/>
      <c r="AQ299" s="750"/>
      <c r="AR299" s="750"/>
      <c r="AS299" s="750"/>
      <c r="AT299" s="750"/>
      <c r="AU299" s="750"/>
      <c r="AV299" s="750"/>
      <c r="AW299" s="750"/>
      <c r="AX299" s="750"/>
      <c r="AY299" s="750"/>
      <c r="AZ299" s="750"/>
      <c r="BA299" s="750"/>
      <c r="BB299" s="750"/>
      <c r="BC299" s="1547"/>
      <c r="BD299" s="1548"/>
      <c r="BE299" s="1548"/>
      <c r="BF299" s="1548"/>
      <c r="BG299" s="1548"/>
      <c r="BH299" s="1548"/>
      <c r="BI299" s="1548"/>
      <c r="BJ299" s="1548"/>
      <c r="BK299" s="1548"/>
      <c r="BL299" s="1548"/>
      <c r="BM299" s="1548"/>
      <c r="BN299" s="1548"/>
      <c r="BO299" s="1548"/>
      <c r="BP299" s="1548"/>
      <c r="BQ299" s="1548"/>
      <c r="BR299" s="1548"/>
    </row>
    <row r="300" spans="1:70" s="938" customFormat="1" ht="66">
      <c r="A300" s="79"/>
      <c r="B300" s="47"/>
      <c r="C300" s="1422">
        <v>1</v>
      </c>
      <c r="D300" s="1423" t="s">
        <v>25</v>
      </c>
      <c r="E300" s="1423" t="s">
        <v>39</v>
      </c>
      <c r="F300" s="1423" t="s">
        <v>25</v>
      </c>
      <c r="G300" s="1423"/>
      <c r="H300" s="1423" t="s">
        <v>25</v>
      </c>
      <c r="I300" s="49" t="s">
        <v>766</v>
      </c>
      <c r="J300" s="49" t="s">
        <v>767</v>
      </c>
      <c r="K300" s="1553">
        <v>25</v>
      </c>
      <c r="L300" s="1544">
        <v>14000000000</v>
      </c>
      <c r="M300" s="1553">
        <v>8</v>
      </c>
      <c r="N300" s="67">
        <v>3544957181</v>
      </c>
      <c r="O300" s="1553">
        <v>10</v>
      </c>
      <c r="P300" s="67">
        <v>4707071666</v>
      </c>
      <c r="Q300" s="1553">
        <v>1</v>
      </c>
      <c r="R300" s="63">
        <v>282439100</v>
      </c>
      <c r="S300" s="66">
        <v>3</v>
      </c>
      <c r="T300" s="50">
        <v>1873345000</v>
      </c>
      <c r="U300" s="66"/>
      <c r="V300" s="50"/>
      <c r="W300" s="77"/>
      <c r="X300" s="50"/>
      <c r="Y300" s="1553">
        <f t="shared" si="84"/>
        <v>4</v>
      </c>
      <c r="Z300" s="51">
        <f t="shared" si="85"/>
        <v>2155784100</v>
      </c>
      <c r="AA300" s="1553">
        <f t="shared" si="86"/>
        <v>12</v>
      </c>
      <c r="AB300" s="51">
        <f t="shared" si="87"/>
        <v>5700741281</v>
      </c>
      <c r="AC300" s="1522">
        <f t="shared" si="88"/>
        <v>48</v>
      </c>
      <c r="AD300" s="1522">
        <f t="shared" si="89"/>
        <v>40.719580578571431</v>
      </c>
      <c r="AE300" s="79"/>
      <c r="AF300" s="201"/>
      <c r="AG300" s="750"/>
      <c r="AH300" s="750"/>
      <c r="AI300" s="750"/>
      <c r="AJ300" s="750"/>
      <c r="AK300" s="750"/>
      <c r="AL300" s="750"/>
      <c r="AM300" s="750"/>
      <c r="AN300" s="750"/>
      <c r="AO300" s="750"/>
      <c r="AP300" s="750"/>
      <c r="AQ300" s="750"/>
      <c r="AR300" s="750"/>
      <c r="AS300" s="750"/>
      <c r="AT300" s="750"/>
      <c r="AU300" s="750"/>
      <c r="AV300" s="750"/>
      <c r="AW300" s="750"/>
      <c r="AX300" s="750"/>
      <c r="AY300" s="750"/>
      <c r="AZ300" s="750"/>
      <c r="BA300" s="750"/>
      <c r="BB300" s="750"/>
      <c r="BC300" s="1547"/>
      <c r="BD300" s="1548"/>
      <c r="BE300" s="1548"/>
      <c r="BF300" s="1548"/>
      <c r="BG300" s="1548"/>
      <c r="BH300" s="1548"/>
      <c r="BI300" s="1548"/>
      <c r="BJ300" s="1548"/>
      <c r="BK300" s="1548"/>
      <c r="BL300" s="1548"/>
      <c r="BM300" s="1548"/>
      <c r="BN300" s="1548"/>
      <c r="BO300" s="1548"/>
      <c r="BP300" s="1548"/>
      <c r="BQ300" s="1548"/>
      <c r="BR300" s="1548"/>
    </row>
    <row r="301" spans="1:70" s="938" customFormat="1" ht="33">
      <c r="A301" s="79"/>
      <c r="B301" s="47"/>
      <c r="C301" s="1422">
        <v>1</v>
      </c>
      <c r="D301" s="1423" t="s">
        <v>25</v>
      </c>
      <c r="E301" s="1423" t="s">
        <v>39</v>
      </c>
      <c r="F301" s="1423" t="s">
        <v>25</v>
      </c>
      <c r="G301" s="1423"/>
      <c r="H301" s="1423"/>
      <c r="I301" s="49" t="s">
        <v>768</v>
      </c>
      <c r="J301" s="49" t="s">
        <v>769</v>
      </c>
      <c r="K301" s="1553">
        <v>10</v>
      </c>
      <c r="L301" s="1544">
        <v>350000000</v>
      </c>
      <c r="M301" s="1553"/>
      <c r="N301" s="82"/>
      <c r="O301" s="1553"/>
      <c r="P301" s="67"/>
      <c r="Q301" s="1553"/>
      <c r="R301" s="63"/>
      <c r="S301" s="66"/>
      <c r="T301" s="50"/>
      <c r="U301" s="66"/>
      <c r="V301" s="50"/>
      <c r="W301" s="77"/>
      <c r="X301" s="50"/>
      <c r="Y301" s="1553">
        <f t="shared" si="84"/>
        <v>0</v>
      </c>
      <c r="Z301" s="51">
        <f t="shared" si="85"/>
        <v>0</v>
      </c>
      <c r="AA301" s="1553">
        <f t="shared" si="86"/>
        <v>0</v>
      </c>
      <c r="AB301" s="51">
        <f t="shared" si="87"/>
        <v>0</v>
      </c>
      <c r="AC301" s="1522">
        <f t="shared" si="88"/>
        <v>0</v>
      </c>
      <c r="AD301" s="1522">
        <f t="shared" si="89"/>
        <v>0</v>
      </c>
      <c r="AE301" s="79"/>
      <c r="AF301" s="201"/>
      <c r="AG301" s="750"/>
      <c r="AH301" s="750"/>
      <c r="AI301" s="750"/>
      <c r="AJ301" s="750"/>
      <c r="AK301" s="750"/>
      <c r="AL301" s="750"/>
      <c r="AM301" s="750"/>
      <c r="AN301" s="750"/>
      <c r="AO301" s="750"/>
      <c r="AP301" s="750"/>
      <c r="AQ301" s="750"/>
      <c r="AR301" s="750"/>
      <c r="AS301" s="750"/>
      <c r="AT301" s="750"/>
      <c r="AU301" s="750"/>
      <c r="AV301" s="750"/>
      <c r="AW301" s="750"/>
      <c r="AX301" s="750"/>
      <c r="AY301" s="750"/>
      <c r="AZ301" s="750"/>
      <c r="BA301" s="750"/>
      <c r="BB301" s="750"/>
      <c r="BC301" s="1547"/>
      <c r="BD301" s="1548"/>
      <c r="BE301" s="1548"/>
      <c r="BF301" s="1548"/>
      <c r="BG301" s="1548"/>
      <c r="BH301" s="1548"/>
      <c r="BI301" s="1548"/>
      <c r="BJ301" s="1548"/>
      <c r="BK301" s="1548"/>
      <c r="BL301" s="1548"/>
      <c r="BM301" s="1548"/>
      <c r="BN301" s="1548"/>
      <c r="BO301" s="1548"/>
      <c r="BP301" s="1548"/>
      <c r="BQ301" s="1548"/>
      <c r="BR301" s="1548"/>
    </row>
    <row r="302" spans="1:70" s="938" customFormat="1" ht="82.5">
      <c r="A302" s="79"/>
      <c r="B302" s="47"/>
      <c r="C302" s="1422">
        <v>1</v>
      </c>
      <c r="D302" s="1423" t="s">
        <v>25</v>
      </c>
      <c r="E302" s="1423" t="s">
        <v>39</v>
      </c>
      <c r="F302" s="1423">
        <v>1</v>
      </c>
      <c r="G302" s="1423"/>
      <c r="H302" s="1423" t="s">
        <v>25</v>
      </c>
      <c r="I302" s="49" t="s">
        <v>770</v>
      </c>
      <c r="J302" s="49" t="s">
        <v>771</v>
      </c>
      <c r="K302" s="1553">
        <v>20</v>
      </c>
      <c r="L302" s="50">
        <v>18200000000</v>
      </c>
      <c r="M302" s="1553">
        <v>5</v>
      </c>
      <c r="N302" s="63">
        <v>3612997124</v>
      </c>
      <c r="O302" s="1553">
        <v>3</v>
      </c>
      <c r="P302" s="63">
        <v>3912066899</v>
      </c>
      <c r="Q302" s="1553"/>
      <c r="R302" s="63">
        <v>9926092</v>
      </c>
      <c r="S302" s="66">
        <v>2</v>
      </c>
      <c r="T302" s="50">
        <v>1351562792</v>
      </c>
      <c r="U302" s="66"/>
      <c r="V302" s="50"/>
      <c r="W302" s="65"/>
      <c r="X302" s="50"/>
      <c r="Y302" s="1553">
        <f t="shared" si="84"/>
        <v>2</v>
      </c>
      <c r="Z302" s="51">
        <f t="shared" si="85"/>
        <v>1361488884</v>
      </c>
      <c r="AA302" s="1553">
        <f t="shared" si="86"/>
        <v>7</v>
      </c>
      <c r="AB302" s="51">
        <f t="shared" si="87"/>
        <v>4974486008</v>
      </c>
      <c r="AC302" s="1522">
        <f t="shared" si="88"/>
        <v>35</v>
      </c>
      <c r="AD302" s="1522">
        <f t="shared" si="89"/>
        <v>27.332340703296705</v>
      </c>
      <c r="AE302" s="79"/>
      <c r="AF302" s="201"/>
      <c r="AG302" s="750"/>
      <c r="AH302" s="750"/>
      <c r="AI302" s="750"/>
      <c r="AJ302" s="750"/>
      <c r="AK302" s="750"/>
      <c r="AL302" s="750"/>
      <c r="AM302" s="750"/>
      <c r="AN302" s="750"/>
      <c r="AO302" s="750"/>
      <c r="AP302" s="750"/>
      <c r="AQ302" s="750"/>
      <c r="AR302" s="750"/>
      <c r="AS302" s="750"/>
      <c r="AT302" s="750"/>
      <c r="AU302" s="750"/>
      <c r="AV302" s="750"/>
      <c r="AW302" s="750"/>
      <c r="AX302" s="750"/>
      <c r="AY302" s="750"/>
      <c r="AZ302" s="750"/>
      <c r="BA302" s="750"/>
      <c r="BB302" s="750"/>
      <c r="BC302" s="1547"/>
      <c r="BD302" s="1548"/>
      <c r="BE302" s="1548"/>
      <c r="BF302" s="1548"/>
      <c r="BG302" s="1548"/>
      <c r="BH302" s="1548"/>
      <c r="BI302" s="1548"/>
      <c r="BJ302" s="1548"/>
      <c r="BK302" s="1548"/>
      <c r="BL302" s="1548"/>
      <c r="BM302" s="1548"/>
      <c r="BN302" s="1548"/>
      <c r="BO302" s="1548"/>
      <c r="BP302" s="1548"/>
      <c r="BQ302" s="1548"/>
      <c r="BR302" s="1548"/>
    </row>
    <row r="303" spans="1:70" s="938" customFormat="1" ht="99">
      <c r="A303" s="79"/>
      <c r="B303" s="47"/>
      <c r="C303" s="1422"/>
      <c r="D303" s="1423"/>
      <c r="E303" s="1423"/>
      <c r="F303" s="1423"/>
      <c r="G303" s="1423"/>
      <c r="H303" s="1423"/>
      <c r="I303" s="49" t="s">
        <v>772</v>
      </c>
      <c r="J303" s="47" t="s">
        <v>773</v>
      </c>
      <c r="K303" s="1560">
        <v>1</v>
      </c>
      <c r="L303" s="50">
        <v>1264920000</v>
      </c>
      <c r="M303" s="1553">
        <v>1</v>
      </c>
      <c r="N303" s="63">
        <v>362640400</v>
      </c>
      <c r="O303" s="1553"/>
      <c r="P303" s="63"/>
      <c r="Q303" s="1553"/>
      <c r="R303" s="63"/>
      <c r="S303" s="62"/>
      <c r="T303" s="50"/>
      <c r="U303" s="65"/>
      <c r="V303" s="50"/>
      <c r="W303" s="78"/>
      <c r="X303" s="50"/>
      <c r="Y303" s="1553">
        <f t="shared" si="84"/>
        <v>0</v>
      </c>
      <c r="Z303" s="51">
        <f t="shared" si="85"/>
        <v>0</v>
      </c>
      <c r="AA303" s="1553">
        <f t="shared" si="86"/>
        <v>1</v>
      </c>
      <c r="AB303" s="51">
        <f t="shared" si="87"/>
        <v>362640400</v>
      </c>
      <c r="AC303" s="1522">
        <f t="shared" si="88"/>
        <v>100</v>
      </c>
      <c r="AD303" s="1522">
        <f t="shared" si="89"/>
        <v>28.669038358157039</v>
      </c>
      <c r="AE303" s="79"/>
      <c r="AF303" s="201"/>
      <c r="AG303" s="750"/>
      <c r="AH303" s="750"/>
      <c r="AI303" s="750"/>
      <c r="AJ303" s="750"/>
      <c r="AK303" s="750"/>
      <c r="AL303" s="750"/>
      <c r="AM303" s="750"/>
      <c r="AN303" s="750"/>
      <c r="AO303" s="750"/>
      <c r="AP303" s="750"/>
      <c r="AQ303" s="750"/>
      <c r="AR303" s="750"/>
      <c r="AS303" s="750"/>
      <c r="AT303" s="750"/>
      <c r="AU303" s="750"/>
      <c r="AV303" s="750"/>
      <c r="AW303" s="750"/>
      <c r="AX303" s="750"/>
      <c r="AY303" s="750"/>
      <c r="AZ303" s="750"/>
      <c r="BA303" s="750"/>
      <c r="BB303" s="750"/>
      <c r="BC303" s="1547"/>
      <c r="BD303" s="1548"/>
      <c r="BE303" s="1548"/>
      <c r="BF303" s="1548"/>
      <c r="BG303" s="1548"/>
      <c r="BH303" s="1548"/>
      <c r="BI303" s="1548"/>
      <c r="BJ303" s="1548"/>
      <c r="BK303" s="1548"/>
      <c r="BL303" s="1548"/>
      <c r="BM303" s="1548"/>
      <c r="BN303" s="1548"/>
      <c r="BO303" s="1548"/>
      <c r="BP303" s="1548"/>
      <c r="BQ303" s="1548"/>
      <c r="BR303" s="1548"/>
    </row>
    <row r="304" spans="1:70" s="938" customFormat="1" ht="66">
      <c r="A304" s="79"/>
      <c r="B304" s="47"/>
      <c r="C304" s="79"/>
      <c r="D304" s="1425"/>
      <c r="E304" s="1425"/>
      <c r="F304" s="1425"/>
      <c r="G304" s="1425"/>
      <c r="H304" s="1425"/>
      <c r="I304" s="49" t="s">
        <v>774</v>
      </c>
      <c r="J304" s="47" t="s">
        <v>775</v>
      </c>
      <c r="K304" s="1560"/>
      <c r="L304" s="50">
        <v>87080700</v>
      </c>
      <c r="M304" s="1553"/>
      <c r="N304" s="63">
        <v>87080700</v>
      </c>
      <c r="O304" s="1553"/>
      <c r="P304" s="63"/>
      <c r="Q304" s="1553"/>
      <c r="R304" s="63"/>
      <c r="S304" s="62"/>
      <c r="T304" s="50"/>
      <c r="U304" s="65"/>
      <c r="V304" s="50"/>
      <c r="W304" s="78"/>
      <c r="X304" s="50"/>
      <c r="Y304" s="1553">
        <f t="shared" ref="Y304:Y335" si="90">Q304+S304+U304+W304</f>
        <v>0</v>
      </c>
      <c r="Z304" s="51">
        <f t="shared" ref="Z304:Z335" si="91">R304+T304+V304+X304</f>
        <v>0</v>
      </c>
      <c r="AA304" s="1553">
        <f t="shared" ref="AA304:AA335" si="92">M304+Y304</f>
        <v>0</v>
      </c>
      <c r="AB304" s="51">
        <f t="shared" ref="AB304:AB335" si="93">N304+Z304</f>
        <v>87080700</v>
      </c>
      <c r="AC304" s="1522" t="e">
        <f t="shared" si="88"/>
        <v>#DIV/0!</v>
      </c>
      <c r="AD304" s="1522">
        <f t="shared" si="89"/>
        <v>100</v>
      </c>
      <c r="AE304" s="79"/>
      <c r="AF304" s="201"/>
      <c r="AG304" s="750"/>
      <c r="AH304" s="750"/>
      <c r="AI304" s="750"/>
      <c r="AJ304" s="750"/>
      <c r="AK304" s="750"/>
      <c r="AL304" s="750"/>
      <c r="AM304" s="750"/>
      <c r="AN304" s="750"/>
      <c r="AO304" s="750"/>
      <c r="AP304" s="750"/>
      <c r="AQ304" s="750"/>
      <c r="AR304" s="750"/>
      <c r="AS304" s="750"/>
      <c r="AT304" s="750"/>
      <c r="AU304" s="750"/>
      <c r="AV304" s="750"/>
      <c r="AW304" s="750"/>
      <c r="AX304" s="750"/>
      <c r="AY304" s="750"/>
      <c r="AZ304" s="750"/>
      <c r="BA304" s="750"/>
      <c r="BB304" s="750"/>
      <c r="BC304" s="1547"/>
      <c r="BD304" s="1548"/>
      <c r="BE304" s="1548"/>
      <c r="BF304" s="1548"/>
      <c r="BG304" s="1548"/>
      <c r="BH304" s="1548"/>
      <c r="BI304" s="1548"/>
      <c r="BJ304" s="1548"/>
      <c r="BK304" s="1548"/>
      <c r="BL304" s="1548"/>
      <c r="BM304" s="1548"/>
      <c r="BN304" s="1548"/>
      <c r="BO304" s="1548"/>
      <c r="BP304" s="1548"/>
      <c r="BQ304" s="1548"/>
      <c r="BR304" s="1548"/>
    </row>
    <row r="305" spans="1:70" s="938" customFormat="1" ht="49.5">
      <c r="A305" s="79"/>
      <c r="B305" s="47"/>
      <c r="C305" s="79"/>
      <c r="D305" s="1425"/>
      <c r="E305" s="1425"/>
      <c r="F305" s="1425"/>
      <c r="G305" s="1425"/>
      <c r="H305" s="1425"/>
      <c r="I305" s="49" t="s">
        <v>776</v>
      </c>
      <c r="J305" s="47" t="s">
        <v>777</v>
      </c>
      <c r="K305" s="1560"/>
      <c r="L305" s="50">
        <v>246804250</v>
      </c>
      <c r="M305" s="1553"/>
      <c r="N305" s="63">
        <v>246804250</v>
      </c>
      <c r="O305" s="1553"/>
      <c r="P305" s="63"/>
      <c r="Q305" s="1553"/>
      <c r="R305" s="63"/>
      <c r="S305" s="62"/>
      <c r="T305" s="50"/>
      <c r="U305" s="65"/>
      <c r="V305" s="50"/>
      <c r="W305" s="78"/>
      <c r="X305" s="50"/>
      <c r="Y305" s="1553">
        <f t="shared" si="90"/>
        <v>0</v>
      </c>
      <c r="Z305" s="51">
        <f t="shared" si="91"/>
        <v>0</v>
      </c>
      <c r="AA305" s="1553">
        <f t="shared" si="92"/>
        <v>0</v>
      </c>
      <c r="AB305" s="51">
        <f t="shared" si="93"/>
        <v>246804250</v>
      </c>
      <c r="AC305" s="1522" t="e">
        <f t="shared" si="88"/>
        <v>#DIV/0!</v>
      </c>
      <c r="AD305" s="1522">
        <f t="shared" si="89"/>
        <v>100</v>
      </c>
      <c r="AE305" s="79"/>
      <c r="AF305" s="201"/>
      <c r="AG305" s="750"/>
      <c r="AH305" s="750"/>
      <c r="AI305" s="750"/>
      <c r="AJ305" s="750"/>
      <c r="AK305" s="750"/>
      <c r="AL305" s="750"/>
      <c r="AM305" s="750"/>
      <c r="AN305" s="750"/>
      <c r="AO305" s="750"/>
      <c r="AP305" s="750"/>
      <c r="AQ305" s="750"/>
      <c r="AR305" s="750"/>
      <c r="AS305" s="750"/>
      <c r="AT305" s="750"/>
      <c r="AU305" s="750"/>
      <c r="AV305" s="750"/>
      <c r="AW305" s="750"/>
      <c r="AX305" s="750"/>
      <c r="AY305" s="750"/>
      <c r="AZ305" s="750"/>
      <c r="BA305" s="750"/>
      <c r="BB305" s="750"/>
      <c r="BC305" s="1547"/>
      <c r="BD305" s="1548"/>
      <c r="BE305" s="1548"/>
      <c r="BF305" s="1548"/>
      <c r="BG305" s="1548"/>
      <c r="BH305" s="1548"/>
      <c r="BI305" s="1548"/>
      <c r="BJ305" s="1548"/>
      <c r="BK305" s="1548"/>
      <c r="BL305" s="1548"/>
      <c r="BM305" s="1548"/>
      <c r="BN305" s="1548"/>
      <c r="BO305" s="1548"/>
      <c r="BP305" s="1548"/>
      <c r="BQ305" s="1548"/>
      <c r="BR305" s="1548"/>
    </row>
    <row r="306" spans="1:70" s="938" customFormat="1" ht="49.5">
      <c r="A306" s="79"/>
      <c r="B306" s="47"/>
      <c r="C306" s="79"/>
      <c r="D306" s="1425"/>
      <c r="E306" s="1425"/>
      <c r="F306" s="1425"/>
      <c r="G306" s="1425"/>
      <c r="H306" s="1425"/>
      <c r="I306" s="49" t="s">
        <v>778</v>
      </c>
      <c r="J306" s="47" t="s">
        <v>779</v>
      </c>
      <c r="K306" s="1560"/>
      <c r="L306" s="50">
        <v>48626400</v>
      </c>
      <c r="M306" s="1553"/>
      <c r="N306" s="63">
        <v>48626400</v>
      </c>
      <c r="O306" s="1553"/>
      <c r="P306" s="63"/>
      <c r="Q306" s="1553"/>
      <c r="R306" s="63"/>
      <c r="S306" s="62"/>
      <c r="T306" s="50"/>
      <c r="U306" s="65"/>
      <c r="V306" s="50"/>
      <c r="W306" s="78"/>
      <c r="X306" s="50"/>
      <c r="Y306" s="1553">
        <f t="shared" si="90"/>
        <v>0</v>
      </c>
      <c r="Z306" s="51">
        <f t="shared" si="91"/>
        <v>0</v>
      </c>
      <c r="AA306" s="1553">
        <f t="shared" si="92"/>
        <v>0</v>
      </c>
      <c r="AB306" s="51">
        <f t="shared" si="93"/>
        <v>48626400</v>
      </c>
      <c r="AC306" s="1522" t="e">
        <f t="shared" si="88"/>
        <v>#DIV/0!</v>
      </c>
      <c r="AD306" s="1522">
        <f t="shared" si="89"/>
        <v>100</v>
      </c>
      <c r="AE306" s="79"/>
      <c r="AF306" s="201"/>
      <c r="AG306" s="750"/>
      <c r="AH306" s="750"/>
      <c r="AI306" s="750"/>
      <c r="AJ306" s="750"/>
      <c r="AK306" s="750"/>
      <c r="AL306" s="750"/>
      <c r="AM306" s="750"/>
      <c r="AN306" s="750"/>
      <c r="AO306" s="750"/>
      <c r="AP306" s="750"/>
      <c r="AQ306" s="750"/>
      <c r="AR306" s="750"/>
      <c r="AS306" s="750"/>
      <c r="AT306" s="750"/>
      <c r="AU306" s="750"/>
      <c r="AV306" s="750"/>
      <c r="AW306" s="750"/>
      <c r="AX306" s="750"/>
      <c r="AY306" s="750"/>
      <c r="AZ306" s="750"/>
      <c r="BA306" s="750"/>
      <c r="BB306" s="750"/>
      <c r="BC306" s="1547"/>
      <c r="BD306" s="1548"/>
      <c r="BE306" s="1548"/>
      <c r="BF306" s="1548"/>
      <c r="BG306" s="1548"/>
      <c r="BH306" s="1548"/>
      <c r="BI306" s="1548"/>
      <c r="BJ306" s="1548"/>
      <c r="BK306" s="1548"/>
      <c r="BL306" s="1548"/>
      <c r="BM306" s="1548"/>
      <c r="BN306" s="1548"/>
      <c r="BO306" s="1548"/>
      <c r="BP306" s="1548"/>
      <c r="BQ306" s="1548"/>
      <c r="BR306" s="1548"/>
    </row>
    <row r="307" spans="1:70" s="938" customFormat="1" ht="44.25" customHeight="1">
      <c r="A307" s="1591">
        <v>8</v>
      </c>
      <c r="B307" s="474"/>
      <c r="C307" s="1591">
        <v>1</v>
      </c>
      <c r="D307" s="1593" t="s">
        <v>25</v>
      </c>
      <c r="E307" s="1593" t="s">
        <v>39</v>
      </c>
      <c r="F307" s="1593">
        <v>1</v>
      </c>
      <c r="G307" s="1593"/>
      <c r="H307" s="1593" t="s">
        <v>25</v>
      </c>
      <c r="I307" s="2812" t="s">
        <v>780</v>
      </c>
      <c r="J307" s="186" t="s">
        <v>2647</v>
      </c>
      <c r="K307" s="1556">
        <v>97.1</v>
      </c>
      <c r="L307" s="189">
        <f>SUM(L309:L316)</f>
        <v>20560304300</v>
      </c>
      <c r="M307" s="1556">
        <v>91.02</v>
      </c>
      <c r="N307" s="189">
        <f>SUM(N309:N316)</f>
        <v>3523134182</v>
      </c>
      <c r="O307" s="1556">
        <f>92.47-M307</f>
        <v>1.4500000000000028</v>
      </c>
      <c r="P307" s="189">
        <f>SUM(P309:P316)</f>
        <v>6286194964</v>
      </c>
      <c r="Q307" s="1568">
        <v>0</v>
      </c>
      <c r="R307" s="189">
        <f>SUM(R309:R316)</f>
        <v>11066450</v>
      </c>
      <c r="S307" s="188"/>
      <c r="T307" s="192">
        <v>32599200</v>
      </c>
      <c r="U307" s="188"/>
      <c r="V307" s="192"/>
      <c r="W307" s="191"/>
      <c r="X307" s="192"/>
      <c r="Y307" s="1556">
        <f t="shared" si="90"/>
        <v>0</v>
      </c>
      <c r="Z307" s="190">
        <f t="shared" si="91"/>
        <v>43665650</v>
      </c>
      <c r="AA307" s="1574">
        <f t="shared" si="92"/>
        <v>91.02</v>
      </c>
      <c r="AB307" s="190">
        <f t="shared" si="93"/>
        <v>3566799832</v>
      </c>
      <c r="AC307" s="1523">
        <f t="shared" si="88"/>
        <v>93.738414006179198</v>
      </c>
      <c r="AD307" s="1523">
        <f t="shared" si="89"/>
        <v>17.347991449717988</v>
      </c>
      <c r="AE307" s="194" t="s">
        <v>111</v>
      </c>
      <c r="AF307" s="201"/>
      <c r="AG307" s="750"/>
      <c r="AH307" s="750"/>
      <c r="AI307" s="750"/>
      <c r="AJ307" s="750"/>
      <c r="AK307" s="750"/>
      <c r="AL307" s="750"/>
      <c r="AM307" s="750"/>
      <c r="AN307" s="750"/>
      <c r="AO307" s="750"/>
      <c r="AP307" s="750"/>
      <c r="AQ307" s="750"/>
      <c r="AR307" s="750"/>
      <c r="AS307" s="750"/>
      <c r="AT307" s="750"/>
      <c r="AU307" s="750"/>
      <c r="AV307" s="750"/>
      <c r="AW307" s="750"/>
      <c r="AX307" s="750"/>
      <c r="AY307" s="750"/>
      <c r="AZ307" s="750"/>
      <c r="BA307" s="750"/>
      <c r="BB307" s="750"/>
      <c r="BC307" s="1547"/>
      <c r="BD307" s="1548"/>
      <c r="BE307" s="1548"/>
      <c r="BF307" s="1548"/>
      <c r="BG307" s="1548"/>
      <c r="BH307" s="1548"/>
      <c r="BI307" s="1548"/>
      <c r="BJ307" s="1548"/>
      <c r="BK307" s="1548"/>
      <c r="BL307" s="1548"/>
      <c r="BM307" s="1548"/>
      <c r="BN307" s="1548"/>
      <c r="BO307" s="1548"/>
      <c r="BP307" s="1548"/>
      <c r="BQ307" s="1548"/>
      <c r="BR307" s="1548"/>
    </row>
    <row r="308" spans="1:70" s="938" customFormat="1" ht="33">
      <c r="A308" s="1594"/>
      <c r="B308" s="1597"/>
      <c r="C308" s="1594"/>
      <c r="D308" s="1596"/>
      <c r="E308" s="1596"/>
      <c r="F308" s="1596"/>
      <c r="G308" s="1596"/>
      <c r="H308" s="1596"/>
      <c r="I308" s="2813"/>
      <c r="J308" s="186" t="s">
        <v>2648</v>
      </c>
      <c r="K308" s="1556">
        <v>69.95</v>
      </c>
      <c r="L308" s="189"/>
      <c r="M308" s="1556">
        <v>64.63</v>
      </c>
      <c r="N308" s="189"/>
      <c r="O308" s="1556">
        <f>65.77-M308</f>
        <v>1.1400000000000006</v>
      </c>
      <c r="P308" s="189"/>
      <c r="Q308" s="1568">
        <v>0</v>
      </c>
      <c r="R308" s="189"/>
      <c r="S308" s="188"/>
      <c r="T308" s="192"/>
      <c r="U308" s="188"/>
      <c r="V308" s="192"/>
      <c r="W308" s="191"/>
      <c r="X308" s="192"/>
      <c r="Y308" s="1556">
        <f t="shared" si="90"/>
        <v>0</v>
      </c>
      <c r="Z308" s="190">
        <f t="shared" si="91"/>
        <v>0</v>
      </c>
      <c r="AA308" s="1574">
        <f t="shared" si="92"/>
        <v>64.63</v>
      </c>
      <c r="AB308" s="190">
        <f t="shared" si="93"/>
        <v>0</v>
      </c>
      <c r="AC308" s="1523">
        <f t="shared" ref="AC308:AC339" si="94">AA308/K308*100</f>
        <v>92.394567548248745</v>
      </c>
      <c r="AD308" s="1523"/>
      <c r="AE308" s="194"/>
      <c r="AF308" s="201"/>
      <c r="AG308" s="750"/>
      <c r="AH308" s="750"/>
      <c r="AI308" s="750"/>
      <c r="AJ308" s="750"/>
      <c r="AK308" s="750"/>
      <c r="AL308" s="750"/>
      <c r="AM308" s="750"/>
      <c r="AN308" s="750"/>
      <c r="AO308" s="750"/>
      <c r="AP308" s="750"/>
      <c r="AQ308" s="750"/>
      <c r="AR308" s="750"/>
      <c r="AS308" s="750"/>
      <c r="AT308" s="750"/>
      <c r="AU308" s="750"/>
      <c r="AV308" s="750"/>
      <c r="AW308" s="750"/>
      <c r="AX308" s="750"/>
      <c r="AY308" s="750"/>
      <c r="AZ308" s="750"/>
      <c r="BA308" s="750"/>
      <c r="BB308" s="750"/>
      <c r="BC308" s="1547"/>
      <c r="BD308" s="1548"/>
      <c r="BE308" s="1548"/>
      <c r="BF308" s="1548"/>
      <c r="BG308" s="1548"/>
      <c r="BH308" s="1548"/>
      <c r="BI308" s="1548"/>
      <c r="BJ308" s="1548"/>
      <c r="BK308" s="1548"/>
      <c r="BL308" s="1548"/>
      <c r="BM308" s="1548"/>
      <c r="BN308" s="1548"/>
      <c r="BO308" s="1548"/>
      <c r="BP308" s="1548"/>
      <c r="BQ308" s="1548"/>
      <c r="BR308" s="1548"/>
    </row>
    <row r="309" spans="1:70" s="938" customFormat="1" ht="49.5">
      <c r="A309" s="79"/>
      <c r="B309" s="47"/>
      <c r="C309" s="1422">
        <v>1</v>
      </c>
      <c r="D309" s="1423" t="s">
        <v>25</v>
      </c>
      <c r="E309" s="1423" t="s">
        <v>39</v>
      </c>
      <c r="F309" s="1423">
        <v>1</v>
      </c>
      <c r="G309" s="1423"/>
      <c r="H309" s="1423" t="s">
        <v>25</v>
      </c>
      <c r="I309" s="49" t="s">
        <v>781</v>
      </c>
      <c r="J309" s="47" t="s">
        <v>2653</v>
      </c>
      <c r="K309" s="1553">
        <v>60</v>
      </c>
      <c r="L309" s="50">
        <v>3050000000</v>
      </c>
      <c r="M309" s="1562">
        <v>7</v>
      </c>
      <c r="N309" s="63">
        <v>450000000</v>
      </c>
      <c r="O309" s="1553"/>
      <c r="P309" s="50"/>
      <c r="Q309" s="1551"/>
      <c r="R309" s="50"/>
      <c r="S309" s="79"/>
      <c r="T309" s="50"/>
      <c r="U309" s="65"/>
      <c r="V309" s="50"/>
      <c r="W309" s="78"/>
      <c r="X309" s="50"/>
      <c r="Y309" s="1553">
        <f t="shared" si="90"/>
        <v>0</v>
      </c>
      <c r="Z309" s="51">
        <f t="shared" si="91"/>
        <v>0</v>
      </c>
      <c r="AA309" s="1562">
        <f t="shared" si="92"/>
        <v>7</v>
      </c>
      <c r="AB309" s="51">
        <f t="shared" si="93"/>
        <v>450000000</v>
      </c>
      <c r="AC309" s="1545">
        <f t="shared" si="94"/>
        <v>11.666666666666666</v>
      </c>
      <c r="AD309" s="1522">
        <f t="shared" ref="AD309:AD340" si="95">AB309/L309*100</f>
        <v>14.754098360655737</v>
      </c>
      <c r="AE309" s="79"/>
      <c r="AF309" s="201"/>
      <c r="AG309" s="750"/>
      <c r="AH309" s="750"/>
      <c r="AI309" s="750"/>
      <c r="AJ309" s="750"/>
      <c r="AK309" s="750"/>
      <c r="AL309" s="750"/>
      <c r="AM309" s="750"/>
      <c r="AN309" s="750"/>
      <c r="AO309" s="750"/>
      <c r="AP309" s="750"/>
      <c r="AQ309" s="750"/>
      <c r="AR309" s="750"/>
      <c r="AS309" s="750"/>
      <c r="AT309" s="750"/>
      <c r="AU309" s="750"/>
      <c r="AV309" s="750"/>
      <c r="AW309" s="750"/>
      <c r="AX309" s="750"/>
      <c r="AY309" s="750"/>
      <c r="AZ309" s="750"/>
      <c r="BA309" s="750"/>
      <c r="BB309" s="750"/>
      <c r="BC309" s="1547"/>
      <c r="BD309" s="1548"/>
      <c r="BE309" s="1548"/>
      <c r="BF309" s="1548"/>
      <c r="BG309" s="1548"/>
      <c r="BH309" s="1548"/>
      <c r="BI309" s="1548"/>
      <c r="BJ309" s="1548"/>
      <c r="BK309" s="1548"/>
      <c r="BL309" s="1548"/>
      <c r="BM309" s="1548"/>
      <c r="BN309" s="1548"/>
      <c r="BO309" s="1548"/>
      <c r="BP309" s="1548"/>
      <c r="BQ309" s="1548"/>
      <c r="BR309" s="1548"/>
    </row>
    <row r="310" spans="1:70" s="938" customFormat="1" ht="66">
      <c r="A310" s="79"/>
      <c r="B310" s="47"/>
      <c r="C310" s="1422">
        <v>1</v>
      </c>
      <c r="D310" s="1423" t="s">
        <v>25</v>
      </c>
      <c r="E310" s="1423" t="s">
        <v>39</v>
      </c>
      <c r="F310" s="1423">
        <v>1</v>
      </c>
      <c r="G310" s="1423"/>
      <c r="H310" s="1423" t="s">
        <v>25</v>
      </c>
      <c r="I310" s="49" t="s">
        <v>782</v>
      </c>
      <c r="J310" s="49" t="s">
        <v>2649</v>
      </c>
      <c r="K310" s="1553">
        <v>72</v>
      </c>
      <c r="L310" s="50">
        <v>1500000000</v>
      </c>
      <c r="M310" s="1562">
        <v>36</v>
      </c>
      <c r="N310" s="63">
        <v>146937349</v>
      </c>
      <c r="O310" s="1562">
        <v>12</v>
      </c>
      <c r="P310" s="50">
        <v>111560964</v>
      </c>
      <c r="Q310" s="1553">
        <v>3</v>
      </c>
      <c r="R310" s="50">
        <v>3194500</v>
      </c>
      <c r="S310" s="62">
        <v>3</v>
      </c>
      <c r="T310" s="50">
        <v>15617750</v>
      </c>
      <c r="U310" s="62"/>
      <c r="V310" s="50"/>
      <c r="W310" s="78"/>
      <c r="X310" s="50"/>
      <c r="Y310" s="1553">
        <f t="shared" si="90"/>
        <v>6</v>
      </c>
      <c r="Z310" s="51">
        <f t="shared" si="91"/>
        <v>18812250</v>
      </c>
      <c r="AA310" s="1562">
        <f t="shared" si="92"/>
        <v>42</v>
      </c>
      <c r="AB310" s="51">
        <f t="shared" si="93"/>
        <v>165749599</v>
      </c>
      <c r="AC310" s="1522">
        <f t="shared" si="94"/>
        <v>58.333333333333336</v>
      </c>
      <c r="AD310" s="1522">
        <f t="shared" si="95"/>
        <v>11.049973266666667</v>
      </c>
      <c r="AE310" s="79"/>
      <c r="AF310" s="201"/>
      <c r="AG310" s="750"/>
      <c r="AH310" s="750"/>
      <c r="AI310" s="750"/>
      <c r="AJ310" s="750"/>
      <c r="AK310" s="750"/>
      <c r="AL310" s="750"/>
      <c r="AM310" s="750"/>
      <c r="AN310" s="750"/>
      <c r="AO310" s="750"/>
      <c r="AP310" s="750"/>
      <c r="AQ310" s="750"/>
      <c r="AR310" s="750"/>
      <c r="AS310" s="750"/>
      <c r="AT310" s="750"/>
      <c r="AU310" s="750"/>
      <c r="AV310" s="750"/>
      <c r="AW310" s="750"/>
      <c r="AX310" s="750"/>
      <c r="AY310" s="750"/>
      <c r="AZ310" s="750"/>
      <c r="BA310" s="750"/>
      <c r="BB310" s="750"/>
      <c r="BC310" s="1547"/>
      <c r="BD310" s="1548"/>
      <c r="BE310" s="1548"/>
      <c r="BF310" s="1548"/>
      <c r="BG310" s="1548"/>
      <c r="BH310" s="1548"/>
      <c r="BI310" s="1548"/>
      <c r="BJ310" s="1548"/>
      <c r="BK310" s="1548"/>
      <c r="BL310" s="1548"/>
      <c r="BM310" s="1548"/>
      <c r="BN310" s="1548"/>
      <c r="BO310" s="1548"/>
      <c r="BP310" s="1548"/>
      <c r="BQ310" s="1548"/>
      <c r="BR310" s="1548"/>
    </row>
    <row r="311" spans="1:70" s="938" customFormat="1" ht="49.5">
      <c r="A311" s="79"/>
      <c r="B311" s="47"/>
      <c r="C311" s="1422">
        <v>1</v>
      </c>
      <c r="D311" s="1423" t="s">
        <v>25</v>
      </c>
      <c r="E311" s="1423" t="s">
        <v>39</v>
      </c>
      <c r="F311" s="1423">
        <v>1</v>
      </c>
      <c r="G311" s="1423"/>
      <c r="H311" s="1423" t="s">
        <v>25</v>
      </c>
      <c r="I311" s="48" t="s">
        <v>783</v>
      </c>
      <c r="J311" s="48" t="s">
        <v>2650</v>
      </c>
      <c r="K311" s="1553">
        <v>8</v>
      </c>
      <c r="L311" s="50">
        <v>380000000</v>
      </c>
      <c r="M311" s="1570">
        <v>0</v>
      </c>
      <c r="N311" s="84">
        <v>0</v>
      </c>
      <c r="O311" s="1562"/>
      <c r="P311" s="50"/>
      <c r="Q311" s="1553"/>
      <c r="R311" s="50"/>
      <c r="S311" s="62"/>
      <c r="T311" s="50"/>
      <c r="U311" s="62"/>
      <c r="V311" s="50"/>
      <c r="W311" s="78"/>
      <c r="X311" s="50"/>
      <c r="Y311" s="1553">
        <f t="shared" si="90"/>
        <v>0</v>
      </c>
      <c r="Z311" s="51">
        <f t="shared" si="91"/>
        <v>0</v>
      </c>
      <c r="AA311" s="1562">
        <f t="shared" si="92"/>
        <v>0</v>
      </c>
      <c r="AB311" s="51">
        <f t="shared" si="93"/>
        <v>0</v>
      </c>
      <c r="AC311" s="1522">
        <f t="shared" si="94"/>
        <v>0</v>
      </c>
      <c r="AD311" s="1522">
        <f t="shared" si="95"/>
        <v>0</v>
      </c>
      <c r="AE311" s="79"/>
      <c r="AF311" s="201"/>
      <c r="AG311" s="750"/>
      <c r="AH311" s="750"/>
      <c r="AI311" s="750"/>
      <c r="AJ311" s="750"/>
      <c r="AK311" s="750"/>
      <c r="AL311" s="750"/>
      <c r="AM311" s="750"/>
      <c r="AN311" s="750"/>
      <c r="AO311" s="750"/>
      <c r="AP311" s="750"/>
      <c r="AQ311" s="750"/>
      <c r="AR311" s="750"/>
      <c r="AS311" s="750"/>
      <c r="AT311" s="750"/>
      <c r="AU311" s="750"/>
      <c r="AV311" s="750"/>
      <c r="AW311" s="750"/>
      <c r="AX311" s="750"/>
      <c r="AY311" s="750"/>
      <c r="AZ311" s="750"/>
      <c r="BA311" s="750"/>
      <c r="BB311" s="750"/>
      <c r="BC311" s="1547"/>
      <c r="BD311" s="1548"/>
      <c r="BE311" s="1548"/>
      <c r="BF311" s="1548"/>
      <c r="BG311" s="1548"/>
      <c r="BH311" s="1548"/>
      <c r="BI311" s="1548"/>
      <c r="BJ311" s="1548"/>
      <c r="BK311" s="1548"/>
      <c r="BL311" s="1548"/>
      <c r="BM311" s="1548"/>
      <c r="BN311" s="1548"/>
      <c r="BO311" s="1548"/>
      <c r="BP311" s="1548"/>
      <c r="BQ311" s="1548"/>
      <c r="BR311" s="1548"/>
    </row>
    <row r="312" spans="1:70" s="938" customFormat="1" ht="66">
      <c r="A312" s="79"/>
      <c r="B312" s="47"/>
      <c r="C312" s="1422">
        <v>1</v>
      </c>
      <c r="D312" s="1423" t="s">
        <v>25</v>
      </c>
      <c r="E312" s="1423" t="s">
        <v>39</v>
      </c>
      <c r="F312" s="1423">
        <v>1</v>
      </c>
      <c r="G312" s="1423"/>
      <c r="H312" s="1423" t="s">
        <v>25</v>
      </c>
      <c r="I312" s="49" t="s">
        <v>784</v>
      </c>
      <c r="J312" s="47" t="s">
        <v>2651</v>
      </c>
      <c r="K312" s="1553">
        <v>80</v>
      </c>
      <c r="L312" s="50">
        <v>9500000000</v>
      </c>
      <c r="M312" s="1553">
        <v>10</v>
      </c>
      <c r="N312" s="63">
        <v>1926992533</v>
      </c>
      <c r="O312" s="1562">
        <v>24</v>
      </c>
      <c r="P312" s="50">
        <v>4966700000</v>
      </c>
      <c r="Q312" s="1553">
        <v>0</v>
      </c>
      <c r="R312" s="50">
        <v>7871950</v>
      </c>
      <c r="S312" s="62">
        <v>0</v>
      </c>
      <c r="T312" s="50">
        <v>16981450</v>
      </c>
      <c r="U312" s="62"/>
      <c r="V312" s="50"/>
      <c r="W312" s="65"/>
      <c r="X312" s="50"/>
      <c r="Y312" s="1553">
        <f t="shared" si="90"/>
        <v>0</v>
      </c>
      <c r="Z312" s="51">
        <f t="shared" si="91"/>
        <v>24853400</v>
      </c>
      <c r="AA312" s="1562">
        <f t="shared" si="92"/>
        <v>10</v>
      </c>
      <c r="AB312" s="51">
        <f t="shared" si="93"/>
        <v>1951845933</v>
      </c>
      <c r="AC312" s="1522">
        <f t="shared" si="94"/>
        <v>12.5</v>
      </c>
      <c r="AD312" s="1522">
        <f t="shared" si="95"/>
        <v>20.545746663157896</v>
      </c>
      <c r="AE312" s="79"/>
      <c r="AF312" s="201"/>
      <c r="AG312" s="750"/>
      <c r="AH312" s="750"/>
      <c r="AI312" s="750"/>
      <c r="AJ312" s="750"/>
      <c r="AK312" s="750"/>
      <c r="AL312" s="750"/>
      <c r="AM312" s="750"/>
      <c r="AN312" s="750"/>
      <c r="AO312" s="750"/>
      <c r="AP312" s="750"/>
      <c r="AQ312" s="750"/>
      <c r="AR312" s="750"/>
      <c r="AS312" s="750"/>
      <c r="AT312" s="750"/>
      <c r="AU312" s="750"/>
      <c r="AV312" s="750"/>
      <c r="AW312" s="750"/>
      <c r="AX312" s="750"/>
      <c r="AY312" s="750"/>
      <c r="AZ312" s="750"/>
      <c r="BA312" s="750"/>
      <c r="BB312" s="750"/>
      <c r="BC312" s="1547"/>
      <c r="BD312" s="1548"/>
      <c r="BE312" s="1548"/>
      <c r="BF312" s="1548"/>
      <c r="BG312" s="1548"/>
      <c r="BH312" s="1548"/>
      <c r="BI312" s="1548"/>
      <c r="BJ312" s="1548"/>
      <c r="BK312" s="1548"/>
      <c r="BL312" s="1548"/>
      <c r="BM312" s="1548"/>
      <c r="BN312" s="1548"/>
      <c r="BO312" s="1548"/>
      <c r="BP312" s="1548"/>
      <c r="BQ312" s="1548"/>
      <c r="BR312" s="1548"/>
    </row>
    <row r="313" spans="1:70" s="938" customFormat="1" ht="49.5">
      <c r="A313" s="79"/>
      <c r="B313" s="47"/>
      <c r="C313" s="1422">
        <v>1</v>
      </c>
      <c r="D313" s="1423" t="s">
        <v>25</v>
      </c>
      <c r="E313" s="1423" t="s">
        <v>39</v>
      </c>
      <c r="F313" s="1423">
        <v>1</v>
      </c>
      <c r="G313" s="1423"/>
      <c r="H313" s="1423" t="s">
        <v>25</v>
      </c>
      <c r="I313" s="49" t="s">
        <v>785</v>
      </c>
      <c r="J313" s="47" t="s">
        <v>2652</v>
      </c>
      <c r="K313" s="1553">
        <v>14</v>
      </c>
      <c r="L313" s="50">
        <v>4960000000</v>
      </c>
      <c r="M313" s="1553">
        <v>4</v>
      </c>
      <c r="N313" s="63">
        <v>928900000</v>
      </c>
      <c r="O313" s="1562">
        <v>5</v>
      </c>
      <c r="P313" s="50">
        <v>1207934000</v>
      </c>
      <c r="Q313" s="1553"/>
      <c r="R313" s="50">
        <v>0</v>
      </c>
      <c r="S313" s="78">
        <v>0</v>
      </c>
      <c r="T313" s="50">
        <v>0</v>
      </c>
      <c r="U313" s="65"/>
      <c r="V313" s="50"/>
      <c r="W313" s="65"/>
      <c r="X313" s="50"/>
      <c r="Y313" s="1553">
        <f t="shared" si="90"/>
        <v>0</v>
      </c>
      <c r="Z313" s="51">
        <f t="shared" si="91"/>
        <v>0</v>
      </c>
      <c r="AA313" s="1553">
        <f t="shared" si="92"/>
        <v>4</v>
      </c>
      <c r="AB313" s="51">
        <f t="shared" si="93"/>
        <v>928900000</v>
      </c>
      <c r="AC313" s="1522">
        <f t="shared" si="94"/>
        <v>28.571428571428569</v>
      </c>
      <c r="AD313" s="1522">
        <f t="shared" si="95"/>
        <v>18.727822580645164</v>
      </c>
      <c r="AE313" s="79"/>
      <c r="AF313" s="201"/>
      <c r="AG313" s="750"/>
      <c r="AH313" s="750"/>
      <c r="AI313" s="750"/>
      <c r="AJ313" s="750"/>
      <c r="AK313" s="750"/>
      <c r="AL313" s="750"/>
      <c r="AM313" s="750"/>
      <c r="AN313" s="750"/>
      <c r="AO313" s="750"/>
      <c r="AP313" s="750"/>
      <c r="AQ313" s="750"/>
      <c r="AR313" s="750"/>
      <c r="AS313" s="750"/>
      <c r="AT313" s="750"/>
      <c r="AU313" s="750"/>
      <c r="AV313" s="750"/>
      <c r="AW313" s="750"/>
      <c r="AX313" s="750"/>
      <c r="AY313" s="750"/>
      <c r="AZ313" s="750"/>
      <c r="BA313" s="750"/>
      <c r="BB313" s="750"/>
      <c r="BC313" s="1547"/>
      <c r="BD313" s="1548"/>
      <c r="BE313" s="1548"/>
      <c r="BF313" s="1548"/>
      <c r="BG313" s="1548"/>
      <c r="BH313" s="1548"/>
      <c r="BI313" s="1548"/>
      <c r="BJ313" s="1548"/>
      <c r="BK313" s="1548"/>
      <c r="BL313" s="1548"/>
      <c r="BM313" s="1548"/>
      <c r="BN313" s="1548"/>
      <c r="BO313" s="1548"/>
      <c r="BP313" s="1548"/>
      <c r="BQ313" s="1548"/>
      <c r="BR313" s="1548"/>
    </row>
    <row r="314" spans="1:70" s="938" customFormat="1" ht="49.5">
      <c r="A314" s="79"/>
      <c r="B314" s="47"/>
      <c r="C314" s="1422">
        <v>1</v>
      </c>
      <c r="D314" s="1423" t="s">
        <v>25</v>
      </c>
      <c r="E314" s="1423" t="s">
        <v>39</v>
      </c>
      <c r="F314" s="1423">
        <v>1</v>
      </c>
      <c r="G314" s="1423"/>
      <c r="H314" s="1423" t="s">
        <v>25</v>
      </c>
      <c r="I314" s="48" t="s">
        <v>786</v>
      </c>
      <c r="J314" s="48" t="s">
        <v>787</v>
      </c>
      <c r="K314" s="1553">
        <v>1</v>
      </c>
      <c r="L314" s="50">
        <v>600000000</v>
      </c>
      <c r="M314" s="1571">
        <v>0</v>
      </c>
      <c r="N314" s="63">
        <v>0</v>
      </c>
      <c r="O314" s="1541">
        <v>0</v>
      </c>
      <c r="P314" s="63">
        <v>0</v>
      </c>
      <c r="Q314" s="1576"/>
      <c r="R314" s="50"/>
      <c r="S314" s="78"/>
      <c r="T314" s="50"/>
      <c r="U314" s="65"/>
      <c r="V314" s="50"/>
      <c r="W314" s="65"/>
      <c r="X314" s="50"/>
      <c r="Y314" s="1553">
        <f t="shared" si="90"/>
        <v>0</v>
      </c>
      <c r="Z314" s="51">
        <f t="shared" si="91"/>
        <v>0</v>
      </c>
      <c r="AA314" s="1553">
        <f t="shared" si="92"/>
        <v>0</v>
      </c>
      <c r="AB314" s="51">
        <f t="shared" si="93"/>
        <v>0</v>
      </c>
      <c r="AC314" s="1522">
        <f t="shared" si="94"/>
        <v>0</v>
      </c>
      <c r="AD314" s="1522">
        <f t="shared" si="95"/>
        <v>0</v>
      </c>
      <c r="AE314" s="79"/>
      <c r="AF314" s="201"/>
      <c r="AG314" s="750"/>
      <c r="AH314" s="750"/>
      <c r="AI314" s="750"/>
      <c r="AJ314" s="750"/>
      <c r="AK314" s="750"/>
      <c r="AL314" s="750"/>
      <c r="AM314" s="750"/>
      <c r="AN314" s="750"/>
      <c r="AO314" s="750"/>
      <c r="AP314" s="750"/>
      <c r="AQ314" s="750"/>
      <c r="AR314" s="750"/>
      <c r="AS314" s="750"/>
      <c r="AT314" s="750"/>
      <c r="AU314" s="750"/>
      <c r="AV314" s="750"/>
      <c r="AW314" s="750"/>
      <c r="AX314" s="750"/>
      <c r="AY314" s="750"/>
      <c r="AZ314" s="750"/>
      <c r="BA314" s="750"/>
      <c r="BB314" s="750"/>
      <c r="BC314" s="1547"/>
      <c r="BD314" s="1548"/>
      <c r="BE314" s="1548"/>
      <c r="BF314" s="1548"/>
      <c r="BG314" s="1548"/>
      <c r="BH314" s="1548"/>
      <c r="BI314" s="1548"/>
      <c r="BJ314" s="1548"/>
      <c r="BK314" s="1548"/>
      <c r="BL314" s="1548"/>
      <c r="BM314" s="1548"/>
      <c r="BN314" s="1548"/>
      <c r="BO314" s="1548"/>
      <c r="BP314" s="1548"/>
      <c r="BQ314" s="1548"/>
      <c r="BR314" s="1548"/>
    </row>
    <row r="315" spans="1:70" s="938" customFormat="1" ht="33">
      <c r="A315" s="79"/>
      <c r="B315" s="47"/>
      <c r="C315" s="1422">
        <v>1</v>
      </c>
      <c r="D315" s="1423" t="s">
        <v>25</v>
      </c>
      <c r="E315" s="1423" t="s">
        <v>39</v>
      </c>
      <c r="F315" s="1423">
        <v>1</v>
      </c>
      <c r="G315" s="1423"/>
      <c r="H315" s="1423" t="s">
        <v>25</v>
      </c>
      <c r="I315" s="48" t="s">
        <v>788</v>
      </c>
      <c r="J315" s="48" t="s">
        <v>789</v>
      </c>
      <c r="K315" s="1553">
        <v>12</v>
      </c>
      <c r="L315" s="50">
        <v>500000000</v>
      </c>
      <c r="M315" s="1571">
        <v>0</v>
      </c>
      <c r="N315" s="63">
        <v>0</v>
      </c>
      <c r="O315" s="1541">
        <v>0</v>
      </c>
      <c r="P315" s="63">
        <v>0</v>
      </c>
      <c r="Q315" s="1576"/>
      <c r="R315" s="50"/>
      <c r="S315" s="78"/>
      <c r="T315" s="50"/>
      <c r="U315" s="65"/>
      <c r="V315" s="50"/>
      <c r="W315" s="65"/>
      <c r="X315" s="50"/>
      <c r="Y315" s="1553">
        <f t="shared" si="90"/>
        <v>0</v>
      </c>
      <c r="Z315" s="51">
        <f t="shared" si="91"/>
        <v>0</v>
      </c>
      <c r="AA315" s="1553">
        <f t="shared" si="92"/>
        <v>0</v>
      </c>
      <c r="AB315" s="51">
        <f t="shared" si="93"/>
        <v>0</v>
      </c>
      <c r="AC315" s="1522">
        <f t="shared" si="94"/>
        <v>0</v>
      </c>
      <c r="AD315" s="1522">
        <f t="shared" si="95"/>
        <v>0</v>
      </c>
      <c r="AE315" s="79"/>
      <c r="AF315" s="201"/>
      <c r="AG315" s="750"/>
      <c r="AH315" s="750"/>
      <c r="AI315" s="750"/>
      <c r="AJ315" s="750"/>
      <c r="AK315" s="750"/>
      <c r="AL315" s="750"/>
      <c r="AM315" s="750"/>
      <c r="AN315" s="750"/>
      <c r="AO315" s="750"/>
      <c r="AP315" s="750"/>
      <c r="AQ315" s="750"/>
      <c r="AR315" s="750"/>
      <c r="AS315" s="750"/>
      <c r="AT315" s="750"/>
      <c r="AU315" s="750"/>
      <c r="AV315" s="750"/>
      <c r="AW315" s="750"/>
      <c r="AX315" s="750"/>
      <c r="AY315" s="750"/>
      <c r="AZ315" s="750"/>
      <c r="BA315" s="750"/>
      <c r="BB315" s="750"/>
      <c r="BC315" s="1547"/>
      <c r="BD315" s="1548"/>
      <c r="BE315" s="1548"/>
      <c r="BF315" s="1548"/>
      <c r="BG315" s="1548"/>
      <c r="BH315" s="1548"/>
      <c r="BI315" s="1548"/>
      <c r="BJ315" s="1548"/>
      <c r="BK315" s="1548"/>
      <c r="BL315" s="1548"/>
      <c r="BM315" s="1548"/>
      <c r="BN315" s="1548"/>
      <c r="BO315" s="1548"/>
      <c r="BP315" s="1548"/>
      <c r="BQ315" s="1548"/>
      <c r="BR315" s="1548"/>
    </row>
    <row r="316" spans="1:70" s="938" customFormat="1" ht="33">
      <c r="A316" s="79"/>
      <c r="B316" s="47"/>
      <c r="C316" s="1422">
        <v>1</v>
      </c>
      <c r="D316" s="1423" t="s">
        <v>25</v>
      </c>
      <c r="E316" s="1423" t="s">
        <v>39</v>
      </c>
      <c r="F316" s="1423">
        <v>1</v>
      </c>
      <c r="G316" s="1423"/>
      <c r="H316" s="1423" t="s">
        <v>25</v>
      </c>
      <c r="I316" s="48" t="s">
        <v>790</v>
      </c>
      <c r="J316" s="48" t="s">
        <v>791</v>
      </c>
      <c r="K316" s="1553">
        <v>1</v>
      </c>
      <c r="L316" s="50">
        <v>70304300</v>
      </c>
      <c r="M316" s="1570">
        <v>1</v>
      </c>
      <c r="N316" s="63">
        <v>70304300</v>
      </c>
      <c r="O316" s="1541">
        <v>0</v>
      </c>
      <c r="P316" s="50">
        <v>0</v>
      </c>
      <c r="Q316" s="1576"/>
      <c r="R316" s="50"/>
      <c r="S316" s="78"/>
      <c r="T316" s="50"/>
      <c r="U316" s="65"/>
      <c r="V316" s="50"/>
      <c r="W316" s="65"/>
      <c r="X316" s="50"/>
      <c r="Y316" s="1553">
        <f t="shared" si="90"/>
        <v>0</v>
      </c>
      <c r="Z316" s="51">
        <f t="shared" si="91"/>
        <v>0</v>
      </c>
      <c r="AA316" s="1553">
        <f t="shared" si="92"/>
        <v>1</v>
      </c>
      <c r="AB316" s="51">
        <f t="shared" si="93"/>
        <v>70304300</v>
      </c>
      <c r="AC316" s="1522">
        <f t="shared" si="94"/>
        <v>100</v>
      </c>
      <c r="AD316" s="1522">
        <f t="shared" si="95"/>
        <v>100</v>
      </c>
      <c r="AE316" s="79"/>
      <c r="AF316" s="201"/>
      <c r="AG316" s="750"/>
      <c r="AH316" s="750"/>
      <c r="AI316" s="750"/>
      <c r="AJ316" s="750"/>
      <c r="AK316" s="750"/>
      <c r="AL316" s="750"/>
      <c r="AM316" s="750"/>
      <c r="AN316" s="750"/>
      <c r="AO316" s="750"/>
      <c r="AP316" s="750"/>
      <c r="AQ316" s="750"/>
      <c r="AR316" s="750"/>
      <c r="AS316" s="750"/>
      <c r="AT316" s="750"/>
      <c r="AU316" s="750"/>
      <c r="AV316" s="750"/>
      <c r="AW316" s="750"/>
      <c r="AX316" s="750"/>
      <c r="AY316" s="750"/>
      <c r="AZ316" s="750"/>
      <c r="BA316" s="750"/>
      <c r="BB316" s="750"/>
      <c r="BC316" s="1547"/>
      <c r="BD316" s="1548"/>
      <c r="BE316" s="1548"/>
      <c r="BF316" s="1548"/>
      <c r="BG316" s="1548"/>
      <c r="BH316" s="1548"/>
      <c r="BI316" s="1548"/>
      <c r="BJ316" s="1548"/>
      <c r="BK316" s="1548"/>
      <c r="BL316" s="1548"/>
      <c r="BM316" s="1548"/>
      <c r="BN316" s="1548"/>
      <c r="BO316" s="1548"/>
      <c r="BP316" s="1548"/>
      <c r="BQ316" s="1548"/>
      <c r="BR316" s="1548"/>
    </row>
    <row r="317" spans="1:70" s="938" customFormat="1" ht="82.5">
      <c r="A317" s="194">
        <v>9</v>
      </c>
      <c r="B317" s="186"/>
      <c r="C317" s="194">
        <v>1</v>
      </c>
      <c r="D317" s="1424" t="s">
        <v>25</v>
      </c>
      <c r="E317" s="1424" t="s">
        <v>39</v>
      </c>
      <c r="F317" s="1424">
        <v>1</v>
      </c>
      <c r="G317" s="1424"/>
      <c r="H317" s="1424" t="s">
        <v>25</v>
      </c>
      <c r="I317" s="193" t="s">
        <v>792</v>
      </c>
      <c r="J317" s="193" t="s">
        <v>2654</v>
      </c>
      <c r="K317" s="1556">
        <v>100</v>
      </c>
      <c r="L317" s="940">
        <f>SUM(L318:L321)</f>
        <v>883855170</v>
      </c>
      <c r="M317" s="1574">
        <v>80</v>
      </c>
      <c r="N317" s="940">
        <f>SUM(N318:N321)</f>
        <v>441927585</v>
      </c>
      <c r="O317" s="1556">
        <v>10</v>
      </c>
      <c r="P317" s="940">
        <f>SUM(P318:P321)</f>
        <v>169088192</v>
      </c>
      <c r="Q317" s="1556">
        <v>2</v>
      </c>
      <c r="R317" s="940">
        <f>SUM(R318:R321)</f>
        <v>26318498</v>
      </c>
      <c r="S317" s="188"/>
      <c r="T317" s="190">
        <v>77551335</v>
      </c>
      <c r="U317" s="188"/>
      <c r="V317" s="190"/>
      <c r="W317" s="191"/>
      <c r="X317" s="192"/>
      <c r="Y317" s="1556">
        <f t="shared" si="90"/>
        <v>2</v>
      </c>
      <c r="Z317" s="190">
        <f t="shared" si="91"/>
        <v>103869833</v>
      </c>
      <c r="AA317" s="1556">
        <f t="shared" si="92"/>
        <v>82</v>
      </c>
      <c r="AB317" s="190">
        <f t="shared" si="93"/>
        <v>545797418</v>
      </c>
      <c r="AC317" s="1523">
        <f t="shared" si="94"/>
        <v>82</v>
      </c>
      <c r="AD317" s="1523">
        <f t="shared" si="95"/>
        <v>61.751906480334327</v>
      </c>
      <c r="AE317" s="194" t="s">
        <v>111</v>
      </c>
      <c r="AF317" s="201"/>
      <c r="AG317" s="750"/>
      <c r="AH317" s="750"/>
      <c r="AI317" s="750"/>
      <c r="AJ317" s="750"/>
      <c r="AK317" s="750"/>
      <c r="AL317" s="750"/>
      <c r="AM317" s="750"/>
      <c r="AN317" s="750"/>
      <c r="AO317" s="750"/>
      <c r="AP317" s="750"/>
      <c r="AQ317" s="750"/>
      <c r="AR317" s="750"/>
      <c r="AS317" s="750"/>
      <c r="AT317" s="750"/>
      <c r="AU317" s="750"/>
      <c r="AV317" s="750"/>
      <c r="AW317" s="750"/>
      <c r="AX317" s="750"/>
      <c r="AY317" s="750"/>
      <c r="AZ317" s="750"/>
      <c r="BA317" s="750"/>
      <c r="BB317" s="750"/>
      <c r="BC317" s="1547"/>
      <c r="BD317" s="1548"/>
      <c r="BE317" s="1548"/>
      <c r="BF317" s="1548"/>
      <c r="BG317" s="1548"/>
      <c r="BH317" s="1548"/>
      <c r="BI317" s="1548"/>
      <c r="BJ317" s="1548"/>
      <c r="BK317" s="1548"/>
      <c r="BL317" s="1548"/>
      <c r="BM317" s="1548"/>
      <c r="BN317" s="1548"/>
      <c r="BO317" s="1548"/>
      <c r="BP317" s="1548"/>
      <c r="BQ317" s="1548"/>
      <c r="BR317" s="1548"/>
    </row>
    <row r="318" spans="1:70" s="938" customFormat="1" ht="33">
      <c r="A318" s="79"/>
      <c r="B318" s="47"/>
      <c r="C318" s="76">
        <v>1</v>
      </c>
      <c r="D318" s="1427" t="s">
        <v>25</v>
      </c>
      <c r="E318" s="1427" t="s">
        <v>39</v>
      </c>
      <c r="F318" s="1427">
        <v>1</v>
      </c>
      <c r="G318" s="1427"/>
      <c r="H318" s="1427" t="s">
        <v>25</v>
      </c>
      <c r="I318" s="60" t="s">
        <v>523</v>
      </c>
      <c r="J318" s="47" t="s">
        <v>2655</v>
      </c>
      <c r="K318" s="1553">
        <v>24</v>
      </c>
      <c r="L318" s="63">
        <f>2*N318</f>
        <v>231400916</v>
      </c>
      <c r="M318" s="1553">
        <v>12</v>
      </c>
      <c r="N318" s="63">
        <v>115700458</v>
      </c>
      <c r="O318" s="1553">
        <v>4</v>
      </c>
      <c r="P318" s="63">
        <v>86167533</v>
      </c>
      <c r="Q318" s="1562">
        <v>1</v>
      </c>
      <c r="R318" s="63">
        <v>16283098</v>
      </c>
      <c r="S318" s="66">
        <v>1</v>
      </c>
      <c r="T318" s="51">
        <v>50153435</v>
      </c>
      <c r="U318" s="66"/>
      <c r="V318" s="50"/>
      <c r="W318" s="65"/>
      <c r="X318" s="50"/>
      <c r="Y318" s="1553">
        <f t="shared" si="90"/>
        <v>2</v>
      </c>
      <c r="Z318" s="51">
        <f t="shared" si="91"/>
        <v>66436533</v>
      </c>
      <c r="AA318" s="1553">
        <f t="shared" si="92"/>
        <v>14</v>
      </c>
      <c r="AB318" s="51">
        <f t="shared" si="93"/>
        <v>182136991</v>
      </c>
      <c r="AC318" s="1522">
        <f t="shared" si="94"/>
        <v>58.333333333333336</v>
      </c>
      <c r="AD318" s="1522">
        <f t="shared" si="95"/>
        <v>78.710574767128406</v>
      </c>
      <c r="AE318" s="79"/>
      <c r="AF318" s="750"/>
      <c r="AG318" s="750"/>
      <c r="AH318" s="750"/>
      <c r="AI318" s="750"/>
      <c r="AJ318" s="750"/>
      <c r="AK318" s="750"/>
      <c r="AL318" s="750"/>
      <c r="AM318" s="750"/>
      <c r="AN318" s="750"/>
      <c r="AO318" s="750"/>
      <c r="AP318" s="750"/>
      <c r="AQ318" s="750"/>
      <c r="AR318" s="750"/>
      <c r="AS318" s="750"/>
      <c r="AT318" s="750"/>
      <c r="AU318" s="750"/>
      <c r="AV318" s="750"/>
      <c r="AW318" s="750"/>
      <c r="AX318" s="750"/>
      <c r="AY318" s="750"/>
      <c r="AZ318" s="750"/>
      <c r="BA318" s="750"/>
      <c r="BB318" s="750"/>
      <c r="BC318" s="1547"/>
      <c r="BD318" s="1548"/>
      <c r="BE318" s="1548"/>
      <c r="BF318" s="1548"/>
      <c r="BG318" s="1548"/>
      <c r="BH318" s="1548"/>
      <c r="BI318" s="1548"/>
      <c r="BJ318" s="1548"/>
      <c r="BK318" s="1548"/>
      <c r="BL318" s="1548"/>
      <c r="BM318" s="1548"/>
      <c r="BN318" s="1548"/>
      <c r="BO318" s="1548"/>
      <c r="BP318" s="1548"/>
      <c r="BQ318" s="1548"/>
      <c r="BR318" s="1548"/>
    </row>
    <row r="319" spans="1:70" s="938" customFormat="1" ht="49.5">
      <c r="A319" s="79"/>
      <c r="B319" s="47"/>
      <c r="C319" s="76">
        <v>1</v>
      </c>
      <c r="D319" s="1427" t="s">
        <v>25</v>
      </c>
      <c r="E319" s="1427" t="s">
        <v>39</v>
      </c>
      <c r="F319" s="1427">
        <v>1</v>
      </c>
      <c r="G319" s="1427"/>
      <c r="H319" s="1427" t="s">
        <v>25</v>
      </c>
      <c r="I319" s="60" t="s">
        <v>793</v>
      </c>
      <c r="J319" s="47" t="s">
        <v>2656</v>
      </c>
      <c r="K319" s="1553">
        <v>72</v>
      </c>
      <c r="L319" s="63">
        <f>2*N319</f>
        <v>410595796</v>
      </c>
      <c r="M319" s="1553">
        <v>36</v>
      </c>
      <c r="N319" s="63">
        <v>205297898</v>
      </c>
      <c r="O319" s="1553">
        <v>12</v>
      </c>
      <c r="P319" s="63">
        <v>42610916</v>
      </c>
      <c r="Q319" s="1562">
        <v>3</v>
      </c>
      <c r="R319" s="63">
        <v>6538200</v>
      </c>
      <c r="S319" s="66">
        <v>3</v>
      </c>
      <c r="T319" s="51">
        <v>8413200</v>
      </c>
      <c r="U319" s="66"/>
      <c r="V319" s="50"/>
      <c r="W319" s="65"/>
      <c r="X319" s="50"/>
      <c r="Y319" s="1553">
        <f t="shared" si="90"/>
        <v>6</v>
      </c>
      <c r="Z319" s="51">
        <f t="shared" si="91"/>
        <v>14951400</v>
      </c>
      <c r="AA319" s="1553">
        <f t="shared" si="92"/>
        <v>42</v>
      </c>
      <c r="AB319" s="51">
        <f t="shared" si="93"/>
        <v>220249298</v>
      </c>
      <c r="AC319" s="1522">
        <f t="shared" si="94"/>
        <v>58.333333333333336</v>
      </c>
      <c r="AD319" s="1522">
        <f t="shared" si="95"/>
        <v>53.641391398951384</v>
      </c>
      <c r="AE319" s="79"/>
      <c r="AF319" s="750"/>
      <c r="AG319" s="750"/>
      <c r="AH319" s="750"/>
      <c r="AI319" s="750"/>
      <c r="AJ319" s="750"/>
      <c r="AK319" s="750"/>
      <c r="AL319" s="750"/>
      <c r="AM319" s="750"/>
      <c r="AN319" s="750"/>
      <c r="AO319" s="750"/>
      <c r="AP319" s="750"/>
      <c r="AQ319" s="750"/>
      <c r="AR319" s="750"/>
      <c r="AS319" s="750"/>
      <c r="AT319" s="750"/>
      <c r="AU319" s="750"/>
      <c r="AV319" s="750"/>
      <c r="AW319" s="750"/>
      <c r="AX319" s="750"/>
      <c r="AY319" s="750"/>
      <c r="AZ319" s="750"/>
      <c r="BA319" s="750"/>
      <c r="BB319" s="750"/>
      <c r="BC319" s="1547"/>
      <c r="BD319" s="1548"/>
      <c r="BE319" s="1548"/>
      <c r="BF319" s="1548"/>
      <c r="BG319" s="1548"/>
      <c r="BH319" s="1548"/>
      <c r="BI319" s="1548"/>
      <c r="BJ319" s="1548"/>
      <c r="BK319" s="1548"/>
      <c r="BL319" s="1548"/>
      <c r="BM319" s="1548"/>
      <c r="BN319" s="1548"/>
      <c r="BO319" s="1548"/>
      <c r="BP319" s="1548"/>
      <c r="BQ319" s="1548"/>
      <c r="BR319" s="1548"/>
    </row>
    <row r="320" spans="1:70" s="938" customFormat="1" ht="49.5">
      <c r="A320" s="79"/>
      <c r="B320" s="47"/>
      <c r="C320" s="76">
        <v>1</v>
      </c>
      <c r="D320" s="1427" t="s">
        <v>25</v>
      </c>
      <c r="E320" s="1427" t="s">
        <v>39</v>
      </c>
      <c r="F320" s="1427">
        <v>1</v>
      </c>
      <c r="G320" s="1427"/>
      <c r="H320" s="1427" t="s">
        <v>25</v>
      </c>
      <c r="I320" s="60" t="s">
        <v>794</v>
      </c>
      <c r="J320" s="1537" t="s">
        <v>2657</v>
      </c>
      <c r="K320" s="1553">
        <v>6</v>
      </c>
      <c r="L320" s="63">
        <f>6*P320</f>
        <v>181949886</v>
      </c>
      <c r="M320" s="1553">
        <v>3</v>
      </c>
      <c r="N320" s="63">
        <f>3*P320</f>
        <v>90974943</v>
      </c>
      <c r="O320" s="1553">
        <v>1</v>
      </c>
      <c r="P320" s="63">
        <v>30324981</v>
      </c>
      <c r="Q320" s="1562">
        <v>0</v>
      </c>
      <c r="R320" s="63">
        <v>2178700</v>
      </c>
      <c r="S320" s="66">
        <v>0</v>
      </c>
      <c r="T320" s="50">
        <v>13516200</v>
      </c>
      <c r="U320" s="66"/>
      <c r="V320" s="50"/>
      <c r="W320" s="65"/>
      <c r="X320" s="50"/>
      <c r="Y320" s="1553">
        <f t="shared" si="90"/>
        <v>0</v>
      </c>
      <c r="Z320" s="51">
        <f t="shared" si="91"/>
        <v>15694900</v>
      </c>
      <c r="AA320" s="1553">
        <f t="shared" si="92"/>
        <v>3</v>
      </c>
      <c r="AB320" s="51">
        <f t="shared" si="93"/>
        <v>106669843</v>
      </c>
      <c r="AC320" s="1522">
        <f t="shared" si="94"/>
        <v>50</v>
      </c>
      <c r="AD320" s="1522">
        <f t="shared" si="95"/>
        <v>58.625946597185553</v>
      </c>
      <c r="AE320" s="79"/>
      <c r="AF320" s="750"/>
      <c r="AG320" s="750"/>
      <c r="AH320" s="750"/>
      <c r="AI320" s="750"/>
      <c r="AJ320" s="750"/>
      <c r="AK320" s="750"/>
      <c r="AL320" s="750"/>
      <c r="AM320" s="750"/>
      <c r="AN320" s="750"/>
      <c r="AO320" s="750"/>
      <c r="AP320" s="750"/>
      <c r="AQ320" s="750"/>
      <c r="AR320" s="750"/>
      <c r="AS320" s="750"/>
      <c r="AT320" s="750"/>
      <c r="AU320" s="750"/>
      <c r="AV320" s="750"/>
      <c r="AW320" s="750"/>
      <c r="AX320" s="750"/>
      <c r="AY320" s="750"/>
      <c r="AZ320" s="750"/>
      <c r="BA320" s="750"/>
      <c r="BB320" s="750"/>
      <c r="BC320" s="1547"/>
      <c r="BD320" s="1548"/>
      <c r="BE320" s="1548"/>
      <c r="BF320" s="1548"/>
      <c r="BG320" s="1548"/>
      <c r="BH320" s="1548"/>
      <c r="BI320" s="1548"/>
      <c r="BJ320" s="1548"/>
      <c r="BK320" s="1548"/>
      <c r="BL320" s="1548"/>
      <c r="BM320" s="1548"/>
      <c r="BN320" s="1548"/>
      <c r="BO320" s="1548"/>
      <c r="BP320" s="1548"/>
      <c r="BQ320" s="1548"/>
      <c r="BR320" s="1548"/>
    </row>
    <row r="321" spans="1:70" s="938" customFormat="1" ht="49.5">
      <c r="A321" s="79"/>
      <c r="B321" s="47"/>
      <c r="C321" s="76">
        <v>1</v>
      </c>
      <c r="D321" s="1427" t="s">
        <v>25</v>
      </c>
      <c r="E321" s="1427" t="s">
        <v>39</v>
      </c>
      <c r="F321" s="1427">
        <v>1</v>
      </c>
      <c r="G321" s="1427"/>
      <c r="H321" s="1427" t="s">
        <v>25</v>
      </c>
      <c r="I321" s="60" t="s">
        <v>795</v>
      </c>
      <c r="J321" s="1537" t="s">
        <v>2658</v>
      </c>
      <c r="K321" s="1553">
        <v>6</v>
      </c>
      <c r="L321" s="63">
        <f>2*N321</f>
        <v>59908572</v>
      </c>
      <c r="M321" s="1553">
        <v>3</v>
      </c>
      <c r="N321" s="63">
        <f>3*P321</f>
        <v>29954286</v>
      </c>
      <c r="O321" s="1553">
        <v>1</v>
      </c>
      <c r="P321" s="63">
        <v>9984762</v>
      </c>
      <c r="Q321" s="1562"/>
      <c r="R321" s="63">
        <v>1318500</v>
      </c>
      <c r="S321" s="66">
        <v>0</v>
      </c>
      <c r="T321" s="50">
        <v>5468500</v>
      </c>
      <c r="U321" s="66"/>
      <c r="V321" s="50"/>
      <c r="W321" s="65"/>
      <c r="X321" s="50"/>
      <c r="Y321" s="1553">
        <f t="shared" si="90"/>
        <v>0</v>
      </c>
      <c r="Z321" s="51">
        <f t="shared" si="91"/>
        <v>6787000</v>
      </c>
      <c r="AA321" s="1553">
        <f t="shared" si="92"/>
        <v>3</v>
      </c>
      <c r="AB321" s="51">
        <f t="shared" si="93"/>
        <v>36741286</v>
      </c>
      <c r="AC321" s="1522">
        <f t="shared" si="94"/>
        <v>50</v>
      </c>
      <c r="AD321" s="1522">
        <f t="shared" si="95"/>
        <v>61.328929689727872</v>
      </c>
      <c r="AE321" s="79"/>
      <c r="AF321" s="750"/>
      <c r="AG321" s="750"/>
      <c r="AH321" s="750"/>
      <c r="AI321" s="750"/>
      <c r="AJ321" s="750"/>
      <c r="AK321" s="750"/>
      <c r="AL321" s="750"/>
      <c r="AM321" s="750"/>
      <c r="AN321" s="750"/>
      <c r="AO321" s="750"/>
      <c r="AP321" s="750"/>
      <c r="AQ321" s="750"/>
      <c r="AR321" s="750"/>
      <c r="AS321" s="750"/>
      <c r="AT321" s="750"/>
      <c r="AU321" s="750"/>
      <c r="AV321" s="750"/>
      <c r="AW321" s="750"/>
      <c r="AX321" s="750"/>
      <c r="AY321" s="750"/>
      <c r="AZ321" s="750"/>
      <c r="BA321" s="750"/>
      <c r="BB321" s="750"/>
      <c r="BC321" s="1547"/>
      <c r="BD321" s="1548"/>
      <c r="BE321" s="1548"/>
      <c r="BF321" s="1548"/>
      <c r="BG321" s="1548"/>
      <c r="BH321" s="1548"/>
      <c r="BI321" s="1548"/>
      <c r="BJ321" s="1548"/>
      <c r="BK321" s="1548"/>
      <c r="BL321" s="1548"/>
      <c r="BM321" s="1548"/>
      <c r="BN321" s="1548"/>
      <c r="BO321" s="1548"/>
      <c r="BP321" s="1548"/>
      <c r="BQ321" s="1548"/>
      <c r="BR321" s="1548"/>
    </row>
    <row r="322" spans="1:70" s="938" customFormat="1" ht="62.25" customHeight="1">
      <c r="A322" s="194">
        <v>10</v>
      </c>
      <c r="B322" s="186"/>
      <c r="C322" s="194">
        <v>1</v>
      </c>
      <c r="D322" s="1424" t="s">
        <v>25</v>
      </c>
      <c r="E322" s="1424" t="s">
        <v>39</v>
      </c>
      <c r="F322" s="1424">
        <v>1</v>
      </c>
      <c r="G322" s="1424"/>
      <c r="H322" s="1424" t="s">
        <v>25</v>
      </c>
      <c r="I322" s="193" t="s">
        <v>796</v>
      </c>
      <c r="J322" s="197" t="s">
        <v>2659</v>
      </c>
      <c r="K322" s="1533">
        <v>80</v>
      </c>
      <c r="L322" s="940">
        <f>SUM(L323:L324)</f>
        <v>9395307070</v>
      </c>
      <c r="M322" s="1556">
        <v>60</v>
      </c>
      <c r="N322" s="940">
        <f>SUM(N323:N324)</f>
        <v>7433211857</v>
      </c>
      <c r="O322" s="1556">
        <v>10</v>
      </c>
      <c r="P322" s="940">
        <f>SUM(P323:P324)</f>
        <v>1311070619</v>
      </c>
      <c r="Q322" s="1568">
        <v>2</v>
      </c>
      <c r="R322" s="940">
        <f>SUM(R323:R324)</f>
        <v>235269615</v>
      </c>
      <c r="S322" s="188"/>
      <c r="T322" s="192">
        <v>690117115</v>
      </c>
      <c r="U322" s="196"/>
      <c r="V322" s="192"/>
      <c r="W322" s="191"/>
      <c r="X322" s="192"/>
      <c r="Y322" s="1556">
        <f t="shared" si="90"/>
        <v>2</v>
      </c>
      <c r="Z322" s="190">
        <f t="shared" si="91"/>
        <v>925386730</v>
      </c>
      <c r="AA322" s="1568">
        <f t="shared" si="92"/>
        <v>62</v>
      </c>
      <c r="AB322" s="190">
        <f t="shared" si="93"/>
        <v>8358598587</v>
      </c>
      <c r="AC322" s="1523">
        <f t="shared" si="94"/>
        <v>77.5</v>
      </c>
      <c r="AD322" s="1523">
        <f t="shared" si="95"/>
        <v>88.965677489027513</v>
      </c>
      <c r="AE322" s="194" t="s">
        <v>111</v>
      </c>
      <c r="AF322" s="201"/>
      <c r="AG322" s="750"/>
      <c r="AH322" s="750"/>
      <c r="AI322" s="750"/>
      <c r="AJ322" s="750"/>
      <c r="AK322" s="750"/>
      <c r="AL322" s="750"/>
      <c r="AM322" s="750"/>
      <c r="AN322" s="750"/>
      <c r="AO322" s="750"/>
      <c r="AP322" s="750"/>
      <c r="AQ322" s="750"/>
      <c r="AR322" s="750"/>
      <c r="AS322" s="750"/>
      <c r="AT322" s="750"/>
      <c r="AU322" s="750"/>
      <c r="AV322" s="750"/>
      <c r="AW322" s="750"/>
      <c r="AX322" s="750"/>
      <c r="AY322" s="750"/>
      <c r="AZ322" s="750"/>
      <c r="BA322" s="750"/>
      <c r="BB322" s="750"/>
      <c r="BC322" s="1547"/>
      <c r="BD322" s="1548"/>
      <c r="BE322" s="1548"/>
      <c r="BF322" s="1548"/>
      <c r="BG322" s="1548"/>
      <c r="BH322" s="1548"/>
      <c r="BI322" s="1548"/>
      <c r="BJ322" s="1548"/>
      <c r="BK322" s="1548"/>
      <c r="BL322" s="1548"/>
      <c r="BM322" s="1548"/>
      <c r="BN322" s="1548"/>
      <c r="BO322" s="1548"/>
      <c r="BP322" s="1548"/>
      <c r="BQ322" s="1548"/>
      <c r="BR322" s="1548"/>
    </row>
    <row r="323" spans="1:70" s="938" customFormat="1" ht="33">
      <c r="A323" s="79"/>
      <c r="B323" s="47"/>
      <c r="C323" s="1422">
        <v>1</v>
      </c>
      <c r="D323" s="1423" t="s">
        <v>25</v>
      </c>
      <c r="E323" s="1423" t="s">
        <v>39</v>
      </c>
      <c r="F323" s="1423">
        <v>1</v>
      </c>
      <c r="G323" s="1423"/>
      <c r="H323" s="1423" t="s">
        <v>25</v>
      </c>
      <c r="I323" s="47" t="s">
        <v>797</v>
      </c>
      <c r="J323" s="47" t="s">
        <v>798</v>
      </c>
      <c r="K323" s="1561">
        <v>72</v>
      </c>
      <c r="L323" s="50">
        <v>5895307070</v>
      </c>
      <c r="M323" s="1553">
        <v>36</v>
      </c>
      <c r="N323" s="63">
        <f>3*P323</f>
        <v>3933211857</v>
      </c>
      <c r="O323" s="1553">
        <v>12</v>
      </c>
      <c r="P323" s="50">
        <v>1311070619</v>
      </c>
      <c r="Q323" s="1562">
        <v>3</v>
      </c>
      <c r="R323" s="63">
        <v>235269615</v>
      </c>
      <c r="S323" s="71">
        <v>3</v>
      </c>
      <c r="T323" s="50">
        <v>690117115</v>
      </c>
      <c r="U323" s="73"/>
      <c r="V323" s="50"/>
      <c r="W323" s="65"/>
      <c r="X323" s="50"/>
      <c r="Y323" s="1553">
        <f t="shared" si="90"/>
        <v>6</v>
      </c>
      <c r="Z323" s="51">
        <f t="shared" si="91"/>
        <v>925386730</v>
      </c>
      <c r="AA323" s="1562">
        <f t="shared" si="92"/>
        <v>42</v>
      </c>
      <c r="AB323" s="51">
        <f t="shared" si="93"/>
        <v>4858598587</v>
      </c>
      <c r="AC323" s="1522">
        <f t="shared" si="94"/>
        <v>58.333333333333336</v>
      </c>
      <c r="AD323" s="1522">
        <f t="shared" si="95"/>
        <v>82.414682209250884</v>
      </c>
      <c r="AE323" s="79"/>
      <c r="AF323" s="750"/>
      <c r="AG323" s="750"/>
      <c r="AH323" s="750"/>
      <c r="AI323" s="750"/>
      <c r="AJ323" s="750"/>
      <c r="AK323" s="750"/>
      <c r="AL323" s="750"/>
      <c r="AM323" s="750"/>
      <c r="AN323" s="750"/>
      <c r="AO323" s="750"/>
      <c r="AP323" s="750"/>
      <c r="AQ323" s="750"/>
      <c r="AR323" s="750"/>
      <c r="AS323" s="750"/>
      <c r="AT323" s="750"/>
      <c r="AU323" s="750"/>
      <c r="AV323" s="750"/>
      <c r="AW323" s="750"/>
      <c r="AX323" s="750"/>
      <c r="AY323" s="750"/>
      <c r="AZ323" s="750"/>
      <c r="BA323" s="750"/>
      <c r="BB323" s="750"/>
      <c r="BC323" s="1547"/>
      <c r="BD323" s="1548"/>
      <c r="BE323" s="1548"/>
      <c r="BF323" s="1548"/>
      <c r="BG323" s="1548"/>
      <c r="BH323" s="1548"/>
      <c r="BI323" s="1548"/>
      <c r="BJ323" s="1548"/>
      <c r="BK323" s="1548"/>
      <c r="BL323" s="1548"/>
      <c r="BM323" s="1548"/>
      <c r="BN323" s="1548"/>
      <c r="BO323" s="1548"/>
      <c r="BP323" s="1548"/>
      <c r="BQ323" s="1548"/>
      <c r="BR323" s="1548"/>
    </row>
    <row r="324" spans="1:70" s="938" customFormat="1" ht="66">
      <c r="A324" s="79"/>
      <c r="B324" s="47"/>
      <c r="C324" s="1422">
        <v>1</v>
      </c>
      <c r="D324" s="1423" t="s">
        <v>25</v>
      </c>
      <c r="E324" s="1423" t="s">
        <v>39</v>
      </c>
      <c r="F324" s="1423">
        <v>1</v>
      </c>
      <c r="G324" s="1423"/>
      <c r="H324" s="1423" t="s">
        <v>25</v>
      </c>
      <c r="I324" s="47" t="s">
        <v>799</v>
      </c>
      <c r="J324" s="47" t="s">
        <v>800</v>
      </c>
      <c r="K324" s="1561">
        <v>12</v>
      </c>
      <c r="L324" s="50">
        <v>3500000000</v>
      </c>
      <c r="M324" s="1561">
        <v>12</v>
      </c>
      <c r="N324" s="50">
        <v>3500000000</v>
      </c>
      <c r="O324" s="1541">
        <v>0</v>
      </c>
      <c r="P324" s="50">
        <v>0</v>
      </c>
      <c r="Q324" s="1562"/>
      <c r="R324" s="63">
        <v>0</v>
      </c>
      <c r="S324" s="71"/>
      <c r="T324" s="50">
        <v>0</v>
      </c>
      <c r="U324" s="73"/>
      <c r="V324" s="50"/>
      <c r="W324" s="65"/>
      <c r="X324" s="50"/>
      <c r="Y324" s="1553">
        <f t="shared" si="90"/>
        <v>0</v>
      </c>
      <c r="Z324" s="51">
        <f t="shared" si="91"/>
        <v>0</v>
      </c>
      <c r="AA324" s="1562">
        <f t="shared" si="92"/>
        <v>12</v>
      </c>
      <c r="AB324" s="51">
        <f t="shared" si="93"/>
        <v>3500000000</v>
      </c>
      <c r="AC324" s="1522">
        <f t="shared" si="94"/>
        <v>100</v>
      </c>
      <c r="AD324" s="1522">
        <f t="shared" si="95"/>
        <v>100</v>
      </c>
      <c r="AE324" s="79"/>
      <c r="AF324" s="750"/>
      <c r="AG324" s="750"/>
      <c r="AH324" s="750"/>
      <c r="AI324" s="750"/>
      <c r="AJ324" s="750"/>
      <c r="AK324" s="750"/>
      <c r="AL324" s="750"/>
      <c r="AM324" s="750"/>
      <c r="AN324" s="750"/>
      <c r="AO324" s="750"/>
      <c r="AP324" s="750"/>
      <c r="AQ324" s="750"/>
      <c r="AR324" s="750"/>
      <c r="AS324" s="750"/>
      <c r="AT324" s="750"/>
      <c r="AU324" s="750"/>
      <c r="AV324" s="750"/>
      <c r="AW324" s="750"/>
      <c r="AX324" s="750"/>
      <c r="AY324" s="750"/>
      <c r="AZ324" s="750"/>
      <c r="BA324" s="750"/>
      <c r="BB324" s="750"/>
      <c r="BC324" s="1547"/>
      <c r="BD324" s="1548"/>
      <c r="BE324" s="1548"/>
      <c r="BF324" s="1548"/>
      <c r="BG324" s="1548"/>
      <c r="BH324" s="1548"/>
      <c r="BI324" s="1548"/>
      <c r="BJ324" s="1548"/>
      <c r="BK324" s="1548"/>
      <c r="BL324" s="1548"/>
      <c r="BM324" s="1548"/>
      <c r="BN324" s="1548"/>
      <c r="BO324" s="1548"/>
      <c r="BP324" s="1548"/>
      <c r="BQ324" s="1548"/>
      <c r="BR324" s="1548"/>
    </row>
    <row r="325" spans="1:70" s="938" customFormat="1" ht="82.5">
      <c r="A325" s="194">
        <v>11</v>
      </c>
      <c r="B325" s="186"/>
      <c r="C325" s="194">
        <v>1</v>
      </c>
      <c r="D325" s="1424" t="s">
        <v>25</v>
      </c>
      <c r="E325" s="1424" t="s">
        <v>39</v>
      </c>
      <c r="F325" s="1424">
        <v>1</v>
      </c>
      <c r="G325" s="1424"/>
      <c r="H325" s="1424" t="s">
        <v>25</v>
      </c>
      <c r="I325" s="193" t="s">
        <v>2006</v>
      </c>
      <c r="J325" s="197" t="s">
        <v>2660</v>
      </c>
      <c r="K325" s="1533">
        <v>100</v>
      </c>
      <c r="L325" s="940">
        <f>SUM(L326:L327)</f>
        <v>104420779032</v>
      </c>
      <c r="M325" s="1556">
        <v>46</v>
      </c>
      <c r="N325" s="940">
        <f>SUM(N326:N327)</f>
        <v>35141848067</v>
      </c>
      <c r="O325" s="1556">
        <v>20</v>
      </c>
      <c r="P325" s="940">
        <f>SUM(P326:P327)</f>
        <v>14583638034</v>
      </c>
      <c r="Q325" s="1568">
        <v>2</v>
      </c>
      <c r="R325" s="940">
        <f>SUM(R326:R327)</f>
        <v>221937600</v>
      </c>
      <c r="S325" s="188"/>
      <c r="T325" s="192">
        <v>3076449500</v>
      </c>
      <c r="U325" s="196"/>
      <c r="V325" s="192"/>
      <c r="W325" s="191"/>
      <c r="X325" s="192"/>
      <c r="Y325" s="1556">
        <f t="shared" si="90"/>
        <v>2</v>
      </c>
      <c r="Z325" s="190">
        <f t="shared" si="91"/>
        <v>3298387100</v>
      </c>
      <c r="AA325" s="1568">
        <f t="shared" si="92"/>
        <v>48</v>
      </c>
      <c r="AB325" s="190">
        <f t="shared" si="93"/>
        <v>38440235167</v>
      </c>
      <c r="AC325" s="1523">
        <f t="shared" si="94"/>
        <v>48</v>
      </c>
      <c r="AD325" s="1523">
        <f t="shared" si="95"/>
        <v>36.812821665714537</v>
      </c>
      <c r="AE325" s="194" t="s">
        <v>111</v>
      </c>
      <c r="AF325" s="201"/>
      <c r="AG325" s="750"/>
      <c r="AH325" s="750"/>
      <c r="AI325" s="750"/>
      <c r="AJ325" s="750"/>
      <c r="AK325" s="750"/>
      <c r="AL325" s="750"/>
      <c r="AM325" s="750"/>
      <c r="AN325" s="750"/>
      <c r="AO325" s="750"/>
      <c r="AP325" s="750"/>
      <c r="AQ325" s="750"/>
      <c r="AR325" s="750"/>
      <c r="AS325" s="750"/>
      <c r="AT325" s="750"/>
      <c r="AU325" s="750"/>
      <c r="AV325" s="750"/>
      <c r="AW325" s="750"/>
      <c r="AX325" s="750"/>
      <c r="AY325" s="750"/>
      <c r="AZ325" s="750"/>
      <c r="BA325" s="750"/>
      <c r="BB325" s="750"/>
      <c r="BC325" s="1547"/>
      <c r="BD325" s="1548"/>
      <c r="BE325" s="1548"/>
      <c r="BF325" s="1548"/>
      <c r="BG325" s="1548"/>
      <c r="BH325" s="1548"/>
      <c r="BI325" s="1548"/>
      <c r="BJ325" s="1548"/>
      <c r="BK325" s="1548"/>
      <c r="BL325" s="1548"/>
      <c r="BM325" s="1548"/>
      <c r="BN325" s="1548"/>
      <c r="BO325" s="1548"/>
      <c r="BP325" s="1548"/>
      <c r="BQ325" s="1548"/>
      <c r="BR325" s="1548"/>
    </row>
    <row r="326" spans="1:70" s="938" customFormat="1" ht="82.5">
      <c r="A326" s="79"/>
      <c r="B326" s="47"/>
      <c r="C326" s="79">
        <v>1</v>
      </c>
      <c r="D326" s="1425" t="s">
        <v>25</v>
      </c>
      <c r="E326" s="1425" t="s">
        <v>39</v>
      </c>
      <c r="F326" s="1425">
        <v>1</v>
      </c>
      <c r="G326" s="1425"/>
      <c r="H326" s="1425" t="s">
        <v>25</v>
      </c>
      <c r="I326" s="49" t="s">
        <v>531</v>
      </c>
      <c r="J326" s="47" t="s">
        <v>801</v>
      </c>
      <c r="K326" s="1553">
        <v>15</v>
      </c>
      <c r="L326" s="50">
        <v>95270779032</v>
      </c>
      <c r="M326" s="1553">
        <v>4</v>
      </c>
      <c r="N326" s="63">
        <v>30735039428</v>
      </c>
      <c r="O326" s="1579">
        <v>7</v>
      </c>
      <c r="P326" s="63">
        <v>13852140759</v>
      </c>
      <c r="Q326" s="1553">
        <v>0</v>
      </c>
      <c r="R326" s="63">
        <v>19152200</v>
      </c>
      <c r="S326" s="65">
        <v>2</v>
      </c>
      <c r="T326" s="51">
        <v>2673954100</v>
      </c>
      <c r="U326" s="65"/>
      <c r="V326" s="50"/>
      <c r="W326" s="65"/>
      <c r="X326" s="50"/>
      <c r="Y326" s="1553">
        <f t="shared" si="90"/>
        <v>2</v>
      </c>
      <c r="Z326" s="51">
        <f t="shared" si="91"/>
        <v>2693106300</v>
      </c>
      <c r="AA326" s="1553">
        <f t="shared" si="92"/>
        <v>6</v>
      </c>
      <c r="AB326" s="51">
        <f t="shared" si="93"/>
        <v>33428145728</v>
      </c>
      <c r="AC326" s="1522">
        <f t="shared" si="94"/>
        <v>40</v>
      </c>
      <c r="AD326" s="1522">
        <f t="shared" si="95"/>
        <v>35.087511687893304</v>
      </c>
      <c r="AE326" s="79"/>
      <c r="AF326" s="201"/>
      <c r="AG326" s="750"/>
      <c r="AH326" s="750"/>
      <c r="AI326" s="750"/>
      <c r="AJ326" s="750"/>
      <c r="AK326" s="750"/>
      <c r="AL326" s="750"/>
      <c r="AM326" s="750"/>
      <c r="AN326" s="750"/>
      <c r="AO326" s="750"/>
      <c r="AP326" s="750"/>
      <c r="AQ326" s="750"/>
      <c r="AR326" s="750"/>
      <c r="AS326" s="750"/>
      <c r="AT326" s="750"/>
      <c r="AU326" s="750"/>
      <c r="AV326" s="750"/>
      <c r="AW326" s="750"/>
      <c r="AX326" s="750"/>
      <c r="AY326" s="750"/>
      <c r="AZ326" s="750"/>
      <c r="BA326" s="750"/>
      <c r="BB326" s="750"/>
      <c r="BC326" s="1547"/>
      <c r="BD326" s="1548"/>
      <c r="BE326" s="1548"/>
      <c r="BF326" s="1548"/>
      <c r="BG326" s="1548"/>
      <c r="BH326" s="1548"/>
      <c r="BI326" s="1548"/>
      <c r="BJ326" s="1548"/>
      <c r="BK326" s="1548"/>
      <c r="BL326" s="1548"/>
      <c r="BM326" s="1548"/>
      <c r="BN326" s="1548"/>
      <c r="BO326" s="1548"/>
      <c r="BP326" s="1548"/>
      <c r="BQ326" s="1548"/>
      <c r="BR326" s="1548"/>
    </row>
    <row r="327" spans="1:70" s="938" customFormat="1" ht="49.5">
      <c r="A327" s="1422"/>
      <c r="B327" s="48"/>
      <c r="C327" s="1422">
        <v>1</v>
      </c>
      <c r="D327" s="1423" t="s">
        <v>25</v>
      </c>
      <c r="E327" s="1423" t="s">
        <v>39</v>
      </c>
      <c r="F327" s="1423">
        <v>1</v>
      </c>
      <c r="G327" s="1423"/>
      <c r="H327" s="1423" t="s">
        <v>25</v>
      </c>
      <c r="I327" s="48" t="s">
        <v>802</v>
      </c>
      <c r="J327" s="48" t="s">
        <v>2661</v>
      </c>
      <c r="K327" s="1554">
        <v>15</v>
      </c>
      <c r="L327" s="54">
        <v>9150000000</v>
      </c>
      <c r="M327" s="1554">
        <v>5</v>
      </c>
      <c r="N327" s="64">
        <v>4406808639</v>
      </c>
      <c r="O327" s="1554">
        <v>4</v>
      </c>
      <c r="P327" s="64">
        <v>731497275</v>
      </c>
      <c r="Q327" s="1554">
        <v>1</v>
      </c>
      <c r="R327" s="64">
        <v>202785400</v>
      </c>
      <c r="S327" s="71">
        <v>1</v>
      </c>
      <c r="T327" s="54">
        <v>402495400</v>
      </c>
      <c r="U327" s="71"/>
      <c r="V327" s="54"/>
      <c r="W327" s="1546"/>
      <c r="X327" s="54"/>
      <c r="Y327" s="1554">
        <f t="shared" si="90"/>
        <v>2</v>
      </c>
      <c r="Z327" s="55">
        <f t="shared" si="91"/>
        <v>605280800</v>
      </c>
      <c r="AA327" s="1554">
        <f t="shared" si="92"/>
        <v>7</v>
      </c>
      <c r="AB327" s="55">
        <f t="shared" si="93"/>
        <v>5012089439</v>
      </c>
      <c r="AC327" s="1524">
        <f t="shared" si="94"/>
        <v>46.666666666666664</v>
      </c>
      <c r="AD327" s="1524">
        <f t="shared" si="95"/>
        <v>54.776933759562837</v>
      </c>
      <c r="AE327" s="1422"/>
      <c r="AF327" s="201"/>
      <c r="AG327" s="750"/>
      <c r="AH327" s="750"/>
      <c r="AI327" s="750"/>
      <c r="AJ327" s="750"/>
      <c r="AK327" s="750"/>
      <c r="AL327" s="750"/>
      <c r="AM327" s="750"/>
      <c r="AN327" s="750"/>
      <c r="AO327" s="750"/>
      <c r="AP327" s="750"/>
      <c r="AQ327" s="750"/>
      <c r="AR327" s="750"/>
      <c r="AS327" s="750"/>
      <c r="AT327" s="750"/>
      <c r="AU327" s="750"/>
      <c r="AV327" s="750"/>
      <c r="AW327" s="750"/>
      <c r="AX327" s="750"/>
      <c r="AY327" s="750"/>
      <c r="AZ327" s="750"/>
      <c r="BA327" s="750"/>
      <c r="BB327" s="750"/>
      <c r="BC327" s="1547"/>
      <c r="BD327" s="1548"/>
      <c r="BE327" s="1548"/>
      <c r="BF327" s="1548"/>
      <c r="BG327" s="1548"/>
      <c r="BH327" s="1548"/>
      <c r="BI327" s="1548"/>
      <c r="BJ327" s="1548"/>
      <c r="BK327" s="1548"/>
      <c r="BL327" s="1548"/>
      <c r="BM327" s="1548"/>
      <c r="BN327" s="1548"/>
      <c r="BO327" s="1548"/>
      <c r="BP327" s="1548"/>
      <c r="BQ327" s="1548"/>
      <c r="BR327" s="1548"/>
    </row>
    <row r="328" spans="1:70" s="1548" customFormat="1" ht="66">
      <c r="A328" s="194">
        <v>12</v>
      </c>
      <c r="B328" s="186"/>
      <c r="C328" s="194">
        <v>1</v>
      </c>
      <c r="D328" s="1424" t="s">
        <v>25</v>
      </c>
      <c r="E328" s="1424" t="s">
        <v>39</v>
      </c>
      <c r="F328" s="1424">
        <v>1</v>
      </c>
      <c r="G328" s="1424"/>
      <c r="H328" s="1424" t="s">
        <v>25</v>
      </c>
      <c r="I328" s="186" t="s">
        <v>803</v>
      </c>
      <c r="J328" s="186" t="s">
        <v>804</v>
      </c>
      <c r="K328" s="1556">
        <v>40.43</v>
      </c>
      <c r="L328" s="189">
        <f>SUM(L329:L378)</f>
        <v>346461744571</v>
      </c>
      <c r="M328" s="1556">
        <v>36</v>
      </c>
      <c r="N328" s="189">
        <f>SUM(N329:N378)</f>
        <v>64215648308</v>
      </c>
      <c r="O328" s="1556">
        <f>38.72-M328</f>
        <v>2.7199999999999989</v>
      </c>
      <c r="P328" s="189">
        <f>SUM(P329:P378)</f>
        <v>81904886895</v>
      </c>
      <c r="Q328" s="1556">
        <v>0</v>
      </c>
      <c r="R328" s="189">
        <f>SUM(R329:R378)</f>
        <v>1055059728</v>
      </c>
      <c r="S328" s="188"/>
      <c r="T328" s="192">
        <v>29743224990</v>
      </c>
      <c r="U328" s="196"/>
      <c r="V328" s="192"/>
      <c r="W328" s="191"/>
      <c r="X328" s="192"/>
      <c r="Y328" s="1556">
        <f t="shared" si="90"/>
        <v>0</v>
      </c>
      <c r="Z328" s="190">
        <f t="shared" si="91"/>
        <v>30798284718</v>
      </c>
      <c r="AA328" s="1556">
        <f t="shared" si="92"/>
        <v>36</v>
      </c>
      <c r="AB328" s="190">
        <f t="shared" si="93"/>
        <v>95013933026</v>
      </c>
      <c r="AC328" s="1523">
        <f t="shared" si="94"/>
        <v>89.042790007420237</v>
      </c>
      <c r="AD328" s="1523">
        <f t="shared" si="95"/>
        <v>27.424076255128625</v>
      </c>
      <c r="AE328" s="194" t="s">
        <v>111</v>
      </c>
      <c r="AF328" s="201"/>
      <c r="AG328" s="750"/>
      <c r="AH328" s="750"/>
      <c r="AI328" s="750"/>
      <c r="AJ328" s="750"/>
      <c r="AK328" s="750"/>
      <c r="AL328" s="750"/>
      <c r="AM328" s="750"/>
      <c r="AN328" s="750"/>
      <c r="AO328" s="750"/>
      <c r="AP328" s="750"/>
      <c r="AQ328" s="750"/>
      <c r="AR328" s="750"/>
      <c r="AS328" s="750"/>
      <c r="AT328" s="750"/>
      <c r="AU328" s="750"/>
      <c r="AV328" s="750"/>
      <c r="AW328" s="750"/>
      <c r="AX328" s="750"/>
      <c r="AY328" s="750"/>
      <c r="AZ328" s="750"/>
      <c r="BA328" s="750"/>
      <c r="BB328" s="750"/>
      <c r="BC328" s="1547"/>
    </row>
    <row r="329" spans="1:70" s="938" customFormat="1" ht="49.5">
      <c r="A329" s="61"/>
      <c r="B329" s="52"/>
      <c r="C329" s="1422">
        <v>1</v>
      </c>
      <c r="D329" s="1423" t="s">
        <v>25</v>
      </c>
      <c r="E329" s="1423" t="s">
        <v>39</v>
      </c>
      <c r="F329" s="1423">
        <v>1</v>
      </c>
      <c r="G329" s="1423"/>
      <c r="H329" s="1423" t="s">
        <v>25</v>
      </c>
      <c r="I329" s="49" t="s">
        <v>805</v>
      </c>
      <c r="J329" s="47" t="s">
        <v>2662</v>
      </c>
      <c r="K329" s="1553">
        <v>10</v>
      </c>
      <c r="L329" s="50">
        <v>4450000000</v>
      </c>
      <c r="M329" s="1553">
        <v>3</v>
      </c>
      <c r="N329" s="939">
        <v>775157357</v>
      </c>
      <c r="O329" s="1553">
        <v>3</v>
      </c>
      <c r="P329" s="63">
        <v>1497000000</v>
      </c>
      <c r="Q329" s="1553">
        <v>1</v>
      </c>
      <c r="R329" s="64">
        <v>172925383</v>
      </c>
      <c r="S329" s="62">
        <v>0</v>
      </c>
      <c r="T329" s="50">
        <v>627819349</v>
      </c>
      <c r="U329" s="62"/>
      <c r="V329" s="50"/>
      <c r="W329" s="65"/>
      <c r="X329" s="50"/>
      <c r="Y329" s="1553">
        <f t="shared" si="90"/>
        <v>1</v>
      </c>
      <c r="Z329" s="51">
        <f t="shared" si="91"/>
        <v>800744732</v>
      </c>
      <c r="AA329" s="1562">
        <f t="shared" si="92"/>
        <v>4</v>
      </c>
      <c r="AB329" s="51">
        <f t="shared" si="93"/>
        <v>1575902089</v>
      </c>
      <c r="AC329" s="1522">
        <f t="shared" si="94"/>
        <v>40</v>
      </c>
      <c r="AD329" s="1522">
        <f t="shared" si="95"/>
        <v>35.413530089887644</v>
      </c>
      <c r="AE329" s="61"/>
      <c r="AF329" s="201"/>
      <c r="AG329" s="750"/>
      <c r="AH329" s="750"/>
      <c r="AI329" s="750"/>
      <c r="AJ329" s="750"/>
      <c r="AK329" s="750"/>
      <c r="AL329" s="750"/>
      <c r="AM329" s="750"/>
      <c r="AN329" s="750"/>
      <c r="AO329" s="750"/>
      <c r="AP329" s="750"/>
      <c r="AQ329" s="750"/>
      <c r="AR329" s="750"/>
      <c r="AS329" s="750"/>
      <c r="AT329" s="750"/>
      <c r="AU329" s="750"/>
      <c r="AV329" s="750"/>
      <c r="AW329" s="750"/>
      <c r="AX329" s="750"/>
      <c r="AY329" s="750"/>
      <c r="AZ329" s="750"/>
      <c r="BA329" s="750"/>
      <c r="BB329" s="750"/>
      <c r="BC329" s="1547"/>
      <c r="BD329" s="1548"/>
      <c r="BE329" s="1548"/>
      <c r="BF329" s="1548"/>
      <c r="BG329" s="1548"/>
      <c r="BH329" s="1548"/>
      <c r="BI329" s="1548"/>
      <c r="BJ329" s="1548"/>
      <c r="BK329" s="1548"/>
      <c r="BL329" s="1548"/>
      <c r="BM329" s="1548"/>
      <c r="BN329" s="1548"/>
      <c r="BO329" s="1548"/>
      <c r="BP329" s="1548"/>
      <c r="BQ329" s="1548"/>
      <c r="BR329" s="1548"/>
    </row>
    <row r="330" spans="1:70" s="938" customFormat="1" ht="49.5">
      <c r="A330" s="61"/>
      <c r="B330" s="52"/>
      <c r="C330" s="1422">
        <v>1</v>
      </c>
      <c r="D330" s="1423" t="s">
        <v>25</v>
      </c>
      <c r="E330" s="1423" t="s">
        <v>39</v>
      </c>
      <c r="F330" s="1423">
        <v>1</v>
      </c>
      <c r="G330" s="1423"/>
      <c r="H330" s="1423" t="s">
        <v>25</v>
      </c>
      <c r="I330" s="49" t="s">
        <v>807</v>
      </c>
      <c r="J330" s="47" t="s">
        <v>2663</v>
      </c>
      <c r="K330" s="1553">
        <v>60</v>
      </c>
      <c r="L330" s="50">
        <v>163769092650</v>
      </c>
      <c r="M330" s="1553">
        <v>9</v>
      </c>
      <c r="N330" s="51">
        <v>25959240000</v>
      </c>
      <c r="O330" s="1553">
        <v>13</v>
      </c>
      <c r="P330" s="67">
        <v>53281450000</v>
      </c>
      <c r="Q330" s="1553">
        <v>0</v>
      </c>
      <c r="R330" s="64">
        <v>16105000</v>
      </c>
      <c r="S330" s="62">
        <v>0</v>
      </c>
      <c r="T330" s="50">
        <v>16761916983</v>
      </c>
      <c r="U330" s="62"/>
      <c r="V330" s="50"/>
      <c r="W330" s="65"/>
      <c r="X330" s="50"/>
      <c r="Y330" s="1553">
        <f t="shared" si="90"/>
        <v>0</v>
      </c>
      <c r="Z330" s="51">
        <f t="shared" si="91"/>
        <v>16778021983</v>
      </c>
      <c r="AA330" s="1562">
        <f t="shared" si="92"/>
        <v>9</v>
      </c>
      <c r="AB330" s="51">
        <f t="shared" si="93"/>
        <v>42737261983</v>
      </c>
      <c r="AC330" s="1522">
        <f t="shared" si="94"/>
        <v>15</v>
      </c>
      <c r="AD330" s="1522">
        <f t="shared" si="95"/>
        <v>26.096048583682496</v>
      </c>
      <c r="AE330" s="61"/>
      <c r="AF330" s="201"/>
      <c r="AG330" s="750"/>
      <c r="AH330" s="750"/>
      <c r="AI330" s="750"/>
      <c r="AJ330" s="750"/>
      <c r="AK330" s="750"/>
      <c r="AL330" s="750"/>
      <c r="AM330" s="750"/>
      <c r="AN330" s="750"/>
      <c r="AO330" s="750"/>
      <c r="AP330" s="750"/>
      <c r="AQ330" s="750"/>
      <c r="AR330" s="750"/>
      <c r="AS330" s="750"/>
      <c r="AT330" s="750"/>
      <c r="AU330" s="750"/>
      <c r="AV330" s="750"/>
      <c r="AW330" s="750"/>
      <c r="AX330" s="750"/>
      <c r="AY330" s="750"/>
      <c r="AZ330" s="750"/>
      <c r="BA330" s="750"/>
      <c r="BB330" s="750"/>
      <c r="BC330" s="1547"/>
      <c r="BD330" s="1548"/>
      <c r="BE330" s="1548"/>
      <c r="BF330" s="1548"/>
      <c r="BG330" s="1548"/>
      <c r="BH330" s="1548"/>
      <c r="BI330" s="1548"/>
      <c r="BJ330" s="1548"/>
      <c r="BK330" s="1548"/>
      <c r="BL330" s="1548"/>
      <c r="BM330" s="1548"/>
      <c r="BN330" s="1548"/>
      <c r="BO330" s="1548"/>
      <c r="BP330" s="1548"/>
      <c r="BQ330" s="1548"/>
      <c r="BR330" s="1548"/>
    </row>
    <row r="331" spans="1:70" s="938" customFormat="1" ht="49.5">
      <c r="A331" s="61"/>
      <c r="B331" s="52"/>
      <c r="C331" s="1422">
        <v>1</v>
      </c>
      <c r="D331" s="1423" t="s">
        <v>25</v>
      </c>
      <c r="E331" s="1423" t="s">
        <v>39</v>
      </c>
      <c r="F331" s="1423">
        <v>1</v>
      </c>
      <c r="G331" s="1423"/>
      <c r="H331" s="1423" t="s">
        <v>25</v>
      </c>
      <c r="I331" s="49" t="s">
        <v>808</v>
      </c>
      <c r="J331" s="47" t="s">
        <v>2664</v>
      </c>
      <c r="K331" s="1553">
        <v>120</v>
      </c>
      <c r="L331" s="50">
        <v>23200000000</v>
      </c>
      <c r="M331" s="1553">
        <v>45</v>
      </c>
      <c r="N331" s="939">
        <v>17832463395</v>
      </c>
      <c r="O331" s="1553">
        <v>28</v>
      </c>
      <c r="P331" s="63">
        <v>11243642500</v>
      </c>
      <c r="Q331" s="1553">
        <v>1</v>
      </c>
      <c r="R331" s="64">
        <v>676568255</v>
      </c>
      <c r="S331" s="62">
        <v>16</v>
      </c>
      <c r="T331" s="50">
        <v>5388247019</v>
      </c>
      <c r="U331" s="62"/>
      <c r="V331" s="50"/>
      <c r="W331" s="65"/>
      <c r="X331" s="50"/>
      <c r="Y331" s="1553">
        <f t="shared" si="90"/>
        <v>17</v>
      </c>
      <c r="Z331" s="51">
        <f t="shared" si="91"/>
        <v>6064815274</v>
      </c>
      <c r="AA331" s="1562">
        <f t="shared" si="92"/>
        <v>62</v>
      </c>
      <c r="AB331" s="51">
        <f t="shared" si="93"/>
        <v>23897278669</v>
      </c>
      <c r="AC331" s="1522">
        <f t="shared" si="94"/>
        <v>51.666666666666671</v>
      </c>
      <c r="AD331" s="1522">
        <f t="shared" si="95"/>
        <v>103.00551150431035</v>
      </c>
      <c r="AE331" s="61"/>
      <c r="AF331" s="201"/>
      <c r="AG331" s="750"/>
      <c r="AH331" s="750"/>
      <c r="AI331" s="750"/>
      <c r="AJ331" s="750"/>
      <c r="AK331" s="750"/>
      <c r="AL331" s="750"/>
      <c r="AM331" s="750"/>
      <c r="AN331" s="750"/>
      <c r="AO331" s="750"/>
      <c r="AP331" s="750"/>
      <c r="AQ331" s="750"/>
      <c r="AR331" s="750"/>
      <c r="AS331" s="750"/>
      <c r="AT331" s="750"/>
      <c r="AU331" s="750"/>
      <c r="AV331" s="750"/>
      <c r="AW331" s="750"/>
      <c r="AX331" s="750"/>
      <c r="AY331" s="750"/>
      <c r="AZ331" s="750"/>
      <c r="BA331" s="750"/>
      <c r="BB331" s="750"/>
      <c r="BC331" s="1547"/>
      <c r="BD331" s="1548"/>
      <c r="BE331" s="1548"/>
      <c r="BF331" s="1548"/>
      <c r="BG331" s="1548"/>
      <c r="BH331" s="1548"/>
      <c r="BI331" s="1548"/>
      <c r="BJ331" s="1548"/>
      <c r="BK331" s="1548"/>
      <c r="BL331" s="1548"/>
      <c r="BM331" s="1548"/>
      <c r="BN331" s="1548"/>
      <c r="BO331" s="1548"/>
      <c r="BP331" s="1548"/>
      <c r="BQ331" s="1548"/>
      <c r="BR331" s="1548"/>
    </row>
    <row r="332" spans="1:70" s="938" customFormat="1" ht="49.5">
      <c r="A332" s="61"/>
      <c r="B332" s="52"/>
      <c r="C332" s="1422">
        <v>1</v>
      </c>
      <c r="D332" s="1423" t="s">
        <v>25</v>
      </c>
      <c r="E332" s="1423" t="s">
        <v>39</v>
      </c>
      <c r="F332" s="1423">
        <v>1</v>
      </c>
      <c r="G332" s="1423"/>
      <c r="H332" s="1423" t="s">
        <v>25</v>
      </c>
      <c r="I332" s="49" t="s">
        <v>809</v>
      </c>
      <c r="J332" s="47" t="s">
        <v>2665</v>
      </c>
      <c r="K332" s="1553">
        <v>25</v>
      </c>
      <c r="L332" s="50">
        <v>26202623705</v>
      </c>
      <c r="M332" s="1553">
        <v>7</v>
      </c>
      <c r="N332" s="939">
        <v>6647264738</v>
      </c>
      <c r="O332" s="1553">
        <v>7</v>
      </c>
      <c r="P332" s="63">
        <v>6345136717</v>
      </c>
      <c r="Q332" s="1553">
        <v>0</v>
      </c>
      <c r="R332" s="64">
        <v>74633900</v>
      </c>
      <c r="S332" s="62">
        <v>1</v>
      </c>
      <c r="T332" s="50">
        <v>2675240409</v>
      </c>
      <c r="U332" s="62"/>
      <c r="V332" s="50"/>
      <c r="W332" s="65"/>
      <c r="X332" s="50"/>
      <c r="Y332" s="1553">
        <f t="shared" si="90"/>
        <v>1</v>
      </c>
      <c r="Z332" s="51">
        <f t="shared" si="91"/>
        <v>2749874309</v>
      </c>
      <c r="AA332" s="1562">
        <f t="shared" si="92"/>
        <v>8</v>
      </c>
      <c r="AB332" s="51">
        <f t="shared" si="93"/>
        <v>9397139047</v>
      </c>
      <c r="AC332" s="1522">
        <f t="shared" si="94"/>
        <v>32</v>
      </c>
      <c r="AD332" s="1522">
        <f t="shared" si="95"/>
        <v>35.863351520812905</v>
      </c>
      <c r="AE332" s="61"/>
      <c r="AF332" s="201"/>
      <c r="AG332" s="750"/>
      <c r="AH332" s="750"/>
      <c r="AI332" s="750"/>
      <c r="AJ332" s="750"/>
      <c r="AK332" s="750"/>
      <c r="AL332" s="750"/>
      <c r="AM332" s="750"/>
      <c r="AN332" s="750"/>
      <c r="AO332" s="750"/>
      <c r="AP332" s="750"/>
      <c r="AQ332" s="750"/>
      <c r="AR332" s="750"/>
      <c r="AS332" s="750"/>
      <c r="AT332" s="750"/>
      <c r="AU332" s="750"/>
      <c r="AV332" s="750"/>
      <c r="AW332" s="750"/>
      <c r="AX332" s="750"/>
      <c r="AY332" s="750"/>
      <c r="AZ332" s="750"/>
      <c r="BA332" s="750"/>
      <c r="BB332" s="750"/>
      <c r="BC332" s="1547"/>
      <c r="BD332" s="1548"/>
      <c r="BE332" s="1548"/>
      <c r="BF332" s="1548"/>
      <c r="BG332" s="1548"/>
      <c r="BH332" s="1548"/>
      <c r="BI332" s="1548"/>
      <c r="BJ332" s="1548"/>
      <c r="BK332" s="1548"/>
      <c r="BL332" s="1548"/>
      <c r="BM332" s="1548"/>
      <c r="BN332" s="1548"/>
      <c r="BO332" s="1548"/>
      <c r="BP332" s="1548"/>
      <c r="BQ332" s="1548"/>
      <c r="BR332" s="1548"/>
    </row>
    <row r="333" spans="1:70" s="938" customFormat="1" ht="49.5">
      <c r="A333" s="61"/>
      <c r="B333" s="52"/>
      <c r="C333" s="1422">
        <v>1</v>
      </c>
      <c r="D333" s="1423" t="s">
        <v>25</v>
      </c>
      <c r="E333" s="1423" t="s">
        <v>39</v>
      </c>
      <c r="F333" s="1423">
        <v>1</v>
      </c>
      <c r="G333" s="1423"/>
      <c r="H333" s="1423" t="s">
        <v>25</v>
      </c>
      <c r="I333" s="69" t="s">
        <v>811</v>
      </c>
      <c r="J333" s="47" t="s">
        <v>2666</v>
      </c>
      <c r="K333" s="1553">
        <v>20</v>
      </c>
      <c r="L333" s="50">
        <v>2202026267</v>
      </c>
      <c r="M333" s="1553">
        <v>5</v>
      </c>
      <c r="N333" s="939">
        <v>464900342</v>
      </c>
      <c r="O333" s="1553">
        <v>7</v>
      </c>
      <c r="P333" s="63">
        <v>326911868</v>
      </c>
      <c r="Q333" s="1553">
        <v>0</v>
      </c>
      <c r="R333" s="64">
        <v>6517942</v>
      </c>
      <c r="S333" s="62">
        <v>6</v>
      </c>
      <c r="T333" s="50">
        <v>282114942</v>
      </c>
      <c r="U333" s="62"/>
      <c r="V333" s="50"/>
      <c r="W333" s="62"/>
      <c r="X333" s="50"/>
      <c r="Y333" s="1553">
        <f t="shared" si="90"/>
        <v>6</v>
      </c>
      <c r="Z333" s="51">
        <f t="shared" si="91"/>
        <v>288632884</v>
      </c>
      <c r="AA333" s="1562">
        <f t="shared" si="92"/>
        <v>11</v>
      </c>
      <c r="AB333" s="51">
        <f t="shared" si="93"/>
        <v>753533226</v>
      </c>
      <c r="AC333" s="1522">
        <f t="shared" si="94"/>
        <v>55.000000000000007</v>
      </c>
      <c r="AD333" s="1522">
        <f t="shared" si="95"/>
        <v>34.219992617372355</v>
      </c>
      <c r="AE333" s="61"/>
      <c r="AF333" s="201"/>
      <c r="AG333" s="750"/>
      <c r="AH333" s="750"/>
      <c r="AI333" s="750"/>
      <c r="AJ333" s="750"/>
      <c r="AK333" s="750"/>
      <c r="AL333" s="750"/>
      <c r="AM333" s="750"/>
      <c r="AN333" s="750"/>
      <c r="AO333" s="750"/>
      <c r="AP333" s="750"/>
      <c r="AQ333" s="750"/>
      <c r="AR333" s="750"/>
      <c r="AS333" s="750"/>
      <c r="AT333" s="750"/>
      <c r="AU333" s="750"/>
      <c r="AV333" s="750"/>
      <c r="AW333" s="750"/>
      <c r="AX333" s="750"/>
      <c r="AY333" s="750"/>
      <c r="AZ333" s="750"/>
      <c r="BA333" s="750"/>
      <c r="BB333" s="750"/>
      <c r="BC333" s="1547"/>
      <c r="BD333" s="1548"/>
      <c r="BE333" s="1548"/>
      <c r="BF333" s="1548"/>
      <c r="BG333" s="1548"/>
      <c r="BH333" s="1548"/>
      <c r="BI333" s="1548"/>
      <c r="BJ333" s="1548"/>
      <c r="BK333" s="1548"/>
      <c r="BL333" s="1548"/>
      <c r="BM333" s="1548"/>
      <c r="BN333" s="1548"/>
      <c r="BO333" s="1548"/>
      <c r="BP333" s="1548"/>
      <c r="BQ333" s="1548"/>
      <c r="BR333" s="1548"/>
    </row>
    <row r="334" spans="1:70" s="938" customFormat="1" ht="49.5">
      <c r="A334" s="61"/>
      <c r="B334" s="52"/>
      <c r="C334" s="1422">
        <v>1</v>
      </c>
      <c r="D334" s="1423" t="s">
        <v>25</v>
      </c>
      <c r="E334" s="1423" t="s">
        <v>39</v>
      </c>
      <c r="F334" s="1423">
        <v>1</v>
      </c>
      <c r="G334" s="1423"/>
      <c r="H334" s="1423" t="s">
        <v>25</v>
      </c>
      <c r="I334" s="49" t="s">
        <v>812</v>
      </c>
      <c r="J334" s="47" t="s">
        <v>813</v>
      </c>
      <c r="K334" s="1553">
        <v>60</v>
      </c>
      <c r="L334" s="50">
        <v>6400000000</v>
      </c>
      <c r="M334" s="1553">
        <v>1</v>
      </c>
      <c r="N334" s="939">
        <v>616270572</v>
      </c>
      <c r="O334" s="1553">
        <v>4</v>
      </c>
      <c r="P334" s="67">
        <v>644186501</v>
      </c>
      <c r="Q334" s="1553">
        <v>2</v>
      </c>
      <c r="R334" s="68">
        <v>59447300</v>
      </c>
      <c r="S334" s="62">
        <v>1</v>
      </c>
      <c r="T334" s="50">
        <v>283137800</v>
      </c>
      <c r="U334" s="62"/>
      <c r="V334" s="50"/>
      <c r="W334" s="65"/>
      <c r="X334" s="50"/>
      <c r="Y334" s="1553">
        <f t="shared" si="90"/>
        <v>3</v>
      </c>
      <c r="Z334" s="51">
        <f t="shared" si="91"/>
        <v>342585100</v>
      </c>
      <c r="AA334" s="1562">
        <f t="shared" si="92"/>
        <v>4</v>
      </c>
      <c r="AB334" s="51">
        <f t="shared" si="93"/>
        <v>958855672</v>
      </c>
      <c r="AC334" s="1522">
        <f t="shared" si="94"/>
        <v>6.666666666666667</v>
      </c>
      <c r="AD334" s="1522">
        <f t="shared" si="95"/>
        <v>14.982119874999999</v>
      </c>
      <c r="AE334" s="61"/>
      <c r="AF334" s="201"/>
      <c r="AG334" s="750"/>
      <c r="AH334" s="750"/>
      <c r="AI334" s="750"/>
      <c r="AJ334" s="750"/>
      <c r="AK334" s="750"/>
      <c r="AL334" s="750"/>
      <c r="AM334" s="750"/>
      <c r="AN334" s="750"/>
      <c r="AO334" s="750"/>
      <c r="AP334" s="750"/>
      <c r="AQ334" s="750"/>
      <c r="AR334" s="750"/>
      <c r="AS334" s="750"/>
      <c r="AT334" s="750"/>
      <c r="AU334" s="750"/>
      <c r="AV334" s="750"/>
      <c r="AW334" s="750"/>
      <c r="AX334" s="750"/>
      <c r="AY334" s="750"/>
      <c r="AZ334" s="750"/>
      <c r="BA334" s="750"/>
      <c r="BB334" s="750"/>
      <c r="BC334" s="1547"/>
      <c r="BD334" s="1548"/>
      <c r="BE334" s="1548"/>
      <c r="BF334" s="1548"/>
      <c r="BG334" s="1548"/>
      <c r="BH334" s="1548"/>
      <c r="BI334" s="1548"/>
      <c r="BJ334" s="1548"/>
      <c r="BK334" s="1548"/>
      <c r="BL334" s="1548"/>
      <c r="BM334" s="1548"/>
      <c r="BN334" s="1548"/>
      <c r="BO334" s="1548"/>
      <c r="BP334" s="1548"/>
      <c r="BQ334" s="1548"/>
      <c r="BR334" s="1548"/>
    </row>
    <row r="335" spans="1:70" s="938" customFormat="1" ht="49.5">
      <c r="A335" s="61"/>
      <c r="B335" s="52"/>
      <c r="C335" s="1422">
        <v>1</v>
      </c>
      <c r="D335" s="1423" t="s">
        <v>25</v>
      </c>
      <c r="E335" s="1423" t="s">
        <v>39</v>
      </c>
      <c r="F335" s="1423">
        <v>1</v>
      </c>
      <c r="G335" s="1423"/>
      <c r="H335" s="1423" t="s">
        <v>25</v>
      </c>
      <c r="I335" s="69" t="s">
        <v>814</v>
      </c>
      <c r="J335" s="47" t="s">
        <v>806</v>
      </c>
      <c r="K335" s="1553">
        <v>20</v>
      </c>
      <c r="L335" s="50">
        <v>3000000000</v>
      </c>
      <c r="M335" s="1553">
        <v>11</v>
      </c>
      <c r="N335" s="939">
        <v>1343165096</v>
      </c>
      <c r="O335" s="1553">
        <v>7</v>
      </c>
      <c r="P335" s="63">
        <v>1155125000</v>
      </c>
      <c r="Q335" s="1553">
        <v>0</v>
      </c>
      <c r="R335" s="64">
        <v>2059050</v>
      </c>
      <c r="S335" s="62">
        <v>2</v>
      </c>
      <c r="T335" s="50">
        <v>248317616</v>
      </c>
      <c r="U335" s="62"/>
      <c r="V335" s="50"/>
      <c r="W335" s="65"/>
      <c r="X335" s="50"/>
      <c r="Y335" s="1553">
        <f t="shared" si="90"/>
        <v>2</v>
      </c>
      <c r="Z335" s="51">
        <f t="shared" si="91"/>
        <v>250376666</v>
      </c>
      <c r="AA335" s="1562">
        <f t="shared" si="92"/>
        <v>13</v>
      </c>
      <c r="AB335" s="51">
        <f t="shared" si="93"/>
        <v>1593541762</v>
      </c>
      <c r="AC335" s="1522">
        <f t="shared" si="94"/>
        <v>65</v>
      </c>
      <c r="AD335" s="1522">
        <f t="shared" si="95"/>
        <v>53.118058733333328</v>
      </c>
      <c r="AE335" s="61"/>
      <c r="AF335" s="201"/>
      <c r="AG335" s="750"/>
      <c r="AH335" s="750"/>
      <c r="AI335" s="750"/>
      <c r="AJ335" s="750"/>
      <c r="AK335" s="750"/>
      <c r="AL335" s="750"/>
      <c r="AM335" s="750"/>
      <c r="AN335" s="750"/>
      <c r="AO335" s="750"/>
      <c r="AP335" s="750"/>
      <c r="AQ335" s="750"/>
      <c r="AR335" s="750"/>
      <c r="AS335" s="750"/>
      <c r="AT335" s="750"/>
      <c r="AU335" s="750"/>
      <c r="AV335" s="750"/>
      <c r="AW335" s="750"/>
      <c r="AX335" s="750"/>
      <c r="AY335" s="750"/>
      <c r="AZ335" s="750"/>
      <c r="BA335" s="750"/>
      <c r="BB335" s="750"/>
      <c r="BC335" s="1547"/>
      <c r="BD335" s="1548"/>
      <c r="BE335" s="1548"/>
      <c r="BF335" s="1548"/>
      <c r="BG335" s="1548"/>
      <c r="BH335" s="1548"/>
      <c r="BI335" s="1548"/>
      <c r="BJ335" s="1548"/>
      <c r="BK335" s="1548"/>
      <c r="BL335" s="1548"/>
      <c r="BM335" s="1548"/>
      <c r="BN335" s="1548"/>
      <c r="BO335" s="1548"/>
      <c r="BP335" s="1548"/>
      <c r="BQ335" s="1548"/>
      <c r="BR335" s="1548"/>
    </row>
    <row r="336" spans="1:70" s="938" customFormat="1" ht="49.5">
      <c r="A336" s="61"/>
      <c r="B336" s="52"/>
      <c r="C336" s="1422">
        <v>1</v>
      </c>
      <c r="D336" s="1423" t="s">
        <v>25</v>
      </c>
      <c r="E336" s="1423" t="s">
        <v>39</v>
      </c>
      <c r="F336" s="1423">
        <v>1</v>
      </c>
      <c r="G336" s="1423"/>
      <c r="H336" s="1423" t="s">
        <v>25</v>
      </c>
      <c r="I336" s="69" t="s">
        <v>815</v>
      </c>
      <c r="J336" s="47" t="s">
        <v>806</v>
      </c>
      <c r="K336" s="1553">
        <v>20</v>
      </c>
      <c r="L336" s="50">
        <v>27845000000</v>
      </c>
      <c r="M336" s="1553">
        <v>15</v>
      </c>
      <c r="N336" s="939">
        <v>2311813561</v>
      </c>
      <c r="O336" s="1553">
        <v>5</v>
      </c>
      <c r="P336" s="63">
        <v>834500000</v>
      </c>
      <c r="Q336" s="1553">
        <v>0</v>
      </c>
      <c r="R336" s="63">
        <v>1714150</v>
      </c>
      <c r="S336" s="62">
        <v>4</v>
      </c>
      <c r="T336" s="50">
        <v>492911025</v>
      </c>
      <c r="U336" s="62"/>
      <c r="V336" s="50"/>
      <c r="W336" s="65"/>
      <c r="X336" s="50"/>
      <c r="Y336" s="1553">
        <f t="shared" ref="Y336:Y367" si="96">Q336+S336+U336+W336</f>
        <v>4</v>
      </c>
      <c r="Z336" s="51">
        <f t="shared" ref="Z336:Z367" si="97">R336+T336+V336+X336</f>
        <v>494625175</v>
      </c>
      <c r="AA336" s="1562">
        <f t="shared" ref="AA336:AA367" si="98">M336+Y336</f>
        <v>19</v>
      </c>
      <c r="AB336" s="51">
        <f t="shared" ref="AB336:AB367" si="99">N336+Z336</f>
        <v>2806438736</v>
      </c>
      <c r="AC336" s="1522">
        <f t="shared" si="94"/>
        <v>95</v>
      </c>
      <c r="AD336" s="1522">
        <f t="shared" si="95"/>
        <v>10.078788780750584</v>
      </c>
      <c r="AE336" s="61"/>
      <c r="AF336" s="201"/>
      <c r="AG336" s="750"/>
      <c r="AH336" s="750"/>
      <c r="AI336" s="750"/>
      <c r="AJ336" s="750"/>
      <c r="AK336" s="750"/>
      <c r="AL336" s="750"/>
      <c r="AM336" s="750"/>
      <c r="AN336" s="750"/>
      <c r="AO336" s="750"/>
      <c r="AP336" s="750"/>
      <c r="AQ336" s="750"/>
      <c r="AR336" s="750"/>
      <c r="AS336" s="750"/>
      <c r="AT336" s="750"/>
      <c r="AU336" s="750"/>
      <c r="AV336" s="750"/>
      <c r="AW336" s="750"/>
      <c r="AX336" s="750"/>
      <c r="AY336" s="750"/>
      <c r="AZ336" s="750"/>
      <c r="BA336" s="750"/>
      <c r="BB336" s="750"/>
      <c r="BC336" s="1547"/>
      <c r="BD336" s="1548"/>
      <c r="BE336" s="1548"/>
      <c r="BF336" s="1548"/>
      <c r="BG336" s="1548"/>
      <c r="BH336" s="1548"/>
      <c r="BI336" s="1548"/>
      <c r="BJ336" s="1548"/>
      <c r="BK336" s="1548"/>
      <c r="BL336" s="1548"/>
      <c r="BM336" s="1548"/>
      <c r="BN336" s="1548"/>
      <c r="BO336" s="1548"/>
      <c r="BP336" s="1548"/>
      <c r="BQ336" s="1548"/>
      <c r="BR336" s="1548"/>
    </row>
    <row r="337" spans="1:70" s="938" customFormat="1" ht="49.5">
      <c r="A337" s="61"/>
      <c r="B337" s="52"/>
      <c r="C337" s="1422">
        <v>1</v>
      </c>
      <c r="D337" s="1423" t="s">
        <v>25</v>
      </c>
      <c r="E337" s="1423" t="s">
        <v>39</v>
      </c>
      <c r="F337" s="1423">
        <v>1</v>
      </c>
      <c r="G337" s="1423"/>
      <c r="H337" s="1423" t="s">
        <v>25</v>
      </c>
      <c r="I337" s="69" t="s">
        <v>816</v>
      </c>
      <c r="J337" s="47" t="s">
        <v>806</v>
      </c>
      <c r="K337" s="1553">
        <v>20</v>
      </c>
      <c r="L337" s="50">
        <v>3050000000</v>
      </c>
      <c r="M337" s="1553">
        <v>1</v>
      </c>
      <c r="N337" s="939">
        <v>192375171</v>
      </c>
      <c r="O337" s="1553">
        <v>7</v>
      </c>
      <c r="P337" s="63">
        <v>1296750000</v>
      </c>
      <c r="Q337" s="1553">
        <v>0</v>
      </c>
      <c r="R337" s="63">
        <v>3062850</v>
      </c>
      <c r="S337" s="62">
        <v>1</v>
      </c>
      <c r="T337" s="50">
        <v>243912850</v>
      </c>
      <c r="U337" s="62"/>
      <c r="V337" s="50"/>
      <c r="W337" s="65"/>
      <c r="X337" s="50"/>
      <c r="Y337" s="1553">
        <f t="shared" si="96"/>
        <v>1</v>
      </c>
      <c r="Z337" s="51">
        <f t="shared" si="97"/>
        <v>246975700</v>
      </c>
      <c r="AA337" s="1562">
        <f t="shared" si="98"/>
        <v>2</v>
      </c>
      <c r="AB337" s="51">
        <f t="shared" si="99"/>
        <v>439350871</v>
      </c>
      <c r="AC337" s="1522">
        <f t="shared" si="94"/>
        <v>10</v>
      </c>
      <c r="AD337" s="1522">
        <f t="shared" si="95"/>
        <v>14.404946590163933</v>
      </c>
      <c r="AE337" s="61"/>
      <c r="AF337" s="201"/>
      <c r="AG337" s="750"/>
      <c r="AH337" s="750"/>
      <c r="AI337" s="750"/>
      <c r="AJ337" s="750"/>
      <c r="AK337" s="750"/>
      <c r="AL337" s="750"/>
      <c r="AM337" s="750"/>
      <c r="AN337" s="750"/>
      <c r="AO337" s="750"/>
      <c r="AP337" s="750"/>
      <c r="AQ337" s="750"/>
      <c r="AR337" s="750"/>
      <c r="AS337" s="750"/>
      <c r="AT337" s="750"/>
      <c r="AU337" s="750"/>
      <c r="AV337" s="750"/>
      <c r="AW337" s="750"/>
      <c r="AX337" s="750"/>
      <c r="AY337" s="750"/>
      <c r="AZ337" s="750"/>
      <c r="BA337" s="750"/>
      <c r="BB337" s="750"/>
      <c r="BC337" s="1547"/>
      <c r="BD337" s="1548"/>
      <c r="BE337" s="1548"/>
      <c r="BF337" s="1548"/>
      <c r="BG337" s="1548"/>
      <c r="BH337" s="1548"/>
      <c r="BI337" s="1548"/>
      <c r="BJ337" s="1548"/>
      <c r="BK337" s="1548"/>
      <c r="BL337" s="1548"/>
      <c r="BM337" s="1548"/>
      <c r="BN337" s="1548"/>
      <c r="BO337" s="1548"/>
      <c r="BP337" s="1548"/>
      <c r="BQ337" s="1548"/>
      <c r="BR337" s="1548"/>
    </row>
    <row r="338" spans="1:70" s="938" customFormat="1" ht="49.5">
      <c r="A338" s="61"/>
      <c r="B338" s="52"/>
      <c r="C338" s="1422">
        <v>1</v>
      </c>
      <c r="D338" s="1423" t="s">
        <v>25</v>
      </c>
      <c r="E338" s="1423" t="s">
        <v>39</v>
      </c>
      <c r="F338" s="1423">
        <v>1</v>
      </c>
      <c r="G338" s="1423"/>
      <c r="H338" s="1423" t="s">
        <v>25</v>
      </c>
      <c r="I338" s="69" t="s">
        <v>817</v>
      </c>
      <c r="J338" s="47" t="s">
        <v>806</v>
      </c>
      <c r="K338" s="1553">
        <v>30</v>
      </c>
      <c r="L338" s="50">
        <v>13750000000</v>
      </c>
      <c r="M338" s="1553">
        <v>13</v>
      </c>
      <c r="N338" s="939">
        <v>1707709030</v>
      </c>
      <c r="O338" s="1553">
        <v>7</v>
      </c>
      <c r="P338" s="63">
        <v>927250000</v>
      </c>
      <c r="Q338" s="1553">
        <v>0</v>
      </c>
      <c r="R338" s="63">
        <v>2111100</v>
      </c>
      <c r="S338" s="62">
        <v>3</v>
      </c>
      <c r="T338" s="50">
        <v>433576100</v>
      </c>
      <c r="U338" s="62"/>
      <c r="V338" s="50"/>
      <c r="W338" s="65"/>
      <c r="X338" s="50"/>
      <c r="Y338" s="1553">
        <f t="shared" si="96"/>
        <v>3</v>
      </c>
      <c r="Z338" s="51">
        <f t="shared" si="97"/>
        <v>435687200</v>
      </c>
      <c r="AA338" s="1562">
        <f t="shared" si="98"/>
        <v>16</v>
      </c>
      <c r="AB338" s="51">
        <f t="shared" si="99"/>
        <v>2143396230</v>
      </c>
      <c r="AC338" s="1522">
        <f t="shared" si="94"/>
        <v>53.333333333333336</v>
      </c>
      <c r="AD338" s="1522">
        <f t="shared" si="95"/>
        <v>15.588336218181817</v>
      </c>
      <c r="AE338" s="61"/>
      <c r="AF338" s="201"/>
      <c r="AG338" s="750"/>
      <c r="AH338" s="750"/>
      <c r="AI338" s="750"/>
      <c r="AJ338" s="750"/>
      <c r="AK338" s="750"/>
      <c r="AL338" s="750"/>
      <c r="AM338" s="750"/>
      <c r="AN338" s="750"/>
      <c r="AO338" s="750"/>
      <c r="AP338" s="750"/>
      <c r="AQ338" s="750"/>
      <c r="AR338" s="750"/>
      <c r="AS338" s="750"/>
      <c r="AT338" s="750"/>
      <c r="AU338" s="750"/>
      <c r="AV338" s="750"/>
      <c r="AW338" s="750"/>
      <c r="AX338" s="750"/>
      <c r="AY338" s="750"/>
      <c r="AZ338" s="750"/>
      <c r="BA338" s="750"/>
      <c r="BB338" s="750"/>
      <c r="BC338" s="1547"/>
      <c r="BD338" s="1548"/>
      <c r="BE338" s="1548"/>
      <c r="BF338" s="1548"/>
      <c r="BG338" s="1548"/>
      <c r="BH338" s="1548"/>
      <c r="BI338" s="1548"/>
      <c r="BJ338" s="1548"/>
      <c r="BK338" s="1548"/>
      <c r="BL338" s="1548"/>
      <c r="BM338" s="1548"/>
      <c r="BN338" s="1548"/>
      <c r="BO338" s="1548"/>
      <c r="BP338" s="1548"/>
      <c r="BQ338" s="1548"/>
      <c r="BR338" s="1548"/>
    </row>
    <row r="339" spans="1:70" s="938" customFormat="1" ht="49.5">
      <c r="A339" s="61"/>
      <c r="B339" s="52"/>
      <c r="C339" s="1422">
        <v>1</v>
      </c>
      <c r="D339" s="1423" t="s">
        <v>25</v>
      </c>
      <c r="E339" s="1423" t="s">
        <v>39</v>
      </c>
      <c r="F339" s="1423">
        <v>1</v>
      </c>
      <c r="G339" s="1423"/>
      <c r="H339" s="1423" t="s">
        <v>25</v>
      </c>
      <c r="I339" s="69" t="s">
        <v>818</v>
      </c>
      <c r="J339" s="47" t="s">
        <v>806</v>
      </c>
      <c r="K339" s="1553">
        <v>20</v>
      </c>
      <c r="L339" s="50">
        <v>7800000000</v>
      </c>
      <c r="M339" s="1553">
        <v>8</v>
      </c>
      <c r="N339" s="939">
        <v>1119036171</v>
      </c>
      <c r="O339" s="1553">
        <v>3</v>
      </c>
      <c r="P339" s="63">
        <v>397000000</v>
      </c>
      <c r="Q339" s="1553">
        <v>0</v>
      </c>
      <c r="R339" s="63">
        <v>492950</v>
      </c>
      <c r="S339" s="62">
        <v>3</v>
      </c>
      <c r="T339" s="50">
        <v>388769450</v>
      </c>
      <c r="U339" s="62"/>
      <c r="V339" s="50"/>
      <c r="W339" s="65"/>
      <c r="X339" s="50"/>
      <c r="Y339" s="1553">
        <f t="shared" si="96"/>
        <v>3</v>
      </c>
      <c r="Z339" s="51">
        <f t="shared" si="97"/>
        <v>389262400</v>
      </c>
      <c r="AA339" s="1562">
        <f t="shared" si="98"/>
        <v>11</v>
      </c>
      <c r="AB339" s="51">
        <f t="shared" si="99"/>
        <v>1508298571</v>
      </c>
      <c r="AC339" s="1522">
        <f t="shared" si="94"/>
        <v>55.000000000000007</v>
      </c>
      <c r="AD339" s="1522">
        <f t="shared" si="95"/>
        <v>19.337161166666668</v>
      </c>
      <c r="AE339" s="61"/>
      <c r="AF339" s="201"/>
      <c r="AG339" s="750"/>
      <c r="AH339" s="750"/>
      <c r="AI339" s="750"/>
      <c r="AJ339" s="750"/>
      <c r="AK339" s="750"/>
      <c r="AL339" s="750"/>
      <c r="AM339" s="750"/>
      <c r="AN339" s="750"/>
      <c r="AO339" s="750"/>
      <c r="AP339" s="750"/>
      <c r="AQ339" s="750"/>
      <c r="AR339" s="750"/>
      <c r="AS339" s="750"/>
      <c r="AT339" s="750"/>
      <c r="AU339" s="750"/>
      <c r="AV339" s="750"/>
      <c r="AW339" s="750"/>
      <c r="AX339" s="750"/>
      <c r="AY339" s="750"/>
      <c r="AZ339" s="750"/>
      <c r="BA339" s="750"/>
      <c r="BB339" s="750"/>
      <c r="BC339" s="1547"/>
      <c r="BD339" s="1548"/>
      <c r="BE339" s="1548"/>
      <c r="BF339" s="1548"/>
      <c r="BG339" s="1548"/>
      <c r="BH339" s="1548"/>
      <c r="BI339" s="1548"/>
      <c r="BJ339" s="1548"/>
      <c r="BK339" s="1548"/>
      <c r="BL339" s="1548"/>
      <c r="BM339" s="1548"/>
      <c r="BN339" s="1548"/>
      <c r="BO339" s="1548"/>
      <c r="BP339" s="1548"/>
      <c r="BQ339" s="1548"/>
      <c r="BR339" s="1548"/>
    </row>
    <row r="340" spans="1:70" s="938" customFormat="1" ht="49.5">
      <c r="A340" s="61"/>
      <c r="B340" s="52"/>
      <c r="C340" s="1422">
        <v>1</v>
      </c>
      <c r="D340" s="1423" t="s">
        <v>25</v>
      </c>
      <c r="E340" s="1423" t="s">
        <v>39</v>
      </c>
      <c r="F340" s="1423">
        <v>1</v>
      </c>
      <c r="G340" s="1423"/>
      <c r="H340" s="1423" t="s">
        <v>25</v>
      </c>
      <c r="I340" s="69" t="s">
        <v>819</v>
      </c>
      <c r="J340" s="47" t="s">
        <v>806</v>
      </c>
      <c r="K340" s="1553">
        <v>20</v>
      </c>
      <c r="L340" s="50">
        <v>8000000000</v>
      </c>
      <c r="M340" s="1553">
        <v>1</v>
      </c>
      <c r="N340" s="939">
        <v>251078525</v>
      </c>
      <c r="O340" s="1553">
        <v>5</v>
      </c>
      <c r="P340" s="63">
        <v>659625000</v>
      </c>
      <c r="Q340" s="1553">
        <v>0</v>
      </c>
      <c r="R340" s="63">
        <v>1346600</v>
      </c>
      <c r="S340" s="62">
        <v>4</v>
      </c>
      <c r="T340" s="50">
        <v>391715600</v>
      </c>
      <c r="U340" s="62"/>
      <c r="V340" s="50"/>
      <c r="W340" s="65"/>
      <c r="X340" s="50"/>
      <c r="Y340" s="1553">
        <f t="shared" si="96"/>
        <v>4</v>
      </c>
      <c r="Z340" s="51">
        <f t="shared" si="97"/>
        <v>393062200</v>
      </c>
      <c r="AA340" s="1562">
        <f t="shared" si="98"/>
        <v>5</v>
      </c>
      <c r="AB340" s="51">
        <f t="shared" si="99"/>
        <v>644140725</v>
      </c>
      <c r="AC340" s="1522">
        <f t="shared" ref="AC340:AC371" si="100">AA340/K340*100</f>
        <v>25</v>
      </c>
      <c r="AD340" s="1522">
        <f t="shared" si="95"/>
        <v>8.0517590625000004</v>
      </c>
      <c r="AE340" s="61"/>
      <c r="AF340" s="201"/>
      <c r="AG340" s="750"/>
      <c r="AH340" s="750"/>
      <c r="AI340" s="750"/>
      <c r="AJ340" s="750"/>
      <c r="AK340" s="750"/>
      <c r="AL340" s="750"/>
      <c r="AM340" s="750"/>
      <c r="AN340" s="750"/>
      <c r="AO340" s="750"/>
      <c r="AP340" s="750"/>
      <c r="AQ340" s="750"/>
      <c r="AR340" s="750"/>
      <c r="AS340" s="750"/>
      <c r="AT340" s="750"/>
      <c r="AU340" s="750"/>
      <c r="AV340" s="750"/>
      <c r="AW340" s="750"/>
      <c r="AX340" s="750"/>
      <c r="AY340" s="750"/>
      <c r="AZ340" s="750"/>
      <c r="BA340" s="750"/>
      <c r="BB340" s="750"/>
      <c r="BC340" s="1547"/>
      <c r="BD340" s="1548"/>
      <c r="BE340" s="1548"/>
      <c r="BF340" s="1548"/>
      <c r="BG340" s="1548"/>
      <c r="BH340" s="1548"/>
      <c r="BI340" s="1548"/>
      <c r="BJ340" s="1548"/>
      <c r="BK340" s="1548"/>
      <c r="BL340" s="1548"/>
      <c r="BM340" s="1548"/>
      <c r="BN340" s="1548"/>
      <c r="BO340" s="1548"/>
      <c r="BP340" s="1548"/>
      <c r="BQ340" s="1548"/>
      <c r="BR340" s="1548"/>
    </row>
    <row r="341" spans="1:70" s="938" customFormat="1" ht="49.5">
      <c r="A341" s="61"/>
      <c r="B341" s="52"/>
      <c r="C341" s="1422">
        <v>1</v>
      </c>
      <c r="D341" s="1423" t="s">
        <v>25</v>
      </c>
      <c r="E341" s="1423" t="s">
        <v>39</v>
      </c>
      <c r="F341" s="1423">
        <v>1</v>
      </c>
      <c r="G341" s="1423"/>
      <c r="H341" s="1423" t="s">
        <v>25</v>
      </c>
      <c r="I341" s="69" t="s">
        <v>820</v>
      </c>
      <c r="J341" s="47" t="s">
        <v>806</v>
      </c>
      <c r="K341" s="1553">
        <v>20</v>
      </c>
      <c r="L341" s="50">
        <v>13920000000</v>
      </c>
      <c r="M341" s="1553">
        <v>8</v>
      </c>
      <c r="N341" s="939">
        <v>930868179</v>
      </c>
      <c r="O341" s="1553">
        <v>11</v>
      </c>
      <c r="P341" s="63">
        <v>1113000000</v>
      </c>
      <c r="Q341" s="1553">
        <v>0</v>
      </c>
      <c r="R341" s="63">
        <v>5138300</v>
      </c>
      <c r="S341" s="62">
        <v>10</v>
      </c>
      <c r="T341" s="50">
        <v>881685299</v>
      </c>
      <c r="U341" s="62"/>
      <c r="V341" s="50"/>
      <c r="W341" s="65"/>
      <c r="X341" s="50"/>
      <c r="Y341" s="1553">
        <f t="shared" si="96"/>
        <v>10</v>
      </c>
      <c r="Z341" s="51">
        <f t="shared" si="97"/>
        <v>886823599</v>
      </c>
      <c r="AA341" s="1562">
        <f t="shared" si="98"/>
        <v>18</v>
      </c>
      <c r="AB341" s="51">
        <f t="shared" si="99"/>
        <v>1817691778</v>
      </c>
      <c r="AC341" s="1522">
        <f t="shared" si="100"/>
        <v>90</v>
      </c>
      <c r="AD341" s="1522">
        <f t="shared" ref="AD341:AD372" si="101">AB341/L341*100</f>
        <v>13.058130589080461</v>
      </c>
      <c r="AE341" s="61"/>
      <c r="AF341" s="201"/>
      <c r="AG341" s="750"/>
      <c r="AH341" s="750"/>
      <c r="AI341" s="750"/>
      <c r="AJ341" s="750"/>
      <c r="AK341" s="750"/>
      <c r="AL341" s="750"/>
      <c r="AM341" s="750"/>
      <c r="AN341" s="750"/>
      <c r="AO341" s="750"/>
      <c r="AP341" s="750"/>
      <c r="AQ341" s="750"/>
      <c r="AR341" s="750"/>
      <c r="AS341" s="750"/>
      <c r="AT341" s="750"/>
      <c r="AU341" s="750"/>
      <c r="AV341" s="750"/>
      <c r="AW341" s="750"/>
      <c r="AX341" s="750"/>
      <c r="AY341" s="750"/>
      <c r="AZ341" s="750"/>
      <c r="BA341" s="750"/>
      <c r="BB341" s="750"/>
      <c r="BC341" s="1547"/>
      <c r="BD341" s="1548"/>
      <c r="BE341" s="1548"/>
      <c r="BF341" s="1548"/>
      <c r="BG341" s="1548"/>
      <c r="BH341" s="1548"/>
      <c r="BI341" s="1548"/>
      <c r="BJ341" s="1548"/>
      <c r="BK341" s="1548"/>
      <c r="BL341" s="1548"/>
      <c r="BM341" s="1548"/>
      <c r="BN341" s="1548"/>
      <c r="BO341" s="1548"/>
      <c r="BP341" s="1548"/>
      <c r="BQ341" s="1548"/>
      <c r="BR341" s="1548"/>
    </row>
    <row r="342" spans="1:70" s="938" customFormat="1" ht="49.5">
      <c r="A342" s="61"/>
      <c r="B342" s="52"/>
      <c r="C342" s="1422">
        <v>1</v>
      </c>
      <c r="D342" s="1423" t="s">
        <v>25</v>
      </c>
      <c r="E342" s="1423" t="s">
        <v>39</v>
      </c>
      <c r="F342" s="1423">
        <v>1</v>
      </c>
      <c r="G342" s="1423"/>
      <c r="H342" s="1423" t="s">
        <v>25</v>
      </c>
      <c r="I342" s="69" t="s">
        <v>821</v>
      </c>
      <c r="J342" s="47" t="s">
        <v>806</v>
      </c>
      <c r="K342" s="1553">
        <v>20</v>
      </c>
      <c r="L342" s="50">
        <v>8510000000</v>
      </c>
      <c r="M342" s="1553">
        <v>4</v>
      </c>
      <c r="N342" s="939">
        <v>287216726</v>
      </c>
      <c r="O342" s="1553">
        <v>10</v>
      </c>
      <c r="P342" s="63">
        <v>1021750000</v>
      </c>
      <c r="Q342" s="1553">
        <v>0</v>
      </c>
      <c r="R342" s="63">
        <v>2180300</v>
      </c>
      <c r="S342" s="62">
        <v>6</v>
      </c>
      <c r="T342" s="50">
        <v>132155300</v>
      </c>
      <c r="U342" s="62"/>
      <c r="V342" s="50"/>
      <c r="W342" s="65"/>
      <c r="X342" s="50"/>
      <c r="Y342" s="1553">
        <f t="shared" si="96"/>
        <v>6</v>
      </c>
      <c r="Z342" s="51">
        <f t="shared" si="97"/>
        <v>134335600</v>
      </c>
      <c r="AA342" s="1562">
        <f t="shared" si="98"/>
        <v>10</v>
      </c>
      <c r="AB342" s="51">
        <f t="shared" si="99"/>
        <v>421552326</v>
      </c>
      <c r="AC342" s="1522">
        <f t="shared" si="100"/>
        <v>50</v>
      </c>
      <c r="AD342" s="1522">
        <f t="shared" si="101"/>
        <v>4.953611351351352</v>
      </c>
      <c r="AE342" s="61"/>
      <c r="AF342" s="201"/>
      <c r="AG342" s="750"/>
      <c r="AH342" s="750"/>
      <c r="AI342" s="750"/>
      <c r="AJ342" s="750"/>
      <c r="AK342" s="750"/>
      <c r="AL342" s="750"/>
      <c r="AM342" s="750"/>
      <c r="AN342" s="750"/>
      <c r="AO342" s="750"/>
      <c r="AP342" s="750"/>
      <c r="AQ342" s="750"/>
      <c r="AR342" s="750"/>
      <c r="AS342" s="750"/>
      <c r="AT342" s="750"/>
      <c r="AU342" s="750"/>
      <c r="AV342" s="750"/>
      <c r="AW342" s="750"/>
      <c r="AX342" s="750"/>
      <c r="AY342" s="750"/>
      <c r="AZ342" s="750"/>
      <c r="BA342" s="750"/>
      <c r="BB342" s="750"/>
      <c r="BC342" s="1547"/>
      <c r="BD342" s="1548"/>
      <c r="BE342" s="1548"/>
      <c r="BF342" s="1548"/>
      <c r="BG342" s="1548"/>
      <c r="BH342" s="1548"/>
      <c r="BI342" s="1548"/>
      <c r="BJ342" s="1548"/>
      <c r="BK342" s="1548"/>
      <c r="BL342" s="1548"/>
      <c r="BM342" s="1548"/>
      <c r="BN342" s="1548"/>
      <c r="BO342" s="1548"/>
      <c r="BP342" s="1548"/>
      <c r="BQ342" s="1548"/>
      <c r="BR342" s="1548"/>
    </row>
    <row r="343" spans="1:70" s="938" customFormat="1" ht="66">
      <c r="A343" s="61"/>
      <c r="B343" s="52"/>
      <c r="C343" s="1422">
        <v>1</v>
      </c>
      <c r="D343" s="1423" t="s">
        <v>25</v>
      </c>
      <c r="E343" s="1423" t="s">
        <v>39</v>
      </c>
      <c r="F343" s="1423">
        <v>1</v>
      </c>
      <c r="G343" s="1423"/>
      <c r="H343" s="1423" t="s">
        <v>25</v>
      </c>
      <c r="I343" s="69" t="s">
        <v>822</v>
      </c>
      <c r="J343" s="47" t="s">
        <v>806</v>
      </c>
      <c r="K343" s="1553">
        <v>20</v>
      </c>
      <c r="L343" s="50">
        <v>7960000000</v>
      </c>
      <c r="M343" s="1553">
        <v>7</v>
      </c>
      <c r="N343" s="939">
        <v>829976816</v>
      </c>
      <c r="O343" s="1553">
        <v>3</v>
      </c>
      <c r="P343" s="63">
        <v>487500000</v>
      </c>
      <c r="Q343" s="1553">
        <v>0</v>
      </c>
      <c r="R343" s="63">
        <v>1147750</v>
      </c>
      <c r="S343" s="62">
        <v>0</v>
      </c>
      <c r="T343" s="50">
        <v>1147750</v>
      </c>
      <c r="U343" s="62"/>
      <c r="V343" s="50"/>
      <c r="W343" s="65"/>
      <c r="X343" s="50"/>
      <c r="Y343" s="1553">
        <f t="shared" si="96"/>
        <v>0</v>
      </c>
      <c r="Z343" s="51">
        <f t="shared" si="97"/>
        <v>2295500</v>
      </c>
      <c r="AA343" s="1562">
        <f t="shared" si="98"/>
        <v>7</v>
      </c>
      <c r="AB343" s="51">
        <f t="shared" si="99"/>
        <v>832272316</v>
      </c>
      <c r="AC343" s="1522">
        <f t="shared" si="100"/>
        <v>35</v>
      </c>
      <c r="AD343" s="1522">
        <f t="shared" si="101"/>
        <v>10.455682361809044</v>
      </c>
      <c r="AE343" s="61"/>
      <c r="AF343" s="201"/>
      <c r="AG343" s="750"/>
      <c r="AH343" s="750"/>
      <c r="AI343" s="750"/>
      <c r="AJ343" s="750"/>
      <c r="AK343" s="750"/>
      <c r="AL343" s="750"/>
      <c r="AM343" s="750"/>
      <c r="AN343" s="750"/>
      <c r="AO343" s="750"/>
      <c r="AP343" s="750"/>
      <c r="AQ343" s="750"/>
      <c r="AR343" s="750"/>
      <c r="AS343" s="750"/>
      <c r="AT343" s="750"/>
      <c r="AU343" s="750"/>
      <c r="AV343" s="750"/>
      <c r="AW343" s="750"/>
      <c r="AX343" s="750"/>
      <c r="AY343" s="750"/>
      <c r="AZ343" s="750"/>
      <c r="BA343" s="750"/>
      <c r="BB343" s="750"/>
      <c r="BC343" s="1547"/>
      <c r="BD343" s="1548"/>
      <c r="BE343" s="1548"/>
      <c r="BF343" s="1548"/>
      <c r="BG343" s="1548"/>
      <c r="BH343" s="1548"/>
      <c r="BI343" s="1548"/>
      <c r="BJ343" s="1548"/>
      <c r="BK343" s="1548"/>
      <c r="BL343" s="1548"/>
      <c r="BM343" s="1548"/>
      <c r="BN343" s="1548"/>
      <c r="BO343" s="1548"/>
      <c r="BP343" s="1548"/>
      <c r="BQ343" s="1548"/>
      <c r="BR343" s="1548"/>
    </row>
    <row r="344" spans="1:70" s="938" customFormat="1" ht="49.5">
      <c r="A344" s="61"/>
      <c r="B344" s="52"/>
      <c r="C344" s="1422">
        <v>1</v>
      </c>
      <c r="D344" s="1423" t="s">
        <v>25</v>
      </c>
      <c r="E344" s="1423" t="s">
        <v>39</v>
      </c>
      <c r="F344" s="1423">
        <v>1</v>
      </c>
      <c r="G344" s="1423"/>
      <c r="H344" s="1423" t="s">
        <v>25</v>
      </c>
      <c r="I344" s="69" t="s">
        <v>823</v>
      </c>
      <c r="J344" s="47" t="s">
        <v>806</v>
      </c>
      <c r="K344" s="1553">
        <v>10</v>
      </c>
      <c r="L344" s="50">
        <v>2300000000</v>
      </c>
      <c r="M344" s="1553">
        <v>1</v>
      </c>
      <c r="N344" s="939">
        <v>145810496</v>
      </c>
      <c r="O344" s="1553">
        <v>0</v>
      </c>
      <c r="P344" s="63">
        <v>0</v>
      </c>
      <c r="Q344" s="1553">
        <v>0</v>
      </c>
      <c r="R344" s="63">
        <v>0</v>
      </c>
      <c r="S344" s="62">
        <v>0</v>
      </c>
      <c r="T344" s="50">
        <v>0</v>
      </c>
      <c r="U344" s="62"/>
      <c r="V344" s="50"/>
      <c r="W344" s="65"/>
      <c r="X344" s="50"/>
      <c r="Y344" s="1553">
        <f t="shared" si="96"/>
        <v>0</v>
      </c>
      <c r="Z344" s="51">
        <f t="shared" si="97"/>
        <v>0</v>
      </c>
      <c r="AA344" s="1562">
        <f t="shared" si="98"/>
        <v>1</v>
      </c>
      <c r="AB344" s="51">
        <f t="shared" si="99"/>
        <v>145810496</v>
      </c>
      <c r="AC344" s="1522">
        <f t="shared" si="100"/>
        <v>10</v>
      </c>
      <c r="AD344" s="1522">
        <f t="shared" si="101"/>
        <v>6.3395867826086958</v>
      </c>
      <c r="AE344" s="61"/>
      <c r="AF344" s="201"/>
      <c r="AG344" s="750"/>
      <c r="AH344" s="750"/>
      <c r="AI344" s="750"/>
      <c r="AJ344" s="750"/>
      <c r="AK344" s="750"/>
      <c r="AL344" s="750"/>
      <c r="AM344" s="750"/>
      <c r="AN344" s="750"/>
      <c r="AO344" s="750"/>
      <c r="AP344" s="750"/>
      <c r="AQ344" s="750"/>
      <c r="AR344" s="750"/>
      <c r="AS344" s="750"/>
      <c r="AT344" s="750"/>
      <c r="AU344" s="750"/>
      <c r="AV344" s="750"/>
      <c r="AW344" s="750"/>
      <c r="AX344" s="750"/>
      <c r="AY344" s="750"/>
      <c r="AZ344" s="750"/>
      <c r="BA344" s="750"/>
      <c r="BB344" s="750"/>
      <c r="BC344" s="1547"/>
      <c r="BD344" s="1548"/>
      <c r="BE344" s="1548"/>
      <c r="BF344" s="1548"/>
      <c r="BG344" s="1548"/>
      <c r="BH344" s="1548"/>
      <c r="BI344" s="1548"/>
      <c r="BJ344" s="1548"/>
      <c r="BK344" s="1548"/>
      <c r="BL344" s="1548"/>
      <c r="BM344" s="1548"/>
      <c r="BN344" s="1548"/>
      <c r="BO344" s="1548"/>
      <c r="BP344" s="1548"/>
      <c r="BQ344" s="1548"/>
      <c r="BR344" s="1548"/>
    </row>
    <row r="345" spans="1:70" s="938" customFormat="1" ht="49.5">
      <c r="A345" s="61"/>
      <c r="B345" s="52"/>
      <c r="C345" s="1422">
        <v>1</v>
      </c>
      <c r="D345" s="1423" t="s">
        <v>25</v>
      </c>
      <c r="E345" s="1423" t="s">
        <v>39</v>
      </c>
      <c r="F345" s="1423">
        <v>1</v>
      </c>
      <c r="G345" s="1423"/>
      <c r="H345" s="1423" t="s">
        <v>25</v>
      </c>
      <c r="I345" s="69" t="s">
        <v>824</v>
      </c>
      <c r="J345" s="47" t="s">
        <v>806</v>
      </c>
      <c r="K345" s="1553">
        <v>15</v>
      </c>
      <c r="L345" s="50">
        <v>5550000000</v>
      </c>
      <c r="M345" s="1553">
        <v>3</v>
      </c>
      <c r="N345" s="939">
        <v>488213399</v>
      </c>
      <c r="O345" s="1553">
        <v>2</v>
      </c>
      <c r="P345" s="63">
        <v>243250000</v>
      </c>
      <c r="Q345" s="1553">
        <v>0</v>
      </c>
      <c r="R345" s="63">
        <v>0</v>
      </c>
      <c r="S345" s="62">
        <v>2</v>
      </c>
      <c r="T345" s="50">
        <v>238721000</v>
      </c>
      <c r="U345" s="62"/>
      <c r="V345" s="50"/>
      <c r="W345" s="65"/>
      <c r="X345" s="50"/>
      <c r="Y345" s="1553">
        <f t="shared" si="96"/>
        <v>2</v>
      </c>
      <c r="Z345" s="51">
        <f t="shared" si="97"/>
        <v>238721000</v>
      </c>
      <c r="AA345" s="1562">
        <f t="shared" si="98"/>
        <v>5</v>
      </c>
      <c r="AB345" s="51">
        <f t="shared" si="99"/>
        <v>726934399</v>
      </c>
      <c r="AC345" s="1522">
        <f t="shared" si="100"/>
        <v>33.333333333333329</v>
      </c>
      <c r="AD345" s="1522">
        <f t="shared" si="101"/>
        <v>13.097917099099099</v>
      </c>
      <c r="AE345" s="61"/>
      <c r="AF345" s="201"/>
      <c r="AG345" s="750"/>
      <c r="AH345" s="750"/>
      <c r="AI345" s="750"/>
      <c r="AJ345" s="750"/>
      <c r="AK345" s="750"/>
      <c r="AL345" s="750"/>
      <c r="AM345" s="750"/>
      <c r="AN345" s="750"/>
      <c r="AO345" s="750"/>
      <c r="AP345" s="750"/>
      <c r="AQ345" s="750"/>
      <c r="AR345" s="750"/>
      <c r="AS345" s="750"/>
      <c r="AT345" s="750"/>
      <c r="AU345" s="750"/>
      <c r="AV345" s="750"/>
      <c r="AW345" s="750"/>
      <c r="AX345" s="750"/>
      <c r="AY345" s="750"/>
      <c r="AZ345" s="750"/>
      <c r="BA345" s="750"/>
      <c r="BB345" s="750"/>
      <c r="BC345" s="1547"/>
      <c r="BD345" s="1548"/>
      <c r="BE345" s="1548"/>
      <c r="BF345" s="1548"/>
      <c r="BG345" s="1548"/>
      <c r="BH345" s="1548"/>
      <c r="BI345" s="1548"/>
      <c r="BJ345" s="1548"/>
      <c r="BK345" s="1548"/>
      <c r="BL345" s="1548"/>
      <c r="BM345" s="1548"/>
      <c r="BN345" s="1548"/>
      <c r="BO345" s="1548"/>
      <c r="BP345" s="1548"/>
      <c r="BQ345" s="1548"/>
      <c r="BR345" s="1548"/>
    </row>
    <row r="346" spans="1:70" s="938" customFormat="1" ht="66">
      <c r="A346" s="61"/>
      <c r="B346" s="52"/>
      <c r="C346" s="1422">
        <v>1</v>
      </c>
      <c r="D346" s="1423" t="s">
        <v>25</v>
      </c>
      <c r="E346" s="1423" t="s">
        <v>39</v>
      </c>
      <c r="F346" s="1423">
        <v>1</v>
      </c>
      <c r="G346" s="1423"/>
      <c r="H346" s="1423" t="s">
        <v>25</v>
      </c>
      <c r="I346" s="69" t="s">
        <v>825</v>
      </c>
      <c r="J346" s="47" t="s">
        <v>806</v>
      </c>
      <c r="K346" s="1553">
        <v>15</v>
      </c>
      <c r="L346" s="50">
        <v>2150000000</v>
      </c>
      <c r="M346" s="1553">
        <v>0</v>
      </c>
      <c r="N346" s="939">
        <v>3720624</v>
      </c>
      <c r="O346" s="1553">
        <v>0</v>
      </c>
      <c r="P346" s="63">
        <v>0</v>
      </c>
      <c r="Q346" s="1553">
        <v>0</v>
      </c>
      <c r="R346" s="63">
        <v>0</v>
      </c>
      <c r="S346" s="62">
        <v>0</v>
      </c>
      <c r="T346" s="50">
        <v>0</v>
      </c>
      <c r="U346" s="62"/>
      <c r="V346" s="50"/>
      <c r="W346" s="65"/>
      <c r="X346" s="50"/>
      <c r="Y346" s="1553">
        <f t="shared" si="96"/>
        <v>0</v>
      </c>
      <c r="Z346" s="51">
        <f t="shared" si="97"/>
        <v>0</v>
      </c>
      <c r="AA346" s="1562">
        <f t="shared" si="98"/>
        <v>0</v>
      </c>
      <c r="AB346" s="51">
        <f t="shared" si="99"/>
        <v>3720624</v>
      </c>
      <c r="AC346" s="1522">
        <f t="shared" si="100"/>
        <v>0</v>
      </c>
      <c r="AD346" s="1522">
        <f t="shared" si="101"/>
        <v>0.17305227906976745</v>
      </c>
      <c r="AE346" s="61"/>
      <c r="AF346" s="201"/>
      <c r="AG346" s="750"/>
      <c r="AH346" s="750"/>
      <c r="AI346" s="750"/>
      <c r="AJ346" s="750"/>
      <c r="AK346" s="750"/>
      <c r="AL346" s="750"/>
      <c r="AM346" s="750"/>
      <c r="AN346" s="750"/>
      <c r="AO346" s="750"/>
      <c r="AP346" s="750"/>
      <c r="AQ346" s="750"/>
      <c r="AR346" s="750"/>
      <c r="AS346" s="750"/>
      <c r="AT346" s="750"/>
      <c r="AU346" s="750"/>
      <c r="AV346" s="750"/>
      <c r="AW346" s="750"/>
      <c r="AX346" s="750"/>
      <c r="AY346" s="750"/>
      <c r="AZ346" s="750"/>
      <c r="BA346" s="750"/>
      <c r="BB346" s="750"/>
      <c r="BC346" s="1547"/>
      <c r="BD346" s="1548"/>
      <c r="BE346" s="1548"/>
      <c r="BF346" s="1548"/>
      <c r="BG346" s="1548"/>
      <c r="BH346" s="1548"/>
      <c r="BI346" s="1548"/>
      <c r="BJ346" s="1548"/>
      <c r="BK346" s="1548"/>
      <c r="BL346" s="1548"/>
      <c r="BM346" s="1548"/>
      <c r="BN346" s="1548"/>
      <c r="BO346" s="1548"/>
      <c r="BP346" s="1548"/>
      <c r="BQ346" s="1548"/>
      <c r="BR346" s="1548"/>
    </row>
    <row r="347" spans="1:70" s="938" customFormat="1" ht="66">
      <c r="A347" s="61"/>
      <c r="B347" s="52"/>
      <c r="C347" s="1422">
        <v>1</v>
      </c>
      <c r="D347" s="1423" t="s">
        <v>25</v>
      </c>
      <c r="E347" s="1423" t="s">
        <v>39</v>
      </c>
      <c r="F347" s="1423">
        <v>1</v>
      </c>
      <c r="G347" s="1423"/>
      <c r="H347" s="1423" t="s">
        <v>25</v>
      </c>
      <c r="I347" s="69" t="s">
        <v>826</v>
      </c>
      <c r="J347" s="47" t="s">
        <v>806</v>
      </c>
      <c r="K347" s="1553">
        <v>10</v>
      </c>
      <c r="L347" s="50">
        <v>3500000000</v>
      </c>
      <c r="M347" s="1553">
        <v>2</v>
      </c>
      <c r="N347" s="939">
        <v>375494946</v>
      </c>
      <c r="O347" s="1553">
        <v>0</v>
      </c>
      <c r="P347" s="63">
        <v>0</v>
      </c>
      <c r="Q347" s="1553">
        <v>0</v>
      </c>
      <c r="R347" s="63">
        <v>0</v>
      </c>
      <c r="S347" s="62">
        <v>0</v>
      </c>
      <c r="T347" s="50">
        <v>0</v>
      </c>
      <c r="U347" s="62"/>
      <c r="V347" s="50"/>
      <c r="W347" s="65"/>
      <c r="X347" s="50"/>
      <c r="Y347" s="1553">
        <f t="shared" si="96"/>
        <v>0</v>
      </c>
      <c r="Z347" s="51">
        <f t="shared" si="97"/>
        <v>0</v>
      </c>
      <c r="AA347" s="1562">
        <f t="shared" si="98"/>
        <v>2</v>
      </c>
      <c r="AB347" s="51">
        <f t="shared" si="99"/>
        <v>375494946</v>
      </c>
      <c r="AC347" s="1522">
        <f t="shared" si="100"/>
        <v>20</v>
      </c>
      <c r="AD347" s="1522">
        <f t="shared" si="101"/>
        <v>10.728427028571428</v>
      </c>
      <c r="AE347" s="61"/>
      <c r="AF347" s="201"/>
      <c r="AG347" s="750"/>
      <c r="AH347" s="750"/>
      <c r="AI347" s="750"/>
      <c r="AJ347" s="750"/>
      <c r="AK347" s="750"/>
      <c r="AL347" s="750"/>
      <c r="AM347" s="750"/>
      <c r="AN347" s="750"/>
      <c r="AO347" s="750"/>
      <c r="AP347" s="750"/>
      <c r="AQ347" s="750"/>
      <c r="AR347" s="750"/>
      <c r="AS347" s="750"/>
      <c r="AT347" s="750"/>
      <c r="AU347" s="750"/>
      <c r="AV347" s="750"/>
      <c r="AW347" s="750"/>
      <c r="AX347" s="750"/>
      <c r="AY347" s="750"/>
      <c r="AZ347" s="750"/>
      <c r="BA347" s="750"/>
      <c r="BB347" s="750"/>
      <c r="BC347" s="1547"/>
      <c r="BD347" s="1548"/>
      <c r="BE347" s="1548"/>
      <c r="BF347" s="1548"/>
      <c r="BG347" s="1548"/>
      <c r="BH347" s="1548"/>
      <c r="BI347" s="1548"/>
      <c r="BJ347" s="1548"/>
      <c r="BK347" s="1548"/>
      <c r="BL347" s="1548"/>
      <c r="BM347" s="1548"/>
      <c r="BN347" s="1548"/>
      <c r="BO347" s="1548"/>
      <c r="BP347" s="1548"/>
      <c r="BQ347" s="1548"/>
      <c r="BR347" s="1548"/>
    </row>
    <row r="348" spans="1:70" s="938" customFormat="1" ht="49.5">
      <c r="A348" s="70"/>
      <c r="B348" s="53"/>
      <c r="C348" s="1422">
        <v>1</v>
      </c>
      <c r="D348" s="1423" t="s">
        <v>25</v>
      </c>
      <c r="E348" s="1423" t="s">
        <v>39</v>
      </c>
      <c r="F348" s="1423">
        <v>1</v>
      </c>
      <c r="G348" s="1423"/>
      <c r="H348" s="1423" t="s">
        <v>25</v>
      </c>
      <c r="I348" s="60" t="s">
        <v>827</v>
      </c>
      <c r="J348" s="48" t="s">
        <v>806</v>
      </c>
      <c r="K348" s="1554">
        <v>10</v>
      </c>
      <c r="L348" s="54">
        <v>3250000000</v>
      </c>
      <c r="M348" s="1554">
        <v>1</v>
      </c>
      <c r="N348" s="939">
        <v>100113040</v>
      </c>
      <c r="O348" s="1554">
        <v>2</v>
      </c>
      <c r="P348" s="64">
        <v>195000000</v>
      </c>
      <c r="Q348" s="1554">
        <v>0</v>
      </c>
      <c r="R348" s="64">
        <v>0</v>
      </c>
      <c r="S348" s="71">
        <v>1</v>
      </c>
      <c r="T348" s="54">
        <v>189864000</v>
      </c>
      <c r="U348" s="71"/>
      <c r="V348" s="54"/>
      <c r="W348" s="72"/>
      <c r="X348" s="54"/>
      <c r="Y348" s="1554">
        <f t="shared" si="96"/>
        <v>1</v>
      </c>
      <c r="Z348" s="55">
        <f t="shared" si="97"/>
        <v>189864000</v>
      </c>
      <c r="AA348" s="1586">
        <f t="shared" si="98"/>
        <v>2</v>
      </c>
      <c r="AB348" s="55">
        <f t="shared" si="99"/>
        <v>289977040</v>
      </c>
      <c r="AC348" s="1524">
        <f t="shared" si="100"/>
        <v>20</v>
      </c>
      <c r="AD348" s="1524">
        <f t="shared" si="101"/>
        <v>8.9223704615384616</v>
      </c>
      <c r="AE348" s="70"/>
      <c r="AF348" s="201"/>
      <c r="AG348" s="750"/>
      <c r="AH348" s="750"/>
      <c r="AI348" s="750"/>
      <c r="AJ348" s="750"/>
      <c r="AK348" s="750"/>
      <c r="AL348" s="750"/>
      <c r="AM348" s="750"/>
      <c r="AN348" s="750"/>
      <c r="AO348" s="750"/>
      <c r="AP348" s="750"/>
      <c r="AQ348" s="750"/>
      <c r="AR348" s="750"/>
      <c r="AS348" s="750"/>
      <c r="AT348" s="750"/>
      <c r="AU348" s="750"/>
      <c r="AV348" s="750"/>
      <c r="AW348" s="750"/>
      <c r="AX348" s="750"/>
      <c r="AY348" s="750"/>
      <c r="AZ348" s="750"/>
      <c r="BA348" s="750"/>
      <c r="BB348" s="750"/>
      <c r="BC348" s="1547"/>
      <c r="BD348" s="1548"/>
      <c r="BE348" s="1548"/>
      <c r="BF348" s="1548"/>
      <c r="BG348" s="1548"/>
      <c r="BH348" s="1548"/>
      <c r="BI348" s="1548"/>
      <c r="BJ348" s="1548"/>
      <c r="BK348" s="1548"/>
      <c r="BL348" s="1548"/>
      <c r="BM348" s="1548"/>
      <c r="BN348" s="1548"/>
      <c r="BO348" s="1548"/>
      <c r="BP348" s="1548"/>
      <c r="BQ348" s="1548"/>
      <c r="BR348" s="1548"/>
    </row>
    <row r="349" spans="1:70" s="938" customFormat="1" ht="49.5">
      <c r="A349" s="70"/>
      <c r="B349" s="53"/>
      <c r="C349" s="1422">
        <v>1</v>
      </c>
      <c r="D349" s="1423" t="s">
        <v>25</v>
      </c>
      <c r="E349" s="1423" t="s">
        <v>39</v>
      </c>
      <c r="F349" s="1423">
        <v>1</v>
      </c>
      <c r="G349" s="1423"/>
      <c r="H349" s="1423" t="s">
        <v>25</v>
      </c>
      <c r="I349" s="60" t="s">
        <v>2667</v>
      </c>
      <c r="J349" s="48" t="s">
        <v>806</v>
      </c>
      <c r="K349" s="1554">
        <v>15</v>
      </c>
      <c r="L349" s="54">
        <v>3250000000</v>
      </c>
      <c r="M349" s="1554">
        <v>1</v>
      </c>
      <c r="N349" s="939">
        <v>506861418</v>
      </c>
      <c r="O349" s="1554">
        <v>0</v>
      </c>
      <c r="P349" s="64">
        <v>0</v>
      </c>
      <c r="Q349" s="1554">
        <v>0</v>
      </c>
      <c r="R349" s="64">
        <v>0</v>
      </c>
      <c r="S349" s="71">
        <v>0</v>
      </c>
      <c r="T349" s="54">
        <v>0</v>
      </c>
      <c r="U349" s="71"/>
      <c r="V349" s="54"/>
      <c r="W349" s="72"/>
      <c r="X349" s="54"/>
      <c r="Y349" s="1554">
        <f t="shared" si="96"/>
        <v>0</v>
      </c>
      <c r="Z349" s="55">
        <f t="shared" si="97"/>
        <v>0</v>
      </c>
      <c r="AA349" s="1586">
        <f t="shared" si="98"/>
        <v>1</v>
      </c>
      <c r="AB349" s="55">
        <f t="shared" si="99"/>
        <v>506861418</v>
      </c>
      <c r="AC349" s="1524">
        <f t="shared" si="100"/>
        <v>6.666666666666667</v>
      </c>
      <c r="AD349" s="1524">
        <f t="shared" si="101"/>
        <v>15.595735938461539</v>
      </c>
      <c r="AE349" s="70"/>
      <c r="AF349" s="201"/>
      <c r="AG349" s="750"/>
      <c r="AH349" s="750"/>
      <c r="AI349" s="750"/>
      <c r="AJ349" s="750"/>
      <c r="AK349" s="750"/>
      <c r="AL349" s="750"/>
      <c r="AM349" s="750"/>
      <c r="AN349" s="750"/>
      <c r="AO349" s="750"/>
      <c r="AP349" s="750"/>
      <c r="AQ349" s="750"/>
      <c r="AR349" s="750"/>
      <c r="AS349" s="750"/>
      <c r="AT349" s="750"/>
      <c r="AU349" s="750"/>
      <c r="AV349" s="750"/>
      <c r="AW349" s="750"/>
      <c r="AX349" s="750"/>
      <c r="AY349" s="750"/>
      <c r="AZ349" s="750"/>
      <c r="BA349" s="750"/>
      <c r="BB349" s="750"/>
      <c r="BC349" s="1547"/>
      <c r="BD349" s="1548"/>
      <c r="BE349" s="1548"/>
      <c r="BF349" s="1548"/>
      <c r="BG349" s="1548"/>
      <c r="BH349" s="1548"/>
      <c r="BI349" s="1548"/>
      <c r="BJ349" s="1548"/>
      <c r="BK349" s="1548"/>
      <c r="BL349" s="1548"/>
      <c r="BM349" s="1548"/>
      <c r="BN349" s="1548"/>
      <c r="BO349" s="1548"/>
      <c r="BP349" s="1548"/>
      <c r="BQ349" s="1548"/>
      <c r="BR349" s="1548"/>
    </row>
    <row r="350" spans="1:70" s="938" customFormat="1" ht="49.5">
      <c r="A350" s="61"/>
      <c r="B350" s="52"/>
      <c r="C350" s="1422">
        <v>1</v>
      </c>
      <c r="D350" s="1423" t="s">
        <v>25</v>
      </c>
      <c r="E350" s="1423" t="s">
        <v>39</v>
      </c>
      <c r="F350" s="1423">
        <v>1</v>
      </c>
      <c r="G350" s="1423"/>
      <c r="H350" s="1423" t="s">
        <v>25</v>
      </c>
      <c r="I350" s="69" t="s">
        <v>828</v>
      </c>
      <c r="J350" s="47" t="s">
        <v>2668</v>
      </c>
      <c r="K350" s="1562">
        <v>72</v>
      </c>
      <c r="L350" s="50">
        <v>800000000</v>
      </c>
      <c r="M350" s="1562">
        <v>36</v>
      </c>
      <c r="N350" s="939">
        <v>175943729</v>
      </c>
      <c r="O350" s="1581">
        <v>12</v>
      </c>
      <c r="P350" s="63">
        <v>85809309</v>
      </c>
      <c r="Q350" s="1562">
        <v>3</v>
      </c>
      <c r="R350" s="63">
        <v>17941600</v>
      </c>
      <c r="S350" s="66">
        <v>3</v>
      </c>
      <c r="T350" s="50">
        <v>24966600</v>
      </c>
      <c r="U350" s="66"/>
      <c r="V350" s="50"/>
      <c r="W350" s="65"/>
      <c r="X350" s="50"/>
      <c r="Y350" s="1553">
        <f t="shared" si="96"/>
        <v>6</v>
      </c>
      <c r="Z350" s="51">
        <f t="shared" si="97"/>
        <v>42908200</v>
      </c>
      <c r="AA350" s="1562">
        <f t="shared" si="98"/>
        <v>42</v>
      </c>
      <c r="AB350" s="51">
        <f t="shared" si="99"/>
        <v>218851929</v>
      </c>
      <c r="AC350" s="1522">
        <f t="shared" si="100"/>
        <v>58.333333333333336</v>
      </c>
      <c r="AD350" s="1522">
        <f t="shared" si="101"/>
        <v>27.356491124999998</v>
      </c>
      <c r="AE350" s="61"/>
      <c r="AF350" s="201"/>
      <c r="AG350" s="750"/>
      <c r="AH350" s="750"/>
      <c r="AI350" s="750"/>
      <c r="AJ350" s="750"/>
      <c r="AK350" s="750"/>
      <c r="AL350" s="750"/>
      <c r="AM350" s="750"/>
      <c r="AN350" s="750"/>
      <c r="AO350" s="750"/>
      <c r="AP350" s="750"/>
      <c r="AQ350" s="750"/>
      <c r="AR350" s="750"/>
      <c r="AS350" s="750"/>
      <c r="AT350" s="750"/>
      <c r="AU350" s="750"/>
      <c r="AV350" s="750"/>
      <c r="AW350" s="750"/>
      <c r="AX350" s="750"/>
      <c r="AY350" s="750"/>
      <c r="AZ350" s="750"/>
      <c r="BA350" s="750"/>
      <c r="BB350" s="750"/>
      <c r="BC350" s="1547"/>
      <c r="BD350" s="1548"/>
      <c r="BE350" s="1548"/>
      <c r="BF350" s="1548"/>
      <c r="BG350" s="1548"/>
      <c r="BH350" s="1548"/>
      <c r="BI350" s="1548"/>
      <c r="BJ350" s="1548"/>
      <c r="BK350" s="1548"/>
      <c r="BL350" s="1548"/>
      <c r="BM350" s="1548"/>
      <c r="BN350" s="1548"/>
      <c r="BO350" s="1548"/>
      <c r="BP350" s="1548"/>
      <c r="BQ350" s="1548"/>
      <c r="BR350" s="1548"/>
    </row>
    <row r="351" spans="1:70" s="938" customFormat="1" ht="33">
      <c r="A351" s="61"/>
      <c r="B351" s="52"/>
      <c r="C351" s="1422">
        <v>1</v>
      </c>
      <c r="D351" s="1423" t="s">
        <v>25</v>
      </c>
      <c r="E351" s="1423" t="s">
        <v>39</v>
      </c>
      <c r="F351" s="1423">
        <v>1</v>
      </c>
      <c r="G351" s="1423"/>
      <c r="H351" s="1423" t="s">
        <v>25</v>
      </c>
      <c r="I351" s="59" t="s">
        <v>829</v>
      </c>
      <c r="J351" s="47" t="s">
        <v>2669</v>
      </c>
      <c r="K351" s="1562">
        <v>1</v>
      </c>
      <c r="L351" s="50">
        <f>N351</f>
        <v>143001949</v>
      </c>
      <c r="M351" s="1562">
        <v>1</v>
      </c>
      <c r="N351" s="939">
        <v>143001949</v>
      </c>
      <c r="O351" s="1581">
        <v>0</v>
      </c>
      <c r="P351" s="63">
        <v>0</v>
      </c>
      <c r="Q351" s="1562">
        <v>0</v>
      </c>
      <c r="R351" s="63">
        <v>0</v>
      </c>
      <c r="S351" s="66">
        <v>0</v>
      </c>
      <c r="T351" s="50">
        <v>0</v>
      </c>
      <c r="U351" s="66"/>
      <c r="V351" s="50"/>
      <c r="W351" s="65"/>
      <c r="X351" s="50"/>
      <c r="Y351" s="1553">
        <f t="shared" si="96"/>
        <v>0</v>
      </c>
      <c r="Z351" s="51">
        <f t="shared" si="97"/>
        <v>0</v>
      </c>
      <c r="AA351" s="1562">
        <f t="shared" si="98"/>
        <v>1</v>
      </c>
      <c r="AB351" s="51">
        <f t="shared" si="99"/>
        <v>143001949</v>
      </c>
      <c r="AC351" s="1522">
        <f t="shared" si="100"/>
        <v>100</v>
      </c>
      <c r="AD351" s="1522">
        <f t="shared" si="101"/>
        <v>100</v>
      </c>
      <c r="AE351" s="61"/>
      <c r="AF351" s="201"/>
      <c r="AG351" s="750"/>
      <c r="AH351" s="750"/>
      <c r="AI351" s="750"/>
      <c r="AJ351" s="750"/>
      <c r="AK351" s="750"/>
      <c r="AL351" s="750"/>
      <c r="AM351" s="750"/>
      <c r="AN351" s="750"/>
      <c r="AO351" s="750"/>
      <c r="AP351" s="750"/>
      <c r="AQ351" s="750"/>
      <c r="AR351" s="750"/>
      <c r="AS351" s="750"/>
      <c r="AT351" s="750"/>
      <c r="AU351" s="750"/>
      <c r="AV351" s="750"/>
      <c r="AW351" s="750"/>
      <c r="AX351" s="750"/>
      <c r="AY351" s="750"/>
      <c r="AZ351" s="750"/>
      <c r="BA351" s="750"/>
      <c r="BB351" s="750"/>
      <c r="BC351" s="1547"/>
      <c r="BD351" s="1548"/>
      <c r="BE351" s="1548"/>
      <c r="BF351" s="1548"/>
      <c r="BG351" s="1548"/>
      <c r="BH351" s="1548"/>
      <c r="BI351" s="1548"/>
      <c r="BJ351" s="1548"/>
      <c r="BK351" s="1548"/>
      <c r="BL351" s="1548"/>
      <c r="BM351" s="1548"/>
      <c r="BN351" s="1548"/>
      <c r="BO351" s="1548"/>
      <c r="BP351" s="1548"/>
      <c r="BQ351" s="1548"/>
      <c r="BR351" s="1548"/>
    </row>
    <row r="352" spans="1:70" s="938" customFormat="1" ht="33">
      <c r="A352" s="61"/>
      <c r="B352" s="52"/>
      <c r="C352" s="1422">
        <v>1</v>
      </c>
      <c r="D352" s="1423" t="s">
        <v>25</v>
      </c>
      <c r="E352" s="1423" t="s">
        <v>39</v>
      </c>
      <c r="F352" s="1423">
        <v>1</v>
      </c>
      <c r="G352" s="1423"/>
      <c r="H352" s="1423" t="s">
        <v>25</v>
      </c>
      <c r="I352" s="59" t="s">
        <v>830</v>
      </c>
      <c r="J352" s="47" t="s">
        <v>2669</v>
      </c>
      <c r="K352" s="1562">
        <v>4</v>
      </c>
      <c r="L352" s="50">
        <v>540000000</v>
      </c>
      <c r="M352" s="1562">
        <v>1</v>
      </c>
      <c r="N352" s="939">
        <v>99853928</v>
      </c>
      <c r="O352" s="1581">
        <v>1</v>
      </c>
      <c r="P352" s="63">
        <v>150000000</v>
      </c>
      <c r="Q352" s="1562">
        <v>0</v>
      </c>
      <c r="R352" s="63">
        <v>11667298</v>
      </c>
      <c r="S352" s="66">
        <v>0</v>
      </c>
      <c r="T352" s="50">
        <v>57005898</v>
      </c>
      <c r="U352" s="66"/>
      <c r="V352" s="50"/>
      <c r="W352" s="65"/>
      <c r="X352" s="50"/>
      <c r="Y352" s="1553">
        <f t="shared" si="96"/>
        <v>0</v>
      </c>
      <c r="Z352" s="51">
        <f t="shared" si="97"/>
        <v>68673196</v>
      </c>
      <c r="AA352" s="1562">
        <f t="shared" si="98"/>
        <v>1</v>
      </c>
      <c r="AB352" s="51">
        <f t="shared" si="99"/>
        <v>168527124</v>
      </c>
      <c r="AC352" s="1522">
        <f t="shared" si="100"/>
        <v>25</v>
      </c>
      <c r="AD352" s="1522">
        <f t="shared" si="101"/>
        <v>31.208726666666664</v>
      </c>
      <c r="AE352" s="61"/>
      <c r="AF352" s="201"/>
      <c r="AG352" s="750"/>
      <c r="AH352" s="750"/>
      <c r="AI352" s="750"/>
      <c r="AJ352" s="750"/>
      <c r="AK352" s="750"/>
      <c r="AL352" s="750"/>
      <c r="AM352" s="750"/>
      <c r="AN352" s="750"/>
      <c r="AO352" s="750"/>
      <c r="AP352" s="750"/>
      <c r="AQ352" s="750"/>
      <c r="AR352" s="750"/>
      <c r="AS352" s="750"/>
      <c r="AT352" s="750"/>
      <c r="AU352" s="750"/>
      <c r="AV352" s="750"/>
      <c r="AW352" s="750"/>
      <c r="AX352" s="750"/>
      <c r="AY352" s="750"/>
      <c r="AZ352" s="750"/>
      <c r="BA352" s="750"/>
      <c r="BB352" s="750"/>
      <c r="BC352" s="1547"/>
      <c r="BD352" s="1548"/>
      <c r="BE352" s="1548"/>
      <c r="BF352" s="1548"/>
      <c r="BG352" s="1548"/>
      <c r="BH352" s="1548"/>
      <c r="BI352" s="1548"/>
      <c r="BJ352" s="1548"/>
      <c r="BK352" s="1548"/>
      <c r="BL352" s="1548"/>
      <c r="BM352" s="1548"/>
      <c r="BN352" s="1548"/>
      <c r="BO352" s="1548"/>
      <c r="BP352" s="1548"/>
      <c r="BQ352" s="1548"/>
      <c r="BR352" s="1548"/>
    </row>
    <row r="353" spans="1:70" s="938" customFormat="1" ht="33">
      <c r="A353" s="61"/>
      <c r="B353" s="52"/>
      <c r="C353" s="1422">
        <v>1</v>
      </c>
      <c r="D353" s="1423" t="s">
        <v>25</v>
      </c>
      <c r="E353" s="1423" t="s">
        <v>39</v>
      </c>
      <c r="F353" s="1423">
        <v>1</v>
      </c>
      <c r="G353" s="1423"/>
      <c r="H353" s="1423" t="s">
        <v>25</v>
      </c>
      <c r="I353" s="59" t="s">
        <v>831</v>
      </c>
      <c r="J353" s="47" t="s">
        <v>806</v>
      </c>
      <c r="K353" s="1562">
        <v>1</v>
      </c>
      <c r="L353" s="50">
        <v>800000000</v>
      </c>
      <c r="M353" s="1553">
        <v>1</v>
      </c>
      <c r="N353" s="939">
        <v>794355900</v>
      </c>
      <c r="O353" s="1581">
        <v>0</v>
      </c>
      <c r="P353" s="63">
        <v>0</v>
      </c>
      <c r="Q353" s="1562">
        <v>0</v>
      </c>
      <c r="R353" s="63">
        <v>0</v>
      </c>
      <c r="S353" s="65">
        <v>0</v>
      </c>
      <c r="T353" s="50">
        <v>0</v>
      </c>
      <c r="U353" s="65"/>
      <c r="V353" s="50"/>
      <c r="W353" s="65"/>
      <c r="X353" s="50"/>
      <c r="Y353" s="1553">
        <f t="shared" si="96"/>
        <v>0</v>
      </c>
      <c r="Z353" s="51">
        <f t="shared" si="97"/>
        <v>0</v>
      </c>
      <c r="AA353" s="1562">
        <f t="shared" si="98"/>
        <v>1</v>
      </c>
      <c r="AB353" s="51">
        <f t="shared" si="99"/>
        <v>794355900</v>
      </c>
      <c r="AC353" s="1522">
        <f t="shared" si="100"/>
        <v>100</v>
      </c>
      <c r="AD353" s="1522">
        <f t="shared" si="101"/>
        <v>99.294487499999988</v>
      </c>
      <c r="AE353" s="61"/>
      <c r="AF353" s="201"/>
      <c r="AG353" s="750"/>
      <c r="AH353" s="750"/>
      <c r="AI353" s="750"/>
      <c r="AJ353" s="750"/>
      <c r="AK353" s="750"/>
      <c r="AL353" s="750"/>
      <c r="AM353" s="750"/>
      <c r="AN353" s="750"/>
      <c r="AO353" s="750"/>
      <c r="AP353" s="750"/>
      <c r="AQ353" s="750"/>
      <c r="AR353" s="750"/>
      <c r="AS353" s="750"/>
      <c r="AT353" s="750"/>
      <c r="AU353" s="750"/>
      <c r="AV353" s="750"/>
      <c r="AW353" s="750"/>
      <c r="AX353" s="750"/>
      <c r="AY353" s="750"/>
      <c r="AZ353" s="750"/>
      <c r="BA353" s="750"/>
      <c r="BB353" s="750"/>
      <c r="BC353" s="1547"/>
      <c r="BD353" s="1548"/>
      <c r="BE353" s="1548"/>
      <c r="BF353" s="1548"/>
      <c r="BG353" s="1548"/>
      <c r="BH353" s="1548"/>
      <c r="BI353" s="1548"/>
      <c r="BJ353" s="1548"/>
      <c r="BK353" s="1548"/>
      <c r="BL353" s="1548"/>
      <c r="BM353" s="1548"/>
      <c r="BN353" s="1548"/>
      <c r="BO353" s="1548"/>
      <c r="BP353" s="1548"/>
      <c r="BQ353" s="1548"/>
      <c r="BR353" s="1548"/>
    </row>
    <row r="354" spans="1:70" s="938" customFormat="1" ht="99">
      <c r="A354" s="61"/>
      <c r="B354" s="52"/>
      <c r="C354" s="1422">
        <v>1</v>
      </c>
      <c r="D354" s="1423" t="s">
        <v>25</v>
      </c>
      <c r="E354" s="1423" t="s">
        <v>39</v>
      </c>
      <c r="F354" s="1423">
        <v>1</v>
      </c>
      <c r="G354" s="1423"/>
      <c r="H354" s="1423" t="s">
        <v>25</v>
      </c>
      <c r="I354" s="59" t="s">
        <v>832</v>
      </c>
      <c r="J354" s="47" t="s">
        <v>833</v>
      </c>
      <c r="K354" s="1562">
        <v>1</v>
      </c>
      <c r="L354" s="50">
        <v>200000000</v>
      </c>
      <c r="M354" s="1553">
        <v>0</v>
      </c>
      <c r="N354" s="939">
        <v>7823300</v>
      </c>
      <c r="O354" s="1582"/>
      <c r="P354" s="63"/>
      <c r="Q354" s="1553"/>
      <c r="R354" s="63"/>
      <c r="S354" s="65"/>
      <c r="T354" s="50"/>
      <c r="U354" s="65"/>
      <c r="V354" s="50"/>
      <c r="W354" s="65"/>
      <c r="X354" s="50"/>
      <c r="Y354" s="1553">
        <f t="shared" si="96"/>
        <v>0</v>
      </c>
      <c r="Z354" s="51">
        <f t="shared" si="97"/>
        <v>0</v>
      </c>
      <c r="AA354" s="1553">
        <f t="shared" si="98"/>
        <v>0</v>
      </c>
      <c r="AB354" s="51">
        <f t="shared" si="99"/>
        <v>7823300</v>
      </c>
      <c r="AC354" s="1522">
        <f t="shared" si="100"/>
        <v>0</v>
      </c>
      <c r="AD354" s="1522">
        <f t="shared" si="101"/>
        <v>3.9116499999999998</v>
      </c>
      <c r="AE354" s="61"/>
      <c r="AF354" s="201"/>
      <c r="AG354" s="750"/>
      <c r="AH354" s="750"/>
      <c r="AI354" s="750"/>
      <c r="AJ354" s="750"/>
      <c r="AK354" s="750"/>
      <c r="AL354" s="750"/>
      <c r="AM354" s="750"/>
      <c r="AN354" s="750"/>
      <c r="AO354" s="750"/>
      <c r="AP354" s="750"/>
      <c r="AQ354" s="750"/>
      <c r="AR354" s="750"/>
      <c r="AS354" s="750"/>
      <c r="AT354" s="750"/>
      <c r="AU354" s="750"/>
      <c r="AV354" s="750"/>
      <c r="AW354" s="750"/>
      <c r="AX354" s="750"/>
      <c r="AY354" s="750"/>
      <c r="AZ354" s="750"/>
      <c r="BA354" s="750"/>
      <c r="BB354" s="750"/>
      <c r="BC354" s="1547"/>
      <c r="BD354" s="1548"/>
      <c r="BE354" s="1548"/>
      <c r="BF354" s="1548"/>
      <c r="BG354" s="1548"/>
      <c r="BH354" s="1548"/>
      <c r="BI354" s="1548"/>
      <c r="BJ354" s="1548"/>
      <c r="BK354" s="1548"/>
      <c r="BL354" s="1548"/>
      <c r="BM354" s="1548"/>
      <c r="BN354" s="1548"/>
      <c r="BO354" s="1548"/>
      <c r="BP354" s="1548"/>
      <c r="BQ354" s="1548"/>
      <c r="BR354" s="1548"/>
    </row>
    <row r="355" spans="1:70" s="938" customFormat="1" ht="115.5">
      <c r="A355" s="61"/>
      <c r="B355" s="52"/>
      <c r="C355" s="1422">
        <v>1</v>
      </c>
      <c r="D355" s="1423" t="s">
        <v>25</v>
      </c>
      <c r="E355" s="1423" t="s">
        <v>39</v>
      </c>
      <c r="F355" s="1423">
        <v>1</v>
      </c>
      <c r="G355" s="1423"/>
      <c r="H355" s="1423" t="s">
        <v>25</v>
      </c>
      <c r="I355" s="59" t="s">
        <v>834</v>
      </c>
      <c r="J355" s="47" t="s">
        <v>833</v>
      </c>
      <c r="K355" s="1562">
        <v>1</v>
      </c>
      <c r="L355" s="50">
        <v>100000000</v>
      </c>
      <c r="M355" s="1553">
        <v>0</v>
      </c>
      <c r="N355" s="939">
        <v>2950000</v>
      </c>
      <c r="O355" s="1582"/>
      <c r="P355" s="63"/>
      <c r="Q355" s="1584"/>
      <c r="R355" s="63"/>
      <c r="S355" s="65"/>
      <c r="T355" s="50"/>
      <c r="U355" s="65"/>
      <c r="V355" s="50"/>
      <c r="W355" s="65"/>
      <c r="X355" s="50"/>
      <c r="Y355" s="1553">
        <f t="shared" si="96"/>
        <v>0</v>
      </c>
      <c r="Z355" s="51">
        <f t="shared" si="97"/>
        <v>0</v>
      </c>
      <c r="AA355" s="1553">
        <f t="shared" si="98"/>
        <v>0</v>
      </c>
      <c r="AB355" s="51">
        <f t="shared" si="99"/>
        <v>2950000</v>
      </c>
      <c r="AC355" s="1522">
        <f t="shared" si="100"/>
        <v>0</v>
      </c>
      <c r="AD355" s="1522">
        <f t="shared" si="101"/>
        <v>2.9499999999999997</v>
      </c>
      <c r="AE355" s="61"/>
      <c r="AF355" s="201"/>
      <c r="AG355" s="750"/>
      <c r="AH355" s="750"/>
      <c r="AI355" s="750"/>
      <c r="AJ355" s="750"/>
      <c r="AK355" s="750"/>
      <c r="AL355" s="750"/>
      <c r="AM355" s="750"/>
      <c r="AN355" s="750"/>
      <c r="AO355" s="750"/>
      <c r="AP355" s="750"/>
      <c r="AQ355" s="750"/>
      <c r="AR355" s="750"/>
      <c r="AS355" s="750"/>
      <c r="AT355" s="750"/>
      <c r="AU355" s="750"/>
      <c r="AV355" s="750"/>
      <c r="AW355" s="750"/>
      <c r="AX355" s="750"/>
      <c r="AY355" s="750"/>
      <c r="AZ355" s="750"/>
      <c r="BA355" s="750"/>
      <c r="BB355" s="750"/>
      <c r="BC355" s="1547"/>
      <c r="BD355" s="1548"/>
      <c r="BE355" s="1548"/>
      <c r="BF355" s="1548"/>
      <c r="BG355" s="1548"/>
      <c r="BH355" s="1548"/>
      <c r="BI355" s="1548"/>
      <c r="BJ355" s="1548"/>
      <c r="BK355" s="1548"/>
      <c r="BL355" s="1548"/>
      <c r="BM355" s="1548"/>
      <c r="BN355" s="1548"/>
      <c r="BO355" s="1548"/>
      <c r="BP355" s="1548"/>
      <c r="BQ355" s="1548"/>
      <c r="BR355" s="1548"/>
    </row>
    <row r="356" spans="1:70" s="938" customFormat="1" ht="99">
      <c r="A356" s="61"/>
      <c r="B356" s="52"/>
      <c r="C356" s="1422">
        <v>1</v>
      </c>
      <c r="D356" s="1423" t="s">
        <v>25</v>
      </c>
      <c r="E356" s="1423" t="s">
        <v>39</v>
      </c>
      <c r="F356" s="1423">
        <v>1</v>
      </c>
      <c r="G356" s="1423"/>
      <c r="H356" s="1423" t="s">
        <v>25</v>
      </c>
      <c r="I356" s="59" t="s">
        <v>835</v>
      </c>
      <c r="J356" s="47" t="s">
        <v>833</v>
      </c>
      <c r="K356" s="1562">
        <v>1</v>
      </c>
      <c r="L356" s="50">
        <v>100000000</v>
      </c>
      <c r="M356" s="1553">
        <v>0</v>
      </c>
      <c r="N356" s="939">
        <v>2500000</v>
      </c>
      <c r="O356" s="1582"/>
      <c r="P356" s="63"/>
      <c r="Q356" s="1584"/>
      <c r="R356" s="63"/>
      <c r="S356" s="65"/>
      <c r="T356" s="50"/>
      <c r="U356" s="65"/>
      <c r="V356" s="50"/>
      <c r="W356" s="65"/>
      <c r="X356" s="50"/>
      <c r="Y356" s="1553">
        <f t="shared" si="96"/>
        <v>0</v>
      </c>
      <c r="Z356" s="51">
        <f t="shared" si="97"/>
        <v>0</v>
      </c>
      <c r="AA356" s="1553">
        <f t="shared" si="98"/>
        <v>0</v>
      </c>
      <c r="AB356" s="51">
        <f t="shared" si="99"/>
        <v>2500000</v>
      </c>
      <c r="AC356" s="1522">
        <f t="shared" si="100"/>
        <v>0</v>
      </c>
      <c r="AD356" s="1522">
        <f t="shared" si="101"/>
        <v>2.5</v>
      </c>
      <c r="AE356" s="61"/>
      <c r="AF356" s="201"/>
      <c r="AG356" s="750"/>
      <c r="AH356" s="750"/>
      <c r="AI356" s="750"/>
      <c r="AJ356" s="750"/>
      <c r="AK356" s="750"/>
      <c r="AL356" s="750"/>
      <c r="AM356" s="750"/>
      <c r="AN356" s="750"/>
      <c r="AO356" s="750"/>
      <c r="AP356" s="750"/>
      <c r="AQ356" s="750"/>
      <c r="AR356" s="750"/>
      <c r="AS356" s="750"/>
      <c r="AT356" s="750"/>
      <c r="AU356" s="750"/>
      <c r="AV356" s="750"/>
      <c r="AW356" s="750"/>
      <c r="AX356" s="750"/>
      <c r="AY356" s="750"/>
      <c r="AZ356" s="750"/>
      <c r="BA356" s="750"/>
      <c r="BB356" s="750"/>
      <c r="BC356" s="1547"/>
      <c r="BD356" s="1548"/>
      <c r="BE356" s="1548"/>
      <c r="BF356" s="1548"/>
      <c r="BG356" s="1548"/>
      <c r="BH356" s="1548"/>
      <c r="BI356" s="1548"/>
      <c r="BJ356" s="1548"/>
      <c r="BK356" s="1548"/>
      <c r="BL356" s="1548"/>
      <c r="BM356" s="1548"/>
      <c r="BN356" s="1548"/>
      <c r="BO356" s="1548"/>
      <c r="BP356" s="1548"/>
      <c r="BQ356" s="1548"/>
      <c r="BR356" s="1548"/>
    </row>
    <row r="357" spans="1:70" s="938" customFormat="1" ht="99">
      <c r="A357" s="61"/>
      <c r="B357" s="52"/>
      <c r="C357" s="1422">
        <v>1</v>
      </c>
      <c r="D357" s="1423" t="s">
        <v>25</v>
      </c>
      <c r="E357" s="1423" t="s">
        <v>39</v>
      </c>
      <c r="F357" s="1423">
        <v>1</v>
      </c>
      <c r="G357" s="1423"/>
      <c r="H357" s="1423" t="s">
        <v>25</v>
      </c>
      <c r="I357" s="59" t="s">
        <v>836</v>
      </c>
      <c r="J357" s="47" t="s">
        <v>833</v>
      </c>
      <c r="K357" s="1562">
        <v>1</v>
      </c>
      <c r="L357" s="50">
        <v>100000000</v>
      </c>
      <c r="M357" s="1553">
        <v>0</v>
      </c>
      <c r="N357" s="939">
        <v>4088000</v>
      </c>
      <c r="O357" s="1582"/>
      <c r="P357" s="63"/>
      <c r="Q357" s="1584"/>
      <c r="R357" s="63"/>
      <c r="S357" s="65"/>
      <c r="T357" s="50"/>
      <c r="U357" s="65"/>
      <c r="V357" s="50"/>
      <c r="W357" s="65"/>
      <c r="X357" s="50"/>
      <c r="Y357" s="1553">
        <f t="shared" si="96"/>
        <v>0</v>
      </c>
      <c r="Z357" s="51">
        <f t="shared" si="97"/>
        <v>0</v>
      </c>
      <c r="AA357" s="1553">
        <f t="shared" si="98"/>
        <v>0</v>
      </c>
      <c r="AB357" s="51">
        <f t="shared" si="99"/>
        <v>4088000</v>
      </c>
      <c r="AC357" s="1522">
        <f t="shared" si="100"/>
        <v>0</v>
      </c>
      <c r="AD357" s="1522">
        <f t="shared" si="101"/>
        <v>4.0880000000000001</v>
      </c>
      <c r="AE357" s="61"/>
      <c r="AF357" s="201"/>
      <c r="AG357" s="750"/>
      <c r="AH357" s="750"/>
      <c r="AI357" s="750"/>
      <c r="AJ357" s="750"/>
      <c r="AK357" s="750"/>
      <c r="AL357" s="750"/>
      <c r="AM357" s="750"/>
      <c r="AN357" s="750"/>
      <c r="AO357" s="750"/>
      <c r="AP357" s="750"/>
      <c r="AQ357" s="750"/>
      <c r="AR357" s="750"/>
      <c r="AS357" s="750"/>
      <c r="AT357" s="750"/>
      <c r="AU357" s="750"/>
      <c r="AV357" s="750"/>
      <c r="AW357" s="750"/>
      <c r="AX357" s="750"/>
      <c r="AY357" s="750"/>
      <c r="AZ357" s="750"/>
      <c r="BA357" s="750"/>
      <c r="BB357" s="750"/>
      <c r="BC357" s="1547"/>
      <c r="BD357" s="1548"/>
      <c r="BE357" s="1548"/>
      <c r="BF357" s="1548"/>
      <c r="BG357" s="1548"/>
      <c r="BH357" s="1548"/>
      <c r="BI357" s="1548"/>
      <c r="BJ357" s="1548"/>
      <c r="BK357" s="1548"/>
      <c r="BL357" s="1548"/>
      <c r="BM357" s="1548"/>
      <c r="BN357" s="1548"/>
      <c r="BO357" s="1548"/>
      <c r="BP357" s="1548"/>
      <c r="BQ357" s="1548"/>
      <c r="BR357" s="1548"/>
    </row>
    <row r="358" spans="1:70" s="938" customFormat="1" ht="99">
      <c r="A358" s="61"/>
      <c r="B358" s="52"/>
      <c r="C358" s="1422">
        <v>1</v>
      </c>
      <c r="D358" s="1423" t="s">
        <v>25</v>
      </c>
      <c r="E358" s="1423" t="s">
        <v>39</v>
      </c>
      <c r="F358" s="1423">
        <v>1</v>
      </c>
      <c r="G358" s="1423"/>
      <c r="H358" s="1423" t="s">
        <v>25</v>
      </c>
      <c r="I358" s="59" t="s">
        <v>837</v>
      </c>
      <c r="J358" s="47" t="s">
        <v>833</v>
      </c>
      <c r="K358" s="1562">
        <v>1</v>
      </c>
      <c r="L358" s="50">
        <v>100000000</v>
      </c>
      <c r="M358" s="1553">
        <v>0</v>
      </c>
      <c r="N358" s="939">
        <v>2500000</v>
      </c>
      <c r="O358" s="1582"/>
      <c r="P358" s="63"/>
      <c r="Q358" s="1584"/>
      <c r="R358" s="63"/>
      <c r="S358" s="65"/>
      <c r="T358" s="50"/>
      <c r="U358" s="65"/>
      <c r="V358" s="50"/>
      <c r="W358" s="65"/>
      <c r="X358" s="50"/>
      <c r="Y358" s="1553">
        <f t="shared" si="96"/>
        <v>0</v>
      </c>
      <c r="Z358" s="51">
        <f t="shared" si="97"/>
        <v>0</v>
      </c>
      <c r="AA358" s="1553">
        <f t="shared" si="98"/>
        <v>0</v>
      </c>
      <c r="AB358" s="51">
        <f t="shared" si="99"/>
        <v>2500000</v>
      </c>
      <c r="AC358" s="1522">
        <f t="shared" si="100"/>
        <v>0</v>
      </c>
      <c r="AD358" s="1522">
        <f t="shared" si="101"/>
        <v>2.5</v>
      </c>
      <c r="AE358" s="61"/>
      <c r="AF358" s="201"/>
      <c r="AG358" s="750"/>
      <c r="AH358" s="750"/>
      <c r="AI358" s="750"/>
      <c r="AJ358" s="750"/>
      <c r="AK358" s="750"/>
      <c r="AL358" s="750"/>
      <c r="AM358" s="750"/>
      <c r="AN358" s="750"/>
      <c r="AO358" s="750"/>
      <c r="AP358" s="750"/>
      <c r="AQ358" s="750"/>
      <c r="AR358" s="750"/>
      <c r="AS358" s="750"/>
      <c r="AT358" s="750"/>
      <c r="AU358" s="750"/>
      <c r="AV358" s="750"/>
      <c r="AW358" s="750"/>
      <c r="AX358" s="750"/>
      <c r="AY358" s="750"/>
      <c r="AZ358" s="750"/>
      <c r="BA358" s="750"/>
      <c r="BB358" s="750"/>
      <c r="BC358" s="1547"/>
      <c r="BD358" s="1548"/>
      <c r="BE358" s="1548"/>
      <c r="BF358" s="1548"/>
      <c r="BG358" s="1548"/>
      <c r="BH358" s="1548"/>
      <c r="BI358" s="1548"/>
      <c r="BJ358" s="1548"/>
      <c r="BK358" s="1548"/>
      <c r="BL358" s="1548"/>
      <c r="BM358" s="1548"/>
      <c r="BN358" s="1548"/>
      <c r="BO358" s="1548"/>
      <c r="BP358" s="1548"/>
      <c r="BQ358" s="1548"/>
      <c r="BR358" s="1548"/>
    </row>
    <row r="359" spans="1:70" s="938" customFormat="1" ht="99">
      <c r="A359" s="61"/>
      <c r="B359" s="52"/>
      <c r="C359" s="1422">
        <v>1</v>
      </c>
      <c r="D359" s="1423" t="s">
        <v>25</v>
      </c>
      <c r="E359" s="1423" t="s">
        <v>39</v>
      </c>
      <c r="F359" s="1423">
        <v>1</v>
      </c>
      <c r="G359" s="1423"/>
      <c r="H359" s="1423" t="s">
        <v>25</v>
      </c>
      <c r="I359" s="59" t="s">
        <v>838</v>
      </c>
      <c r="J359" s="47" t="s">
        <v>833</v>
      </c>
      <c r="K359" s="1562">
        <v>1</v>
      </c>
      <c r="L359" s="50">
        <v>150000000</v>
      </c>
      <c r="M359" s="1553">
        <v>0</v>
      </c>
      <c r="N359" s="939">
        <v>3350000</v>
      </c>
      <c r="O359" s="1582"/>
      <c r="P359" s="63"/>
      <c r="Q359" s="1584"/>
      <c r="R359" s="63"/>
      <c r="S359" s="65"/>
      <c r="T359" s="50"/>
      <c r="U359" s="65"/>
      <c r="V359" s="50"/>
      <c r="W359" s="65"/>
      <c r="X359" s="50"/>
      <c r="Y359" s="1553">
        <f t="shared" si="96"/>
        <v>0</v>
      </c>
      <c r="Z359" s="51">
        <f t="shared" si="97"/>
        <v>0</v>
      </c>
      <c r="AA359" s="1553">
        <f t="shared" si="98"/>
        <v>0</v>
      </c>
      <c r="AB359" s="51">
        <f t="shared" si="99"/>
        <v>3350000</v>
      </c>
      <c r="AC359" s="1522">
        <f t="shared" si="100"/>
        <v>0</v>
      </c>
      <c r="AD359" s="1522">
        <f t="shared" si="101"/>
        <v>2.2333333333333334</v>
      </c>
      <c r="AE359" s="61"/>
      <c r="AF359" s="201"/>
      <c r="AG359" s="750"/>
      <c r="AH359" s="750"/>
      <c r="AI359" s="750"/>
      <c r="AJ359" s="750"/>
      <c r="AK359" s="750"/>
      <c r="AL359" s="750"/>
      <c r="AM359" s="750"/>
      <c r="AN359" s="750"/>
      <c r="AO359" s="750"/>
      <c r="AP359" s="750"/>
      <c r="AQ359" s="750"/>
      <c r="AR359" s="750"/>
      <c r="AS359" s="750"/>
      <c r="AT359" s="750"/>
      <c r="AU359" s="750"/>
      <c r="AV359" s="750"/>
      <c r="AW359" s="750"/>
      <c r="AX359" s="750"/>
      <c r="AY359" s="750"/>
      <c r="AZ359" s="750"/>
      <c r="BA359" s="750"/>
      <c r="BB359" s="750"/>
      <c r="BC359" s="1547"/>
      <c r="BD359" s="1548"/>
      <c r="BE359" s="1548"/>
      <c r="BF359" s="1548"/>
      <c r="BG359" s="1548"/>
      <c r="BH359" s="1548"/>
      <c r="BI359" s="1548"/>
      <c r="BJ359" s="1548"/>
      <c r="BK359" s="1548"/>
      <c r="BL359" s="1548"/>
      <c r="BM359" s="1548"/>
      <c r="BN359" s="1548"/>
      <c r="BO359" s="1548"/>
      <c r="BP359" s="1548"/>
      <c r="BQ359" s="1548"/>
      <c r="BR359" s="1548"/>
    </row>
    <row r="360" spans="1:70" s="938" customFormat="1" ht="115.5">
      <c r="A360" s="61"/>
      <c r="B360" s="52"/>
      <c r="C360" s="1422">
        <v>1</v>
      </c>
      <c r="D360" s="1423" t="s">
        <v>25</v>
      </c>
      <c r="E360" s="1423" t="s">
        <v>39</v>
      </c>
      <c r="F360" s="1423">
        <v>1</v>
      </c>
      <c r="G360" s="1423"/>
      <c r="H360" s="1423" t="s">
        <v>25</v>
      </c>
      <c r="I360" s="59" t="s">
        <v>839</v>
      </c>
      <c r="J360" s="47" t="s">
        <v>833</v>
      </c>
      <c r="K360" s="1562">
        <v>1</v>
      </c>
      <c r="L360" s="50">
        <v>165000000</v>
      </c>
      <c r="M360" s="1553">
        <v>0</v>
      </c>
      <c r="N360" s="939">
        <v>4554700</v>
      </c>
      <c r="O360" s="1582"/>
      <c r="P360" s="63"/>
      <c r="Q360" s="1584"/>
      <c r="R360" s="63"/>
      <c r="S360" s="65"/>
      <c r="T360" s="50"/>
      <c r="U360" s="65"/>
      <c r="V360" s="50"/>
      <c r="W360" s="65"/>
      <c r="X360" s="50"/>
      <c r="Y360" s="1553">
        <f t="shared" si="96"/>
        <v>0</v>
      </c>
      <c r="Z360" s="51">
        <f t="shared" si="97"/>
        <v>0</v>
      </c>
      <c r="AA360" s="1553">
        <f t="shared" si="98"/>
        <v>0</v>
      </c>
      <c r="AB360" s="51">
        <f t="shared" si="99"/>
        <v>4554700</v>
      </c>
      <c r="AC360" s="1522">
        <f t="shared" si="100"/>
        <v>0</v>
      </c>
      <c r="AD360" s="1522">
        <f t="shared" si="101"/>
        <v>2.7604242424242424</v>
      </c>
      <c r="AE360" s="61"/>
      <c r="AF360" s="201"/>
      <c r="AG360" s="750"/>
      <c r="AH360" s="750"/>
      <c r="AI360" s="750"/>
      <c r="AJ360" s="750"/>
      <c r="AK360" s="750"/>
      <c r="AL360" s="750"/>
      <c r="AM360" s="750"/>
      <c r="AN360" s="750"/>
      <c r="AO360" s="750"/>
      <c r="AP360" s="750"/>
      <c r="AQ360" s="750"/>
      <c r="AR360" s="750"/>
      <c r="AS360" s="750"/>
      <c r="AT360" s="750"/>
      <c r="AU360" s="750"/>
      <c r="AV360" s="750"/>
      <c r="AW360" s="750"/>
      <c r="AX360" s="750"/>
      <c r="AY360" s="750"/>
      <c r="AZ360" s="750"/>
      <c r="BA360" s="750"/>
      <c r="BB360" s="750"/>
      <c r="BC360" s="1547"/>
      <c r="BD360" s="1548"/>
      <c r="BE360" s="1548"/>
      <c r="BF360" s="1548"/>
      <c r="BG360" s="1548"/>
      <c r="BH360" s="1548"/>
      <c r="BI360" s="1548"/>
      <c r="BJ360" s="1548"/>
      <c r="BK360" s="1548"/>
      <c r="BL360" s="1548"/>
      <c r="BM360" s="1548"/>
      <c r="BN360" s="1548"/>
      <c r="BO360" s="1548"/>
      <c r="BP360" s="1548"/>
      <c r="BQ360" s="1548"/>
      <c r="BR360" s="1548"/>
    </row>
    <row r="361" spans="1:70" s="938" customFormat="1" ht="119.25" customHeight="1">
      <c r="A361" s="61"/>
      <c r="B361" s="52"/>
      <c r="C361" s="1422">
        <v>1</v>
      </c>
      <c r="D361" s="1423" t="s">
        <v>25</v>
      </c>
      <c r="E361" s="1423" t="s">
        <v>39</v>
      </c>
      <c r="F361" s="1423">
        <v>1</v>
      </c>
      <c r="G361" s="1423"/>
      <c r="H361" s="1423" t="s">
        <v>25</v>
      </c>
      <c r="I361" s="59" t="s">
        <v>840</v>
      </c>
      <c r="J361" s="47" t="s">
        <v>806</v>
      </c>
      <c r="K361" s="1562">
        <v>1</v>
      </c>
      <c r="L361" s="50">
        <v>190000000</v>
      </c>
      <c r="M361" s="1553">
        <v>0</v>
      </c>
      <c r="N361" s="939">
        <v>5568100</v>
      </c>
      <c r="O361" s="1582"/>
      <c r="P361" s="63"/>
      <c r="Q361" s="1584"/>
      <c r="R361" s="63"/>
      <c r="S361" s="65"/>
      <c r="T361" s="50"/>
      <c r="U361" s="65"/>
      <c r="V361" s="50"/>
      <c r="W361" s="65"/>
      <c r="X361" s="50"/>
      <c r="Y361" s="1553">
        <f t="shared" si="96"/>
        <v>0</v>
      </c>
      <c r="Z361" s="51">
        <f t="shared" si="97"/>
        <v>0</v>
      </c>
      <c r="AA361" s="1553">
        <f t="shared" si="98"/>
        <v>0</v>
      </c>
      <c r="AB361" s="51">
        <f t="shared" si="99"/>
        <v>5568100</v>
      </c>
      <c r="AC361" s="1522">
        <f t="shared" si="100"/>
        <v>0</v>
      </c>
      <c r="AD361" s="1522">
        <f t="shared" si="101"/>
        <v>2.9305789473684212</v>
      </c>
      <c r="AE361" s="61"/>
      <c r="AF361" s="201"/>
      <c r="AG361" s="750"/>
      <c r="AH361" s="750"/>
      <c r="AI361" s="750"/>
      <c r="AJ361" s="750"/>
      <c r="AK361" s="750"/>
      <c r="AL361" s="750"/>
      <c r="AM361" s="750"/>
      <c r="AN361" s="750"/>
      <c r="AO361" s="750"/>
      <c r="AP361" s="750"/>
      <c r="AQ361" s="750"/>
      <c r="AR361" s="750"/>
      <c r="AS361" s="750"/>
      <c r="AT361" s="750"/>
      <c r="AU361" s="750"/>
      <c r="AV361" s="750"/>
      <c r="AW361" s="750"/>
      <c r="AX361" s="750"/>
      <c r="AY361" s="750"/>
      <c r="AZ361" s="750"/>
      <c r="BA361" s="750"/>
      <c r="BB361" s="750"/>
      <c r="BC361" s="1547"/>
      <c r="BD361" s="1548"/>
      <c r="BE361" s="1548"/>
      <c r="BF361" s="1548"/>
      <c r="BG361" s="1548"/>
      <c r="BH361" s="1548"/>
      <c r="BI361" s="1548"/>
      <c r="BJ361" s="1548"/>
      <c r="BK361" s="1548"/>
      <c r="BL361" s="1548"/>
      <c r="BM361" s="1548"/>
      <c r="BN361" s="1548"/>
      <c r="BO361" s="1548"/>
      <c r="BP361" s="1548"/>
      <c r="BQ361" s="1548"/>
      <c r="BR361" s="1548"/>
    </row>
    <row r="362" spans="1:70" s="938" customFormat="1" ht="132">
      <c r="A362" s="61"/>
      <c r="B362" s="52"/>
      <c r="C362" s="1422">
        <v>1</v>
      </c>
      <c r="D362" s="1423" t="s">
        <v>25</v>
      </c>
      <c r="E362" s="1423" t="s">
        <v>39</v>
      </c>
      <c r="F362" s="1423">
        <v>1</v>
      </c>
      <c r="G362" s="1423"/>
      <c r="H362" s="1423" t="s">
        <v>25</v>
      </c>
      <c r="I362" s="59" t="s">
        <v>841</v>
      </c>
      <c r="J362" s="47" t="s">
        <v>806</v>
      </c>
      <c r="K362" s="1562">
        <v>1</v>
      </c>
      <c r="L362" s="50">
        <v>115000000</v>
      </c>
      <c r="M362" s="1553">
        <v>0</v>
      </c>
      <c r="N362" s="939">
        <v>4295000</v>
      </c>
      <c r="O362" s="1582"/>
      <c r="P362" s="63"/>
      <c r="Q362" s="1584"/>
      <c r="R362" s="63"/>
      <c r="S362" s="65"/>
      <c r="T362" s="50"/>
      <c r="U362" s="65"/>
      <c r="V362" s="50"/>
      <c r="W362" s="65"/>
      <c r="X362" s="50"/>
      <c r="Y362" s="1553">
        <f t="shared" si="96"/>
        <v>0</v>
      </c>
      <c r="Z362" s="51">
        <f t="shared" si="97"/>
        <v>0</v>
      </c>
      <c r="AA362" s="1553">
        <f t="shared" si="98"/>
        <v>0</v>
      </c>
      <c r="AB362" s="51">
        <f t="shared" si="99"/>
        <v>4295000</v>
      </c>
      <c r="AC362" s="1522">
        <f t="shared" si="100"/>
        <v>0</v>
      </c>
      <c r="AD362" s="1522">
        <f t="shared" si="101"/>
        <v>3.7347826086956517</v>
      </c>
      <c r="AE362" s="61"/>
      <c r="AF362" s="201"/>
      <c r="AG362" s="750"/>
      <c r="AH362" s="750"/>
      <c r="AI362" s="750"/>
      <c r="AJ362" s="750"/>
      <c r="AK362" s="750"/>
      <c r="AL362" s="750"/>
      <c r="AM362" s="750"/>
      <c r="AN362" s="750"/>
      <c r="AO362" s="750"/>
      <c r="AP362" s="750"/>
      <c r="AQ362" s="750"/>
      <c r="AR362" s="750"/>
      <c r="AS362" s="750"/>
      <c r="AT362" s="750"/>
      <c r="AU362" s="750"/>
      <c r="AV362" s="750"/>
      <c r="AW362" s="750"/>
      <c r="AX362" s="750"/>
      <c r="AY362" s="750"/>
      <c r="AZ362" s="750"/>
      <c r="BA362" s="750"/>
      <c r="BB362" s="750"/>
      <c r="BC362" s="1547"/>
      <c r="BD362" s="1548"/>
      <c r="BE362" s="1548"/>
      <c r="BF362" s="1548"/>
      <c r="BG362" s="1548"/>
      <c r="BH362" s="1548"/>
      <c r="BI362" s="1548"/>
      <c r="BJ362" s="1548"/>
      <c r="BK362" s="1548"/>
      <c r="BL362" s="1548"/>
      <c r="BM362" s="1548"/>
      <c r="BN362" s="1548"/>
      <c r="BO362" s="1548"/>
      <c r="BP362" s="1548"/>
      <c r="BQ362" s="1548"/>
      <c r="BR362" s="1548"/>
    </row>
    <row r="363" spans="1:70" s="938" customFormat="1" ht="82.5">
      <c r="A363" s="61"/>
      <c r="B363" s="52"/>
      <c r="C363" s="1422">
        <v>1</v>
      </c>
      <c r="D363" s="1423" t="s">
        <v>25</v>
      </c>
      <c r="E363" s="1423" t="s">
        <v>39</v>
      </c>
      <c r="F363" s="1423">
        <v>1</v>
      </c>
      <c r="G363" s="1423"/>
      <c r="H363" s="1423" t="s">
        <v>25</v>
      </c>
      <c r="I363" s="59" t="s">
        <v>842</v>
      </c>
      <c r="J363" s="47" t="s">
        <v>806</v>
      </c>
      <c r="K363" s="1562">
        <v>1</v>
      </c>
      <c r="L363" s="50">
        <v>115000000</v>
      </c>
      <c r="M363" s="1553">
        <v>0</v>
      </c>
      <c r="N363" s="939">
        <v>3805000</v>
      </c>
      <c r="O363" s="1582"/>
      <c r="P363" s="63"/>
      <c r="Q363" s="1584"/>
      <c r="R363" s="63"/>
      <c r="S363" s="65"/>
      <c r="T363" s="50"/>
      <c r="U363" s="65"/>
      <c r="V363" s="50"/>
      <c r="W363" s="65"/>
      <c r="X363" s="50"/>
      <c r="Y363" s="1553">
        <f t="shared" si="96"/>
        <v>0</v>
      </c>
      <c r="Z363" s="51">
        <f t="shared" si="97"/>
        <v>0</v>
      </c>
      <c r="AA363" s="1553">
        <f t="shared" si="98"/>
        <v>0</v>
      </c>
      <c r="AB363" s="51">
        <f t="shared" si="99"/>
        <v>3805000</v>
      </c>
      <c r="AC363" s="1522">
        <f t="shared" si="100"/>
        <v>0</v>
      </c>
      <c r="AD363" s="1522">
        <f t="shared" si="101"/>
        <v>3.3086956521739133</v>
      </c>
      <c r="AE363" s="61"/>
      <c r="AF363" s="201"/>
      <c r="AG363" s="750"/>
      <c r="AH363" s="750"/>
      <c r="AI363" s="750"/>
      <c r="AJ363" s="750"/>
      <c r="AK363" s="750"/>
      <c r="AL363" s="750"/>
      <c r="AM363" s="750"/>
      <c r="AN363" s="750"/>
      <c r="AO363" s="750"/>
      <c r="AP363" s="750"/>
      <c r="AQ363" s="750"/>
      <c r="AR363" s="750"/>
      <c r="AS363" s="750"/>
      <c r="AT363" s="750"/>
      <c r="AU363" s="750"/>
      <c r="AV363" s="750"/>
      <c r="AW363" s="750"/>
      <c r="AX363" s="750"/>
      <c r="AY363" s="750"/>
      <c r="AZ363" s="750"/>
      <c r="BA363" s="750"/>
      <c r="BB363" s="750"/>
      <c r="BC363" s="1547"/>
      <c r="BD363" s="1548"/>
      <c r="BE363" s="1548"/>
      <c r="BF363" s="1548"/>
      <c r="BG363" s="1548"/>
      <c r="BH363" s="1548"/>
      <c r="BI363" s="1548"/>
      <c r="BJ363" s="1548"/>
      <c r="BK363" s="1548"/>
      <c r="BL363" s="1548"/>
      <c r="BM363" s="1548"/>
      <c r="BN363" s="1548"/>
      <c r="BO363" s="1548"/>
      <c r="BP363" s="1548"/>
      <c r="BQ363" s="1548"/>
      <c r="BR363" s="1548"/>
    </row>
    <row r="364" spans="1:70" s="938" customFormat="1" ht="99">
      <c r="A364" s="61"/>
      <c r="B364" s="52"/>
      <c r="C364" s="1422">
        <v>1</v>
      </c>
      <c r="D364" s="1423" t="s">
        <v>25</v>
      </c>
      <c r="E364" s="1423" t="s">
        <v>39</v>
      </c>
      <c r="F364" s="1423">
        <v>1</v>
      </c>
      <c r="G364" s="1423"/>
      <c r="H364" s="1423" t="s">
        <v>25</v>
      </c>
      <c r="I364" s="59" t="s">
        <v>843</v>
      </c>
      <c r="J364" s="47" t="s">
        <v>806</v>
      </c>
      <c r="K364" s="1562">
        <v>1</v>
      </c>
      <c r="L364" s="50">
        <v>115000000</v>
      </c>
      <c r="M364" s="1553">
        <v>0</v>
      </c>
      <c r="N364" s="939">
        <v>4295000</v>
      </c>
      <c r="O364" s="1582"/>
      <c r="P364" s="63"/>
      <c r="Q364" s="1584"/>
      <c r="R364" s="63"/>
      <c r="S364" s="65"/>
      <c r="T364" s="50"/>
      <c r="U364" s="65"/>
      <c r="V364" s="50"/>
      <c r="W364" s="65"/>
      <c r="X364" s="50"/>
      <c r="Y364" s="1553">
        <f t="shared" si="96"/>
        <v>0</v>
      </c>
      <c r="Z364" s="51">
        <f t="shared" si="97"/>
        <v>0</v>
      </c>
      <c r="AA364" s="1553">
        <f t="shared" si="98"/>
        <v>0</v>
      </c>
      <c r="AB364" s="51">
        <f t="shared" si="99"/>
        <v>4295000</v>
      </c>
      <c r="AC364" s="1522">
        <f t="shared" si="100"/>
        <v>0</v>
      </c>
      <c r="AD364" s="1522">
        <f t="shared" si="101"/>
        <v>3.7347826086956517</v>
      </c>
      <c r="AE364" s="61"/>
      <c r="AF364" s="201"/>
      <c r="AG364" s="750"/>
      <c r="AH364" s="750"/>
      <c r="AI364" s="750"/>
      <c r="AJ364" s="750"/>
      <c r="AK364" s="750"/>
      <c r="AL364" s="750"/>
      <c r="AM364" s="750"/>
      <c r="AN364" s="750"/>
      <c r="AO364" s="750"/>
      <c r="AP364" s="750"/>
      <c r="AQ364" s="750"/>
      <c r="AR364" s="750"/>
      <c r="AS364" s="750"/>
      <c r="AT364" s="750"/>
      <c r="AU364" s="750"/>
      <c r="AV364" s="750"/>
      <c r="AW364" s="750"/>
      <c r="AX364" s="750"/>
      <c r="AY364" s="750"/>
      <c r="AZ364" s="750"/>
      <c r="BA364" s="750"/>
      <c r="BB364" s="750"/>
      <c r="BC364" s="1547"/>
      <c r="BD364" s="1548"/>
      <c r="BE364" s="1548"/>
      <c r="BF364" s="1548"/>
      <c r="BG364" s="1548"/>
      <c r="BH364" s="1548"/>
      <c r="BI364" s="1548"/>
      <c r="BJ364" s="1548"/>
      <c r="BK364" s="1548"/>
      <c r="BL364" s="1548"/>
      <c r="BM364" s="1548"/>
      <c r="BN364" s="1548"/>
      <c r="BO364" s="1548"/>
      <c r="BP364" s="1548"/>
      <c r="BQ364" s="1548"/>
      <c r="BR364" s="1548"/>
    </row>
    <row r="365" spans="1:70" s="938" customFormat="1" ht="99">
      <c r="A365" s="61"/>
      <c r="B365" s="52"/>
      <c r="C365" s="1422">
        <v>1</v>
      </c>
      <c r="D365" s="1423" t="s">
        <v>25</v>
      </c>
      <c r="E365" s="1423" t="s">
        <v>39</v>
      </c>
      <c r="F365" s="1423">
        <v>1</v>
      </c>
      <c r="G365" s="1423"/>
      <c r="H365" s="1423" t="s">
        <v>25</v>
      </c>
      <c r="I365" s="59" t="s">
        <v>844</v>
      </c>
      <c r="J365" s="47" t="s">
        <v>806</v>
      </c>
      <c r="K365" s="1562">
        <v>1</v>
      </c>
      <c r="L365" s="50">
        <v>215000000</v>
      </c>
      <c r="M365" s="1553">
        <v>0</v>
      </c>
      <c r="N365" s="939">
        <v>7873700</v>
      </c>
      <c r="O365" s="1582"/>
      <c r="P365" s="63"/>
      <c r="Q365" s="1584"/>
      <c r="R365" s="63"/>
      <c r="S365" s="65"/>
      <c r="T365" s="50"/>
      <c r="U365" s="65"/>
      <c r="V365" s="50"/>
      <c r="W365" s="65"/>
      <c r="X365" s="50"/>
      <c r="Y365" s="1553">
        <f t="shared" si="96"/>
        <v>0</v>
      </c>
      <c r="Z365" s="51">
        <f t="shared" si="97"/>
        <v>0</v>
      </c>
      <c r="AA365" s="1553">
        <f t="shared" si="98"/>
        <v>0</v>
      </c>
      <c r="AB365" s="51">
        <f t="shared" si="99"/>
        <v>7873700</v>
      </c>
      <c r="AC365" s="1522">
        <f t="shared" si="100"/>
        <v>0</v>
      </c>
      <c r="AD365" s="1522">
        <f t="shared" si="101"/>
        <v>3.6621860465116276</v>
      </c>
      <c r="AE365" s="61"/>
      <c r="AF365" s="201"/>
      <c r="AG365" s="750"/>
      <c r="AH365" s="750"/>
      <c r="AI365" s="750"/>
      <c r="AJ365" s="750"/>
      <c r="AK365" s="750"/>
      <c r="AL365" s="750"/>
      <c r="AM365" s="750"/>
      <c r="AN365" s="750"/>
      <c r="AO365" s="750"/>
      <c r="AP365" s="750"/>
      <c r="AQ365" s="750"/>
      <c r="AR365" s="750"/>
      <c r="AS365" s="750"/>
      <c r="AT365" s="750"/>
      <c r="AU365" s="750"/>
      <c r="AV365" s="750"/>
      <c r="AW365" s="750"/>
      <c r="AX365" s="750"/>
      <c r="AY365" s="750"/>
      <c r="AZ365" s="750"/>
      <c r="BA365" s="750"/>
      <c r="BB365" s="750"/>
      <c r="BC365" s="1547"/>
      <c r="BD365" s="1548"/>
      <c r="BE365" s="1548"/>
      <c r="BF365" s="1548"/>
      <c r="BG365" s="1548"/>
      <c r="BH365" s="1548"/>
      <c r="BI365" s="1548"/>
      <c r="BJ365" s="1548"/>
      <c r="BK365" s="1548"/>
      <c r="BL365" s="1548"/>
      <c r="BM365" s="1548"/>
      <c r="BN365" s="1548"/>
      <c r="BO365" s="1548"/>
      <c r="BP365" s="1548"/>
      <c r="BQ365" s="1548"/>
      <c r="BR365" s="1548"/>
    </row>
    <row r="366" spans="1:70" s="938" customFormat="1" ht="82.5">
      <c r="A366" s="61"/>
      <c r="B366" s="52"/>
      <c r="C366" s="1422">
        <v>1</v>
      </c>
      <c r="D366" s="1423" t="s">
        <v>25</v>
      </c>
      <c r="E366" s="1423" t="s">
        <v>39</v>
      </c>
      <c r="F366" s="1423">
        <v>1</v>
      </c>
      <c r="G366" s="1423"/>
      <c r="H366" s="1423" t="s">
        <v>25</v>
      </c>
      <c r="I366" s="59" t="s">
        <v>845</v>
      </c>
      <c r="J366" s="47" t="s">
        <v>806</v>
      </c>
      <c r="K366" s="1562">
        <v>1</v>
      </c>
      <c r="L366" s="50">
        <v>210000000</v>
      </c>
      <c r="M366" s="1553">
        <v>0</v>
      </c>
      <c r="N366" s="939">
        <v>0</v>
      </c>
      <c r="O366" s="1582"/>
      <c r="P366" s="63"/>
      <c r="Q366" s="1584"/>
      <c r="R366" s="63"/>
      <c r="S366" s="65"/>
      <c r="T366" s="50"/>
      <c r="U366" s="65"/>
      <c r="V366" s="50"/>
      <c r="W366" s="65"/>
      <c r="X366" s="50"/>
      <c r="Y366" s="1553">
        <f t="shared" si="96"/>
        <v>0</v>
      </c>
      <c r="Z366" s="51">
        <f t="shared" si="97"/>
        <v>0</v>
      </c>
      <c r="AA366" s="1553">
        <f t="shared" si="98"/>
        <v>0</v>
      </c>
      <c r="AB366" s="51">
        <f t="shared" si="99"/>
        <v>0</v>
      </c>
      <c r="AC366" s="1522">
        <f t="shared" si="100"/>
        <v>0</v>
      </c>
      <c r="AD366" s="1522">
        <f t="shared" si="101"/>
        <v>0</v>
      </c>
      <c r="AE366" s="61"/>
      <c r="AF366" s="201"/>
      <c r="AG366" s="750"/>
      <c r="AH366" s="750"/>
      <c r="AI366" s="750"/>
      <c r="AJ366" s="750"/>
      <c r="AK366" s="750"/>
      <c r="AL366" s="750"/>
      <c r="AM366" s="750"/>
      <c r="AN366" s="750"/>
      <c r="AO366" s="750"/>
      <c r="AP366" s="750"/>
      <c r="AQ366" s="750"/>
      <c r="AR366" s="750"/>
      <c r="AS366" s="750"/>
      <c r="AT366" s="750"/>
      <c r="AU366" s="750"/>
      <c r="AV366" s="750"/>
      <c r="AW366" s="750"/>
      <c r="AX366" s="750"/>
      <c r="AY366" s="750"/>
      <c r="AZ366" s="750"/>
      <c r="BA366" s="750"/>
      <c r="BB366" s="750"/>
      <c r="BC366" s="1547"/>
      <c r="BD366" s="1548"/>
      <c r="BE366" s="1548"/>
      <c r="BF366" s="1548"/>
      <c r="BG366" s="1548"/>
      <c r="BH366" s="1548"/>
      <c r="BI366" s="1548"/>
      <c r="BJ366" s="1548"/>
      <c r="BK366" s="1548"/>
      <c r="BL366" s="1548"/>
      <c r="BM366" s="1548"/>
      <c r="BN366" s="1548"/>
      <c r="BO366" s="1548"/>
      <c r="BP366" s="1548"/>
      <c r="BQ366" s="1548"/>
      <c r="BR366" s="1548"/>
    </row>
    <row r="367" spans="1:70" s="938" customFormat="1" ht="82.5">
      <c r="A367" s="61"/>
      <c r="B367" s="52"/>
      <c r="C367" s="1422">
        <v>1</v>
      </c>
      <c r="D367" s="1423" t="s">
        <v>25</v>
      </c>
      <c r="E367" s="1423" t="s">
        <v>39</v>
      </c>
      <c r="F367" s="1423">
        <v>1</v>
      </c>
      <c r="G367" s="1423"/>
      <c r="H367" s="1423" t="s">
        <v>25</v>
      </c>
      <c r="I367" s="59" t="s">
        <v>846</v>
      </c>
      <c r="J367" s="47" t="s">
        <v>806</v>
      </c>
      <c r="K367" s="1562">
        <v>1</v>
      </c>
      <c r="L367" s="50">
        <v>200000000</v>
      </c>
      <c r="M367" s="1553">
        <v>0</v>
      </c>
      <c r="N367" s="939">
        <v>7140800</v>
      </c>
      <c r="O367" s="1582"/>
      <c r="P367" s="63"/>
      <c r="Q367" s="1584"/>
      <c r="R367" s="63"/>
      <c r="S367" s="65"/>
      <c r="T367" s="50"/>
      <c r="U367" s="65"/>
      <c r="V367" s="50"/>
      <c r="W367" s="65"/>
      <c r="X367" s="50"/>
      <c r="Y367" s="1553">
        <f t="shared" si="96"/>
        <v>0</v>
      </c>
      <c r="Z367" s="51">
        <f t="shared" si="97"/>
        <v>0</v>
      </c>
      <c r="AA367" s="1553">
        <f t="shared" si="98"/>
        <v>0</v>
      </c>
      <c r="AB367" s="51">
        <f t="shared" si="99"/>
        <v>7140800</v>
      </c>
      <c r="AC367" s="1522">
        <f t="shared" si="100"/>
        <v>0</v>
      </c>
      <c r="AD367" s="1522">
        <f t="shared" si="101"/>
        <v>3.5703999999999998</v>
      </c>
      <c r="AE367" s="61"/>
      <c r="AF367" s="201"/>
      <c r="AG367" s="750"/>
      <c r="AH367" s="750"/>
      <c r="AI367" s="750"/>
      <c r="AJ367" s="750"/>
      <c r="AK367" s="750"/>
      <c r="AL367" s="750"/>
      <c r="AM367" s="750"/>
      <c r="AN367" s="750"/>
      <c r="AO367" s="750"/>
      <c r="AP367" s="750"/>
      <c r="AQ367" s="750"/>
      <c r="AR367" s="750"/>
      <c r="AS367" s="750"/>
      <c r="AT367" s="750"/>
      <c r="AU367" s="750"/>
      <c r="AV367" s="750"/>
      <c r="AW367" s="750"/>
      <c r="AX367" s="750"/>
      <c r="AY367" s="750"/>
      <c r="AZ367" s="750"/>
      <c r="BA367" s="750"/>
      <c r="BB367" s="750"/>
      <c r="BC367" s="1547"/>
      <c r="BD367" s="1548"/>
      <c r="BE367" s="1548"/>
      <c r="BF367" s="1548"/>
      <c r="BG367" s="1548"/>
      <c r="BH367" s="1548"/>
      <c r="BI367" s="1548"/>
      <c r="BJ367" s="1548"/>
      <c r="BK367" s="1548"/>
      <c r="BL367" s="1548"/>
      <c r="BM367" s="1548"/>
      <c r="BN367" s="1548"/>
      <c r="BO367" s="1548"/>
      <c r="BP367" s="1548"/>
      <c r="BQ367" s="1548"/>
      <c r="BR367" s="1548"/>
    </row>
    <row r="368" spans="1:70" s="938" customFormat="1" ht="115.5">
      <c r="A368" s="61"/>
      <c r="B368" s="52"/>
      <c r="C368" s="1422">
        <v>1</v>
      </c>
      <c r="D368" s="1423" t="s">
        <v>25</v>
      </c>
      <c r="E368" s="1423" t="s">
        <v>39</v>
      </c>
      <c r="F368" s="1423">
        <v>1</v>
      </c>
      <c r="G368" s="1423"/>
      <c r="H368" s="1423" t="s">
        <v>25</v>
      </c>
      <c r="I368" s="59" t="s">
        <v>847</v>
      </c>
      <c r="J368" s="47" t="s">
        <v>810</v>
      </c>
      <c r="K368" s="1562">
        <v>1</v>
      </c>
      <c r="L368" s="50">
        <v>215000000</v>
      </c>
      <c r="M368" s="1553">
        <v>0</v>
      </c>
      <c r="N368" s="939">
        <v>0</v>
      </c>
      <c r="O368" s="1582"/>
      <c r="P368" s="63"/>
      <c r="Q368" s="1584"/>
      <c r="R368" s="63"/>
      <c r="S368" s="65"/>
      <c r="T368" s="50"/>
      <c r="U368" s="65"/>
      <c r="V368" s="50"/>
      <c r="W368" s="65"/>
      <c r="X368" s="50"/>
      <c r="Y368" s="1553">
        <f t="shared" ref="Y368:Y393" si="102">Q368+S368+U368+W368</f>
        <v>0</v>
      </c>
      <c r="Z368" s="51">
        <f t="shared" ref="Z368:Z393" si="103">R368+T368+V368+X368</f>
        <v>0</v>
      </c>
      <c r="AA368" s="1553">
        <f t="shared" ref="AA368:AA393" si="104">M368+Y368</f>
        <v>0</v>
      </c>
      <c r="AB368" s="51">
        <f t="shared" ref="AB368:AB393" si="105">N368+Z368</f>
        <v>0</v>
      </c>
      <c r="AC368" s="1522">
        <f t="shared" si="100"/>
        <v>0</v>
      </c>
      <c r="AD368" s="1522">
        <f t="shared" si="101"/>
        <v>0</v>
      </c>
      <c r="AE368" s="61"/>
      <c r="AF368" s="201"/>
      <c r="AG368" s="750"/>
      <c r="AH368" s="750"/>
      <c r="AI368" s="750"/>
      <c r="AJ368" s="750"/>
      <c r="AK368" s="750"/>
      <c r="AL368" s="750"/>
      <c r="AM368" s="750"/>
      <c r="AN368" s="750"/>
      <c r="AO368" s="750"/>
      <c r="AP368" s="750"/>
      <c r="AQ368" s="750"/>
      <c r="AR368" s="750"/>
      <c r="AS368" s="750"/>
      <c r="AT368" s="750"/>
      <c r="AU368" s="750"/>
      <c r="AV368" s="750"/>
      <c r="AW368" s="750"/>
      <c r="AX368" s="750"/>
      <c r="AY368" s="750"/>
      <c r="AZ368" s="750"/>
      <c r="BA368" s="750"/>
      <c r="BB368" s="750"/>
      <c r="BC368" s="1547"/>
      <c r="BD368" s="1548"/>
      <c r="BE368" s="1548"/>
      <c r="BF368" s="1548"/>
      <c r="BG368" s="1548"/>
      <c r="BH368" s="1548"/>
      <c r="BI368" s="1548"/>
      <c r="BJ368" s="1548"/>
      <c r="BK368" s="1548"/>
      <c r="BL368" s="1548"/>
      <c r="BM368" s="1548"/>
      <c r="BN368" s="1548"/>
      <c r="BO368" s="1548"/>
      <c r="BP368" s="1548"/>
      <c r="BQ368" s="1548"/>
      <c r="BR368" s="1548"/>
    </row>
    <row r="369" spans="1:70" s="938" customFormat="1" ht="99">
      <c r="A369" s="61"/>
      <c r="B369" s="52"/>
      <c r="C369" s="1422">
        <v>1</v>
      </c>
      <c r="D369" s="1423" t="s">
        <v>25</v>
      </c>
      <c r="E369" s="1423" t="s">
        <v>39</v>
      </c>
      <c r="F369" s="1423">
        <v>1</v>
      </c>
      <c r="G369" s="1423"/>
      <c r="H369" s="1423" t="s">
        <v>25</v>
      </c>
      <c r="I369" s="59" t="s">
        <v>848</v>
      </c>
      <c r="J369" s="47" t="s">
        <v>810</v>
      </c>
      <c r="K369" s="1562">
        <v>1</v>
      </c>
      <c r="L369" s="50">
        <v>215000000</v>
      </c>
      <c r="M369" s="1553">
        <v>0</v>
      </c>
      <c r="N369" s="939">
        <v>0</v>
      </c>
      <c r="O369" s="1582"/>
      <c r="P369" s="63"/>
      <c r="Q369" s="1584"/>
      <c r="R369" s="63"/>
      <c r="S369" s="65"/>
      <c r="T369" s="50"/>
      <c r="U369" s="65"/>
      <c r="V369" s="50"/>
      <c r="W369" s="65"/>
      <c r="X369" s="50"/>
      <c r="Y369" s="1553">
        <f t="shared" si="102"/>
        <v>0</v>
      </c>
      <c r="Z369" s="51">
        <f t="shared" si="103"/>
        <v>0</v>
      </c>
      <c r="AA369" s="1553">
        <f t="shared" si="104"/>
        <v>0</v>
      </c>
      <c r="AB369" s="51">
        <f t="shared" si="105"/>
        <v>0</v>
      </c>
      <c r="AC369" s="1522">
        <f t="shared" si="100"/>
        <v>0</v>
      </c>
      <c r="AD369" s="1522">
        <f t="shared" si="101"/>
        <v>0</v>
      </c>
      <c r="AE369" s="61"/>
      <c r="AF369" s="201"/>
      <c r="AG369" s="750"/>
      <c r="AH369" s="750"/>
      <c r="AI369" s="750"/>
      <c r="AJ369" s="750"/>
      <c r="AK369" s="750"/>
      <c r="AL369" s="750"/>
      <c r="AM369" s="750"/>
      <c r="AN369" s="750"/>
      <c r="AO369" s="750"/>
      <c r="AP369" s="750"/>
      <c r="AQ369" s="750"/>
      <c r="AR369" s="750"/>
      <c r="AS369" s="750"/>
      <c r="AT369" s="750"/>
      <c r="AU369" s="750"/>
      <c r="AV369" s="750"/>
      <c r="AW369" s="750"/>
      <c r="AX369" s="750"/>
      <c r="AY369" s="750"/>
      <c r="AZ369" s="750"/>
      <c r="BA369" s="750"/>
      <c r="BB369" s="750"/>
      <c r="BC369" s="1547"/>
      <c r="BD369" s="1548"/>
      <c r="BE369" s="1548"/>
      <c r="BF369" s="1548"/>
      <c r="BG369" s="1548"/>
      <c r="BH369" s="1548"/>
      <c r="BI369" s="1548"/>
      <c r="BJ369" s="1548"/>
      <c r="BK369" s="1548"/>
      <c r="BL369" s="1548"/>
      <c r="BM369" s="1548"/>
      <c r="BN369" s="1548"/>
      <c r="BO369" s="1548"/>
      <c r="BP369" s="1548"/>
      <c r="BQ369" s="1548"/>
      <c r="BR369" s="1548"/>
    </row>
    <row r="370" spans="1:70" s="938" customFormat="1" ht="99">
      <c r="A370" s="61"/>
      <c r="B370" s="52"/>
      <c r="C370" s="1422">
        <v>1</v>
      </c>
      <c r="D370" s="1423" t="s">
        <v>25</v>
      </c>
      <c r="E370" s="1423" t="s">
        <v>39</v>
      </c>
      <c r="F370" s="1423">
        <v>1</v>
      </c>
      <c r="G370" s="1423"/>
      <c r="H370" s="1423" t="s">
        <v>25</v>
      </c>
      <c r="I370" s="59" t="s">
        <v>849</v>
      </c>
      <c r="J370" s="47" t="s">
        <v>806</v>
      </c>
      <c r="K370" s="1562">
        <v>1</v>
      </c>
      <c r="L370" s="50">
        <v>200000000</v>
      </c>
      <c r="M370" s="1553">
        <v>0</v>
      </c>
      <c r="N370" s="939">
        <v>6396000</v>
      </c>
      <c r="O370" s="1582"/>
      <c r="P370" s="63"/>
      <c r="Q370" s="1584"/>
      <c r="R370" s="63"/>
      <c r="S370" s="65"/>
      <c r="T370" s="50"/>
      <c r="U370" s="65"/>
      <c r="V370" s="50"/>
      <c r="W370" s="65"/>
      <c r="X370" s="50"/>
      <c r="Y370" s="1553">
        <f t="shared" si="102"/>
        <v>0</v>
      </c>
      <c r="Z370" s="51">
        <f t="shared" si="103"/>
        <v>0</v>
      </c>
      <c r="AA370" s="1553">
        <f t="shared" si="104"/>
        <v>0</v>
      </c>
      <c r="AB370" s="51">
        <f t="shared" si="105"/>
        <v>6396000</v>
      </c>
      <c r="AC370" s="1522">
        <f t="shared" si="100"/>
        <v>0</v>
      </c>
      <c r="AD370" s="1522">
        <f t="shared" si="101"/>
        <v>3.198</v>
      </c>
      <c r="AE370" s="61"/>
      <c r="AF370" s="201"/>
      <c r="AG370" s="750"/>
      <c r="AH370" s="750"/>
      <c r="AI370" s="750"/>
      <c r="AJ370" s="750"/>
      <c r="AK370" s="750"/>
      <c r="AL370" s="750"/>
      <c r="AM370" s="750"/>
      <c r="AN370" s="750"/>
      <c r="AO370" s="750"/>
      <c r="AP370" s="750"/>
      <c r="AQ370" s="750"/>
      <c r="AR370" s="750"/>
      <c r="AS370" s="750"/>
      <c r="AT370" s="750"/>
      <c r="AU370" s="750"/>
      <c r="AV370" s="750"/>
      <c r="AW370" s="750"/>
      <c r="AX370" s="750"/>
      <c r="AY370" s="750"/>
      <c r="AZ370" s="750"/>
      <c r="BA370" s="750"/>
      <c r="BB370" s="750"/>
      <c r="BC370" s="1547"/>
      <c r="BD370" s="1548"/>
      <c r="BE370" s="1548"/>
      <c r="BF370" s="1548"/>
      <c r="BG370" s="1548"/>
      <c r="BH370" s="1548"/>
      <c r="BI370" s="1548"/>
      <c r="BJ370" s="1548"/>
      <c r="BK370" s="1548"/>
      <c r="BL370" s="1548"/>
      <c r="BM370" s="1548"/>
      <c r="BN370" s="1548"/>
      <c r="BO370" s="1548"/>
      <c r="BP370" s="1548"/>
      <c r="BQ370" s="1548"/>
      <c r="BR370" s="1548"/>
    </row>
    <row r="371" spans="1:70" s="938" customFormat="1" ht="115.5">
      <c r="A371" s="61"/>
      <c r="B371" s="52"/>
      <c r="C371" s="1422">
        <v>1</v>
      </c>
      <c r="D371" s="1423" t="s">
        <v>25</v>
      </c>
      <c r="E371" s="1423" t="s">
        <v>39</v>
      </c>
      <c r="F371" s="1423">
        <v>1</v>
      </c>
      <c r="G371" s="1423"/>
      <c r="H371" s="1423" t="s">
        <v>25</v>
      </c>
      <c r="I371" s="59" t="s">
        <v>850</v>
      </c>
      <c r="J371" s="47" t="s">
        <v>806</v>
      </c>
      <c r="K371" s="1562">
        <v>1</v>
      </c>
      <c r="L371" s="50">
        <v>180000000</v>
      </c>
      <c r="M371" s="1553">
        <v>0</v>
      </c>
      <c r="N371" s="939">
        <v>7511400</v>
      </c>
      <c r="O371" s="1582"/>
      <c r="P371" s="63"/>
      <c r="Q371" s="1584"/>
      <c r="R371" s="63"/>
      <c r="S371" s="65"/>
      <c r="T371" s="50"/>
      <c r="U371" s="65"/>
      <c r="V371" s="50"/>
      <c r="W371" s="65"/>
      <c r="X371" s="50"/>
      <c r="Y371" s="1553">
        <f t="shared" si="102"/>
        <v>0</v>
      </c>
      <c r="Z371" s="51">
        <f t="shared" si="103"/>
        <v>0</v>
      </c>
      <c r="AA371" s="1553">
        <f t="shared" si="104"/>
        <v>0</v>
      </c>
      <c r="AB371" s="51">
        <f t="shared" si="105"/>
        <v>7511400</v>
      </c>
      <c r="AC371" s="1522">
        <f t="shared" si="100"/>
        <v>0</v>
      </c>
      <c r="AD371" s="1522">
        <f t="shared" si="101"/>
        <v>4.173</v>
      </c>
      <c r="AE371" s="61"/>
      <c r="AF371" s="201"/>
      <c r="AG371" s="750"/>
      <c r="AH371" s="750"/>
      <c r="AI371" s="750"/>
      <c r="AJ371" s="750"/>
      <c r="AK371" s="750"/>
      <c r="AL371" s="750"/>
      <c r="AM371" s="750"/>
      <c r="AN371" s="750"/>
      <c r="AO371" s="750"/>
      <c r="AP371" s="750"/>
      <c r="AQ371" s="750"/>
      <c r="AR371" s="750"/>
      <c r="AS371" s="750"/>
      <c r="AT371" s="750"/>
      <c r="AU371" s="750"/>
      <c r="AV371" s="750"/>
      <c r="AW371" s="750"/>
      <c r="AX371" s="750"/>
      <c r="AY371" s="750"/>
      <c r="AZ371" s="750"/>
      <c r="BA371" s="750"/>
      <c r="BB371" s="750"/>
      <c r="BC371" s="1547"/>
      <c r="BD371" s="1548"/>
      <c r="BE371" s="1548"/>
      <c r="BF371" s="1548"/>
      <c r="BG371" s="1548"/>
      <c r="BH371" s="1548"/>
      <c r="BI371" s="1548"/>
      <c r="BJ371" s="1548"/>
      <c r="BK371" s="1548"/>
      <c r="BL371" s="1548"/>
      <c r="BM371" s="1548"/>
      <c r="BN371" s="1548"/>
      <c r="BO371" s="1548"/>
      <c r="BP371" s="1548"/>
      <c r="BQ371" s="1548"/>
      <c r="BR371" s="1548"/>
    </row>
    <row r="372" spans="1:70" s="938" customFormat="1" ht="115.5">
      <c r="A372" s="61"/>
      <c r="B372" s="52"/>
      <c r="C372" s="1422">
        <v>1</v>
      </c>
      <c r="D372" s="1423" t="s">
        <v>25</v>
      </c>
      <c r="E372" s="1423" t="s">
        <v>39</v>
      </c>
      <c r="F372" s="1423">
        <v>1</v>
      </c>
      <c r="G372" s="1423"/>
      <c r="H372" s="1423" t="s">
        <v>25</v>
      </c>
      <c r="I372" s="59" t="s">
        <v>851</v>
      </c>
      <c r="J372" s="47" t="s">
        <v>852</v>
      </c>
      <c r="K372" s="1562">
        <v>1</v>
      </c>
      <c r="L372" s="50">
        <v>200000000</v>
      </c>
      <c r="M372" s="1553">
        <v>0</v>
      </c>
      <c r="N372" s="939">
        <v>5000000</v>
      </c>
      <c r="O372" s="1582"/>
      <c r="P372" s="63"/>
      <c r="Q372" s="1584"/>
      <c r="R372" s="63"/>
      <c r="S372" s="65"/>
      <c r="T372" s="50"/>
      <c r="U372" s="65"/>
      <c r="V372" s="50"/>
      <c r="W372" s="65"/>
      <c r="X372" s="50"/>
      <c r="Y372" s="1553">
        <f t="shared" si="102"/>
        <v>0</v>
      </c>
      <c r="Z372" s="51">
        <f t="shared" si="103"/>
        <v>0</v>
      </c>
      <c r="AA372" s="1553">
        <f t="shared" si="104"/>
        <v>0</v>
      </c>
      <c r="AB372" s="51">
        <f t="shared" si="105"/>
        <v>5000000</v>
      </c>
      <c r="AC372" s="1522">
        <f t="shared" ref="AC372:AC393" si="106">AA372/K372*100</f>
        <v>0</v>
      </c>
      <c r="AD372" s="1522">
        <f t="shared" si="101"/>
        <v>2.5</v>
      </c>
      <c r="AE372" s="61"/>
      <c r="AF372" s="201"/>
      <c r="AG372" s="750"/>
      <c r="AH372" s="750"/>
      <c r="AI372" s="750"/>
      <c r="AJ372" s="750"/>
      <c r="AK372" s="750"/>
      <c r="AL372" s="750"/>
      <c r="AM372" s="750"/>
      <c r="AN372" s="750"/>
      <c r="AO372" s="750"/>
      <c r="AP372" s="750"/>
      <c r="AQ372" s="750"/>
      <c r="AR372" s="750"/>
      <c r="AS372" s="750"/>
      <c r="AT372" s="750"/>
      <c r="AU372" s="750"/>
      <c r="AV372" s="750"/>
      <c r="AW372" s="750"/>
      <c r="AX372" s="750"/>
      <c r="AY372" s="750"/>
      <c r="AZ372" s="750"/>
      <c r="BA372" s="750"/>
      <c r="BB372" s="750"/>
      <c r="BC372" s="1547"/>
      <c r="BD372" s="1548"/>
      <c r="BE372" s="1548"/>
      <c r="BF372" s="1548"/>
      <c r="BG372" s="1548"/>
      <c r="BH372" s="1548"/>
      <c r="BI372" s="1548"/>
      <c r="BJ372" s="1548"/>
      <c r="BK372" s="1548"/>
      <c r="BL372" s="1548"/>
      <c r="BM372" s="1548"/>
      <c r="BN372" s="1548"/>
      <c r="BO372" s="1548"/>
      <c r="BP372" s="1548"/>
      <c r="BQ372" s="1548"/>
      <c r="BR372" s="1548"/>
    </row>
    <row r="373" spans="1:70" s="938" customFormat="1" ht="132">
      <c r="A373" s="61"/>
      <c r="B373" s="52"/>
      <c r="C373" s="1422">
        <v>1</v>
      </c>
      <c r="D373" s="1423" t="s">
        <v>25</v>
      </c>
      <c r="E373" s="1423" t="s">
        <v>39</v>
      </c>
      <c r="F373" s="1423">
        <v>1</v>
      </c>
      <c r="G373" s="1423"/>
      <c r="H373" s="1423" t="s">
        <v>25</v>
      </c>
      <c r="I373" s="59" t="s">
        <v>853</v>
      </c>
      <c r="J373" s="47" t="s">
        <v>806</v>
      </c>
      <c r="K373" s="1562">
        <v>1</v>
      </c>
      <c r="L373" s="50">
        <v>150000000</v>
      </c>
      <c r="M373" s="1553">
        <v>0</v>
      </c>
      <c r="N373" s="939">
        <v>4920700</v>
      </c>
      <c r="O373" s="1582"/>
      <c r="P373" s="63"/>
      <c r="Q373" s="1584"/>
      <c r="R373" s="63"/>
      <c r="S373" s="65"/>
      <c r="T373" s="50"/>
      <c r="U373" s="65"/>
      <c r="V373" s="50"/>
      <c r="W373" s="65"/>
      <c r="X373" s="50"/>
      <c r="Y373" s="1553">
        <f t="shared" si="102"/>
        <v>0</v>
      </c>
      <c r="Z373" s="51">
        <f t="shared" si="103"/>
        <v>0</v>
      </c>
      <c r="AA373" s="1553">
        <f t="shared" si="104"/>
        <v>0</v>
      </c>
      <c r="AB373" s="51">
        <f t="shared" si="105"/>
        <v>4920700</v>
      </c>
      <c r="AC373" s="1522">
        <f t="shared" si="106"/>
        <v>0</v>
      </c>
      <c r="AD373" s="1522">
        <f t="shared" ref="AD373:AD393" si="107">AB373/L373*100</f>
        <v>3.2804666666666669</v>
      </c>
      <c r="AE373" s="61"/>
      <c r="AF373" s="201"/>
      <c r="AG373" s="750"/>
      <c r="AH373" s="750"/>
      <c r="AI373" s="750"/>
      <c r="AJ373" s="750"/>
      <c r="AK373" s="750"/>
      <c r="AL373" s="750"/>
      <c r="AM373" s="750"/>
      <c r="AN373" s="750"/>
      <c r="AO373" s="750"/>
      <c r="AP373" s="750"/>
      <c r="AQ373" s="750"/>
      <c r="AR373" s="750"/>
      <c r="AS373" s="750"/>
      <c r="AT373" s="750"/>
      <c r="AU373" s="750"/>
      <c r="AV373" s="750"/>
      <c r="AW373" s="750"/>
      <c r="AX373" s="750"/>
      <c r="AY373" s="750"/>
      <c r="AZ373" s="750"/>
      <c r="BA373" s="750"/>
      <c r="BB373" s="750"/>
      <c r="BC373" s="1547"/>
      <c r="BD373" s="1548"/>
      <c r="BE373" s="1548"/>
      <c r="BF373" s="1548"/>
      <c r="BG373" s="1548"/>
      <c r="BH373" s="1548"/>
      <c r="BI373" s="1548"/>
      <c r="BJ373" s="1548"/>
      <c r="BK373" s="1548"/>
      <c r="BL373" s="1548"/>
      <c r="BM373" s="1548"/>
      <c r="BN373" s="1548"/>
      <c r="BO373" s="1548"/>
      <c r="BP373" s="1548"/>
      <c r="BQ373" s="1548"/>
      <c r="BR373" s="1548"/>
    </row>
    <row r="374" spans="1:70" s="938" customFormat="1" ht="115.5">
      <c r="A374" s="61"/>
      <c r="B374" s="52"/>
      <c r="C374" s="1422">
        <v>1</v>
      </c>
      <c r="D374" s="1423" t="s">
        <v>25</v>
      </c>
      <c r="E374" s="1423" t="s">
        <v>39</v>
      </c>
      <c r="F374" s="1423">
        <v>1</v>
      </c>
      <c r="G374" s="1423"/>
      <c r="H374" s="1423" t="s">
        <v>25</v>
      </c>
      <c r="I374" s="59" t="s">
        <v>854</v>
      </c>
      <c r="J374" s="47" t="s">
        <v>806</v>
      </c>
      <c r="K374" s="1562">
        <v>1</v>
      </c>
      <c r="L374" s="50">
        <v>175000000</v>
      </c>
      <c r="M374" s="1553">
        <v>0</v>
      </c>
      <c r="N374" s="939">
        <v>5036700</v>
      </c>
      <c r="O374" s="1582"/>
      <c r="P374" s="63"/>
      <c r="Q374" s="1584"/>
      <c r="R374" s="63"/>
      <c r="S374" s="65"/>
      <c r="T374" s="50"/>
      <c r="U374" s="65"/>
      <c r="V374" s="50"/>
      <c r="W374" s="65"/>
      <c r="X374" s="50"/>
      <c r="Y374" s="1553">
        <f t="shared" si="102"/>
        <v>0</v>
      </c>
      <c r="Z374" s="51">
        <f t="shared" si="103"/>
        <v>0</v>
      </c>
      <c r="AA374" s="1553">
        <f t="shared" si="104"/>
        <v>0</v>
      </c>
      <c r="AB374" s="51">
        <f t="shared" si="105"/>
        <v>5036700</v>
      </c>
      <c r="AC374" s="1522">
        <f t="shared" si="106"/>
        <v>0</v>
      </c>
      <c r="AD374" s="1522">
        <f t="shared" si="107"/>
        <v>2.8781142857142856</v>
      </c>
      <c r="AE374" s="61"/>
      <c r="AF374" s="201"/>
      <c r="AG374" s="750"/>
      <c r="AH374" s="750"/>
      <c r="AI374" s="750"/>
      <c r="AJ374" s="750"/>
      <c r="AK374" s="750"/>
      <c r="AL374" s="750"/>
      <c r="AM374" s="750"/>
      <c r="AN374" s="750"/>
      <c r="AO374" s="750"/>
      <c r="AP374" s="750"/>
      <c r="AQ374" s="750"/>
      <c r="AR374" s="750"/>
      <c r="AS374" s="750"/>
      <c r="AT374" s="750"/>
      <c r="AU374" s="750"/>
      <c r="AV374" s="750"/>
      <c r="AW374" s="750"/>
      <c r="AX374" s="750"/>
      <c r="AY374" s="750"/>
      <c r="AZ374" s="750"/>
      <c r="BA374" s="750"/>
      <c r="BB374" s="750"/>
      <c r="BC374" s="1547"/>
      <c r="BD374" s="1548"/>
      <c r="BE374" s="1548"/>
      <c r="BF374" s="1548"/>
      <c r="BG374" s="1548"/>
      <c r="BH374" s="1548"/>
      <c r="BI374" s="1548"/>
      <c r="BJ374" s="1548"/>
      <c r="BK374" s="1548"/>
      <c r="BL374" s="1548"/>
      <c r="BM374" s="1548"/>
      <c r="BN374" s="1548"/>
      <c r="BO374" s="1548"/>
      <c r="BP374" s="1548"/>
      <c r="BQ374" s="1548"/>
      <c r="BR374" s="1548"/>
    </row>
    <row r="375" spans="1:70" s="938" customFormat="1" ht="115.5">
      <c r="A375" s="61"/>
      <c r="B375" s="52"/>
      <c r="C375" s="1422">
        <v>1</v>
      </c>
      <c r="D375" s="1423" t="s">
        <v>25</v>
      </c>
      <c r="E375" s="1423" t="s">
        <v>39</v>
      </c>
      <c r="F375" s="1423">
        <v>1</v>
      </c>
      <c r="G375" s="1423"/>
      <c r="H375" s="1423" t="s">
        <v>25</v>
      </c>
      <c r="I375" s="59" t="s">
        <v>855</v>
      </c>
      <c r="J375" s="47" t="s">
        <v>806</v>
      </c>
      <c r="K375" s="1562">
        <v>1</v>
      </c>
      <c r="L375" s="50">
        <v>185000000</v>
      </c>
      <c r="M375" s="1553">
        <v>0</v>
      </c>
      <c r="N375" s="939">
        <v>5530700</v>
      </c>
      <c r="O375" s="1582"/>
      <c r="P375" s="63"/>
      <c r="Q375" s="1553"/>
      <c r="R375" s="63"/>
      <c r="S375" s="65"/>
      <c r="T375" s="50"/>
      <c r="U375" s="65"/>
      <c r="V375" s="50"/>
      <c r="W375" s="65"/>
      <c r="X375" s="50"/>
      <c r="Y375" s="1553">
        <f t="shared" si="102"/>
        <v>0</v>
      </c>
      <c r="Z375" s="51">
        <f t="shared" si="103"/>
        <v>0</v>
      </c>
      <c r="AA375" s="1553">
        <f t="shared" si="104"/>
        <v>0</v>
      </c>
      <c r="AB375" s="51">
        <f t="shared" si="105"/>
        <v>5530700</v>
      </c>
      <c r="AC375" s="1522">
        <f t="shared" si="106"/>
        <v>0</v>
      </c>
      <c r="AD375" s="1522">
        <f t="shared" si="107"/>
        <v>2.9895675675675677</v>
      </c>
      <c r="AE375" s="61"/>
      <c r="AF375" s="201"/>
      <c r="AG375" s="750"/>
      <c r="AH375" s="750"/>
      <c r="AI375" s="750"/>
      <c r="AJ375" s="750"/>
      <c r="AK375" s="750"/>
      <c r="AL375" s="750"/>
      <c r="AM375" s="750"/>
      <c r="AN375" s="750"/>
      <c r="AO375" s="750"/>
      <c r="AP375" s="750"/>
      <c r="AQ375" s="750"/>
      <c r="AR375" s="750"/>
      <c r="AS375" s="750"/>
      <c r="AT375" s="750"/>
      <c r="AU375" s="750"/>
      <c r="AV375" s="750"/>
      <c r="AW375" s="750"/>
      <c r="AX375" s="750"/>
      <c r="AY375" s="750"/>
      <c r="AZ375" s="750"/>
      <c r="BA375" s="750"/>
      <c r="BB375" s="750"/>
      <c r="BC375" s="1547"/>
      <c r="BD375" s="1548"/>
      <c r="BE375" s="1548"/>
      <c r="BF375" s="1548"/>
      <c r="BG375" s="1548"/>
      <c r="BH375" s="1548"/>
      <c r="BI375" s="1548"/>
      <c r="BJ375" s="1548"/>
      <c r="BK375" s="1548"/>
      <c r="BL375" s="1548"/>
      <c r="BM375" s="1548"/>
      <c r="BN375" s="1548"/>
      <c r="BO375" s="1548"/>
      <c r="BP375" s="1548"/>
      <c r="BQ375" s="1548"/>
      <c r="BR375" s="1548"/>
    </row>
    <row r="376" spans="1:70" s="938" customFormat="1" ht="132">
      <c r="A376" s="61"/>
      <c r="B376" s="52"/>
      <c r="C376" s="1422">
        <v>1</v>
      </c>
      <c r="D376" s="1423" t="s">
        <v>25</v>
      </c>
      <c r="E376" s="1423" t="s">
        <v>39</v>
      </c>
      <c r="F376" s="1423">
        <v>1</v>
      </c>
      <c r="G376" s="1423"/>
      <c r="H376" s="1423" t="s">
        <v>25</v>
      </c>
      <c r="I376" s="59" t="s">
        <v>856</v>
      </c>
      <c r="J376" s="47" t="s">
        <v>852</v>
      </c>
      <c r="K376" s="1562">
        <v>1</v>
      </c>
      <c r="L376" s="50">
        <v>200000000</v>
      </c>
      <c r="M376" s="1553">
        <v>0</v>
      </c>
      <c r="N376" s="939">
        <v>6450000</v>
      </c>
      <c r="O376" s="1582"/>
      <c r="P376" s="63"/>
      <c r="Q376" s="1584"/>
      <c r="R376" s="63"/>
      <c r="S376" s="65"/>
      <c r="T376" s="50"/>
      <c r="U376" s="65"/>
      <c r="V376" s="50"/>
      <c r="W376" s="65"/>
      <c r="X376" s="50"/>
      <c r="Y376" s="1553">
        <f t="shared" si="102"/>
        <v>0</v>
      </c>
      <c r="Z376" s="51">
        <f t="shared" si="103"/>
        <v>0</v>
      </c>
      <c r="AA376" s="1553">
        <f t="shared" si="104"/>
        <v>0</v>
      </c>
      <c r="AB376" s="51">
        <f t="shared" si="105"/>
        <v>6450000</v>
      </c>
      <c r="AC376" s="1522">
        <f t="shared" si="106"/>
        <v>0</v>
      </c>
      <c r="AD376" s="1522">
        <f t="shared" si="107"/>
        <v>3.2250000000000001</v>
      </c>
      <c r="AE376" s="61"/>
      <c r="AF376" s="201"/>
      <c r="AG376" s="750"/>
      <c r="AH376" s="750"/>
      <c r="AI376" s="750"/>
      <c r="AJ376" s="750"/>
      <c r="AK376" s="750"/>
      <c r="AL376" s="750"/>
      <c r="AM376" s="750"/>
      <c r="AN376" s="750"/>
      <c r="AO376" s="750"/>
      <c r="AP376" s="750"/>
      <c r="AQ376" s="750"/>
      <c r="AR376" s="750"/>
      <c r="AS376" s="750"/>
      <c r="AT376" s="750"/>
      <c r="AU376" s="750"/>
      <c r="AV376" s="750"/>
      <c r="AW376" s="750"/>
      <c r="AX376" s="750"/>
      <c r="AY376" s="750"/>
      <c r="AZ376" s="750"/>
      <c r="BA376" s="750"/>
      <c r="BB376" s="750"/>
      <c r="BC376" s="1547"/>
      <c r="BD376" s="1548"/>
      <c r="BE376" s="1548"/>
      <c r="BF376" s="1548"/>
      <c r="BG376" s="1548"/>
      <c r="BH376" s="1548"/>
      <c r="BI376" s="1548"/>
      <c r="BJ376" s="1548"/>
      <c r="BK376" s="1548"/>
      <c r="BL376" s="1548"/>
      <c r="BM376" s="1548"/>
      <c r="BN376" s="1548"/>
      <c r="BO376" s="1548"/>
      <c r="BP376" s="1548"/>
      <c r="BQ376" s="1548"/>
      <c r="BR376" s="1548"/>
    </row>
    <row r="377" spans="1:70" s="938" customFormat="1" ht="115.5">
      <c r="A377" s="61"/>
      <c r="B377" s="52"/>
      <c r="C377" s="1422">
        <v>1</v>
      </c>
      <c r="D377" s="1423" t="s">
        <v>25</v>
      </c>
      <c r="E377" s="1423" t="s">
        <v>39</v>
      </c>
      <c r="F377" s="1423">
        <v>1</v>
      </c>
      <c r="G377" s="1423"/>
      <c r="H377" s="1423" t="s">
        <v>25</v>
      </c>
      <c r="I377" s="59" t="s">
        <v>857</v>
      </c>
      <c r="J377" s="47" t="s">
        <v>806</v>
      </c>
      <c r="K377" s="1562">
        <v>1</v>
      </c>
      <c r="L377" s="50">
        <v>200000000</v>
      </c>
      <c r="M377" s="1553">
        <v>0</v>
      </c>
      <c r="N377" s="939">
        <v>7141400</v>
      </c>
      <c r="O377" s="1582"/>
      <c r="P377" s="63"/>
      <c r="Q377" s="1584"/>
      <c r="R377" s="63"/>
      <c r="S377" s="65"/>
      <c r="T377" s="50"/>
      <c r="U377" s="65"/>
      <c r="V377" s="50"/>
      <c r="W377" s="65"/>
      <c r="X377" s="50"/>
      <c r="Y377" s="1553">
        <f t="shared" si="102"/>
        <v>0</v>
      </c>
      <c r="Z377" s="51">
        <f t="shared" si="103"/>
        <v>0</v>
      </c>
      <c r="AA377" s="1553">
        <f t="shared" si="104"/>
        <v>0</v>
      </c>
      <c r="AB377" s="51">
        <f t="shared" si="105"/>
        <v>7141400</v>
      </c>
      <c r="AC377" s="1522">
        <f t="shared" si="106"/>
        <v>0</v>
      </c>
      <c r="AD377" s="1522">
        <f t="shared" si="107"/>
        <v>3.5707000000000004</v>
      </c>
      <c r="AE377" s="61"/>
      <c r="AF377" s="201"/>
      <c r="AG377" s="750"/>
      <c r="AH377" s="750"/>
      <c r="AI377" s="750"/>
      <c r="AJ377" s="750"/>
      <c r="AK377" s="750"/>
      <c r="AL377" s="750"/>
      <c r="AM377" s="750"/>
      <c r="AN377" s="750"/>
      <c r="AO377" s="750"/>
      <c r="AP377" s="750"/>
      <c r="AQ377" s="750"/>
      <c r="AR377" s="750"/>
      <c r="AS377" s="750"/>
      <c r="AT377" s="750"/>
      <c r="AU377" s="750"/>
      <c r="AV377" s="750"/>
      <c r="AW377" s="750"/>
      <c r="AX377" s="750"/>
      <c r="AY377" s="750"/>
      <c r="AZ377" s="750"/>
      <c r="BA377" s="750"/>
      <c r="BB377" s="750"/>
      <c r="BC377" s="1547"/>
      <c r="BD377" s="1548"/>
      <c r="BE377" s="1548"/>
      <c r="BF377" s="1548"/>
      <c r="BG377" s="1548"/>
      <c r="BH377" s="1548"/>
      <c r="BI377" s="1548"/>
      <c r="BJ377" s="1548"/>
      <c r="BK377" s="1548"/>
      <c r="BL377" s="1548"/>
      <c r="BM377" s="1548"/>
      <c r="BN377" s="1548"/>
      <c r="BO377" s="1548"/>
      <c r="BP377" s="1548"/>
      <c r="BQ377" s="1548"/>
      <c r="BR377" s="1548"/>
    </row>
    <row r="378" spans="1:70" s="938" customFormat="1" ht="132">
      <c r="A378" s="61"/>
      <c r="B378" s="52"/>
      <c r="C378" s="1422">
        <v>1</v>
      </c>
      <c r="D378" s="1423" t="s">
        <v>25</v>
      </c>
      <c r="E378" s="1423" t="s">
        <v>39</v>
      </c>
      <c r="F378" s="1423">
        <v>1</v>
      </c>
      <c r="G378" s="1423"/>
      <c r="H378" s="1423" t="s">
        <v>25</v>
      </c>
      <c r="I378" s="59" t="s">
        <v>858</v>
      </c>
      <c r="J378" s="47" t="s">
        <v>806</v>
      </c>
      <c r="K378" s="1562">
        <v>1</v>
      </c>
      <c r="L378" s="50">
        <v>125000000</v>
      </c>
      <c r="M378" s="1553">
        <v>0</v>
      </c>
      <c r="N378" s="939">
        <v>5012700</v>
      </c>
      <c r="O378" s="1582"/>
      <c r="P378" s="63"/>
      <c r="Q378" s="1584"/>
      <c r="R378" s="63"/>
      <c r="S378" s="65"/>
      <c r="T378" s="50"/>
      <c r="U378" s="65"/>
      <c r="V378" s="50"/>
      <c r="W378" s="65"/>
      <c r="X378" s="50"/>
      <c r="Y378" s="1553">
        <f t="shared" si="102"/>
        <v>0</v>
      </c>
      <c r="Z378" s="51">
        <f t="shared" si="103"/>
        <v>0</v>
      </c>
      <c r="AA378" s="1553">
        <f t="shared" si="104"/>
        <v>0</v>
      </c>
      <c r="AB378" s="51">
        <f t="shared" si="105"/>
        <v>5012700</v>
      </c>
      <c r="AC378" s="1522">
        <f t="shared" si="106"/>
        <v>0</v>
      </c>
      <c r="AD378" s="1522">
        <f t="shared" si="107"/>
        <v>4.0101599999999999</v>
      </c>
      <c r="AE378" s="61"/>
      <c r="AF378" s="201"/>
      <c r="AG378" s="750"/>
      <c r="AH378" s="750"/>
      <c r="AI378" s="750"/>
      <c r="AJ378" s="750"/>
      <c r="AK378" s="750"/>
      <c r="AL378" s="750"/>
      <c r="AM378" s="750"/>
      <c r="AN378" s="750"/>
      <c r="AO378" s="750"/>
      <c r="AP378" s="750"/>
      <c r="AQ378" s="750"/>
      <c r="AR378" s="750"/>
      <c r="AS378" s="750"/>
      <c r="AT378" s="750"/>
      <c r="AU378" s="750"/>
      <c r="AV378" s="750"/>
      <c r="AW378" s="750"/>
      <c r="AX378" s="750"/>
      <c r="AY378" s="750"/>
      <c r="AZ378" s="750"/>
      <c r="BA378" s="750"/>
      <c r="BB378" s="750"/>
      <c r="BC378" s="1547"/>
      <c r="BD378" s="1548"/>
      <c r="BE378" s="1548"/>
      <c r="BF378" s="1548"/>
      <c r="BG378" s="1548"/>
      <c r="BH378" s="1548"/>
      <c r="BI378" s="1548"/>
      <c r="BJ378" s="1548"/>
      <c r="BK378" s="1548"/>
      <c r="BL378" s="1548"/>
      <c r="BM378" s="1548"/>
      <c r="BN378" s="1548"/>
      <c r="BO378" s="1548"/>
      <c r="BP378" s="1548"/>
      <c r="BQ378" s="1548"/>
      <c r="BR378" s="1548"/>
    </row>
    <row r="379" spans="1:70" s="938" customFormat="1" ht="181.5">
      <c r="A379" s="194">
        <v>13</v>
      </c>
      <c r="B379" s="186"/>
      <c r="C379" s="194">
        <v>1</v>
      </c>
      <c r="D379" s="1424" t="s">
        <v>25</v>
      </c>
      <c r="E379" s="1424" t="s">
        <v>39</v>
      </c>
      <c r="F379" s="1424">
        <v>1</v>
      </c>
      <c r="G379" s="1424"/>
      <c r="H379" s="1424" t="s">
        <v>25</v>
      </c>
      <c r="I379" s="193" t="s">
        <v>859</v>
      </c>
      <c r="J379" s="193" t="s">
        <v>2670</v>
      </c>
      <c r="K379" s="1556">
        <v>80</v>
      </c>
      <c r="L379" s="192">
        <f>SUM(L380:L382)</f>
        <v>1374033738</v>
      </c>
      <c r="M379" s="1568">
        <v>70</v>
      </c>
      <c r="N379" s="192">
        <f>SUM(N380:N382)</f>
        <v>843899600</v>
      </c>
      <c r="O379" s="1556">
        <v>5</v>
      </c>
      <c r="P379" s="192">
        <f>SUM(P380:P382)</f>
        <v>415678201</v>
      </c>
      <c r="Q379" s="1556">
        <v>0</v>
      </c>
      <c r="R379" s="192">
        <f>SUM(R380:R382)</f>
        <v>13070000</v>
      </c>
      <c r="S379" s="195"/>
      <c r="T379" s="192">
        <v>40142500</v>
      </c>
      <c r="U379" s="188"/>
      <c r="V379" s="192"/>
      <c r="W379" s="191"/>
      <c r="X379" s="192"/>
      <c r="Y379" s="1556">
        <f t="shared" si="102"/>
        <v>0</v>
      </c>
      <c r="Z379" s="190">
        <f t="shared" si="103"/>
        <v>53212500</v>
      </c>
      <c r="AA379" s="1556">
        <f t="shared" si="104"/>
        <v>70</v>
      </c>
      <c r="AB379" s="190">
        <f t="shared" si="105"/>
        <v>897112100</v>
      </c>
      <c r="AC379" s="1523">
        <f t="shared" si="106"/>
        <v>87.5</v>
      </c>
      <c r="AD379" s="1523">
        <f t="shared" si="107"/>
        <v>65.290398276959934</v>
      </c>
      <c r="AE379" s="194" t="s">
        <v>111</v>
      </c>
      <c r="AF379" s="201"/>
      <c r="AG379" s="750"/>
      <c r="AH379" s="750"/>
      <c r="AI379" s="750"/>
      <c r="AJ379" s="750"/>
      <c r="AK379" s="750"/>
      <c r="AL379" s="750"/>
      <c r="AM379" s="750"/>
      <c r="AN379" s="750"/>
      <c r="AO379" s="750"/>
      <c r="AP379" s="750"/>
      <c r="AQ379" s="750"/>
      <c r="AR379" s="750"/>
      <c r="AS379" s="750"/>
      <c r="AT379" s="750"/>
      <c r="AU379" s="750"/>
      <c r="AV379" s="750"/>
      <c r="AW379" s="750"/>
      <c r="AX379" s="750"/>
      <c r="AY379" s="750"/>
      <c r="AZ379" s="750"/>
      <c r="BA379" s="750"/>
      <c r="BB379" s="750"/>
      <c r="BC379" s="1547"/>
      <c r="BD379" s="1548"/>
      <c r="BE379" s="1548"/>
      <c r="BF379" s="1548"/>
      <c r="BG379" s="1548"/>
      <c r="BH379" s="1548"/>
      <c r="BI379" s="1548"/>
      <c r="BJ379" s="1548"/>
      <c r="BK379" s="1548"/>
      <c r="BL379" s="1548"/>
      <c r="BM379" s="1548"/>
      <c r="BN379" s="1548"/>
      <c r="BO379" s="1548"/>
      <c r="BP379" s="1548"/>
      <c r="BQ379" s="1548"/>
      <c r="BR379" s="1548"/>
    </row>
    <row r="380" spans="1:70" s="938" customFormat="1" ht="49.5">
      <c r="A380" s="61"/>
      <c r="B380" s="52"/>
      <c r="C380" s="76">
        <v>1</v>
      </c>
      <c r="D380" s="1427" t="s">
        <v>25</v>
      </c>
      <c r="E380" s="1427" t="s">
        <v>39</v>
      </c>
      <c r="F380" s="1427">
        <v>1</v>
      </c>
      <c r="G380" s="1427"/>
      <c r="H380" s="1427" t="s">
        <v>25</v>
      </c>
      <c r="I380" s="60" t="s">
        <v>860</v>
      </c>
      <c r="J380" s="47" t="s">
        <v>861</v>
      </c>
      <c r="K380" s="1553">
        <v>48</v>
      </c>
      <c r="L380" s="50">
        <v>520000000</v>
      </c>
      <c r="M380" s="1553">
        <v>24</v>
      </c>
      <c r="N380" s="74">
        <v>75573100</v>
      </c>
      <c r="O380" s="1553">
        <v>12</v>
      </c>
      <c r="P380" s="50">
        <v>387427712</v>
      </c>
      <c r="Q380" s="1553">
        <v>3</v>
      </c>
      <c r="R380" s="50">
        <v>12520000</v>
      </c>
      <c r="S380" s="62">
        <v>3</v>
      </c>
      <c r="T380" s="50">
        <v>26167500</v>
      </c>
      <c r="U380" s="62"/>
      <c r="V380" s="50"/>
      <c r="W380" s="75"/>
      <c r="X380" s="56"/>
      <c r="Y380" s="1553">
        <f t="shared" si="102"/>
        <v>6</v>
      </c>
      <c r="Z380" s="51">
        <f t="shared" si="103"/>
        <v>38687500</v>
      </c>
      <c r="AA380" s="1553">
        <f t="shared" si="104"/>
        <v>30</v>
      </c>
      <c r="AB380" s="51">
        <f t="shared" si="105"/>
        <v>114260600</v>
      </c>
      <c r="AC380" s="1522">
        <f t="shared" si="106"/>
        <v>62.5</v>
      </c>
      <c r="AD380" s="1522">
        <f t="shared" si="107"/>
        <v>21.973192307692308</v>
      </c>
      <c r="AE380" s="61"/>
      <c r="AF380" s="201"/>
      <c r="AG380" s="750"/>
      <c r="AH380" s="750"/>
      <c r="AI380" s="750"/>
      <c r="AJ380" s="750"/>
      <c r="AK380" s="750"/>
      <c r="AL380" s="750"/>
      <c r="AM380" s="750"/>
      <c r="AN380" s="750"/>
      <c r="AO380" s="750"/>
      <c r="AP380" s="750"/>
      <c r="AQ380" s="750"/>
      <c r="AR380" s="750"/>
      <c r="AS380" s="750"/>
      <c r="AT380" s="750"/>
      <c r="AU380" s="750"/>
      <c r="AV380" s="750"/>
      <c r="AW380" s="750"/>
      <c r="AX380" s="750"/>
      <c r="AY380" s="750"/>
      <c r="AZ380" s="750"/>
      <c r="BA380" s="750"/>
      <c r="BB380" s="750"/>
      <c r="BC380" s="1547"/>
      <c r="BD380" s="1548"/>
      <c r="BE380" s="1548"/>
      <c r="BF380" s="1548"/>
      <c r="BG380" s="1548"/>
      <c r="BH380" s="1548"/>
      <c r="BI380" s="1548"/>
      <c r="BJ380" s="1548"/>
      <c r="BK380" s="1548"/>
      <c r="BL380" s="1548"/>
      <c r="BM380" s="1548"/>
      <c r="BN380" s="1548"/>
      <c r="BO380" s="1548"/>
      <c r="BP380" s="1548"/>
      <c r="BQ380" s="1548"/>
      <c r="BR380" s="1548"/>
    </row>
    <row r="381" spans="1:70" s="938" customFormat="1" ht="66">
      <c r="A381" s="76"/>
      <c r="B381" s="49"/>
      <c r="C381" s="76">
        <v>1</v>
      </c>
      <c r="D381" s="1427" t="s">
        <v>25</v>
      </c>
      <c r="E381" s="1427" t="s">
        <v>39</v>
      </c>
      <c r="F381" s="1427">
        <v>1</v>
      </c>
      <c r="G381" s="1427"/>
      <c r="H381" s="1427" t="s">
        <v>25</v>
      </c>
      <c r="I381" s="60" t="s">
        <v>862</v>
      </c>
      <c r="J381" s="49" t="s">
        <v>863</v>
      </c>
      <c r="K381" s="1553">
        <v>36</v>
      </c>
      <c r="L381" s="50">
        <f>3*P381</f>
        <v>84751467</v>
      </c>
      <c r="M381" s="1553">
        <v>0</v>
      </c>
      <c r="N381" s="74">
        <v>0</v>
      </c>
      <c r="O381" s="1553">
        <v>12</v>
      </c>
      <c r="P381" s="50">
        <v>28250489</v>
      </c>
      <c r="Q381" s="1553">
        <v>3</v>
      </c>
      <c r="R381" s="50">
        <v>550000</v>
      </c>
      <c r="S381" s="62">
        <v>3</v>
      </c>
      <c r="T381" s="50">
        <v>13975000</v>
      </c>
      <c r="U381" s="62"/>
      <c r="V381" s="50"/>
      <c r="W381" s="77"/>
      <c r="X381" s="56"/>
      <c r="Y381" s="1553">
        <f t="shared" si="102"/>
        <v>6</v>
      </c>
      <c r="Z381" s="51">
        <f t="shared" si="103"/>
        <v>14525000</v>
      </c>
      <c r="AA381" s="1553">
        <f t="shared" si="104"/>
        <v>6</v>
      </c>
      <c r="AB381" s="51">
        <f t="shared" si="105"/>
        <v>14525000</v>
      </c>
      <c r="AC381" s="1522">
        <f t="shared" si="106"/>
        <v>16.666666666666664</v>
      </c>
      <c r="AD381" s="1522">
        <f t="shared" si="107"/>
        <v>17.138346407620293</v>
      </c>
      <c r="AE381" s="76"/>
      <c r="AF381" s="201"/>
      <c r="AG381" s="750"/>
      <c r="AH381" s="750"/>
      <c r="AI381" s="750"/>
      <c r="AJ381" s="750"/>
      <c r="AK381" s="750"/>
      <c r="AL381" s="750"/>
      <c r="AM381" s="750"/>
      <c r="AN381" s="750"/>
      <c r="AO381" s="750"/>
      <c r="AP381" s="750"/>
      <c r="AQ381" s="750"/>
      <c r="AR381" s="750"/>
      <c r="AS381" s="750"/>
      <c r="AT381" s="750"/>
      <c r="AU381" s="750"/>
      <c r="AV381" s="750"/>
      <c r="AW381" s="750"/>
      <c r="AX381" s="750"/>
      <c r="AY381" s="750"/>
      <c r="AZ381" s="750"/>
      <c r="BA381" s="750"/>
      <c r="BB381" s="750"/>
      <c r="BC381" s="1547"/>
      <c r="BD381" s="1548"/>
      <c r="BE381" s="1548"/>
      <c r="BF381" s="1548"/>
      <c r="BG381" s="1548"/>
      <c r="BH381" s="1548"/>
      <c r="BI381" s="1548"/>
      <c r="BJ381" s="1548"/>
      <c r="BK381" s="1548"/>
      <c r="BL381" s="1548"/>
      <c r="BM381" s="1548"/>
      <c r="BN381" s="1548"/>
      <c r="BO381" s="1548"/>
      <c r="BP381" s="1548"/>
      <c r="BQ381" s="1548"/>
      <c r="BR381" s="1548"/>
    </row>
    <row r="382" spans="1:70" s="938" customFormat="1" ht="49.5">
      <c r="A382" s="76"/>
      <c r="B382" s="49"/>
      <c r="C382" s="76">
        <v>1</v>
      </c>
      <c r="D382" s="1427" t="s">
        <v>25</v>
      </c>
      <c r="E382" s="1427" t="s">
        <v>39</v>
      </c>
      <c r="F382" s="1427">
        <v>1</v>
      </c>
      <c r="G382" s="1427"/>
      <c r="H382" s="1427" t="s">
        <v>25</v>
      </c>
      <c r="I382" s="60" t="s">
        <v>864</v>
      </c>
      <c r="J382" s="49" t="s">
        <v>2671</v>
      </c>
      <c r="K382" s="1563">
        <v>1</v>
      </c>
      <c r="L382" s="50">
        <v>769282271</v>
      </c>
      <c r="M382" s="1563">
        <v>1</v>
      </c>
      <c r="N382" s="74">
        <v>768326500</v>
      </c>
      <c r="O382" s="1541">
        <v>0</v>
      </c>
      <c r="P382" s="50">
        <v>0</v>
      </c>
      <c r="Q382" s="1541">
        <v>0</v>
      </c>
      <c r="R382" s="50">
        <v>0</v>
      </c>
      <c r="S382" s="65"/>
      <c r="T382" s="50">
        <v>0</v>
      </c>
      <c r="U382" s="77"/>
      <c r="V382" s="56"/>
      <c r="W382" s="77"/>
      <c r="X382" s="56"/>
      <c r="Y382" s="1553">
        <f t="shared" si="102"/>
        <v>0</v>
      </c>
      <c r="Z382" s="51">
        <f t="shared" si="103"/>
        <v>0</v>
      </c>
      <c r="AA382" s="1584">
        <f t="shared" si="104"/>
        <v>1</v>
      </c>
      <c r="AB382" s="57">
        <f t="shared" si="105"/>
        <v>768326500</v>
      </c>
      <c r="AC382" s="1525">
        <f t="shared" si="106"/>
        <v>100</v>
      </c>
      <c r="AD382" s="1525">
        <f t="shared" si="107"/>
        <v>99.875758088281742</v>
      </c>
      <c r="AE382" s="76"/>
      <c r="AF382" s="201"/>
      <c r="AG382" s="750"/>
      <c r="AH382" s="750"/>
      <c r="AI382" s="750"/>
      <c r="AJ382" s="750"/>
      <c r="AK382" s="750"/>
      <c r="AL382" s="750"/>
      <c r="AM382" s="750"/>
      <c r="AN382" s="750"/>
      <c r="AO382" s="750"/>
      <c r="AP382" s="750"/>
      <c r="AQ382" s="750"/>
      <c r="AR382" s="750"/>
      <c r="AS382" s="750"/>
      <c r="AT382" s="750"/>
      <c r="AU382" s="750"/>
      <c r="AV382" s="750"/>
      <c r="AW382" s="750"/>
      <c r="AX382" s="750"/>
      <c r="AY382" s="750"/>
      <c r="AZ382" s="750"/>
      <c r="BA382" s="750"/>
      <c r="BB382" s="750"/>
      <c r="BC382" s="1547"/>
      <c r="BD382" s="1548"/>
      <c r="BE382" s="1548"/>
      <c r="BF382" s="1548"/>
      <c r="BG382" s="1548"/>
      <c r="BH382" s="1548"/>
      <c r="BI382" s="1548"/>
      <c r="BJ382" s="1548"/>
      <c r="BK382" s="1548"/>
      <c r="BL382" s="1548"/>
      <c r="BM382" s="1548"/>
      <c r="BN382" s="1548"/>
      <c r="BO382" s="1548"/>
      <c r="BP382" s="1548"/>
      <c r="BQ382" s="1548"/>
      <c r="BR382" s="1548"/>
    </row>
    <row r="383" spans="1:70" s="938" customFormat="1" ht="66">
      <c r="A383" s="194">
        <v>14</v>
      </c>
      <c r="B383" s="186"/>
      <c r="C383" s="194">
        <v>1</v>
      </c>
      <c r="D383" s="1424" t="s">
        <v>25</v>
      </c>
      <c r="E383" s="1424" t="s">
        <v>78</v>
      </c>
      <c r="F383" s="1424">
        <v>1</v>
      </c>
      <c r="G383" s="1424"/>
      <c r="H383" s="1424" t="s">
        <v>25</v>
      </c>
      <c r="I383" s="1549" t="s">
        <v>865</v>
      </c>
      <c r="J383" s="1549" t="s">
        <v>866</v>
      </c>
      <c r="K383" s="1564">
        <v>100</v>
      </c>
      <c r="L383" s="192">
        <f>L384</f>
        <v>149931500</v>
      </c>
      <c r="M383" s="1564"/>
      <c r="N383" s="192">
        <f>N384</f>
        <v>26715145</v>
      </c>
      <c r="O383" s="1556">
        <v>10</v>
      </c>
      <c r="P383" s="192">
        <f>P384</f>
        <v>18885875</v>
      </c>
      <c r="Q383" s="1589">
        <v>0</v>
      </c>
      <c r="R383" s="192">
        <f>R384</f>
        <v>4366728</v>
      </c>
      <c r="S383" s="191"/>
      <c r="T383" s="192">
        <v>4796728</v>
      </c>
      <c r="U383" s="191"/>
      <c r="V383" s="192"/>
      <c r="W383" s="191"/>
      <c r="X383" s="192"/>
      <c r="Y383" s="1556">
        <f t="shared" si="102"/>
        <v>0</v>
      </c>
      <c r="Z383" s="190">
        <f t="shared" si="103"/>
        <v>9163456</v>
      </c>
      <c r="AA383" s="1556">
        <f t="shared" si="104"/>
        <v>0</v>
      </c>
      <c r="AB383" s="190">
        <f t="shared" si="105"/>
        <v>35878601</v>
      </c>
      <c r="AC383" s="1523">
        <f t="shared" si="106"/>
        <v>0</v>
      </c>
      <c r="AD383" s="1523">
        <f t="shared" si="107"/>
        <v>23.929995364549811</v>
      </c>
      <c r="AE383" s="194" t="s">
        <v>111</v>
      </c>
      <c r="AF383" s="201"/>
      <c r="AG383" s="750"/>
      <c r="AH383" s="750"/>
      <c r="AI383" s="750"/>
      <c r="AJ383" s="750"/>
      <c r="AK383" s="750"/>
      <c r="AL383" s="750"/>
      <c r="AM383" s="750"/>
      <c r="AN383" s="750"/>
      <c r="AO383" s="750"/>
      <c r="AP383" s="750"/>
      <c r="AQ383" s="750"/>
      <c r="AR383" s="750"/>
      <c r="AS383" s="750"/>
      <c r="AT383" s="750"/>
      <c r="AU383" s="750"/>
      <c r="AV383" s="750"/>
      <c r="AW383" s="750"/>
      <c r="AX383" s="750"/>
      <c r="AY383" s="750"/>
      <c r="AZ383" s="750"/>
      <c r="BA383" s="750"/>
      <c r="BB383" s="750"/>
      <c r="BC383" s="1547"/>
      <c r="BD383" s="1548"/>
      <c r="BE383" s="1548"/>
      <c r="BF383" s="1548"/>
      <c r="BG383" s="1548"/>
      <c r="BH383" s="1548"/>
      <c r="BI383" s="1548"/>
      <c r="BJ383" s="1548"/>
      <c r="BK383" s="1548"/>
      <c r="BL383" s="1548"/>
      <c r="BM383" s="1548"/>
      <c r="BN383" s="1548"/>
      <c r="BO383" s="1548"/>
      <c r="BP383" s="1548"/>
      <c r="BQ383" s="1548"/>
      <c r="BR383" s="1548"/>
    </row>
    <row r="384" spans="1:70" s="938" customFormat="1" ht="66">
      <c r="A384" s="79"/>
      <c r="B384" s="47"/>
      <c r="C384" s="76">
        <v>1</v>
      </c>
      <c r="D384" s="1427" t="s">
        <v>25</v>
      </c>
      <c r="E384" s="1427" t="s">
        <v>78</v>
      </c>
      <c r="F384" s="1427">
        <v>1</v>
      </c>
      <c r="G384" s="1427"/>
      <c r="H384" s="1427" t="s">
        <v>25</v>
      </c>
      <c r="I384" s="60" t="s">
        <v>867</v>
      </c>
      <c r="J384" s="60" t="s">
        <v>868</v>
      </c>
      <c r="K384" s="1565">
        <v>72</v>
      </c>
      <c r="L384" s="50">
        <v>149931500</v>
      </c>
      <c r="M384" s="1565">
        <v>36</v>
      </c>
      <c r="N384" s="50">
        <v>26715145</v>
      </c>
      <c r="O384" s="1553">
        <v>12</v>
      </c>
      <c r="P384" s="50">
        <v>18885875</v>
      </c>
      <c r="Q384" s="1553">
        <v>3</v>
      </c>
      <c r="R384" s="50">
        <v>4366728</v>
      </c>
      <c r="S384" s="62">
        <v>3</v>
      </c>
      <c r="T384" s="50">
        <v>4796728</v>
      </c>
      <c r="U384" s="62"/>
      <c r="V384" s="50"/>
      <c r="W384" s="65"/>
      <c r="X384" s="50"/>
      <c r="Y384" s="1553">
        <f t="shared" si="102"/>
        <v>6</v>
      </c>
      <c r="Z384" s="51">
        <f t="shared" si="103"/>
        <v>9163456</v>
      </c>
      <c r="AA384" s="1553">
        <f t="shared" si="104"/>
        <v>42</v>
      </c>
      <c r="AB384" s="51">
        <f t="shared" si="105"/>
        <v>35878601</v>
      </c>
      <c r="AC384" s="1522">
        <f t="shared" si="106"/>
        <v>58.333333333333336</v>
      </c>
      <c r="AD384" s="1522">
        <f t="shared" si="107"/>
        <v>23.929995364549811</v>
      </c>
      <c r="AE384" s="79"/>
      <c r="AF384" s="201"/>
      <c r="AG384" s="750"/>
      <c r="AH384" s="750"/>
      <c r="AI384" s="750"/>
      <c r="AJ384" s="750"/>
      <c r="AK384" s="750"/>
      <c r="AL384" s="750"/>
      <c r="AM384" s="750"/>
      <c r="AN384" s="750"/>
      <c r="AO384" s="750"/>
      <c r="AP384" s="750"/>
      <c r="AQ384" s="750"/>
      <c r="AR384" s="750"/>
      <c r="AS384" s="750"/>
      <c r="AT384" s="750"/>
      <c r="AU384" s="750"/>
      <c r="AV384" s="750"/>
      <c r="AW384" s="750"/>
      <c r="AX384" s="750"/>
      <c r="AY384" s="750"/>
      <c r="AZ384" s="750"/>
      <c r="BA384" s="750"/>
      <c r="BB384" s="750"/>
      <c r="BC384" s="1547"/>
      <c r="BD384" s="1548"/>
      <c r="BE384" s="1548"/>
      <c r="BF384" s="1548"/>
      <c r="BG384" s="1548"/>
      <c r="BH384" s="1548"/>
      <c r="BI384" s="1548"/>
      <c r="BJ384" s="1548"/>
      <c r="BK384" s="1548"/>
      <c r="BL384" s="1548"/>
      <c r="BM384" s="1548"/>
      <c r="BN384" s="1548"/>
      <c r="BO384" s="1548"/>
      <c r="BP384" s="1548"/>
      <c r="BQ384" s="1548"/>
      <c r="BR384" s="1548"/>
    </row>
    <row r="385" spans="1:70" s="1548" customFormat="1" ht="82.5">
      <c r="A385" s="194">
        <v>15</v>
      </c>
      <c r="B385" s="186"/>
      <c r="C385" s="194">
        <v>1</v>
      </c>
      <c r="D385" s="1424" t="s">
        <v>25</v>
      </c>
      <c r="E385" s="1424" t="s">
        <v>39</v>
      </c>
      <c r="F385" s="1424">
        <v>1</v>
      </c>
      <c r="G385" s="1424"/>
      <c r="H385" s="1424" t="s">
        <v>25</v>
      </c>
      <c r="I385" s="1549" t="s">
        <v>869</v>
      </c>
      <c r="J385" s="1549" t="s">
        <v>2672</v>
      </c>
      <c r="K385" s="1566">
        <v>80</v>
      </c>
      <c r="L385" s="1536">
        <f>L386+L387</f>
        <v>27350000000</v>
      </c>
      <c r="M385" s="1589">
        <v>0</v>
      </c>
      <c r="N385" s="1536">
        <f>N386+N387</f>
        <v>310847484</v>
      </c>
      <c r="O385" s="1556">
        <v>70</v>
      </c>
      <c r="P385" s="1536">
        <f>P386+P387</f>
        <v>4400439480</v>
      </c>
      <c r="Q385" s="1556"/>
      <c r="R385" s="1536">
        <f>R386+R387</f>
        <v>8724600</v>
      </c>
      <c r="S385" s="188"/>
      <c r="T385" s="192">
        <v>16374600</v>
      </c>
      <c r="U385" s="188"/>
      <c r="V385" s="192"/>
      <c r="W385" s="188"/>
      <c r="X385" s="192"/>
      <c r="Y385" s="1556">
        <f t="shared" si="102"/>
        <v>0</v>
      </c>
      <c r="Z385" s="190">
        <f t="shared" si="103"/>
        <v>25099200</v>
      </c>
      <c r="AA385" s="1556">
        <f t="shared" si="104"/>
        <v>0</v>
      </c>
      <c r="AB385" s="190">
        <f t="shared" si="105"/>
        <v>335946684</v>
      </c>
      <c r="AC385" s="1523">
        <f t="shared" si="106"/>
        <v>0</v>
      </c>
      <c r="AD385" s="1523">
        <f t="shared" si="107"/>
        <v>1.2283242559414991</v>
      </c>
      <c r="AE385" s="194" t="s">
        <v>111</v>
      </c>
      <c r="AF385" s="201"/>
      <c r="AG385" s="750"/>
      <c r="AH385" s="750"/>
      <c r="AI385" s="750"/>
      <c r="AJ385" s="750"/>
      <c r="AK385" s="750"/>
      <c r="AL385" s="750"/>
      <c r="AM385" s="750"/>
      <c r="AN385" s="750"/>
      <c r="AO385" s="750"/>
      <c r="AP385" s="750"/>
      <c r="AQ385" s="750"/>
      <c r="AR385" s="750"/>
      <c r="AS385" s="750"/>
      <c r="AT385" s="750"/>
      <c r="AU385" s="750"/>
      <c r="AV385" s="750"/>
      <c r="AW385" s="750"/>
      <c r="AX385" s="750"/>
      <c r="AY385" s="750"/>
      <c r="AZ385" s="750"/>
      <c r="BA385" s="750"/>
      <c r="BB385" s="750"/>
      <c r="BC385" s="1547"/>
    </row>
    <row r="386" spans="1:70" s="938" customFormat="1" ht="49.5">
      <c r="A386" s="79"/>
      <c r="B386" s="47"/>
      <c r="C386" s="76">
        <v>1</v>
      </c>
      <c r="D386" s="1427" t="s">
        <v>25</v>
      </c>
      <c r="E386" s="1427" t="s">
        <v>39</v>
      </c>
      <c r="F386" s="1427">
        <v>1</v>
      </c>
      <c r="G386" s="1427"/>
      <c r="H386" s="1427" t="s">
        <v>25</v>
      </c>
      <c r="I386" s="60" t="s">
        <v>870</v>
      </c>
      <c r="J386" s="60" t="s">
        <v>2673</v>
      </c>
      <c r="K386" s="1567">
        <v>1</v>
      </c>
      <c r="L386" s="1544">
        <v>350000000</v>
      </c>
      <c r="M386" s="1567">
        <v>1</v>
      </c>
      <c r="N386" s="1544">
        <v>310847484</v>
      </c>
      <c r="O386" s="1553">
        <v>0</v>
      </c>
      <c r="P386" s="1544">
        <v>0</v>
      </c>
      <c r="Q386" s="1567">
        <v>0</v>
      </c>
      <c r="R386" s="50">
        <v>0</v>
      </c>
      <c r="S386" s="65"/>
      <c r="T386" s="50">
        <v>0</v>
      </c>
      <c r="U386" s="65"/>
      <c r="V386" s="50"/>
      <c r="W386" s="65"/>
      <c r="X386" s="50"/>
      <c r="Y386" s="1553">
        <f t="shared" si="102"/>
        <v>0</v>
      </c>
      <c r="Z386" s="1550">
        <f t="shared" si="103"/>
        <v>0</v>
      </c>
      <c r="AA386" s="1553">
        <f t="shared" si="104"/>
        <v>1</v>
      </c>
      <c r="AB386" s="51">
        <f t="shared" si="105"/>
        <v>310847484</v>
      </c>
      <c r="AC386" s="1522">
        <f t="shared" si="106"/>
        <v>100</v>
      </c>
      <c r="AD386" s="1522">
        <f t="shared" si="107"/>
        <v>88.81356685714286</v>
      </c>
      <c r="AE386" s="79"/>
      <c r="AF386" s="201"/>
      <c r="AG386" s="750"/>
      <c r="AH386" s="750"/>
      <c r="AI386" s="750"/>
      <c r="AJ386" s="750"/>
      <c r="AK386" s="750"/>
      <c r="AL386" s="750"/>
      <c r="AM386" s="750"/>
      <c r="AN386" s="750"/>
      <c r="AO386" s="750"/>
      <c r="AP386" s="750"/>
      <c r="AQ386" s="750"/>
      <c r="AR386" s="750"/>
      <c r="AS386" s="750"/>
      <c r="AT386" s="750"/>
      <c r="AU386" s="750"/>
      <c r="AV386" s="750"/>
      <c r="AW386" s="750"/>
      <c r="AX386" s="750"/>
      <c r="AY386" s="750"/>
      <c r="AZ386" s="750"/>
      <c r="BA386" s="750"/>
      <c r="BB386" s="750"/>
      <c r="BC386" s="1547"/>
      <c r="BD386" s="1548"/>
      <c r="BE386" s="1548"/>
      <c r="BF386" s="1548"/>
      <c r="BG386" s="1548"/>
      <c r="BH386" s="1548"/>
      <c r="BI386" s="1548"/>
      <c r="BJ386" s="1548"/>
      <c r="BK386" s="1548"/>
      <c r="BL386" s="1548"/>
      <c r="BM386" s="1548"/>
      <c r="BN386" s="1548"/>
      <c r="BO386" s="1548"/>
      <c r="BP386" s="1548"/>
      <c r="BQ386" s="1548"/>
      <c r="BR386" s="1548"/>
    </row>
    <row r="387" spans="1:70" s="938" customFormat="1" ht="66">
      <c r="A387" s="79"/>
      <c r="B387" s="47"/>
      <c r="C387" s="76">
        <v>1</v>
      </c>
      <c r="D387" s="1427" t="s">
        <v>25</v>
      </c>
      <c r="E387" s="1427" t="s">
        <v>39</v>
      </c>
      <c r="F387" s="1427">
        <v>1</v>
      </c>
      <c r="G387" s="1427"/>
      <c r="H387" s="1427" t="s">
        <v>25</v>
      </c>
      <c r="I387" s="60" t="s">
        <v>871</v>
      </c>
      <c r="J387" s="60" t="s">
        <v>2674</v>
      </c>
      <c r="K387" s="1567">
        <v>1</v>
      </c>
      <c r="L387" s="1544">
        <v>27000000000</v>
      </c>
      <c r="M387" s="1567">
        <v>0</v>
      </c>
      <c r="N387" s="1544">
        <v>0</v>
      </c>
      <c r="O387" s="1553">
        <v>0.25</v>
      </c>
      <c r="P387" s="1544">
        <v>4400439480</v>
      </c>
      <c r="Q387" s="1553">
        <v>0</v>
      </c>
      <c r="R387" s="50">
        <v>8724600</v>
      </c>
      <c r="S387" s="65">
        <v>0</v>
      </c>
      <c r="T387" s="50">
        <v>16374600</v>
      </c>
      <c r="U387" s="65"/>
      <c r="V387" s="50"/>
      <c r="W387" s="65"/>
      <c r="X387" s="50"/>
      <c r="Y387" s="1553">
        <f t="shared" si="102"/>
        <v>0</v>
      </c>
      <c r="Z387" s="1550">
        <f t="shared" si="103"/>
        <v>25099200</v>
      </c>
      <c r="AA387" s="1553">
        <f t="shared" si="104"/>
        <v>0</v>
      </c>
      <c r="AB387" s="51">
        <f t="shared" si="105"/>
        <v>25099200</v>
      </c>
      <c r="AC387" s="1522">
        <f t="shared" si="106"/>
        <v>0</v>
      </c>
      <c r="AD387" s="1522">
        <f t="shared" si="107"/>
        <v>9.2960000000000001E-2</v>
      </c>
      <c r="AE387" s="79"/>
      <c r="AF387" s="201"/>
      <c r="AG387" s="750"/>
      <c r="AH387" s="750"/>
      <c r="AI387" s="750"/>
      <c r="AJ387" s="750"/>
      <c r="AK387" s="750"/>
      <c r="AL387" s="750"/>
      <c r="AM387" s="750"/>
      <c r="AN387" s="750"/>
      <c r="AO387" s="750"/>
      <c r="AP387" s="750"/>
      <c r="AQ387" s="750"/>
      <c r="AR387" s="750"/>
      <c r="AS387" s="750"/>
      <c r="AT387" s="750"/>
      <c r="AU387" s="750"/>
      <c r="AV387" s="750"/>
      <c r="AW387" s="750"/>
      <c r="AX387" s="750"/>
      <c r="AY387" s="750"/>
      <c r="AZ387" s="750"/>
      <c r="BA387" s="750"/>
      <c r="BB387" s="750"/>
      <c r="BC387" s="1547"/>
      <c r="BD387" s="1548"/>
      <c r="BE387" s="1548"/>
      <c r="BF387" s="1548"/>
      <c r="BG387" s="1548"/>
      <c r="BH387" s="1548"/>
      <c r="BI387" s="1548"/>
      <c r="BJ387" s="1548"/>
      <c r="BK387" s="1548"/>
      <c r="BL387" s="1548"/>
      <c r="BM387" s="1548"/>
      <c r="BN387" s="1548"/>
      <c r="BO387" s="1548"/>
      <c r="BP387" s="1548"/>
      <c r="BQ387" s="1548"/>
      <c r="BR387" s="1548"/>
    </row>
    <row r="388" spans="1:70" s="938" customFormat="1" ht="99">
      <c r="A388" s="194">
        <v>16</v>
      </c>
      <c r="B388" s="186"/>
      <c r="C388" s="194">
        <v>1</v>
      </c>
      <c r="D388" s="1424" t="s">
        <v>25</v>
      </c>
      <c r="E388" s="1424" t="s">
        <v>39</v>
      </c>
      <c r="F388" s="1424">
        <v>1</v>
      </c>
      <c r="G388" s="1424"/>
      <c r="H388" s="1424" t="s">
        <v>25</v>
      </c>
      <c r="I388" s="186" t="s">
        <v>872</v>
      </c>
      <c r="J388" s="187" t="s">
        <v>2675</v>
      </c>
      <c r="K388" s="1590">
        <v>71.400000000000006</v>
      </c>
      <c r="L388" s="192">
        <f>SUM(L389:L392)</f>
        <v>1813466960</v>
      </c>
      <c r="M388" s="1590">
        <v>51.4</v>
      </c>
      <c r="N388" s="192">
        <f>SUM(N389:N392)</f>
        <v>1101831043</v>
      </c>
      <c r="O388" s="1556">
        <v>5</v>
      </c>
      <c r="P388" s="192">
        <f>SUM(P389:P392)</f>
        <v>189329213</v>
      </c>
      <c r="Q388" s="1556">
        <v>0</v>
      </c>
      <c r="R388" s="192">
        <f>SUM(R389:R392)</f>
        <v>22147200</v>
      </c>
      <c r="S388" s="188"/>
      <c r="T388" s="192">
        <v>109063165</v>
      </c>
      <c r="U388" s="188"/>
      <c r="V388" s="192"/>
      <c r="W388" s="191"/>
      <c r="X388" s="192"/>
      <c r="Y388" s="1556">
        <f t="shared" si="102"/>
        <v>0</v>
      </c>
      <c r="Z388" s="190">
        <f t="shared" si="103"/>
        <v>131210365</v>
      </c>
      <c r="AA388" s="1556">
        <f t="shared" si="104"/>
        <v>51.4</v>
      </c>
      <c r="AB388" s="190">
        <f t="shared" si="105"/>
        <v>1233041408</v>
      </c>
      <c r="AC388" s="1523">
        <f t="shared" si="106"/>
        <v>71.988795518207269</v>
      </c>
      <c r="AD388" s="1523">
        <f t="shared" si="107"/>
        <v>67.993596530702717</v>
      </c>
      <c r="AE388" s="194" t="s">
        <v>111</v>
      </c>
      <c r="AF388" s="201"/>
      <c r="AG388" s="750"/>
      <c r="AH388" s="750"/>
      <c r="AI388" s="750"/>
      <c r="AJ388" s="750"/>
      <c r="AK388" s="750"/>
      <c r="AL388" s="750"/>
      <c r="AM388" s="750"/>
      <c r="AN388" s="750"/>
      <c r="AO388" s="750"/>
      <c r="AP388" s="750"/>
      <c r="AQ388" s="750"/>
      <c r="AR388" s="750"/>
      <c r="AS388" s="750"/>
      <c r="AT388" s="750"/>
      <c r="AU388" s="750"/>
      <c r="AV388" s="750"/>
      <c r="AW388" s="750"/>
      <c r="AX388" s="750"/>
      <c r="AY388" s="750"/>
      <c r="AZ388" s="750"/>
      <c r="BA388" s="750"/>
      <c r="BB388" s="750"/>
      <c r="BC388" s="1547"/>
      <c r="BD388" s="1548"/>
      <c r="BE388" s="1548"/>
      <c r="BF388" s="1548"/>
      <c r="BG388" s="1548"/>
      <c r="BH388" s="1548"/>
      <c r="BI388" s="1548"/>
      <c r="BJ388" s="1548"/>
      <c r="BK388" s="1548"/>
      <c r="BL388" s="1548"/>
      <c r="BM388" s="1548"/>
      <c r="BN388" s="1548"/>
      <c r="BO388" s="1548"/>
      <c r="BP388" s="1548"/>
      <c r="BQ388" s="1548"/>
      <c r="BR388" s="1548"/>
    </row>
    <row r="389" spans="1:70" s="938" customFormat="1" ht="49.5">
      <c r="A389" s="79"/>
      <c r="B389" s="47"/>
      <c r="C389" s="76">
        <v>1</v>
      </c>
      <c r="D389" s="1427" t="s">
        <v>25</v>
      </c>
      <c r="E389" s="1427" t="s">
        <v>39</v>
      </c>
      <c r="F389" s="1427">
        <v>1</v>
      </c>
      <c r="G389" s="1427"/>
      <c r="H389" s="1427" t="s">
        <v>25</v>
      </c>
      <c r="I389" s="49" t="s">
        <v>873</v>
      </c>
      <c r="J389" s="49" t="s">
        <v>2676</v>
      </c>
      <c r="K389" s="1553">
        <v>60</v>
      </c>
      <c r="L389" s="50">
        <v>80000000</v>
      </c>
      <c r="M389" s="1553">
        <v>24</v>
      </c>
      <c r="N389" s="50">
        <v>10000000</v>
      </c>
      <c r="O389" s="1553">
        <v>12</v>
      </c>
      <c r="P389" s="63">
        <v>14080000</v>
      </c>
      <c r="Q389" s="1553">
        <v>3</v>
      </c>
      <c r="R389" s="50">
        <v>0</v>
      </c>
      <c r="S389" s="65">
        <v>3</v>
      </c>
      <c r="T389" s="50">
        <v>14080000</v>
      </c>
      <c r="U389" s="78"/>
      <c r="V389" s="50"/>
      <c r="W389" s="78"/>
      <c r="X389" s="50"/>
      <c r="Y389" s="1553">
        <f t="shared" si="102"/>
        <v>6</v>
      </c>
      <c r="Z389" s="51">
        <f t="shared" si="103"/>
        <v>14080000</v>
      </c>
      <c r="AA389" s="1553">
        <f t="shared" si="104"/>
        <v>30</v>
      </c>
      <c r="AB389" s="51">
        <f t="shared" si="105"/>
        <v>24080000</v>
      </c>
      <c r="AC389" s="1522">
        <f t="shared" si="106"/>
        <v>50</v>
      </c>
      <c r="AD389" s="1522">
        <f t="shared" si="107"/>
        <v>30.099999999999998</v>
      </c>
      <c r="AE389" s="79"/>
      <c r="AF389" s="201"/>
      <c r="AG389" s="750"/>
      <c r="AH389" s="750"/>
      <c r="AI389" s="750"/>
      <c r="AJ389" s="750"/>
      <c r="AK389" s="750"/>
      <c r="AL389" s="750"/>
      <c r="AM389" s="750"/>
      <c r="AN389" s="750"/>
      <c r="AO389" s="750"/>
      <c r="AP389" s="750"/>
      <c r="AQ389" s="750"/>
      <c r="AR389" s="750"/>
      <c r="AS389" s="750"/>
      <c r="AT389" s="750"/>
      <c r="AU389" s="750"/>
      <c r="AV389" s="750"/>
      <c r="AW389" s="750"/>
      <c r="AX389" s="750"/>
      <c r="AY389" s="750"/>
      <c r="AZ389" s="750"/>
      <c r="BA389" s="750"/>
      <c r="BB389" s="750"/>
      <c r="BC389" s="1547"/>
      <c r="BD389" s="1548"/>
      <c r="BE389" s="1548"/>
      <c r="BF389" s="1548"/>
      <c r="BG389" s="1548"/>
      <c r="BH389" s="1548"/>
      <c r="BI389" s="1548"/>
      <c r="BJ389" s="1548"/>
      <c r="BK389" s="1548"/>
      <c r="BL389" s="1548"/>
      <c r="BM389" s="1548"/>
      <c r="BN389" s="1548"/>
      <c r="BO389" s="1548"/>
      <c r="BP389" s="1548"/>
      <c r="BQ389" s="1548"/>
      <c r="BR389" s="1548"/>
    </row>
    <row r="390" spans="1:70" s="938" customFormat="1" ht="82.5">
      <c r="A390" s="79"/>
      <c r="B390" s="47"/>
      <c r="C390" s="76">
        <v>1</v>
      </c>
      <c r="D390" s="1427" t="s">
        <v>25</v>
      </c>
      <c r="E390" s="1427" t="s">
        <v>39</v>
      </c>
      <c r="F390" s="1427">
        <v>1</v>
      </c>
      <c r="G390" s="1427"/>
      <c r="H390" s="1427" t="s">
        <v>25</v>
      </c>
      <c r="I390" s="49" t="s">
        <v>874</v>
      </c>
      <c r="J390" s="49" t="s">
        <v>2677</v>
      </c>
      <c r="K390" s="1553">
        <v>15</v>
      </c>
      <c r="L390" s="50">
        <v>320000000</v>
      </c>
      <c r="M390" s="1565">
        <v>6</v>
      </c>
      <c r="N390" s="50">
        <v>122595000</v>
      </c>
      <c r="O390" s="1553">
        <v>5</v>
      </c>
      <c r="P390" s="63">
        <v>46761000</v>
      </c>
      <c r="Q390" s="1553">
        <v>0</v>
      </c>
      <c r="R390" s="50">
        <v>0</v>
      </c>
      <c r="S390" s="62">
        <v>5</v>
      </c>
      <c r="T390" s="50">
        <v>41200500</v>
      </c>
      <c r="U390" s="62"/>
      <c r="V390" s="50"/>
      <c r="W390" s="62"/>
      <c r="X390" s="50"/>
      <c r="Y390" s="1553">
        <f t="shared" si="102"/>
        <v>5</v>
      </c>
      <c r="Z390" s="51">
        <f t="shared" si="103"/>
        <v>41200500</v>
      </c>
      <c r="AA390" s="1553">
        <f t="shared" si="104"/>
        <v>11</v>
      </c>
      <c r="AB390" s="51">
        <f t="shared" si="105"/>
        <v>163795500</v>
      </c>
      <c r="AC390" s="1522">
        <f t="shared" si="106"/>
        <v>73.333333333333329</v>
      </c>
      <c r="AD390" s="1522">
        <f t="shared" si="107"/>
        <v>51.186093749999998</v>
      </c>
      <c r="AE390" s="79"/>
      <c r="AF390" s="201"/>
      <c r="AG390" s="750"/>
      <c r="AH390" s="750"/>
      <c r="AI390" s="750"/>
      <c r="AJ390" s="750"/>
      <c r="AK390" s="750"/>
      <c r="AL390" s="750"/>
      <c r="AM390" s="750"/>
      <c r="AN390" s="750"/>
      <c r="AO390" s="750"/>
      <c r="AP390" s="750"/>
      <c r="AQ390" s="750"/>
      <c r="AR390" s="750"/>
      <c r="AS390" s="750"/>
      <c r="AT390" s="750"/>
      <c r="AU390" s="750"/>
      <c r="AV390" s="750"/>
      <c r="AW390" s="750"/>
      <c r="AX390" s="750"/>
      <c r="AY390" s="750"/>
      <c r="AZ390" s="750"/>
      <c r="BA390" s="750"/>
      <c r="BB390" s="750"/>
      <c r="BC390" s="1547"/>
      <c r="BD390" s="1548"/>
      <c r="BE390" s="1548"/>
      <c r="BF390" s="1548"/>
      <c r="BG390" s="1548"/>
      <c r="BH390" s="1548"/>
      <c r="BI390" s="1548"/>
      <c r="BJ390" s="1548"/>
      <c r="BK390" s="1548"/>
      <c r="BL390" s="1548"/>
      <c r="BM390" s="1548"/>
      <c r="BN390" s="1548"/>
      <c r="BO390" s="1548"/>
      <c r="BP390" s="1548"/>
      <c r="BQ390" s="1548"/>
      <c r="BR390" s="1548"/>
    </row>
    <row r="391" spans="1:70" s="938" customFormat="1" ht="33">
      <c r="A391" s="79"/>
      <c r="B391" s="47"/>
      <c r="C391" s="76">
        <v>1</v>
      </c>
      <c r="D391" s="1427" t="s">
        <v>25</v>
      </c>
      <c r="E391" s="1427" t="s">
        <v>39</v>
      </c>
      <c r="F391" s="1427">
        <v>1</v>
      </c>
      <c r="G391" s="1427"/>
      <c r="H391" s="1427" t="s">
        <v>25</v>
      </c>
      <c r="I391" s="49" t="s">
        <v>875</v>
      </c>
      <c r="J391" s="58" t="s">
        <v>2678</v>
      </c>
      <c r="K391" s="1553">
        <v>72</v>
      </c>
      <c r="L391" s="50">
        <v>513466960</v>
      </c>
      <c r="M391" s="1553">
        <v>36</v>
      </c>
      <c r="N391" s="50">
        <v>85426543</v>
      </c>
      <c r="O391" s="1553">
        <v>12</v>
      </c>
      <c r="P391" s="63">
        <v>128488213</v>
      </c>
      <c r="Q391" s="1553">
        <v>3</v>
      </c>
      <c r="R391" s="50">
        <v>22147200</v>
      </c>
      <c r="S391" s="62">
        <v>3</v>
      </c>
      <c r="T391" s="50">
        <v>53782665</v>
      </c>
      <c r="U391" s="62"/>
      <c r="V391" s="50"/>
      <c r="W391" s="65"/>
      <c r="X391" s="50"/>
      <c r="Y391" s="1553">
        <f t="shared" si="102"/>
        <v>6</v>
      </c>
      <c r="Z391" s="51">
        <f t="shared" si="103"/>
        <v>75929865</v>
      </c>
      <c r="AA391" s="1553">
        <f t="shared" si="104"/>
        <v>42</v>
      </c>
      <c r="AB391" s="51">
        <f t="shared" si="105"/>
        <v>161356408</v>
      </c>
      <c r="AC391" s="1522">
        <f t="shared" si="106"/>
        <v>58.333333333333336</v>
      </c>
      <c r="AD391" s="1522">
        <f t="shared" si="107"/>
        <v>31.424886228317401</v>
      </c>
      <c r="AE391" s="79"/>
      <c r="AF391" s="201"/>
      <c r="AG391" s="750"/>
      <c r="AH391" s="750"/>
      <c r="AI391" s="750"/>
      <c r="AJ391" s="750"/>
      <c r="AK391" s="750"/>
      <c r="AL391" s="750"/>
      <c r="AM391" s="750"/>
      <c r="AN391" s="750"/>
      <c r="AO391" s="750"/>
      <c r="AP391" s="750"/>
      <c r="AQ391" s="750"/>
      <c r="AR391" s="750"/>
      <c r="AS391" s="750"/>
      <c r="AT391" s="750"/>
      <c r="AU391" s="750"/>
      <c r="AV391" s="750"/>
      <c r="AW391" s="750"/>
      <c r="AX391" s="750"/>
      <c r="AY391" s="750"/>
      <c r="AZ391" s="750"/>
      <c r="BA391" s="750"/>
      <c r="BB391" s="750"/>
      <c r="BC391" s="1547"/>
      <c r="BD391" s="1548"/>
      <c r="BE391" s="1548"/>
      <c r="BF391" s="1548"/>
      <c r="BG391" s="1548"/>
      <c r="BH391" s="1548"/>
      <c r="BI391" s="1548"/>
      <c r="BJ391" s="1548"/>
      <c r="BK391" s="1548"/>
      <c r="BL391" s="1548"/>
      <c r="BM391" s="1548"/>
      <c r="BN391" s="1548"/>
      <c r="BO391" s="1548"/>
      <c r="BP391" s="1548"/>
      <c r="BQ391" s="1548"/>
      <c r="BR391" s="1548"/>
    </row>
    <row r="392" spans="1:70" s="938" customFormat="1" ht="49.5">
      <c r="A392" s="79"/>
      <c r="B392" s="47"/>
      <c r="C392" s="76">
        <v>1</v>
      </c>
      <c r="D392" s="1427" t="s">
        <v>25</v>
      </c>
      <c r="E392" s="1427" t="s">
        <v>39</v>
      </c>
      <c r="F392" s="1427">
        <v>1</v>
      </c>
      <c r="G392" s="1427"/>
      <c r="H392" s="1427" t="s">
        <v>25</v>
      </c>
      <c r="I392" s="49" t="s">
        <v>876</v>
      </c>
      <c r="J392" s="49" t="s">
        <v>877</v>
      </c>
      <c r="K392" s="1553">
        <v>1</v>
      </c>
      <c r="L392" s="50">
        <v>900000000</v>
      </c>
      <c r="M392" s="1553">
        <v>1</v>
      </c>
      <c r="N392" s="50">
        <v>883809500</v>
      </c>
      <c r="O392" s="1553">
        <v>0</v>
      </c>
      <c r="P392" s="63">
        <v>0</v>
      </c>
      <c r="Q392" s="1553">
        <v>0</v>
      </c>
      <c r="R392" s="50">
        <v>0</v>
      </c>
      <c r="S392" s="62">
        <v>0</v>
      </c>
      <c r="T392" s="50">
        <v>0</v>
      </c>
      <c r="U392" s="62"/>
      <c r="V392" s="50"/>
      <c r="W392" s="62"/>
      <c r="X392" s="50"/>
      <c r="Y392" s="1553">
        <f t="shared" si="102"/>
        <v>0</v>
      </c>
      <c r="Z392" s="51">
        <f t="shared" si="103"/>
        <v>0</v>
      </c>
      <c r="AA392" s="1553">
        <f t="shared" si="104"/>
        <v>1</v>
      </c>
      <c r="AB392" s="51">
        <f t="shared" si="105"/>
        <v>883809500</v>
      </c>
      <c r="AC392" s="1522">
        <f t="shared" si="106"/>
        <v>100</v>
      </c>
      <c r="AD392" s="1522">
        <f t="shared" si="107"/>
        <v>98.201055555555556</v>
      </c>
      <c r="AE392" s="79"/>
      <c r="AF392" s="201"/>
      <c r="AG392" s="750"/>
      <c r="AH392" s="750"/>
      <c r="AI392" s="750"/>
      <c r="AJ392" s="750"/>
      <c r="AK392" s="750"/>
      <c r="AL392" s="750"/>
      <c r="AM392" s="750"/>
      <c r="AN392" s="750"/>
      <c r="AO392" s="750"/>
      <c r="AP392" s="750"/>
      <c r="AQ392" s="750"/>
      <c r="AR392" s="750"/>
      <c r="AS392" s="750"/>
      <c r="AT392" s="750"/>
      <c r="AU392" s="750"/>
      <c r="AV392" s="750"/>
      <c r="AW392" s="750"/>
      <c r="AX392" s="750"/>
      <c r="AY392" s="750"/>
      <c r="AZ392" s="750"/>
      <c r="BA392" s="750"/>
      <c r="BB392" s="750"/>
      <c r="BC392" s="1547"/>
      <c r="BD392" s="1548"/>
      <c r="BE392" s="1548"/>
      <c r="BF392" s="1548"/>
      <c r="BG392" s="1548"/>
      <c r="BH392" s="1548"/>
      <c r="BI392" s="1548"/>
      <c r="BJ392" s="1548"/>
      <c r="BK392" s="1548"/>
      <c r="BL392" s="1548"/>
      <c r="BM392" s="1548"/>
      <c r="BN392" s="1548"/>
      <c r="BO392" s="1548"/>
      <c r="BP392" s="1548"/>
      <c r="BQ392" s="1548"/>
      <c r="BR392" s="1548"/>
    </row>
    <row r="393" spans="1:70" s="938" customFormat="1" ht="66">
      <c r="A393" s="1591">
        <v>17</v>
      </c>
      <c r="B393" s="1592"/>
      <c r="C393" s="1591">
        <v>1</v>
      </c>
      <c r="D393" s="1593" t="s">
        <v>25</v>
      </c>
      <c r="E393" s="1593" t="s">
        <v>39</v>
      </c>
      <c r="F393" s="1593">
        <v>1</v>
      </c>
      <c r="G393" s="1593"/>
      <c r="H393" s="1593" t="s">
        <v>25</v>
      </c>
      <c r="I393" s="474" t="s">
        <v>878</v>
      </c>
      <c r="J393" s="186" t="s">
        <v>2647</v>
      </c>
      <c r="K393" s="1556">
        <v>97.1</v>
      </c>
      <c r="L393" s="189">
        <f>SUM(L395:L408)</f>
        <v>78391003600</v>
      </c>
      <c r="M393" s="1556">
        <v>91.02</v>
      </c>
      <c r="N393" s="189">
        <f>SUM(N395:N408)</f>
        <v>14735410784</v>
      </c>
      <c r="O393" s="1556">
        <v>1.4500000000000028</v>
      </c>
      <c r="P393" s="189">
        <f>SUM(P395:P408)</f>
        <v>25047138724</v>
      </c>
      <c r="Q393" s="1556"/>
      <c r="R393" s="189">
        <f>SUM(R395:R408)</f>
        <v>29255600</v>
      </c>
      <c r="S393" s="188"/>
      <c r="T393" s="192">
        <v>1260464800</v>
      </c>
      <c r="U393" s="188"/>
      <c r="V393" s="192"/>
      <c r="W393" s="191"/>
      <c r="X393" s="192"/>
      <c r="Y393" s="1556">
        <f t="shared" si="102"/>
        <v>0</v>
      </c>
      <c r="Z393" s="190">
        <f t="shared" si="103"/>
        <v>1289720400</v>
      </c>
      <c r="AA393" s="1587">
        <f t="shared" si="104"/>
        <v>91.02</v>
      </c>
      <c r="AB393" s="190">
        <f t="shared" si="105"/>
        <v>16025131184</v>
      </c>
      <c r="AC393" s="1523">
        <f t="shared" si="106"/>
        <v>93.738414006179198</v>
      </c>
      <c r="AD393" s="1523">
        <f t="shared" si="107"/>
        <v>20.442564131172826</v>
      </c>
      <c r="AE393" s="194" t="s">
        <v>111</v>
      </c>
      <c r="AF393" s="201"/>
      <c r="AG393" s="750"/>
      <c r="AH393" s="750"/>
      <c r="AI393" s="750"/>
      <c r="AJ393" s="750"/>
      <c r="AK393" s="750"/>
      <c r="AL393" s="750"/>
      <c r="AM393" s="750"/>
      <c r="AN393" s="750"/>
      <c r="AO393" s="750"/>
      <c r="AP393" s="750"/>
      <c r="AQ393" s="750"/>
      <c r="AR393" s="750"/>
      <c r="AS393" s="750"/>
      <c r="AT393" s="750"/>
      <c r="AU393" s="750"/>
      <c r="AV393" s="750"/>
      <c r="AW393" s="750"/>
      <c r="AX393" s="750"/>
      <c r="AY393" s="750"/>
      <c r="AZ393" s="750"/>
      <c r="BA393" s="750"/>
      <c r="BB393" s="750"/>
      <c r="BC393" s="1547"/>
      <c r="BD393" s="1548"/>
      <c r="BE393" s="1548"/>
      <c r="BF393" s="1548"/>
      <c r="BG393" s="1548"/>
      <c r="BH393" s="1548"/>
      <c r="BI393" s="1548"/>
      <c r="BJ393" s="1548"/>
      <c r="BK393" s="1548"/>
      <c r="BL393" s="1548"/>
      <c r="BM393" s="1548"/>
      <c r="BN393" s="1548"/>
      <c r="BO393" s="1548"/>
      <c r="BP393" s="1548"/>
      <c r="BQ393" s="1548"/>
      <c r="BR393" s="1548"/>
    </row>
    <row r="394" spans="1:70" s="938" customFormat="1" ht="33">
      <c r="A394" s="1594"/>
      <c r="B394" s="1595"/>
      <c r="C394" s="1594"/>
      <c r="D394" s="1596"/>
      <c r="E394" s="1596"/>
      <c r="F394" s="1596"/>
      <c r="G394" s="1596"/>
      <c r="H394" s="1596"/>
      <c r="I394" s="1597"/>
      <c r="J394" s="186" t="s">
        <v>2648</v>
      </c>
      <c r="K394" s="1556">
        <v>69.95</v>
      </c>
      <c r="L394" s="189"/>
      <c r="M394" s="1556">
        <v>64.63</v>
      </c>
      <c r="N394" s="189"/>
      <c r="O394" s="1556">
        <v>1.1400000000000006</v>
      </c>
      <c r="P394" s="189"/>
      <c r="Q394" s="1556">
        <v>0</v>
      </c>
      <c r="R394" s="189"/>
      <c r="S394" s="188"/>
      <c r="T394" s="192"/>
      <c r="U394" s="188"/>
      <c r="V394" s="192"/>
      <c r="W394" s="191"/>
      <c r="X394" s="192"/>
      <c r="Y394" s="1556"/>
      <c r="Z394" s="190"/>
      <c r="AA394" s="1587"/>
      <c r="AB394" s="190"/>
      <c r="AC394" s="1523"/>
      <c r="AD394" s="1523"/>
      <c r="AE394" s="194"/>
      <c r="AF394" s="201"/>
      <c r="AG394" s="750"/>
      <c r="AH394" s="750"/>
      <c r="AI394" s="750"/>
      <c r="AJ394" s="750"/>
      <c r="AK394" s="750"/>
      <c r="AL394" s="750"/>
      <c r="AM394" s="750"/>
      <c r="AN394" s="750"/>
      <c r="AO394" s="750"/>
      <c r="AP394" s="750"/>
      <c r="AQ394" s="750"/>
      <c r="AR394" s="750"/>
      <c r="AS394" s="750"/>
      <c r="AT394" s="750"/>
      <c r="AU394" s="750"/>
      <c r="AV394" s="750"/>
      <c r="AW394" s="750"/>
      <c r="AX394" s="750"/>
      <c r="AY394" s="750"/>
      <c r="AZ394" s="750"/>
      <c r="BA394" s="750"/>
      <c r="BB394" s="750"/>
      <c r="BC394" s="1547"/>
      <c r="BD394" s="1548"/>
      <c r="BE394" s="1548"/>
      <c r="BF394" s="1548"/>
      <c r="BG394" s="1548"/>
      <c r="BH394" s="1548"/>
      <c r="BI394" s="1548"/>
      <c r="BJ394" s="1548"/>
      <c r="BK394" s="1548"/>
      <c r="BL394" s="1548"/>
      <c r="BM394" s="1548"/>
      <c r="BN394" s="1548"/>
      <c r="BO394" s="1548"/>
      <c r="BP394" s="1548"/>
      <c r="BQ394" s="1548"/>
      <c r="BR394" s="1548"/>
    </row>
    <row r="395" spans="1:70" s="938" customFormat="1" ht="49.5">
      <c r="A395" s="79"/>
      <c r="B395" s="47"/>
      <c r="C395" s="76">
        <v>1</v>
      </c>
      <c r="D395" s="1427" t="s">
        <v>25</v>
      </c>
      <c r="E395" s="1427" t="s">
        <v>39</v>
      </c>
      <c r="F395" s="1427">
        <v>1</v>
      </c>
      <c r="G395" s="1427"/>
      <c r="H395" s="1427" t="s">
        <v>25</v>
      </c>
      <c r="I395" s="80" t="s">
        <v>879</v>
      </c>
      <c r="J395" s="80" t="s">
        <v>2679</v>
      </c>
      <c r="K395" s="1553">
        <v>9</v>
      </c>
      <c r="L395" s="81">
        <v>3563953000</v>
      </c>
      <c r="M395" s="1553">
        <v>0</v>
      </c>
      <c r="N395" s="50">
        <v>72263600</v>
      </c>
      <c r="O395" s="1553">
        <v>1</v>
      </c>
      <c r="P395" s="63">
        <v>538547800</v>
      </c>
      <c r="Q395" s="1553">
        <v>0</v>
      </c>
      <c r="R395" s="50">
        <v>0</v>
      </c>
      <c r="S395" s="62">
        <v>0</v>
      </c>
      <c r="T395" s="50">
        <v>140093100</v>
      </c>
      <c r="U395" s="62"/>
      <c r="V395" s="50"/>
      <c r="W395" s="65"/>
      <c r="X395" s="50"/>
      <c r="Y395" s="1553">
        <f t="shared" ref="Y395:Y419" si="108">Q395+S395+U395+W395</f>
        <v>0</v>
      </c>
      <c r="Z395" s="51">
        <f t="shared" ref="Z395:Z419" si="109">R395+T395+V395+X395</f>
        <v>140093100</v>
      </c>
      <c r="AA395" s="1583">
        <f t="shared" ref="AA395:AA408" si="110">M395+Y395</f>
        <v>0</v>
      </c>
      <c r="AB395" s="51">
        <f t="shared" ref="AB395:AB408" si="111">N395+Z395</f>
        <v>212356700</v>
      </c>
      <c r="AC395" s="1522">
        <f t="shared" ref="AC395:AC408" si="112">AA395/K395*100</f>
        <v>0</v>
      </c>
      <c r="AD395" s="1522">
        <f t="shared" ref="AD395:AD408" si="113">AB395/L395*100</f>
        <v>5.9584596093158355</v>
      </c>
      <c r="AE395" s="79"/>
      <c r="AF395" s="201"/>
      <c r="AG395" s="750"/>
      <c r="AH395" s="750"/>
      <c r="AI395" s="750"/>
      <c r="AJ395" s="750"/>
      <c r="AK395" s="750"/>
      <c r="AL395" s="750"/>
      <c r="AM395" s="750"/>
      <c r="AN395" s="750"/>
      <c r="AO395" s="750"/>
      <c r="AP395" s="750"/>
      <c r="AQ395" s="750"/>
      <c r="AR395" s="750"/>
      <c r="AS395" s="750"/>
      <c r="AT395" s="750"/>
      <c r="AU395" s="750"/>
      <c r="AV395" s="750"/>
      <c r="AW395" s="750"/>
      <c r="AX395" s="750"/>
      <c r="AY395" s="750"/>
      <c r="AZ395" s="750"/>
      <c r="BA395" s="750"/>
      <c r="BB395" s="750"/>
      <c r="BC395" s="1547"/>
      <c r="BD395" s="1548"/>
      <c r="BE395" s="1548"/>
      <c r="BF395" s="1548"/>
      <c r="BG395" s="1548"/>
      <c r="BH395" s="1548"/>
      <c r="BI395" s="1548"/>
      <c r="BJ395" s="1548"/>
      <c r="BK395" s="1548"/>
      <c r="BL395" s="1548"/>
      <c r="BM395" s="1548"/>
      <c r="BN395" s="1548"/>
      <c r="BO395" s="1548"/>
      <c r="BP395" s="1548"/>
      <c r="BQ395" s="1548"/>
      <c r="BR395" s="1548"/>
    </row>
    <row r="396" spans="1:70" s="938" customFormat="1" ht="82.5">
      <c r="A396" s="79"/>
      <c r="B396" s="47"/>
      <c r="C396" s="76">
        <v>1</v>
      </c>
      <c r="D396" s="1427" t="s">
        <v>25</v>
      </c>
      <c r="E396" s="1427" t="s">
        <v>39</v>
      </c>
      <c r="F396" s="1427">
        <v>1</v>
      </c>
      <c r="G396" s="1427"/>
      <c r="H396" s="1427" t="s">
        <v>25</v>
      </c>
      <c r="I396" s="80" t="s">
        <v>881</v>
      </c>
      <c r="J396" s="80" t="s">
        <v>2680</v>
      </c>
      <c r="K396" s="1553">
        <v>72</v>
      </c>
      <c r="L396" s="50">
        <v>1300000000</v>
      </c>
      <c r="M396" s="1553">
        <v>36</v>
      </c>
      <c r="N396" s="50">
        <v>40833749</v>
      </c>
      <c r="O396" s="1553">
        <v>12</v>
      </c>
      <c r="P396" s="63">
        <v>99994000</v>
      </c>
      <c r="Q396" s="1553">
        <v>3</v>
      </c>
      <c r="R396" s="50">
        <v>743900</v>
      </c>
      <c r="S396" s="62">
        <v>0</v>
      </c>
      <c r="T396" s="50">
        <v>743900</v>
      </c>
      <c r="U396" s="65"/>
      <c r="V396" s="50"/>
      <c r="W396" s="65"/>
      <c r="X396" s="50"/>
      <c r="Y396" s="1553">
        <f t="shared" si="108"/>
        <v>3</v>
      </c>
      <c r="Z396" s="51">
        <f t="shared" si="109"/>
        <v>1487800</v>
      </c>
      <c r="AA396" s="1553">
        <f t="shared" si="110"/>
        <v>39</v>
      </c>
      <c r="AB396" s="51">
        <f t="shared" si="111"/>
        <v>42321549</v>
      </c>
      <c r="AC396" s="1522">
        <f t="shared" si="112"/>
        <v>54.166666666666664</v>
      </c>
      <c r="AD396" s="1522">
        <f t="shared" si="113"/>
        <v>3.2555037692307693</v>
      </c>
      <c r="AE396" s="79"/>
      <c r="AF396" s="201"/>
      <c r="AG396" s="750"/>
      <c r="AH396" s="750"/>
      <c r="AI396" s="750"/>
      <c r="AJ396" s="750"/>
      <c r="AK396" s="750"/>
      <c r="AL396" s="750"/>
      <c r="AM396" s="750"/>
      <c r="AN396" s="750"/>
      <c r="AO396" s="750"/>
      <c r="AP396" s="750"/>
      <c r="AQ396" s="750"/>
      <c r="AR396" s="750"/>
      <c r="AS396" s="750"/>
      <c r="AT396" s="750"/>
      <c r="AU396" s="750"/>
      <c r="AV396" s="750"/>
      <c r="AW396" s="750"/>
      <c r="AX396" s="750"/>
      <c r="AY396" s="750"/>
      <c r="AZ396" s="750"/>
      <c r="BA396" s="750"/>
      <c r="BB396" s="750"/>
      <c r="BC396" s="1547"/>
      <c r="BD396" s="1548"/>
      <c r="BE396" s="1548"/>
      <c r="BF396" s="1548"/>
      <c r="BG396" s="1548"/>
      <c r="BH396" s="1548"/>
      <c r="BI396" s="1548"/>
      <c r="BJ396" s="1548"/>
      <c r="BK396" s="1548"/>
      <c r="BL396" s="1548"/>
      <c r="BM396" s="1548"/>
      <c r="BN396" s="1548"/>
      <c r="BO396" s="1548"/>
      <c r="BP396" s="1548"/>
      <c r="BQ396" s="1548"/>
      <c r="BR396" s="1548"/>
    </row>
    <row r="397" spans="1:70" s="938" customFormat="1" ht="49.5">
      <c r="A397" s="79"/>
      <c r="B397" s="47"/>
      <c r="C397" s="76">
        <v>1</v>
      </c>
      <c r="D397" s="1427" t="s">
        <v>25</v>
      </c>
      <c r="E397" s="1427" t="s">
        <v>39</v>
      </c>
      <c r="F397" s="1427">
        <v>1</v>
      </c>
      <c r="G397" s="1427"/>
      <c r="H397" s="1427" t="s">
        <v>25</v>
      </c>
      <c r="I397" s="59" t="s">
        <v>882</v>
      </c>
      <c r="J397" s="59" t="s">
        <v>2681</v>
      </c>
      <c r="K397" s="1553">
        <v>3</v>
      </c>
      <c r="L397" s="50">
        <v>652903600</v>
      </c>
      <c r="M397" s="1553">
        <v>3</v>
      </c>
      <c r="N397" s="50">
        <v>154892749</v>
      </c>
      <c r="O397" s="1553">
        <v>0</v>
      </c>
      <c r="P397" s="63">
        <v>0</v>
      </c>
      <c r="Q397" s="1553">
        <v>0</v>
      </c>
      <c r="R397" s="50">
        <v>0</v>
      </c>
      <c r="S397" s="62"/>
      <c r="T397" s="50"/>
      <c r="U397" s="62"/>
      <c r="V397" s="50"/>
      <c r="W397" s="65"/>
      <c r="X397" s="50"/>
      <c r="Y397" s="1553">
        <f t="shared" si="108"/>
        <v>0</v>
      </c>
      <c r="Z397" s="51">
        <f t="shared" si="109"/>
        <v>0</v>
      </c>
      <c r="AA397" s="1553">
        <f t="shared" si="110"/>
        <v>3</v>
      </c>
      <c r="AB397" s="51">
        <f t="shared" si="111"/>
        <v>154892749</v>
      </c>
      <c r="AC397" s="1522">
        <f t="shared" si="112"/>
        <v>100</v>
      </c>
      <c r="AD397" s="1522">
        <f t="shared" si="113"/>
        <v>23.723678196903801</v>
      </c>
      <c r="AE397" s="79"/>
      <c r="AF397" s="201"/>
      <c r="AG397" s="750"/>
      <c r="AH397" s="750"/>
      <c r="AI397" s="750"/>
      <c r="AJ397" s="750"/>
      <c r="AK397" s="750"/>
      <c r="AL397" s="750"/>
      <c r="AM397" s="750"/>
      <c r="AN397" s="750"/>
      <c r="AO397" s="750"/>
      <c r="AP397" s="750"/>
      <c r="AQ397" s="750"/>
      <c r="AR397" s="750"/>
      <c r="AS397" s="750"/>
      <c r="AT397" s="750"/>
      <c r="AU397" s="750"/>
      <c r="AV397" s="750"/>
      <c r="AW397" s="750"/>
      <c r="AX397" s="750"/>
      <c r="AY397" s="750"/>
      <c r="AZ397" s="750"/>
      <c r="BA397" s="750"/>
      <c r="BB397" s="750"/>
      <c r="BC397" s="1547"/>
      <c r="BD397" s="1548"/>
      <c r="BE397" s="1548"/>
      <c r="BF397" s="1548"/>
      <c r="BG397" s="1548"/>
      <c r="BH397" s="1548"/>
      <c r="BI397" s="1548"/>
      <c r="BJ397" s="1548"/>
      <c r="BK397" s="1548"/>
      <c r="BL397" s="1548"/>
      <c r="BM397" s="1548"/>
      <c r="BN397" s="1548"/>
      <c r="BO397" s="1548"/>
      <c r="BP397" s="1548"/>
      <c r="BQ397" s="1548"/>
      <c r="BR397" s="1548"/>
    </row>
    <row r="398" spans="1:70" s="938" customFormat="1" ht="49.5">
      <c r="A398" s="79"/>
      <c r="B398" s="47"/>
      <c r="C398" s="76">
        <v>1</v>
      </c>
      <c r="D398" s="1427" t="s">
        <v>25</v>
      </c>
      <c r="E398" s="1427" t="s">
        <v>39</v>
      </c>
      <c r="F398" s="1427">
        <v>1</v>
      </c>
      <c r="G398" s="1427"/>
      <c r="H398" s="1427" t="s">
        <v>25</v>
      </c>
      <c r="I398" s="80" t="s">
        <v>883</v>
      </c>
      <c r="J398" s="80" t="s">
        <v>2679</v>
      </c>
      <c r="K398" s="1553">
        <v>22</v>
      </c>
      <c r="L398" s="50">
        <v>27805957900</v>
      </c>
      <c r="M398" s="1553">
        <v>6</v>
      </c>
      <c r="N398" s="50">
        <v>5346703950</v>
      </c>
      <c r="O398" s="1553">
        <v>5</v>
      </c>
      <c r="P398" s="63">
        <v>4587756000</v>
      </c>
      <c r="Q398" s="1553">
        <v>0</v>
      </c>
      <c r="R398" s="50">
        <v>2634000</v>
      </c>
      <c r="S398" s="83">
        <v>0</v>
      </c>
      <c r="T398" s="50">
        <v>533885450</v>
      </c>
      <c r="U398" s="62"/>
      <c r="V398" s="50"/>
      <c r="W398" s="65"/>
      <c r="X398" s="50"/>
      <c r="Y398" s="1553">
        <f t="shared" si="108"/>
        <v>0</v>
      </c>
      <c r="Z398" s="51">
        <f t="shared" si="109"/>
        <v>536519450</v>
      </c>
      <c r="AA398" s="1553">
        <f t="shared" si="110"/>
        <v>6</v>
      </c>
      <c r="AB398" s="51">
        <f t="shared" si="111"/>
        <v>5883223400</v>
      </c>
      <c r="AC398" s="1522">
        <f t="shared" si="112"/>
        <v>27.27272727272727</v>
      </c>
      <c r="AD398" s="1522">
        <f t="shared" si="113"/>
        <v>21.158139637404833</v>
      </c>
      <c r="AE398" s="79"/>
      <c r="AF398" s="201"/>
      <c r="AG398" s="750"/>
      <c r="AH398" s="750"/>
      <c r="AI398" s="750"/>
      <c r="AJ398" s="750"/>
      <c r="AK398" s="750"/>
      <c r="AL398" s="750"/>
      <c r="AM398" s="750"/>
      <c r="AN398" s="750"/>
      <c r="AO398" s="750"/>
      <c r="AP398" s="750"/>
      <c r="AQ398" s="750"/>
      <c r="AR398" s="750"/>
      <c r="AS398" s="750"/>
      <c r="AT398" s="750"/>
      <c r="AU398" s="750"/>
      <c r="AV398" s="750"/>
      <c r="AW398" s="750"/>
      <c r="AX398" s="750"/>
      <c r="AY398" s="750"/>
      <c r="AZ398" s="750"/>
      <c r="BA398" s="750"/>
      <c r="BB398" s="750"/>
      <c r="BC398" s="1547"/>
      <c r="BD398" s="1548"/>
      <c r="BE398" s="1548"/>
      <c r="BF398" s="1548"/>
      <c r="BG398" s="1548"/>
      <c r="BH398" s="1548"/>
      <c r="BI398" s="1548"/>
      <c r="BJ398" s="1548"/>
      <c r="BK398" s="1548"/>
      <c r="BL398" s="1548"/>
      <c r="BM398" s="1548"/>
      <c r="BN398" s="1548"/>
      <c r="BO398" s="1548"/>
      <c r="BP398" s="1548"/>
      <c r="BQ398" s="1548"/>
      <c r="BR398" s="1548"/>
    </row>
    <row r="399" spans="1:70" s="938" customFormat="1" ht="49.5">
      <c r="A399" s="79"/>
      <c r="B399" s="47"/>
      <c r="C399" s="76">
        <v>1</v>
      </c>
      <c r="D399" s="1427" t="s">
        <v>25</v>
      </c>
      <c r="E399" s="1427" t="s">
        <v>39</v>
      </c>
      <c r="F399" s="1427">
        <v>1</v>
      </c>
      <c r="G399" s="1427"/>
      <c r="H399" s="1427" t="s">
        <v>25</v>
      </c>
      <c r="I399" s="80" t="s">
        <v>884</v>
      </c>
      <c r="J399" s="80" t="s">
        <v>880</v>
      </c>
      <c r="K399" s="1553">
        <v>8</v>
      </c>
      <c r="L399" s="50">
        <f>3*P399</f>
        <v>9781533000</v>
      </c>
      <c r="M399" s="1553">
        <v>1</v>
      </c>
      <c r="N399" s="50">
        <v>1478236336</v>
      </c>
      <c r="O399" s="1553">
        <v>2</v>
      </c>
      <c r="P399" s="63">
        <v>3260511000</v>
      </c>
      <c r="Q399" s="1553">
        <v>0</v>
      </c>
      <c r="R399" s="50">
        <v>20725000</v>
      </c>
      <c r="S399" s="83">
        <v>0</v>
      </c>
      <c r="T399" s="50">
        <v>438330800</v>
      </c>
      <c r="U399" s="62"/>
      <c r="V399" s="50"/>
      <c r="W399" s="65"/>
      <c r="X399" s="50"/>
      <c r="Y399" s="1553">
        <f t="shared" si="108"/>
        <v>0</v>
      </c>
      <c r="Z399" s="51">
        <f t="shared" si="109"/>
        <v>459055800</v>
      </c>
      <c r="AA399" s="1553">
        <f t="shared" si="110"/>
        <v>1</v>
      </c>
      <c r="AB399" s="51">
        <f t="shared" si="111"/>
        <v>1937292136</v>
      </c>
      <c r="AC399" s="1522">
        <f t="shared" si="112"/>
        <v>12.5</v>
      </c>
      <c r="AD399" s="1522">
        <f t="shared" si="113"/>
        <v>19.805608548271522</v>
      </c>
      <c r="AE399" s="79"/>
      <c r="AF399" s="201"/>
      <c r="AG399" s="750"/>
      <c r="AH399" s="750"/>
      <c r="AI399" s="750"/>
      <c r="AJ399" s="750"/>
      <c r="AK399" s="750"/>
      <c r="AL399" s="750"/>
      <c r="AM399" s="750"/>
      <c r="AN399" s="750"/>
      <c r="AO399" s="750"/>
      <c r="AP399" s="750"/>
      <c r="AQ399" s="750"/>
      <c r="AR399" s="750"/>
      <c r="AS399" s="750"/>
      <c r="AT399" s="750"/>
      <c r="AU399" s="750"/>
      <c r="AV399" s="750"/>
      <c r="AW399" s="750"/>
      <c r="AX399" s="750"/>
      <c r="AY399" s="750"/>
      <c r="AZ399" s="750"/>
      <c r="BA399" s="750"/>
      <c r="BB399" s="750"/>
      <c r="BC399" s="1547"/>
      <c r="BD399" s="1548"/>
      <c r="BE399" s="1548"/>
      <c r="BF399" s="1548"/>
      <c r="BG399" s="1548"/>
      <c r="BH399" s="1548"/>
      <c r="BI399" s="1548"/>
      <c r="BJ399" s="1548"/>
      <c r="BK399" s="1548"/>
      <c r="BL399" s="1548"/>
      <c r="BM399" s="1548"/>
      <c r="BN399" s="1548"/>
      <c r="BO399" s="1548"/>
      <c r="BP399" s="1548"/>
      <c r="BQ399" s="1548"/>
      <c r="BR399" s="1548"/>
    </row>
    <row r="400" spans="1:70" s="938" customFormat="1" ht="49.5">
      <c r="A400" s="79"/>
      <c r="B400" s="47"/>
      <c r="C400" s="76">
        <v>1</v>
      </c>
      <c r="D400" s="1427" t="s">
        <v>25</v>
      </c>
      <c r="E400" s="1427" t="s">
        <v>39</v>
      </c>
      <c r="F400" s="1427">
        <v>1</v>
      </c>
      <c r="G400" s="1427"/>
      <c r="H400" s="1427" t="s">
        <v>25</v>
      </c>
      <c r="I400" s="80" t="s">
        <v>885</v>
      </c>
      <c r="J400" s="80" t="s">
        <v>880</v>
      </c>
      <c r="K400" s="1553">
        <v>15</v>
      </c>
      <c r="L400" s="50">
        <f>3*P400</f>
        <v>8325000000</v>
      </c>
      <c r="M400" s="1553">
        <v>0</v>
      </c>
      <c r="N400" s="50">
        <v>0</v>
      </c>
      <c r="O400" s="1553">
        <v>6</v>
      </c>
      <c r="P400" s="63">
        <v>2775000000</v>
      </c>
      <c r="Q400" s="1553">
        <v>0</v>
      </c>
      <c r="R400" s="50">
        <v>0</v>
      </c>
      <c r="S400" s="83">
        <v>1</v>
      </c>
      <c r="T400" s="50">
        <v>87337600</v>
      </c>
      <c r="U400" s="62"/>
      <c r="V400" s="50"/>
      <c r="W400" s="65"/>
      <c r="X400" s="50"/>
      <c r="Y400" s="1553">
        <f t="shared" si="108"/>
        <v>1</v>
      </c>
      <c r="Z400" s="51">
        <f t="shared" si="109"/>
        <v>87337600</v>
      </c>
      <c r="AA400" s="1553">
        <f t="shared" si="110"/>
        <v>1</v>
      </c>
      <c r="AB400" s="51">
        <f t="shared" si="111"/>
        <v>87337600</v>
      </c>
      <c r="AC400" s="1522">
        <f t="shared" si="112"/>
        <v>6.666666666666667</v>
      </c>
      <c r="AD400" s="1522">
        <f t="shared" si="113"/>
        <v>1.0491003003003003</v>
      </c>
      <c r="AE400" s="79"/>
      <c r="AF400" s="201"/>
      <c r="AG400" s="750"/>
      <c r="AH400" s="750"/>
      <c r="AI400" s="750"/>
      <c r="AJ400" s="750"/>
      <c r="AK400" s="750"/>
      <c r="AL400" s="750"/>
      <c r="AM400" s="750"/>
      <c r="AN400" s="750"/>
      <c r="AO400" s="750"/>
      <c r="AP400" s="750"/>
      <c r="AQ400" s="750"/>
      <c r="AR400" s="750"/>
      <c r="AS400" s="750"/>
      <c r="AT400" s="750"/>
      <c r="AU400" s="750"/>
      <c r="AV400" s="750"/>
      <c r="AW400" s="750"/>
      <c r="AX400" s="750"/>
      <c r="AY400" s="750"/>
      <c r="AZ400" s="750"/>
      <c r="BA400" s="750"/>
      <c r="BB400" s="750"/>
      <c r="BC400" s="1547"/>
      <c r="BD400" s="1548"/>
      <c r="BE400" s="1548"/>
      <c r="BF400" s="1548"/>
      <c r="BG400" s="1548"/>
      <c r="BH400" s="1548"/>
      <c r="BI400" s="1548"/>
      <c r="BJ400" s="1548"/>
      <c r="BK400" s="1548"/>
      <c r="BL400" s="1548"/>
      <c r="BM400" s="1548"/>
      <c r="BN400" s="1548"/>
      <c r="BO400" s="1548"/>
      <c r="BP400" s="1548"/>
      <c r="BQ400" s="1548"/>
      <c r="BR400" s="1548"/>
    </row>
    <row r="401" spans="1:70" s="938" customFormat="1" ht="49.5">
      <c r="A401" s="79"/>
      <c r="B401" s="47"/>
      <c r="C401" s="76">
        <v>1</v>
      </c>
      <c r="D401" s="1427" t="s">
        <v>25</v>
      </c>
      <c r="E401" s="1427" t="s">
        <v>39</v>
      </c>
      <c r="F401" s="1427">
        <v>1</v>
      </c>
      <c r="G401" s="1427"/>
      <c r="H401" s="1427" t="s">
        <v>25</v>
      </c>
      <c r="I401" s="80" t="s">
        <v>886</v>
      </c>
      <c r="J401" s="47" t="s">
        <v>2682</v>
      </c>
      <c r="K401" s="1553">
        <v>36</v>
      </c>
      <c r="L401" s="50">
        <v>820000000</v>
      </c>
      <c r="M401" s="1570">
        <v>0</v>
      </c>
      <c r="N401" s="82">
        <v>0</v>
      </c>
      <c r="O401" s="1553">
        <v>12</v>
      </c>
      <c r="P401" s="63">
        <v>46748964</v>
      </c>
      <c r="Q401" s="1553">
        <v>3</v>
      </c>
      <c r="R401" s="50">
        <v>1867000</v>
      </c>
      <c r="S401" s="83">
        <v>3</v>
      </c>
      <c r="T401" s="50">
        <v>14192000</v>
      </c>
      <c r="U401" s="62"/>
      <c r="V401" s="50"/>
      <c r="W401" s="65"/>
      <c r="X401" s="50"/>
      <c r="Y401" s="1553">
        <f t="shared" si="108"/>
        <v>6</v>
      </c>
      <c r="Z401" s="51">
        <f t="shared" si="109"/>
        <v>16059000</v>
      </c>
      <c r="AA401" s="1553">
        <f t="shared" si="110"/>
        <v>6</v>
      </c>
      <c r="AB401" s="51">
        <f t="shared" si="111"/>
        <v>16059000</v>
      </c>
      <c r="AC401" s="1522">
        <f t="shared" si="112"/>
        <v>16.666666666666664</v>
      </c>
      <c r="AD401" s="1522">
        <f t="shared" si="113"/>
        <v>1.9584146341463413</v>
      </c>
      <c r="AE401" s="79"/>
      <c r="AF401" s="201"/>
      <c r="AG401" s="750"/>
      <c r="AH401" s="750"/>
      <c r="AI401" s="750"/>
      <c r="AJ401" s="750"/>
      <c r="AK401" s="750"/>
      <c r="AL401" s="750"/>
      <c r="AM401" s="750"/>
      <c r="AN401" s="750"/>
      <c r="AO401" s="750"/>
      <c r="AP401" s="750"/>
      <c r="AQ401" s="750"/>
      <c r="AR401" s="750"/>
      <c r="AS401" s="750"/>
      <c r="AT401" s="750"/>
      <c r="AU401" s="750"/>
      <c r="AV401" s="750"/>
      <c r="AW401" s="750"/>
      <c r="AX401" s="750"/>
      <c r="AY401" s="750"/>
      <c r="AZ401" s="750"/>
      <c r="BA401" s="750"/>
      <c r="BB401" s="750"/>
      <c r="BC401" s="1547"/>
      <c r="BD401" s="1548"/>
      <c r="BE401" s="1548"/>
      <c r="BF401" s="1548"/>
      <c r="BG401" s="1548"/>
      <c r="BH401" s="1548"/>
      <c r="BI401" s="1548"/>
      <c r="BJ401" s="1548"/>
      <c r="BK401" s="1548"/>
      <c r="BL401" s="1548"/>
      <c r="BM401" s="1548"/>
      <c r="BN401" s="1548"/>
      <c r="BO401" s="1548"/>
      <c r="BP401" s="1548"/>
      <c r="BQ401" s="1548"/>
      <c r="BR401" s="1548"/>
    </row>
    <row r="402" spans="1:70" s="938" customFormat="1" ht="49.5">
      <c r="A402" s="79"/>
      <c r="B402" s="47"/>
      <c r="C402" s="76">
        <v>1</v>
      </c>
      <c r="D402" s="1427" t="s">
        <v>25</v>
      </c>
      <c r="E402" s="1427" t="s">
        <v>39</v>
      </c>
      <c r="F402" s="1427">
        <v>1</v>
      </c>
      <c r="G402" s="1427"/>
      <c r="H402" s="1427" t="s">
        <v>25</v>
      </c>
      <c r="I402" s="80" t="s">
        <v>887</v>
      </c>
      <c r="J402" s="47" t="s">
        <v>2683</v>
      </c>
      <c r="K402" s="1553">
        <v>10</v>
      </c>
      <c r="L402" s="50">
        <f>3*N402</f>
        <v>5354628000</v>
      </c>
      <c r="M402" s="1553">
        <v>4</v>
      </c>
      <c r="N402" s="50">
        <v>1784876000</v>
      </c>
      <c r="O402" s="1553">
        <v>4</v>
      </c>
      <c r="P402" s="63">
        <v>2205808000</v>
      </c>
      <c r="Q402" s="1553">
        <v>0</v>
      </c>
      <c r="R402" s="50">
        <v>0</v>
      </c>
      <c r="S402" s="83">
        <v>0</v>
      </c>
      <c r="T402" s="50">
        <v>12850000</v>
      </c>
      <c r="U402" s="62"/>
      <c r="V402" s="50"/>
      <c r="W402" s="65"/>
      <c r="X402" s="50"/>
      <c r="Y402" s="1553">
        <f t="shared" si="108"/>
        <v>0</v>
      </c>
      <c r="Z402" s="51">
        <f t="shared" si="109"/>
        <v>12850000</v>
      </c>
      <c r="AA402" s="1553">
        <f t="shared" si="110"/>
        <v>4</v>
      </c>
      <c r="AB402" s="51">
        <f t="shared" si="111"/>
        <v>1797726000</v>
      </c>
      <c r="AC402" s="1522">
        <f t="shared" si="112"/>
        <v>40</v>
      </c>
      <c r="AD402" s="1522">
        <f t="shared" si="113"/>
        <v>33.573312655893183</v>
      </c>
      <c r="AE402" s="79"/>
      <c r="AF402" s="201"/>
      <c r="AG402" s="750"/>
      <c r="AH402" s="750"/>
      <c r="AI402" s="750"/>
      <c r="AJ402" s="750"/>
      <c r="AK402" s="750"/>
      <c r="AL402" s="750"/>
      <c r="AM402" s="750"/>
      <c r="AN402" s="750"/>
      <c r="AO402" s="750"/>
      <c r="AP402" s="750"/>
      <c r="AQ402" s="750"/>
      <c r="AR402" s="750"/>
      <c r="AS402" s="750"/>
      <c r="AT402" s="750"/>
      <c r="AU402" s="750"/>
      <c r="AV402" s="750"/>
      <c r="AW402" s="750"/>
      <c r="AX402" s="750"/>
      <c r="AY402" s="750"/>
      <c r="AZ402" s="750"/>
      <c r="BA402" s="750"/>
      <c r="BB402" s="750"/>
      <c r="BC402" s="1547"/>
      <c r="BD402" s="1548"/>
      <c r="BE402" s="1548"/>
      <c r="BF402" s="1548"/>
      <c r="BG402" s="1548"/>
      <c r="BH402" s="1548"/>
      <c r="BI402" s="1548"/>
      <c r="BJ402" s="1548"/>
      <c r="BK402" s="1548"/>
      <c r="BL402" s="1548"/>
      <c r="BM402" s="1548"/>
      <c r="BN402" s="1548"/>
      <c r="BO402" s="1548"/>
      <c r="BP402" s="1548"/>
      <c r="BQ402" s="1548"/>
      <c r="BR402" s="1548"/>
    </row>
    <row r="403" spans="1:70" s="938" customFormat="1" ht="49.5">
      <c r="A403" s="79"/>
      <c r="B403" s="47"/>
      <c r="C403" s="76">
        <v>1</v>
      </c>
      <c r="D403" s="1427" t="s">
        <v>25</v>
      </c>
      <c r="E403" s="1427" t="s">
        <v>39</v>
      </c>
      <c r="F403" s="1427">
        <v>1</v>
      </c>
      <c r="G403" s="1427"/>
      <c r="H403" s="1427" t="s">
        <v>25</v>
      </c>
      <c r="I403" s="80" t="s">
        <v>888</v>
      </c>
      <c r="J403" s="47" t="s">
        <v>2683</v>
      </c>
      <c r="K403" s="1553">
        <v>7</v>
      </c>
      <c r="L403" s="50">
        <v>5932870000</v>
      </c>
      <c r="M403" s="1553">
        <v>7</v>
      </c>
      <c r="N403" s="50">
        <v>5380310000</v>
      </c>
      <c r="O403" s="1553">
        <v>0</v>
      </c>
      <c r="P403" s="63">
        <v>0</v>
      </c>
      <c r="Q403" s="1553">
        <v>0</v>
      </c>
      <c r="R403" s="50">
        <v>0</v>
      </c>
      <c r="S403" s="83"/>
      <c r="T403" s="50"/>
      <c r="U403" s="62"/>
      <c r="V403" s="50"/>
      <c r="W403" s="65"/>
      <c r="X403" s="50"/>
      <c r="Y403" s="1553">
        <f t="shared" si="108"/>
        <v>0</v>
      </c>
      <c r="Z403" s="51">
        <f t="shared" si="109"/>
        <v>0</v>
      </c>
      <c r="AA403" s="1553">
        <f t="shared" si="110"/>
        <v>7</v>
      </c>
      <c r="AB403" s="51">
        <f t="shared" si="111"/>
        <v>5380310000</v>
      </c>
      <c r="AC403" s="1522">
        <f t="shared" si="112"/>
        <v>100</v>
      </c>
      <c r="AD403" s="1522">
        <f t="shared" si="113"/>
        <v>90.68646371823418</v>
      </c>
      <c r="AE403" s="79"/>
      <c r="AF403" s="201"/>
      <c r="AG403" s="750"/>
      <c r="AH403" s="750"/>
      <c r="AI403" s="750"/>
      <c r="AJ403" s="750"/>
      <c r="AK403" s="750"/>
      <c r="AL403" s="750"/>
      <c r="AM403" s="750"/>
      <c r="AN403" s="750"/>
      <c r="AO403" s="750"/>
      <c r="AP403" s="750"/>
      <c r="AQ403" s="750"/>
      <c r="AR403" s="750"/>
      <c r="AS403" s="750"/>
      <c r="AT403" s="750"/>
      <c r="AU403" s="750"/>
      <c r="AV403" s="750"/>
      <c r="AW403" s="750"/>
      <c r="AX403" s="750"/>
      <c r="AY403" s="750"/>
      <c r="AZ403" s="750"/>
      <c r="BA403" s="750"/>
      <c r="BB403" s="750"/>
      <c r="BC403" s="1547"/>
      <c r="BD403" s="1548"/>
      <c r="BE403" s="1548"/>
      <c r="BF403" s="1548"/>
      <c r="BG403" s="1548"/>
      <c r="BH403" s="1548"/>
      <c r="BI403" s="1548"/>
      <c r="BJ403" s="1548"/>
      <c r="BK403" s="1548"/>
      <c r="BL403" s="1548"/>
      <c r="BM403" s="1548"/>
      <c r="BN403" s="1548"/>
      <c r="BO403" s="1548"/>
      <c r="BP403" s="1548"/>
      <c r="BQ403" s="1548"/>
      <c r="BR403" s="1548"/>
    </row>
    <row r="404" spans="1:70" s="938" customFormat="1" ht="49.5">
      <c r="A404" s="79"/>
      <c r="B404" s="47"/>
      <c r="C404" s="76">
        <v>1</v>
      </c>
      <c r="D404" s="1427" t="s">
        <v>25</v>
      </c>
      <c r="E404" s="1427" t="s">
        <v>39</v>
      </c>
      <c r="F404" s="1427">
        <v>1</v>
      </c>
      <c r="G404" s="1427"/>
      <c r="H404" s="1427" t="s">
        <v>25</v>
      </c>
      <c r="I404" s="80" t="s">
        <v>889</v>
      </c>
      <c r="J404" s="47" t="s">
        <v>2683</v>
      </c>
      <c r="K404" s="1553">
        <v>28</v>
      </c>
      <c r="L404" s="50">
        <f>2*P404</f>
        <v>4200000000</v>
      </c>
      <c r="M404" s="1553">
        <v>0</v>
      </c>
      <c r="N404" s="50">
        <v>0</v>
      </c>
      <c r="O404" s="1553">
        <v>14</v>
      </c>
      <c r="P404" s="63">
        <v>2100000000</v>
      </c>
      <c r="Q404" s="1553">
        <v>0</v>
      </c>
      <c r="R404" s="50">
        <v>0</v>
      </c>
      <c r="S404" s="83">
        <v>0</v>
      </c>
      <c r="T404" s="50">
        <v>7000000</v>
      </c>
      <c r="U404" s="62"/>
      <c r="V404" s="50"/>
      <c r="W404" s="65"/>
      <c r="X404" s="50"/>
      <c r="Y404" s="1553">
        <f t="shared" si="108"/>
        <v>0</v>
      </c>
      <c r="Z404" s="51">
        <f t="shared" si="109"/>
        <v>7000000</v>
      </c>
      <c r="AA404" s="1553">
        <f t="shared" si="110"/>
        <v>0</v>
      </c>
      <c r="AB404" s="51">
        <f t="shared" si="111"/>
        <v>7000000</v>
      </c>
      <c r="AC404" s="1522">
        <f t="shared" si="112"/>
        <v>0</v>
      </c>
      <c r="AD404" s="1522">
        <f t="shared" si="113"/>
        <v>0.16666666666666669</v>
      </c>
      <c r="AE404" s="79"/>
      <c r="AF404" s="201"/>
      <c r="AG404" s="750"/>
      <c r="AH404" s="750"/>
      <c r="AI404" s="750"/>
      <c r="AJ404" s="750"/>
      <c r="AK404" s="750"/>
      <c r="AL404" s="750"/>
      <c r="AM404" s="750"/>
      <c r="AN404" s="750"/>
      <c r="AO404" s="750"/>
      <c r="AP404" s="750"/>
      <c r="AQ404" s="750"/>
      <c r="AR404" s="750"/>
      <c r="AS404" s="750"/>
      <c r="AT404" s="750"/>
      <c r="AU404" s="750"/>
      <c r="AV404" s="750"/>
      <c r="AW404" s="750"/>
      <c r="AX404" s="750"/>
      <c r="AY404" s="750"/>
      <c r="AZ404" s="750"/>
      <c r="BA404" s="750"/>
      <c r="BB404" s="750"/>
      <c r="BC404" s="1547"/>
      <c r="BD404" s="1548"/>
      <c r="BE404" s="1548"/>
      <c r="BF404" s="1548"/>
      <c r="BG404" s="1548"/>
      <c r="BH404" s="1548"/>
      <c r="BI404" s="1548"/>
      <c r="BJ404" s="1548"/>
      <c r="BK404" s="1548"/>
      <c r="BL404" s="1548"/>
      <c r="BM404" s="1548"/>
      <c r="BN404" s="1548"/>
      <c r="BO404" s="1548"/>
      <c r="BP404" s="1548"/>
      <c r="BQ404" s="1548"/>
      <c r="BR404" s="1548"/>
    </row>
    <row r="405" spans="1:70" s="938" customFormat="1" ht="49.5">
      <c r="A405" s="79"/>
      <c r="B405" s="47"/>
      <c r="C405" s="1422">
        <v>1</v>
      </c>
      <c r="D405" s="1423" t="s">
        <v>25</v>
      </c>
      <c r="E405" s="1423" t="s">
        <v>39</v>
      </c>
      <c r="F405" s="1423">
        <v>1</v>
      </c>
      <c r="G405" s="1423"/>
      <c r="H405" s="1423" t="s">
        <v>25</v>
      </c>
      <c r="I405" s="48" t="s">
        <v>890</v>
      </c>
      <c r="J405" s="47" t="s">
        <v>2684</v>
      </c>
      <c r="K405" s="1553">
        <v>36</v>
      </c>
      <c r="L405" s="50">
        <v>820000000</v>
      </c>
      <c r="M405" s="1562">
        <v>0</v>
      </c>
      <c r="N405" s="84">
        <v>0</v>
      </c>
      <c r="O405" s="1562">
        <v>12</v>
      </c>
      <c r="P405" s="50">
        <v>95261787</v>
      </c>
      <c r="Q405" s="1553">
        <v>3</v>
      </c>
      <c r="R405" s="50">
        <v>2274500</v>
      </c>
      <c r="S405" s="62">
        <v>3</v>
      </c>
      <c r="T405" s="50">
        <v>23620750</v>
      </c>
      <c r="U405" s="62"/>
      <c r="V405" s="50"/>
      <c r="W405" s="78"/>
      <c r="X405" s="50"/>
      <c r="Y405" s="1553">
        <f t="shared" si="108"/>
        <v>6</v>
      </c>
      <c r="Z405" s="51">
        <f t="shared" si="109"/>
        <v>25895250</v>
      </c>
      <c r="AA405" s="1562">
        <f t="shared" si="110"/>
        <v>6</v>
      </c>
      <c r="AB405" s="51">
        <f t="shared" si="111"/>
        <v>25895250</v>
      </c>
      <c r="AC405" s="1522">
        <f t="shared" si="112"/>
        <v>16.666666666666664</v>
      </c>
      <c r="AD405" s="1522">
        <f t="shared" si="113"/>
        <v>3.1579573170731705</v>
      </c>
      <c r="AE405" s="79"/>
      <c r="AF405" s="201"/>
      <c r="AG405" s="750"/>
      <c r="AH405" s="750"/>
      <c r="AI405" s="750"/>
      <c r="AJ405" s="750"/>
      <c r="AK405" s="750"/>
      <c r="AL405" s="750"/>
      <c r="AM405" s="750"/>
      <c r="AN405" s="750"/>
      <c r="AO405" s="750"/>
      <c r="AP405" s="750"/>
      <c r="AQ405" s="750"/>
      <c r="AR405" s="750"/>
      <c r="AS405" s="750"/>
      <c r="AT405" s="750"/>
      <c r="AU405" s="750"/>
      <c r="AV405" s="750"/>
      <c r="AW405" s="750"/>
      <c r="AX405" s="750"/>
      <c r="AY405" s="750"/>
      <c r="AZ405" s="750"/>
      <c r="BA405" s="750"/>
      <c r="BB405" s="750"/>
      <c r="BC405" s="1547"/>
      <c r="BD405" s="1548"/>
      <c r="BE405" s="1548"/>
      <c r="BF405" s="1548"/>
      <c r="BG405" s="1548"/>
      <c r="BH405" s="1548"/>
      <c r="BI405" s="1548"/>
      <c r="BJ405" s="1548"/>
      <c r="BK405" s="1548"/>
      <c r="BL405" s="1548"/>
      <c r="BM405" s="1548"/>
      <c r="BN405" s="1548"/>
      <c r="BO405" s="1548"/>
      <c r="BP405" s="1548"/>
      <c r="BQ405" s="1548"/>
      <c r="BR405" s="1548"/>
    </row>
    <row r="406" spans="1:70" s="938" customFormat="1" ht="66">
      <c r="A406" s="79"/>
      <c r="B406" s="47"/>
      <c r="C406" s="1422">
        <v>1</v>
      </c>
      <c r="D406" s="1423" t="s">
        <v>25</v>
      </c>
      <c r="E406" s="1423" t="s">
        <v>39</v>
      </c>
      <c r="F406" s="1423">
        <v>1</v>
      </c>
      <c r="G406" s="1423"/>
      <c r="H406" s="1423" t="s">
        <v>25</v>
      </c>
      <c r="I406" s="80" t="s">
        <v>891</v>
      </c>
      <c r="J406" s="47" t="s">
        <v>2685</v>
      </c>
      <c r="K406" s="1553">
        <v>5</v>
      </c>
      <c r="L406" s="50">
        <v>282649882</v>
      </c>
      <c r="M406" s="1553">
        <v>5</v>
      </c>
      <c r="N406" s="50">
        <v>270830400</v>
      </c>
      <c r="O406" s="1553"/>
      <c r="P406" s="63">
        <v>0</v>
      </c>
      <c r="Q406" s="1553"/>
      <c r="R406" s="50"/>
      <c r="S406" s="83"/>
      <c r="T406" s="50"/>
      <c r="U406" s="62"/>
      <c r="V406" s="50"/>
      <c r="W406" s="65"/>
      <c r="X406" s="50"/>
      <c r="Y406" s="1553">
        <f t="shared" si="108"/>
        <v>0</v>
      </c>
      <c r="Z406" s="51">
        <f t="shared" si="109"/>
        <v>0</v>
      </c>
      <c r="AA406" s="1553">
        <f t="shared" si="110"/>
        <v>5</v>
      </c>
      <c r="AB406" s="51">
        <f t="shared" si="111"/>
        <v>270830400</v>
      </c>
      <c r="AC406" s="1522">
        <f t="shared" si="112"/>
        <v>100</v>
      </c>
      <c r="AD406" s="1522">
        <f t="shared" si="113"/>
        <v>95.818331174820727</v>
      </c>
      <c r="AE406" s="79"/>
      <c r="AF406" s="201"/>
      <c r="AG406" s="750"/>
      <c r="AH406" s="750"/>
      <c r="AI406" s="750"/>
      <c r="AJ406" s="750"/>
      <c r="AK406" s="750"/>
      <c r="AL406" s="750"/>
      <c r="AM406" s="750"/>
      <c r="AN406" s="750"/>
      <c r="AO406" s="750"/>
      <c r="AP406" s="750"/>
      <c r="AQ406" s="750"/>
      <c r="AR406" s="750"/>
      <c r="AS406" s="750"/>
      <c r="AT406" s="750"/>
      <c r="AU406" s="750"/>
      <c r="AV406" s="750"/>
      <c r="AW406" s="750"/>
      <c r="AX406" s="750"/>
      <c r="AY406" s="750"/>
      <c r="AZ406" s="750"/>
      <c r="BA406" s="750"/>
      <c r="BB406" s="750"/>
      <c r="BC406" s="1547"/>
      <c r="BD406" s="1548"/>
      <c r="BE406" s="1548"/>
      <c r="BF406" s="1548"/>
      <c r="BG406" s="1548"/>
      <c r="BH406" s="1548"/>
      <c r="BI406" s="1548"/>
      <c r="BJ406" s="1548"/>
      <c r="BK406" s="1548"/>
      <c r="BL406" s="1548"/>
      <c r="BM406" s="1548"/>
      <c r="BN406" s="1548"/>
      <c r="BO406" s="1548"/>
      <c r="BP406" s="1548"/>
      <c r="BQ406" s="1548"/>
      <c r="BR406" s="1548"/>
    </row>
    <row r="407" spans="1:70" s="938" customFormat="1" ht="49.5">
      <c r="A407" s="79"/>
      <c r="B407" s="47"/>
      <c r="C407" s="1422">
        <v>1</v>
      </c>
      <c r="D407" s="1423" t="s">
        <v>25</v>
      </c>
      <c r="E407" s="1423" t="s">
        <v>39</v>
      </c>
      <c r="F407" s="1423">
        <v>1</v>
      </c>
      <c r="G407" s="1423"/>
      <c r="H407" s="1423" t="s">
        <v>25</v>
      </c>
      <c r="I407" s="80" t="s">
        <v>892</v>
      </c>
      <c r="J407" s="47" t="s">
        <v>2686</v>
      </c>
      <c r="K407" s="1553">
        <v>1</v>
      </c>
      <c r="L407" s="50">
        <v>213997045</v>
      </c>
      <c r="M407" s="1553">
        <v>1</v>
      </c>
      <c r="N407" s="50">
        <v>206464000</v>
      </c>
      <c r="O407" s="1553"/>
      <c r="P407" s="63">
        <v>0</v>
      </c>
      <c r="Q407" s="1553"/>
      <c r="R407" s="50"/>
      <c r="S407" s="83"/>
      <c r="T407" s="50"/>
      <c r="U407" s="62"/>
      <c r="V407" s="50"/>
      <c r="W407" s="65"/>
      <c r="X407" s="50"/>
      <c r="Y407" s="1553">
        <f t="shared" si="108"/>
        <v>0</v>
      </c>
      <c r="Z407" s="51">
        <f t="shared" si="109"/>
        <v>0</v>
      </c>
      <c r="AA407" s="1553">
        <f t="shared" si="110"/>
        <v>1</v>
      </c>
      <c r="AB407" s="51">
        <f t="shared" si="111"/>
        <v>206464000</v>
      </c>
      <c r="AC407" s="1522">
        <f t="shared" si="112"/>
        <v>100</v>
      </c>
      <c r="AD407" s="1522">
        <f t="shared" si="113"/>
        <v>96.47983690615915</v>
      </c>
      <c r="AE407" s="79"/>
      <c r="AF407" s="201"/>
      <c r="AG407" s="750"/>
      <c r="AH407" s="750"/>
      <c r="AI407" s="750"/>
      <c r="AJ407" s="750"/>
      <c r="AK407" s="750"/>
      <c r="AL407" s="750"/>
      <c r="AM407" s="750"/>
      <c r="AN407" s="750"/>
      <c r="AO407" s="750"/>
      <c r="AP407" s="750"/>
      <c r="AQ407" s="750"/>
      <c r="AR407" s="750"/>
      <c r="AS407" s="750"/>
      <c r="AT407" s="750"/>
      <c r="AU407" s="750"/>
      <c r="AV407" s="750"/>
      <c r="AW407" s="750"/>
      <c r="AX407" s="750"/>
      <c r="AY407" s="750"/>
      <c r="AZ407" s="750"/>
      <c r="BA407" s="750"/>
      <c r="BB407" s="750"/>
      <c r="BC407" s="1547"/>
      <c r="BD407" s="1548"/>
      <c r="BE407" s="1548"/>
      <c r="BF407" s="1548"/>
      <c r="BG407" s="1548"/>
      <c r="BH407" s="1548"/>
      <c r="BI407" s="1548"/>
      <c r="BJ407" s="1548"/>
      <c r="BK407" s="1548"/>
      <c r="BL407" s="1548"/>
      <c r="BM407" s="1548"/>
      <c r="BN407" s="1548"/>
      <c r="BO407" s="1548"/>
      <c r="BP407" s="1548"/>
      <c r="BQ407" s="1548"/>
      <c r="BR407" s="1548"/>
    </row>
    <row r="408" spans="1:70" s="938" customFormat="1" ht="49.5">
      <c r="A408" s="79"/>
      <c r="B408" s="47"/>
      <c r="C408" s="76">
        <v>1</v>
      </c>
      <c r="D408" s="1427" t="s">
        <v>25</v>
      </c>
      <c r="E408" s="1427" t="s">
        <v>39</v>
      </c>
      <c r="F408" s="1427">
        <v>1</v>
      </c>
      <c r="G408" s="1427"/>
      <c r="H408" s="1427" t="s">
        <v>25</v>
      </c>
      <c r="I408" s="80" t="s">
        <v>893</v>
      </c>
      <c r="J408" s="47" t="s">
        <v>2683</v>
      </c>
      <c r="K408" s="1553">
        <v>200</v>
      </c>
      <c r="L408" s="50">
        <f>P408</f>
        <v>9337511173</v>
      </c>
      <c r="M408" s="1553"/>
      <c r="N408" s="50">
        <v>0</v>
      </c>
      <c r="O408" s="1553">
        <v>200</v>
      </c>
      <c r="P408" s="63">
        <v>9337511173</v>
      </c>
      <c r="Q408" s="1553">
        <v>0</v>
      </c>
      <c r="R408" s="50">
        <v>1011200</v>
      </c>
      <c r="S408" s="83">
        <v>0</v>
      </c>
      <c r="T408" s="50">
        <v>2411200</v>
      </c>
      <c r="U408" s="62"/>
      <c r="V408" s="50"/>
      <c r="W408" s="65"/>
      <c r="X408" s="50"/>
      <c r="Y408" s="1553">
        <f t="shared" si="108"/>
        <v>0</v>
      </c>
      <c r="Z408" s="51">
        <f t="shared" si="109"/>
        <v>3422400</v>
      </c>
      <c r="AA408" s="1553">
        <f t="shared" si="110"/>
        <v>0</v>
      </c>
      <c r="AB408" s="51">
        <f t="shared" si="111"/>
        <v>3422400</v>
      </c>
      <c r="AC408" s="1522">
        <f t="shared" si="112"/>
        <v>0</v>
      </c>
      <c r="AD408" s="1522">
        <f t="shared" si="113"/>
        <v>3.6652164978351887E-2</v>
      </c>
      <c r="AE408" s="79"/>
      <c r="AF408" s="201"/>
      <c r="AG408" s="750"/>
      <c r="AH408" s="750"/>
      <c r="AI408" s="750"/>
      <c r="AJ408" s="750"/>
      <c r="AK408" s="750"/>
      <c r="AL408" s="750"/>
      <c r="AM408" s="750"/>
      <c r="AN408" s="750"/>
      <c r="AO408" s="750"/>
      <c r="AP408" s="750"/>
      <c r="AQ408" s="750"/>
      <c r="AR408" s="750"/>
      <c r="AS408" s="750"/>
      <c r="AT408" s="750"/>
      <c r="AU408" s="750"/>
      <c r="AV408" s="750"/>
      <c r="AW408" s="750"/>
      <c r="AX408" s="750"/>
      <c r="AY408" s="750"/>
      <c r="AZ408" s="750"/>
      <c r="BA408" s="750"/>
      <c r="BB408" s="750"/>
      <c r="BC408" s="1547"/>
      <c r="BD408" s="1548"/>
      <c r="BE408" s="1548"/>
      <c r="BF408" s="1548"/>
      <c r="BG408" s="1548"/>
      <c r="BH408" s="1548"/>
      <c r="BI408" s="1548"/>
      <c r="BJ408" s="1548"/>
      <c r="BK408" s="1548"/>
      <c r="BL408" s="1548"/>
      <c r="BM408" s="1548"/>
      <c r="BN408" s="1548"/>
      <c r="BO408" s="1548"/>
      <c r="BP408" s="1548"/>
      <c r="BQ408" s="1548"/>
      <c r="BR408" s="1548"/>
    </row>
    <row r="409" spans="1:70" s="938" customFormat="1" ht="82.5">
      <c r="A409" s="194">
        <v>18</v>
      </c>
      <c r="B409" s="186"/>
      <c r="C409" s="194">
        <v>18</v>
      </c>
      <c r="D409" s="1424" t="s">
        <v>28</v>
      </c>
      <c r="E409" s="1424" t="s">
        <v>38</v>
      </c>
      <c r="F409" s="1424">
        <v>1</v>
      </c>
      <c r="G409" s="1424"/>
      <c r="H409" s="1424" t="s">
        <v>25</v>
      </c>
      <c r="I409" s="193" t="s">
        <v>894</v>
      </c>
      <c r="J409" s="193" t="s">
        <v>2688</v>
      </c>
      <c r="K409" s="1568" t="s">
        <v>2689</v>
      </c>
      <c r="L409" s="192">
        <f>SUM(L410:L410)</f>
        <v>1557212470</v>
      </c>
      <c r="M409" s="1568" t="s">
        <v>2689</v>
      </c>
      <c r="N409" s="192">
        <f>SUM(N410:N410)</f>
        <v>232986390</v>
      </c>
      <c r="O409" s="1568" t="s">
        <v>2689</v>
      </c>
      <c r="P409" s="192">
        <f>SUM(P410:P410)</f>
        <v>236358715</v>
      </c>
      <c r="Q409" s="1556">
        <v>0</v>
      </c>
      <c r="R409" s="192">
        <f>SUM(R410:R410)</f>
        <v>37275965</v>
      </c>
      <c r="S409" s="188"/>
      <c r="T409" s="192">
        <v>100022465</v>
      </c>
      <c r="U409" s="188"/>
      <c r="V409" s="192"/>
      <c r="W409" s="191"/>
      <c r="X409" s="192"/>
      <c r="Y409" s="1556">
        <f t="shared" si="108"/>
        <v>0</v>
      </c>
      <c r="Z409" s="190">
        <f t="shared" si="109"/>
        <v>137298430</v>
      </c>
      <c r="AA409" s="1568" t="s">
        <v>2689</v>
      </c>
      <c r="AB409" s="190">
        <f t="shared" ref="AB409:AB419" si="114">N409+Z409</f>
        <v>370284820</v>
      </c>
      <c r="AC409" s="1523">
        <v>100</v>
      </c>
      <c r="AD409" s="1523">
        <f t="shared" ref="AD409:AD419" si="115">AB409/L409*100</f>
        <v>23.778696043963738</v>
      </c>
      <c r="AE409" s="194" t="s">
        <v>111</v>
      </c>
      <c r="AF409" s="201"/>
      <c r="AG409" s="750"/>
      <c r="AH409" s="750"/>
      <c r="AI409" s="750"/>
      <c r="AJ409" s="750"/>
      <c r="AK409" s="750"/>
      <c r="AL409" s="750"/>
      <c r="AM409" s="750"/>
      <c r="AN409" s="750"/>
      <c r="AO409" s="750"/>
      <c r="AP409" s="750"/>
      <c r="AQ409" s="750"/>
      <c r="AR409" s="750"/>
      <c r="AS409" s="750"/>
      <c r="AT409" s="750"/>
      <c r="AU409" s="750"/>
      <c r="AV409" s="750"/>
      <c r="AW409" s="750"/>
      <c r="AX409" s="750"/>
      <c r="AY409" s="750"/>
      <c r="AZ409" s="750"/>
      <c r="BA409" s="750"/>
      <c r="BB409" s="750"/>
      <c r="BC409" s="1547"/>
      <c r="BD409" s="1548"/>
      <c r="BE409" s="1548"/>
      <c r="BF409" s="1548"/>
      <c r="BG409" s="1548"/>
      <c r="BH409" s="1548"/>
      <c r="BI409" s="1548"/>
      <c r="BJ409" s="1548"/>
      <c r="BK409" s="1548"/>
      <c r="BL409" s="1548"/>
      <c r="BM409" s="1548"/>
      <c r="BN409" s="1548"/>
      <c r="BO409" s="1548"/>
      <c r="BP409" s="1548"/>
      <c r="BQ409" s="1548"/>
      <c r="BR409" s="1548"/>
    </row>
    <row r="410" spans="1:70" s="938" customFormat="1" ht="49.5">
      <c r="A410" s="79"/>
      <c r="B410" s="47"/>
      <c r="C410" s="76">
        <v>1</v>
      </c>
      <c r="D410" s="1427" t="s">
        <v>28</v>
      </c>
      <c r="E410" s="1427" t="s">
        <v>38</v>
      </c>
      <c r="F410" s="1427">
        <v>1</v>
      </c>
      <c r="G410" s="1427"/>
      <c r="H410" s="1427" t="s">
        <v>25</v>
      </c>
      <c r="I410" s="60" t="s">
        <v>895</v>
      </c>
      <c r="J410" s="60" t="s">
        <v>2687</v>
      </c>
      <c r="K410" s="1562">
        <v>60</v>
      </c>
      <c r="L410" s="50">
        <v>1557212470</v>
      </c>
      <c r="M410" s="1553">
        <v>24</v>
      </c>
      <c r="N410" s="50">
        <v>232986390</v>
      </c>
      <c r="O410" s="1553">
        <v>12</v>
      </c>
      <c r="P410" s="63">
        <v>236358715</v>
      </c>
      <c r="Q410" s="1553">
        <v>3</v>
      </c>
      <c r="R410" s="50">
        <v>37275965</v>
      </c>
      <c r="S410" s="62">
        <v>3</v>
      </c>
      <c r="T410" s="50">
        <v>100022465</v>
      </c>
      <c r="U410" s="62"/>
      <c r="V410" s="50"/>
      <c r="W410" s="65"/>
      <c r="X410" s="50"/>
      <c r="Y410" s="1553">
        <f t="shared" si="108"/>
        <v>6</v>
      </c>
      <c r="Z410" s="51">
        <f t="shared" si="109"/>
        <v>137298430</v>
      </c>
      <c r="AA410" s="1553">
        <f t="shared" ref="AA410:AA419" si="116">M410+Y410</f>
        <v>30</v>
      </c>
      <c r="AB410" s="51">
        <f t="shared" si="114"/>
        <v>370284820</v>
      </c>
      <c r="AC410" s="1522">
        <f t="shared" ref="AC410:AC419" si="117">AA410/K410*100</f>
        <v>50</v>
      </c>
      <c r="AD410" s="1522">
        <f t="shared" si="115"/>
        <v>23.778696043963738</v>
      </c>
      <c r="AE410" s="79"/>
      <c r="AF410" s="201"/>
      <c r="AG410" s="750"/>
      <c r="AH410" s="750"/>
      <c r="AI410" s="750"/>
      <c r="AJ410" s="750"/>
      <c r="AK410" s="750"/>
      <c r="AL410" s="750"/>
      <c r="AM410" s="750"/>
      <c r="AN410" s="750"/>
      <c r="AO410" s="750"/>
      <c r="AP410" s="750"/>
      <c r="AQ410" s="750"/>
      <c r="AR410" s="750"/>
      <c r="AS410" s="750"/>
      <c r="AT410" s="750"/>
      <c r="AU410" s="750"/>
      <c r="AV410" s="750"/>
      <c r="AW410" s="750"/>
      <c r="AX410" s="750"/>
      <c r="AY410" s="750"/>
      <c r="AZ410" s="750"/>
      <c r="BA410" s="750"/>
      <c r="BB410" s="750"/>
      <c r="BC410" s="1547"/>
      <c r="BD410" s="1548"/>
      <c r="BE410" s="1548"/>
      <c r="BF410" s="1548"/>
      <c r="BG410" s="1548"/>
      <c r="BH410" s="1548"/>
      <c r="BI410" s="1548"/>
      <c r="BJ410" s="1548"/>
      <c r="BK410" s="1548"/>
      <c r="BL410" s="1548"/>
      <c r="BM410" s="1548"/>
      <c r="BN410" s="1548"/>
      <c r="BO410" s="1548"/>
      <c r="BP410" s="1548"/>
      <c r="BQ410" s="1548"/>
      <c r="BR410" s="1548"/>
    </row>
    <row r="411" spans="1:70" s="938" customFormat="1" ht="49.5">
      <c r="A411" s="194">
        <v>19</v>
      </c>
      <c r="B411" s="186"/>
      <c r="C411" s="1424" t="s">
        <v>107</v>
      </c>
      <c r="D411" s="1424" t="s">
        <v>34</v>
      </c>
      <c r="E411" s="1424" t="s">
        <v>28</v>
      </c>
      <c r="F411" s="1424" t="s">
        <v>41</v>
      </c>
      <c r="G411" s="1424"/>
      <c r="H411" s="1424" t="s">
        <v>25</v>
      </c>
      <c r="I411" s="193" t="s">
        <v>896</v>
      </c>
      <c r="J411" s="193" t="s">
        <v>2691</v>
      </c>
      <c r="K411" s="1556">
        <v>6</v>
      </c>
      <c r="L411" s="192">
        <f>SUM(L412:L413)</f>
        <v>545000000</v>
      </c>
      <c r="M411" s="1566">
        <v>3</v>
      </c>
      <c r="N411" s="192">
        <f>SUM(N412:N413)</f>
        <v>65910000</v>
      </c>
      <c r="O411" s="1556">
        <v>1</v>
      </c>
      <c r="P411" s="192">
        <f>SUM(P412:P413)</f>
        <v>37435000</v>
      </c>
      <c r="Q411" s="1556">
        <v>0</v>
      </c>
      <c r="R411" s="192">
        <f>SUM(R412:R413)</f>
        <v>0</v>
      </c>
      <c r="S411" s="188"/>
      <c r="T411" s="192"/>
      <c r="U411" s="188"/>
      <c r="V411" s="192"/>
      <c r="W411" s="191"/>
      <c r="X411" s="192"/>
      <c r="Y411" s="1556">
        <f t="shared" si="108"/>
        <v>0</v>
      </c>
      <c r="Z411" s="190">
        <f t="shared" si="109"/>
        <v>0</v>
      </c>
      <c r="AA411" s="1556">
        <f t="shared" si="116"/>
        <v>3</v>
      </c>
      <c r="AB411" s="190">
        <f t="shared" si="114"/>
        <v>65910000</v>
      </c>
      <c r="AC411" s="1523">
        <f t="shared" si="117"/>
        <v>50</v>
      </c>
      <c r="AD411" s="1523">
        <f t="shared" si="115"/>
        <v>12.093577981651377</v>
      </c>
      <c r="AE411" s="194" t="s">
        <v>111</v>
      </c>
      <c r="AF411" s="201"/>
      <c r="AG411" s="750"/>
      <c r="AH411" s="750"/>
      <c r="AI411" s="750"/>
      <c r="AJ411" s="750"/>
      <c r="AK411" s="750"/>
      <c r="AL411" s="750"/>
      <c r="AM411" s="750"/>
      <c r="AN411" s="750"/>
      <c r="AO411" s="750"/>
      <c r="AP411" s="750"/>
      <c r="AQ411" s="750"/>
      <c r="AR411" s="750"/>
      <c r="AS411" s="750"/>
      <c r="AT411" s="750"/>
      <c r="AU411" s="750"/>
      <c r="AV411" s="750"/>
      <c r="AW411" s="750"/>
      <c r="AX411" s="750"/>
      <c r="AY411" s="750"/>
      <c r="AZ411" s="750"/>
      <c r="BA411" s="750"/>
      <c r="BB411" s="750"/>
      <c r="BC411" s="1547"/>
      <c r="BD411" s="1548"/>
      <c r="BE411" s="1548"/>
      <c r="BF411" s="1548"/>
      <c r="BG411" s="1548"/>
      <c r="BH411" s="1548"/>
      <c r="BI411" s="1548"/>
      <c r="BJ411" s="1548"/>
      <c r="BK411" s="1548"/>
      <c r="BL411" s="1548"/>
      <c r="BM411" s="1548"/>
      <c r="BN411" s="1548"/>
      <c r="BO411" s="1548"/>
      <c r="BP411" s="1548"/>
      <c r="BQ411" s="1548"/>
      <c r="BR411" s="1548"/>
    </row>
    <row r="412" spans="1:70" s="938" customFormat="1" ht="82.5">
      <c r="A412" s="79"/>
      <c r="B412" s="47"/>
      <c r="C412" s="1423" t="s">
        <v>107</v>
      </c>
      <c r="D412" s="1423" t="s">
        <v>34</v>
      </c>
      <c r="E412" s="1423" t="s">
        <v>28</v>
      </c>
      <c r="F412" s="1423" t="s">
        <v>41</v>
      </c>
      <c r="G412" s="1423"/>
      <c r="H412" s="1423" t="s">
        <v>25</v>
      </c>
      <c r="I412" s="60" t="s">
        <v>897</v>
      </c>
      <c r="J412" s="60" t="s">
        <v>2692</v>
      </c>
      <c r="K412" s="1553">
        <v>6</v>
      </c>
      <c r="L412" s="50">
        <v>280000000</v>
      </c>
      <c r="M412" s="1541">
        <v>3</v>
      </c>
      <c r="N412" s="50">
        <v>15985000</v>
      </c>
      <c r="O412" s="1541">
        <v>1</v>
      </c>
      <c r="P412" s="50">
        <v>17435000</v>
      </c>
      <c r="Q412" s="1553">
        <v>0</v>
      </c>
      <c r="R412" s="50">
        <v>0</v>
      </c>
      <c r="S412" s="62"/>
      <c r="T412" s="50">
        <v>0</v>
      </c>
      <c r="U412" s="65"/>
      <c r="V412" s="50"/>
      <c r="W412" s="78"/>
      <c r="X412" s="50"/>
      <c r="Y412" s="1553">
        <f t="shared" si="108"/>
        <v>0</v>
      </c>
      <c r="Z412" s="51">
        <f t="shared" si="109"/>
        <v>0</v>
      </c>
      <c r="AA412" s="1553">
        <f t="shared" si="116"/>
        <v>3</v>
      </c>
      <c r="AB412" s="51">
        <f t="shared" si="114"/>
        <v>15985000</v>
      </c>
      <c r="AC412" s="1522">
        <f t="shared" si="117"/>
        <v>50</v>
      </c>
      <c r="AD412" s="1522">
        <f t="shared" si="115"/>
        <v>5.7089285714285714</v>
      </c>
      <c r="AE412" s="79"/>
      <c r="AF412" s="201"/>
      <c r="AG412" s="750"/>
      <c r="AH412" s="750"/>
      <c r="AI412" s="750"/>
      <c r="AJ412" s="750"/>
      <c r="AK412" s="750"/>
      <c r="AL412" s="750"/>
      <c r="AM412" s="750"/>
      <c r="AN412" s="750"/>
      <c r="AO412" s="750"/>
      <c r="AP412" s="750"/>
      <c r="AQ412" s="750"/>
      <c r="AR412" s="750"/>
      <c r="AS412" s="750"/>
      <c r="AT412" s="750"/>
      <c r="AU412" s="750"/>
      <c r="AV412" s="750"/>
      <c r="AW412" s="750"/>
      <c r="AX412" s="750"/>
      <c r="AY412" s="750"/>
      <c r="AZ412" s="750"/>
      <c r="BA412" s="750"/>
      <c r="BB412" s="750"/>
      <c r="BC412" s="1547"/>
      <c r="BD412" s="1548"/>
      <c r="BE412" s="1548"/>
      <c r="BF412" s="1548"/>
      <c r="BG412" s="1548"/>
      <c r="BH412" s="1548"/>
      <c r="BI412" s="1548"/>
      <c r="BJ412" s="1548"/>
      <c r="BK412" s="1548"/>
      <c r="BL412" s="1548"/>
      <c r="BM412" s="1548"/>
      <c r="BN412" s="1548"/>
      <c r="BO412" s="1548"/>
      <c r="BP412" s="1548"/>
      <c r="BQ412" s="1548"/>
      <c r="BR412" s="1548"/>
    </row>
    <row r="413" spans="1:70" s="938" customFormat="1" ht="66">
      <c r="A413" s="79"/>
      <c r="B413" s="47"/>
      <c r="C413" s="1423" t="s">
        <v>107</v>
      </c>
      <c r="D413" s="1423" t="s">
        <v>34</v>
      </c>
      <c r="E413" s="1423" t="s">
        <v>28</v>
      </c>
      <c r="F413" s="1423" t="s">
        <v>41</v>
      </c>
      <c r="G413" s="1423"/>
      <c r="H413" s="1423" t="s">
        <v>25</v>
      </c>
      <c r="I413" s="60" t="s">
        <v>898</v>
      </c>
      <c r="J413" s="60" t="s">
        <v>2693</v>
      </c>
      <c r="K413" s="1553">
        <v>60</v>
      </c>
      <c r="L413" s="50">
        <v>265000000</v>
      </c>
      <c r="M413" s="1562">
        <v>24</v>
      </c>
      <c r="N413" s="1532">
        <v>49925000</v>
      </c>
      <c r="O413" s="1553">
        <v>12</v>
      </c>
      <c r="P413" s="50">
        <v>20000000</v>
      </c>
      <c r="Q413" s="1553">
        <v>0</v>
      </c>
      <c r="R413" s="50">
        <v>0</v>
      </c>
      <c r="S413" s="62"/>
      <c r="T413" s="50">
        <v>0</v>
      </c>
      <c r="U413" s="65"/>
      <c r="V413" s="50"/>
      <c r="W413" s="78"/>
      <c r="X413" s="50"/>
      <c r="Y413" s="1553">
        <f t="shared" si="108"/>
        <v>0</v>
      </c>
      <c r="Z413" s="51">
        <f t="shared" si="109"/>
        <v>0</v>
      </c>
      <c r="AA413" s="1553">
        <f t="shared" si="116"/>
        <v>24</v>
      </c>
      <c r="AB413" s="51">
        <f t="shared" si="114"/>
        <v>49925000</v>
      </c>
      <c r="AC413" s="1522">
        <f t="shared" si="117"/>
        <v>40</v>
      </c>
      <c r="AD413" s="1522">
        <f t="shared" si="115"/>
        <v>18.839622641509436</v>
      </c>
      <c r="AE413" s="79"/>
      <c r="AF413" s="201"/>
      <c r="AG413" s="750"/>
      <c r="AH413" s="750"/>
      <c r="AI413" s="750"/>
      <c r="AJ413" s="750"/>
      <c r="AK413" s="750"/>
      <c r="AL413" s="750"/>
      <c r="AM413" s="750"/>
      <c r="AN413" s="750"/>
      <c r="AO413" s="750"/>
      <c r="AP413" s="750"/>
      <c r="AQ413" s="750"/>
      <c r="AR413" s="750"/>
      <c r="AS413" s="750"/>
      <c r="AT413" s="750"/>
      <c r="AU413" s="750"/>
      <c r="AV413" s="750"/>
      <c r="AW413" s="750"/>
      <c r="AX413" s="750"/>
      <c r="AY413" s="750"/>
      <c r="AZ413" s="750"/>
      <c r="BA413" s="750"/>
      <c r="BB413" s="750"/>
      <c r="BC413" s="1547"/>
      <c r="BD413" s="1548"/>
      <c r="BE413" s="1548"/>
      <c r="BF413" s="1548"/>
      <c r="BG413" s="1548"/>
      <c r="BH413" s="1548"/>
      <c r="BI413" s="1548"/>
      <c r="BJ413" s="1548"/>
      <c r="BK413" s="1548"/>
      <c r="BL413" s="1548"/>
      <c r="BM413" s="1548"/>
      <c r="BN413" s="1548"/>
      <c r="BO413" s="1548"/>
      <c r="BP413" s="1548"/>
      <c r="BQ413" s="1548"/>
      <c r="BR413" s="1548"/>
    </row>
    <row r="414" spans="1:70" s="1588" customFormat="1" ht="82.5">
      <c r="A414" s="194">
        <v>20</v>
      </c>
      <c r="B414" s="186"/>
      <c r="C414" s="194">
        <v>1</v>
      </c>
      <c r="D414" s="1424" t="s">
        <v>25</v>
      </c>
      <c r="E414" s="1424" t="s">
        <v>39</v>
      </c>
      <c r="F414" s="1424">
        <v>1</v>
      </c>
      <c r="G414" s="1424"/>
      <c r="H414" s="1424" t="s">
        <v>25</v>
      </c>
      <c r="I414" s="186" t="s">
        <v>899</v>
      </c>
      <c r="J414" s="193" t="s">
        <v>2694</v>
      </c>
      <c r="K414" s="1556">
        <v>100</v>
      </c>
      <c r="L414" s="192">
        <f>L415</f>
        <v>154326948</v>
      </c>
      <c r="M414" s="1568">
        <v>70</v>
      </c>
      <c r="N414" s="192">
        <f>N415</f>
        <v>0</v>
      </c>
      <c r="O414" s="1556">
        <v>20</v>
      </c>
      <c r="P414" s="192">
        <f>P415</f>
        <v>51442316</v>
      </c>
      <c r="Q414" s="1556">
        <v>0</v>
      </c>
      <c r="R414" s="192">
        <f>R415</f>
        <v>7277944</v>
      </c>
      <c r="S414" s="188"/>
      <c r="T414" s="192">
        <v>14309244</v>
      </c>
      <c r="U414" s="191"/>
      <c r="V414" s="192"/>
      <c r="W414" s="1598"/>
      <c r="X414" s="192"/>
      <c r="Y414" s="1556">
        <f t="shared" si="108"/>
        <v>0</v>
      </c>
      <c r="Z414" s="190">
        <f t="shared" si="109"/>
        <v>21587188</v>
      </c>
      <c r="AA414" s="1556">
        <f t="shared" si="116"/>
        <v>70</v>
      </c>
      <c r="AB414" s="190">
        <f t="shared" si="114"/>
        <v>21587188</v>
      </c>
      <c r="AC414" s="1523">
        <f t="shared" si="117"/>
        <v>70</v>
      </c>
      <c r="AD414" s="1523">
        <f t="shared" si="115"/>
        <v>13.987957566555389</v>
      </c>
      <c r="AE414" s="194" t="s">
        <v>701</v>
      </c>
      <c r="AF414" s="201"/>
      <c r="AG414" s="201"/>
      <c r="AH414" s="201"/>
      <c r="AI414" s="201"/>
      <c r="AJ414" s="201"/>
      <c r="AK414" s="201"/>
      <c r="AL414" s="201"/>
      <c r="AM414" s="201"/>
      <c r="AN414" s="201"/>
      <c r="AO414" s="201"/>
      <c r="AP414" s="201"/>
      <c r="AQ414" s="201"/>
      <c r="AR414" s="201"/>
      <c r="AS414" s="201"/>
      <c r="AT414" s="201"/>
      <c r="AU414" s="201"/>
      <c r="AV414" s="201"/>
      <c r="AW414" s="201"/>
      <c r="AX414" s="201"/>
      <c r="AY414" s="201"/>
      <c r="AZ414" s="201"/>
      <c r="BA414" s="201"/>
      <c r="BB414" s="201"/>
      <c r="BC414" s="1468"/>
      <c r="BD414" s="1469"/>
      <c r="BE414" s="1469"/>
      <c r="BF414" s="1469"/>
      <c r="BG414" s="1469"/>
      <c r="BH414" s="1469"/>
      <c r="BI414" s="1469"/>
      <c r="BJ414" s="1469"/>
      <c r="BK414" s="1469"/>
      <c r="BL414" s="1469"/>
      <c r="BM414" s="1469"/>
      <c r="BN414" s="1469"/>
      <c r="BO414" s="1469"/>
      <c r="BP414" s="1469"/>
      <c r="BQ414" s="1469"/>
      <c r="BR414" s="1469"/>
    </row>
    <row r="415" spans="1:70" s="938" customFormat="1" ht="33">
      <c r="A415" s="79"/>
      <c r="B415" s="47"/>
      <c r="C415" s="70">
        <v>1</v>
      </c>
      <c r="D415" s="1426" t="s">
        <v>25</v>
      </c>
      <c r="E415" s="1426" t="s">
        <v>39</v>
      </c>
      <c r="F415" s="1426">
        <v>1</v>
      </c>
      <c r="G415" s="1426"/>
      <c r="H415" s="1426" t="s">
        <v>25</v>
      </c>
      <c r="I415" s="60" t="s">
        <v>900</v>
      </c>
      <c r="J415" s="60" t="s">
        <v>901</v>
      </c>
      <c r="K415" s="1553">
        <v>3</v>
      </c>
      <c r="L415" s="50">
        <f>3*P415</f>
        <v>154326948</v>
      </c>
      <c r="M415" s="1562">
        <v>0</v>
      </c>
      <c r="N415" s="1532">
        <v>0</v>
      </c>
      <c r="O415" s="1553">
        <v>1</v>
      </c>
      <c r="P415" s="50">
        <v>51442316</v>
      </c>
      <c r="Q415" s="1553">
        <v>0</v>
      </c>
      <c r="R415" s="50">
        <v>7277944</v>
      </c>
      <c r="S415" s="62">
        <v>0</v>
      </c>
      <c r="T415" s="50">
        <v>14309244</v>
      </c>
      <c r="U415" s="65"/>
      <c r="V415" s="50"/>
      <c r="W415" s="78"/>
      <c r="X415" s="50"/>
      <c r="Y415" s="1553">
        <f t="shared" si="108"/>
        <v>0</v>
      </c>
      <c r="Z415" s="51">
        <f t="shared" si="109"/>
        <v>21587188</v>
      </c>
      <c r="AA415" s="1553">
        <f t="shared" si="116"/>
        <v>0</v>
      </c>
      <c r="AB415" s="51">
        <f t="shared" si="114"/>
        <v>21587188</v>
      </c>
      <c r="AC415" s="1522">
        <f t="shared" si="117"/>
        <v>0</v>
      </c>
      <c r="AD415" s="1522">
        <f t="shared" si="115"/>
        <v>13.987957566555389</v>
      </c>
      <c r="AE415" s="79"/>
      <c r="AF415" s="201"/>
      <c r="AG415" s="750"/>
      <c r="AH415" s="750"/>
      <c r="AI415" s="750"/>
      <c r="AJ415" s="750"/>
      <c r="AK415" s="750"/>
      <c r="AL415" s="750"/>
      <c r="AM415" s="750"/>
      <c r="AN415" s="750"/>
      <c r="AO415" s="750"/>
      <c r="AP415" s="750"/>
      <c r="AQ415" s="750"/>
      <c r="AR415" s="750"/>
      <c r="AS415" s="750"/>
      <c r="AT415" s="750"/>
      <c r="AU415" s="750"/>
      <c r="AV415" s="750"/>
      <c r="AW415" s="750"/>
      <c r="AX415" s="750"/>
      <c r="AY415" s="750"/>
      <c r="AZ415" s="750"/>
      <c r="BA415" s="750"/>
      <c r="BB415" s="750"/>
      <c r="BC415" s="1547"/>
      <c r="BD415" s="1548"/>
      <c r="BE415" s="1548"/>
      <c r="BF415" s="1548"/>
      <c r="BG415" s="1548"/>
      <c r="BH415" s="1548"/>
      <c r="BI415" s="1548"/>
      <c r="BJ415" s="1548"/>
      <c r="BK415" s="1548"/>
      <c r="BL415" s="1548"/>
      <c r="BM415" s="1548"/>
      <c r="BN415" s="1548"/>
      <c r="BO415" s="1548"/>
      <c r="BP415" s="1548"/>
      <c r="BQ415" s="1548"/>
      <c r="BR415" s="1548"/>
    </row>
    <row r="416" spans="1:70" s="938" customFormat="1" ht="99">
      <c r="A416" s="194">
        <v>21</v>
      </c>
      <c r="B416" s="186"/>
      <c r="C416" s="194">
        <v>1</v>
      </c>
      <c r="D416" s="1424" t="s">
        <v>28</v>
      </c>
      <c r="E416" s="1424" t="s">
        <v>38</v>
      </c>
      <c r="F416" s="1424">
        <v>1</v>
      </c>
      <c r="G416" s="1424"/>
      <c r="H416" s="1424" t="s">
        <v>25</v>
      </c>
      <c r="I416" s="186" t="s">
        <v>902</v>
      </c>
      <c r="J416" s="197" t="s">
        <v>2695</v>
      </c>
      <c r="K416" s="1556">
        <v>60</v>
      </c>
      <c r="L416" s="940">
        <f>SUM(L417:L419)</f>
        <v>26211102705</v>
      </c>
      <c r="M416" s="1577">
        <v>50</v>
      </c>
      <c r="N416" s="940">
        <f>SUM(N417:N419)</f>
        <v>4512195880</v>
      </c>
      <c r="O416" s="1572">
        <v>5</v>
      </c>
      <c r="P416" s="940">
        <f>SUM(P417:P419)</f>
        <v>4931219165</v>
      </c>
      <c r="Q416" s="1556">
        <v>1</v>
      </c>
      <c r="R416" s="940">
        <f>SUM(R417:R419)</f>
        <v>830282915</v>
      </c>
      <c r="S416" s="196"/>
      <c r="T416" s="192">
        <v>2265814565</v>
      </c>
      <c r="U416" s="188"/>
      <c r="V416" s="192"/>
      <c r="W416" s="191"/>
      <c r="X416" s="192"/>
      <c r="Y416" s="1556">
        <f t="shared" si="108"/>
        <v>1</v>
      </c>
      <c r="Z416" s="190">
        <f t="shared" si="109"/>
        <v>3096097480</v>
      </c>
      <c r="AA416" s="1556">
        <f t="shared" si="116"/>
        <v>51</v>
      </c>
      <c r="AB416" s="190">
        <f t="shared" si="114"/>
        <v>7608293360</v>
      </c>
      <c r="AC416" s="1523">
        <f t="shared" si="117"/>
        <v>85</v>
      </c>
      <c r="AD416" s="1523">
        <f t="shared" si="115"/>
        <v>29.026986943775739</v>
      </c>
      <c r="AE416" s="194" t="s">
        <v>111</v>
      </c>
      <c r="AF416" s="201"/>
      <c r="AG416" s="750"/>
      <c r="AH416" s="750"/>
      <c r="AI416" s="750"/>
      <c r="AJ416" s="750"/>
      <c r="AK416" s="750"/>
      <c r="AL416" s="750"/>
      <c r="AM416" s="750"/>
      <c r="AN416" s="750"/>
      <c r="AO416" s="750"/>
      <c r="AP416" s="750"/>
      <c r="AQ416" s="750"/>
      <c r="AR416" s="750"/>
      <c r="AS416" s="750"/>
      <c r="AT416" s="750"/>
      <c r="AU416" s="750"/>
      <c r="AV416" s="750"/>
      <c r="AW416" s="750"/>
      <c r="AX416" s="750"/>
      <c r="AY416" s="750"/>
      <c r="AZ416" s="750"/>
      <c r="BA416" s="750"/>
      <c r="BB416" s="750"/>
      <c r="BC416" s="1547"/>
      <c r="BD416" s="1548"/>
      <c r="BE416" s="1548"/>
      <c r="BF416" s="1548"/>
      <c r="BG416" s="1548"/>
      <c r="BH416" s="1548"/>
      <c r="BI416" s="1548"/>
      <c r="BJ416" s="1548"/>
      <c r="BK416" s="1548"/>
      <c r="BL416" s="1548"/>
      <c r="BM416" s="1548"/>
      <c r="BN416" s="1548"/>
      <c r="BO416" s="1548"/>
      <c r="BP416" s="1548"/>
      <c r="BQ416" s="1548"/>
      <c r="BR416" s="1548"/>
    </row>
    <row r="417" spans="1:70" s="938" customFormat="1" ht="49.5">
      <c r="A417" s="79"/>
      <c r="B417" s="47"/>
      <c r="C417" s="1422">
        <v>1</v>
      </c>
      <c r="D417" s="1423" t="s">
        <v>28</v>
      </c>
      <c r="E417" s="1423" t="s">
        <v>38</v>
      </c>
      <c r="F417" s="1423">
        <v>1</v>
      </c>
      <c r="G417" s="1423"/>
      <c r="H417" s="1423" t="s">
        <v>25</v>
      </c>
      <c r="I417" s="49" t="s">
        <v>903</v>
      </c>
      <c r="J417" s="49" t="s">
        <v>2696</v>
      </c>
      <c r="K417" s="1553">
        <v>72</v>
      </c>
      <c r="L417" s="942">
        <v>3186079274</v>
      </c>
      <c r="M417" s="1578">
        <v>36</v>
      </c>
      <c r="N417" s="50">
        <v>619303300</v>
      </c>
      <c r="O417" s="1573">
        <v>12</v>
      </c>
      <c r="P417" s="63">
        <v>543952250</v>
      </c>
      <c r="Q417" s="1553">
        <v>3</v>
      </c>
      <c r="R417" s="63">
        <v>74025500</v>
      </c>
      <c r="S417" s="62">
        <v>3</v>
      </c>
      <c r="T417" s="50">
        <v>268318500</v>
      </c>
      <c r="U417" s="62"/>
      <c r="V417" s="50"/>
      <c r="W417" s="65"/>
      <c r="X417" s="50"/>
      <c r="Y417" s="1553">
        <f t="shared" si="108"/>
        <v>6</v>
      </c>
      <c r="Z417" s="51">
        <f t="shared" si="109"/>
        <v>342344000</v>
      </c>
      <c r="AA417" s="1553">
        <f t="shared" si="116"/>
        <v>42</v>
      </c>
      <c r="AB417" s="51">
        <f t="shared" si="114"/>
        <v>961647300</v>
      </c>
      <c r="AC417" s="1522">
        <f t="shared" si="117"/>
        <v>58.333333333333336</v>
      </c>
      <c r="AD417" s="1522">
        <f t="shared" si="115"/>
        <v>30.18278006600535</v>
      </c>
      <c r="AE417" s="1422"/>
      <c r="AF417" s="201"/>
      <c r="AG417" s="750"/>
      <c r="AH417" s="750"/>
      <c r="AI417" s="750"/>
      <c r="AJ417" s="750"/>
      <c r="AK417" s="750"/>
      <c r="AL417" s="750"/>
      <c r="AM417" s="750"/>
      <c r="AN417" s="750"/>
      <c r="AO417" s="750"/>
      <c r="AP417" s="750"/>
      <c r="AQ417" s="750"/>
      <c r="AR417" s="750"/>
      <c r="AS417" s="750"/>
      <c r="AT417" s="750"/>
      <c r="AU417" s="750"/>
      <c r="AV417" s="750"/>
      <c r="AW417" s="750"/>
      <c r="AX417" s="750"/>
      <c r="AY417" s="750"/>
      <c r="AZ417" s="750"/>
      <c r="BA417" s="750"/>
      <c r="BB417" s="750"/>
      <c r="BC417" s="1547"/>
      <c r="BD417" s="1548"/>
      <c r="BE417" s="1548"/>
      <c r="BF417" s="1548"/>
      <c r="BG417" s="1548"/>
      <c r="BH417" s="1548"/>
      <c r="BI417" s="1548"/>
      <c r="BJ417" s="1548"/>
      <c r="BK417" s="1548"/>
      <c r="BL417" s="1548"/>
      <c r="BM417" s="1548"/>
      <c r="BN417" s="1548"/>
      <c r="BO417" s="1548"/>
      <c r="BP417" s="1548"/>
      <c r="BQ417" s="1548"/>
      <c r="BR417" s="1548"/>
    </row>
    <row r="418" spans="1:70" s="938" customFormat="1" ht="99">
      <c r="A418" s="79"/>
      <c r="B418" s="47"/>
      <c r="C418" s="1422">
        <v>1</v>
      </c>
      <c r="D418" s="1423" t="s">
        <v>28</v>
      </c>
      <c r="E418" s="1423" t="s">
        <v>38</v>
      </c>
      <c r="F418" s="1423">
        <v>1</v>
      </c>
      <c r="G418" s="1423"/>
      <c r="H418" s="1423" t="s">
        <v>25</v>
      </c>
      <c r="I418" s="49" t="s">
        <v>904</v>
      </c>
      <c r="J418" s="49" t="s">
        <v>2697</v>
      </c>
      <c r="K418" s="1553">
        <v>72</v>
      </c>
      <c r="L418" s="942">
        <v>15998146631</v>
      </c>
      <c r="M418" s="1578">
        <v>36</v>
      </c>
      <c r="N418" s="50">
        <v>2601651280</v>
      </c>
      <c r="O418" s="1573">
        <v>12</v>
      </c>
      <c r="P418" s="50">
        <v>3019579465</v>
      </c>
      <c r="Q418" s="1553">
        <v>3</v>
      </c>
      <c r="R418" s="50">
        <v>611034715</v>
      </c>
      <c r="S418" s="62">
        <v>3</v>
      </c>
      <c r="T418" s="50">
        <v>1447065465</v>
      </c>
      <c r="U418" s="62"/>
      <c r="V418" s="50"/>
      <c r="W418" s="65"/>
      <c r="X418" s="50"/>
      <c r="Y418" s="1553">
        <f t="shared" si="108"/>
        <v>6</v>
      </c>
      <c r="Z418" s="51">
        <f t="shared" si="109"/>
        <v>2058100180</v>
      </c>
      <c r="AA418" s="1553">
        <f t="shared" si="116"/>
        <v>42</v>
      </c>
      <c r="AB418" s="51">
        <f t="shared" si="114"/>
        <v>4659751460</v>
      </c>
      <c r="AC418" s="1522">
        <f t="shared" si="117"/>
        <v>58.333333333333336</v>
      </c>
      <c r="AD418" s="1522">
        <f t="shared" si="115"/>
        <v>29.126820546641856</v>
      </c>
      <c r="AE418" s="1422"/>
      <c r="AF418" s="201"/>
      <c r="AG418" s="750"/>
      <c r="AH418" s="750"/>
      <c r="AI418" s="750"/>
      <c r="AJ418" s="750"/>
      <c r="AK418" s="750"/>
      <c r="AL418" s="750"/>
      <c r="AM418" s="750"/>
      <c r="AN418" s="750"/>
      <c r="AO418" s="750"/>
      <c r="AP418" s="750"/>
      <c r="AQ418" s="750"/>
      <c r="AR418" s="750"/>
      <c r="AS418" s="750"/>
      <c r="AT418" s="750"/>
      <c r="AU418" s="750"/>
      <c r="AV418" s="750"/>
      <c r="AW418" s="750"/>
      <c r="AX418" s="750"/>
      <c r="AY418" s="750"/>
      <c r="AZ418" s="750"/>
      <c r="BA418" s="750"/>
      <c r="BB418" s="750"/>
      <c r="BC418" s="1547"/>
      <c r="BD418" s="1548"/>
      <c r="BE418" s="1548"/>
      <c r="BF418" s="1548"/>
      <c r="BG418" s="1548"/>
      <c r="BH418" s="1548"/>
      <c r="BI418" s="1548"/>
      <c r="BJ418" s="1548"/>
      <c r="BK418" s="1548"/>
      <c r="BL418" s="1548"/>
      <c r="BM418" s="1548"/>
      <c r="BN418" s="1548"/>
      <c r="BO418" s="1548"/>
      <c r="BP418" s="1548"/>
      <c r="BQ418" s="1548"/>
      <c r="BR418" s="1548"/>
    </row>
    <row r="419" spans="1:70" s="938" customFormat="1" ht="49.5">
      <c r="A419" s="79"/>
      <c r="B419" s="47"/>
      <c r="C419" s="1422">
        <v>1</v>
      </c>
      <c r="D419" s="1423" t="s">
        <v>28</v>
      </c>
      <c r="E419" s="1423" t="s">
        <v>38</v>
      </c>
      <c r="F419" s="1423">
        <v>1</v>
      </c>
      <c r="G419" s="1423"/>
      <c r="H419" s="1423" t="s">
        <v>25</v>
      </c>
      <c r="I419" s="49" t="s">
        <v>905</v>
      </c>
      <c r="J419" s="49" t="s">
        <v>2698</v>
      </c>
      <c r="K419" s="1553">
        <v>72</v>
      </c>
      <c r="L419" s="942">
        <v>7026876800</v>
      </c>
      <c r="M419" s="1578">
        <v>36</v>
      </c>
      <c r="N419" s="50">
        <v>1291241300</v>
      </c>
      <c r="O419" s="1573">
        <v>12</v>
      </c>
      <c r="P419" s="50">
        <v>1367687450</v>
      </c>
      <c r="Q419" s="1553">
        <v>3</v>
      </c>
      <c r="R419" s="50">
        <v>145222700</v>
      </c>
      <c r="S419" s="62">
        <v>3</v>
      </c>
      <c r="T419" s="50">
        <v>550430600</v>
      </c>
      <c r="U419" s="62"/>
      <c r="V419" s="50"/>
      <c r="W419" s="65"/>
      <c r="X419" s="50"/>
      <c r="Y419" s="1553">
        <f t="shared" si="108"/>
        <v>6</v>
      </c>
      <c r="Z419" s="51">
        <f t="shared" si="109"/>
        <v>695653300</v>
      </c>
      <c r="AA419" s="1553">
        <f t="shared" si="116"/>
        <v>42</v>
      </c>
      <c r="AB419" s="51">
        <f t="shared" si="114"/>
        <v>1986894600</v>
      </c>
      <c r="AC419" s="1522">
        <f t="shared" si="117"/>
        <v>58.333333333333336</v>
      </c>
      <c r="AD419" s="1525">
        <f t="shared" si="115"/>
        <v>28.275643028208492</v>
      </c>
      <c r="AE419" s="1422"/>
      <c r="AF419" s="201"/>
      <c r="AG419" s="750"/>
      <c r="AH419" s="750"/>
      <c r="AI419" s="750"/>
      <c r="AJ419" s="750"/>
      <c r="AK419" s="750"/>
      <c r="AL419" s="750"/>
      <c r="AM419" s="750"/>
      <c r="AN419" s="750"/>
      <c r="AO419" s="750"/>
      <c r="AP419" s="750"/>
      <c r="AQ419" s="750"/>
      <c r="AR419" s="750"/>
      <c r="AS419" s="750"/>
      <c r="AT419" s="750"/>
      <c r="AU419" s="750"/>
      <c r="AV419" s="750"/>
      <c r="AW419" s="750"/>
      <c r="AX419" s="750"/>
      <c r="AY419" s="750"/>
      <c r="AZ419" s="750"/>
      <c r="BA419" s="750"/>
      <c r="BB419" s="750"/>
      <c r="BC419" s="1547"/>
      <c r="BD419" s="1548"/>
      <c r="BE419" s="1548"/>
      <c r="BF419" s="1548"/>
      <c r="BG419" s="1548"/>
      <c r="BH419" s="1548"/>
      <c r="BI419" s="1548"/>
      <c r="BJ419" s="1548"/>
      <c r="BK419" s="1548"/>
      <c r="BL419" s="1548"/>
      <c r="BM419" s="1548"/>
      <c r="BN419" s="1548"/>
      <c r="BO419" s="1548"/>
      <c r="BP419" s="1548"/>
      <c r="BQ419" s="1548"/>
      <c r="BR419" s="1548"/>
    </row>
    <row r="420" spans="1:70" ht="18.75" customHeight="1">
      <c r="A420" s="2717" t="s">
        <v>63</v>
      </c>
      <c r="B420" s="2717"/>
      <c r="C420" s="2780"/>
      <c r="D420" s="2780"/>
      <c r="E420" s="2780"/>
      <c r="F420" s="2780"/>
      <c r="G420" s="2780"/>
      <c r="H420" s="2780"/>
      <c r="I420" s="2780"/>
      <c r="J420" s="2780"/>
      <c r="K420" s="2780"/>
      <c r="L420" s="2780"/>
      <c r="M420" s="2780"/>
      <c r="N420" s="2780"/>
      <c r="O420" s="2780"/>
      <c r="P420" s="2780"/>
      <c r="Q420" s="2780"/>
      <c r="R420" s="2780"/>
      <c r="S420" s="2780"/>
      <c r="T420" s="2780"/>
      <c r="U420" s="2780"/>
      <c r="V420" s="2780"/>
      <c r="W420" s="2780"/>
      <c r="X420" s="2780"/>
      <c r="Y420" s="2780"/>
      <c r="Z420" s="2780"/>
      <c r="AA420" s="2780"/>
      <c r="AB420" s="2780"/>
      <c r="AC420" s="945">
        <f>(AC240+AC253+AC278+AC285+AC291+AC299+AC307+AC317+AC322+AC325+AC328+AC379+AC383+AC385+AC388+AC393+AC409+AC411+AC414+AC416)/20</f>
        <v>63.508320484221066</v>
      </c>
      <c r="AD420" s="945">
        <f>(AD240+AD253+AD278+AD285+AD291+AD299+AD307+AD317+AD322+AD325+AD328+AD379+AD383+AD385+AD388+AD393+AD409+AD411+AD414+AD416)/20</f>
        <v>29.969018625431477</v>
      </c>
      <c r="AE420" s="490"/>
      <c r="AF420" s="569"/>
      <c r="AG420" s="569"/>
      <c r="AH420" s="569"/>
      <c r="AI420" s="569"/>
      <c r="AJ420" s="569"/>
      <c r="AK420" s="569"/>
      <c r="AL420" s="569"/>
      <c r="AM420" s="569"/>
      <c r="AN420" s="569"/>
      <c r="AO420" s="569"/>
      <c r="AP420" s="569"/>
      <c r="AQ420" s="569"/>
      <c r="AR420" s="569"/>
      <c r="AS420" s="569"/>
      <c r="AT420" s="569"/>
      <c r="AU420" s="569"/>
      <c r="AV420" s="569"/>
      <c r="AW420" s="569"/>
      <c r="AX420" s="569"/>
      <c r="AY420" s="569"/>
      <c r="AZ420" s="569"/>
      <c r="BA420" s="569"/>
      <c r="BB420" s="569"/>
      <c r="BC420" s="570"/>
      <c r="BD420" s="570"/>
      <c r="BE420" s="570"/>
      <c r="BF420" s="570"/>
      <c r="BG420" s="570"/>
      <c r="BH420" s="570"/>
      <c r="BI420" s="570"/>
      <c r="BJ420" s="570"/>
      <c r="BK420" s="570"/>
      <c r="BL420" s="570"/>
      <c r="BM420" s="570"/>
      <c r="BN420" s="570"/>
      <c r="BO420" s="570"/>
      <c r="BP420" s="570"/>
      <c r="BQ420" s="570"/>
    </row>
    <row r="421" spans="1:70" ht="19.5" customHeight="1">
      <c r="A421" s="2717" t="s">
        <v>64</v>
      </c>
      <c r="B421" s="2717"/>
      <c r="C421" s="2780"/>
      <c r="D421" s="2780"/>
      <c r="E421" s="2780"/>
      <c r="F421" s="2780"/>
      <c r="G421" s="2780"/>
      <c r="H421" s="2780"/>
      <c r="I421" s="2780"/>
      <c r="J421" s="2780"/>
      <c r="K421" s="2780"/>
      <c r="L421" s="2780"/>
      <c r="M421" s="2780"/>
      <c r="N421" s="2780"/>
      <c r="O421" s="2780"/>
      <c r="P421" s="2780"/>
      <c r="Q421" s="2780"/>
      <c r="R421" s="2780"/>
      <c r="S421" s="2780"/>
      <c r="T421" s="2780"/>
      <c r="U421" s="2780"/>
      <c r="V421" s="2780"/>
      <c r="W421" s="2780"/>
      <c r="X421" s="2780"/>
      <c r="Y421" s="2780"/>
      <c r="Z421" s="2780"/>
      <c r="AA421" s="2780"/>
      <c r="AB421" s="2780"/>
      <c r="AC421" s="524" t="str">
        <f>IF(AC420&gt;=91,"ST",IF(AC420&gt;=76,"T",IF(AC420&gt;=66,"S",IF(AC420&gt;=51,"R","SR"))))</f>
        <v>R</v>
      </c>
      <c r="AD421" s="524" t="str">
        <f>IF(AD420&gt;=91,"ST",IF(AD420&gt;=76,"T",IF(AD420&gt;=66,"S",IF(AD420&gt;=51,"R","SR"))))</f>
        <v>SR</v>
      </c>
      <c r="AE421" s="490"/>
      <c r="AF421" s="569"/>
      <c r="AG421" s="569"/>
      <c r="AH421" s="569"/>
      <c r="AI421" s="569"/>
      <c r="AJ421" s="569"/>
      <c r="AK421" s="569"/>
      <c r="AL421" s="569"/>
      <c r="AM421" s="569"/>
      <c r="AN421" s="569"/>
      <c r="AO421" s="569"/>
      <c r="AP421" s="569"/>
      <c r="AQ421" s="569"/>
      <c r="AR421" s="569"/>
      <c r="AS421" s="569"/>
      <c r="AT421" s="569"/>
      <c r="AU421" s="569"/>
      <c r="AV421" s="569"/>
      <c r="AW421" s="569"/>
      <c r="AX421" s="569"/>
      <c r="AY421" s="569"/>
      <c r="AZ421" s="569"/>
      <c r="BA421" s="569"/>
      <c r="BB421" s="569"/>
      <c r="BC421" s="570"/>
      <c r="BD421" s="570"/>
      <c r="BE421" s="570"/>
      <c r="BF421" s="570"/>
      <c r="BG421" s="570"/>
      <c r="BH421" s="570"/>
      <c r="BI421" s="570"/>
      <c r="BJ421" s="570"/>
      <c r="BK421" s="570"/>
      <c r="BL421" s="570"/>
      <c r="BM421" s="570"/>
      <c r="BN421" s="570"/>
      <c r="BO421" s="570"/>
      <c r="BP421" s="570"/>
      <c r="BQ421" s="570"/>
    </row>
    <row r="422" spans="1:70" ht="28.5" customHeight="1">
      <c r="A422" s="2814" t="s">
        <v>2775</v>
      </c>
      <c r="B422" s="2815"/>
      <c r="C422" s="2815"/>
      <c r="D422" s="2815"/>
      <c r="E422" s="2815"/>
      <c r="F422" s="2815"/>
      <c r="G422" s="2815"/>
      <c r="H422" s="2816"/>
      <c r="I422" s="1507"/>
      <c r="J422" s="1507"/>
      <c r="K422" s="1507"/>
      <c r="L422" s="1509">
        <f>L423+L436+L445+L447+L459+L472+L478</f>
        <v>212844914828</v>
      </c>
      <c r="M422" s="1507"/>
      <c r="N422" s="1509">
        <f>N423+N436+N445+N447+N459+N472+N478</f>
        <v>42070150209</v>
      </c>
      <c r="O422" s="1510"/>
      <c r="P422" s="1509">
        <f>SUM(P423+P436+P447+P457+P459+P472+P478+P486)</f>
        <v>34054821413</v>
      </c>
      <c r="Q422" s="1511"/>
      <c r="R422" s="1509">
        <f>R423+R436+R445+R447+R459+R472+R478</f>
        <v>660482988</v>
      </c>
      <c r="S422" s="1507"/>
      <c r="T422" s="1512">
        <f>T423+T436+T447+T457+T459+T472+T478</f>
        <v>4986984252</v>
      </c>
      <c r="U422" s="1507"/>
      <c r="V422" s="1513"/>
      <c r="W422" s="1507"/>
      <c r="X422" s="1616"/>
      <c r="Y422" s="1511"/>
      <c r="Z422" s="1509">
        <f>Z423+Z436+Z445+Z447+Z459+Z472+Z478</f>
        <v>5192947590</v>
      </c>
      <c r="AA422" s="1507"/>
      <c r="AB422" s="1509">
        <f>AB423+AB436+AB445+AB447+AB459+AB472+AB478</f>
        <v>47263097799</v>
      </c>
      <c r="AC422" s="1507"/>
      <c r="AD422" s="1507"/>
      <c r="AE422" s="2590"/>
      <c r="AF422" s="946"/>
      <c r="AG422" s="946"/>
      <c r="AH422" s="946"/>
      <c r="AI422" s="946"/>
      <c r="AJ422" s="946"/>
      <c r="AK422" s="946"/>
      <c r="AL422" s="946"/>
      <c r="AM422" s="946"/>
      <c r="AN422" s="946"/>
      <c r="AO422" s="946"/>
      <c r="AP422" s="946"/>
      <c r="AQ422" s="946"/>
      <c r="AR422" s="946"/>
      <c r="AS422" s="946"/>
      <c r="AT422" s="946"/>
      <c r="AU422" s="946"/>
      <c r="AV422" s="946"/>
      <c r="AW422" s="946"/>
      <c r="AX422" s="946"/>
      <c r="AY422" s="946"/>
      <c r="AZ422" s="946"/>
      <c r="BA422" s="946"/>
      <c r="BB422" s="946"/>
      <c r="BC422" s="947"/>
      <c r="BD422" s="947"/>
      <c r="BE422" s="947"/>
      <c r="BF422" s="947"/>
      <c r="BG422" s="947"/>
      <c r="BH422" s="947"/>
      <c r="BI422" s="947"/>
      <c r="BJ422" s="947"/>
      <c r="BK422" s="947"/>
      <c r="BL422" s="947"/>
      <c r="BM422" s="947"/>
      <c r="BN422" s="947"/>
      <c r="BO422" s="947"/>
      <c r="BP422" s="947"/>
      <c r="BQ422" s="947"/>
    </row>
    <row r="423" spans="1:70" s="22" customFormat="1" ht="82.5">
      <c r="A423" s="2558">
        <v>1</v>
      </c>
      <c r="B423" s="629"/>
      <c r="C423" s="620" t="s">
        <v>41</v>
      </c>
      <c r="D423" s="620" t="s">
        <v>25</v>
      </c>
      <c r="E423" s="620" t="s">
        <v>39</v>
      </c>
      <c r="F423" s="620" t="s">
        <v>28</v>
      </c>
      <c r="G423" s="620" t="s">
        <v>25</v>
      </c>
      <c r="H423" s="133"/>
      <c r="I423" s="629" t="s">
        <v>26</v>
      </c>
      <c r="J423" s="629" t="s">
        <v>2706</v>
      </c>
      <c r="K423" s="1599">
        <v>72</v>
      </c>
      <c r="L423" s="801">
        <f t="shared" ref="L423:N423" si="118">SUM(L424:L435)</f>
        <v>4972542400</v>
      </c>
      <c r="M423" s="1599">
        <v>36</v>
      </c>
      <c r="N423" s="801">
        <f t="shared" si="118"/>
        <v>1449221243</v>
      </c>
      <c r="O423" s="1599">
        <v>12</v>
      </c>
      <c r="P423" s="801">
        <f>SUM(P424:P435)</f>
        <v>563194601</v>
      </c>
      <c r="Q423" s="1599"/>
      <c r="R423" s="801">
        <f>SUM(R424:R435)</f>
        <v>141861301</v>
      </c>
      <c r="S423" s="543"/>
      <c r="T423" s="801">
        <f>SUM(T424:T435)</f>
        <v>139894295</v>
      </c>
      <c r="U423" s="1600"/>
      <c r="V423" s="801">
        <f>SUM(V424:V435)</f>
        <v>0</v>
      </c>
      <c r="W423" s="821"/>
      <c r="X423" s="801">
        <f>SUM(X424:X435)</f>
        <v>0</v>
      </c>
      <c r="Y423" s="1603">
        <f t="shared" ref="Y423:Y451" si="119">Q423+S423+U423+W423</f>
        <v>0</v>
      </c>
      <c r="Z423" s="801">
        <f t="shared" ref="Z423:Z451" si="120">R423+T423+V423+X423</f>
        <v>281755596</v>
      </c>
      <c r="AA423" s="1603">
        <f t="shared" ref="AA423:AA451" si="121">M423+Y423</f>
        <v>36</v>
      </c>
      <c r="AB423" s="1601">
        <f t="shared" ref="AB423:AB451" si="122">N423+Z423</f>
        <v>1730976839</v>
      </c>
      <c r="AC423" s="821">
        <f t="shared" ref="AC423:AC451" si="123">AA423/K423*100</f>
        <v>50</v>
      </c>
      <c r="AD423" s="821">
        <f t="shared" ref="AD423:AD451" si="124">AB423/L423*100</f>
        <v>34.810700437667457</v>
      </c>
      <c r="AE423" s="1602" t="s">
        <v>612</v>
      </c>
      <c r="AF423" s="948"/>
      <c r="AG423" s="949"/>
      <c r="AH423" s="949"/>
      <c r="AI423" s="949"/>
      <c r="AJ423" s="949"/>
      <c r="AK423" s="949"/>
      <c r="AL423" s="949"/>
      <c r="AM423" s="949"/>
      <c r="AN423" s="949"/>
      <c r="AO423" s="949"/>
      <c r="AP423" s="949"/>
      <c r="AQ423" s="949"/>
      <c r="AR423" s="949"/>
      <c r="AS423" s="949"/>
      <c r="AT423" s="949"/>
      <c r="AU423" s="949"/>
      <c r="AV423" s="949"/>
      <c r="AW423" s="949"/>
      <c r="AX423" s="949"/>
      <c r="AY423" s="949"/>
      <c r="AZ423" s="949"/>
      <c r="BA423" s="949"/>
      <c r="BB423" s="949"/>
      <c r="BC423" s="950"/>
      <c r="BD423" s="950"/>
      <c r="BE423" s="950"/>
      <c r="BF423" s="950"/>
      <c r="BG423" s="950"/>
      <c r="BH423" s="950"/>
      <c r="BI423" s="950"/>
      <c r="BJ423" s="950"/>
      <c r="BK423" s="950"/>
      <c r="BL423" s="950"/>
      <c r="BM423" s="950"/>
      <c r="BN423" s="950"/>
      <c r="BO423" s="950"/>
      <c r="BP423" s="950"/>
      <c r="BQ423" s="950"/>
      <c r="BR423" s="752"/>
    </row>
    <row r="424" spans="1:70" s="22" customFormat="1" ht="66">
      <c r="A424" s="779"/>
      <c r="B424" s="1291"/>
      <c r="C424" s="605" t="s">
        <v>41</v>
      </c>
      <c r="D424" s="605" t="s">
        <v>25</v>
      </c>
      <c r="E424" s="605" t="s">
        <v>39</v>
      </c>
      <c r="F424" s="605" t="s">
        <v>28</v>
      </c>
      <c r="G424" s="605" t="s">
        <v>25</v>
      </c>
      <c r="H424" s="605" t="s">
        <v>28</v>
      </c>
      <c r="I424" s="1291" t="s">
        <v>613</v>
      </c>
      <c r="J424" s="1291" t="s">
        <v>2699</v>
      </c>
      <c r="K424" s="953">
        <v>72</v>
      </c>
      <c r="L424" s="954">
        <f>88124203*5</f>
        <v>440621015</v>
      </c>
      <c r="M424" s="953">
        <v>36</v>
      </c>
      <c r="N424" s="954">
        <f>58860141+59403032</f>
        <v>118263173</v>
      </c>
      <c r="O424" s="953">
        <v>12</v>
      </c>
      <c r="P424" s="954">
        <v>73200000</v>
      </c>
      <c r="Q424" s="954">
        <v>3</v>
      </c>
      <c r="R424" s="957">
        <v>11816301</v>
      </c>
      <c r="S424" s="954">
        <v>3</v>
      </c>
      <c r="T424" s="957">
        <v>10173595</v>
      </c>
      <c r="U424" s="958"/>
      <c r="V424" s="957"/>
      <c r="W424" s="959"/>
      <c r="X424" s="957"/>
      <c r="Y424" s="1604">
        <f t="shared" si="119"/>
        <v>6</v>
      </c>
      <c r="Z424" s="954">
        <f t="shared" si="120"/>
        <v>21989896</v>
      </c>
      <c r="AA424" s="1604">
        <f t="shared" si="121"/>
        <v>42</v>
      </c>
      <c r="AB424" s="960">
        <f t="shared" si="122"/>
        <v>140253069</v>
      </c>
      <c r="AC424" s="961">
        <f t="shared" si="123"/>
        <v>58.333333333333336</v>
      </c>
      <c r="AD424" s="961">
        <f t="shared" si="124"/>
        <v>31.830771621276394</v>
      </c>
      <c r="AE424" s="1605"/>
      <c r="AF424" s="948"/>
      <c r="AG424" s="949"/>
      <c r="AH424" s="949"/>
      <c r="AI424" s="949"/>
      <c r="AJ424" s="949"/>
      <c r="AK424" s="949"/>
      <c r="AL424" s="949"/>
      <c r="AM424" s="949"/>
      <c r="AN424" s="949"/>
      <c r="AO424" s="949"/>
      <c r="AP424" s="949"/>
      <c r="AQ424" s="949"/>
      <c r="AR424" s="949"/>
      <c r="AS424" s="949"/>
      <c r="AT424" s="949"/>
      <c r="AU424" s="949"/>
      <c r="AV424" s="949"/>
      <c r="AW424" s="949"/>
      <c r="AX424" s="949"/>
      <c r="AY424" s="949"/>
      <c r="AZ424" s="949"/>
      <c r="BA424" s="949"/>
      <c r="BB424" s="949"/>
      <c r="BC424" s="950"/>
      <c r="BD424" s="950"/>
      <c r="BE424" s="950"/>
      <c r="BF424" s="950"/>
      <c r="BG424" s="950"/>
      <c r="BH424" s="950"/>
      <c r="BI424" s="950"/>
      <c r="BJ424" s="950"/>
      <c r="BK424" s="950"/>
      <c r="BL424" s="950"/>
      <c r="BM424" s="950"/>
      <c r="BN424" s="950"/>
      <c r="BO424" s="950"/>
      <c r="BP424" s="950"/>
      <c r="BQ424" s="950"/>
      <c r="BR424" s="752"/>
    </row>
    <row r="425" spans="1:70" s="22" customFormat="1" ht="49.5">
      <c r="A425" s="779"/>
      <c r="B425" s="1291"/>
      <c r="C425" s="605" t="s">
        <v>41</v>
      </c>
      <c r="D425" s="605" t="s">
        <v>25</v>
      </c>
      <c r="E425" s="605" t="s">
        <v>39</v>
      </c>
      <c r="F425" s="605" t="s">
        <v>28</v>
      </c>
      <c r="G425" s="605" t="s">
        <v>25</v>
      </c>
      <c r="H425" s="605" t="s">
        <v>29</v>
      </c>
      <c r="I425" s="1291" t="s">
        <v>614</v>
      </c>
      <c r="J425" s="1291" t="s">
        <v>615</v>
      </c>
      <c r="K425" s="953">
        <v>72</v>
      </c>
      <c r="L425" s="954">
        <f>5*211376537</f>
        <v>1056882685</v>
      </c>
      <c r="M425" s="953">
        <v>36</v>
      </c>
      <c r="N425" s="954">
        <f>168089000+197903000</f>
        <v>365992000</v>
      </c>
      <c r="O425" s="953">
        <v>12</v>
      </c>
      <c r="P425" s="954">
        <v>120450000</v>
      </c>
      <c r="Q425" s="954">
        <v>3</v>
      </c>
      <c r="R425" s="957">
        <v>20100000</v>
      </c>
      <c r="S425" s="954">
        <v>3</v>
      </c>
      <c r="T425" s="957">
        <v>33650000</v>
      </c>
      <c r="U425" s="958"/>
      <c r="V425" s="957"/>
      <c r="W425" s="959"/>
      <c r="X425" s="957"/>
      <c r="Y425" s="1604">
        <f t="shared" si="119"/>
        <v>6</v>
      </c>
      <c r="Z425" s="954">
        <f t="shared" si="120"/>
        <v>53750000</v>
      </c>
      <c r="AA425" s="1604">
        <f t="shared" si="121"/>
        <v>42</v>
      </c>
      <c r="AB425" s="960">
        <f t="shared" si="122"/>
        <v>419742000</v>
      </c>
      <c r="AC425" s="961">
        <f t="shared" si="123"/>
        <v>58.333333333333336</v>
      </c>
      <c r="AD425" s="961">
        <f t="shared" si="124"/>
        <v>39.71509855892851</v>
      </c>
      <c r="AE425" s="1605"/>
      <c r="AF425" s="949"/>
      <c r="AG425" s="949"/>
      <c r="AH425" s="949"/>
      <c r="AI425" s="949"/>
      <c r="AJ425" s="949"/>
      <c r="AK425" s="949"/>
      <c r="AL425" s="949"/>
      <c r="AM425" s="949"/>
      <c r="AN425" s="949"/>
      <c r="AO425" s="949"/>
      <c r="AP425" s="949"/>
      <c r="AQ425" s="949"/>
      <c r="AR425" s="949"/>
      <c r="AS425" s="949"/>
      <c r="AT425" s="949"/>
      <c r="AU425" s="949"/>
      <c r="AV425" s="949"/>
      <c r="AW425" s="949"/>
      <c r="AX425" s="949"/>
      <c r="AY425" s="949"/>
      <c r="AZ425" s="949"/>
      <c r="BA425" s="949"/>
      <c r="BB425" s="949"/>
      <c r="BC425" s="950"/>
      <c r="BD425" s="950"/>
      <c r="BE425" s="950"/>
      <c r="BF425" s="950"/>
      <c r="BG425" s="950"/>
      <c r="BH425" s="950"/>
      <c r="BI425" s="950"/>
      <c r="BJ425" s="950"/>
      <c r="BK425" s="950"/>
      <c r="BL425" s="950"/>
      <c r="BM425" s="950"/>
      <c r="BN425" s="950"/>
      <c r="BO425" s="950"/>
      <c r="BP425" s="950"/>
      <c r="BQ425" s="950"/>
      <c r="BR425" s="752"/>
    </row>
    <row r="426" spans="1:70" s="22" customFormat="1" ht="49.5">
      <c r="A426" s="779"/>
      <c r="B426" s="1291"/>
      <c r="C426" s="605" t="s">
        <v>41</v>
      </c>
      <c r="D426" s="605" t="s">
        <v>25</v>
      </c>
      <c r="E426" s="605" t="s">
        <v>39</v>
      </c>
      <c r="F426" s="605" t="s">
        <v>28</v>
      </c>
      <c r="G426" s="605" t="s">
        <v>25</v>
      </c>
      <c r="H426" s="605" t="s">
        <v>30</v>
      </c>
      <c r="I426" s="1291" t="s">
        <v>616</v>
      </c>
      <c r="J426" s="1291" t="s">
        <v>2700</v>
      </c>
      <c r="K426" s="953">
        <v>72</v>
      </c>
      <c r="L426" s="954">
        <f>5*109261857</f>
        <v>546309285</v>
      </c>
      <c r="M426" s="953">
        <v>36</v>
      </c>
      <c r="N426" s="954">
        <f>2*'[2]KEU '!$J$17</f>
        <v>176359000</v>
      </c>
      <c r="O426" s="953">
        <v>12</v>
      </c>
      <c r="P426" s="954">
        <v>88989000</v>
      </c>
      <c r="Q426" s="954">
        <v>3</v>
      </c>
      <c r="R426" s="957">
        <v>20951000</v>
      </c>
      <c r="S426" s="954">
        <v>3</v>
      </c>
      <c r="T426" s="957">
        <v>33936500</v>
      </c>
      <c r="U426" s="958"/>
      <c r="V426" s="957"/>
      <c r="W426" s="959"/>
      <c r="X426" s="957"/>
      <c r="Y426" s="1604">
        <f t="shared" si="119"/>
        <v>6</v>
      </c>
      <c r="Z426" s="954">
        <f t="shared" si="120"/>
        <v>54887500</v>
      </c>
      <c r="AA426" s="1604">
        <f t="shared" si="121"/>
        <v>42</v>
      </c>
      <c r="AB426" s="960">
        <f t="shared" si="122"/>
        <v>231246500</v>
      </c>
      <c r="AC426" s="961">
        <f t="shared" si="123"/>
        <v>58.333333333333336</v>
      </c>
      <c r="AD426" s="961">
        <f t="shared" si="124"/>
        <v>42.328861388471552</v>
      </c>
      <c r="AE426" s="1605"/>
      <c r="AF426" s="949"/>
      <c r="AG426" s="949"/>
      <c r="AH426" s="949"/>
      <c r="AI426" s="949"/>
      <c r="AJ426" s="949"/>
      <c r="AK426" s="949"/>
      <c r="AL426" s="949"/>
      <c r="AM426" s="949"/>
      <c r="AN426" s="949"/>
      <c r="AO426" s="949"/>
      <c r="AP426" s="949"/>
      <c r="AQ426" s="949"/>
      <c r="AR426" s="949"/>
      <c r="AS426" s="949"/>
      <c r="AT426" s="949"/>
      <c r="AU426" s="949"/>
      <c r="AV426" s="949"/>
      <c r="AW426" s="949"/>
      <c r="AX426" s="949"/>
      <c r="AY426" s="949"/>
      <c r="AZ426" s="949"/>
      <c r="BA426" s="949"/>
      <c r="BB426" s="949"/>
      <c r="BC426" s="950"/>
      <c r="BD426" s="950"/>
      <c r="BE426" s="950"/>
      <c r="BF426" s="950"/>
      <c r="BG426" s="950"/>
      <c r="BH426" s="950"/>
      <c r="BI426" s="950"/>
      <c r="BJ426" s="950"/>
      <c r="BK426" s="950"/>
      <c r="BL426" s="950"/>
      <c r="BM426" s="950"/>
      <c r="BN426" s="950"/>
      <c r="BO426" s="950"/>
      <c r="BP426" s="950"/>
      <c r="BQ426" s="950"/>
      <c r="BR426" s="752"/>
    </row>
    <row r="427" spans="1:70" s="22" customFormat="1" ht="66">
      <c r="A427" s="779"/>
      <c r="B427" s="1291"/>
      <c r="C427" s="605" t="s">
        <v>41</v>
      </c>
      <c r="D427" s="605" t="s">
        <v>25</v>
      </c>
      <c r="E427" s="605" t="s">
        <v>39</v>
      </c>
      <c r="F427" s="605" t="s">
        <v>28</v>
      </c>
      <c r="G427" s="605" t="s">
        <v>25</v>
      </c>
      <c r="H427" s="605" t="s">
        <v>43</v>
      </c>
      <c r="I427" s="1291" t="s">
        <v>420</v>
      </c>
      <c r="J427" s="1291" t="s">
        <v>2701</v>
      </c>
      <c r="K427" s="953">
        <v>72</v>
      </c>
      <c r="L427" s="954">
        <f>5*15750000</f>
        <v>78750000</v>
      </c>
      <c r="M427" s="953">
        <v>36</v>
      </c>
      <c r="N427" s="954">
        <f>'[2]KEU '!$J$21*2</f>
        <v>29645000</v>
      </c>
      <c r="O427" s="953">
        <v>12</v>
      </c>
      <c r="P427" s="954">
        <v>14000000</v>
      </c>
      <c r="Q427" s="954">
        <v>3</v>
      </c>
      <c r="R427" s="957">
        <v>4800000</v>
      </c>
      <c r="S427" s="954">
        <v>3</v>
      </c>
      <c r="T427" s="957">
        <v>3900000</v>
      </c>
      <c r="U427" s="958"/>
      <c r="V427" s="957"/>
      <c r="W427" s="959"/>
      <c r="X427" s="957"/>
      <c r="Y427" s="1604">
        <f t="shared" si="119"/>
        <v>6</v>
      </c>
      <c r="Z427" s="954">
        <f t="shared" si="120"/>
        <v>8700000</v>
      </c>
      <c r="AA427" s="1604">
        <f t="shared" si="121"/>
        <v>42</v>
      </c>
      <c r="AB427" s="960">
        <f t="shared" si="122"/>
        <v>38345000</v>
      </c>
      <c r="AC427" s="961">
        <f t="shared" si="123"/>
        <v>58.333333333333336</v>
      </c>
      <c r="AD427" s="961">
        <f t="shared" si="124"/>
        <v>48.69206349206349</v>
      </c>
      <c r="AE427" s="1605"/>
      <c r="AF427" s="949"/>
      <c r="AG427" s="949"/>
      <c r="AH427" s="949"/>
      <c r="AI427" s="949"/>
      <c r="AJ427" s="949"/>
      <c r="AK427" s="949"/>
      <c r="AL427" s="949"/>
      <c r="AM427" s="949"/>
      <c r="AN427" s="949"/>
      <c r="AO427" s="949"/>
      <c r="AP427" s="949"/>
      <c r="AQ427" s="949"/>
      <c r="AR427" s="949"/>
      <c r="AS427" s="949"/>
      <c r="AT427" s="949"/>
      <c r="AU427" s="949"/>
      <c r="AV427" s="949"/>
      <c r="AW427" s="949"/>
      <c r="AX427" s="949"/>
      <c r="AY427" s="949"/>
      <c r="AZ427" s="949"/>
      <c r="BA427" s="949"/>
      <c r="BB427" s="949"/>
      <c r="BC427" s="950"/>
      <c r="BD427" s="950"/>
      <c r="BE427" s="950"/>
      <c r="BF427" s="950"/>
      <c r="BG427" s="950"/>
      <c r="BH427" s="950"/>
      <c r="BI427" s="950"/>
      <c r="BJ427" s="950"/>
      <c r="BK427" s="950"/>
      <c r="BL427" s="950"/>
      <c r="BM427" s="950"/>
      <c r="BN427" s="950"/>
      <c r="BO427" s="950"/>
      <c r="BP427" s="950"/>
      <c r="BQ427" s="950"/>
      <c r="BR427" s="752"/>
    </row>
    <row r="428" spans="1:70" s="22" customFormat="1" ht="33">
      <c r="A428" s="779"/>
      <c r="B428" s="1291"/>
      <c r="C428" s="605" t="s">
        <v>41</v>
      </c>
      <c r="D428" s="605" t="s">
        <v>25</v>
      </c>
      <c r="E428" s="605" t="s">
        <v>39</v>
      </c>
      <c r="F428" s="605" t="s">
        <v>28</v>
      </c>
      <c r="G428" s="605" t="s">
        <v>25</v>
      </c>
      <c r="H428" s="605" t="s">
        <v>31</v>
      </c>
      <c r="I428" s="1291" t="s">
        <v>32</v>
      </c>
      <c r="J428" s="1291" t="s">
        <v>1339</v>
      </c>
      <c r="K428" s="953">
        <v>72</v>
      </c>
      <c r="L428" s="954">
        <f>5*95458811</f>
        <v>477294055</v>
      </c>
      <c r="M428" s="953">
        <v>36</v>
      </c>
      <c r="N428" s="954">
        <f>'[2]KEU '!$J$23</f>
        <v>78476000</v>
      </c>
      <c r="O428" s="953">
        <v>12</v>
      </c>
      <c r="P428" s="954">
        <v>67858101</v>
      </c>
      <c r="Q428" s="954">
        <v>3</v>
      </c>
      <c r="R428" s="957">
        <v>36802000</v>
      </c>
      <c r="S428" s="954">
        <v>3</v>
      </c>
      <c r="T428" s="957">
        <v>9322000</v>
      </c>
      <c r="U428" s="958"/>
      <c r="V428" s="957"/>
      <c r="W428" s="959"/>
      <c r="X428" s="957"/>
      <c r="Y428" s="1604">
        <f t="shared" si="119"/>
        <v>6</v>
      </c>
      <c r="Z428" s="954">
        <f t="shared" si="120"/>
        <v>46124000</v>
      </c>
      <c r="AA428" s="1604">
        <f t="shared" si="121"/>
        <v>42</v>
      </c>
      <c r="AB428" s="960">
        <f t="shared" si="122"/>
        <v>124600000</v>
      </c>
      <c r="AC428" s="961">
        <f t="shared" si="123"/>
        <v>58.333333333333336</v>
      </c>
      <c r="AD428" s="961">
        <f t="shared" si="124"/>
        <v>26.105500098885582</v>
      </c>
      <c r="AE428" s="1605"/>
      <c r="AF428" s="949"/>
      <c r="AG428" s="949"/>
      <c r="AH428" s="949"/>
      <c r="AI428" s="949"/>
      <c r="AJ428" s="949"/>
      <c r="AK428" s="949"/>
      <c r="AL428" s="949"/>
      <c r="AM428" s="949"/>
      <c r="AN428" s="949"/>
      <c r="AO428" s="949"/>
      <c r="AP428" s="949"/>
      <c r="AQ428" s="949"/>
      <c r="AR428" s="949"/>
      <c r="AS428" s="949"/>
      <c r="AT428" s="949"/>
      <c r="AU428" s="949"/>
      <c r="AV428" s="949"/>
      <c r="AW428" s="949"/>
      <c r="AX428" s="949"/>
      <c r="AY428" s="949"/>
      <c r="AZ428" s="949"/>
      <c r="BA428" s="949"/>
      <c r="BB428" s="949"/>
      <c r="BC428" s="950"/>
      <c r="BD428" s="950"/>
      <c r="BE428" s="950"/>
      <c r="BF428" s="950"/>
      <c r="BG428" s="950"/>
      <c r="BH428" s="950"/>
      <c r="BI428" s="950"/>
      <c r="BJ428" s="950"/>
      <c r="BK428" s="950"/>
      <c r="BL428" s="950"/>
      <c r="BM428" s="950"/>
      <c r="BN428" s="950"/>
      <c r="BO428" s="950"/>
      <c r="BP428" s="950"/>
      <c r="BQ428" s="950"/>
      <c r="BR428" s="752"/>
    </row>
    <row r="429" spans="1:70" s="22" customFormat="1" ht="82.5">
      <c r="A429" s="779"/>
      <c r="B429" s="1291"/>
      <c r="C429" s="605" t="s">
        <v>41</v>
      </c>
      <c r="D429" s="605" t="s">
        <v>25</v>
      </c>
      <c r="E429" s="605" t="s">
        <v>39</v>
      </c>
      <c r="F429" s="605" t="s">
        <v>28</v>
      </c>
      <c r="G429" s="605" t="s">
        <v>25</v>
      </c>
      <c r="H429" s="605" t="s">
        <v>62</v>
      </c>
      <c r="I429" s="1291" t="s">
        <v>617</v>
      </c>
      <c r="J429" s="1291" t="s">
        <v>2073</v>
      </c>
      <c r="K429" s="953">
        <v>72</v>
      </c>
      <c r="L429" s="954">
        <f>5*65085255</f>
        <v>325426275</v>
      </c>
      <c r="M429" s="953">
        <v>36</v>
      </c>
      <c r="N429" s="954">
        <f>'[2]KEU '!$J$25*2</f>
        <v>106348400</v>
      </c>
      <c r="O429" s="953">
        <v>12</v>
      </c>
      <c r="P429" s="954">
        <v>28160000</v>
      </c>
      <c r="Q429" s="954">
        <v>3</v>
      </c>
      <c r="R429" s="957">
        <v>5016000</v>
      </c>
      <c r="S429" s="954">
        <v>3</v>
      </c>
      <c r="T429" s="957">
        <v>4487200</v>
      </c>
      <c r="U429" s="958"/>
      <c r="V429" s="957"/>
      <c r="W429" s="959"/>
      <c r="X429" s="957"/>
      <c r="Y429" s="1604">
        <f t="shared" si="119"/>
        <v>6</v>
      </c>
      <c r="Z429" s="954">
        <f t="shared" si="120"/>
        <v>9503200</v>
      </c>
      <c r="AA429" s="1604">
        <f t="shared" si="121"/>
        <v>42</v>
      </c>
      <c r="AB429" s="960">
        <f t="shared" si="122"/>
        <v>115851600</v>
      </c>
      <c r="AC429" s="961">
        <f t="shared" si="123"/>
        <v>58.333333333333336</v>
      </c>
      <c r="AD429" s="961">
        <f t="shared" si="124"/>
        <v>35.599952708182521</v>
      </c>
      <c r="AE429" s="1605"/>
      <c r="AF429" s="949"/>
      <c r="AG429" s="949"/>
      <c r="AH429" s="949"/>
      <c r="AI429" s="949"/>
      <c r="AJ429" s="949"/>
      <c r="AK429" s="949"/>
      <c r="AL429" s="949"/>
      <c r="AM429" s="949"/>
      <c r="AN429" s="949"/>
      <c r="AO429" s="949"/>
      <c r="AP429" s="949"/>
      <c r="AQ429" s="949"/>
      <c r="AR429" s="949"/>
      <c r="AS429" s="949"/>
      <c r="AT429" s="949"/>
      <c r="AU429" s="949"/>
      <c r="AV429" s="949"/>
      <c r="AW429" s="949"/>
      <c r="AX429" s="949"/>
      <c r="AY429" s="949"/>
      <c r="AZ429" s="949"/>
      <c r="BA429" s="949"/>
      <c r="BB429" s="949"/>
      <c r="BC429" s="950"/>
      <c r="BD429" s="950"/>
      <c r="BE429" s="950"/>
      <c r="BF429" s="950"/>
      <c r="BG429" s="950"/>
      <c r="BH429" s="950"/>
      <c r="BI429" s="950"/>
      <c r="BJ429" s="950"/>
      <c r="BK429" s="950"/>
      <c r="BL429" s="950"/>
      <c r="BM429" s="950"/>
      <c r="BN429" s="950"/>
      <c r="BO429" s="950"/>
      <c r="BP429" s="950"/>
      <c r="BQ429" s="950"/>
      <c r="BR429" s="752"/>
    </row>
    <row r="430" spans="1:70" s="22" customFormat="1" ht="99">
      <c r="A430" s="779"/>
      <c r="B430" s="1291"/>
      <c r="C430" s="605" t="s">
        <v>41</v>
      </c>
      <c r="D430" s="605" t="s">
        <v>25</v>
      </c>
      <c r="E430" s="605" t="s">
        <v>39</v>
      </c>
      <c r="F430" s="605" t="s">
        <v>28</v>
      </c>
      <c r="G430" s="605" t="s">
        <v>25</v>
      </c>
      <c r="H430" s="605">
        <v>12</v>
      </c>
      <c r="I430" s="1291" t="s">
        <v>618</v>
      </c>
      <c r="J430" s="1291" t="s">
        <v>2702</v>
      </c>
      <c r="K430" s="953">
        <v>72</v>
      </c>
      <c r="L430" s="954">
        <f>5*8052729</f>
        <v>40263645</v>
      </c>
      <c r="M430" s="953">
        <v>36</v>
      </c>
      <c r="N430" s="954">
        <f>'[2]KEU '!$J$27*2</f>
        <v>13161000</v>
      </c>
      <c r="O430" s="953">
        <v>12</v>
      </c>
      <c r="P430" s="954">
        <v>6400000</v>
      </c>
      <c r="Q430" s="954">
        <v>3</v>
      </c>
      <c r="R430" s="957">
        <v>1386000</v>
      </c>
      <c r="S430" s="954">
        <v>3</v>
      </c>
      <c r="T430" s="957">
        <v>4675000</v>
      </c>
      <c r="U430" s="958"/>
      <c r="V430" s="957"/>
      <c r="W430" s="959"/>
      <c r="X430" s="957"/>
      <c r="Y430" s="1604">
        <f t="shared" si="119"/>
        <v>6</v>
      </c>
      <c r="Z430" s="954">
        <f t="shared" si="120"/>
        <v>6061000</v>
      </c>
      <c r="AA430" s="1604">
        <f t="shared" si="121"/>
        <v>42</v>
      </c>
      <c r="AB430" s="960">
        <f t="shared" si="122"/>
        <v>19222000</v>
      </c>
      <c r="AC430" s="961">
        <f t="shared" si="123"/>
        <v>58.333333333333336</v>
      </c>
      <c r="AD430" s="961">
        <f t="shared" si="124"/>
        <v>47.740337468204878</v>
      </c>
      <c r="AE430" s="1605"/>
      <c r="AF430" s="949"/>
      <c r="AG430" s="949"/>
      <c r="AH430" s="949"/>
      <c r="AI430" s="949"/>
      <c r="AJ430" s="949"/>
      <c r="AK430" s="949"/>
      <c r="AL430" s="949"/>
      <c r="AM430" s="949"/>
      <c r="AN430" s="949"/>
      <c r="AO430" s="949"/>
      <c r="AP430" s="949"/>
      <c r="AQ430" s="949"/>
      <c r="AR430" s="949"/>
      <c r="AS430" s="949"/>
      <c r="AT430" s="949"/>
      <c r="AU430" s="949"/>
      <c r="AV430" s="949"/>
      <c r="AW430" s="949"/>
      <c r="AX430" s="949"/>
      <c r="AY430" s="949"/>
      <c r="AZ430" s="949"/>
      <c r="BA430" s="949"/>
      <c r="BB430" s="949"/>
      <c r="BC430" s="950"/>
      <c r="BD430" s="950"/>
      <c r="BE430" s="950"/>
      <c r="BF430" s="950"/>
      <c r="BG430" s="950"/>
      <c r="BH430" s="950"/>
      <c r="BI430" s="950"/>
      <c r="BJ430" s="950"/>
      <c r="BK430" s="950"/>
      <c r="BL430" s="950"/>
      <c r="BM430" s="950"/>
      <c r="BN430" s="950"/>
      <c r="BO430" s="950"/>
      <c r="BP430" s="950"/>
      <c r="BQ430" s="950"/>
      <c r="BR430" s="752"/>
    </row>
    <row r="431" spans="1:70" s="22" customFormat="1" ht="82.5">
      <c r="A431" s="779"/>
      <c r="B431" s="1291"/>
      <c r="C431" s="605" t="s">
        <v>41</v>
      </c>
      <c r="D431" s="605" t="s">
        <v>25</v>
      </c>
      <c r="E431" s="605" t="s">
        <v>39</v>
      </c>
      <c r="F431" s="605" t="s">
        <v>28</v>
      </c>
      <c r="G431" s="605" t="s">
        <v>25</v>
      </c>
      <c r="H431" s="605">
        <v>15</v>
      </c>
      <c r="I431" s="1291" t="s">
        <v>619</v>
      </c>
      <c r="J431" s="1291" t="s">
        <v>2703</v>
      </c>
      <c r="K431" s="953">
        <v>72</v>
      </c>
      <c r="L431" s="954">
        <f>5*16090988</f>
        <v>80454940</v>
      </c>
      <c r="M431" s="953">
        <v>36</v>
      </c>
      <c r="N431" s="954">
        <f>'[2]KEU '!$J$29*2</f>
        <v>24250000</v>
      </c>
      <c r="O431" s="953">
        <v>12</v>
      </c>
      <c r="P431" s="954">
        <v>14500000</v>
      </c>
      <c r="Q431" s="954">
        <v>3</v>
      </c>
      <c r="R431" s="957">
        <v>4860000</v>
      </c>
      <c r="S431" s="954">
        <v>3</v>
      </c>
      <c r="T431" s="957">
        <v>5770000</v>
      </c>
      <c r="U431" s="958"/>
      <c r="V431" s="957"/>
      <c r="W431" s="959"/>
      <c r="X431" s="957"/>
      <c r="Y431" s="1604">
        <f t="shared" si="119"/>
        <v>6</v>
      </c>
      <c r="Z431" s="954">
        <f t="shared" si="120"/>
        <v>10630000</v>
      </c>
      <c r="AA431" s="1604">
        <f t="shared" si="121"/>
        <v>42</v>
      </c>
      <c r="AB431" s="960">
        <f t="shared" si="122"/>
        <v>34880000</v>
      </c>
      <c r="AC431" s="961">
        <f t="shared" si="123"/>
        <v>58.333333333333336</v>
      </c>
      <c r="AD431" s="961">
        <f t="shared" si="124"/>
        <v>43.353459712977227</v>
      </c>
      <c r="AE431" s="1605"/>
      <c r="AF431" s="949"/>
      <c r="AG431" s="949"/>
      <c r="AH431" s="949"/>
      <c r="AI431" s="949"/>
      <c r="AJ431" s="949"/>
      <c r="AK431" s="949"/>
      <c r="AL431" s="949"/>
      <c r="AM431" s="949"/>
      <c r="AN431" s="949"/>
      <c r="AO431" s="949"/>
      <c r="AP431" s="949"/>
      <c r="AQ431" s="949"/>
      <c r="AR431" s="949"/>
      <c r="AS431" s="949"/>
      <c r="AT431" s="949"/>
      <c r="AU431" s="949"/>
      <c r="AV431" s="949"/>
      <c r="AW431" s="949"/>
      <c r="AX431" s="949"/>
      <c r="AY431" s="949"/>
      <c r="AZ431" s="949"/>
      <c r="BA431" s="949"/>
      <c r="BB431" s="949"/>
      <c r="BC431" s="950"/>
      <c r="BD431" s="950"/>
      <c r="BE431" s="950"/>
      <c r="BF431" s="950"/>
      <c r="BG431" s="950"/>
      <c r="BH431" s="950"/>
      <c r="BI431" s="950"/>
      <c r="BJ431" s="950"/>
      <c r="BK431" s="950"/>
      <c r="BL431" s="950"/>
      <c r="BM431" s="950"/>
      <c r="BN431" s="950"/>
      <c r="BO431" s="950"/>
      <c r="BP431" s="950"/>
      <c r="BQ431" s="950"/>
      <c r="BR431" s="752"/>
    </row>
    <row r="432" spans="1:70" s="22" customFormat="1" ht="49.5">
      <c r="A432" s="779"/>
      <c r="B432" s="1291"/>
      <c r="C432" s="605" t="s">
        <v>41</v>
      </c>
      <c r="D432" s="605" t="s">
        <v>25</v>
      </c>
      <c r="E432" s="605" t="s">
        <v>39</v>
      </c>
      <c r="F432" s="605" t="s">
        <v>28</v>
      </c>
      <c r="G432" s="605" t="s">
        <v>25</v>
      </c>
      <c r="H432" s="605">
        <v>17</v>
      </c>
      <c r="I432" s="1291" t="s">
        <v>620</v>
      </c>
      <c r="J432" s="1291" t="s">
        <v>2078</v>
      </c>
      <c r="K432" s="953">
        <v>72</v>
      </c>
      <c r="L432" s="954">
        <f>5*65880439</f>
        <v>329402195</v>
      </c>
      <c r="M432" s="953">
        <v>36</v>
      </c>
      <c r="N432" s="954">
        <f>'[2]KEU '!$J$31*2</f>
        <v>40975000</v>
      </c>
      <c r="O432" s="953">
        <v>12</v>
      </c>
      <c r="P432" s="954">
        <v>50122500</v>
      </c>
      <c r="Q432" s="954">
        <v>3</v>
      </c>
      <c r="R432" s="957">
        <v>4180000</v>
      </c>
      <c r="S432" s="954">
        <v>3</v>
      </c>
      <c r="T432" s="957">
        <v>3600000</v>
      </c>
      <c r="U432" s="958"/>
      <c r="V432" s="957"/>
      <c r="W432" s="959"/>
      <c r="X432" s="957"/>
      <c r="Y432" s="1604">
        <f t="shared" si="119"/>
        <v>6</v>
      </c>
      <c r="Z432" s="954">
        <f t="shared" si="120"/>
        <v>7780000</v>
      </c>
      <c r="AA432" s="1604">
        <f t="shared" si="121"/>
        <v>42</v>
      </c>
      <c r="AB432" s="960">
        <f t="shared" si="122"/>
        <v>48755000</v>
      </c>
      <c r="AC432" s="961">
        <f t="shared" si="123"/>
        <v>58.333333333333336</v>
      </c>
      <c r="AD432" s="961">
        <f t="shared" si="124"/>
        <v>14.801054983862509</v>
      </c>
      <c r="AE432" s="1605"/>
      <c r="AF432" s="949"/>
      <c r="AG432" s="949"/>
      <c r="AH432" s="949"/>
      <c r="AI432" s="949"/>
      <c r="AJ432" s="949"/>
      <c r="AK432" s="949"/>
      <c r="AL432" s="949"/>
      <c r="AM432" s="949"/>
      <c r="AN432" s="949"/>
      <c r="AO432" s="949"/>
      <c r="AP432" s="949"/>
      <c r="AQ432" s="949"/>
      <c r="AR432" s="949"/>
      <c r="AS432" s="949"/>
      <c r="AT432" s="949"/>
      <c r="AU432" s="949"/>
      <c r="AV432" s="949"/>
      <c r="AW432" s="949"/>
      <c r="AX432" s="949"/>
      <c r="AY432" s="949"/>
      <c r="AZ432" s="949"/>
      <c r="BA432" s="949"/>
      <c r="BB432" s="949"/>
      <c r="BC432" s="950"/>
      <c r="BD432" s="950"/>
      <c r="BE432" s="950"/>
      <c r="BF432" s="950"/>
      <c r="BG432" s="950"/>
      <c r="BH432" s="950"/>
      <c r="BI432" s="950"/>
      <c r="BJ432" s="950"/>
      <c r="BK432" s="950"/>
      <c r="BL432" s="950"/>
      <c r="BM432" s="950"/>
      <c r="BN432" s="950"/>
      <c r="BO432" s="950"/>
      <c r="BP432" s="950"/>
      <c r="BQ432" s="950"/>
      <c r="BR432" s="752"/>
    </row>
    <row r="433" spans="1:70" s="22" customFormat="1" ht="66">
      <c r="A433" s="779"/>
      <c r="B433" s="1291"/>
      <c r="C433" s="605" t="s">
        <v>41</v>
      </c>
      <c r="D433" s="605" t="s">
        <v>25</v>
      </c>
      <c r="E433" s="605" t="s">
        <v>39</v>
      </c>
      <c r="F433" s="605" t="s">
        <v>28</v>
      </c>
      <c r="G433" s="605" t="s">
        <v>25</v>
      </c>
      <c r="H433" s="605">
        <v>18</v>
      </c>
      <c r="I433" s="1291" t="s">
        <v>621</v>
      </c>
      <c r="J433" s="1291" t="s">
        <v>2705</v>
      </c>
      <c r="K433" s="953">
        <v>72</v>
      </c>
      <c r="L433" s="954">
        <f>5*191442234</f>
        <v>957211170</v>
      </c>
      <c r="M433" s="953">
        <v>36</v>
      </c>
      <c r="N433" s="954">
        <f>'[2]KEU '!$J$33*2</f>
        <v>288957420</v>
      </c>
      <c r="O433" s="953">
        <v>12</v>
      </c>
      <c r="P433" s="954">
        <v>26600000</v>
      </c>
      <c r="Q433" s="954">
        <v>3</v>
      </c>
      <c r="R433" s="957">
        <v>12800000</v>
      </c>
      <c r="S433" s="954">
        <v>3</v>
      </c>
      <c r="T433" s="957">
        <v>9995000</v>
      </c>
      <c r="U433" s="958"/>
      <c r="V433" s="957"/>
      <c r="W433" s="959"/>
      <c r="X433" s="957"/>
      <c r="Y433" s="1604">
        <f t="shared" si="119"/>
        <v>6</v>
      </c>
      <c r="Z433" s="954">
        <f t="shared" si="120"/>
        <v>22795000</v>
      </c>
      <c r="AA433" s="1604">
        <f t="shared" si="121"/>
        <v>42</v>
      </c>
      <c r="AB433" s="960">
        <f t="shared" si="122"/>
        <v>311752420</v>
      </c>
      <c r="AC433" s="961">
        <f t="shared" si="123"/>
        <v>58.333333333333336</v>
      </c>
      <c r="AD433" s="961">
        <f t="shared" si="124"/>
        <v>32.568823867778306</v>
      </c>
      <c r="AE433" s="1605"/>
      <c r="AF433" s="949"/>
      <c r="AG433" s="949"/>
      <c r="AH433" s="949"/>
      <c r="AI433" s="949"/>
      <c r="AJ433" s="949"/>
      <c r="AK433" s="949"/>
      <c r="AL433" s="949"/>
      <c r="AM433" s="949"/>
      <c r="AN433" s="949"/>
      <c r="AO433" s="949"/>
      <c r="AP433" s="949"/>
      <c r="AQ433" s="949"/>
      <c r="AR433" s="949"/>
      <c r="AS433" s="949"/>
      <c r="AT433" s="949"/>
      <c r="AU433" s="949"/>
      <c r="AV433" s="949"/>
      <c r="AW433" s="949"/>
      <c r="AX433" s="949"/>
      <c r="AY433" s="949"/>
      <c r="AZ433" s="949"/>
      <c r="BA433" s="949"/>
      <c r="BB433" s="949"/>
      <c r="BC433" s="950"/>
      <c r="BD433" s="950"/>
      <c r="BE433" s="950"/>
      <c r="BF433" s="950"/>
      <c r="BG433" s="950"/>
      <c r="BH433" s="950"/>
      <c r="BI433" s="950"/>
      <c r="BJ433" s="950"/>
      <c r="BK433" s="950"/>
      <c r="BL433" s="950"/>
      <c r="BM433" s="950"/>
      <c r="BN433" s="950"/>
      <c r="BO433" s="950"/>
      <c r="BP433" s="950"/>
      <c r="BQ433" s="950"/>
      <c r="BR433" s="752"/>
    </row>
    <row r="434" spans="1:70" s="22" customFormat="1" ht="66">
      <c r="A434" s="779"/>
      <c r="B434" s="1291"/>
      <c r="C434" s="605" t="s">
        <v>41</v>
      </c>
      <c r="D434" s="605" t="s">
        <v>25</v>
      </c>
      <c r="E434" s="605" t="s">
        <v>39</v>
      </c>
      <c r="F434" s="605" t="s">
        <v>28</v>
      </c>
      <c r="G434" s="605" t="s">
        <v>25</v>
      </c>
      <c r="H434" s="605">
        <v>19</v>
      </c>
      <c r="I434" s="1291" t="s">
        <v>81</v>
      </c>
      <c r="J434" s="1291" t="s">
        <v>2704</v>
      </c>
      <c r="K434" s="953">
        <v>72</v>
      </c>
      <c r="L434" s="954">
        <f>5*123835777</f>
        <v>619178885</v>
      </c>
      <c r="M434" s="953">
        <v>36</v>
      </c>
      <c r="N434" s="954">
        <f>'[2]KEU '!$J$35*2</f>
        <v>186046000</v>
      </c>
      <c r="O434" s="953">
        <v>12</v>
      </c>
      <c r="P434" s="954">
        <v>72915000</v>
      </c>
      <c r="Q434" s="954">
        <v>3</v>
      </c>
      <c r="R434" s="957">
        <v>19150000</v>
      </c>
      <c r="S434" s="954">
        <v>3</v>
      </c>
      <c r="T434" s="957">
        <v>20385000</v>
      </c>
      <c r="U434" s="958"/>
      <c r="V434" s="957"/>
      <c r="W434" s="959"/>
      <c r="X434" s="957"/>
      <c r="Y434" s="1604">
        <f t="shared" si="119"/>
        <v>6</v>
      </c>
      <c r="Z434" s="954">
        <f t="shared" si="120"/>
        <v>39535000</v>
      </c>
      <c r="AA434" s="1604">
        <f t="shared" si="121"/>
        <v>42</v>
      </c>
      <c r="AB434" s="960">
        <f t="shared" si="122"/>
        <v>225581000</v>
      </c>
      <c r="AC434" s="961">
        <f t="shared" si="123"/>
        <v>58.333333333333336</v>
      </c>
      <c r="AD434" s="961">
        <f t="shared" si="124"/>
        <v>36.432282408984278</v>
      </c>
      <c r="AE434" s="1605"/>
      <c r="AF434" s="949"/>
      <c r="AG434" s="949"/>
      <c r="AH434" s="949"/>
      <c r="AI434" s="949"/>
      <c r="AJ434" s="949"/>
      <c r="AK434" s="949"/>
      <c r="AL434" s="949"/>
      <c r="AM434" s="949"/>
      <c r="AN434" s="949"/>
      <c r="AO434" s="949"/>
      <c r="AP434" s="949"/>
      <c r="AQ434" s="949"/>
      <c r="AR434" s="949"/>
      <c r="AS434" s="949"/>
      <c r="AT434" s="949"/>
      <c r="AU434" s="949"/>
      <c r="AV434" s="949"/>
      <c r="AW434" s="949"/>
      <c r="AX434" s="949"/>
      <c r="AY434" s="949"/>
      <c r="AZ434" s="949"/>
      <c r="BA434" s="949"/>
      <c r="BB434" s="949"/>
      <c r="BC434" s="950"/>
      <c r="BD434" s="950"/>
      <c r="BE434" s="950"/>
      <c r="BF434" s="950"/>
      <c r="BG434" s="950"/>
      <c r="BH434" s="950"/>
      <c r="BI434" s="950"/>
      <c r="BJ434" s="950"/>
      <c r="BK434" s="950"/>
      <c r="BL434" s="950"/>
      <c r="BM434" s="950"/>
      <c r="BN434" s="950"/>
      <c r="BO434" s="950"/>
      <c r="BP434" s="950"/>
      <c r="BQ434" s="950"/>
      <c r="BR434" s="752"/>
    </row>
    <row r="435" spans="1:70" s="22" customFormat="1" ht="66">
      <c r="A435" s="779"/>
      <c r="B435" s="1291"/>
      <c r="C435" s="605" t="s">
        <v>41</v>
      </c>
      <c r="D435" s="605" t="s">
        <v>25</v>
      </c>
      <c r="E435" s="605" t="s">
        <v>39</v>
      </c>
      <c r="F435" s="605" t="s">
        <v>28</v>
      </c>
      <c r="G435" s="605" t="s">
        <v>25</v>
      </c>
      <c r="H435" s="605">
        <v>25</v>
      </c>
      <c r="I435" s="1291" t="s">
        <v>423</v>
      </c>
      <c r="J435" s="1291" t="s">
        <v>622</v>
      </c>
      <c r="K435" s="953">
        <v>72</v>
      </c>
      <c r="L435" s="954">
        <f>N435</f>
        <v>20748250</v>
      </c>
      <c r="M435" s="953">
        <v>36</v>
      </c>
      <c r="N435" s="954">
        <f>'[2]KEU '!$J$37</f>
        <v>20748250</v>
      </c>
      <c r="O435" s="954">
        <v>0</v>
      </c>
      <c r="P435" s="957">
        <v>0</v>
      </c>
      <c r="Q435" s="954">
        <v>3</v>
      </c>
      <c r="R435" s="957">
        <v>0</v>
      </c>
      <c r="S435" s="954">
        <v>3</v>
      </c>
      <c r="T435" s="957">
        <v>0</v>
      </c>
      <c r="U435" s="958"/>
      <c r="V435" s="957"/>
      <c r="W435" s="959"/>
      <c r="X435" s="957"/>
      <c r="Y435" s="1604">
        <f t="shared" si="119"/>
        <v>6</v>
      </c>
      <c r="Z435" s="954">
        <f t="shared" si="120"/>
        <v>0</v>
      </c>
      <c r="AA435" s="1604">
        <f t="shared" si="121"/>
        <v>42</v>
      </c>
      <c r="AB435" s="960">
        <f t="shared" si="122"/>
        <v>20748250</v>
      </c>
      <c r="AC435" s="961">
        <f t="shared" si="123"/>
        <v>58.333333333333336</v>
      </c>
      <c r="AD435" s="961">
        <f t="shared" si="124"/>
        <v>100</v>
      </c>
      <c r="AE435" s="1605"/>
      <c r="AF435" s="951"/>
      <c r="AG435" s="951"/>
      <c r="AH435" s="951"/>
      <c r="AI435" s="951"/>
      <c r="AJ435" s="951"/>
      <c r="AK435" s="951"/>
      <c r="AL435" s="951"/>
      <c r="AM435" s="951"/>
      <c r="AN435" s="951"/>
      <c r="AO435" s="951"/>
      <c r="AP435" s="951"/>
      <c r="AQ435" s="951"/>
      <c r="AR435" s="951"/>
      <c r="AS435" s="951"/>
      <c r="AT435" s="951"/>
      <c r="AU435" s="951"/>
      <c r="AV435" s="951"/>
      <c r="AW435" s="951"/>
      <c r="AX435" s="951"/>
      <c r="AY435" s="951"/>
      <c r="AZ435" s="951"/>
      <c r="BA435" s="951"/>
      <c r="BB435" s="951"/>
      <c r="BC435" s="952"/>
      <c r="BD435" s="952"/>
      <c r="BE435" s="952"/>
      <c r="BF435" s="952"/>
      <c r="BG435" s="952"/>
      <c r="BH435" s="952"/>
      <c r="BI435" s="952"/>
      <c r="BJ435" s="952"/>
      <c r="BK435" s="952"/>
      <c r="BL435" s="952"/>
      <c r="BM435" s="952"/>
      <c r="BN435" s="952"/>
      <c r="BO435" s="952"/>
      <c r="BP435" s="952"/>
      <c r="BQ435" s="952"/>
      <c r="BR435" s="752"/>
    </row>
    <row r="436" spans="1:70" s="22" customFormat="1" ht="82.5">
      <c r="A436" s="2558">
        <v>2</v>
      </c>
      <c r="B436" s="629"/>
      <c r="C436" s="133">
        <v>1</v>
      </c>
      <c r="D436" s="620" t="s">
        <v>25</v>
      </c>
      <c r="E436" s="620" t="s">
        <v>39</v>
      </c>
      <c r="F436" s="620" t="s">
        <v>28</v>
      </c>
      <c r="G436" s="620" t="s">
        <v>28</v>
      </c>
      <c r="H436" s="133"/>
      <c r="I436" s="629" t="s">
        <v>36</v>
      </c>
      <c r="J436" s="629" t="s">
        <v>2707</v>
      </c>
      <c r="K436" s="1599">
        <v>72</v>
      </c>
      <c r="L436" s="801">
        <f>SUM(L437:L444)</f>
        <v>4633025500</v>
      </c>
      <c r="M436" s="1599">
        <v>36</v>
      </c>
      <c r="N436" s="801">
        <f>SUM(N437:N444)</f>
        <v>864244040</v>
      </c>
      <c r="O436" s="1599"/>
      <c r="P436" s="801">
        <f>SUM(P437:P444)</f>
        <v>1549519812</v>
      </c>
      <c r="Q436" s="1599"/>
      <c r="R436" s="801">
        <f>SUM(R437:R444)</f>
        <v>249313725</v>
      </c>
      <c r="S436" s="1612">
        <v>3</v>
      </c>
      <c r="T436" s="801">
        <f>SUM(T437:T444)</f>
        <v>216506800</v>
      </c>
      <c r="U436" s="1600"/>
      <c r="V436" s="801">
        <f>SUM(V437:V444)</f>
        <v>0</v>
      </c>
      <c r="W436" s="821"/>
      <c r="X436" s="801">
        <f>SUM(X437:X444)</f>
        <v>0</v>
      </c>
      <c r="Y436" s="1603">
        <f t="shared" si="119"/>
        <v>3</v>
      </c>
      <c r="Z436" s="801">
        <f t="shared" si="120"/>
        <v>465820525</v>
      </c>
      <c r="AA436" s="1603">
        <f t="shared" si="121"/>
        <v>39</v>
      </c>
      <c r="AB436" s="801">
        <f t="shared" si="122"/>
        <v>1330064565</v>
      </c>
      <c r="AC436" s="821">
        <f t="shared" si="123"/>
        <v>54.166666666666664</v>
      </c>
      <c r="AD436" s="821">
        <f t="shared" si="124"/>
        <v>28.708336809283697</v>
      </c>
      <c r="AE436" s="1602" t="s">
        <v>612</v>
      </c>
      <c r="AF436" s="949"/>
      <c r="AG436" s="949"/>
      <c r="AH436" s="949"/>
      <c r="AI436" s="949"/>
      <c r="AJ436" s="949"/>
      <c r="AK436" s="949"/>
      <c r="AL436" s="949"/>
      <c r="AM436" s="949"/>
      <c r="AN436" s="949"/>
      <c r="AO436" s="949"/>
      <c r="AP436" s="949"/>
      <c r="AQ436" s="949"/>
      <c r="AR436" s="949"/>
      <c r="AS436" s="949"/>
      <c r="AT436" s="949"/>
      <c r="AU436" s="949"/>
      <c r="AV436" s="949"/>
      <c r="AW436" s="949"/>
      <c r="AX436" s="949"/>
      <c r="AY436" s="949"/>
      <c r="AZ436" s="949"/>
      <c r="BA436" s="949"/>
      <c r="BB436" s="949"/>
      <c r="BC436" s="950"/>
      <c r="BD436" s="950"/>
      <c r="BE436" s="950"/>
      <c r="BF436" s="950"/>
      <c r="BG436" s="950"/>
      <c r="BH436" s="950"/>
      <c r="BI436" s="950"/>
      <c r="BJ436" s="950"/>
      <c r="BK436" s="950"/>
      <c r="BL436" s="950"/>
      <c r="BM436" s="950"/>
      <c r="BN436" s="950"/>
      <c r="BO436" s="950"/>
      <c r="BP436" s="950"/>
      <c r="BQ436" s="950"/>
      <c r="BR436" s="752"/>
    </row>
    <row r="437" spans="1:70" s="22" customFormat="1" ht="66">
      <c r="A437" s="779"/>
      <c r="B437" s="1291"/>
      <c r="C437" s="89">
        <v>1</v>
      </c>
      <c r="D437" s="605" t="s">
        <v>25</v>
      </c>
      <c r="E437" s="605" t="s">
        <v>39</v>
      </c>
      <c r="F437" s="605" t="s">
        <v>28</v>
      </c>
      <c r="G437" s="605" t="s">
        <v>28</v>
      </c>
      <c r="H437" s="304" t="s">
        <v>39</v>
      </c>
      <c r="I437" s="1291" t="s">
        <v>531</v>
      </c>
      <c r="J437" s="1291" t="s">
        <v>623</v>
      </c>
      <c r="K437" s="953">
        <v>72</v>
      </c>
      <c r="L437" s="954">
        <f>4*P437</f>
        <v>828800000</v>
      </c>
      <c r="M437" s="953">
        <v>0</v>
      </c>
      <c r="N437" s="954">
        <v>0</v>
      </c>
      <c r="O437" s="953">
        <v>12</v>
      </c>
      <c r="P437" s="954">
        <v>207200000</v>
      </c>
      <c r="Q437" s="953">
        <v>0</v>
      </c>
      <c r="R437" s="957">
        <v>0</v>
      </c>
      <c r="S437" s="262">
        <v>3</v>
      </c>
      <c r="T437" s="957">
        <v>64115700</v>
      </c>
      <c r="U437" s="958"/>
      <c r="V437" s="957"/>
      <c r="W437" s="959"/>
      <c r="X437" s="957"/>
      <c r="Y437" s="1604">
        <f t="shared" si="119"/>
        <v>3</v>
      </c>
      <c r="Z437" s="954">
        <f t="shared" si="120"/>
        <v>64115700</v>
      </c>
      <c r="AA437" s="1604">
        <f t="shared" si="121"/>
        <v>3</v>
      </c>
      <c r="AB437" s="960">
        <f t="shared" si="122"/>
        <v>64115700</v>
      </c>
      <c r="AC437" s="961">
        <f t="shared" si="123"/>
        <v>4.1666666666666661</v>
      </c>
      <c r="AD437" s="961">
        <f t="shared" si="124"/>
        <v>7.7359676640926649</v>
      </c>
      <c r="AE437" s="1605"/>
      <c r="AF437" s="949"/>
      <c r="AG437" s="949"/>
      <c r="AH437" s="949"/>
      <c r="AI437" s="949"/>
      <c r="AJ437" s="949"/>
      <c r="AK437" s="949"/>
      <c r="AL437" s="949"/>
      <c r="AM437" s="949"/>
      <c r="AN437" s="949"/>
      <c r="AO437" s="949"/>
      <c r="AP437" s="949"/>
      <c r="AQ437" s="949"/>
      <c r="AR437" s="949"/>
      <c r="AS437" s="949"/>
      <c r="AT437" s="949"/>
      <c r="AU437" s="949"/>
      <c r="AV437" s="949"/>
      <c r="AW437" s="949"/>
      <c r="AX437" s="949"/>
      <c r="AY437" s="949"/>
      <c r="AZ437" s="949"/>
      <c r="BA437" s="949"/>
      <c r="BB437" s="949"/>
      <c r="BC437" s="950"/>
      <c r="BD437" s="950"/>
      <c r="BE437" s="950"/>
      <c r="BF437" s="950"/>
      <c r="BG437" s="950"/>
      <c r="BH437" s="950"/>
      <c r="BI437" s="950"/>
      <c r="BJ437" s="950"/>
      <c r="BK437" s="950"/>
      <c r="BL437" s="950"/>
      <c r="BM437" s="950"/>
      <c r="BN437" s="950"/>
      <c r="BO437" s="950"/>
      <c r="BP437" s="950"/>
      <c r="BQ437" s="950"/>
      <c r="BR437" s="752"/>
    </row>
    <row r="438" spans="1:70" s="22" customFormat="1" ht="82.5">
      <c r="A438" s="779"/>
      <c r="B438" s="1291"/>
      <c r="C438" s="89">
        <v>1</v>
      </c>
      <c r="D438" s="605" t="s">
        <v>25</v>
      </c>
      <c r="E438" s="605" t="s">
        <v>39</v>
      </c>
      <c r="F438" s="605" t="s">
        <v>28</v>
      </c>
      <c r="G438" s="605" t="s">
        <v>28</v>
      </c>
      <c r="H438" s="304" t="s">
        <v>38</v>
      </c>
      <c r="I438" s="1291" t="s">
        <v>514</v>
      </c>
      <c r="J438" s="1291" t="s">
        <v>624</v>
      </c>
      <c r="K438" s="953">
        <v>72</v>
      </c>
      <c r="L438" s="954">
        <f>P438</f>
        <v>120000000</v>
      </c>
      <c r="M438" s="953">
        <v>0</v>
      </c>
      <c r="N438" s="954">
        <v>0</v>
      </c>
      <c r="O438" s="953">
        <v>12</v>
      </c>
      <c r="P438" s="954">
        <v>120000000</v>
      </c>
      <c r="Q438" s="953">
        <v>6</v>
      </c>
      <c r="R438" s="957">
        <v>113022000</v>
      </c>
      <c r="S438" s="262">
        <v>3</v>
      </c>
      <c r="T438" s="957">
        <v>750000</v>
      </c>
      <c r="U438" s="958"/>
      <c r="V438" s="957"/>
      <c r="W438" s="959"/>
      <c r="X438" s="957"/>
      <c r="Y438" s="1604">
        <f t="shared" si="119"/>
        <v>9</v>
      </c>
      <c r="Z438" s="954">
        <f t="shared" si="120"/>
        <v>113772000</v>
      </c>
      <c r="AA438" s="1604">
        <f t="shared" si="121"/>
        <v>9</v>
      </c>
      <c r="AB438" s="960">
        <f t="shared" si="122"/>
        <v>113772000</v>
      </c>
      <c r="AC438" s="961">
        <f t="shared" si="123"/>
        <v>12.5</v>
      </c>
      <c r="AD438" s="961">
        <f t="shared" si="124"/>
        <v>94.81</v>
      </c>
      <c r="AE438" s="1605"/>
      <c r="AF438" s="949"/>
      <c r="AG438" s="949"/>
      <c r="AH438" s="949"/>
      <c r="AI438" s="949"/>
      <c r="AJ438" s="949"/>
      <c r="AK438" s="949"/>
      <c r="AL438" s="949"/>
      <c r="AM438" s="949"/>
      <c r="AN438" s="949"/>
      <c r="AO438" s="949"/>
      <c r="AP438" s="949"/>
      <c r="AQ438" s="949"/>
      <c r="AR438" s="949"/>
      <c r="AS438" s="949"/>
      <c r="AT438" s="949"/>
      <c r="AU438" s="949"/>
      <c r="AV438" s="949"/>
      <c r="AW438" s="949"/>
      <c r="AX438" s="949"/>
      <c r="AY438" s="949"/>
      <c r="AZ438" s="949"/>
      <c r="BA438" s="949"/>
      <c r="BB438" s="949"/>
      <c r="BC438" s="950"/>
      <c r="BD438" s="950"/>
      <c r="BE438" s="950"/>
      <c r="BF438" s="950"/>
      <c r="BG438" s="950"/>
      <c r="BH438" s="950"/>
      <c r="BI438" s="950"/>
      <c r="BJ438" s="950"/>
      <c r="BK438" s="950"/>
      <c r="BL438" s="950"/>
      <c r="BM438" s="950"/>
      <c r="BN438" s="950"/>
      <c r="BO438" s="950"/>
      <c r="BP438" s="950"/>
      <c r="BQ438" s="950"/>
      <c r="BR438" s="752"/>
    </row>
    <row r="439" spans="1:70" s="22" customFormat="1" ht="66">
      <c r="A439" s="779"/>
      <c r="B439" s="1291"/>
      <c r="C439" s="89">
        <v>1</v>
      </c>
      <c r="D439" s="605" t="s">
        <v>25</v>
      </c>
      <c r="E439" s="605" t="s">
        <v>39</v>
      </c>
      <c r="F439" s="605" t="s">
        <v>28</v>
      </c>
      <c r="G439" s="605" t="s">
        <v>28</v>
      </c>
      <c r="H439" s="304" t="s">
        <v>43</v>
      </c>
      <c r="I439" s="1291" t="s">
        <v>82</v>
      </c>
      <c r="J439" s="1291" t="s">
        <v>244</v>
      </c>
      <c r="K439" s="953">
        <v>72</v>
      </c>
      <c r="L439" s="954">
        <f>N439+P439</f>
        <v>477425500</v>
      </c>
      <c r="M439" s="953">
        <v>36</v>
      </c>
      <c r="N439" s="954">
        <f>'[2]KEU '!$J$41</f>
        <v>339025500</v>
      </c>
      <c r="O439" s="955">
        <v>12</v>
      </c>
      <c r="P439" s="954">
        <v>138400000</v>
      </c>
      <c r="Q439" s="953">
        <v>0</v>
      </c>
      <c r="R439" s="957">
        <v>0</v>
      </c>
      <c r="S439" s="262"/>
      <c r="T439" s="957">
        <v>0</v>
      </c>
      <c r="U439" s="958"/>
      <c r="V439" s="957"/>
      <c r="W439" s="959"/>
      <c r="X439" s="957"/>
      <c r="Y439" s="1604">
        <f t="shared" si="119"/>
        <v>0</v>
      </c>
      <c r="Z439" s="954">
        <f t="shared" si="120"/>
        <v>0</v>
      </c>
      <c r="AA439" s="1604">
        <f t="shared" si="121"/>
        <v>36</v>
      </c>
      <c r="AB439" s="960">
        <f t="shared" si="122"/>
        <v>339025500</v>
      </c>
      <c r="AC439" s="961">
        <f t="shared" si="123"/>
        <v>50</v>
      </c>
      <c r="AD439" s="961">
        <f t="shared" si="124"/>
        <v>71.011183943882344</v>
      </c>
      <c r="AE439" s="1605"/>
      <c r="AF439" s="949"/>
      <c r="AG439" s="949"/>
      <c r="AH439" s="949"/>
      <c r="AI439" s="949"/>
      <c r="AJ439" s="949"/>
      <c r="AK439" s="949"/>
      <c r="AL439" s="949"/>
      <c r="AM439" s="949"/>
      <c r="AN439" s="949"/>
      <c r="AO439" s="949"/>
      <c r="AP439" s="949"/>
      <c r="AQ439" s="949"/>
      <c r="AR439" s="949"/>
      <c r="AS439" s="949"/>
      <c r="AT439" s="949"/>
      <c r="AU439" s="949"/>
      <c r="AV439" s="949"/>
      <c r="AW439" s="949"/>
      <c r="AX439" s="949"/>
      <c r="AY439" s="949"/>
      <c r="AZ439" s="949"/>
      <c r="BA439" s="949"/>
      <c r="BB439" s="949"/>
      <c r="BC439" s="950"/>
      <c r="BD439" s="950"/>
      <c r="BE439" s="950"/>
      <c r="BF439" s="950"/>
      <c r="BG439" s="950"/>
      <c r="BH439" s="950"/>
      <c r="BI439" s="950"/>
      <c r="BJ439" s="950"/>
      <c r="BK439" s="950"/>
      <c r="BL439" s="950"/>
      <c r="BM439" s="950"/>
      <c r="BN439" s="950"/>
      <c r="BO439" s="950"/>
      <c r="BP439" s="950"/>
      <c r="BQ439" s="950"/>
      <c r="BR439" s="752"/>
    </row>
    <row r="440" spans="1:70" s="22" customFormat="1" ht="49.5">
      <c r="A440" s="779"/>
      <c r="B440" s="1291"/>
      <c r="C440" s="89">
        <v>1</v>
      </c>
      <c r="D440" s="605" t="s">
        <v>25</v>
      </c>
      <c r="E440" s="605" t="s">
        <v>39</v>
      </c>
      <c r="F440" s="605" t="s">
        <v>28</v>
      </c>
      <c r="G440" s="605" t="s">
        <v>28</v>
      </c>
      <c r="H440" s="304">
        <v>10</v>
      </c>
      <c r="I440" s="1291" t="s">
        <v>625</v>
      </c>
      <c r="J440" s="1291" t="s">
        <v>626</v>
      </c>
      <c r="K440" s="953">
        <v>72</v>
      </c>
      <c r="L440" s="954">
        <v>21800000</v>
      </c>
      <c r="M440" s="953">
        <v>36</v>
      </c>
      <c r="N440" s="954">
        <f>'[2]KEU '!$J$49</f>
        <v>21800000</v>
      </c>
      <c r="O440" s="953">
        <v>12</v>
      </c>
      <c r="P440" s="954">
        <v>3600000</v>
      </c>
      <c r="Q440" s="953"/>
      <c r="R440" s="957">
        <v>0</v>
      </c>
      <c r="S440" s="262"/>
      <c r="T440" s="957">
        <v>0</v>
      </c>
      <c r="U440" s="958"/>
      <c r="V440" s="957"/>
      <c r="W440" s="959"/>
      <c r="X440" s="957"/>
      <c r="Y440" s="1604">
        <f t="shared" si="119"/>
        <v>0</v>
      </c>
      <c r="Z440" s="954">
        <f t="shared" si="120"/>
        <v>0</v>
      </c>
      <c r="AA440" s="1604">
        <f t="shared" si="121"/>
        <v>36</v>
      </c>
      <c r="AB440" s="960">
        <f t="shared" si="122"/>
        <v>21800000</v>
      </c>
      <c r="AC440" s="961">
        <f t="shared" si="123"/>
        <v>50</v>
      </c>
      <c r="AD440" s="961">
        <f t="shared" si="124"/>
        <v>100</v>
      </c>
      <c r="AE440" s="1605"/>
      <c r="AF440" s="949"/>
      <c r="AG440" s="949"/>
      <c r="AH440" s="949"/>
      <c r="AI440" s="949"/>
      <c r="AJ440" s="949"/>
      <c r="AK440" s="949"/>
      <c r="AL440" s="949"/>
      <c r="AM440" s="949"/>
      <c r="AN440" s="949"/>
      <c r="AO440" s="949"/>
      <c r="AP440" s="949"/>
      <c r="AQ440" s="949"/>
      <c r="AR440" s="949"/>
      <c r="AS440" s="949"/>
      <c r="AT440" s="949"/>
      <c r="AU440" s="949"/>
      <c r="AV440" s="949"/>
      <c r="AW440" s="949"/>
      <c r="AX440" s="949"/>
      <c r="AY440" s="949"/>
      <c r="AZ440" s="949"/>
      <c r="BA440" s="949"/>
      <c r="BB440" s="949"/>
      <c r="BC440" s="950"/>
      <c r="BD440" s="950"/>
      <c r="BE440" s="950"/>
      <c r="BF440" s="950"/>
      <c r="BG440" s="950"/>
      <c r="BH440" s="950"/>
      <c r="BI440" s="950"/>
      <c r="BJ440" s="950"/>
      <c r="BK440" s="950"/>
      <c r="BL440" s="950"/>
      <c r="BM440" s="950"/>
      <c r="BN440" s="950"/>
      <c r="BO440" s="950"/>
      <c r="BP440" s="950"/>
      <c r="BQ440" s="950"/>
      <c r="BR440" s="752"/>
    </row>
    <row r="441" spans="1:70" s="22" customFormat="1" ht="82.5">
      <c r="A441" s="779"/>
      <c r="B441" s="1291"/>
      <c r="C441" s="89">
        <v>1</v>
      </c>
      <c r="D441" s="605" t="s">
        <v>25</v>
      </c>
      <c r="E441" s="605" t="s">
        <v>39</v>
      </c>
      <c r="F441" s="605" t="s">
        <v>28</v>
      </c>
      <c r="G441" s="605" t="s">
        <v>28</v>
      </c>
      <c r="H441" s="779">
        <v>22</v>
      </c>
      <c r="I441" s="1291" t="s">
        <v>37</v>
      </c>
      <c r="J441" s="1291" t="s">
        <v>2708</v>
      </c>
      <c r="K441" s="953">
        <v>72</v>
      </c>
      <c r="L441" s="954">
        <f>4*285000000</f>
        <v>1140000000</v>
      </c>
      <c r="M441" s="953">
        <v>36</v>
      </c>
      <c r="N441" s="954">
        <f>'[2]KEU '!$J$54</f>
        <v>263642400</v>
      </c>
      <c r="O441" s="955">
        <v>12</v>
      </c>
      <c r="P441" s="954">
        <v>345861312</v>
      </c>
      <c r="Q441" s="953">
        <v>3</v>
      </c>
      <c r="R441" s="957">
        <v>30380000</v>
      </c>
      <c r="S441" s="262">
        <v>3</v>
      </c>
      <c r="T441" s="957">
        <v>63896000</v>
      </c>
      <c r="U441" s="958"/>
      <c r="V441" s="957"/>
      <c r="W441" s="959"/>
      <c r="X441" s="957"/>
      <c r="Y441" s="1604">
        <f t="shared" si="119"/>
        <v>6</v>
      </c>
      <c r="Z441" s="954">
        <f t="shared" si="120"/>
        <v>94276000</v>
      </c>
      <c r="AA441" s="1604">
        <f t="shared" si="121"/>
        <v>42</v>
      </c>
      <c r="AB441" s="960">
        <f t="shared" si="122"/>
        <v>357918400</v>
      </c>
      <c r="AC441" s="961">
        <f t="shared" si="123"/>
        <v>58.333333333333336</v>
      </c>
      <c r="AD441" s="961">
        <f t="shared" si="124"/>
        <v>31.39635087719298</v>
      </c>
      <c r="AE441" s="1605"/>
      <c r="AF441" s="949"/>
      <c r="AG441" s="949"/>
      <c r="AH441" s="949"/>
      <c r="AI441" s="949"/>
      <c r="AJ441" s="949"/>
      <c r="AK441" s="949"/>
      <c r="AL441" s="949"/>
      <c r="AM441" s="949"/>
      <c r="AN441" s="949"/>
      <c r="AO441" s="949"/>
      <c r="AP441" s="949"/>
      <c r="AQ441" s="949"/>
      <c r="AR441" s="949"/>
      <c r="AS441" s="949"/>
      <c r="AT441" s="949"/>
      <c r="AU441" s="949"/>
      <c r="AV441" s="949"/>
      <c r="AW441" s="949"/>
      <c r="AX441" s="949"/>
      <c r="AY441" s="949"/>
      <c r="AZ441" s="949"/>
      <c r="BA441" s="949"/>
      <c r="BB441" s="949"/>
      <c r="BC441" s="950"/>
      <c r="BD441" s="950"/>
      <c r="BE441" s="950"/>
      <c r="BF441" s="950"/>
      <c r="BG441" s="950"/>
      <c r="BH441" s="950"/>
      <c r="BI441" s="950"/>
      <c r="BJ441" s="950"/>
      <c r="BK441" s="950"/>
      <c r="BL441" s="950"/>
      <c r="BM441" s="950"/>
      <c r="BN441" s="950"/>
      <c r="BO441" s="950"/>
      <c r="BP441" s="950"/>
      <c r="BQ441" s="950"/>
      <c r="BR441" s="752"/>
    </row>
    <row r="442" spans="1:70" s="22" customFormat="1" ht="82.5">
      <c r="A442" s="779"/>
      <c r="B442" s="1291"/>
      <c r="C442" s="89">
        <v>1</v>
      </c>
      <c r="D442" s="605" t="s">
        <v>25</v>
      </c>
      <c r="E442" s="605" t="s">
        <v>39</v>
      </c>
      <c r="F442" s="605" t="s">
        <v>28</v>
      </c>
      <c r="G442" s="605" t="s">
        <v>28</v>
      </c>
      <c r="H442" s="779">
        <v>24</v>
      </c>
      <c r="I442" s="1291" t="s">
        <v>518</v>
      </c>
      <c r="J442" s="1291" t="s">
        <v>2709</v>
      </c>
      <c r="K442" s="953">
        <v>72</v>
      </c>
      <c r="L442" s="954">
        <f>4*400000000</f>
        <v>1600000000</v>
      </c>
      <c r="M442" s="953">
        <v>36</v>
      </c>
      <c r="N442" s="954">
        <f>'[2]KEU '!$J$57</f>
        <v>219341140</v>
      </c>
      <c r="O442" s="955">
        <v>12</v>
      </c>
      <c r="P442" s="954">
        <v>494458500</v>
      </c>
      <c r="Q442" s="953">
        <v>3</v>
      </c>
      <c r="R442" s="957">
        <v>98336725</v>
      </c>
      <c r="S442" s="262">
        <v>3</v>
      </c>
      <c r="T442" s="957">
        <v>87745100</v>
      </c>
      <c r="U442" s="958"/>
      <c r="V442" s="957"/>
      <c r="W442" s="959"/>
      <c r="X442" s="957"/>
      <c r="Y442" s="1604">
        <f t="shared" si="119"/>
        <v>6</v>
      </c>
      <c r="Z442" s="954">
        <f t="shared" si="120"/>
        <v>186081825</v>
      </c>
      <c r="AA442" s="1604">
        <f t="shared" si="121"/>
        <v>42</v>
      </c>
      <c r="AB442" s="960">
        <f t="shared" si="122"/>
        <v>405422965</v>
      </c>
      <c r="AC442" s="961">
        <f t="shared" si="123"/>
        <v>58.333333333333336</v>
      </c>
      <c r="AD442" s="961">
        <f t="shared" si="124"/>
        <v>25.338935312499999</v>
      </c>
      <c r="AE442" s="1605"/>
      <c r="AF442" s="949"/>
      <c r="AG442" s="949"/>
      <c r="AH442" s="949"/>
      <c r="AI442" s="949"/>
      <c r="AJ442" s="949"/>
      <c r="AK442" s="949"/>
      <c r="AL442" s="949"/>
      <c r="AM442" s="949"/>
      <c r="AN442" s="949"/>
      <c r="AO442" s="949"/>
      <c r="AP442" s="949"/>
      <c r="AQ442" s="949"/>
      <c r="AR442" s="949"/>
      <c r="AS442" s="949"/>
      <c r="AT442" s="949"/>
      <c r="AU442" s="949"/>
      <c r="AV442" s="949"/>
      <c r="AW442" s="949"/>
      <c r="AX442" s="949"/>
      <c r="AY442" s="949"/>
      <c r="AZ442" s="949"/>
      <c r="BA442" s="949"/>
      <c r="BB442" s="949"/>
      <c r="BC442" s="950"/>
      <c r="BD442" s="950"/>
      <c r="BE442" s="950"/>
      <c r="BF442" s="950"/>
      <c r="BG442" s="950"/>
      <c r="BH442" s="950"/>
      <c r="BI442" s="950"/>
      <c r="BJ442" s="950"/>
      <c r="BK442" s="950"/>
      <c r="BL442" s="950"/>
      <c r="BM442" s="950"/>
      <c r="BN442" s="950"/>
      <c r="BO442" s="950"/>
      <c r="BP442" s="950"/>
      <c r="BQ442" s="950"/>
      <c r="BR442" s="752"/>
    </row>
    <row r="443" spans="1:70" s="22" customFormat="1" ht="66">
      <c r="A443" s="779"/>
      <c r="B443" s="1291"/>
      <c r="C443" s="89">
        <v>1</v>
      </c>
      <c r="D443" s="605" t="s">
        <v>25</v>
      </c>
      <c r="E443" s="605" t="s">
        <v>39</v>
      </c>
      <c r="F443" s="605" t="s">
        <v>28</v>
      </c>
      <c r="G443" s="605" t="s">
        <v>28</v>
      </c>
      <c r="H443" s="779">
        <v>34</v>
      </c>
      <c r="I443" s="1291" t="s">
        <v>627</v>
      </c>
      <c r="J443" s="1291" t="s">
        <v>2710</v>
      </c>
      <c r="K443" s="953">
        <v>72</v>
      </c>
      <c r="L443" s="954">
        <v>45000000</v>
      </c>
      <c r="M443" s="953">
        <v>36</v>
      </c>
      <c r="N443" s="954">
        <f>'[2]KEU '!$J$51</f>
        <v>20435000</v>
      </c>
      <c r="O443" s="953">
        <v>12</v>
      </c>
      <c r="P443" s="954">
        <v>40000000</v>
      </c>
      <c r="Q443" s="953">
        <v>3</v>
      </c>
      <c r="R443" s="957">
        <v>7575000</v>
      </c>
      <c r="S443" s="262"/>
      <c r="T443" s="957">
        <v>0</v>
      </c>
      <c r="U443" s="958"/>
      <c r="V443" s="957"/>
      <c r="W443" s="959"/>
      <c r="X443" s="957"/>
      <c r="Y443" s="1604">
        <f t="shared" si="119"/>
        <v>3</v>
      </c>
      <c r="Z443" s="954">
        <f t="shared" si="120"/>
        <v>7575000</v>
      </c>
      <c r="AA443" s="1604">
        <f t="shared" si="121"/>
        <v>39</v>
      </c>
      <c r="AB443" s="960">
        <f t="shared" si="122"/>
        <v>28010000</v>
      </c>
      <c r="AC443" s="961">
        <f t="shared" si="123"/>
        <v>54.166666666666664</v>
      </c>
      <c r="AD443" s="961">
        <f t="shared" si="124"/>
        <v>62.244444444444447</v>
      </c>
      <c r="AE443" s="1605"/>
      <c r="AF443" s="949"/>
      <c r="AG443" s="949"/>
      <c r="AH443" s="949"/>
      <c r="AI443" s="949"/>
      <c r="AJ443" s="949"/>
      <c r="AK443" s="949"/>
      <c r="AL443" s="949"/>
      <c r="AM443" s="949"/>
      <c r="AN443" s="949"/>
      <c r="AO443" s="949"/>
      <c r="AP443" s="949"/>
      <c r="AQ443" s="949"/>
      <c r="AR443" s="949"/>
      <c r="AS443" s="949"/>
      <c r="AT443" s="949"/>
      <c r="AU443" s="949"/>
      <c r="AV443" s="949"/>
      <c r="AW443" s="949"/>
      <c r="AX443" s="949"/>
      <c r="AY443" s="949"/>
      <c r="AZ443" s="949"/>
      <c r="BA443" s="949"/>
      <c r="BB443" s="949"/>
      <c r="BC443" s="950"/>
      <c r="BD443" s="950"/>
      <c r="BE443" s="950"/>
      <c r="BF443" s="950"/>
      <c r="BG443" s="950"/>
      <c r="BH443" s="950"/>
      <c r="BI443" s="950"/>
      <c r="BJ443" s="950"/>
      <c r="BK443" s="950"/>
      <c r="BL443" s="950"/>
      <c r="BM443" s="950"/>
      <c r="BN443" s="950"/>
      <c r="BO443" s="950"/>
      <c r="BP443" s="950"/>
      <c r="BQ443" s="950"/>
      <c r="BR443" s="752"/>
    </row>
    <row r="444" spans="1:70" s="22" customFormat="1" ht="33">
      <c r="A444" s="779"/>
      <c r="B444" s="1291"/>
      <c r="C444" s="89">
        <v>1</v>
      </c>
      <c r="D444" s="605" t="s">
        <v>25</v>
      </c>
      <c r="E444" s="605" t="s">
        <v>39</v>
      </c>
      <c r="F444" s="605" t="s">
        <v>28</v>
      </c>
      <c r="G444" s="605" t="s">
        <v>28</v>
      </c>
      <c r="H444" s="779">
        <v>42</v>
      </c>
      <c r="I444" s="1291" t="s">
        <v>534</v>
      </c>
      <c r="J444" s="1291" t="s">
        <v>2711</v>
      </c>
      <c r="K444" s="953">
        <v>72</v>
      </c>
      <c r="L444" s="954">
        <f>2*P444</f>
        <v>400000000</v>
      </c>
      <c r="M444" s="953">
        <v>0</v>
      </c>
      <c r="N444" s="954">
        <v>0</v>
      </c>
      <c r="O444" s="953">
        <v>12</v>
      </c>
      <c r="P444" s="954">
        <v>200000000</v>
      </c>
      <c r="Q444" s="13">
        <v>0</v>
      </c>
      <c r="R444" s="13">
        <v>0</v>
      </c>
      <c r="S444" s="262"/>
      <c r="T444" s="957">
        <v>0</v>
      </c>
      <c r="U444" s="958"/>
      <c r="V444" s="957"/>
      <c r="W444" s="959"/>
      <c r="X444" s="957"/>
      <c r="Y444" s="1604">
        <f t="shared" si="119"/>
        <v>0</v>
      </c>
      <c r="Z444" s="954">
        <f t="shared" si="120"/>
        <v>0</v>
      </c>
      <c r="AA444" s="1604">
        <f t="shared" si="121"/>
        <v>0</v>
      </c>
      <c r="AB444" s="960">
        <f t="shared" si="122"/>
        <v>0</v>
      </c>
      <c r="AC444" s="961">
        <f t="shared" si="123"/>
        <v>0</v>
      </c>
      <c r="AD444" s="961">
        <f t="shared" si="124"/>
        <v>0</v>
      </c>
      <c r="AE444" s="1605"/>
      <c r="AF444" s="949"/>
      <c r="AG444" s="949"/>
      <c r="AH444" s="949"/>
      <c r="AI444" s="949"/>
      <c r="AJ444" s="949"/>
      <c r="AK444" s="949"/>
      <c r="AL444" s="949"/>
      <c r="AM444" s="949"/>
      <c r="AN444" s="949"/>
      <c r="AO444" s="949"/>
      <c r="AP444" s="949"/>
      <c r="AQ444" s="949"/>
      <c r="AR444" s="949"/>
      <c r="AS444" s="949"/>
      <c r="AT444" s="949"/>
      <c r="AU444" s="949"/>
      <c r="AV444" s="949"/>
      <c r="AW444" s="949"/>
      <c r="AX444" s="949"/>
      <c r="AY444" s="949"/>
      <c r="AZ444" s="949"/>
      <c r="BA444" s="949"/>
      <c r="BB444" s="949"/>
      <c r="BC444" s="950"/>
      <c r="BD444" s="950"/>
      <c r="BE444" s="950"/>
      <c r="BF444" s="950"/>
      <c r="BG444" s="950"/>
      <c r="BH444" s="950"/>
      <c r="BI444" s="950"/>
      <c r="BJ444" s="950"/>
      <c r="BK444" s="950"/>
      <c r="BL444" s="950"/>
      <c r="BM444" s="950"/>
      <c r="BN444" s="950"/>
      <c r="BO444" s="950"/>
      <c r="BP444" s="950"/>
      <c r="BQ444" s="950"/>
      <c r="BR444" s="752"/>
    </row>
    <row r="445" spans="1:70" s="22" customFormat="1" ht="49.5">
      <c r="A445" s="2558">
        <v>3</v>
      </c>
      <c r="B445" s="629"/>
      <c r="C445" s="133">
        <v>1</v>
      </c>
      <c r="D445" s="620" t="s">
        <v>25</v>
      </c>
      <c r="E445" s="620" t="s">
        <v>39</v>
      </c>
      <c r="F445" s="620" t="s">
        <v>28</v>
      </c>
      <c r="G445" s="620" t="s">
        <v>38</v>
      </c>
      <c r="H445" s="133"/>
      <c r="I445" s="629" t="s">
        <v>583</v>
      </c>
      <c r="J445" s="629" t="s">
        <v>2712</v>
      </c>
      <c r="K445" s="1599">
        <v>100</v>
      </c>
      <c r="L445" s="801">
        <f t="shared" ref="L445" si="125">L446</f>
        <v>50000000</v>
      </c>
      <c r="M445" s="1599">
        <v>80</v>
      </c>
      <c r="N445" s="801">
        <f>N446</f>
        <v>47365000</v>
      </c>
      <c r="O445" s="230">
        <v>0</v>
      </c>
      <c r="P445" s="801">
        <f>P446</f>
        <v>0</v>
      </c>
      <c r="Q445" s="230">
        <v>0</v>
      </c>
      <c r="R445" s="801">
        <f>R446</f>
        <v>0</v>
      </c>
      <c r="S445" s="1611">
        <v>0</v>
      </c>
      <c r="T445" s="801">
        <f>T446</f>
        <v>0</v>
      </c>
      <c r="U445" s="1600"/>
      <c r="V445" s="801">
        <f>V446</f>
        <v>0</v>
      </c>
      <c r="W445" s="821"/>
      <c r="X445" s="801">
        <f>X446</f>
        <v>0</v>
      </c>
      <c r="Y445" s="1603">
        <f t="shared" si="119"/>
        <v>0</v>
      </c>
      <c r="Z445" s="801">
        <f t="shared" si="120"/>
        <v>0</v>
      </c>
      <c r="AA445" s="1603">
        <f t="shared" si="121"/>
        <v>80</v>
      </c>
      <c r="AB445" s="1601">
        <f t="shared" si="122"/>
        <v>47365000</v>
      </c>
      <c r="AC445" s="821">
        <f t="shared" si="123"/>
        <v>80</v>
      </c>
      <c r="AD445" s="821">
        <f t="shared" si="124"/>
        <v>94.73</v>
      </c>
      <c r="AE445" s="1602" t="s">
        <v>645</v>
      </c>
      <c r="AF445" s="949"/>
      <c r="AG445" s="949"/>
      <c r="AH445" s="949"/>
      <c r="AI445" s="949"/>
      <c r="AJ445" s="949"/>
      <c r="AK445" s="949"/>
      <c r="AL445" s="949"/>
      <c r="AM445" s="949"/>
      <c r="AN445" s="949"/>
      <c r="AO445" s="949"/>
      <c r="AP445" s="949"/>
      <c r="AQ445" s="949"/>
      <c r="AR445" s="949"/>
      <c r="AS445" s="949"/>
      <c r="AT445" s="949"/>
      <c r="AU445" s="949"/>
      <c r="AV445" s="949"/>
      <c r="AW445" s="949"/>
      <c r="AX445" s="949"/>
      <c r="AY445" s="949"/>
      <c r="AZ445" s="949"/>
      <c r="BA445" s="949"/>
      <c r="BB445" s="949"/>
      <c r="BC445" s="950"/>
      <c r="BD445" s="950"/>
      <c r="BE445" s="950"/>
      <c r="BF445" s="950"/>
      <c r="BG445" s="950"/>
      <c r="BH445" s="950"/>
      <c r="BI445" s="950"/>
      <c r="BJ445" s="950"/>
      <c r="BK445" s="950"/>
      <c r="BL445" s="950"/>
      <c r="BM445" s="950"/>
      <c r="BN445" s="950"/>
      <c r="BO445" s="950"/>
      <c r="BP445" s="950"/>
      <c r="BQ445" s="950"/>
      <c r="BR445" s="752"/>
    </row>
    <row r="446" spans="1:70" s="22" customFormat="1" ht="49.5">
      <c r="A446" s="779"/>
      <c r="B446" s="1291"/>
      <c r="C446" s="89">
        <v>1</v>
      </c>
      <c r="D446" s="605" t="s">
        <v>25</v>
      </c>
      <c r="E446" s="605" t="s">
        <v>39</v>
      </c>
      <c r="F446" s="605" t="s">
        <v>28</v>
      </c>
      <c r="G446" s="304" t="s">
        <v>38</v>
      </c>
      <c r="H446" s="304" t="s">
        <v>25</v>
      </c>
      <c r="I446" s="1291" t="s">
        <v>628</v>
      </c>
      <c r="J446" s="1291" t="s">
        <v>629</v>
      </c>
      <c r="K446" s="953">
        <v>14</v>
      </c>
      <c r="L446" s="954">
        <v>50000000</v>
      </c>
      <c r="M446" s="953">
        <f>K446</f>
        <v>14</v>
      </c>
      <c r="N446" s="954">
        <f>'[2]KEU '!$J$65</f>
        <v>47365000</v>
      </c>
      <c r="O446" s="13">
        <v>0</v>
      </c>
      <c r="P446" s="954">
        <v>0</v>
      </c>
      <c r="Q446" s="13">
        <v>0</v>
      </c>
      <c r="R446" s="954">
        <v>0</v>
      </c>
      <c r="S446" s="1606"/>
      <c r="T446" s="961">
        <v>0</v>
      </c>
      <c r="U446" s="958"/>
      <c r="V446" s="961">
        <v>0</v>
      </c>
      <c r="W446" s="961"/>
      <c r="X446" s="961"/>
      <c r="Y446" s="1604">
        <f t="shared" si="119"/>
        <v>0</v>
      </c>
      <c r="Z446" s="954">
        <f t="shared" si="120"/>
        <v>0</v>
      </c>
      <c r="AA446" s="1604">
        <f t="shared" si="121"/>
        <v>14</v>
      </c>
      <c r="AB446" s="960">
        <f t="shared" si="122"/>
        <v>47365000</v>
      </c>
      <c r="AC446" s="961">
        <f t="shared" si="123"/>
        <v>100</v>
      </c>
      <c r="AD446" s="961">
        <f t="shared" si="124"/>
        <v>94.73</v>
      </c>
      <c r="AE446" s="1605"/>
      <c r="AF446" s="949"/>
      <c r="AG446" s="949"/>
      <c r="AH446" s="949"/>
      <c r="AI446" s="949"/>
      <c r="AJ446" s="949"/>
      <c r="AK446" s="949"/>
      <c r="AL446" s="949"/>
      <c r="AM446" s="949"/>
      <c r="AN446" s="949"/>
      <c r="AO446" s="949"/>
      <c r="AP446" s="949"/>
      <c r="AQ446" s="949"/>
      <c r="AR446" s="949"/>
      <c r="AS446" s="949"/>
      <c r="AT446" s="949"/>
      <c r="AU446" s="949"/>
      <c r="AV446" s="949"/>
      <c r="AW446" s="949"/>
      <c r="AX446" s="949"/>
      <c r="AY446" s="949"/>
      <c r="AZ446" s="949"/>
      <c r="BA446" s="949"/>
      <c r="BB446" s="949"/>
      <c r="BC446" s="950"/>
      <c r="BD446" s="950"/>
      <c r="BE446" s="950"/>
      <c r="BF446" s="950"/>
      <c r="BG446" s="950"/>
      <c r="BH446" s="950"/>
      <c r="BI446" s="950"/>
      <c r="BJ446" s="950"/>
      <c r="BK446" s="950"/>
      <c r="BL446" s="950"/>
      <c r="BM446" s="950"/>
      <c r="BN446" s="950"/>
      <c r="BO446" s="950"/>
      <c r="BP446" s="950"/>
      <c r="BQ446" s="950"/>
      <c r="BR446" s="752"/>
    </row>
    <row r="447" spans="1:70" s="22" customFormat="1" ht="78" customHeight="1">
      <c r="A447" s="2558">
        <v>4</v>
      </c>
      <c r="B447" s="629"/>
      <c r="C447" s="620">
        <v>1</v>
      </c>
      <c r="D447" s="620" t="s">
        <v>25</v>
      </c>
      <c r="E447" s="620" t="s">
        <v>39</v>
      </c>
      <c r="F447" s="620" t="s">
        <v>28</v>
      </c>
      <c r="G447" s="620" t="s">
        <v>42</v>
      </c>
      <c r="H447" s="133"/>
      <c r="I447" s="629" t="s">
        <v>2713</v>
      </c>
      <c r="J447" s="629" t="s">
        <v>2714</v>
      </c>
      <c r="K447" s="1599">
        <v>55</v>
      </c>
      <c r="L447" s="801">
        <f>SUM(L448:L456)</f>
        <v>11900000000</v>
      </c>
      <c r="M447" s="1599">
        <v>45</v>
      </c>
      <c r="N447" s="801">
        <f>SUM(N448:N456)</f>
        <v>2764079450</v>
      </c>
      <c r="O447" s="801">
        <v>5</v>
      </c>
      <c r="P447" s="801">
        <f>SUM(P448:P456)</f>
        <v>2770000000</v>
      </c>
      <c r="Q447" s="801">
        <f>SUM(Q448:Q455)</f>
        <v>0</v>
      </c>
      <c r="R447" s="801">
        <f>SUM(R448:R456)</f>
        <v>26230050</v>
      </c>
      <c r="S447" s="543">
        <v>4</v>
      </c>
      <c r="T447" s="801">
        <f>SUM(T448:T456)</f>
        <v>294010000</v>
      </c>
      <c r="U447" s="1600"/>
      <c r="V447" s="801">
        <f>SUM(V448:V456)</f>
        <v>0</v>
      </c>
      <c r="W447" s="821"/>
      <c r="X447" s="801">
        <f>SUM(X448:X456)</f>
        <v>0</v>
      </c>
      <c r="Y447" s="1603">
        <f t="shared" si="119"/>
        <v>4</v>
      </c>
      <c r="Z447" s="801">
        <f t="shared" si="120"/>
        <v>320240050</v>
      </c>
      <c r="AA447" s="1603">
        <f t="shared" si="121"/>
        <v>49</v>
      </c>
      <c r="AB447" s="801">
        <f t="shared" si="122"/>
        <v>3084319500</v>
      </c>
      <c r="AC447" s="821">
        <f t="shared" si="123"/>
        <v>89.090909090909093</v>
      </c>
      <c r="AD447" s="821">
        <f t="shared" si="124"/>
        <v>25.918651260504198</v>
      </c>
      <c r="AE447" s="1602" t="s">
        <v>612</v>
      </c>
      <c r="AF447" s="949"/>
      <c r="AG447" s="949"/>
      <c r="AH447" s="949"/>
      <c r="AI447" s="949"/>
      <c r="AJ447" s="949"/>
      <c r="AK447" s="949"/>
      <c r="AL447" s="949"/>
      <c r="AM447" s="949"/>
      <c r="AN447" s="949"/>
      <c r="AO447" s="949"/>
      <c r="AP447" s="949"/>
      <c r="AQ447" s="949"/>
      <c r="AR447" s="949"/>
      <c r="AS447" s="949"/>
      <c r="AT447" s="949"/>
      <c r="AU447" s="949"/>
      <c r="AV447" s="949"/>
      <c r="AW447" s="949"/>
      <c r="AX447" s="949"/>
      <c r="AY447" s="949"/>
      <c r="AZ447" s="949"/>
      <c r="BA447" s="949"/>
      <c r="BB447" s="949"/>
      <c r="BC447" s="950"/>
      <c r="BD447" s="950"/>
      <c r="BE447" s="950"/>
      <c r="BF447" s="950"/>
      <c r="BG447" s="950"/>
      <c r="BH447" s="950"/>
      <c r="BI447" s="950"/>
      <c r="BJ447" s="950"/>
      <c r="BK447" s="950"/>
      <c r="BL447" s="950"/>
      <c r="BM447" s="950"/>
      <c r="BN447" s="950"/>
      <c r="BO447" s="950"/>
      <c r="BP447" s="950"/>
      <c r="BQ447" s="950"/>
      <c r="BR447" s="752"/>
    </row>
    <row r="448" spans="1:70" s="22" customFormat="1" ht="82.5">
      <c r="A448" s="779"/>
      <c r="B448" s="1291"/>
      <c r="C448" s="628">
        <v>1</v>
      </c>
      <c r="D448" s="628" t="s">
        <v>25</v>
      </c>
      <c r="E448" s="628" t="s">
        <v>39</v>
      </c>
      <c r="F448" s="628" t="s">
        <v>28</v>
      </c>
      <c r="G448" s="628" t="s">
        <v>42</v>
      </c>
      <c r="H448" s="628" t="s">
        <v>25</v>
      </c>
      <c r="I448" s="1291" t="s">
        <v>630</v>
      </c>
      <c r="J448" s="1291" t="s">
        <v>631</v>
      </c>
      <c r="K448" s="953">
        <v>4</v>
      </c>
      <c r="L448" s="954">
        <v>200000000</v>
      </c>
      <c r="M448" s="955">
        <v>1</v>
      </c>
      <c r="N448" s="956">
        <f>49588000</f>
        <v>49588000</v>
      </c>
      <c r="O448" s="13">
        <v>0</v>
      </c>
      <c r="P448" s="954">
        <v>0</v>
      </c>
      <c r="Q448" s="13">
        <v>0</v>
      </c>
      <c r="R448" s="13">
        <v>0</v>
      </c>
      <c r="S448" s="262"/>
      <c r="T448" s="957">
        <v>0</v>
      </c>
      <c r="U448" s="958"/>
      <c r="V448" s="957"/>
      <c r="W448" s="959"/>
      <c r="X448" s="957"/>
      <c r="Y448" s="1607">
        <f t="shared" si="119"/>
        <v>0</v>
      </c>
      <c r="Z448" s="954">
        <f t="shared" si="120"/>
        <v>0</v>
      </c>
      <c r="AA448" s="1604">
        <f t="shared" si="121"/>
        <v>1</v>
      </c>
      <c r="AB448" s="960">
        <f t="shared" si="122"/>
        <v>49588000</v>
      </c>
      <c r="AC448" s="961">
        <f t="shared" si="123"/>
        <v>25</v>
      </c>
      <c r="AD448" s="961">
        <f t="shared" si="124"/>
        <v>24.794</v>
      </c>
      <c r="AE448" s="1605"/>
      <c r="AF448" s="949"/>
      <c r="AG448" s="949"/>
      <c r="AH448" s="949"/>
      <c r="AI448" s="949"/>
      <c r="AJ448" s="949"/>
      <c r="AK448" s="949"/>
      <c r="AL448" s="949"/>
      <c r="AM448" s="949"/>
      <c r="AN448" s="949"/>
      <c r="AO448" s="949"/>
      <c r="AP448" s="949"/>
      <c r="AQ448" s="949"/>
      <c r="AR448" s="949"/>
      <c r="AS448" s="949"/>
      <c r="AT448" s="949"/>
      <c r="AU448" s="949"/>
      <c r="AV448" s="949"/>
      <c r="AW448" s="949"/>
      <c r="AX448" s="949"/>
      <c r="AY448" s="949"/>
      <c r="AZ448" s="949"/>
      <c r="BA448" s="949"/>
      <c r="BB448" s="949"/>
      <c r="BC448" s="950"/>
      <c r="BD448" s="950"/>
      <c r="BE448" s="950"/>
      <c r="BF448" s="950"/>
      <c r="BG448" s="950"/>
      <c r="BH448" s="950"/>
      <c r="BI448" s="950"/>
      <c r="BJ448" s="950"/>
      <c r="BK448" s="950"/>
      <c r="BL448" s="950"/>
      <c r="BM448" s="950"/>
      <c r="BN448" s="950"/>
      <c r="BO448" s="950"/>
      <c r="BP448" s="950"/>
      <c r="BQ448" s="950"/>
      <c r="BR448" s="752"/>
    </row>
    <row r="449" spans="1:70" s="22" customFormat="1" ht="82.5">
      <c r="A449" s="779"/>
      <c r="B449" s="1291"/>
      <c r="C449" s="628">
        <v>1</v>
      </c>
      <c r="D449" s="628" t="s">
        <v>25</v>
      </c>
      <c r="E449" s="628" t="s">
        <v>39</v>
      </c>
      <c r="F449" s="628" t="s">
        <v>28</v>
      </c>
      <c r="G449" s="628" t="s">
        <v>42</v>
      </c>
      <c r="H449" s="628" t="s">
        <v>30</v>
      </c>
      <c r="I449" s="1291" t="s">
        <v>632</v>
      </c>
      <c r="J449" s="1291" t="s">
        <v>633</v>
      </c>
      <c r="K449" s="953">
        <v>6</v>
      </c>
      <c r="L449" s="954">
        <v>200000000</v>
      </c>
      <c r="M449" s="955">
        <v>1</v>
      </c>
      <c r="N449" s="956">
        <f>49588000</f>
        <v>49588000</v>
      </c>
      <c r="O449" s="953">
        <v>1</v>
      </c>
      <c r="P449" s="954">
        <v>150000000</v>
      </c>
      <c r="Q449" s="13">
        <v>0</v>
      </c>
      <c r="R449" s="13">
        <v>0</v>
      </c>
      <c r="S449" s="262"/>
      <c r="T449" s="957">
        <v>0</v>
      </c>
      <c r="U449" s="958"/>
      <c r="V449" s="957"/>
      <c r="W449" s="959"/>
      <c r="X449" s="957"/>
      <c r="Y449" s="1607">
        <f t="shared" si="119"/>
        <v>0</v>
      </c>
      <c r="Z449" s="954">
        <f t="shared" si="120"/>
        <v>0</v>
      </c>
      <c r="AA449" s="1604">
        <f t="shared" si="121"/>
        <v>1</v>
      </c>
      <c r="AB449" s="960">
        <f t="shared" si="122"/>
        <v>49588000</v>
      </c>
      <c r="AC449" s="961">
        <f t="shared" si="123"/>
        <v>16.666666666666664</v>
      </c>
      <c r="AD449" s="961">
        <f t="shared" si="124"/>
        <v>24.794</v>
      </c>
      <c r="AE449" s="1605"/>
      <c r="AF449" s="949"/>
      <c r="AG449" s="949"/>
      <c r="AH449" s="949"/>
      <c r="AI449" s="949"/>
      <c r="AJ449" s="949"/>
      <c r="AK449" s="949"/>
      <c r="AL449" s="949"/>
      <c r="AM449" s="949"/>
      <c r="AN449" s="949"/>
      <c r="AO449" s="949"/>
      <c r="AP449" s="949"/>
      <c r="AQ449" s="949"/>
      <c r="AR449" s="949"/>
      <c r="AS449" s="949"/>
      <c r="AT449" s="949"/>
      <c r="AU449" s="949"/>
      <c r="AV449" s="949"/>
      <c r="AW449" s="949"/>
      <c r="AX449" s="949"/>
      <c r="AY449" s="949"/>
      <c r="AZ449" s="949"/>
      <c r="BA449" s="949"/>
      <c r="BB449" s="949"/>
      <c r="BC449" s="950"/>
      <c r="BD449" s="950"/>
      <c r="BE449" s="950"/>
      <c r="BF449" s="950"/>
      <c r="BG449" s="950"/>
      <c r="BH449" s="950"/>
      <c r="BI449" s="950"/>
      <c r="BJ449" s="950"/>
      <c r="BK449" s="950"/>
      <c r="BL449" s="950"/>
      <c r="BM449" s="950"/>
      <c r="BN449" s="950"/>
      <c r="BO449" s="950"/>
      <c r="BP449" s="950"/>
      <c r="BQ449" s="950"/>
      <c r="BR449" s="752"/>
    </row>
    <row r="450" spans="1:70" s="22" customFormat="1" ht="82.5">
      <c r="A450" s="779"/>
      <c r="B450" s="1291"/>
      <c r="C450" s="628">
        <v>1</v>
      </c>
      <c r="D450" s="628" t="s">
        <v>25</v>
      </c>
      <c r="E450" s="628" t="s">
        <v>39</v>
      </c>
      <c r="F450" s="628" t="s">
        <v>28</v>
      </c>
      <c r="G450" s="628" t="s">
        <v>42</v>
      </c>
      <c r="H450" s="628" t="s">
        <v>31</v>
      </c>
      <c r="I450" s="1291" t="s">
        <v>634</v>
      </c>
      <c r="J450" s="1291" t="s">
        <v>635</v>
      </c>
      <c r="K450" s="953">
        <f>4*35</f>
        <v>140</v>
      </c>
      <c r="L450" s="954">
        <f>5*2200000000</f>
        <v>11000000000</v>
      </c>
      <c r="M450" s="955">
        <f>38+18</f>
        <v>56</v>
      </c>
      <c r="N450" s="1212">
        <v>2586003950</v>
      </c>
      <c r="O450" s="953">
        <v>16</v>
      </c>
      <c r="P450" s="954">
        <v>2550000000</v>
      </c>
      <c r="Q450" s="953"/>
      <c r="R450" s="957">
        <v>25730050</v>
      </c>
      <c r="S450" s="262"/>
      <c r="T450" s="957">
        <v>294010000</v>
      </c>
      <c r="U450" s="958"/>
      <c r="V450" s="957"/>
      <c r="W450" s="959"/>
      <c r="X450" s="957"/>
      <c r="Y450" s="1604">
        <f t="shared" si="119"/>
        <v>0</v>
      </c>
      <c r="Z450" s="954">
        <f t="shared" si="120"/>
        <v>319740050</v>
      </c>
      <c r="AA450" s="1604">
        <f t="shared" si="121"/>
        <v>56</v>
      </c>
      <c r="AB450" s="960">
        <f t="shared" si="122"/>
        <v>2905744000</v>
      </c>
      <c r="AC450" s="961">
        <f t="shared" si="123"/>
        <v>40</v>
      </c>
      <c r="AD450" s="961">
        <f t="shared" si="124"/>
        <v>26.415854545454547</v>
      </c>
      <c r="AE450" s="1605"/>
      <c r="AF450" s="949"/>
      <c r="AG450" s="949"/>
      <c r="AH450" s="949"/>
      <c r="AI450" s="949"/>
      <c r="AJ450" s="949"/>
      <c r="AK450" s="949"/>
      <c r="AL450" s="949"/>
      <c r="AM450" s="949"/>
      <c r="AN450" s="949"/>
      <c r="AO450" s="949"/>
      <c r="AP450" s="949"/>
      <c r="AQ450" s="949"/>
      <c r="AR450" s="949"/>
      <c r="AS450" s="949"/>
      <c r="AT450" s="949"/>
      <c r="AU450" s="949"/>
      <c r="AV450" s="949"/>
      <c r="AW450" s="949"/>
      <c r="AX450" s="949"/>
      <c r="AY450" s="949"/>
      <c r="AZ450" s="949"/>
      <c r="BA450" s="949"/>
      <c r="BB450" s="949"/>
      <c r="BC450" s="950"/>
      <c r="BD450" s="950"/>
      <c r="BE450" s="950"/>
      <c r="BF450" s="950"/>
      <c r="BG450" s="950"/>
      <c r="BH450" s="950"/>
      <c r="BI450" s="950"/>
      <c r="BJ450" s="950"/>
      <c r="BK450" s="950"/>
      <c r="BL450" s="950"/>
      <c r="BM450" s="950"/>
      <c r="BN450" s="950"/>
      <c r="BO450" s="950"/>
      <c r="BP450" s="950"/>
      <c r="BQ450" s="950"/>
      <c r="BR450" s="752"/>
    </row>
    <row r="451" spans="1:70" s="22" customFormat="1" ht="99">
      <c r="A451" s="779"/>
      <c r="B451" s="1291"/>
      <c r="C451" s="628">
        <v>1</v>
      </c>
      <c r="D451" s="628" t="s">
        <v>25</v>
      </c>
      <c r="E451" s="628" t="s">
        <v>39</v>
      </c>
      <c r="F451" s="628" t="s">
        <v>28</v>
      </c>
      <c r="G451" s="628" t="s">
        <v>42</v>
      </c>
      <c r="H451" s="628">
        <v>11</v>
      </c>
      <c r="I451" s="1291" t="s">
        <v>636</v>
      </c>
      <c r="J451" s="1291" t="s">
        <v>637</v>
      </c>
      <c r="K451" s="953">
        <v>4</v>
      </c>
      <c r="L451" s="954">
        <v>500000000</v>
      </c>
      <c r="M451" s="955">
        <v>1</v>
      </c>
      <c r="N451" s="954">
        <f>'[3]KEU '!$J$73</f>
        <v>78899500</v>
      </c>
      <c r="O451" s="953">
        <v>1</v>
      </c>
      <c r="P451" s="954">
        <v>70000000</v>
      </c>
      <c r="Q451" s="953"/>
      <c r="R451" s="957">
        <v>500000</v>
      </c>
      <c r="S451" s="262"/>
      <c r="T451" s="957">
        <v>0</v>
      </c>
      <c r="U451" s="958"/>
      <c r="V451" s="957"/>
      <c r="W451" s="959"/>
      <c r="X451" s="957"/>
      <c r="Y451" s="1604">
        <f t="shared" si="119"/>
        <v>0</v>
      </c>
      <c r="Z451" s="954">
        <f t="shared" si="120"/>
        <v>500000</v>
      </c>
      <c r="AA451" s="1604">
        <f t="shared" si="121"/>
        <v>1</v>
      </c>
      <c r="AB451" s="960">
        <f t="shared" si="122"/>
        <v>79399500</v>
      </c>
      <c r="AC451" s="961">
        <f t="shared" si="123"/>
        <v>25</v>
      </c>
      <c r="AD451" s="961">
        <f t="shared" si="124"/>
        <v>15.879899999999999</v>
      </c>
      <c r="AE451" s="1605"/>
      <c r="AF451" s="949"/>
      <c r="AG451" s="949"/>
      <c r="AH451" s="949"/>
      <c r="AI451" s="949"/>
      <c r="AJ451" s="949"/>
      <c r="AK451" s="949"/>
      <c r="AL451" s="949"/>
      <c r="AM451" s="949"/>
      <c r="AN451" s="949"/>
      <c r="AO451" s="949"/>
      <c r="AP451" s="949"/>
      <c r="AQ451" s="949"/>
      <c r="AR451" s="949"/>
      <c r="AS451" s="949"/>
      <c r="AT451" s="949"/>
      <c r="AU451" s="949"/>
      <c r="AV451" s="949"/>
      <c r="AW451" s="949"/>
      <c r="AX451" s="949"/>
      <c r="AY451" s="949"/>
      <c r="AZ451" s="949"/>
      <c r="BA451" s="949"/>
      <c r="BB451" s="949"/>
      <c r="BC451" s="950"/>
      <c r="BD451" s="950"/>
      <c r="BE451" s="950"/>
      <c r="BF451" s="950"/>
      <c r="BG451" s="950"/>
      <c r="BH451" s="950"/>
      <c r="BI451" s="950"/>
      <c r="BJ451" s="950"/>
      <c r="BK451" s="950"/>
      <c r="BL451" s="950"/>
      <c r="BM451" s="950"/>
      <c r="BN451" s="950"/>
      <c r="BO451" s="950"/>
      <c r="BP451" s="950"/>
      <c r="BQ451" s="950"/>
      <c r="BR451" s="752"/>
    </row>
    <row r="452" spans="1:70" s="22" customFormat="1" ht="132">
      <c r="A452" s="779"/>
      <c r="B452" s="1291"/>
      <c r="C452" s="628">
        <v>1</v>
      </c>
      <c r="D452" s="628" t="s">
        <v>25</v>
      </c>
      <c r="E452" s="628" t="s">
        <v>39</v>
      </c>
      <c r="F452" s="628" t="s">
        <v>28</v>
      </c>
      <c r="G452" s="628" t="s">
        <v>42</v>
      </c>
      <c r="H452" s="628">
        <v>33</v>
      </c>
      <c r="I452" s="1291" t="s">
        <v>528</v>
      </c>
      <c r="J452" s="1291" t="s">
        <v>638</v>
      </c>
      <c r="K452" s="953"/>
      <c r="L452" s="954"/>
      <c r="M452" s="955"/>
      <c r="N452" s="954"/>
      <c r="O452" s="953"/>
      <c r="P452" s="954"/>
      <c r="Q452" s="953"/>
      <c r="R452" s="957">
        <v>0</v>
      </c>
      <c r="S452" s="262"/>
      <c r="T452" s="957">
        <v>0</v>
      </c>
      <c r="U452" s="958"/>
      <c r="V452" s="957"/>
      <c r="W452" s="959"/>
      <c r="X452" s="957"/>
      <c r="Y452" s="1604"/>
      <c r="Z452" s="954"/>
      <c r="AA452" s="1604"/>
      <c r="AB452" s="960"/>
      <c r="AC452" s="961"/>
      <c r="AD452" s="961"/>
      <c r="AE452" s="1605"/>
      <c r="AF452" s="949"/>
      <c r="AG452" s="949"/>
      <c r="AH452" s="949"/>
      <c r="AI452" s="949"/>
      <c r="AJ452" s="949"/>
      <c r="AK452" s="949"/>
      <c r="AL452" s="949"/>
      <c r="AM452" s="949"/>
      <c r="AN452" s="949"/>
      <c r="AO452" s="949"/>
      <c r="AP452" s="949"/>
      <c r="AQ452" s="949"/>
      <c r="AR452" s="949"/>
      <c r="AS452" s="949"/>
      <c r="AT452" s="949"/>
      <c r="AU452" s="949"/>
      <c r="AV452" s="949"/>
      <c r="AW452" s="949"/>
      <c r="AX452" s="949"/>
      <c r="AY452" s="949"/>
      <c r="AZ452" s="949"/>
      <c r="BA452" s="949"/>
      <c r="BB452" s="949"/>
      <c r="BC452" s="950"/>
      <c r="BD452" s="950"/>
      <c r="BE452" s="950"/>
      <c r="BF452" s="950"/>
      <c r="BG452" s="950"/>
      <c r="BH452" s="950"/>
      <c r="BI452" s="950"/>
      <c r="BJ452" s="950"/>
      <c r="BK452" s="950"/>
      <c r="BL452" s="950"/>
      <c r="BM452" s="950"/>
      <c r="BN452" s="950"/>
      <c r="BO452" s="950"/>
      <c r="BP452" s="950"/>
      <c r="BQ452" s="950"/>
      <c r="BR452" s="752"/>
    </row>
    <row r="453" spans="1:70" s="22" customFormat="1" ht="132">
      <c r="A453" s="779"/>
      <c r="B453" s="1291"/>
      <c r="C453" s="628">
        <v>1</v>
      </c>
      <c r="D453" s="628" t="s">
        <v>25</v>
      </c>
      <c r="E453" s="628" t="s">
        <v>39</v>
      </c>
      <c r="F453" s="628" t="s">
        <v>28</v>
      </c>
      <c r="G453" s="628" t="s">
        <v>42</v>
      </c>
      <c r="H453" s="628">
        <v>35</v>
      </c>
      <c r="I453" s="1291" t="s">
        <v>639</v>
      </c>
      <c r="J453" s="1291" t="s">
        <v>638</v>
      </c>
      <c r="K453" s="953"/>
      <c r="L453" s="954"/>
      <c r="M453" s="955"/>
      <c r="N453" s="954"/>
      <c r="O453" s="953"/>
      <c r="P453" s="954"/>
      <c r="Q453" s="953"/>
      <c r="R453" s="957">
        <v>0</v>
      </c>
      <c r="S453" s="262"/>
      <c r="T453" s="957">
        <v>0</v>
      </c>
      <c r="U453" s="958"/>
      <c r="V453" s="957"/>
      <c r="W453" s="959"/>
      <c r="X453" s="957"/>
      <c r="Y453" s="1604"/>
      <c r="Z453" s="954"/>
      <c r="AA453" s="1604"/>
      <c r="AB453" s="960"/>
      <c r="AC453" s="961"/>
      <c r="AD453" s="961"/>
      <c r="AE453" s="1605"/>
      <c r="AF453" s="949"/>
      <c r="AG453" s="949"/>
      <c r="AH453" s="949"/>
      <c r="AI453" s="949"/>
      <c r="AJ453" s="949"/>
      <c r="AK453" s="949"/>
      <c r="AL453" s="949"/>
      <c r="AM453" s="949"/>
      <c r="AN453" s="949"/>
      <c r="AO453" s="949"/>
      <c r="AP453" s="949"/>
      <c r="AQ453" s="949"/>
      <c r="AR453" s="949"/>
      <c r="AS453" s="949"/>
      <c r="AT453" s="949"/>
      <c r="AU453" s="949"/>
      <c r="AV453" s="949"/>
      <c r="AW453" s="949"/>
      <c r="AX453" s="949"/>
      <c r="AY453" s="949"/>
      <c r="AZ453" s="949"/>
      <c r="BA453" s="949"/>
      <c r="BB453" s="949"/>
      <c r="BC453" s="950"/>
      <c r="BD453" s="950"/>
      <c r="BE453" s="950"/>
      <c r="BF453" s="950"/>
      <c r="BG453" s="950"/>
      <c r="BH453" s="950"/>
      <c r="BI453" s="950"/>
      <c r="BJ453" s="950"/>
      <c r="BK453" s="950"/>
      <c r="BL453" s="950"/>
      <c r="BM453" s="950"/>
      <c r="BN453" s="950"/>
      <c r="BO453" s="950"/>
      <c r="BP453" s="950"/>
      <c r="BQ453" s="950"/>
      <c r="BR453" s="752"/>
    </row>
    <row r="454" spans="1:70" s="22" customFormat="1" ht="132">
      <c r="A454" s="779"/>
      <c r="B454" s="1291"/>
      <c r="C454" s="628">
        <v>1</v>
      </c>
      <c r="D454" s="628" t="s">
        <v>25</v>
      </c>
      <c r="E454" s="628" t="s">
        <v>39</v>
      </c>
      <c r="F454" s="628" t="s">
        <v>28</v>
      </c>
      <c r="G454" s="628" t="s">
        <v>42</v>
      </c>
      <c r="H454" s="628">
        <v>36</v>
      </c>
      <c r="I454" s="1291" t="s">
        <v>640</v>
      </c>
      <c r="J454" s="1291" t="s">
        <v>638</v>
      </c>
      <c r="K454" s="953"/>
      <c r="L454" s="954"/>
      <c r="M454" s="955"/>
      <c r="N454" s="954"/>
      <c r="O454" s="953"/>
      <c r="P454" s="954"/>
      <c r="Q454" s="953"/>
      <c r="R454" s="957">
        <v>0</v>
      </c>
      <c r="S454" s="262"/>
      <c r="T454" s="957">
        <v>0</v>
      </c>
      <c r="U454" s="958"/>
      <c r="V454" s="957"/>
      <c r="W454" s="959"/>
      <c r="X454" s="957"/>
      <c r="Y454" s="1604"/>
      <c r="Z454" s="954"/>
      <c r="AA454" s="1604"/>
      <c r="AB454" s="960"/>
      <c r="AC454" s="961"/>
      <c r="AD454" s="961"/>
      <c r="AE454" s="1605"/>
      <c r="AF454" s="949"/>
      <c r="AG454" s="949"/>
      <c r="AH454" s="949"/>
      <c r="AI454" s="949"/>
      <c r="AJ454" s="949"/>
      <c r="AK454" s="949"/>
      <c r="AL454" s="949"/>
      <c r="AM454" s="949"/>
      <c r="AN454" s="949"/>
      <c r="AO454" s="949"/>
      <c r="AP454" s="949"/>
      <c r="AQ454" s="949"/>
      <c r="AR454" s="949"/>
      <c r="AS454" s="949"/>
      <c r="AT454" s="949"/>
      <c r="AU454" s="949"/>
      <c r="AV454" s="949"/>
      <c r="AW454" s="949"/>
      <c r="AX454" s="949"/>
      <c r="AY454" s="949"/>
      <c r="AZ454" s="949"/>
      <c r="BA454" s="949"/>
      <c r="BB454" s="949"/>
      <c r="BC454" s="950"/>
      <c r="BD454" s="950"/>
      <c r="BE454" s="950"/>
      <c r="BF454" s="950"/>
      <c r="BG454" s="950"/>
      <c r="BH454" s="950"/>
      <c r="BI454" s="950"/>
      <c r="BJ454" s="950"/>
      <c r="BK454" s="950"/>
      <c r="BL454" s="950"/>
      <c r="BM454" s="950"/>
      <c r="BN454" s="950"/>
      <c r="BO454" s="950"/>
      <c r="BP454" s="950"/>
      <c r="BQ454" s="950"/>
      <c r="BR454" s="752"/>
    </row>
    <row r="455" spans="1:70" s="22" customFormat="1" ht="132">
      <c r="A455" s="779"/>
      <c r="B455" s="1291"/>
      <c r="C455" s="628">
        <v>1</v>
      </c>
      <c r="D455" s="628" t="s">
        <v>25</v>
      </c>
      <c r="E455" s="628" t="s">
        <v>39</v>
      </c>
      <c r="F455" s="628" t="s">
        <v>28</v>
      </c>
      <c r="G455" s="628" t="s">
        <v>42</v>
      </c>
      <c r="H455" s="628">
        <v>37</v>
      </c>
      <c r="I455" s="1291" t="s">
        <v>641</v>
      </c>
      <c r="J455" s="1291" t="s">
        <v>638</v>
      </c>
      <c r="K455" s="953"/>
      <c r="L455" s="954"/>
      <c r="M455" s="955"/>
      <c r="N455" s="954"/>
      <c r="O455" s="953"/>
      <c r="P455" s="954"/>
      <c r="Q455" s="953"/>
      <c r="R455" s="957">
        <v>0</v>
      </c>
      <c r="S455" s="262"/>
      <c r="T455" s="957">
        <v>0</v>
      </c>
      <c r="U455" s="958"/>
      <c r="V455" s="957"/>
      <c r="W455" s="959"/>
      <c r="X455" s="957"/>
      <c r="Y455" s="1604"/>
      <c r="Z455" s="954"/>
      <c r="AA455" s="1604"/>
      <c r="AB455" s="960"/>
      <c r="AC455" s="961"/>
      <c r="AD455" s="961"/>
      <c r="AE455" s="1605"/>
      <c r="AF455" s="949"/>
      <c r="AG455" s="949"/>
      <c r="AH455" s="949"/>
      <c r="AI455" s="949"/>
      <c r="AJ455" s="949"/>
      <c r="AK455" s="949"/>
      <c r="AL455" s="949"/>
      <c r="AM455" s="949"/>
      <c r="AN455" s="949"/>
      <c r="AO455" s="949"/>
      <c r="AP455" s="949"/>
      <c r="AQ455" s="949"/>
      <c r="AR455" s="949"/>
      <c r="AS455" s="949"/>
      <c r="AT455" s="949"/>
      <c r="AU455" s="949"/>
      <c r="AV455" s="949"/>
      <c r="AW455" s="949"/>
      <c r="AX455" s="949"/>
      <c r="AY455" s="949"/>
      <c r="AZ455" s="949"/>
      <c r="BA455" s="949"/>
      <c r="BB455" s="949"/>
      <c r="BC455" s="950"/>
      <c r="BD455" s="950"/>
      <c r="BE455" s="950"/>
      <c r="BF455" s="950"/>
      <c r="BG455" s="950"/>
      <c r="BH455" s="950"/>
      <c r="BI455" s="950"/>
      <c r="BJ455" s="950"/>
      <c r="BK455" s="950"/>
      <c r="BL455" s="950"/>
      <c r="BM455" s="950"/>
      <c r="BN455" s="950"/>
      <c r="BO455" s="950"/>
      <c r="BP455" s="950"/>
      <c r="BQ455" s="950"/>
      <c r="BR455" s="752"/>
    </row>
    <row r="456" spans="1:70" s="22" customFormat="1" ht="132">
      <c r="A456" s="779"/>
      <c r="B456" s="1291"/>
      <c r="C456" s="628">
        <v>1</v>
      </c>
      <c r="D456" s="628" t="s">
        <v>25</v>
      </c>
      <c r="E456" s="628" t="s">
        <v>39</v>
      </c>
      <c r="F456" s="628" t="s">
        <v>28</v>
      </c>
      <c r="G456" s="628" t="s">
        <v>42</v>
      </c>
      <c r="H456" s="628">
        <v>38</v>
      </c>
      <c r="I456" s="1291" t="s">
        <v>642</v>
      </c>
      <c r="J456" s="1291" t="s">
        <v>638</v>
      </c>
      <c r="K456" s="953"/>
      <c r="L456" s="954"/>
      <c r="M456" s="955"/>
      <c r="N456" s="954"/>
      <c r="O456" s="953"/>
      <c r="P456" s="954"/>
      <c r="Q456" s="953"/>
      <c r="R456" s="957">
        <v>0</v>
      </c>
      <c r="S456" s="262"/>
      <c r="T456" s="957">
        <v>0</v>
      </c>
      <c r="U456" s="958"/>
      <c r="V456" s="957"/>
      <c r="W456" s="959"/>
      <c r="X456" s="957"/>
      <c r="Y456" s="1604"/>
      <c r="Z456" s="954"/>
      <c r="AA456" s="1604"/>
      <c r="AB456" s="960"/>
      <c r="AC456" s="961"/>
      <c r="AD456" s="961"/>
      <c r="AE456" s="1605"/>
      <c r="AF456" s="949"/>
      <c r="AG456" s="949"/>
      <c r="AH456" s="949"/>
      <c r="AI456" s="949"/>
      <c r="AJ456" s="949"/>
      <c r="AK456" s="949"/>
      <c r="AL456" s="949"/>
      <c r="AM456" s="949"/>
      <c r="AN456" s="949"/>
      <c r="AO456" s="949"/>
      <c r="AP456" s="949"/>
      <c r="AQ456" s="949"/>
      <c r="AR456" s="949"/>
      <c r="AS456" s="949"/>
      <c r="AT456" s="949"/>
      <c r="AU456" s="949"/>
      <c r="AV456" s="949"/>
      <c r="AW456" s="949"/>
      <c r="AX456" s="949"/>
      <c r="AY456" s="949"/>
      <c r="AZ456" s="949"/>
      <c r="BA456" s="949"/>
      <c r="BB456" s="949"/>
      <c r="BC456" s="950"/>
      <c r="BD456" s="950"/>
      <c r="BE456" s="950"/>
      <c r="BF456" s="950"/>
      <c r="BG456" s="950"/>
      <c r="BH456" s="950"/>
      <c r="BI456" s="950"/>
      <c r="BJ456" s="950"/>
      <c r="BK456" s="950"/>
      <c r="BL456" s="950"/>
      <c r="BM456" s="950"/>
      <c r="BN456" s="950"/>
      <c r="BO456" s="950"/>
      <c r="BP456" s="950"/>
      <c r="BQ456" s="950"/>
      <c r="BR456" s="752"/>
    </row>
    <row r="457" spans="1:70" s="22" customFormat="1" ht="66">
      <c r="A457" s="2558">
        <f>+A447+1</f>
        <v>5</v>
      </c>
      <c r="B457" s="629"/>
      <c r="C457" s="620">
        <v>1</v>
      </c>
      <c r="D457" s="620" t="s">
        <v>25</v>
      </c>
      <c r="E457" s="620" t="s">
        <v>39</v>
      </c>
      <c r="F457" s="620" t="s">
        <v>28</v>
      </c>
      <c r="G457" s="620">
        <v>17</v>
      </c>
      <c r="H457" s="133"/>
      <c r="I457" s="629" t="s">
        <v>643</v>
      </c>
      <c r="J457" s="629" t="s">
        <v>2715</v>
      </c>
      <c r="K457" s="1599">
        <v>36</v>
      </c>
      <c r="L457" s="1613">
        <f>+L458</f>
        <v>3375000000</v>
      </c>
      <c r="M457" s="1613">
        <f t="shared" ref="M457" si="126">+M458</f>
        <v>0</v>
      </c>
      <c r="N457" s="1613">
        <f>+N458</f>
        <v>0</v>
      </c>
      <c r="O457" s="1613">
        <v>30</v>
      </c>
      <c r="P457" s="1613">
        <f>+P458</f>
        <v>1125000000</v>
      </c>
      <c r="Q457" s="1613">
        <f t="shared" ref="Q457" si="127">+Q458</f>
        <v>0</v>
      </c>
      <c r="R457" s="1613">
        <f>+R458</f>
        <v>18798300</v>
      </c>
      <c r="S457" s="230">
        <f t="shared" ref="S457" si="128">+S458</f>
        <v>0</v>
      </c>
      <c r="T457" s="230">
        <f>+T458</f>
        <v>454519650</v>
      </c>
      <c r="U457" s="230">
        <f t="shared" ref="U457" si="129">+U458</f>
        <v>0</v>
      </c>
      <c r="V457" s="230">
        <f>+V458</f>
        <v>0</v>
      </c>
      <c r="W457" s="230">
        <f t="shared" ref="W457" si="130">+W458</f>
        <v>0</v>
      </c>
      <c r="X457" s="230">
        <f>+X458</f>
        <v>0</v>
      </c>
      <c r="Y457" s="230">
        <f t="shared" ref="Y457:Y482" si="131">Q457+S457+U457+W457</f>
        <v>0</v>
      </c>
      <c r="Z457" s="1613">
        <f t="shared" ref="Z457:Z482" si="132">R457+T457+V457+X457</f>
        <v>473317950</v>
      </c>
      <c r="AA457" s="1603">
        <f t="shared" ref="AA457:AA482" si="133">M457+Y457</f>
        <v>0</v>
      </c>
      <c r="AB457" s="1613">
        <f t="shared" ref="AB457:AB482" si="134">N457+Z457</f>
        <v>473317950</v>
      </c>
      <c r="AC457" s="1613">
        <f t="shared" ref="AC457:AC482" si="135">AA457/K457*100</f>
        <v>0</v>
      </c>
      <c r="AD457" s="1613">
        <f t="shared" ref="AD457:AD482" si="136">AB457/L457*100</f>
        <v>14.024235555555556</v>
      </c>
      <c r="AE457" s="1602" t="s">
        <v>645</v>
      </c>
      <c r="AF457" s="949"/>
      <c r="AG457" s="949"/>
      <c r="AH457" s="949"/>
      <c r="AI457" s="949"/>
      <c r="AJ457" s="949"/>
      <c r="AK457" s="949"/>
      <c r="AL457" s="949"/>
      <c r="AM457" s="949"/>
      <c r="AN457" s="949"/>
      <c r="AO457" s="949"/>
      <c r="AP457" s="949"/>
      <c r="AQ457" s="949"/>
      <c r="AR457" s="949"/>
      <c r="AS457" s="949"/>
      <c r="AT457" s="949"/>
      <c r="AU457" s="949"/>
      <c r="AV457" s="949"/>
      <c r="AW457" s="949"/>
      <c r="AX457" s="949"/>
      <c r="AY457" s="949"/>
      <c r="AZ457" s="949"/>
      <c r="BA457" s="949"/>
      <c r="BB457" s="949"/>
      <c r="BC457" s="950"/>
      <c r="BD457" s="950"/>
      <c r="BE457" s="950"/>
      <c r="BF457" s="950"/>
      <c r="BG457" s="950"/>
      <c r="BH457" s="950"/>
      <c r="BI457" s="950"/>
      <c r="BJ457" s="950"/>
      <c r="BK457" s="950"/>
      <c r="BL457" s="950"/>
      <c r="BM457" s="950"/>
      <c r="BN457" s="950"/>
      <c r="BO457" s="950"/>
      <c r="BP457" s="950"/>
      <c r="BQ457" s="950"/>
      <c r="BR457" s="752"/>
    </row>
    <row r="458" spans="1:70" s="22" customFormat="1" ht="66">
      <c r="A458" s="779"/>
      <c r="B458" s="1291"/>
      <c r="C458" s="628">
        <v>1</v>
      </c>
      <c r="D458" s="628" t="s">
        <v>25</v>
      </c>
      <c r="E458" s="628" t="s">
        <v>39</v>
      </c>
      <c r="F458" s="628" t="s">
        <v>28</v>
      </c>
      <c r="G458" s="628">
        <v>17</v>
      </c>
      <c r="H458" s="304" t="s">
        <v>39</v>
      </c>
      <c r="I458" s="1291" t="s">
        <v>2716</v>
      </c>
      <c r="J458" s="1291" t="s">
        <v>2717</v>
      </c>
      <c r="K458" s="953">
        <v>20</v>
      </c>
      <c r="L458" s="954">
        <f>3*P458</f>
        <v>3375000000</v>
      </c>
      <c r="M458" s="955">
        <v>0</v>
      </c>
      <c r="N458" s="956">
        <v>0</v>
      </c>
      <c r="O458" s="953">
        <v>8</v>
      </c>
      <c r="P458" s="954">
        <v>1125000000</v>
      </c>
      <c r="Q458" s="953"/>
      <c r="R458" s="957">
        <v>18798300</v>
      </c>
      <c r="S458" s="262"/>
      <c r="T458" s="2681">
        <v>454519650</v>
      </c>
      <c r="U458" s="958"/>
      <c r="V458" s="957"/>
      <c r="W458" s="959"/>
      <c r="X458" s="957"/>
      <c r="Y458" s="1604">
        <f t="shared" si="131"/>
        <v>0</v>
      </c>
      <c r="Z458" s="954">
        <f t="shared" si="132"/>
        <v>473317950</v>
      </c>
      <c r="AA458" s="1604">
        <f t="shared" si="133"/>
        <v>0</v>
      </c>
      <c r="AB458" s="960">
        <f t="shared" si="134"/>
        <v>473317950</v>
      </c>
      <c r="AC458" s="961">
        <f t="shared" si="135"/>
        <v>0</v>
      </c>
      <c r="AD458" s="961">
        <f t="shared" si="136"/>
        <v>14.024235555555556</v>
      </c>
      <c r="AE458" s="1605"/>
      <c r="AF458" s="949"/>
      <c r="AG458" s="949"/>
      <c r="AH458" s="949"/>
      <c r="AI458" s="949"/>
      <c r="AJ458" s="949"/>
      <c r="AK458" s="949"/>
      <c r="AL458" s="949"/>
      <c r="AM458" s="949"/>
      <c r="AN458" s="949"/>
      <c r="AO458" s="949"/>
      <c r="AP458" s="949"/>
      <c r="AQ458" s="949"/>
      <c r="AR458" s="949"/>
      <c r="AS458" s="949"/>
      <c r="AT458" s="949"/>
      <c r="AU458" s="949"/>
      <c r="AV458" s="949"/>
      <c r="AW458" s="949"/>
      <c r="AX458" s="949"/>
      <c r="AY458" s="949"/>
      <c r="AZ458" s="949"/>
      <c r="BA458" s="949"/>
      <c r="BB458" s="949"/>
      <c r="BC458" s="950"/>
      <c r="BD458" s="950"/>
      <c r="BE458" s="950"/>
      <c r="BF458" s="950"/>
      <c r="BG458" s="950"/>
      <c r="BH458" s="950"/>
      <c r="BI458" s="950"/>
      <c r="BJ458" s="950"/>
      <c r="BK458" s="950"/>
      <c r="BL458" s="950"/>
      <c r="BM458" s="950"/>
      <c r="BN458" s="950"/>
      <c r="BO458" s="950"/>
      <c r="BP458" s="950"/>
      <c r="BQ458" s="950"/>
      <c r="BR458" s="752"/>
    </row>
    <row r="459" spans="1:70" s="22" customFormat="1" ht="66">
      <c r="A459" s="2558">
        <f>+A457+1</f>
        <v>6</v>
      </c>
      <c r="B459" s="629"/>
      <c r="C459" s="620">
        <v>1</v>
      </c>
      <c r="D459" s="620" t="s">
        <v>25</v>
      </c>
      <c r="E459" s="620" t="s">
        <v>39</v>
      </c>
      <c r="F459" s="620" t="s">
        <v>28</v>
      </c>
      <c r="G459" s="620">
        <v>24</v>
      </c>
      <c r="H459" s="133"/>
      <c r="I459" s="629" t="s">
        <v>644</v>
      </c>
      <c r="J459" s="629" t="s">
        <v>2718</v>
      </c>
      <c r="K459" s="1599">
        <v>59.72</v>
      </c>
      <c r="L459" s="1601">
        <f>SUM(L460:L471)</f>
        <v>160998356978</v>
      </c>
      <c r="M459" s="1599">
        <v>51.64</v>
      </c>
      <c r="N459" s="1601">
        <f>SUM(N460:N471)</f>
        <v>24305515826</v>
      </c>
      <c r="O459" s="1614">
        <f>54.27-M459</f>
        <v>2.6300000000000026</v>
      </c>
      <c r="P459" s="1601">
        <f>SUM(P460:P471)</f>
        <v>24549878000</v>
      </c>
      <c r="Q459" s="801">
        <v>0</v>
      </c>
      <c r="R459" s="1601">
        <f>SUM(R460:R471)</f>
        <v>85275312</v>
      </c>
      <c r="S459" s="543">
        <v>0</v>
      </c>
      <c r="T459" s="1601">
        <f>SUM(T460:T471)</f>
        <v>3188931432</v>
      </c>
      <c r="U459" s="547">
        <f>SUM(U460:U471)</f>
        <v>0</v>
      </c>
      <c r="V459" s="1601">
        <f>SUM(V460:V471)</f>
        <v>0</v>
      </c>
      <c r="W459" s="821"/>
      <c r="X459" s="1601">
        <f>SUM(X460:X471)</f>
        <v>0</v>
      </c>
      <c r="Y459" s="1603">
        <f t="shared" si="131"/>
        <v>0</v>
      </c>
      <c r="Z459" s="1601">
        <f t="shared" si="132"/>
        <v>3274206744</v>
      </c>
      <c r="AA459" s="1603">
        <f t="shared" si="133"/>
        <v>51.64</v>
      </c>
      <c r="AB459" s="1601">
        <f t="shared" si="134"/>
        <v>27579722570</v>
      </c>
      <c r="AC459" s="821">
        <f t="shared" si="135"/>
        <v>86.47019423978567</v>
      </c>
      <c r="AD459" s="821">
        <f t="shared" si="136"/>
        <v>17.130437283759793</v>
      </c>
      <c r="AE459" s="1602" t="s">
        <v>645</v>
      </c>
      <c r="AF459" s="949"/>
      <c r="AG459" s="949"/>
      <c r="AH459" s="949"/>
      <c r="AI459" s="949"/>
      <c r="AJ459" s="949"/>
      <c r="AK459" s="949"/>
      <c r="AL459" s="949"/>
      <c r="AM459" s="949"/>
      <c r="AN459" s="949"/>
      <c r="AO459" s="949"/>
      <c r="AP459" s="949"/>
      <c r="AQ459" s="949"/>
      <c r="AR459" s="949"/>
      <c r="AS459" s="949"/>
      <c r="AT459" s="949"/>
      <c r="AU459" s="949"/>
      <c r="AV459" s="949"/>
      <c r="AW459" s="949"/>
      <c r="AX459" s="949"/>
      <c r="AY459" s="949"/>
      <c r="AZ459" s="949"/>
      <c r="BA459" s="949"/>
      <c r="BB459" s="949"/>
      <c r="BC459" s="950"/>
      <c r="BD459" s="950"/>
      <c r="BE459" s="950"/>
      <c r="BF459" s="950"/>
      <c r="BG459" s="950"/>
      <c r="BH459" s="950"/>
      <c r="BI459" s="950"/>
      <c r="BJ459" s="950"/>
      <c r="BK459" s="950"/>
      <c r="BL459" s="950"/>
      <c r="BM459" s="950"/>
      <c r="BN459" s="950"/>
      <c r="BO459" s="950"/>
      <c r="BP459" s="950"/>
      <c r="BQ459" s="950"/>
      <c r="BR459" s="752"/>
    </row>
    <row r="460" spans="1:70" s="22" customFormat="1" ht="82.5">
      <c r="A460" s="779"/>
      <c r="B460" s="1291"/>
      <c r="C460" s="628">
        <v>1</v>
      </c>
      <c r="D460" s="628" t="s">
        <v>25</v>
      </c>
      <c r="E460" s="628" t="s">
        <v>39</v>
      </c>
      <c r="F460" s="628" t="s">
        <v>28</v>
      </c>
      <c r="G460" s="628">
        <v>24</v>
      </c>
      <c r="H460" s="304" t="s">
        <v>38</v>
      </c>
      <c r="I460" s="1291" t="s">
        <v>646</v>
      </c>
      <c r="J460" s="1291" t="s">
        <v>647</v>
      </c>
      <c r="K460" s="953">
        <v>22</v>
      </c>
      <c r="L460" s="954">
        <f>3*N460</f>
        <v>1538955750</v>
      </c>
      <c r="M460" s="955">
        <f>3+6</f>
        <v>9</v>
      </c>
      <c r="N460" s="956">
        <v>512985250</v>
      </c>
      <c r="O460" s="953">
        <v>5</v>
      </c>
      <c r="P460" s="954">
        <v>308740000</v>
      </c>
      <c r="Q460" s="13">
        <v>0</v>
      </c>
      <c r="R460" s="13">
        <v>0</v>
      </c>
      <c r="S460" s="262">
        <v>1</v>
      </c>
      <c r="T460" s="957">
        <v>58095620</v>
      </c>
      <c r="U460" s="958"/>
      <c r="V460" s="957"/>
      <c r="W460" s="959"/>
      <c r="X460" s="957"/>
      <c r="Y460" s="1604">
        <f t="shared" si="131"/>
        <v>1</v>
      </c>
      <c r="Z460" s="954">
        <f t="shared" si="132"/>
        <v>58095620</v>
      </c>
      <c r="AA460" s="1604">
        <f t="shared" si="133"/>
        <v>10</v>
      </c>
      <c r="AB460" s="960">
        <f t="shared" si="134"/>
        <v>571080870</v>
      </c>
      <c r="AC460" s="961">
        <f t="shared" si="135"/>
        <v>45.454545454545453</v>
      </c>
      <c r="AD460" s="961">
        <f t="shared" si="136"/>
        <v>37.108335960926752</v>
      </c>
      <c r="AE460" s="1605"/>
      <c r="AF460" s="949"/>
      <c r="AG460" s="949"/>
      <c r="AH460" s="949"/>
      <c r="AI460" s="949"/>
      <c r="AJ460" s="949"/>
      <c r="AK460" s="949"/>
      <c r="AL460" s="949"/>
      <c r="AM460" s="949"/>
      <c r="AN460" s="949"/>
      <c r="AO460" s="949"/>
      <c r="AP460" s="949"/>
      <c r="AQ460" s="949"/>
      <c r="AR460" s="949"/>
      <c r="AS460" s="949"/>
      <c r="AT460" s="949"/>
      <c r="AU460" s="949"/>
      <c r="AV460" s="949"/>
      <c r="AW460" s="949"/>
      <c r="AX460" s="949"/>
      <c r="AY460" s="949"/>
      <c r="AZ460" s="949"/>
      <c r="BA460" s="949"/>
      <c r="BB460" s="949"/>
      <c r="BC460" s="950"/>
      <c r="BD460" s="950"/>
      <c r="BE460" s="950"/>
      <c r="BF460" s="950"/>
      <c r="BG460" s="950"/>
      <c r="BH460" s="950"/>
      <c r="BI460" s="950"/>
      <c r="BJ460" s="950"/>
      <c r="BK460" s="950"/>
      <c r="BL460" s="950"/>
      <c r="BM460" s="950"/>
      <c r="BN460" s="950"/>
      <c r="BO460" s="950"/>
      <c r="BP460" s="950"/>
      <c r="BQ460" s="950"/>
      <c r="BR460" s="752"/>
    </row>
    <row r="461" spans="1:70" s="22" customFormat="1" ht="66">
      <c r="A461" s="779"/>
      <c r="B461" s="1291"/>
      <c r="C461" s="628">
        <v>1</v>
      </c>
      <c r="D461" s="628" t="s">
        <v>25</v>
      </c>
      <c r="E461" s="628" t="s">
        <v>39</v>
      </c>
      <c r="F461" s="628" t="s">
        <v>28</v>
      </c>
      <c r="G461" s="628">
        <v>24</v>
      </c>
      <c r="H461" s="304" t="s">
        <v>43</v>
      </c>
      <c r="I461" s="1291" t="s">
        <v>648</v>
      </c>
      <c r="J461" s="1291" t="s">
        <v>649</v>
      </c>
      <c r="K461" s="953">
        <v>76</v>
      </c>
      <c r="L461" s="954">
        <v>43171250000</v>
      </c>
      <c r="M461" s="955">
        <v>23</v>
      </c>
      <c r="N461" s="956">
        <v>2988020750</v>
      </c>
      <c r="O461" s="953">
        <v>16</v>
      </c>
      <c r="P461" s="954">
        <v>2640000000</v>
      </c>
      <c r="Q461" s="13">
        <v>0</v>
      </c>
      <c r="R461" s="13">
        <v>22052750</v>
      </c>
      <c r="S461" s="262">
        <v>8</v>
      </c>
      <c r="T461" s="957">
        <v>647166550</v>
      </c>
      <c r="U461" s="958"/>
      <c r="V461" s="957"/>
      <c r="W461" s="959"/>
      <c r="X461" s="957"/>
      <c r="Y461" s="1604">
        <f t="shared" si="131"/>
        <v>8</v>
      </c>
      <c r="Z461" s="954">
        <f t="shared" si="132"/>
        <v>669219300</v>
      </c>
      <c r="AA461" s="1604">
        <f t="shared" si="133"/>
        <v>31</v>
      </c>
      <c r="AB461" s="960">
        <f t="shared" si="134"/>
        <v>3657240050</v>
      </c>
      <c r="AC461" s="961">
        <f t="shared" si="135"/>
        <v>40.789473684210527</v>
      </c>
      <c r="AD461" s="961">
        <f t="shared" si="136"/>
        <v>8.4714712916582204</v>
      </c>
      <c r="AE461" s="1605"/>
      <c r="AF461" s="949"/>
      <c r="AG461" s="949"/>
      <c r="AH461" s="949"/>
      <c r="AI461" s="949"/>
      <c r="AJ461" s="949"/>
      <c r="AK461" s="949"/>
      <c r="AL461" s="949"/>
      <c r="AM461" s="949"/>
      <c r="AN461" s="949"/>
      <c r="AO461" s="949"/>
      <c r="AP461" s="949"/>
      <c r="AQ461" s="949"/>
      <c r="AR461" s="949"/>
      <c r="AS461" s="949"/>
      <c r="AT461" s="949"/>
      <c r="AU461" s="949"/>
      <c r="AV461" s="949"/>
      <c r="AW461" s="949"/>
      <c r="AX461" s="949"/>
      <c r="AY461" s="949"/>
      <c r="AZ461" s="949"/>
      <c r="BA461" s="949"/>
      <c r="BB461" s="949"/>
      <c r="BC461" s="950"/>
      <c r="BD461" s="950"/>
      <c r="BE461" s="950"/>
      <c r="BF461" s="950"/>
      <c r="BG461" s="950"/>
      <c r="BH461" s="950"/>
      <c r="BI461" s="950"/>
      <c r="BJ461" s="950"/>
      <c r="BK461" s="950"/>
      <c r="BL461" s="950"/>
      <c r="BM461" s="950"/>
      <c r="BN461" s="950"/>
      <c r="BO461" s="950"/>
      <c r="BP461" s="950"/>
      <c r="BQ461" s="950"/>
      <c r="BR461" s="752"/>
    </row>
    <row r="462" spans="1:70" s="22" customFormat="1" ht="49.5">
      <c r="A462" s="779"/>
      <c r="B462" s="1291"/>
      <c r="C462" s="628">
        <v>1</v>
      </c>
      <c r="D462" s="628" t="s">
        <v>25</v>
      </c>
      <c r="E462" s="628" t="s">
        <v>39</v>
      </c>
      <c r="F462" s="628" t="s">
        <v>28</v>
      </c>
      <c r="G462" s="628">
        <v>24</v>
      </c>
      <c r="H462" s="304">
        <v>10</v>
      </c>
      <c r="I462" s="1291" t="s">
        <v>650</v>
      </c>
      <c r="J462" s="1291" t="s">
        <v>2719</v>
      </c>
      <c r="K462" s="953">
        <v>204</v>
      </c>
      <c r="L462" s="954">
        <v>37424500000</v>
      </c>
      <c r="M462" s="955">
        <f>30+38</f>
        <v>68</v>
      </c>
      <c r="N462" s="1212">
        <v>5731671500</v>
      </c>
      <c r="O462" s="953">
        <v>16</v>
      </c>
      <c r="P462" s="954">
        <v>2942400000</v>
      </c>
      <c r="Q462" s="13">
        <v>0</v>
      </c>
      <c r="R462" s="13">
        <v>0</v>
      </c>
      <c r="S462" s="262">
        <v>5</v>
      </c>
      <c r="T462" s="957">
        <v>269075299</v>
      </c>
      <c r="U462" s="958"/>
      <c r="V462" s="957"/>
      <c r="W462" s="959"/>
      <c r="X462" s="957"/>
      <c r="Y462" s="1604">
        <f t="shared" si="131"/>
        <v>5</v>
      </c>
      <c r="Z462" s="954">
        <f t="shared" si="132"/>
        <v>269075299</v>
      </c>
      <c r="AA462" s="1604">
        <f t="shared" si="133"/>
        <v>73</v>
      </c>
      <c r="AB462" s="960">
        <f t="shared" si="134"/>
        <v>6000746799</v>
      </c>
      <c r="AC462" s="961">
        <f t="shared" si="135"/>
        <v>35.784313725490193</v>
      </c>
      <c r="AD462" s="961">
        <f t="shared" si="136"/>
        <v>16.034273801921202</v>
      </c>
      <c r="AE462" s="1605"/>
      <c r="AF462" s="949"/>
      <c r="AG462" s="949"/>
      <c r="AH462" s="949"/>
      <c r="AI462" s="949"/>
      <c r="AJ462" s="949"/>
      <c r="AK462" s="949"/>
      <c r="AL462" s="949"/>
      <c r="AM462" s="949"/>
      <c r="AN462" s="949"/>
      <c r="AO462" s="949"/>
      <c r="AP462" s="949"/>
      <c r="AQ462" s="949"/>
      <c r="AR462" s="949"/>
      <c r="AS462" s="949"/>
      <c r="AT462" s="949"/>
      <c r="AU462" s="949"/>
      <c r="AV462" s="949"/>
      <c r="AW462" s="949"/>
      <c r="AX462" s="949"/>
      <c r="AY462" s="949"/>
      <c r="AZ462" s="949"/>
      <c r="BA462" s="949"/>
      <c r="BB462" s="949"/>
      <c r="BC462" s="950"/>
      <c r="BD462" s="950"/>
      <c r="BE462" s="950"/>
      <c r="BF462" s="950"/>
      <c r="BG462" s="950"/>
      <c r="BH462" s="950"/>
      <c r="BI462" s="950"/>
      <c r="BJ462" s="950"/>
      <c r="BK462" s="950"/>
      <c r="BL462" s="950"/>
      <c r="BM462" s="950"/>
      <c r="BN462" s="950"/>
      <c r="BO462" s="950"/>
      <c r="BP462" s="950"/>
      <c r="BQ462" s="950"/>
      <c r="BR462" s="752"/>
    </row>
    <row r="463" spans="1:70" s="22" customFormat="1" ht="66">
      <c r="A463" s="779"/>
      <c r="B463" s="1291"/>
      <c r="C463" s="628">
        <v>1</v>
      </c>
      <c r="D463" s="628" t="s">
        <v>25</v>
      </c>
      <c r="E463" s="628" t="s">
        <v>39</v>
      </c>
      <c r="F463" s="628" t="s">
        <v>28</v>
      </c>
      <c r="G463" s="628">
        <v>24</v>
      </c>
      <c r="H463" s="304">
        <v>56</v>
      </c>
      <c r="I463" s="1291" t="s">
        <v>651</v>
      </c>
      <c r="J463" s="1291" t="s">
        <v>652</v>
      </c>
      <c r="K463" s="953">
        <v>9</v>
      </c>
      <c r="L463" s="954">
        <f>2*N463</f>
        <v>212997000</v>
      </c>
      <c r="M463" s="955">
        <f>4+2</f>
        <v>6</v>
      </c>
      <c r="N463" s="956">
        <v>106498500</v>
      </c>
      <c r="O463" s="13">
        <v>0</v>
      </c>
      <c r="P463" s="13">
        <v>0</v>
      </c>
      <c r="Q463" s="13"/>
      <c r="R463" s="13">
        <v>0</v>
      </c>
      <c r="S463" s="262">
        <v>0</v>
      </c>
      <c r="T463" s="957">
        <v>0</v>
      </c>
      <c r="U463" s="958"/>
      <c r="V463" s="957"/>
      <c r="W463" s="959"/>
      <c r="X463" s="957"/>
      <c r="Y463" s="1604">
        <f t="shared" si="131"/>
        <v>0</v>
      </c>
      <c r="Z463" s="954">
        <f t="shared" si="132"/>
        <v>0</v>
      </c>
      <c r="AA463" s="1604">
        <f t="shared" si="133"/>
        <v>6</v>
      </c>
      <c r="AB463" s="960">
        <f t="shared" si="134"/>
        <v>106498500</v>
      </c>
      <c r="AC463" s="961">
        <f t="shared" si="135"/>
        <v>66.666666666666657</v>
      </c>
      <c r="AD463" s="961">
        <f t="shared" si="136"/>
        <v>50</v>
      </c>
      <c r="AE463" s="1605"/>
      <c r="AF463" s="949"/>
      <c r="AG463" s="949"/>
      <c r="AH463" s="949"/>
      <c r="AI463" s="949"/>
      <c r="AJ463" s="949"/>
      <c r="AK463" s="949"/>
      <c r="AL463" s="949"/>
      <c r="AM463" s="949"/>
      <c r="AN463" s="949"/>
      <c r="AO463" s="949"/>
      <c r="AP463" s="949"/>
      <c r="AQ463" s="949"/>
      <c r="AR463" s="949"/>
      <c r="AS463" s="949"/>
      <c r="AT463" s="949"/>
      <c r="AU463" s="949"/>
      <c r="AV463" s="949"/>
      <c r="AW463" s="949"/>
      <c r="AX463" s="949"/>
      <c r="AY463" s="949"/>
      <c r="AZ463" s="949"/>
      <c r="BA463" s="949"/>
      <c r="BB463" s="949"/>
      <c r="BC463" s="950"/>
      <c r="BD463" s="950"/>
      <c r="BE463" s="950"/>
      <c r="BF463" s="950"/>
      <c r="BG463" s="950"/>
      <c r="BH463" s="950"/>
      <c r="BI463" s="950"/>
      <c r="BJ463" s="950"/>
      <c r="BK463" s="950"/>
      <c r="BL463" s="950"/>
      <c r="BM463" s="950"/>
      <c r="BN463" s="950"/>
      <c r="BO463" s="950"/>
      <c r="BP463" s="950"/>
      <c r="BQ463" s="950"/>
      <c r="BR463" s="752"/>
    </row>
    <row r="464" spans="1:70" s="22" customFormat="1" ht="66">
      <c r="A464" s="779"/>
      <c r="B464" s="1291"/>
      <c r="C464" s="628">
        <v>1</v>
      </c>
      <c r="D464" s="628" t="s">
        <v>25</v>
      </c>
      <c r="E464" s="628" t="s">
        <v>39</v>
      </c>
      <c r="F464" s="628" t="s">
        <v>28</v>
      </c>
      <c r="G464" s="628">
        <v>24</v>
      </c>
      <c r="H464" s="304">
        <v>15</v>
      </c>
      <c r="I464" s="1291" t="s">
        <v>653</v>
      </c>
      <c r="J464" s="1291" t="s">
        <v>2720</v>
      </c>
      <c r="K464" s="953">
        <v>5</v>
      </c>
      <c r="L464" s="954">
        <f>3*N464</f>
        <v>2115402300</v>
      </c>
      <c r="M464" s="955">
        <v>1</v>
      </c>
      <c r="N464" s="956">
        <v>705134100</v>
      </c>
      <c r="O464" s="953">
        <v>1</v>
      </c>
      <c r="P464" s="954">
        <v>450000000</v>
      </c>
      <c r="Q464" s="953">
        <v>0</v>
      </c>
      <c r="R464" s="957">
        <v>0</v>
      </c>
      <c r="S464" s="262">
        <v>0</v>
      </c>
      <c r="T464" s="957">
        <v>218045250</v>
      </c>
      <c r="U464" s="958"/>
      <c r="V464" s="957"/>
      <c r="W464" s="959"/>
      <c r="X464" s="957"/>
      <c r="Y464" s="1604">
        <f t="shared" si="131"/>
        <v>0</v>
      </c>
      <c r="Z464" s="954">
        <f t="shared" si="132"/>
        <v>218045250</v>
      </c>
      <c r="AA464" s="1604">
        <f t="shared" si="133"/>
        <v>1</v>
      </c>
      <c r="AB464" s="960">
        <f t="shared" si="134"/>
        <v>923179350</v>
      </c>
      <c r="AC464" s="961">
        <f t="shared" si="135"/>
        <v>20</v>
      </c>
      <c r="AD464" s="961">
        <f t="shared" si="136"/>
        <v>43.640840798934555</v>
      </c>
      <c r="AE464" s="1605"/>
      <c r="AF464" s="949"/>
      <c r="AG464" s="949"/>
      <c r="AH464" s="949"/>
      <c r="AI464" s="949"/>
      <c r="AJ464" s="949"/>
      <c r="AK464" s="949"/>
      <c r="AL464" s="949"/>
      <c r="AM464" s="949"/>
      <c r="AN464" s="949"/>
      <c r="AO464" s="949"/>
      <c r="AP464" s="949"/>
      <c r="AQ464" s="949"/>
      <c r="AR464" s="949"/>
      <c r="AS464" s="949"/>
      <c r="AT464" s="949"/>
      <c r="AU464" s="949"/>
      <c r="AV464" s="949"/>
      <c r="AW464" s="949"/>
      <c r="AX464" s="949"/>
      <c r="AY464" s="949"/>
      <c r="AZ464" s="949"/>
      <c r="BA464" s="949"/>
      <c r="BB464" s="949"/>
      <c r="BC464" s="950"/>
      <c r="BD464" s="950"/>
      <c r="BE464" s="950"/>
      <c r="BF464" s="950"/>
      <c r="BG464" s="950"/>
      <c r="BH464" s="950"/>
      <c r="BI464" s="950"/>
      <c r="BJ464" s="950"/>
      <c r="BK464" s="950"/>
      <c r="BL464" s="950"/>
      <c r="BM464" s="950"/>
      <c r="BN464" s="950"/>
      <c r="BO464" s="950"/>
      <c r="BP464" s="950"/>
      <c r="BQ464" s="950"/>
      <c r="BR464" s="752"/>
    </row>
    <row r="465" spans="1:70" s="22" customFormat="1" ht="66">
      <c r="A465" s="779"/>
      <c r="B465" s="1291"/>
      <c r="C465" s="628">
        <v>1</v>
      </c>
      <c r="D465" s="628" t="s">
        <v>25</v>
      </c>
      <c r="E465" s="628" t="s">
        <v>39</v>
      </c>
      <c r="F465" s="628" t="s">
        <v>28</v>
      </c>
      <c r="G465" s="628">
        <v>24</v>
      </c>
      <c r="H465" s="304">
        <v>18</v>
      </c>
      <c r="I465" s="1291" t="s">
        <v>654</v>
      </c>
      <c r="J465" s="1291" t="s">
        <v>2721</v>
      </c>
      <c r="K465" s="953">
        <v>36</v>
      </c>
      <c r="L465" s="954">
        <f>3*P465</f>
        <v>150750000</v>
      </c>
      <c r="M465" s="955">
        <v>0</v>
      </c>
      <c r="N465" s="956">
        <v>0</v>
      </c>
      <c r="O465" s="13">
        <v>12</v>
      </c>
      <c r="P465" s="954">
        <v>50250000</v>
      </c>
      <c r="Q465" s="953">
        <v>3</v>
      </c>
      <c r="R465" s="957">
        <v>1200000</v>
      </c>
      <c r="S465" s="262">
        <v>3</v>
      </c>
      <c r="T465" s="957">
        <v>8642000</v>
      </c>
      <c r="U465" s="958"/>
      <c r="V465" s="957"/>
      <c r="W465" s="959"/>
      <c r="X465" s="957"/>
      <c r="Y465" s="1604">
        <f t="shared" si="131"/>
        <v>6</v>
      </c>
      <c r="Z465" s="954">
        <f t="shared" si="132"/>
        <v>9842000</v>
      </c>
      <c r="AA465" s="1604">
        <f t="shared" si="133"/>
        <v>6</v>
      </c>
      <c r="AB465" s="960">
        <f t="shared" si="134"/>
        <v>9842000</v>
      </c>
      <c r="AC465" s="961">
        <f t="shared" si="135"/>
        <v>16.666666666666664</v>
      </c>
      <c r="AD465" s="961">
        <f t="shared" si="136"/>
        <v>6.5286898839137644</v>
      </c>
      <c r="AE465" s="1605"/>
      <c r="AF465" s="949"/>
      <c r="AG465" s="949"/>
      <c r="AH465" s="949"/>
      <c r="AI465" s="949"/>
      <c r="AJ465" s="949"/>
      <c r="AK465" s="949"/>
      <c r="AL465" s="949"/>
      <c r="AM465" s="949"/>
      <c r="AN465" s="949"/>
      <c r="AO465" s="949"/>
      <c r="AP465" s="949"/>
      <c r="AQ465" s="949"/>
      <c r="AR465" s="949"/>
      <c r="AS465" s="949"/>
      <c r="AT465" s="949"/>
      <c r="AU465" s="949"/>
      <c r="AV465" s="949"/>
      <c r="AW465" s="949"/>
      <c r="AX465" s="949"/>
      <c r="AY465" s="949"/>
      <c r="AZ465" s="949"/>
      <c r="BA465" s="949"/>
      <c r="BB465" s="949"/>
      <c r="BC465" s="950"/>
      <c r="BD465" s="950"/>
      <c r="BE465" s="950"/>
      <c r="BF465" s="950"/>
      <c r="BG465" s="950"/>
      <c r="BH465" s="950"/>
      <c r="BI465" s="950"/>
      <c r="BJ465" s="950"/>
      <c r="BK465" s="950"/>
      <c r="BL465" s="950"/>
      <c r="BM465" s="950"/>
      <c r="BN465" s="950"/>
      <c r="BO465" s="950"/>
      <c r="BP465" s="950"/>
      <c r="BQ465" s="950"/>
      <c r="BR465" s="752"/>
    </row>
    <row r="466" spans="1:70" s="22" customFormat="1" ht="66">
      <c r="A466" s="779"/>
      <c r="B466" s="1291"/>
      <c r="C466" s="628">
        <v>1</v>
      </c>
      <c r="D466" s="628" t="s">
        <v>25</v>
      </c>
      <c r="E466" s="628" t="s">
        <v>39</v>
      </c>
      <c r="F466" s="628" t="s">
        <v>28</v>
      </c>
      <c r="G466" s="628">
        <v>24</v>
      </c>
      <c r="H466" s="304">
        <v>19</v>
      </c>
      <c r="I466" s="1291" t="s">
        <v>655</v>
      </c>
      <c r="J466" s="1291" t="s">
        <v>2722</v>
      </c>
      <c r="K466" s="953">
        <f>3*M466</f>
        <v>144</v>
      </c>
      <c r="L466" s="954">
        <f>3*N466</f>
        <v>40715501928</v>
      </c>
      <c r="M466" s="955">
        <f>14+34</f>
        <v>48</v>
      </c>
      <c r="N466" s="956">
        <v>13571833976</v>
      </c>
      <c r="O466" s="953">
        <v>9</v>
      </c>
      <c r="P466" s="954">
        <v>6980083000</v>
      </c>
      <c r="Q466" s="953">
        <v>0</v>
      </c>
      <c r="R466" s="957">
        <v>11131750</v>
      </c>
      <c r="S466" s="262">
        <v>0</v>
      </c>
      <c r="T466" s="957">
        <v>1784215408</v>
      </c>
      <c r="U466" s="958"/>
      <c r="V466" s="957"/>
      <c r="W466" s="959"/>
      <c r="X466" s="957"/>
      <c r="Y466" s="1604">
        <f t="shared" si="131"/>
        <v>0</v>
      </c>
      <c r="Z466" s="954">
        <f t="shared" si="132"/>
        <v>1795347158</v>
      </c>
      <c r="AA466" s="1604">
        <f t="shared" si="133"/>
        <v>48</v>
      </c>
      <c r="AB466" s="960">
        <f t="shared" si="134"/>
        <v>15367181134</v>
      </c>
      <c r="AC466" s="961">
        <f t="shared" si="135"/>
        <v>33.333333333333329</v>
      </c>
      <c r="AD466" s="961">
        <f t="shared" si="136"/>
        <v>37.742826211929881</v>
      </c>
      <c r="AE466" s="1605"/>
      <c r="AF466" s="949"/>
      <c r="AG466" s="949"/>
      <c r="AH466" s="949"/>
      <c r="AI466" s="949"/>
      <c r="AJ466" s="949"/>
      <c r="AK466" s="949"/>
      <c r="AL466" s="949"/>
      <c r="AM466" s="949"/>
      <c r="AN466" s="949"/>
      <c r="AO466" s="949"/>
      <c r="AP466" s="949"/>
      <c r="AQ466" s="949"/>
      <c r="AR466" s="949"/>
      <c r="AS466" s="949"/>
      <c r="AT466" s="949"/>
      <c r="AU466" s="949"/>
      <c r="AV466" s="949"/>
      <c r="AW466" s="949"/>
      <c r="AX466" s="949"/>
      <c r="AY466" s="949"/>
      <c r="AZ466" s="949"/>
      <c r="BA466" s="949"/>
      <c r="BB466" s="949"/>
      <c r="BC466" s="950"/>
      <c r="BD466" s="950"/>
      <c r="BE466" s="950"/>
      <c r="BF466" s="950"/>
      <c r="BG466" s="950"/>
      <c r="BH466" s="950"/>
      <c r="BI466" s="950"/>
      <c r="BJ466" s="950"/>
      <c r="BK466" s="950"/>
      <c r="BL466" s="950"/>
      <c r="BM466" s="950"/>
      <c r="BN466" s="950"/>
      <c r="BO466" s="950"/>
      <c r="BP466" s="950"/>
      <c r="BQ466" s="950"/>
      <c r="BR466" s="752"/>
    </row>
    <row r="467" spans="1:70" s="22" customFormat="1" ht="66">
      <c r="A467" s="779"/>
      <c r="B467" s="1291"/>
      <c r="C467" s="628">
        <v>1</v>
      </c>
      <c r="D467" s="628" t="s">
        <v>25</v>
      </c>
      <c r="E467" s="628" t="s">
        <v>39</v>
      </c>
      <c r="F467" s="628" t="s">
        <v>28</v>
      </c>
      <c r="G467" s="628">
        <v>24</v>
      </c>
      <c r="H467" s="304">
        <v>24</v>
      </c>
      <c r="I467" s="1291" t="s">
        <v>656</v>
      </c>
      <c r="J467" s="1291" t="s">
        <v>2723</v>
      </c>
      <c r="K467" s="953">
        <v>36</v>
      </c>
      <c r="L467" s="954">
        <v>30375000</v>
      </c>
      <c r="M467" s="955">
        <v>0</v>
      </c>
      <c r="N467" s="956">
        <v>0</v>
      </c>
      <c r="O467" s="953">
        <v>12</v>
      </c>
      <c r="P467" s="954">
        <v>28480000</v>
      </c>
      <c r="Q467" s="953">
        <v>3</v>
      </c>
      <c r="R467" s="957">
        <v>0</v>
      </c>
      <c r="S467" s="262">
        <v>0</v>
      </c>
      <c r="T467" s="957">
        <v>0</v>
      </c>
      <c r="U467" s="958"/>
      <c r="V467" s="957"/>
      <c r="W467" s="959"/>
      <c r="X467" s="957"/>
      <c r="Y467" s="1604">
        <f t="shared" si="131"/>
        <v>3</v>
      </c>
      <c r="Z467" s="954">
        <f t="shared" si="132"/>
        <v>0</v>
      </c>
      <c r="AA467" s="1604">
        <f t="shared" si="133"/>
        <v>3</v>
      </c>
      <c r="AB467" s="960">
        <f t="shared" si="134"/>
        <v>0</v>
      </c>
      <c r="AC467" s="961">
        <f t="shared" si="135"/>
        <v>8.3333333333333321</v>
      </c>
      <c r="AD467" s="961">
        <f t="shared" si="136"/>
        <v>0</v>
      </c>
      <c r="AE467" s="1605"/>
      <c r="AF467" s="949"/>
      <c r="AG467" s="949"/>
      <c r="AH467" s="949"/>
      <c r="AI467" s="949"/>
      <c r="AJ467" s="949"/>
      <c r="AK467" s="949"/>
      <c r="AL467" s="949"/>
      <c r="AM467" s="949"/>
      <c r="AN467" s="949"/>
      <c r="AO467" s="949"/>
      <c r="AP467" s="949"/>
      <c r="AQ467" s="949"/>
      <c r="AR467" s="949"/>
      <c r="AS467" s="949"/>
      <c r="AT467" s="949"/>
      <c r="AU467" s="949"/>
      <c r="AV467" s="949"/>
      <c r="AW467" s="949"/>
      <c r="AX467" s="949"/>
      <c r="AY467" s="949"/>
      <c r="AZ467" s="949"/>
      <c r="BA467" s="949"/>
      <c r="BB467" s="949"/>
      <c r="BC467" s="950"/>
      <c r="BD467" s="950"/>
      <c r="BE467" s="950"/>
      <c r="BF467" s="950"/>
      <c r="BG467" s="950"/>
      <c r="BH467" s="950"/>
      <c r="BI467" s="950"/>
      <c r="BJ467" s="950"/>
      <c r="BK467" s="950"/>
      <c r="BL467" s="950"/>
      <c r="BM467" s="950"/>
      <c r="BN467" s="950"/>
      <c r="BO467" s="950"/>
      <c r="BP467" s="950"/>
      <c r="BQ467" s="950"/>
      <c r="BR467" s="752"/>
    </row>
    <row r="468" spans="1:70" s="22" customFormat="1" ht="49.5">
      <c r="A468" s="779"/>
      <c r="B468" s="1291"/>
      <c r="C468" s="628">
        <v>1</v>
      </c>
      <c r="D468" s="628" t="s">
        <v>25</v>
      </c>
      <c r="E468" s="628" t="s">
        <v>39</v>
      </c>
      <c r="F468" s="628" t="s">
        <v>28</v>
      </c>
      <c r="G468" s="628">
        <v>24</v>
      </c>
      <c r="H468" s="304">
        <v>25</v>
      </c>
      <c r="I468" s="1291" t="s">
        <v>657</v>
      </c>
      <c r="J468" s="1291" t="s">
        <v>658</v>
      </c>
      <c r="K468" s="953">
        <v>72</v>
      </c>
      <c r="L468" s="954">
        <v>3919200000</v>
      </c>
      <c r="M468" s="955">
        <v>36</v>
      </c>
      <c r="N468" s="956">
        <v>646480000</v>
      </c>
      <c r="O468" s="953">
        <v>12</v>
      </c>
      <c r="P468" s="954">
        <v>624000000</v>
      </c>
      <c r="Q468" s="953">
        <v>3</v>
      </c>
      <c r="R468" s="957">
        <v>0</v>
      </c>
      <c r="S468" s="262">
        <v>3</v>
      </c>
      <c r="T468" s="957">
        <v>175000000</v>
      </c>
      <c r="U468" s="958"/>
      <c r="V468" s="957"/>
      <c r="W468" s="959"/>
      <c r="X468" s="957"/>
      <c r="Y468" s="1604">
        <f t="shared" si="131"/>
        <v>6</v>
      </c>
      <c r="Z468" s="954">
        <f t="shared" si="132"/>
        <v>175000000</v>
      </c>
      <c r="AA468" s="1604">
        <f t="shared" si="133"/>
        <v>42</v>
      </c>
      <c r="AB468" s="960">
        <f t="shared" si="134"/>
        <v>821480000</v>
      </c>
      <c r="AC468" s="961">
        <f t="shared" si="135"/>
        <v>58.333333333333336</v>
      </c>
      <c r="AD468" s="961">
        <f t="shared" si="136"/>
        <v>20.960400081649315</v>
      </c>
      <c r="AE468" s="1605"/>
      <c r="AF468" s="949"/>
      <c r="AG468" s="949"/>
      <c r="AH468" s="949"/>
      <c r="AI468" s="949"/>
      <c r="AJ468" s="949"/>
      <c r="AK468" s="949"/>
      <c r="AL468" s="949"/>
      <c r="AM468" s="949"/>
      <c r="AN468" s="949"/>
      <c r="AO468" s="949"/>
      <c r="AP468" s="949"/>
      <c r="AQ468" s="949"/>
      <c r="AR468" s="949"/>
      <c r="AS468" s="949"/>
      <c r="AT468" s="949"/>
      <c r="AU468" s="949"/>
      <c r="AV468" s="949"/>
      <c r="AW468" s="949"/>
      <c r="AX468" s="949"/>
      <c r="AY468" s="949"/>
      <c r="AZ468" s="949"/>
      <c r="BA468" s="949"/>
      <c r="BB468" s="949"/>
      <c r="BC468" s="950"/>
      <c r="BD468" s="950"/>
      <c r="BE468" s="950"/>
      <c r="BF468" s="950"/>
      <c r="BG468" s="950"/>
      <c r="BH468" s="950"/>
      <c r="BI468" s="950"/>
      <c r="BJ468" s="950"/>
      <c r="BK468" s="950"/>
      <c r="BL468" s="950"/>
      <c r="BM468" s="950"/>
      <c r="BN468" s="950"/>
      <c r="BO468" s="950"/>
      <c r="BP468" s="950"/>
      <c r="BQ468" s="950"/>
      <c r="BR468" s="752"/>
    </row>
    <row r="469" spans="1:70" s="22" customFormat="1" ht="49.5">
      <c r="A469" s="779"/>
      <c r="B469" s="1291"/>
      <c r="C469" s="628">
        <v>1</v>
      </c>
      <c r="D469" s="628" t="s">
        <v>25</v>
      </c>
      <c r="E469" s="628" t="s">
        <v>39</v>
      </c>
      <c r="F469" s="628" t="s">
        <v>28</v>
      </c>
      <c r="G469" s="628">
        <v>24</v>
      </c>
      <c r="H469" s="304">
        <v>27</v>
      </c>
      <c r="I469" s="1291" t="s">
        <v>659</v>
      </c>
      <c r="J469" s="1291" t="s">
        <v>660</v>
      </c>
      <c r="K469" s="953">
        <v>5</v>
      </c>
      <c r="L469" s="954">
        <v>250000000</v>
      </c>
      <c r="M469" s="955">
        <v>1</v>
      </c>
      <c r="N469" s="956">
        <v>42891750</v>
      </c>
      <c r="O469" s="953">
        <v>1</v>
      </c>
      <c r="P469" s="954">
        <v>94450000</v>
      </c>
      <c r="Q469" s="953">
        <v>0</v>
      </c>
      <c r="R469" s="957">
        <v>0</v>
      </c>
      <c r="S469" s="262">
        <v>0</v>
      </c>
      <c r="T469" s="957">
        <v>0</v>
      </c>
      <c r="U469" s="958"/>
      <c r="V469" s="957"/>
      <c r="W469" s="959"/>
      <c r="X469" s="957"/>
      <c r="Y469" s="1604">
        <f t="shared" si="131"/>
        <v>0</v>
      </c>
      <c r="Z469" s="954">
        <f t="shared" si="132"/>
        <v>0</v>
      </c>
      <c r="AA469" s="1604">
        <f t="shared" si="133"/>
        <v>1</v>
      </c>
      <c r="AB469" s="960">
        <f t="shared" si="134"/>
        <v>42891750</v>
      </c>
      <c r="AC469" s="961">
        <f t="shared" si="135"/>
        <v>20</v>
      </c>
      <c r="AD469" s="961">
        <f t="shared" si="136"/>
        <v>17.156700000000001</v>
      </c>
      <c r="AE469" s="1605"/>
      <c r="AF469" s="949"/>
      <c r="AG469" s="949"/>
      <c r="AH469" s="949"/>
      <c r="AI469" s="949"/>
      <c r="AJ469" s="949"/>
      <c r="AK469" s="949"/>
      <c r="AL469" s="949"/>
      <c r="AM469" s="949"/>
      <c r="AN469" s="949"/>
      <c r="AO469" s="949"/>
      <c r="AP469" s="949"/>
      <c r="AQ469" s="949"/>
      <c r="AR469" s="949"/>
      <c r="AS469" s="949"/>
      <c r="AT469" s="949"/>
      <c r="AU469" s="949"/>
      <c r="AV469" s="949"/>
      <c r="AW469" s="949"/>
      <c r="AX469" s="949"/>
      <c r="AY469" s="949"/>
      <c r="AZ469" s="949"/>
      <c r="BA469" s="949"/>
      <c r="BB469" s="949"/>
      <c r="BC469" s="950"/>
      <c r="BD469" s="950"/>
      <c r="BE469" s="950"/>
      <c r="BF469" s="950"/>
      <c r="BG469" s="950"/>
      <c r="BH469" s="950"/>
      <c r="BI469" s="950"/>
      <c r="BJ469" s="950"/>
      <c r="BK469" s="950"/>
      <c r="BL469" s="950"/>
      <c r="BM469" s="950"/>
      <c r="BN469" s="950"/>
      <c r="BO469" s="950"/>
      <c r="BP469" s="950"/>
      <c r="BQ469" s="950"/>
      <c r="BR469" s="752"/>
    </row>
    <row r="470" spans="1:70" s="22" customFormat="1" ht="66">
      <c r="A470" s="779"/>
      <c r="B470" s="1291"/>
      <c r="C470" s="628">
        <v>1</v>
      </c>
      <c r="D470" s="628" t="s">
        <v>25</v>
      </c>
      <c r="E470" s="628" t="s">
        <v>39</v>
      </c>
      <c r="F470" s="628" t="s">
        <v>28</v>
      </c>
      <c r="G470" s="628">
        <v>24</v>
      </c>
      <c r="H470" s="304">
        <v>29</v>
      </c>
      <c r="I470" s="1291" t="s">
        <v>661</v>
      </c>
      <c r="J470" s="1291" t="s">
        <v>2724</v>
      </c>
      <c r="K470" s="953">
        <f>3*O470</f>
        <v>168</v>
      </c>
      <c r="L470" s="954">
        <f>3*P470</f>
        <v>31294425000</v>
      </c>
      <c r="M470" s="955">
        <v>0</v>
      </c>
      <c r="N470" s="956">
        <v>0</v>
      </c>
      <c r="O470" s="953">
        <v>56</v>
      </c>
      <c r="P470" s="954">
        <v>10431475000</v>
      </c>
      <c r="Q470" s="953">
        <v>0</v>
      </c>
      <c r="R470" s="957">
        <v>50890812</v>
      </c>
      <c r="S470" s="262">
        <v>1</v>
      </c>
      <c r="T470" s="957">
        <v>28691305</v>
      </c>
      <c r="U470" s="958"/>
      <c r="V470" s="957"/>
      <c r="W470" s="959"/>
      <c r="X470" s="957"/>
      <c r="Y470" s="1604">
        <f t="shared" si="131"/>
        <v>1</v>
      </c>
      <c r="Z470" s="954">
        <f t="shared" si="132"/>
        <v>79582117</v>
      </c>
      <c r="AA470" s="1604">
        <f t="shared" si="133"/>
        <v>1</v>
      </c>
      <c r="AB470" s="960">
        <f t="shared" si="134"/>
        <v>79582117</v>
      </c>
      <c r="AC470" s="961">
        <f t="shared" si="135"/>
        <v>0.59523809523809523</v>
      </c>
      <c r="AD470" s="961">
        <f t="shared" si="136"/>
        <v>0.254301259729169</v>
      </c>
      <c r="AE470" s="1605"/>
      <c r="AF470" s="949"/>
      <c r="AG470" s="949"/>
      <c r="AH470" s="949"/>
      <c r="AI470" s="949"/>
      <c r="AJ470" s="949"/>
      <c r="AK470" s="949"/>
      <c r="AL470" s="949"/>
      <c r="AM470" s="949"/>
      <c r="AN470" s="949"/>
      <c r="AO470" s="949"/>
      <c r="AP470" s="949"/>
      <c r="AQ470" s="949"/>
      <c r="AR470" s="949"/>
      <c r="AS470" s="949"/>
      <c r="AT470" s="949"/>
      <c r="AU470" s="949"/>
      <c r="AV470" s="949"/>
      <c r="AW470" s="949"/>
      <c r="AX470" s="949"/>
      <c r="AY470" s="949"/>
      <c r="AZ470" s="949"/>
      <c r="BA470" s="949"/>
      <c r="BB470" s="949"/>
      <c r="BC470" s="950"/>
      <c r="BD470" s="950"/>
      <c r="BE470" s="950"/>
      <c r="BF470" s="950"/>
      <c r="BG470" s="950"/>
      <c r="BH470" s="950"/>
      <c r="BI470" s="950"/>
      <c r="BJ470" s="950"/>
      <c r="BK470" s="950"/>
      <c r="BL470" s="950"/>
      <c r="BM470" s="950"/>
      <c r="BN470" s="950"/>
      <c r="BO470" s="950"/>
      <c r="BP470" s="950"/>
      <c r="BQ470" s="950"/>
      <c r="BR470" s="752"/>
    </row>
    <row r="471" spans="1:70" s="22" customFormat="1" ht="132">
      <c r="A471" s="779"/>
      <c r="B471" s="1291"/>
      <c r="C471" s="628">
        <v>1</v>
      </c>
      <c r="D471" s="628" t="s">
        <v>25</v>
      </c>
      <c r="E471" s="628" t="s">
        <v>39</v>
      </c>
      <c r="F471" s="628" t="s">
        <v>28</v>
      </c>
      <c r="G471" s="628">
        <v>24</v>
      </c>
      <c r="H471" s="304">
        <v>80</v>
      </c>
      <c r="I471" s="1291" t="s">
        <v>662</v>
      </c>
      <c r="J471" s="1291" t="s">
        <v>2725</v>
      </c>
      <c r="K471" s="953">
        <v>1</v>
      </c>
      <c r="L471" s="954">
        <v>175000000</v>
      </c>
      <c r="M471" s="955">
        <v>0</v>
      </c>
      <c r="N471" s="956">
        <v>0</v>
      </c>
      <c r="O471" s="953"/>
      <c r="P471" s="954"/>
      <c r="Q471" s="953"/>
      <c r="R471" s="957">
        <v>0</v>
      </c>
      <c r="S471" s="262">
        <v>0</v>
      </c>
      <c r="T471" s="957">
        <v>0</v>
      </c>
      <c r="U471" s="958"/>
      <c r="V471" s="957"/>
      <c r="W471" s="959"/>
      <c r="X471" s="957"/>
      <c r="Y471" s="1604">
        <f t="shared" si="131"/>
        <v>0</v>
      </c>
      <c r="Z471" s="954">
        <f t="shared" si="132"/>
        <v>0</v>
      </c>
      <c r="AA471" s="1604">
        <f t="shared" si="133"/>
        <v>0</v>
      </c>
      <c r="AB471" s="960">
        <f t="shared" si="134"/>
        <v>0</v>
      </c>
      <c r="AC471" s="961">
        <f t="shared" si="135"/>
        <v>0</v>
      </c>
      <c r="AD471" s="961">
        <f t="shared" si="136"/>
        <v>0</v>
      </c>
      <c r="AE471" s="1605"/>
      <c r="AF471" s="949"/>
      <c r="AG471" s="949"/>
      <c r="AH471" s="949"/>
      <c r="AI471" s="949"/>
      <c r="AJ471" s="949"/>
      <c r="AK471" s="949"/>
      <c r="AL471" s="949"/>
      <c r="AM471" s="949"/>
      <c r="AN471" s="949"/>
      <c r="AO471" s="949"/>
      <c r="AP471" s="949"/>
      <c r="AQ471" s="949"/>
      <c r="AR471" s="949"/>
      <c r="AS471" s="949"/>
      <c r="AT471" s="949"/>
      <c r="AU471" s="949"/>
      <c r="AV471" s="949"/>
      <c r="AW471" s="949"/>
      <c r="AX471" s="949"/>
      <c r="AY471" s="949"/>
      <c r="AZ471" s="949"/>
      <c r="BA471" s="949"/>
      <c r="BB471" s="949"/>
      <c r="BC471" s="950"/>
      <c r="BD471" s="950"/>
      <c r="BE471" s="950"/>
      <c r="BF471" s="950"/>
      <c r="BG471" s="950"/>
      <c r="BH471" s="950"/>
      <c r="BI471" s="950"/>
      <c r="BJ471" s="950"/>
      <c r="BK471" s="950"/>
      <c r="BL471" s="950"/>
      <c r="BM471" s="950"/>
      <c r="BN471" s="950"/>
      <c r="BO471" s="950"/>
      <c r="BP471" s="950"/>
      <c r="BQ471" s="950"/>
      <c r="BR471" s="752"/>
    </row>
    <row r="472" spans="1:70" s="16" customFormat="1" ht="66">
      <c r="A472" s="2558">
        <f>+A459+1</f>
        <v>7</v>
      </c>
      <c r="B472" s="629"/>
      <c r="C472" s="303">
        <v>1</v>
      </c>
      <c r="D472" s="303" t="s">
        <v>25</v>
      </c>
      <c r="E472" s="303" t="s">
        <v>39</v>
      </c>
      <c r="F472" s="303" t="s">
        <v>28</v>
      </c>
      <c r="G472" s="303">
        <v>26</v>
      </c>
      <c r="H472" s="989"/>
      <c r="I472" s="629" t="s">
        <v>663</v>
      </c>
      <c r="J472" s="629" t="s">
        <v>2726</v>
      </c>
      <c r="K472" s="1599">
        <v>75</v>
      </c>
      <c r="L472" s="801">
        <f>SUM(L473:L477)</f>
        <v>1934074000</v>
      </c>
      <c r="M472" s="1599">
        <v>30</v>
      </c>
      <c r="N472" s="801">
        <f>SUM(N473:N477)</f>
        <v>68328500</v>
      </c>
      <c r="O472" s="1599">
        <v>10</v>
      </c>
      <c r="P472" s="801">
        <f>SUM(P473:P477)</f>
        <v>541179000</v>
      </c>
      <c r="Q472" s="1599">
        <f>SUM(Q476:Q482)</f>
        <v>0</v>
      </c>
      <c r="R472" s="801">
        <f>SUM(R473:R477)</f>
        <v>11472750</v>
      </c>
      <c r="S472" s="1611" t="s">
        <v>40</v>
      </c>
      <c r="T472" s="801">
        <f>SUM(T473:T477)</f>
        <v>42068500</v>
      </c>
      <c r="U472" s="1600"/>
      <c r="V472" s="801">
        <f>SUM(V473:V477)</f>
        <v>0</v>
      </c>
      <c r="W472" s="821"/>
      <c r="X472" s="801">
        <f>SUM(X473:X477)</f>
        <v>0</v>
      </c>
      <c r="Y472" s="1603">
        <f t="shared" si="131"/>
        <v>0</v>
      </c>
      <c r="Z472" s="801">
        <f t="shared" si="132"/>
        <v>53541250</v>
      </c>
      <c r="AA472" s="1603">
        <f t="shared" si="133"/>
        <v>30</v>
      </c>
      <c r="AB472" s="1601">
        <f t="shared" si="134"/>
        <v>121869750</v>
      </c>
      <c r="AC472" s="821">
        <f t="shared" si="135"/>
        <v>40</v>
      </c>
      <c r="AD472" s="821">
        <f t="shared" si="136"/>
        <v>6.3011937495669761</v>
      </c>
      <c r="AE472" s="1602" t="s">
        <v>645</v>
      </c>
      <c r="AF472" s="951"/>
      <c r="AG472" s="951"/>
      <c r="AH472" s="951"/>
      <c r="AI472" s="951"/>
      <c r="AJ472" s="951"/>
      <c r="AK472" s="951"/>
      <c r="AL472" s="951"/>
      <c r="AM472" s="951"/>
      <c r="AN472" s="951"/>
      <c r="AO472" s="951"/>
      <c r="AP472" s="951"/>
      <c r="AQ472" s="951"/>
      <c r="AR472" s="951"/>
      <c r="AS472" s="951"/>
      <c r="AT472" s="951"/>
      <c r="AU472" s="951"/>
      <c r="AV472" s="951"/>
      <c r="AW472" s="951"/>
      <c r="AX472" s="951"/>
      <c r="AY472" s="951"/>
      <c r="AZ472" s="951"/>
      <c r="BA472" s="951"/>
      <c r="BB472" s="951"/>
      <c r="BC472" s="952"/>
      <c r="BD472" s="952"/>
      <c r="BE472" s="952"/>
      <c r="BF472" s="952"/>
      <c r="BG472" s="952"/>
      <c r="BH472" s="952"/>
      <c r="BI472" s="952"/>
      <c r="BJ472" s="952"/>
      <c r="BK472" s="952"/>
      <c r="BL472" s="952"/>
      <c r="BM472" s="952"/>
      <c r="BN472" s="952"/>
      <c r="BO472" s="952"/>
      <c r="BP472" s="952"/>
      <c r="BQ472" s="952"/>
      <c r="BR472" s="20"/>
    </row>
    <row r="473" spans="1:70" s="22" customFormat="1" ht="115.5">
      <c r="A473" s="779"/>
      <c r="B473" s="1291"/>
      <c r="C473" s="628">
        <v>1</v>
      </c>
      <c r="D473" s="628" t="s">
        <v>25</v>
      </c>
      <c r="E473" s="628" t="s">
        <v>39</v>
      </c>
      <c r="F473" s="628" t="s">
        <v>28</v>
      </c>
      <c r="G473" s="628">
        <v>26</v>
      </c>
      <c r="H473" s="304" t="s">
        <v>29</v>
      </c>
      <c r="I473" s="1291" t="s">
        <v>664</v>
      </c>
      <c r="J473" s="1291" t="s">
        <v>2727</v>
      </c>
      <c r="K473" s="13">
        <v>24</v>
      </c>
      <c r="L473" s="954">
        <v>260213000</v>
      </c>
      <c r="M473" s="619">
        <v>8</v>
      </c>
      <c r="N473" s="956">
        <v>31688000</v>
      </c>
      <c r="O473" s="13">
        <v>4</v>
      </c>
      <c r="P473" s="954">
        <v>35252000</v>
      </c>
      <c r="Q473" s="13">
        <v>1</v>
      </c>
      <c r="R473" s="957">
        <v>2874750</v>
      </c>
      <c r="S473" s="262"/>
      <c r="T473" s="957">
        <v>4206750</v>
      </c>
      <c r="U473" s="958"/>
      <c r="V473" s="957"/>
      <c r="W473" s="959"/>
      <c r="X473" s="957"/>
      <c r="Y473" s="1604">
        <f t="shared" si="131"/>
        <v>1</v>
      </c>
      <c r="Z473" s="954">
        <f t="shared" si="132"/>
        <v>7081500</v>
      </c>
      <c r="AA473" s="1604">
        <f t="shared" si="133"/>
        <v>9</v>
      </c>
      <c r="AB473" s="960">
        <f t="shared" si="134"/>
        <v>38769500</v>
      </c>
      <c r="AC473" s="961">
        <f t="shared" si="135"/>
        <v>37.5</v>
      </c>
      <c r="AD473" s="961">
        <f t="shared" si="136"/>
        <v>14.8991403196612</v>
      </c>
      <c r="AE473" s="1605"/>
      <c r="AF473" s="949"/>
      <c r="AG473" s="949"/>
      <c r="AH473" s="949"/>
      <c r="AI473" s="949"/>
      <c r="AJ473" s="949"/>
      <c r="AK473" s="949"/>
      <c r="AL473" s="949"/>
      <c r="AM473" s="949"/>
      <c r="AN473" s="949"/>
      <c r="AO473" s="949"/>
      <c r="AP473" s="949"/>
      <c r="AQ473" s="949"/>
      <c r="AR473" s="949"/>
      <c r="AS473" s="949"/>
      <c r="AT473" s="949"/>
      <c r="AU473" s="949"/>
      <c r="AV473" s="949"/>
      <c r="AW473" s="949"/>
      <c r="AX473" s="949"/>
      <c r="AY473" s="949"/>
      <c r="AZ473" s="949"/>
      <c r="BA473" s="949"/>
      <c r="BB473" s="949"/>
      <c r="BC473" s="950"/>
      <c r="BD473" s="950"/>
      <c r="BE473" s="950"/>
      <c r="BF473" s="950"/>
      <c r="BG473" s="950"/>
      <c r="BH473" s="950"/>
      <c r="BI473" s="950"/>
      <c r="BJ473" s="950"/>
      <c r="BK473" s="950"/>
      <c r="BL473" s="950"/>
      <c r="BM473" s="950"/>
      <c r="BN473" s="950"/>
      <c r="BO473" s="950"/>
      <c r="BP473" s="950"/>
      <c r="BQ473" s="950"/>
      <c r="BR473" s="752"/>
    </row>
    <row r="474" spans="1:70" s="22" customFormat="1" ht="99">
      <c r="A474" s="779"/>
      <c r="B474" s="1291"/>
      <c r="C474" s="628">
        <v>1</v>
      </c>
      <c r="D474" s="628" t="s">
        <v>25</v>
      </c>
      <c r="E474" s="628" t="s">
        <v>39</v>
      </c>
      <c r="F474" s="628" t="s">
        <v>28</v>
      </c>
      <c r="G474" s="628">
        <v>26</v>
      </c>
      <c r="H474" s="304" t="s">
        <v>30</v>
      </c>
      <c r="I474" s="1291" t="s">
        <v>665</v>
      </c>
      <c r="J474" s="1291" t="s">
        <v>666</v>
      </c>
      <c r="K474" s="953">
        <v>4</v>
      </c>
      <c r="L474" s="954">
        <v>470000000</v>
      </c>
      <c r="M474" s="955">
        <v>0</v>
      </c>
      <c r="N474" s="956">
        <v>0</v>
      </c>
      <c r="O474" s="953">
        <v>1</v>
      </c>
      <c r="P474" s="954">
        <v>81250000</v>
      </c>
      <c r="Q474" s="953">
        <v>0</v>
      </c>
      <c r="R474" s="957">
        <v>1021250</v>
      </c>
      <c r="S474" s="262"/>
      <c r="T474" s="957">
        <v>4250000</v>
      </c>
      <c r="U474" s="958"/>
      <c r="V474" s="957"/>
      <c r="W474" s="959"/>
      <c r="X474" s="957"/>
      <c r="Y474" s="1604">
        <f t="shared" si="131"/>
        <v>0</v>
      </c>
      <c r="Z474" s="954">
        <f t="shared" si="132"/>
        <v>5271250</v>
      </c>
      <c r="AA474" s="1604">
        <f t="shared" si="133"/>
        <v>0</v>
      </c>
      <c r="AB474" s="960">
        <f t="shared" si="134"/>
        <v>5271250</v>
      </c>
      <c r="AC474" s="961">
        <f t="shared" si="135"/>
        <v>0</v>
      </c>
      <c r="AD474" s="961">
        <f t="shared" si="136"/>
        <v>1.1215425531914893</v>
      </c>
      <c r="AE474" s="1605"/>
      <c r="AF474" s="949"/>
      <c r="AG474" s="949"/>
      <c r="AH474" s="949"/>
      <c r="AI474" s="949"/>
      <c r="AJ474" s="949"/>
      <c r="AK474" s="949"/>
      <c r="AL474" s="949"/>
      <c r="AM474" s="949"/>
      <c r="AN474" s="949"/>
      <c r="AO474" s="949"/>
      <c r="AP474" s="949"/>
      <c r="AQ474" s="949"/>
      <c r="AR474" s="949"/>
      <c r="AS474" s="949"/>
      <c r="AT474" s="949"/>
      <c r="AU474" s="949"/>
      <c r="AV474" s="949"/>
      <c r="AW474" s="949"/>
      <c r="AX474" s="949"/>
      <c r="AY474" s="949"/>
      <c r="AZ474" s="949"/>
      <c r="BA474" s="949"/>
      <c r="BB474" s="949"/>
      <c r="BC474" s="950"/>
      <c r="BD474" s="950"/>
      <c r="BE474" s="950"/>
      <c r="BF474" s="950"/>
      <c r="BG474" s="950"/>
      <c r="BH474" s="950"/>
      <c r="BI474" s="950"/>
      <c r="BJ474" s="950"/>
      <c r="BK474" s="950"/>
      <c r="BL474" s="950"/>
      <c r="BM474" s="950"/>
      <c r="BN474" s="950"/>
      <c r="BO474" s="950"/>
      <c r="BP474" s="950"/>
      <c r="BQ474" s="950"/>
      <c r="BR474" s="752"/>
    </row>
    <row r="475" spans="1:70" s="22" customFormat="1" ht="82.5">
      <c r="A475" s="779"/>
      <c r="B475" s="1291"/>
      <c r="C475" s="628">
        <v>1</v>
      </c>
      <c r="D475" s="628" t="s">
        <v>25</v>
      </c>
      <c r="E475" s="628" t="s">
        <v>39</v>
      </c>
      <c r="F475" s="628" t="s">
        <v>28</v>
      </c>
      <c r="G475" s="628">
        <v>26</v>
      </c>
      <c r="H475" s="304" t="s">
        <v>43</v>
      </c>
      <c r="I475" s="1291" t="s">
        <v>667</v>
      </c>
      <c r="J475" s="1291" t="s">
        <v>668</v>
      </c>
      <c r="K475" s="953">
        <v>4</v>
      </c>
      <c r="L475" s="954">
        <f>3*P475</f>
        <v>331611000</v>
      </c>
      <c r="M475" s="955">
        <f>1</f>
        <v>1</v>
      </c>
      <c r="N475" s="956">
        <v>36640500</v>
      </c>
      <c r="O475" s="953">
        <v>1</v>
      </c>
      <c r="P475" s="954">
        <v>110537000</v>
      </c>
      <c r="Q475" s="953">
        <v>0</v>
      </c>
      <c r="R475" s="957">
        <v>4249750</v>
      </c>
      <c r="S475" s="262"/>
      <c r="T475" s="957">
        <v>9861750</v>
      </c>
      <c r="U475" s="958"/>
      <c r="V475" s="957"/>
      <c r="W475" s="959"/>
      <c r="X475" s="957"/>
      <c r="Y475" s="1604">
        <f t="shared" si="131"/>
        <v>0</v>
      </c>
      <c r="Z475" s="954">
        <f t="shared" si="132"/>
        <v>14111500</v>
      </c>
      <c r="AA475" s="1604">
        <f t="shared" si="133"/>
        <v>1</v>
      </c>
      <c r="AB475" s="960">
        <f t="shared" si="134"/>
        <v>50752000</v>
      </c>
      <c r="AC475" s="961">
        <f t="shared" si="135"/>
        <v>25</v>
      </c>
      <c r="AD475" s="961">
        <f t="shared" si="136"/>
        <v>15.304679277828539</v>
      </c>
      <c r="AE475" s="1605"/>
      <c r="AF475" s="949"/>
      <c r="AG475" s="949"/>
      <c r="AH475" s="949"/>
      <c r="AI475" s="949"/>
      <c r="AJ475" s="949"/>
      <c r="AK475" s="949"/>
      <c r="AL475" s="949"/>
      <c r="AM475" s="949"/>
      <c r="AN475" s="949"/>
      <c r="AO475" s="949"/>
      <c r="AP475" s="949"/>
      <c r="AQ475" s="949"/>
      <c r="AR475" s="949"/>
      <c r="AS475" s="949"/>
      <c r="AT475" s="949"/>
      <c r="AU475" s="949"/>
      <c r="AV475" s="949"/>
      <c r="AW475" s="949"/>
      <c r="AX475" s="949"/>
      <c r="AY475" s="949"/>
      <c r="AZ475" s="949"/>
      <c r="BA475" s="949"/>
      <c r="BB475" s="949"/>
      <c r="BC475" s="950"/>
      <c r="BD475" s="950"/>
      <c r="BE475" s="950"/>
      <c r="BF475" s="950"/>
      <c r="BG475" s="950"/>
      <c r="BH475" s="950"/>
      <c r="BI475" s="950"/>
      <c r="BJ475" s="950"/>
      <c r="BK475" s="950"/>
      <c r="BL475" s="950"/>
      <c r="BM475" s="950"/>
      <c r="BN475" s="950"/>
      <c r="BO475" s="950"/>
      <c r="BP475" s="950"/>
      <c r="BQ475" s="950"/>
      <c r="BR475" s="752"/>
    </row>
    <row r="476" spans="1:70" s="22" customFormat="1" ht="49.5">
      <c r="A476" s="779"/>
      <c r="B476" s="1291"/>
      <c r="C476" s="628">
        <v>1</v>
      </c>
      <c r="D476" s="628" t="s">
        <v>25</v>
      </c>
      <c r="E476" s="628" t="s">
        <v>39</v>
      </c>
      <c r="F476" s="628" t="s">
        <v>28</v>
      </c>
      <c r="G476" s="628">
        <v>26</v>
      </c>
      <c r="H476" s="304">
        <v>10</v>
      </c>
      <c r="I476" s="1291" t="s">
        <v>669</v>
      </c>
      <c r="J476" s="1291" t="s">
        <v>670</v>
      </c>
      <c r="K476" s="953">
        <v>3</v>
      </c>
      <c r="L476" s="954">
        <f>3*P476</f>
        <v>197250000</v>
      </c>
      <c r="M476" s="955">
        <v>0</v>
      </c>
      <c r="N476" s="956">
        <v>0</v>
      </c>
      <c r="O476" s="953">
        <v>1</v>
      </c>
      <c r="P476" s="954">
        <v>65750000</v>
      </c>
      <c r="Q476" s="953"/>
      <c r="R476" s="957">
        <v>0</v>
      </c>
      <c r="S476" s="262"/>
      <c r="T476" s="957">
        <v>0</v>
      </c>
      <c r="U476" s="958"/>
      <c r="V476" s="957"/>
      <c r="W476" s="959"/>
      <c r="X476" s="957"/>
      <c r="Y476" s="1604">
        <f t="shared" si="131"/>
        <v>0</v>
      </c>
      <c r="Z476" s="954">
        <f t="shared" si="132"/>
        <v>0</v>
      </c>
      <c r="AA476" s="1604">
        <f t="shared" si="133"/>
        <v>0</v>
      </c>
      <c r="AB476" s="960">
        <f t="shared" si="134"/>
        <v>0</v>
      </c>
      <c r="AC476" s="961">
        <f t="shared" si="135"/>
        <v>0</v>
      </c>
      <c r="AD476" s="961">
        <f t="shared" si="136"/>
        <v>0</v>
      </c>
      <c r="AE476" s="1605"/>
      <c r="AF476" s="949"/>
      <c r="AG476" s="949"/>
      <c r="AH476" s="949"/>
      <c r="AI476" s="949"/>
      <c r="AJ476" s="949"/>
      <c r="AK476" s="949"/>
      <c r="AL476" s="949"/>
      <c r="AM476" s="949"/>
      <c r="AN476" s="949"/>
      <c r="AO476" s="949"/>
      <c r="AP476" s="949"/>
      <c r="AQ476" s="949"/>
      <c r="AR476" s="949"/>
      <c r="AS476" s="949"/>
      <c r="AT476" s="949"/>
      <c r="AU476" s="949"/>
      <c r="AV476" s="949"/>
      <c r="AW476" s="949"/>
      <c r="AX476" s="949"/>
      <c r="AY476" s="949"/>
      <c r="AZ476" s="949"/>
      <c r="BA476" s="949"/>
      <c r="BB476" s="949"/>
      <c r="BC476" s="950"/>
      <c r="BD476" s="950"/>
      <c r="BE476" s="950"/>
      <c r="BF476" s="950"/>
      <c r="BG476" s="950"/>
      <c r="BH476" s="950"/>
      <c r="BI476" s="950"/>
      <c r="BJ476" s="950"/>
      <c r="BK476" s="950"/>
      <c r="BL476" s="950"/>
      <c r="BM476" s="950"/>
      <c r="BN476" s="950"/>
      <c r="BO476" s="950"/>
      <c r="BP476" s="950"/>
      <c r="BQ476" s="950"/>
      <c r="BR476" s="752"/>
    </row>
    <row r="477" spans="1:70" s="22" customFormat="1" ht="33">
      <c r="A477" s="779"/>
      <c r="B477" s="1291"/>
      <c r="C477" s="628">
        <v>1</v>
      </c>
      <c r="D477" s="628" t="s">
        <v>25</v>
      </c>
      <c r="E477" s="628" t="s">
        <v>39</v>
      </c>
      <c r="F477" s="628" t="s">
        <v>28</v>
      </c>
      <c r="G477" s="628">
        <v>26</v>
      </c>
      <c r="H477" s="304" t="s">
        <v>43</v>
      </c>
      <c r="I477" s="1291" t="s">
        <v>671</v>
      </c>
      <c r="J477" s="1291" t="s">
        <v>672</v>
      </c>
      <c r="K477" s="953">
        <v>10</v>
      </c>
      <c r="L477" s="954">
        <v>675000000</v>
      </c>
      <c r="M477" s="955">
        <f>1</f>
        <v>1</v>
      </c>
      <c r="N477" s="956">
        <v>0</v>
      </c>
      <c r="O477" s="953">
        <v>3</v>
      </c>
      <c r="P477" s="954">
        <v>248390000</v>
      </c>
      <c r="Q477" s="953">
        <v>0</v>
      </c>
      <c r="R477" s="957">
        <v>3327000</v>
      </c>
      <c r="S477" s="262"/>
      <c r="T477" s="957">
        <v>23750000</v>
      </c>
      <c r="U477" s="958"/>
      <c r="V477" s="957"/>
      <c r="W477" s="959"/>
      <c r="X477" s="957"/>
      <c r="Y477" s="1604">
        <f t="shared" si="131"/>
        <v>0</v>
      </c>
      <c r="Z477" s="954">
        <f t="shared" si="132"/>
        <v>27077000</v>
      </c>
      <c r="AA477" s="1604">
        <f t="shared" si="133"/>
        <v>1</v>
      </c>
      <c r="AB477" s="960">
        <f t="shared" si="134"/>
        <v>27077000</v>
      </c>
      <c r="AC477" s="961">
        <f t="shared" si="135"/>
        <v>10</v>
      </c>
      <c r="AD477" s="961">
        <f t="shared" si="136"/>
        <v>4.0114074074074075</v>
      </c>
      <c r="AE477" s="1605"/>
      <c r="AF477" s="949"/>
      <c r="AG477" s="949"/>
      <c r="AH477" s="949"/>
      <c r="AI477" s="949"/>
      <c r="AJ477" s="949"/>
      <c r="AK477" s="949"/>
      <c r="AL477" s="949"/>
      <c r="AM477" s="949"/>
      <c r="AN477" s="949"/>
      <c r="AO477" s="949"/>
      <c r="AP477" s="949"/>
      <c r="AQ477" s="949"/>
      <c r="AR477" s="949"/>
      <c r="AS477" s="949"/>
      <c r="AT477" s="949"/>
      <c r="AU477" s="949"/>
      <c r="AV477" s="949"/>
      <c r="AW477" s="949"/>
      <c r="AX477" s="949"/>
      <c r="AY477" s="949"/>
      <c r="AZ477" s="949"/>
      <c r="BA477" s="949"/>
      <c r="BB477" s="949"/>
      <c r="BC477" s="950"/>
      <c r="BD477" s="950"/>
      <c r="BE477" s="950"/>
      <c r="BF477" s="950"/>
      <c r="BG477" s="950"/>
      <c r="BH477" s="950"/>
      <c r="BI477" s="950"/>
      <c r="BJ477" s="950"/>
      <c r="BK477" s="950"/>
      <c r="BL477" s="950"/>
      <c r="BM477" s="950"/>
      <c r="BN477" s="950"/>
      <c r="BO477" s="950"/>
      <c r="BP477" s="950"/>
      <c r="BQ477" s="950"/>
      <c r="BR477" s="752"/>
    </row>
    <row r="478" spans="1:70" s="16" customFormat="1" ht="82.5">
      <c r="A478" s="2558">
        <f>+A472+1</f>
        <v>8</v>
      </c>
      <c r="B478" s="629"/>
      <c r="C478" s="303">
        <v>1</v>
      </c>
      <c r="D478" s="303" t="s">
        <v>25</v>
      </c>
      <c r="E478" s="303" t="s">
        <v>39</v>
      </c>
      <c r="F478" s="303" t="s">
        <v>28</v>
      </c>
      <c r="G478" s="303">
        <v>28</v>
      </c>
      <c r="H478" s="989"/>
      <c r="I478" s="629" t="s">
        <v>673</v>
      </c>
      <c r="J478" s="629" t="s">
        <v>2728</v>
      </c>
      <c r="K478" s="1599">
        <v>15.29</v>
      </c>
      <c r="L478" s="801">
        <f>SUM(L479:L485)</f>
        <v>28356915950</v>
      </c>
      <c r="M478" s="1599">
        <v>10.01</v>
      </c>
      <c r="N478" s="801">
        <f>SUM(N479:N485)</f>
        <v>12571396150</v>
      </c>
      <c r="O478" s="801">
        <v>2</v>
      </c>
      <c r="P478" s="801">
        <f>SUM(P479:P485)</f>
        <v>2920000000</v>
      </c>
      <c r="Q478" s="801">
        <v>0</v>
      </c>
      <c r="R478" s="801">
        <f>SUM(R479:R485)</f>
        <v>146329850</v>
      </c>
      <c r="S478" s="543">
        <f t="shared" ref="S478:U478" si="137">SUM(S479:S484)</f>
        <v>0</v>
      </c>
      <c r="T478" s="801">
        <f>SUM(T479:T485)</f>
        <v>651053575</v>
      </c>
      <c r="U478" s="1600">
        <f t="shared" si="137"/>
        <v>0</v>
      </c>
      <c r="V478" s="801">
        <f>SUM(V479:V485)</f>
        <v>0</v>
      </c>
      <c r="W478" s="821"/>
      <c r="X478" s="801">
        <f>SUM(X479:X485)</f>
        <v>0</v>
      </c>
      <c r="Y478" s="1603">
        <f t="shared" si="131"/>
        <v>0</v>
      </c>
      <c r="Z478" s="801">
        <f t="shared" si="132"/>
        <v>797383425</v>
      </c>
      <c r="AA478" s="1603">
        <f t="shared" si="133"/>
        <v>10.01</v>
      </c>
      <c r="AB478" s="801">
        <f t="shared" si="134"/>
        <v>13368779575</v>
      </c>
      <c r="AC478" s="821">
        <f t="shared" si="135"/>
        <v>65.467625899280577</v>
      </c>
      <c r="AD478" s="821">
        <f t="shared" si="136"/>
        <v>47.144688084460043</v>
      </c>
      <c r="AE478" s="1602" t="s">
        <v>645</v>
      </c>
      <c r="AF478" s="951"/>
      <c r="AG478" s="951"/>
      <c r="AH478" s="951"/>
      <c r="AI478" s="951"/>
      <c r="AJ478" s="951"/>
      <c r="AK478" s="951"/>
      <c r="AL478" s="951"/>
      <c r="AM478" s="951"/>
      <c r="AN478" s="951"/>
      <c r="AO478" s="951"/>
      <c r="AP478" s="951"/>
      <c r="AQ478" s="951"/>
      <c r="AR478" s="951"/>
      <c r="AS478" s="951"/>
      <c r="AT478" s="951"/>
      <c r="AU478" s="951"/>
      <c r="AV478" s="951"/>
      <c r="AW478" s="951"/>
      <c r="AX478" s="951"/>
      <c r="AY478" s="951"/>
      <c r="AZ478" s="951"/>
      <c r="BA478" s="951"/>
      <c r="BB478" s="951"/>
      <c r="BC478" s="952"/>
      <c r="BD478" s="952"/>
      <c r="BE478" s="952"/>
      <c r="BF478" s="952"/>
      <c r="BG478" s="952"/>
      <c r="BH478" s="952"/>
      <c r="BI478" s="952"/>
      <c r="BJ478" s="952"/>
      <c r="BK478" s="952"/>
      <c r="BL478" s="952"/>
      <c r="BM478" s="952"/>
      <c r="BN478" s="952"/>
      <c r="BO478" s="952"/>
      <c r="BP478" s="20"/>
      <c r="BQ478" s="20"/>
      <c r="BR478" s="20"/>
    </row>
    <row r="479" spans="1:70" s="22" customFormat="1" ht="66">
      <c r="A479" s="89"/>
      <c r="B479" s="124"/>
      <c r="C479" s="605">
        <v>1</v>
      </c>
      <c r="D479" s="605" t="s">
        <v>25</v>
      </c>
      <c r="E479" s="605" t="s">
        <v>39</v>
      </c>
      <c r="F479" s="605" t="s">
        <v>28</v>
      </c>
      <c r="G479" s="605">
        <v>28</v>
      </c>
      <c r="H479" s="605" t="s">
        <v>39</v>
      </c>
      <c r="I479" s="448" t="s">
        <v>674</v>
      </c>
      <c r="J479" s="1608" t="s">
        <v>2729</v>
      </c>
      <c r="K479" s="810">
        <v>40</v>
      </c>
      <c r="L479" s="803">
        <v>15850000000</v>
      </c>
      <c r="M479" s="810">
        <v>16</v>
      </c>
      <c r="N479" s="888">
        <v>8036676450</v>
      </c>
      <c r="O479" s="953">
        <v>12</v>
      </c>
      <c r="P479" s="954">
        <v>2500000000</v>
      </c>
      <c r="Q479" s="953">
        <v>0</v>
      </c>
      <c r="R479" s="957">
        <v>40276300</v>
      </c>
      <c r="S479" s="262"/>
      <c r="T479" s="957">
        <v>564811200</v>
      </c>
      <c r="U479" s="958"/>
      <c r="V479" s="957"/>
      <c r="W479" s="959"/>
      <c r="X479" s="957"/>
      <c r="Y479" s="1604">
        <f t="shared" si="131"/>
        <v>0</v>
      </c>
      <c r="Z479" s="954">
        <f t="shared" si="132"/>
        <v>605087500</v>
      </c>
      <c r="AA479" s="1604">
        <f t="shared" si="133"/>
        <v>16</v>
      </c>
      <c r="AB479" s="960">
        <f t="shared" si="134"/>
        <v>8641763950</v>
      </c>
      <c r="AC479" s="961">
        <f t="shared" si="135"/>
        <v>40</v>
      </c>
      <c r="AD479" s="961">
        <f t="shared" si="136"/>
        <v>54.522170031545734</v>
      </c>
      <c r="AE479" s="1609"/>
      <c r="AF479" s="949"/>
      <c r="AG479" s="949"/>
      <c r="AH479" s="949"/>
      <c r="AI479" s="949"/>
      <c r="AJ479" s="949"/>
      <c r="AK479" s="949"/>
      <c r="AL479" s="949"/>
      <c r="AM479" s="949"/>
      <c r="AN479" s="949"/>
      <c r="AO479" s="949"/>
      <c r="AP479" s="949"/>
      <c r="AQ479" s="949"/>
      <c r="AR479" s="949"/>
      <c r="AS479" s="949"/>
      <c r="AT479" s="949"/>
      <c r="AU479" s="949"/>
      <c r="AV479" s="949"/>
      <c r="AW479" s="949"/>
      <c r="AX479" s="949"/>
      <c r="AY479" s="949"/>
      <c r="AZ479" s="949"/>
      <c r="BA479" s="949"/>
      <c r="BB479" s="949"/>
      <c r="BC479" s="950"/>
      <c r="BD479" s="950"/>
      <c r="BE479" s="950"/>
      <c r="BF479" s="950"/>
      <c r="BG479" s="950"/>
      <c r="BH479" s="950"/>
      <c r="BI479" s="950"/>
      <c r="BJ479" s="950"/>
      <c r="BK479" s="950"/>
      <c r="BL479" s="950"/>
      <c r="BM479" s="950"/>
      <c r="BN479" s="950"/>
      <c r="BO479" s="950"/>
      <c r="BP479" s="752"/>
      <c r="BQ479" s="752"/>
      <c r="BR479" s="752"/>
    </row>
    <row r="480" spans="1:70" s="22" customFormat="1" ht="66">
      <c r="A480" s="89"/>
      <c r="B480" s="124"/>
      <c r="C480" s="605">
        <v>1</v>
      </c>
      <c r="D480" s="605" t="s">
        <v>25</v>
      </c>
      <c r="E480" s="605" t="s">
        <v>39</v>
      </c>
      <c r="F480" s="605" t="s">
        <v>28</v>
      </c>
      <c r="G480" s="605">
        <v>28</v>
      </c>
      <c r="H480" s="605" t="s">
        <v>29</v>
      </c>
      <c r="I480" s="448" t="s">
        <v>675</v>
      </c>
      <c r="J480" s="1608" t="s">
        <v>2730</v>
      </c>
      <c r="K480" s="810">
        <v>10</v>
      </c>
      <c r="L480" s="803">
        <f>3*P480</f>
        <v>1050000000</v>
      </c>
      <c r="M480" s="810">
        <v>0</v>
      </c>
      <c r="N480" s="888">
        <v>0</v>
      </c>
      <c r="O480" s="953">
        <v>1</v>
      </c>
      <c r="P480" s="954">
        <v>350000000</v>
      </c>
      <c r="Q480" s="953">
        <v>0</v>
      </c>
      <c r="R480" s="957">
        <v>106053550</v>
      </c>
      <c r="S480" s="262"/>
      <c r="T480" s="957">
        <v>86242375</v>
      </c>
      <c r="U480" s="958"/>
      <c r="V480" s="957"/>
      <c r="W480" s="959"/>
      <c r="X480" s="957"/>
      <c r="Y480" s="1604">
        <f t="shared" si="131"/>
        <v>0</v>
      </c>
      <c r="Z480" s="954">
        <f t="shared" si="132"/>
        <v>192295925</v>
      </c>
      <c r="AA480" s="1604">
        <f t="shared" si="133"/>
        <v>0</v>
      </c>
      <c r="AB480" s="960">
        <f t="shared" si="134"/>
        <v>192295925</v>
      </c>
      <c r="AC480" s="961">
        <f t="shared" si="135"/>
        <v>0</v>
      </c>
      <c r="AD480" s="961">
        <f t="shared" si="136"/>
        <v>18.313897619047619</v>
      </c>
      <c r="AE480" s="1609"/>
      <c r="AF480" s="949"/>
      <c r="AG480" s="949"/>
      <c r="AH480" s="949"/>
      <c r="AI480" s="949"/>
      <c r="AJ480" s="949"/>
      <c r="AK480" s="949"/>
      <c r="AL480" s="949"/>
      <c r="AM480" s="949"/>
      <c r="AN480" s="949"/>
      <c r="AO480" s="949"/>
      <c r="AP480" s="949"/>
      <c r="AQ480" s="949"/>
      <c r="AR480" s="949"/>
      <c r="AS480" s="949"/>
      <c r="AT480" s="949"/>
      <c r="AU480" s="949"/>
      <c r="AV480" s="949"/>
      <c r="AW480" s="949"/>
      <c r="AX480" s="949"/>
      <c r="AY480" s="949"/>
      <c r="AZ480" s="949"/>
      <c r="BA480" s="949"/>
      <c r="BB480" s="949"/>
      <c r="BC480" s="950"/>
      <c r="BD480" s="950"/>
      <c r="BE480" s="950"/>
      <c r="BF480" s="950"/>
      <c r="BG480" s="950"/>
      <c r="BH480" s="950"/>
      <c r="BI480" s="950"/>
      <c r="BJ480" s="950"/>
      <c r="BK480" s="950"/>
      <c r="BL480" s="950"/>
      <c r="BM480" s="950"/>
      <c r="BN480" s="950"/>
      <c r="BO480" s="950"/>
      <c r="BP480" s="752"/>
      <c r="BQ480" s="752"/>
      <c r="BR480" s="752"/>
    </row>
    <row r="481" spans="1:70" s="22" customFormat="1" ht="49.5">
      <c r="A481" s="89"/>
      <c r="B481" s="124"/>
      <c r="C481" s="605">
        <v>1</v>
      </c>
      <c r="D481" s="605" t="s">
        <v>25</v>
      </c>
      <c r="E481" s="605" t="s">
        <v>39</v>
      </c>
      <c r="F481" s="605" t="s">
        <v>28</v>
      </c>
      <c r="G481" s="605">
        <v>28</v>
      </c>
      <c r="H481" s="605">
        <v>18</v>
      </c>
      <c r="I481" s="1608" t="s">
        <v>676</v>
      </c>
      <c r="J481" s="1608" t="s">
        <v>677</v>
      </c>
      <c r="K481" s="810">
        <v>5</v>
      </c>
      <c r="L481" s="803">
        <f>3*N481</f>
        <v>256915950</v>
      </c>
      <c r="M481" s="810">
        <v>1</v>
      </c>
      <c r="N481" s="888">
        <f>'[3]KEU '!$J$138</f>
        <v>85638650</v>
      </c>
      <c r="O481" s="953">
        <v>1</v>
      </c>
      <c r="P481" s="954">
        <v>70000000</v>
      </c>
      <c r="Q481" s="953">
        <v>0</v>
      </c>
      <c r="R481" s="957">
        <v>0</v>
      </c>
      <c r="S481" s="262"/>
      <c r="T481" s="957">
        <v>0</v>
      </c>
      <c r="U481" s="958"/>
      <c r="V481" s="957"/>
      <c r="W481" s="959"/>
      <c r="X481" s="957"/>
      <c r="Y481" s="1604">
        <f t="shared" si="131"/>
        <v>0</v>
      </c>
      <c r="Z481" s="954">
        <f t="shared" si="132"/>
        <v>0</v>
      </c>
      <c r="AA481" s="1604">
        <f t="shared" si="133"/>
        <v>1</v>
      </c>
      <c r="AB481" s="960">
        <f t="shared" si="134"/>
        <v>85638650</v>
      </c>
      <c r="AC481" s="961">
        <f t="shared" si="135"/>
        <v>20</v>
      </c>
      <c r="AD481" s="961">
        <f t="shared" si="136"/>
        <v>33.333333333333329</v>
      </c>
      <c r="AE481" s="1609"/>
      <c r="AF481" s="750"/>
      <c r="AG481" s="750"/>
      <c r="AH481" s="750"/>
      <c r="AI481" s="750"/>
      <c r="AJ481" s="750"/>
      <c r="AK481" s="750"/>
      <c r="AL481" s="750"/>
      <c r="AM481" s="750"/>
      <c r="AN481" s="750"/>
      <c r="AO481" s="750"/>
      <c r="AP481" s="750"/>
      <c r="AQ481" s="750"/>
      <c r="AR481" s="750"/>
      <c r="AS481" s="750"/>
      <c r="AT481" s="750"/>
      <c r="AU481" s="750"/>
      <c r="AV481" s="750"/>
      <c r="AW481" s="750"/>
      <c r="AX481" s="750"/>
      <c r="AY481" s="750"/>
      <c r="AZ481" s="750"/>
      <c r="BA481" s="750"/>
      <c r="BB481" s="750"/>
      <c r="BC481" s="752"/>
      <c r="BD481" s="752"/>
      <c r="BE481" s="752"/>
      <c r="BF481" s="752"/>
      <c r="BG481" s="752"/>
      <c r="BH481" s="752"/>
      <c r="BI481" s="752"/>
      <c r="BJ481" s="752"/>
      <c r="BK481" s="752"/>
      <c r="BL481" s="752"/>
      <c r="BM481" s="752"/>
      <c r="BN481" s="752"/>
      <c r="BO481" s="752"/>
      <c r="BP481" s="752"/>
      <c r="BQ481" s="752"/>
      <c r="BR481" s="752"/>
    </row>
    <row r="482" spans="1:70" s="22" customFormat="1" ht="99">
      <c r="A482" s="89"/>
      <c r="B482" s="124"/>
      <c r="C482" s="605">
        <v>1</v>
      </c>
      <c r="D482" s="605" t="s">
        <v>25</v>
      </c>
      <c r="E482" s="605" t="s">
        <v>39</v>
      </c>
      <c r="F482" s="605" t="s">
        <v>28</v>
      </c>
      <c r="G482" s="605">
        <v>28</v>
      </c>
      <c r="H482" s="605" t="s">
        <v>78</v>
      </c>
      <c r="I482" s="448" t="s">
        <v>678</v>
      </c>
      <c r="J482" s="1608" t="s">
        <v>2731</v>
      </c>
      <c r="K482" s="810">
        <v>46</v>
      </c>
      <c r="L482" s="803">
        <f>4*2800000000</f>
        <v>11200000000</v>
      </c>
      <c r="M482" s="810">
        <v>16</v>
      </c>
      <c r="N482" s="888">
        <f>'[3]KEU '!$J$131</f>
        <v>4449081050</v>
      </c>
      <c r="O482" s="953">
        <v>0</v>
      </c>
      <c r="P482" s="954">
        <v>0</v>
      </c>
      <c r="Q482" s="953">
        <v>0</v>
      </c>
      <c r="R482" s="957">
        <v>0</v>
      </c>
      <c r="S482" s="262"/>
      <c r="T482" s="957">
        <v>0</v>
      </c>
      <c r="U482" s="958"/>
      <c r="V482" s="957"/>
      <c r="W482" s="959"/>
      <c r="X482" s="957"/>
      <c r="Y482" s="1604">
        <f t="shared" si="131"/>
        <v>0</v>
      </c>
      <c r="Z482" s="954">
        <f t="shared" si="132"/>
        <v>0</v>
      </c>
      <c r="AA482" s="1604">
        <f t="shared" si="133"/>
        <v>16</v>
      </c>
      <c r="AB482" s="960">
        <f t="shared" si="134"/>
        <v>4449081050</v>
      </c>
      <c r="AC482" s="961">
        <f t="shared" si="135"/>
        <v>34.782608695652172</v>
      </c>
      <c r="AD482" s="961">
        <f t="shared" si="136"/>
        <v>39.72393794642857</v>
      </c>
      <c r="AE482" s="1609"/>
      <c r="AF482" s="750"/>
      <c r="AG482" s="750"/>
      <c r="AH482" s="750"/>
      <c r="AI482" s="750"/>
      <c r="AJ482" s="750"/>
      <c r="AK482" s="750"/>
      <c r="AL482" s="750"/>
      <c r="AM482" s="750"/>
      <c r="AN482" s="750"/>
      <c r="AO482" s="750"/>
      <c r="AP482" s="750"/>
      <c r="AQ482" s="750"/>
      <c r="AR482" s="750"/>
      <c r="AS482" s="750"/>
      <c r="AT482" s="750"/>
      <c r="AU482" s="750"/>
      <c r="AV482" s="750"/>
      <c r="AW482" s="750"/>
      <c r="AX482" s="750"/>
      <c r="AY482" s="750"/>
      <c r="AZ482" s="750"/>
      <c r="BA482" s="750"/>
      <c r="BB482" s="750"/>
      <c r="BC482" s="752"/>
      <c r="BD482" s="752"/>
      <c r="BE482" s="752"/>
      <c r="BF482" s="752"/>
      <c r="BG482" s="752"/>
      <c r="BH482" s="752"/>
      <c r="BI482" s="752"/>
      <c r="BJ482" s="752"/>
      <c r="BK482" s="752"/>
      <c r="BL482" s="752"/>
      <c r="BM482" s="752"/>
      <c r="BN482" s="752"/>
      <c r="BO482" s="752"/>
      <c r="BP482" s="752"/>
      <c r="BQ482" s="752"/>
      <c r="BR482" s="752"/>
    </row>
    <row r="483" spans="1:70" s="22" customFormat="1" ht="148.5">
      <c r="A483" s="89"/>
      <c r="B483" s="124"/>
      <c r="C483" s="605">
        <v>1</v>
      </c>
      <c r="D483" s="605" t="s">
        <v>25</v>
      </c>
      <c r="E483" s="605" t="s">
        <v>39</v>
      </c>
      <c r="F483" s="605" t="s">
        <v>28</v>
      </c>
      <c r="G483" s="605">
        <v>28</v>
      </c>
      <c r="H483" s="605">
        <v>19</v>
      </c>
      <c r="I483" s="1608" t="s">
        <v>679</v>
      </c>
      <c r="J483" s="1608" t="s">
        <v>2732</v>
      </c>
      <c r="K483" s="810"/>
      <c r="L483" s="803"/>
      <c r="M483" s="810"/>
      <c r="N483" s="888"/>
      <c r="O483" s="953"/>
      <c r="P483" s="954"/>
      <c r="Q483" s="953"/>
      <c r="R483" s="957">
        <v>0</v>
      </c>
      <c r="S483" s="262"/>
      <c r="T483" s="957">
        <v>0</v>
      </c>
      <c r="U483" s="958"/>
      <c r="V483" s="957"/>
      <c r="W483" s="959"/>
      <c r="X483" s="957"/>
      <c r="Y483" s="1604"/>
      <c r="Z483" s="954"/>
      <c r="AA483" s="1604"/>
      <c r="AB483" s="960"/>
      <c r="AC483" s="961"/>
      <c r="AD483" s="961"/>
      <c r="AE483" s="1609"/>
      <c r="AF483" s="870"/>
      <c r="AG483" s="870"/>
      <c r="AH483" s="870"/>
      <c r="AI483" s="870"/>
      <c r="AJ483" s="870"/>
      <c r="AK483" s="870"/>
      <c r="AL483" s="870"/>
      <c r="AM483" s="870"/>
      <c r="AN483" s="870"/>
      <c r="AO483" s="870"/>
      <c r="AP483" s="870"/>
      <c r="AQ483" s="870"/>
      <c r="AR483" s="870"/>
      <c r="AS483" s="870"/>
      <c r="AT483" s="870"/>
      <c r="AU483" s="870"/>
      <c r="AV483" s="870"/>
      <c r="AW483" s="870"/>
      <c r="AX483" s="870"/>
      <c r="AY483" s="870"/>
      <c r="AZ483" s="870"/>
      <c r="BA483" s="870"/>
      <c r="BB483" s="870"/>
      <c r="BC483" s="871"/>
      <c r="BD483" s="871"/>
      <c r="BE483" s="871"/>
      <c r="BF483" s="871"/>
      <c r="BG483" s="871"/>
      <c r="BH483" s="871"/>
      <c r="BI483" s="871"/>
      <c r="BJ483" s="871"/>
      <c r="BK483" s="871"/>
      <c r="BL483" s="871"/>
      <c r="BM483" s="871"/>
      <c r="BN483" s="871"/>
      <c r="BO483" s="871"/>
      <c r="BP483" s="752"/>
      <c r="BQ483" s="752"/>
      <c r="BR483" s="752"/>
    </row>
    <row r="484" spans="1:70" s="22" customFormat="1" ht="99">
      <c r="A484" s="89"/>
      <c r="B484" s="124"/>
      <c r="C484" s="605">
        <v>1</v>
      </c>
      <c r="D484" s="605" t="s">
        <v>25</v>
      </c>
      <c r="E484" s="605" t="s">
        <v>39</v>
      </c>
      <c r="F484" s="605" t="s">
        <v>28</v>
      </c>
      <c r="G484" s="605">
        <v>28</v>
      </c>
      <c r="H484" s="605">
        <v>20</v>
      </c>
      <c r="I484" s="1608" t="s">
        <v>680</v>
      </c>
      <c r="J484" s="1608" t="s">
        <v>2733</v>
      </c>
      <c r="K484" s="810"/>
      <c r="L484" s="803"/>
      <c r="M484" s="810"/>
      <c r="N484" s="888"/>
      <c r="O484" s="953"/>
      <c r="P484" s="954"/>
      <c r="Q484" s="953"/>
      <c r="R484" s="957">
        <v>0</v>
      </c>
      <c r="S484" s="262"/>
      <c r="T484" s="957">
        <v>0</v>
      </c>
      <c r="U484" s="958"/>
      <c r="V484" s="957"/>
      <c r="W484" s="959"/>
      <c r="X484" s="957"/>
      <c r="Y484" s="1604"/>
      <c r="Z484" s="954"/>
      <c r="AA484" s="1604"/>
      <c r="AB484" s="960"/>
      <c r="AC484" s="961"/>
      <c r="AD484" s="961"/>
      <c r="AE484" s="1609"/>
      <c r="AF484" s="964"/>
      <c r="AG484" s="569"/>
      <c r="AH484" s="569"/>
      <c r="AI484" s="569"/>
      <c r="AJ484" s="569"/>
      <c r="AK484" s="569"/>
      <c r="AL484" s="569"/>
      <c r="AM484" s="569"/>
      <c r="AN484" s="569"/>
      <c r="AO484" s="569"/>
      <c r="AP484" s="569"/>
      <c r="AQ484" s="569"/>
      <c r="AR484" s="569"/>
      <c r="AS484" s="569"/>
      <c r="AT484" s="569"/>
      <c r="AU484" s="569"/>
      <c r="AV484" s="569"/>
      <c r="AW484" s="569"/>
      <c r="AX484" s="569"/>
      <c r="AY484" s="569"/>
      <c r="AZ484" s="569"/>
      <c r="BA484" s="569"/>
      <c r="BB484" s="569"/>
      <c r="BC484" s="569"/>
      <c r="BD484" s="569"/>
      <c r="BE484" s="569"/>
      <c r="BF484" s="569"/>
      <c r="BG484" s="569"/>
      <c r="BH484" s="569"/>
      <c r="BI484" s="569"/>
      <c r="BJ484" s="569"/>
      <c r="BK484" s="569"/>
      <c r="BL484" s="569"/>
      <c r="BM484" s="569"/>
      <c r="BN484" s="569"/>
      <c r="BO484" s="569"/>
      <c r="BP484" s="752"/>
      <c r="BQ484" s="752"/>
      <c r="BR484" s="752"/>
    </row>
    <row r="485" spans="1:70" s="22" customFormat="1" ht="99">
      <c r="A485" s="89"/>
      <c r="B485" s="124"/>
      <c r="C485" s="605">
        <v>1</v>
      </c>
      <c r="D485" s="605" t="s">
        <v>25</v>
      </c>
      <c r="E485" s="605" t="s">
        <v>39</v>
      </c>
      <c r="F485" s="605" t="s">
        <v>28</v>
      </c>
      <c r="G485" s="605">
        <v>28</v>
      </c>
      <c r="H485" s="605">
        <v>21</v>
      </c>
      <c r="I485" s="1608" t="s">
        <v>681</v>
      </c>
      <c r="J485" s="1608" t="s">
        <v>2734</v>
      </c>
      <c r="K485" s="810"/>
      <c r="L485" s="803"/>
      <c r="M485" s="810"/>
      <c r="N485" s="888"/>
      <c r="O485" s="953"/>
      <c r="P485" s="954"/>
      <c r="Q485" s="953"/>
      <c r="R485" s="957">
        <v>0</v>
      </c>
      <c r="S485" s="262"/>
      <c r="T485" s="957">
        <v>0</v>
      </c>
      <c r="U485" s="958"/>
      <c r="V485" s="957"/>
      <c r="W485" s="959"/>
      <c r="X485" s="957"/>
      <c r="Y485" s="1604"/>
      <c r="Z485" s="954"/>
      <c r="AA485" s="1604"/>
      <c r="AB485" s="960"/>
      <c r="AC485" s="961"/>
      <c r="AD485" s="961"/>
      <c r="AE485" s="1609"/>
      <c r="AF485" s="569"/>
      <c r="AG485" s="569"/>
      <c r="AH485" s="569"/>
      <c r="AI485" s="569"/>
      <c r="AJ485" s="569"/>
      <c r="AK485" s="569"/>
      <c r="AL485" s="569"/>
      <c r="AM485" s="569"/>
      <c r="AN485" s="569"/>
      <c r="AO485" s="569"/>
      <c r="AP485" s="569"/>
      <c r="AQ485" s="569"/>
      <c r="AR485" s="569"/>
      <c r="AS485" s="569"/>
      <c r="AT485" s="569"/>
      <c r="AU485" s="569"/>
      <c r="AV485" s="569"/>
      <c r="AW485" s="569"/>
      <c r="AX485" s="569"/>
      <c r="AY485" s="569"/>
      <c r="AZ485" s="569"/>
      <c r="BA485" s="569"/>
      <c r="BB485" s="569"/>
      <c r="BC485" s="569"/>
      <c r="BD485" s="569"/>
      <c r="BE485" s="569"/>
      <c r="BF485" s="569"/>
      <c r="BG485" s="569"/>
      <c r="BH485" s="569"/>
      <c r="BI485" s="569"/>
      <c r="BJ485" s="569"/>
      <c r="BK485" s="569"/>
      <c r="BL485" s="569"/>
      <c r="BM485" s="569"/>
      <c r="BN485" s="569"/>
      <c r="BO485" s="569"/>
      <c r="BP485" s="752"/>
      <c r="BQ485" s="752"/>
      <c r="BR485" s="752"/>
    </row>
    <row r="486" spans="1:70" s="22" customFormat="1" ht="82.5">
      <c r="A486" s="2558">
        <f>+A478+1</f>
        <v>9</v>
      </c>
      <c r="B486" s="629"/>
      <c r="C486" s="620">
        <v>1</v>
      </c>
      <c r="D486" s="620" t="s">
        <v>25</v>
      </c>
      <c r="E486" s="620" t="s">
        <v>39</v>
      </c>
      <c r="F486" s="620" t="s">
        <v>39</v>
      </c>
      <c r="G486" s="620">
        <v>15</v>
      </c>
      <c r="H486" s="133"/>
      <c r="I486" s="629" t="s">
        <v>2735</v>
      </c>
      <c r="J486" s="629" t="s">
        <v>2736</v>
      </c>
      <c r="K486" s="1599">
        <v>100</v>
      </c>
      <c r="L486" s="1615">
        <f>P486</f>
        <v>36050000</v>
      </c>
      <c r="M486" s="1599">
        <v>80</v>
      </c>
      <c r="N486" s="1615">
        <f t="shared" ref="N486:X486" si="138">+N487</f>
        <v>0</v>
      </c>
      <c r="O486" s="1613">
        <v>10</v>
      </c>
      <c r="P486" s="1615">
        <f t="shared" si="138"/>
        <v>36050000</v>
      </c>
      <c r="Q486" s="1599">
        <f t="shared" si="138"/>
        <v>0</v>
      </c>
      <c r="R486" s="1615">
        <f t="shared" si="138"/>
        <v>0</v>
      </c>
      <c r="S486" s="1599">
        <f t="shared" si="138"/>
        <v>0</v>
      </c>
      <c r="T486" s="1615">
        <f t="shared" si="138"/>
        <v>0</v>
      </c>
      <c r="U486" s="1599">
        <f t="shared" si="138"/>
        <v>0</v>
      </c>
      <c r="V486" s="1615">
        <f t="shared" si="138"/>
        <v>0</v>
      </c>
      <c r="W486" s="1599">
        <f t="shared" si="138"/>
        <v>0</v>
      </c>
      <c r="X486" s="1615">
        <f t="shared" si="138"/>
        <v>0</v>
      </c>
      <c r="Y486" s="1603">
        <f>Q486+S486+U486+W486</f>
        <v>0</v>
      </c>
      <c r="Z486" s="801">
        <f>R486+T486+V486+X486</f>
        <v>0</v>
      </c>
      <c r="AA486" s="1603">
        <f>M486+Y486</f>
        <v>80</v>
      </c>
      <c r="AB486" s="1615">
        <f>N486+Z486</f>
        <v>0</v>
      </c>
      <c r="AC486" s="801">
        <f>AA486/K486*100</f>
        <v>80</v>
      </c>
      <c r="AD486" s="821">
        <f>AB486/L486*100</f>
        <v>0</v>
      </c>
      <c r="AE486" s="1602" t="s">
        <v>645</v>
      </c>
      <c r="AF486" s="569"/>
      <c r="AG486" s="569"/>
      <c r="AH486" s="569"/>
      <c r="AI486" s="569"/>
      <c r="AJ486" s="569"/>
      <c r="AK486" s="569"/>
      <c r="AL486" s="569"/>
      <c r="AM486" s="569"/>
      <c r="AN486" s="569"/>
      <c r="AO486" s="569"/>
      <c r="AP486" s="569"/>
      <c r="AQ486" s="569"/>
      <c r="AR486" s="569"/>
      <c r="AS486" s="569"/>
      <c r="AT486" s="569"/>
      <c r="AU486" s="569"/>
      <c r="AV486" s="569"/>
      <c r="AW486" s="569"/>
      <c r="AX486" s="569"/>
      <c r="AY486" s="569"/>
      <c r="AZ486" s="569"/>
      <c r="BA486" s="569"/>
      <c r="BB486" s="569"/>
      <c r="BC486" s="569"/>
      <c r="BD486" s="569"/>
      <c r="BE486" s="569"/>
      <c r="BF486" s="569"/>
      <c r="BG486" s="569"/>
      <c r="BH486" s="569"/>
      <c r="BI486" s="569"/>
      <c r="BJ486" s="569"/>
      <c r="BK486" s="569"/>
      <c r="BL486" s="569"/>
      <c r="BM486" s="569"/>
      <c r="BN486" s="569"/>
      <c r="BO486" s="569"/>
      <c r="BP486" s="752"/>
      <c r="BQ486" s="752"/>
      <c r="BR486" s="752"/>
    </row>
    <row r="487" spans="1:70" s="22" customFormat="1" ht="66">
      <c r="A487" s="779"/>
      <c r="B487" s="1291"/>
      <c r="C487" s="628">
        <v>1</v>
      </c>
      <c r="D487" s="628" t="s">
        <v>25</v>
      </c>
      <c r="E487" s="628" t="s">
        <v>39</v>
      </c>
      <c r="F487" s="628" t="s">
        <v>39</v>
      </c>
      <c r="G487" s="628">
        <v>15</v>
      </c>
      <c r="H487" s="304">
        <v>11</v>
      </c>
      <c r="I487" s="1291" t="s">
        <v>585</v>
      </c>
      <c r="J487" s="1291" t="s">
        <v>2737</v>
      </c>
      <c r="K487" s="953">
        <v>3</v>
      </c>
      <c r="L487" s="954">
        <f>3*P487</f>
        <v>108150000</v>
      </c>
      <c r="M487" s="955">
        <v>0</v>
      </c>
      <c r="N487" s="956">
        <v>0</v>
      </c>
      <c r="O487" s="1610">
        <v>1</v>
      </c>
      <c r="P487" s="954">
        <v>36050000</v>
      </c>
      <c r="Q487" s="953">
        <v>0</v>
      </c>
      <c r="R487" s="957">
        <v>0</v>
      </c>
      <c r="S487" s="262"/>
      <c r="T487" s="957"/>
      <c r="U487" s="958"/>
      <c r="V487" s="957"/>
      <c r="W487" s="959"/>
      <c r="X487" s="957"/>
      <c r="Y487" s="1604">
        <f>Q487+S487+U487+W487</f>
        <v>0</v>
      </c>
      <c r="Z487" s="954">
        <f>R487+T487+V487+X487</f>
        <v>0</v>
      </c>
      <c r="AA487" s="1604">
        <f>M487+Y487</f>
        <v>0</v>
      </c>
      <c r="AB487" s="960">
        <f>N487+Z487</f>
        <v>0</v>
      </c>
      <c r="AC487" s="961">
        <f>AA487/K487*100</f>
        <v>0</v>
      </c>
      <c r="AD487" s="961">
        <f>AB487/L487*100</f>
        <v>0</v>
      </c>
      <c r="AE487" s="1605"/>
      <c r="AF487" s="569"/>
      <c r="AG487" s="569"/>
      <c r="AH487" s="569"/>
      <c r="AI487" s="569"/>
      <c r="AJ487" s="569"/>
      <c r="AK487" s="569"/>
      <c r="AL487" s="569"/>
      <c r="AM487" s="569"/>
      <c r="AN487" s="569"/>
      <c r="AO487" s="569"/>
      <c r="AP487" s="569"/>
      <c r="AQ487" s="569"/>
      <c r="AR487" s="569"/>
      <c r="AS487" s="569"/>
      <c r="AT487" s="569"/>
      <c r="AU487" s="569"/>
      <c r="AV487" s="569"/>
      <c r="AW487" s="569"/>
      <c r="AX487" s="569"/>
      <c r="AY487" s="569"/>
      <c r="AZ487" s="569"/>
      <c r="BA487" s="569"/>
      <c r="BB487" s="569"/>
      <c r="BC487" s="569"/>
      <c r="BD487" s="569"/>
      <c r="BE487" s="569"/>
      <c r="BF487" s="569"/>
      <c r="BG487" s="569"/>
      <c r="BH487" s="569"/>
      <c r="BI487" s="569"/>
      <c r="BJ487" s="569"/>
      <c r="BK487" s="569"/>
      <c r="BL487" s="569"/>
      <c r="BM487" s="569"/>
      <c r="BN487" s="569"/>
      <c r="BO487" s="569"/>
      <c r="BP487" s="752"/>
      <c r="BQ487" s="752"/>
      <c r="BR487" s="752"/>
    </row>
    <row r="488" spans="1:70" s="22" customFormat="1" ht="21" customHeight="1">
      <c r="A488" s="2717" t="s">
        <v>63</v>
      </c>
      <c r="B488" s="2717"/>
      <c r="C488" s="2780"/>
      <c r="D488" s="2780"/>
      <c r="E488" s="2780"/>
      <c r="F488" s="2780"/>
      <c r="G488" s="2780"/>
      <c r="H488" s="2780"/>
      <c r="I488" s="2780"/>
      <c r="J488" s="2780"/>
      <c r="K488" s="2780"/>
      <c r="L488" s="2780"/>
      <c r="M488" s="2780"/>
      <c r="N488" s="2780"/>
      <c r="O488" s="2780"/>
      <c r="P488" s="2780"/>
      <c r="Q488" s="2780"/>
      <c r="R488" s="2780"/>
      <c r="S488" s="2780"/>
      <c r="T488" s="2780"/>
      <c r="U488" s="2780"/>
      <c r="V488" s="2780"/>
      <c r="W488" s="2780"/>
      <c r="X488" s="2780"/>
      <c r="Y488" s="2780"/>
      <c r="Z488" s="2780"/>
      <c r="AA488" s="2780"/>
      <c r="AB488" s="2780"/>
      <c r="AC488" s="785">
        <f>(AC423+AC436+AC445+AC447+AC457+AC459+AC472+AC478+AC486)/9</f>
        <v>60.577266210737989</v>
      </c>
      <c r="AD488" s="785">
        <f>(AD423+AD436+AD445+AD447+AD457+AD459+AD472+AD478+AD486)/9</f>
        <v>29.863138131199744</v>
      </c>
      <c r="AE488" s="745"/>
      <c r="AF488" s="569"/>
      <c r="AG488" s="569"/>
      <c r="AH488" s="569"/>
      <c r="AI488" s="569"/>
      <c r="AJ488" s="569"/>
      <c r="AK488" s="569"/>
      <c r="AL488" s="569"/>
      <c r="AM488" s="569"/>
      <c r="AN488" s="569"/>
      <c r="AO488" s="569"/>
      <c r="AP488" s="569"/>
      <c r="AQ488" s="569"/>
      <c r="AR488" s="569"/>
      <c r="AS488" s="569"/>
      <c r="AT488" s="569"/>
      <c r="AU488" s="569"/>
      <c r="AV488" s="569"/>
      <c r="AW488" s="569"/>
      <c r="AX488" s="569"/>
      <c r="AY488" s="569"/>
      <c r="AZ488" s="569"/>
      <c r="BA488" s="569"/>
      <c r="BB488" s="569"/>
      <c r="BC488" s="569"/>
      <c r="BD488" s="569"/>
      <c r="BE488" s="569"/>
      <c r="BF488" s="569"/>
      <c r="BG488" s="569"/>
      <c r="BH488" s="569"/>
      <c r="BI488" s="569"/>
      <c r="BJ488" s="569"/>
      <c r="BK488" s="569"/>
      <c r="BL488" s="569"/>
      <c r="BM488" s="569"/>
      <c r="BN488" s="569"/>
      <c r="BO488" s="569"/>
      <c r="BP488" s="752"/>
      <c r="BQ488" s="752"/>
      <c r="BR488" s="752"/>
    </row>
    <row r="489" spans="1:70" s="22" customFormat="1" ht="19.5" customHeight="1">
      <c r="A489" s="2717" t="s">
        <v>64</v>
      </c>
      <c r="B489" s="2717"/>
      <c r="C489" s="2780"/>
      <c r="D489" s="2780"/>
      <c r="E489" s="2780"/>
      <c r="F489" s="2780"/>
      <c r="G489" s="2780"/>
      <c r="H489" s="2780"/>
      <c r="I489" s="2780"/>
      <c r="J489" s="2780"/>
      <c r="K489" s="2780"/>
      <c r="L489" s="2780"/>
      <c r="M489" s="2780"/>
      <c r="N489" s="2780"/>
      <c r="O489" s="2780"/>
      <c r="P489" s="2780"/>
      <c r="Q489" s="2780"/>
      <c r="R489" s="2780"/>
      <c r="S489" s="2780"/>
      <c r="T489" s="2780"/>
      <c r="U489" s="2780"/>
      <c r="V489" s="2780"/>
      <c r="W489" s="2780"/>
      <c r="X489" s="2780"/>
      <c r="Y489" s="2780"/>
      <c r="Z489" s="2780"/>
      <c r="AA489" s="2780"/>
      <c r="AB489" s="2780"/>
      <c r="AC489" s="524" t="str">
        <f>IF(AC488&gt;=91,"ST",IF(AC488&gt;=76,"T",IF(AC488&gt;=66,"S",IF(AC488&gt;=51,"R","SR"))))</f>
        <v>R</v>
      </c>
      <c r="AD489" s="524" t="str">
        <f>IF(AD488&gt;=91,"ST",IF(AD488&gt;=76,"T",IF(AD488&gt;=66,"S",IF(AD488&gt;=51,"R","SR"))))</f>
        <v>SR</v>
      </c>
      <c r="AE489" s="745"/>
      <c r="AF489" s="569"/>
      <c r="AG489" s="569"/>
      <c r="AH489" s="569"/>
      <c r="AI489" s="569"/>
      <c r="AJ489" s="569"/>
      <c r="AK489" s="569"/>
      <c r="AL489" s="569"/>
      <c r="AM489" s="569"/>
      <c r="AN489" s="569"/>
      <c r="AO489" s="569"/>
      <c r="AP489" s="569"/>
      <c r="AQ489" s="569"/>
      <c r="AR489" s="569"/>
      <c r="AS489" s="569"/>
      <c r="AT489" s="569"/>
      <c r="AU489" s="569"/>
      <c r="AV489" s="569"/>
      <c r="AW489" s="569"/>
      <c r="AX489" s="569"/>
      <c r="AY489" s="569"/>
      <c r="AZ489" s="569"/>
      <c r="BA489" s="569"/>
      <c r="BB489" s="569"/>
      <c r="BC489" s="569"/>
      <c r="BD489" s="569"/>
      <c r="BE489" s="569"/>
      <c r="BF489" s="569"/>
      <c r="BG489" s="569"/>
      <c r="BH489" s="569"/>
      <c r="BI489" s="569"/>
      <c r="BJ489" s="569"/>
      <c r="BK489" s="569"/>
      <c r="BL489" s="569"/>
      <c r="BM489" s="569"/>
      <c r="BN489" s="569"/>
      <c r="BO489" s="569"/>
      <c r="BP489" s="752"/>
      <c r="BQ489" s="752"/>
      <c r="BR489" s="752"/>
    </row>
    <row r="490" spans="1:70" s="1235" customFormat="1" ht="38.25" customHeight="1">
      <c r="A490" s="863"/>
      <c r="B490" s="1618"/>
      <c r="C490" s="863"/>
      <c r="D490" s="863"/>
      <c r="E490" s="863"/>
      <c r="F490" s="863"/>
      <c r="G490" s="863"/>
      <c r="H490" s="863"/>
      <c r="I490" s="2746" t="s">
        <v>683</v>
      </c>
      <c r="J490" s="2801"/>
      <c r="K490" s="1618"/>
      <c r="L490" s="1619">
        <f>L491+L504+L511+L517+L519+L524+L534</f>
        <v>149421969086</v>
      </c>
      <c r="M490" s="1618"/>
      <c r="N490" s="1619">
        <f>N491+N504+N511+N517+N519+N524+N534</f>
        <v>23114740676</v>
      </c>
      <c r="O490" s="1618"/>
      <c r="P490" s="1619">
        <f>P491+P504+P511+P514+P517+P519+P524+P534+P538</f>
        <v>32359826269</v>
      </c>
      <c r="Q490" s="866"/>
      <c r="R490" s="1619">
        <f>R491+R504+R511+R514+R517+R519+R524+R534+R538</f>
        <v>804331133</v>
      </c>
      <c r="S490" s="866"/>
      <c r="T490" s="1672">
        <f>T491+T504+T511+T514+T517+T519+T524+T534+T538</f>
        <v>8526048596</v>
      </c>
      <c r="U490" s="866"/>
      <c r="V490" s="866"/>
      <c r="W490" s="866"/>
      <c r="X490" s="866"/>
      <c r="Y490" s="866"/>
      <c r="Z490" s="1672">
        <f>R490+T490</f>
        <v>9330379729</v>
      </c>
      <c r="AA490" s="866"/>
      <c r="AB490" s="1672">
        <f>T490+V490</f>
        <v>8526048596</v>
      </c>
      <c r="AC490" s="1620"/>
      <c r="AD490" s="1620"/>
      <c r="AE490" s="478"/>
      <c r="AF490" s="946"/>
      <c r="AG490" s="946"/>
      <c r="AH490" s="946"/>
      <c r="AI490" s="946"/>
      <c r="AJ490" s="946"/>
      <c r="AK490" s="946"/>
      <c r="AL490" s="946"/>
      <c r="AM490" s="946"/>
      <c r="AN490" s="946"/>
      <c r="AO490" s="946"/>
      <c r="AP490" s="946"/>
      <c r="AQ490" s="946"/>
      <c r="AR490" s="946"/>
      <c r="AS490" s="946"/>
      <c r="AT490" s="946"/>
      <c r="AU490" s="946"/>
      <c r="AV490" s="946"/>
      <c r="AW490" s="946"/>
      <c r="AX490" s="946"/>
      <c r="AY490" s="946"/>
      <c r="AZ490" s="946"/>
      <c r="BA490" s="946"/>
      <c r="BB490" s="946"/>
      <c r="BC490" s="946"/>
      <c r="BD490" s="946"/>
      <c r="BE490" s="946"/>
      <c r="BF490" s="946"/>
      <c r="BG490" s="946"/>
      <c r="BH490" s="946"/>
      <c r="BI490" s="946"/>
      <c r="BJ490" s="946"/>
      <c r="BK490" s="946"/>
      <c r="BL490" s="946"/>
      <c r="BM490" s="946"/>
      <c r="BN490" s="946"/>
      <c r="BO490" s="946"/>
      <c r="BP490" s="862"/>
      <c r="BQ490" s="862"/>
      <c r="BR490" s="862"/>
    </row>
    <row r="491" spans="1:70" s="752" customFormat="1" ht="82.5">
      <c r="A491" s="2554">
        <v>1</v>
      </c>
      <c r="B491" s="594"/>
      <c r="C491" s="753" t="s">
        <v>41</v>
      </c>
      <c r="D491" s="753" t="s">
        <v>25</v>
      </c>
      <c r="E491" s="753" t="s">
        <v>78</v>
      </c>
      <c r="F491" s="753" t="s">
        <v>25</v>
      </c>
      <c r="G491" s="753" t="s">
        <v>25</v>
      </c>
      <c r="H491" s="594"/>
      <c r="I491" s="44" t="s">
        <v>502</v>
      </c>
      <c r="J491" s="629" t="s">
        <v>2706</v>
      </c>
      <c r="K491" s="1599">
        <v>60</v>
      </c>
      <c r="L491" s="578">
        <f>SUM(L492:L503)</f>
        <v>4586309260</v>
      </c>
      <c r="M491" s="775">
        <v>24</v>
      </c>
      <c r="N491" s="578">
        <f>SUM(N492:N503)</f>
        <v>1581356289</v>
      </c>
      <c r="O491" s="775">
        <v>12</v>
      </c>
      <c r="P491" s="578">
        <f>SUM(P492:P503)</f>
        <v>874840165</v>
      </c>
      <c r="Q491" s="775">
        <f>O491/4</f>
        <v>3</v>
      </c>
      <c r="R491" s="578">
        <f>SUM(R492:R503)</f>
        <v>175319403</v>
      </c>
      <c r="S491" s="966"/>
      <c r="T491" s="966">
        <f>SUM(T492:T503)</f>
        <v>335824302</v>
      </c>
      <c r="U491" s="966"/>
      <c r="V491" s="966"/>
      <c r="W491" s="966"/>
      <c r="X491" s="966"/>
      <c r="Y491" s="868">
        <f t="shared" ref="Y491:Y522" si="139">Q491+S491+U491+W491</f>
        <v>3</v>
      </c>
      <c r="Z491" s="578">
        <f t="shared" ref="Z491:Z522" si="140">R491+T491+V491+X491</f>
        <v>511143705</v>
      </c>
      <c r="AA491" s="868">
        <f t="shared" ref="AA491:AA522" si="141">M491+Y491</f>
        <v>27</v>
      </c>
      <c r="AB491" s="578">
        <f t="shared" ref="AB491:AB522" si="142">N491+Z491</f>
        <v>2092499994</v>
      </c>
      <c r="AC491" s="868">
        <f t="shared" ref="AC491:AC522" si="143">AA491/K491*100</f>
        <v>45</v>
      </c>
      <c r="AD491" s="868">
        <f t="shared" ref="AD491:AD522" si="144">AB491/L491*100</f>
        <v>45.62492137741274</v>
      </c>
      <c r="AE491" s="482" t="s">
        <v>2746</v>
      </c>
      <c r="AF491" s="569"/>
      <c r="AG491" s="569"/>
      <c r="AH491" s="569"/>
      <c r="AI491" s="569"/>
      <c r="AJ491" s="569"/>
      <c r="AK491" s="569"/>
      <c r="AL491" s="569"/>
      <c r="AM491" s="569"/>
      <c r="AN491" s="569"/>
      <c r="AO491" s="569"/>
      <c r="AP491" s="569"/>
      <c r="AQ491" s="569"/>
      <c r="AR491" s="569"/>
      <c r="AS491" s="569"/>
      <c r="AT491" s="569"/>
      <c r="AU491" s="569"/>
      <c r="AV491" s="569"/>
      <c r="AW491" s="569"/>
      <c r="AX491" s="569"/>
      <c r="AY491" s="569"/>
      <c r="AZ491" s="569"/>
      <c r="BA491" s="569"/>
      <c r="BB491" s="569"/>
      <c r="BC491" s="569"/>
      <c r="BD491" s="569"/>
      <c r="BE491" s="569"/>
      <c r="BF491" s="569"/>
      <c r="BG491" s="569"/>
      <c r="BH491" s="569"/>
      <c r="BI491" s="569"/>
      <c r="BJ491" s="569"/>
      <c r="BK491" s="569"/>
      <c r="BL491" s="569"/>
      <c r="BM491" s="569"/>
      <c r="BN491" s="569"/>
      <c r="BO491" s="569"/>
    </row>
    <row r="492" spans="1:70" s="22" customFormat="1" ht="82.5">
      <c r="A492" s="451"/>
      <c r="B492" s="34"/>
      <c r="C492" s="967" t="s">
        <v>41</v>
      </c>
      <c r="D492" s="967" t="s">
        <v>25</v>
      </c>
      <c r="E492" s="967" t="s">
        <v>78</v>
      </c>
      <c r="F492" s="967" t="s">
        <v>25</v>
      </c>
      <c r="G492" s="967" t="s">
        <v>25</v>
      </c>
      <c r="H492" s="577" t="s">
        <v>28</v>
      </c>
      <c r="I492" s="280" t="s">
        <v>67</v>
      </c>
      <c r="J492" s="416" t="s">
        <v>503</v>
      </c>
      <c r="K492" s="242">
        <v>60</v>
      </c>
      <c r="L492" s="449">
        <v>416900000</v>
      </c>
      <c r="M492" s="115">
        <v>24</v>
      </c>
      <c r="N492" s="968">
        <v>101038763</v>
      </c>
      <c r="O492" s="115">
        <v>12</v>
      </c>
      <c r="P492" s="567">
        <f>79900000+90</f>
        <v>79900090</v>
      </c>
      <c r="Q492" s="115">
        <v>3</v>
      </c>
      <c r="R492" s="558">
        <v>10325453</v>
      </c>
      <c r="S492" s="34">
        <v>6</v>
      </c>
      <c r="T492" s="209">
        <v>33729252</v>
      </c>
      <c r="U492" s="34"/>
      <c r="V492" s="34"/>
      <c r="W492" s="34"/>
      <c r="X492" s="34"/>
      <c r="Y492" s="115">
        <f t="shared" si="139"/>
        <v>9</v>
      </c>
      <c r="Z492" s="873">
        <f t="shared" si="140"/>
        <v>44054705</v>
      </c>
      <c r="AA492" s="115">
        <f t="shared" si="141"/>
        <v>33</v>
      </c>
      <c r="AB492" s="873">
        <f t="shared" si="142"/>
        <v>145093468</v>
      </c>
      <c r="AC492" s="874">
        <f t="shared" si="143"/>
        <v>55.000000000000007</v>
      </c>
      <c r="AD492" s="874">
        <f t="shared" si="144"/>
        <v>34.802942672103619</v>
      </c>
      <c r="AE492" s="490"/>
      <c r="AF492" s="569"/>
      <c r="AG492" s="569"/>
      <c r="AH492" s="569"/>
      <c r="AI492" s="569"/>
      <c r="AJ492" s="569"/>
      <c r="AK492" s="569"/>
      <c r="AL492" s="569"/>
      <c r="AM492" s="569"/>
      <c r="AN492" s="569"/>
      <c r="AO492" s="569"/>
      <c r="AP492" s="569"/>
      <c r="AQ492" s="569"/>
      <c r="AR492" s="569"/>
      <c r="AS492" s="569"/>
      <c r="AT492" s="569"/>
      <c r="AU492" s="569"/>
      <c r="AV492" s="569"/>
      <c r="AW492" s="569"/>
      <c r="AX492" s="569"/>
      <c r="AY492" s="569"/>
      <c r="AZ492" s="569"/>
      <c r="BA492" s="569"/>
      <c r="BB492" s="569"/>
      <c r="BC492" s="569"/>
      <c r="BD492" s="569"/>
      <c r="BE492" s="569"/>
      <c r="BF492" s="569"/>
      <c r="BG492" s="569"/>
      <c r="BH492" s="569"/>
      <c r="BI492" s="569"/>
      <c r="BJ492" s="569"/>
      <c r="BK492" s="569"/>
      <c r="BL492" s="569"/>
      <c r="BM492" s="569"/>
      <c r="BN492" s="569"/>
      <c r="BO492" s="569"/>
      <c r="BP492" s="752"/>
      <c r="BQ492" s="752"/>
      <c r="BR492" s="752"/>
    </row>
    <row r="493" spans="1:70" s="22" customFormat="1" ht="66">
      <c r="A493" s="451"/>
      <c r="B493" s="34"/>
      <c r="C493" s="967" t="s">
        <v>41</v>
      </c>
      <c r="D493" s="967" t="s">
        <v>25</v>
      </c>
      <c r="E493" s="967" t="s">
        <v>78</v>
      </c>
      <c r="F493" s="967" t="s">
        <v>25</v>
      </c>
      <c r="G493" s="967" t="s">
        <v>25</v>
      </c>
      <c r="H493" s="577" t="s">
        <v>29</v>
      </c>
      <c r="I493" s="280" t="s">
        <v>68</v>
      </c>
      <c r="J493" s="416" t="s">
        <v>504</v>
      </c>
      <c r="K493" s="242">
        <v>60</v>
      </c>
      <c r="L493" s="449">
        <v>1221600000</v>
      </c>
      <c r="M493" s="115">
        <v>24</v>
      </c>
      <c r="N493" s="36">
        <v>497650000</v>
      </c>
      <c r="O493" s="506">
        <v>12</v>
      </c>
      <c r="P493" s="36">
        <v>291100000</v>
      </c>
      <c r="Q493" s="115">
        <v>3</v>
      </c>
      <c r="R493" s="558">
        <v>44600000</v>
      </c>
      <c r="S493" s="34">
        <v>6</v>
      </c>
      <c r="T493" s="209">
        <v>68100000</v>
      </c>
      <c r="U493" s="34"/>
      <c r="V493" s="34"/>
      <c r="W493" s="34"/>
      <c r="X493" s="34"/>
      <c r="Y493" s="115">
        <f t="shared" si="139"/>
        <v>9</v>
      </c>
      <c r="Z493" s="873">
        <f t="shared" si="140"/>
        <v>112700000</v>
      </c>
      <c r="AA493" s="115">
        <f t="shared" si="141"/>
        <v>33</v>
      </c>
      <c r="AB493" s="873">
        <f t="shared" si="142"/>
        <v>610350000</v>
      </c>
      <c r="AC493" s="874">
        <f t="shared" si="143"/>
        <v>55.000000000000007</v>
      </c>
      <c r="AD493" s="874">
        <f t="shared" si="144"/>
        <v>49.963163064833005</v>
      </c>
      <c r="AE493" s="490"/>
      <c r="AF493" s="569"/>
      <c r="AG493" s="569"/>
      <c r="AH493" s="569"/>
      <c r="AI493" s="569"/>
      <c r="AJ493" s="569"/>
      <c r="AK493" s="569"/>
      <c r="AL493" s="569"/>
      <c r="AM493" s="569"/>
      <c r="AN493" s="569"/>
      <c r="AO493" s="569"/>
      <c r="AP493" s="569"/>
      <c r="AQ493" s="569"/>
      <c r="AR493" s="569"/>
      <c r="AS493" s="569"/>
      <c r="AT493" s="569"/>
      <c r="AU493" s="569"/>
      <c r="AV493" s="569"/>
      <c r="AW493" s="569"/>
      <c r="AX493" s="569"/>
      <c r="AY493" s="569"/>
      <c r="AZ493" s="569"/>
      <c r="BA493" s="569"/>
      <c r="BB493" s="569"/>
      <c r="BC493" s="569"/>
      <c r="BD493" s="569"/>
      <c r="BE493" s="569"/>
      <c r="BF493" s="569"/>
      <c r="BG493" s="569"/>
      <c r="BH493" s="569"/>
      <c r="BI493" s="569"/>
      <c r="BJ493" s="569"/>
      <c r="BK493" s="569"/>
      <c r="BL493" s="569"/>
      <c r="BM493" s="569"/>
      <c r="BN493" s="569"/>
      <c r="BO493" s="569"/>
      <c r="BP493" s="752"/>
      <c r="BQ493" s="752"/>
      <c r="BR493" s="752"/>
    </row>
    <row r="494" spans="1:70" s="22" customFormat="1" ht="99">
      <c r="A494" s="451"/>
      <c r="B494" s="34"/>
      <c r="C494" s="967" t="s">
        <v>41</v>
      </c>
      <c r="D494" s="967" t="s">
        <v>25</v>
      </c>
      <c r="E494" s="967" t="s">
        <v>78</v>
      </c>
      <c r="F494" s="967" t="s">
        <v>25</v>
      </c>
      <c r="G494" s="967" t="s">
        <v>25</v>
      </c>
      <c r="H494" s="577" t="s">
        <v>30</v>
      </c>
      <c r="I494" s="280" t="s">
        <v>69</v>
      </c>
      <c r="J494" s="416" t="s">
        <v>505</v>
      </c>
      <c r="K494" s="242">
        <v>60</v>
      </c>
      <c r="L494" s="449">
        <v>403688800</v>
      </c>
      <c r="M494" s="115">
        <v>24</v>
      </c>
      <c r="N494" s="36">
        <v>151680800</v>
      </c>
      <c r="O494" s="506">
        <v>12</v>
      </c>
      <c r="P494" s="36">
        <v>62944908</v>
      </c>
      <c r="Q494" s="115">
        <v>3</v>
      </c>
      <c r="R494" s="558">
        <v>14209550</v>
      </c>
      <c r="S494" s="34">
        <v>6</v>
      </c>
      <c r="T494" s="209">
        <v>14940050</v>
      </c>
      <c r="U494" s="34"/>
      <c r="V494" s="34"/>
      <c r="W494" s="34"/>
      <c r="X494" s="34"/>
      <c r="Y494" s="115">
        <f t="shared" si="139"/>
        <v>9</v>
      </c>
      <c r="Z494" s="873">
        <f t="shared" si="140"/>
        <v>29149600</v>
      </c>
      <c r="AA494" s="115">
        <f t="shared" si="141"/>
        <v>33</v>
      </c>
      <c r="AB494" s="873">
        <f t="shared" si="142"/>
        <v>180830400</v>
      </c>
      <c r="AC494" s="874">
        <f t="shared" si="143"/>
        <v>55.000000000000007</v>
      </c>
      <c r="AD494" s="874">
        <f t="shared" si="144"/>
        <v>44.794505074205674</v>
      </c>
      <c r="AE494" s="490"/>
      <c r="AF494" s="569"/>
      <c r="AG494" s="569"/>
      <c r="AH494" s="569"/>
      <c r="AI494" s="569"/>
      <c r="AJ494" s="569"/>
      <c r="AK494" s="569"/>
      <c r="AL494" s="569"/>
      <c r="AM494" s="569"/>
      <c r="AN494" s="569"/>
      <c r="AO494" s="569"/>
      <c r="AP494" s="569"/>
      <c r="AQ494" s="569"/>
      <c r="AR494" s="569"/>
      <c r="AS494" s="569"/>
      <c r="AT494" s="569"/>
      <c r="AU494" s="569"/>
      <c r="AV494" s="569"/>
      <c r="AW494" s="569"/>
      <c r="AX494" s="569"/>
      <c r="AY494" s="569"/>
      <c r="AZ494" s="569"/>
      <c r="BA494" s="569"/>
      <c r="BB494" s="569"/>
      <c r="BC494" s="569"/>
      <c r="BD494" s="569"/>
      <c r="BE494" s="569"/>
      <c r="BF494" s="569"/>
      <c r="BG494" s="569"/>
      <c r="BH494" s="569"/>
      <c r="BI494" s="569"/>
      <c r="BJ494" s="569"/>
      <c r="BK494" s="569"/>
      <c r="BL494" s="569"/>
      <c r="BM494" s="569"/>
      <c r="BN494" s="569"/>
      <c r="BO494" s="569"/>
      <c r="BP494" s="752"/>
      <c r="BQ494" s="752"/>
      <c r="BR494" s="752"/>
    </row>
    <row r="495" spans="1:70" s="22" customFormat="1" ht="66">
      <c r="A495" s="451"/>
      <c r="B495" s="34"/>
      <c r="C495" s="967" t="s">
        <v>41</v>
      </c>
      <c r="D495" s="967" t="s">
        <v>25</v>
      </c>
      <c r="E495" s="967" t="s">
        <v>78</v>
      </c>
      <c r="F495" s="967" t="s">
        <v>25</v>
      </c>
      <c r="G495" s="967" t="s">
        <v>25</v>
      </c>
      <c r="H495" s="577" t="s">
        <v>43</v>
      </c>
      <c r="I495" s="280" t="s">
        <v>420</v>
      </c>
      <c r="J495" s="416" t="s">
        <v>506</v>
      </c>
      <c r="K495" s="242">
        <v>36</v>
      </c>
      <c r="L495" s="449">
        <v>33000000</v>
      </c>
      <c r="M495" s="115">
        <v>0</v>
      </c>
      <c r="N495" s="36">
        <v>0</v>
      </c>
      <c r="O495" s="506">
        <v>12</v>
      </c>
      <c r="P495" s="36">
        <v>5500000</v>
      </c>
      <c r="Q495" s="115">
        <v>3</v>
      </c>
      <c r="R495" s="558">
        <v>0</v>
      </c>
      <c r="S495" s="34">
        <v>6</v>
      </c>
      <c r="T495" s="209">
        <v>1600000</v>
      </c>
      <c r="U495" s="34"/>
      <c r="V495" s="34"/>
      <c r="W495" s="34"/>
      <c r="X495" s="34"/>
      <c r="Y495" s="115">
        <f t="shared" si="139"/>
        <v>9</v>
      </c>
      <c r="Z495" s="873">
        <f t="shared" si="140"/>
        <v>1600000</v>
      </c>
      <c r="AA495" s="115">
        <f t="shared" si="141"/>
        <v>9</v>
      </c>
      <c r="AB495" s="873">
        <f t="shared" si="142"/>
        <v>1600000</v>
      </c>
      <c r="AC495" s="874">
        <f t="shared" si="143"/>
        <v>25</v>
      </c>
      <c r="AD495" s="874">
        <f t="shared" si="144"/>
        <v>4.8484848484848486</v>
      </c>
      <c r="AE495" s="490"/>
      <c r="AF495" s="569"/>
      <c r="AG495" s="569"/>
      <c r="AH495" s="569"/>
      <c r="AI495" s="569"/>
      <c r="AJ495" s="569"/>
      <c r="AK495" s="569"/>
      <c r="AL495" s="569"/>
      <c r="AM495" s="569"/>
      <c r="AN495" s="569"/>
      <c r="AO495" s="569"/>
      <c r="AP495" s="569"/>
      <c r="AQ495" s="569"/>
      <c r="AR495" s="569"/>
      <c r="AS495" s="569"/>
      <c r="AT495" s="569"/>
      <c r="AU495" s="569"/>
      <c r="AV495" s="569"/>
      <c r="AW495" s="569"/>
      <c r="AX495" s="569"/>
      <c r="AY495" s="569"/>
      <c r="AZ495" s="569"/>
      <c r="BA495" s="569"/>
      <c r="BB495" s="569"/>
      <c r="BC495" s="569"/>
      <c r="BD495" s="569"/>
      <c r="BE495" s="569"/>
      <c r="BF495" s="569"/>
      <c r="BG495" s="569"/>
      <c r="BH495" s="569"/>
      <c r="BI495" s="569"/>
      <c r="BJ495" s="569"/>
      <c r="BK495" s="569"/>
      <c r="BL495" s="569"/>
      <c r="BM495" s="569"/>
      <c r="BN495" s="569"/>
      <c r="BO495" s="569"/>
      <c r="BP495" s="752"/>
      <c r="BQ495" s="752"/>
      <c r="BR495" s="752"/>
    </row>
    <row r="496" spans="1:70" s="22" customFormat="1" ht="49.5">
      <c r="A496" s="451"/>
      <c r="B496" s="34"/>
      <c r="C496" s="967" t="s">
        <v>41</v>
      </c>
      <c r="D496" s="967" t="s">
        <v>25</v>
      </c>
      <c r="E496" s="967" t="s">
        <v>78</v>
      </c>
      <c r="F496" s="967" t="s">
        <v>25</v>
      </c>
      <c r="G496" s="967" t="s">
        <v>25</v>
      </c>
      <c r="H496" s="577" t="s">
        <v>31</v>
      </c>
      <c r="I496" s="280" t="s">
        <v>70</v>
      </c>
      <c r="J496" s="416" t="s">
        <v>103</v>
      </c>
      <c r="K496" s="242">
        <v>60</v>
      </c>
      <c r="L496" s="449">
        <v>153703600</v>
      </c>
      <c r="M496" s="115">
        <v>24</v>
      </c>
      <c r="N496" s="36">
        <v>61839400</v>
      </c>
      <c r="O496" s="506">
        <v>12</v>
      </c>
      <c r="P496" s="36">
        <v>43751971</v>
      </c>
      <c r="Q496" s="115">
        <v>3</v>
      </c>
      <c r="R496" s="558">
        <v>15370300</v>
      </c>
      <c r="S496" s="34">
        <v>6</v>
      </c>
      <c r="T496" s="209">
        <v>26347450</v>
      </c>
      <c r="U496" s="34"/>
      <c r="V496" s="34"/>
      <c r="W496" s="34"/>
      <c r="X496" s="34"/>
      <c r="Y496" s="115">
        <f t="shared" si="139"/>
        <v>9</v>
      </c>
      <c r="Z496" s="873">
        <f t="shared" si="140"/>
        <v>41717750</v>
      </c>
      <c r="AA496" s="115">
        <f t="shared" si="141"/>
        <v>33</v>
      </c>
      <c r="AB496" s="873">
        <f t="shared" si="142"/>
        <v>103557150</v>
      </c>
      <c r="AC496" s="874">
        <f t="shared" si="143"/>
        <v>55.000000000000007</v>
      </c>
      <c r="AD496" s="874">
        <f t="shared" si="144"/>
        <v>67.374576782846987</v>
      </c>
      <c r="AE496" s="490"/>
      <c r="AF496" s="569"/>
      <c r="AG496" s="569"/>
      <c r="AH496" s="569"/>
      <c r="AI496" s="569"/>
      <c r="AJ496" s="569"/>
      <c r="AK496" s="569"/>
      <c r="AL496" s="569"/>
      <c r="AM496" s="569"/>
      <c r="AN496" s="569"/>
      <c r="AO496" s="569"/>
      <c r="AP496" s="569"/>
      <c r="AQ496" s="569"/>
      <c r="AR496" s="569"/>
      <c r="AS496" s="569"/>
      <c r="AT496" s="569"/>
      <c r="AU496" s="569"/>
      <c r="AV496" s="569"/>
      <c r="AW496" s="569"/>
      <c r="AX496" s="569"/>
      <c r="AY496" s="569"/>
      <c r="AZ496" s="569"/>
      <c r="BA496" s="569"/>
      <c r="BB496" s="569"/>
      <c r="BC496" s="569"/>
      <c r="BD496" s="569"/>
      <c r="BE496" s="569"/>
      <c r="BF496" s="569"/>
      <c r="BG496" s="569"/>
      <c r="BH496" s="569"/>
      <c r="BI496" s="569"/>
      <c r="BJ496" s="569"/>
      <c r="BK496" s="569"/>
      <c r="BL496" s="569"/>
      <c r="BM496" s="569"/>
      <c r="BN496" s="569"/>
      <c r="BO496" s="569"/>
      <c r="BP496" s="752"/>
      <c r="BQ496" s="752"/>
      <c r="BR496" s="752"/>
    </row>
    <row r="497" spans="1:70" s="22" customFormat="1" ht="82.5">
      <c r="A497" s="451"/>
      <c r="B497" s="34"/>
      <c r="C497" s="967" t="s">
        <v>41</v>
      </c>
      <c r="D497" s="967" t="s">
        <v>25</v>
      </c>
      <c r="E497" s="967" t="s">
        <v>78</v>
      </c>
      <c r="F497" s="967" t="s">
        <v>25</v>
      </c>
      <c r="G497" s="967" t="s">
        <v>25</v>
      </c>
      <c r="H497" s="577" t="s">
        <v>62</v>
      </c>
      <c r="I497" s="280" t="s">
        <v>71</v>
      </c>
      <c r="J497" s="280" t="s">
        <v>507</v>
      </c>
      <c r="K497" s="242">
        <v>60</v>
      </c>
      <c r="L497" s="449">
        <v>202157700</v>
      </c>
      <c r="M497" s="115">
        <v>24</v>
      </c>
      <c r="N497" s="36">
        <v>44669400</v>
      </c>
      <c r="O497" s="506">
        <v>12</v>
      </c>
      <c r="P497" s="36">
        <v>38079860</v>
      </c>
      <c r="Q497" s="115">
        <v>3</v>
      </c>
      <c r="R497" s="558">
        <v>11963500</v>
      </c>
      <c r="S497" s="34">
        <v>6</v>
      </c>
      <c r="T497" s="209">
        <v>17846500</v>
      </c>
      <c r="U497" s="34"/>
      <c r="V497" s="34"/>
      <c r="W497" s="34"/>
      <c r="X497" s="34"/>
      <c r="Y497" s="115">
        <f t="shared" si="139"/>
        <v>9</v>
      </c>
      <c r="Z497" s="873">
        <f t="shared" si="140"/>
        <v>29810000</v>
      </c>
      <c r="AA497" s="115">
        <f t="shared" si="141"/>
        <v>33</v>
      </c>
      <c r="AB497" s="873">
        <f t="shared" si="142"/>
        <v>74479400</v>
      </c>
      <c r="AC497" s="874">
        <f t="shared" si="143"/>
        <v>55.000000000000007</v>
      </c>
      <c r="AD497" s="874">
        <f t="shared" si="144"/>
        <v>36.842227627243481</v>
      </c>
      <c r="AE497" s="490"/>
      <c r="AF497" s="569"/>
      <c r="AG497" s="569"/>
      <c r="AH497" s="569"/>
      <c r="AI497" s="569"/>
      <c r="AJ497" s="569"/>
      <c r="AK497" s="569"/>
      <c r="AL497" s="569"/>
      <c r="AM497" s="569"/>
      <c r="AN497" s="569"/>
      <c r="AO497" s="569"/>
      <c r="AP497" s="569"/>
      <c r="AQ497" s="569"/>
      <c r="AR497" s="569"/>
      <c r="AS497" s="569"/>
      <c r="AT497" s="569"/>
      <c r="AU497" s="569"/>
      <c r="AV497" s="569"/>
      <c r="AW497" s="569"/>
      <c r="AX497" s="569"/>
      <c r="AY497" s="569"/>
      <c r="AZ497" s="569"/>
      <c r="BA497" s="569"/>
      <c r="BB497" s="569"/>
      <c r="BC497" s="569"/>
      <c r="BD497" s="569"/>
      <c r="BE497" s="569"/>
      <c r="BF497" s="569"/>
      <c r="BG497" s="569"/>
      <c r="BH497" s="569"/>
      <c r="BI497" s="569"/>
      <c r="BJ497" s="569"/>
      <c r="BK497" s="569"/>
      <c r="BL497" s="569"/>
      <c r="BM497" s="569"/>
      <c r="BN497" s="569"/>
      <c r="BO497" s="569"/>
      <c r="BP497" s="752"/>
      <c r="BQ497" s="752"/>
      <c r="BR497" s="752"/>
    </row>
    <row r="498" spans="1:70" s="22" customFormat="1" ht="82.5">
      <c r="A498" s="451"/>
      <c r="B498" s="34"/>
      <c r="C498" s="967" t="s">
        <v>41</v>
      </c>
      <c r="D498" s="967" t="s">
        <v>25</v>
      </c>
      <c r="E498" s="967" t="s">
        <v>78</v>
      </c>
      <c r="F498" s="967" t="s">
        <v>25</v>
      </c>
      <c r="G498" s="967" t="s">
        <v>25</v>
      </c>
      <c r="H498" s="577" t="s">
        <v>52</v>
      </c>
      <c r="I498" s="280" t="s">
        <v>2738</v>
      </c>
      <c r="J498" s="280" t="s">
        <v>2739</v>
      </c>
      <c r="K498" s="242">
        <v>60</v>
      </c>
      <c r="L498" s="449">
        <f>2*N498</f>
        <v>128959160</v>
      </c>
      <c r="M498" s="115">
        <v>24</v>
      </c>
      <c r="N498" s="36">
        <v>64479580</v>
      </c>
      <c r="O498" s="506">
        <v>12</v>
      </c>
      <c r="P498" s="36">
        <v>12840970</v>
      </c>
      <c r="Q498" s="115">
        <v>3</v>
      </c>
      <c r="R498" s="558">
        <v>4032650</v>
      </c>
      <c r="S498" s="34">
        <v>6</v>
      </c>
      <c r="T498" s="209">
        <v>9085100</v>
      </c>
      <c r="U498" s="34"/>
      <c r="V498" s="34"/>
      <c r="W498" s="34"/>
      <c r="X498" s="34"/>
      <c r="Y498" s="115">
        <f t="shared" si="139"/>
        <v>9</v>
      </c>
      <c r="Z498" s="873">
        <f t="shared" si="140"/>
        <v>13117750</v>
      </c>
      <c r="AA498" s="115">
        <f t="shared" si="141"/>
        <v>33</v>
      </c>
      <c r="AB498" s="873">
        <f t="shared" si="142"/>
        <v>77597330</v>
      </c>
      <c r="AC498" s="874">
        <f t="shared" si="143"/>
        <v>55.000000000000007</v>
      </c>
      <c r="AD498" s="874">
        <f t="shared" si="144"/>
        <v>60.172018800370594</v>
      </c>
      <c r="AE498" s="490"/>
      <c r="AF498" s="569"/>
      <c r="AG498" s="569"/>
      <c r="AH498" s="569"/>
      <c r="AI498" s="569"/>
      <c r="AJ498" s="569"/>
      <c r="AK498" s="569"/>
      <c r="AL498" s="569"/>
      <c r="AM498" s="569"/>
      <c r="AN498" s="569"/>
      <c r="AO498" s="569"/>
      <c r="AP498" s="569"/>
      <c r="AQ498" s="569"/>
      <c r="AR498" s="569"/>
      <c r="AS498" s="569"/>
      <c r="AT498" s="569"/>
      <c r="AU498" s="569"/>
      <c r="AV498" s="569"/>
      <c r="AW498" s="569"/>
      <c r="AX498" s="569"/>
      <c r="AY498" s="569"/>
      <c r="AZ498" s="569"/>
      <c r="BA498" s="569"/>
      <c r="BB498" s="569"/>
      <c r="BC498" s="569"/>
      <c r="BD498" s="569"/>
      <c r="BE498" s="569"/>
      <c r="BF498" s="569"/>
      <c r="BG498" s="569"/>
      <c r="BH498" s="569"/>
      <c r="BI498" s="569"/>
      <c r="BJ498" s="569"/>
      <c r="BK498" s="569"/>
      <c r="BL498" s="569"/>
      <c r="BM498" s="569"/>
      <c r="BN498" s="569"/>
      <c r="BO498" s="569"/>
      <c r="BP498" s="752"/>
      <c r="BQ498" s="752"/>
      <c r="BR498" s="752"/>
    </row>
    <row r="499" spans="1:70" s="22" customFormat="1" ht="99">
      <c r="A499" s="451"/>
      <c r="B499" s="34"/>
      <c r="C499" s="967" t="s">
        <v>41</v>
      </c>
      <c r="D499" s="967" t="s">
        <v>25</v>
      </c>
      <c r="E499" s="967" t="s">
        <v>78</v>
      </c>
      <c r="F499" s="967" t="s">
        <v>25</v>
      </c>
      <c r="G499" s="967" t="s">
        <v>25</v>
      </c>
      <c r="H499" s="577" t="s">
        <v>74</v>
      </c>
      <c r="I499" s="280" t="s">
        <v>75</v>
      </c>
      <c r="J499" s="280" t="s">
        <v>508</v>
      </c>
      <c r="K499" s="242">
        <v>60</v>
      </c>
      <c r="L499" s="449">
        <v>195000000</v>
      </c>
      <c r="M499" s="115">
        <v>24</v>
      </c>
      <c r="N499" s="36">
        <v>82140000</v>
      </c>
      <c r="O499" s="506">
        <v>12</v>
      </c>
      <c r="P499" s="36">
        <v>13610000</v>
      </c>
      <c r="Q499" s="115">
        <v>3</v>
      </c>
      <c r="R499" s="558">
        <v>2555000</v>
      </c>
      <c r="S499" s="34">
        <v>6</v>
      </c>
      <c r="T499" s="209">
        <v>5542500</v>
      </c>
      <c r="U499" s="34"/>
      <c r="V499" s="34"/>
      <c r="W499" s="34"/>
      <c r="X499" s="34"/>
      <c r="Y499" s="115">
        <f t="shared" si="139"/>
        <v>9</v>
      </c>
      <c r="Z499" s="873">
        <f t="shared" si="140"/>
        <v>8097500</v>
      </c>
      <c r="AA499" s="115">
        <f t="shared" si="141"/>
        <v>33</v>
      </c>
      <c r="AB499" s="873">
        <f t="shared" si="142"/>
        <v>90237500</v>
      </c>
      <c r="AC499" s="874">
        <f t="shared" si="143"/>
        <v>55.000000000000007</v>
      </c>
      <c r="AD499" s="874">
        <f t="shared" si="144"/>
        <v>46.275641025641022</v>
      </c>
      <c r="AE499" s="490"/>
      <c r="AF499" s="569"/>
      <c r="AG499" s="569"/>
      <c r="AH499" s="569"/>
      <c r="AI499" s="569"/>
      <c r="AJ499" s="569"/>
      <c r="AK499" s="569"/>
      <c r="AL499" s="569"/>
      <c r="AM499" s="569"/>
      <c r="AN499" s="569"/>
      <c r="AO499" s="569"/>
      <c r="AP499" s="569"/>
      <c r="AQ499" s="569"/>
      <c r="AR499" s="569"/>
      <c r="AS499" s="569"/>
      <c r="AT499" s="569"/>
      <c r="AU499" s="569"/>
      <c r="AV499" s="569"/>
      <c r="AW499" s="569"/>
      <c r="AX499" s="569"/>
      <c r="AY499" s="569"/>
      <c r="AZ499" s="569"/>
      <c r="BA499" s="569"/>
      <c r="BB499" s="569"/>
      <c r="BC499" s="569"/>
      <c r="BD499" s="569"/>
      <c r="BE499" s="569"/>
      <c r="BF499" s="569"/>
      <c r="BG499" s="569"/>
      <c r="BH499" s="569"/>
      <c r="BI499" s="569"/>
      <c r="BJ499" s="569"/>
      <c r="BK499" s="569"/>
      <c r="BL499" s="569"/>
      <c r="BM499" s="569"/>
      <c r="BN499" s="569"/>
      <c r="BO499" s="569"/>
      <c r="BP499" s="752"/>
      <c r="BQ499" s="752"/>
      <c r="BR499" s="752"/>
    </row>
    <row r="500" spans="1:70" s="22" customFormat="1" ht="66">
      <c r="A500" s="451"/>
      <c r="B500" s="34"/>
      <c r="C500" s="967" t="s">
        <v>41</v>
      </c>
      <c r="D500" s="967" t="s">
        <v>25</v>
      </c>
      <c r="E500" s="967" t="s">
        <v>78</v>
      </c>
      <c r="F500" s="967" t="s">
        <v>25</v>
      </c>
      <c r="G500" s="967" t="s">
        <v>25</v>
      </c>
      <c r="H500" s="577" t="s">
        <v>44</v>
      </c>
      <c r="I500" s="280" t="s">
        <v>76</v>
      </c>
      <c r="J500" s="416" t="s">
        <v>509</v>
      </c>
      <c r="K500" s="242">
        <v>60</v>
      </c>
      <c r="L500" s="449">
        <v>787600000</v>
      </c>
      <c r="M500" s="115">
        <v>24</v>
      </c>
      <c r="N500" s="36">
        <v>410763546</v>
      </c>
      <c r="O500" s="506">
        <v>12</v>
      </c>
      <c r="P500" s="36">
        <v>67255000</v>
      </c>
      <c r="Q500" s="115">
        <v>3</v>
      </c>
      <c r="R500" s="558">
        <v>11184950</v>
      </c>
      <c r="S500" s="34">
        <v>6</v>
      </c>
      <c r="T500" s="209">
        <v>35940000</v>
      </c>
      <c r="U500" s="34"/>
      <c r="V500" s="34"/>
      <c r="W500" s="34"/>
      <c r="X500" s="34"/>
      <c r="Y500" s="115">
        <f t="shared" si="139"/>
        <v>9</v>
      </c>
      <c r="Z500" s="873">
        <f t="shared" si="140"/>
        <v>47124950</v>
      </c>
      <c r="AA500" s="115">
        <f t="shared" si="141"/>
        <v>33</v>
      </c>
      <c r="AB500" s="873">
        <f t="shared" si="142"/>
        <v>457888496</v>
      </c>
      <c r="AC500" s="874">
        <f t="shared" si="143"/>
        <v>55.000000000000007</v>
      </c>
      <c r="AD500" s="874">
        <f t="shared" si="144"/>
        <v>58.137188420518029</v>
      </c>
      <c r="AE500" s="490"/>
      <c r="AF500" s="569"/>
      <c r="AG500" s="569"/>
      <c r="AH500" s="569"/>
      <c r="AI500" s="569"/>
      <c r="AJ500" s="569"/>
      <c r="AK500" s="569"/>
      <c r="AL500" s="569"/>
      <c r="AM500" s="569"/>
      <c r="AN500" s="569"/>
      <c r="AO500" s="569"/>
      <c r="AP500" s="569"/>
      <c r="AQ500" s="569"/>
      <c r="AR500" s="569"/>
      <c r="AS500" s="569"/>
      <c r="AT500" s="569"/>
      <c r="AU500" s="569"/>
      <c r="AV500" s="569"/>
      <c r="AW500" s="569"/>
      <c r="AX500" s="569"/>
      <c r="AY500" s="569"/>
      <c r="AZ500" s="569"/>
      <c r="BA500" s="569"/>
      <c r="BB500" s="569"/>
      <c r="BC500" s="569"/>
      <c r="BD500" s="569"/>
      <c r="BE500" s="569"/>
      <c r="BF500" s="569"/>
      <c r="BG500" s="569"/>
      <c r="BH500" s="569"/>
      <c r="BI500" s="569"/>
      <c r="BJ500" s="569"/>
      <c r="BK500" s="569"/>
      <c r="BL500" s="569"/>
      <c r="BM500" s="569"/>
      <c r="BN500" s="569"/>
      <c r="BO500" s="569"/>
      <c r="BP500" s="752"/>
      <c r="BQ500" s="752"/>
      <c r="BR500" s="752"/>
    </row>
    <row r="501" spans="1:70" s="22" customFormat="1" ht="82.5">
      <c r="A501" s="451"/>
      <c r="B501" s="34"/>
      <c r="C501" s="967" t="s">
        <v>41</v>
      </c>
      <c r="D501" s="967" t="s">
        <v>25</v>
      </c>
      <c r="E501" s="967" t="s">
        <v>78</v>
      </c>
      <c r="F501" s="967" t="s">
        <v>25</v>
      </c>
      <c r="G501" s="967" t="s">
        <v>25</v>
      </c>
      <c r="H501" s="577" t="s">
        <v>47</v>
      </c>
      <c r="I501" s="280" t="s">
        <v>77</v>
      </c>
      <c r="J501" s="416" t="s">
        <v>510</v>
      </c>
      <c r="K501" s="242">
        <v>60</v>
      </c>
      <c r="L501" s="449">
        <v>463700000</v>
      </c>
      <c r="M501" s="115">
        <v>24</v>
      </c>
      <c r="N501" s="36">
        <v>167094800</v>
      </c>
      <c r="O501" s="506">
        <v>12</v>
      </c>
      <c r="P501" s="36">
        <v>68425000</v>
      </c>
      <c r="Q501" s="115">
        <v>3</v>
      </c>
      <c r="R501" s="558">
        <v>15095000</v>
      </c>
      <c r="S501" s="34">
        <v>6</v>
      </c>
      <c r="T501" s="209">
        <v>53673450</v>
      </c>
      <c r="U501" s="34"/>
      <c r="V501" s="34"/>
      <c r="W501" s="34"/>
      <c r="X501" s="34"/>
      <c r="Y501" s="115">
        <f t="shared" si="139"/>
        <v>9</v>
      </c>
      <c r="Z501" s="873">
        <f t="shared" si="140"/>
        <v>68768450</v>
      </c>
      <c r="AA501" s="115">
        <f t="shared" si="141"/>
        <v>33</v>
      </c>
      <c r="AB501" s="873">
        <f t="shared" si="142"/>
        <v>235863250</v>
      </c>
      <c r="AC501" s="874">
        <f t="shared" si="143"/>
        <v>55.000000000000007</v>
      </c>
      <c r="AD501" s="874">
        <f t="shared" si="144"/>
        <v>50.865484149234419</v>
      </c>
      <c r="AE501" s="490"/>
      <c r="AF501" s="569"/>
      <c r="AG501" s="569"/>
      <c r="AH501" s="569"/>
      <c r="AI501" s="569"/>
      <c r="AJ501" s="569"/>
      <c r="AK501" s="569"/>
      <c r="AL501" s="569"/>
      <c r="AM501" s="569"/>
      <c r="AN501" s="569"/>
      <c r="AO501" s="569"/>
      <c r="AP501" s="569"/>
      <c r="AQ501" s="569"/>
      <c r="AR501" s="569"/>
      <c r="AS501" s="569"/>
      <c r="AT501" s="569"/>
      <c r="AU501" s="569"/>
      <c r="AV501" s="569"/>
      <c r="AW501" s="569"/>
      <c r="AX501" s="569"/>
      <c r="AY501" s="569"/>
      <c r="AZ501" s="569"/>
      <c r="BA501" s="569"/>
      <c r="BB501" s="569"/>
      <c r="BC501" s="569"/>
      <c r="BD501" s="569"/>
      <c r="BE501" s="569"/>
      <c r="BF501" s="569"/>
      <c r="BG501" s="569"/>
      <c r="BH501" s="569"/>
      <c r="BI501" s="569"/>
      <c r="BJ501" s="569"/>
      <c r="BK501" s="569"/>
      <c r="BL501" s="569"/>
      <c r="BM501" s="569"/>
      <c r="BN501" s="569"/>
      <c r="BO501" s="569"/>
      <c r="BP501" s="752"/>
      <c r="BQ501" s="752"/>
      <c r="BR501" s="752"/>
    </row>
    <row r="502" spans="1:70" s="22" customFormat="1" ht="66">
      <c r="A502" s="451"/>
      <c r="B502" s="34"/>
      <c r="C502" s="967" t="s">
        <v>41</v>
      </c>
      <c r="D502" s="967" t="s">
        <v>25</v>
      </c>
      <c r="E502" s="967" t="s">
        <v>78</v>
      </c>
      <c r="F502" s="967" t="s">
        <v>25</v>
      </c>
      <c r="G502" s="967" t="s">
        <v>25</v>
      </c>
      <c r="H502" s="577" t="s">
        <v>35</v>
      </c>
      <c r="I502" s="34" t="s">
        <v>511</v>
      </c>
      <c r="J502" s="45" t="s">
        <v>512</v>
      </c>
      <c r="K502" s="506">
        <v>36</v>
      </c>
      <c r="L502" s="558">
        <v>400000000</v>
      </c>
      <c r="M502" s="115">
        <v>0</v>
      </c>
      <c r="N502" s="36">
        <v>0</v>
      </c>
      <c r="O502" s="506">
        <v>12</v>
      </c>
      <c r="P502" s="36">
        <v>132300000</v>
      </c>
      <c r="Q502" s="115">
        <v>3</v>
      </c>
      <c r="R502" s="558">
        <v>20980000</v>
      </c>
      <c r="S502" s="34">
        <v>6</v>
      </c>
      <c r="T502" s="209">
        <v>37220000</v>
      </c>
      <c r="U502" s="34"/>
      <c r="V502" s="34"/>
      <c r="W502" s="34"/>
      <c r="X502" s="34"/>
      <c r="Y502" s="115">
        <f t="shared" si="139"/>
        <v>9</v>
      </c>
      <c r="Z502" s="873">
        <f t="shared" si="140"/>
        <v>58200000</v>
      </c>
      <c r="AA502" s="115">
        <f t="shared" si="141"/>
        <v>9</v>
      </c>
      <c r="AB502" s="873">
        <f t="shared" si="142"/>
        <v>58200000</v>
      </c>
      <c r="AC502" s="874">
        <f t="shared" si="143"/>
        <v>25</v>
      </c>
      <c r="AD502" s="874">
        <f t="shared" si="144"/>
        <v>14.549999999999999</v>
      </c>
      <c r="AE502" s="490"/>
      <c r="AF502" s="569"/>
      <c r="AG502" s="569"/>
      <c r="AH502" s="569"/>
      <c r="AI502" s="569"/>
      <c r="AJ502" s="569"/>
      <c r="AK502" s="569"/>
      <c r="AL502" s="569"/>
      <c r="AM502" s="569"/>
      <c r="AN502" s="569"/>
      <c r="AO502" s="569"/>
      <c r="AP502" s="569"/>
      <c r="AQ502" s="569"/>
      <c r="AR502" s="569"/>
      <c r="AS502" s="569"/>
      <c r="AT502" s="569"/>
      <c r="AU502" s="569"/>
      <c r="AV502" s="569"/>
      <c r="AW502" s="569"/>
      <c r="AX502" s="569"/>
      <c r="AY502" s="569"/>
      <c r="AZ502" s="569"/>
      <c r="BA502" s="569"/>
      <c r="BB502" s="569"/>
      <c r="BC502" s="569"/>
      <c r="BD502" s="569"/>
      <c r="BE502" s="569"/>
      <c r="BF502" s="569"/>
      <c r="BG502" s="569"/>
      <c r="BH502" s="569"/>
      <c r="BI502" s="569"/>
      <c r="BJ502" s="569"/>
      <c r="BK502" s="569"/>
      <c r="BL502" s="569"/>
      <c r="BM502" s="569"/>
      <c r="BN502" s="569"/>
      <c r="BO502" s="569"/>
      <c r="BP502" s="752"/>
      <c r="BQ502" s="752"/>
      <c r="BR502" s="752"/>
    </row>
    <row r="503" spans="1:70" s="22" customFormat="1" ht="66">
      <c r="A503" s="451"/>
      <c r="B503" s="34"/>
      <c r="C503" s="967" t="s">
        <v>41</v>
      </c>
      <c r="D503" s="967" t="s">
        <v>25</v>
      </c>
      <c r="E503" s="967" t="s">
        <v>78</v>
      </c>
      <c r="F503" s="967" t="s">
        <v>25</v>
      </c>
      <c r="G503" s="967" t="s">
        <v>25</v>
      </c>
      <c r="H503" s="577" t="s">
        <v>53</v>
      </c>
      <c r="I503" s="34" t="s">
        <v>424</v>
      </c>
      <c r="J503" s="45" t="s">
        <v>513</v>
      </c>
      <c r="K503" s="506">
        <v>36</v>
      </c>
      <c r="L503" s="558">
        <v>180000000</v>
      </c>
      <c r="M503" s="115">
        <v>0</v>
      </c>
      <c r="N503" s="36">
        <v>0</v>
      </c>
      <c r="O503" s="506">
        <v>12</v>
      </c>
      <c r="P503" s="36">
        <v>59132366</v>
      </c>
      <c r="Q503" s="115">
        <v>3</v>
      </c>
      <c r="R503" s="558">
        <v>25003000</v>
      </c>
      <c r="S503" s="34">
        <v>6</v>
      </c>
      <c r="T503" s="209">
        <v>31800000</v>
      </c>
      <c r="U503" s="34"/>
      <c r="V503" s="34"/>
      <c r="W503" s="34"/>
      <c r="X503" s="34"/>
      <c r="Y503" s="115">
        <f t="shared" si="139"/>
        <v>9</v>
      </c>
      <c r="Z503" s="873">
        <f t="shared" si="140"/>
        <v>56803000</v>
      </c>
      <c r="AA503" s="115">
        <f t="shared" si="141"/>
        <v>9</v>
      </c>
      <c r="AB503" s="873">
        <f t="shared" si="142"/>
        <v>56803000</v>
      </c>
      <c r="AC503" s="874">
        <f t="shared" si="143"/>
        <v>25</v>
      </c>
      <c r="AD503" s="874">
        <f t="shared" si="144"/>
        <v>31.557222222222219</v>
      </c>
      <c r="AE503" s="490"/>
      <c r="AF503" s="569"/>
      <c r="AG503" s="569"/>
      <c r="AH503" s="569"/>
      <c r="AI503" s="569"/>
      <c r="AJ503" s="569"/>
      <c r="AK503" s="569"/>
      <c r="AL503" s="569"/>
      <c r="AM503" s="569"/>
      <c r="AN503" s="569"/>
      <c r="AO503" s="569"/>
      <c r="AP503" s="569"/>
      <c r="AQ503" s="569"/>
      <c r="AR503" s="569"/>
      <c r="AS503" s="569"/>
      <c r="AT503" s="569"/>
      <c r="AU503" s="569"/>
      <c r="AV503" s="569"/>
      <c r="AW503" s="569"/>
      <c r="AX503" s="569"/>
      <c r="AY503" s="569"/>
      <c r="AZ503" s="569"/>
      <c r="BA503" s="569"/>
      <c r="BB503" s="569"/>
      <c r="BC503" s="569"/>
      <c r="BD503" s="569"/>
      <c r="BE503" s="569"/>
      <c r="BF503" s="569"/>
      <c r="BG503" s="569"/>
      <c r="BH503" s="569"/>
      <c r="BI503" s="569"/>
      <c r="BJ503" s="569"/>
      <c r="BK503" s="569"/>
      <c r="BL503" s="569"/>
      <c r="BM503" s="569"/>
      <c r="BN503" s="569"/>
      <c r="BO503" s="569"/>
      <c r="BP503" s="752"/>
      <c r="BQ503" s="752"/>
      <c r="BR503" s="752"/>
    </row>
    <row r="504" spans="1:70" s="22" customFormat="1" ht="82.5">
      <c r="A504" s="2554">
        <v>2</v>
      </c>
      <c r="B504" s="44"/>
      <c r="C504" s="753" t="s">
        <v>41</v>
      </c>
      <c r="D504" s="753" t="s">
        <v>25</v>
      </c>
      <c r="E504" s="753" t="s">
        <v>78</v>
      </c>
      <c r="F504" s="753" t="s">
        <v>25</v>
      </c>
      <c r="G504" s="753" t="s">
        <v>28</v>
      </c>
      <c r="H504" s="753"/>
      <c r="I504" s="44" t="s">
        <v>36</v>
      </c>
      <c r="J504" s="489" t="s">
        <v>2552</v>
      </c>
      <c r="K504" s="146">
        <v>60</v>
      </c>
      <c r="L504" s="879">
        <f>SUM(L505:L510)</f>
        <v>1759625000</v>
      </c>
      <c r="M504" s="146">
        <v>24</v>
      </c>
      <c r="N504" s="879">
        <f>SUM(N505:N510)</f>
        <v>395411666</v>
      </c>
      <c r="O504" s="146">
        <v>12</v>
      </c>
      <c r="P504" s="879">
        <f>SUM(P505:P510)</f>
        <v>445536800</v>
      </c>
      <c r="Q504" s="880">
        <v>3</v>
      </c>
      <c r="R504" s="879">
        <f>SUM(R505:R510)</f>
        <v>12839880</v>
      </c>
      <c r="S504" s="44"/>
      <c r="T504" s="221">
        <f>SUM(T507:T510)</f>
        <v>87814674</v>
      </c>
      <c r="U504" s="44"/>
      <c r="V504" s="44"/>
      <c r="W504" s="44"/>
      <c r="X504" s="44"/>
      <c r="Y504" s="146">
        <f t="shared" si="139"/>
        <v>3</v>
      </c>
      <c r="Z504" s="879">
        <f t="shared" si="140"/>
        <v>100654554</v>
      </c>
      <c r="AA504" s="146">
        <f t="shared" si="141"/>
        <v>27</v>
      </c>
      <c r="AB504" s="879">
        <f t="shared" si="142"/>
        <v>496066220</v>
      </c>
      <c r="AC504" s="868">
        <f t="shared" si="143"/>
        <v>45</v>
      </c>
      <c r="AD504" s="868">
        <f t="shared" si="144"/>
        <v>28.191587412090648</v>
      </c>
      <c r="AE504" s="482" t="s">
        <v>2746</v>
      </c>
      <c r="AF504" s="569"/>
      <c r="AG504" s="569"/>
      <c r="AH504" s="569"/>
      <c r="AI504" s="569"/>
      <c r="AJ504" s="569"/>
      <c r="AK504" s="569"/>
      <c r="AL504" s="569"/>
      <c r="AM504" s="569"/>
      <c r="AN504" s="569"/>
      <c r="AO504" s="569"/>
      <c r="AP504" s="569"/>
      <c r="AQ504" s="569"/>
      <c r="AR504" s="569"/>
      <c r="AS504" s="569"/>
      <c r="AT504" s="569"/>
      <c r="AU504" s="569"/>
      <c r="AV504" s="569"/>
      <c r="AW504" s="569"/>
      <c r="AX504" s="569"/>
      <c r="AY504" s="569"/>
      <c r="AZ504" s="569"/>
      <c r="BA504" s="569"/>
      <c r="BB504" s="569"/>
      <c r="BC504" s="569"/>
      <c r="BD504" s="569"/>
      <c r="BE504" s="569"/>
      <c r="BF504" s="569"/>
      <c r="BG504" s="569"/>
      <c r="BH504" s="569"/>
      <c r="BI504" s="569"/>
      <c r="BJ504" s="569"/>
      <c r="BK504" s="569"/>
      <c r="BL504" s="569"/>
      <c r="BM504" s="569"/>
      <c r="BN504" s="569"/>
      <c r="BO504" s="569"/>
      <c r="BP504" s="752"/>
      <c r="BQ504" s="752"/>
      <c r="BR504" s="752"/>
    </row>
    <row r="505" spans="1:70" s="22" customFormat="1" ht="66">
      <c r="A505" s="451"/>
      <c r="B505" s="34"/>
      <c r="C505" s="967" t="s">
        <v>41</v>
      </c>
      <c r="D505" s="967" t="s">
        <v>25</v>
      </c>
      <c r="E505" s="967" t="s">
        <v>78</v>
      </c>
      <c r="F505" s="967" t="s">
        <v>25</v>
      </c>
      <c r="G505" s="967" t="s">
        <v>28</v>
      </c>
      <c r="H505" s="967" t="s">
        <v>38</v>
      </c>
      <c r="I505" s="34" t="s">
        <v>514</v>
      </c>
      <c r="J505" s="45" t="s">
        <v>515</v>
      </c>
      <c r="K505" s="506">
        <v>9</v>
      </c>
      <c r="L505" s="558">
        <v>240000000</v>
      </c>
      <c r="M505" s="506">
        <v>0</v>
      </c>
      <c r="N505" s="36">
        <v>0</v>
      </c>
      <c r="O505" s="506">
        <v>3</v>
      </c>
      <c r="P505" s="36">
        <v>80000000</v>
      </c>
      <c r="Q505" s="882"/>
      <c r="R505" s="558"/>
      <c r="S505" s="34"/>
      <c r="T505" s="34"/>
      <c r="U505" s="34"/>
      <c r="V505" s="34"/>
      <c r="W505" s="34"/>
      <c r="X505" s="34"/>
      <c r="Y505" s="115">
        <f t="shared" si="139"/>
        <v>0</v>
      </c>
      <c r="Z505" s="873">
        <f t="shared" si="140"/>
        <v>0</v>
      </c>
      <c r="AA505" s="115">
        <f t="shared" si="141"/>
        <v>0</v>
      </c>
      <c r="AB505" s="873">
        <f t="shared" si="142"/>
        <v>0</v>
      </c>
      <c r="AC505" s="874">
        <f t="shared" si="143"/>
        <v>0</v>
      </c>
      <c r="AD505" s="874">
        <f t="shared" si="144"/>
        <v>0</v>
      </c>
      <c r="AE505" s="490"/>
      <c r="AF505" s="569"/>
      <c r="AG505" s="569"/>
      <c r="AH505" s="569"/>
      <c r="AI505" s="569"/>
      <c r="AJ505" s="569"/>
      <c r="AK505" s="569"/>
      <c r="AL505" s="569"/>
      <c r="AM505" s="569"/>
      <c r="AN505" s="569"/>
      <c r="AO505" s="569"/>
      <c r="AP505" s="569"/>
      <c r="AQ505" s="569"/>
      <c r="AR505" s="569"/>
      <c r="AS505" s="569"/>
      <c r="AT505" s="569"/>
      <c r="AU505" s="569"/>
      <c r="AV505" s="569"/>
      <c r="AW505" s="569"/>
      <c r="AX505" s="569"/>
      <c r="AY505" s="569"/>
      <c r="AZ505" s="569"/>
      <c r="BA505" s="569"/>
      <c r="BB505" s="569"/>
      <c r="BC505" s="569"/>
      <c r="BD505" s="569"/>
      <c r="BE505" s="569"/>
      <c r="BF505" s="569"/>
      <c r="BG505" s="569"/>
      <c r="BH505" s="569"/>
      <c r="BI505" s="569"/>
      <c r="BJ505" s="569"/>
      <c r="BK505" s="569"/>
      <c r="BL505" s="569"/>
      <c r="BM505" s="569"/>
      <c r="BN505" s="569"/>
      <c r="BO505" s="569"/>
      <c r="BP505" s="752"/>
      <c r="BQ505" s="752"/>
      <c r="BR505" s="752"/>
    </row>
    <row r="506" spans="1:70" s="22" customFormat="1" ht="49.5">
      <c r="A506" s="451"/>
      <c r="B506" s="34"/>
      <c r="C506" s="967" t="s">
        <v>41</v>
      </c>
      <c r="D506" s="967" t="s">
        <v>25</v>
      </c>
      <c r="E506" s="967" t="s">
        <v>78</v>
      </c>
      <c r="F506" s="967" t="s">
        <v>25</v>
      </c>
      <c r="G506" s="967" t="s">
        <v>28</v>
      </c>
      <c r="H506" s="967" t="s">
        <v>43</v>
      </c>
      <c r="I506" s="280" t="s">
        <v>82</v>
      </c>
      <c r="J506" s="416" t="s">
        <v>2740</v>
      </c>
      <c r="K506" s="242">
        <v>30</v>
      </c>
      <c r="L506" s="449">
        <v>150000000</v>
      </c>
      <c r="M506" s="115"/>
      <c r="N506" s="36"/>
      <c r="O506" s="506">
        <v>10</v>
      </c>
      <c r="P506" s="36">
        <v>57800000</v>
      </c>
      <c r="Q506" s="115"/>
      <c r="R506" s="558"/>
      <c r="S506" s="34"/>
      <c r="T506" s="209"/>
      <c r="U506" s="34"/>
      <c r="V506" s="34"/>
      <c r="W506" s="34"/>
      <c r="X506" s="34"/>
      <c r="Y506" s="115">
        <f t="shared" si="139"/>
        <v>0</v>
      </c>
      <c r="Z506" s="873">
        <f t="shared" si="140"/>
        <v>0</v>
      </c>
      <c r="AA506" s="115">
        <f t="shared" si="141"/>
        <v>0</v>
      </c>
      <c r="AB506" s="873">
        <f t="shared" si="142"/>
        <v>0</v>
      </c>
      <c r="AC506" s="874">
        <f t="shared" si="143"/>
        <v>0</v>
      </c>
      <c r="AD506" s="874">
        <f t="shared" si="144"/>
        <v>0</v>
      </c>
      <c r="AE506" s="490"/>
      <c r="AF506" s="569"/>
      <c r="AG506" s="569"/>
      <c r="AH506" s="569"/>
      <c r="AI506" s="569"/>
      <c r="AJ506" s="569"/>
      <c r="AK506" s="569"/>
      <c r="AL506" s="569"/>
      <c r="AM506" s="569"/>
      <c r="AN506" s="569"/>
      <c r="AO506" s="569"/>
      <c r="AP506" s="569"/>
      <c r="AQ506" s="569"/>
      <c r="AR506" s="569"/>
      <c r="AS506" s="569"/>
      <c r="AT506" s="569"/>
      <c r="AU506" s="569"/>
      <c r="AV506" s="569"/>
      <c r="AW506" s="569"/>
      <c r="AX506" s="569"/>
      <c r="AY506" s="569"/>
      <c r="AZ506" s="569"/>
      <c r="BA506" s="569"/>
      <c r="BB506" s="569"/>
      <c r="BC506" s="569"/>
      <c r="BD506" s="569"/>
      <c r="BE506" s="569"/>
      <c r="BF506" s="569"/>
      <c r="BG506" s="569"/>
      <c r="BH506" s="569"/>
      <c r="BI506" s="569"/>
      <c r="BJ506" s="569"/>
      <c r="BK506" s="569"/>
      <c r="BL506" s="569"/>
      <c r="BM506" s="569"/>
      <c r="BN506" s="569"/>
      <c r="BO506" s="569"/>
      <c r="BP506" s="752"/>
      <c r="BQ506" s="752"/>
      <c r="BR506" s="752"/>
    </row>
    <row r="507" spans="1:70" s="22" customFormat="1" ht="33">
      <c r="A507" s="451"/>
      <c r="B507" s="34"/>
      <c r="C507" s="967" t="s">
        <v>41</v>
      </c>
      <c r="D507" s="967" t="s">
        <v>25</v>
      </c>
      <c r="E507" s="967" t="s">
        <v>78</v>
      </c>
      <c r="F507" s="967" t="s">
        <v>25</v>
      </c>
      <c r="G507" s="967" t="s">
        <v>28</v>
      </c>
      <c r="H507" s="967" t="s">
        <v>31</v>
      </c>
      <c r="I507" s="34" t="s">
        <v>83</v>
      </c>
      <c r="J507" s="45" t="s">
        <v>516</v>
      </c>
      <c r="K507" s="506">
        <v>150</v>
      </c>
      <c r="L507" s="558">
        <v>374080000</v>
      </c>
      <c r="M507" s="506">
        <v>123</v>
      </c>
      <c r="N507" s="36">
        <v>203900000</v>
      </c>
      <c r="O507" s="506">
        <v>26</v>
      </c>
      <c r="P507" s="36">
        <v>66441800</v>
      </c>
      <c r="Q507" s="969"/>
      <c r="R507" s="558"/>
      <c r="S507" s="34">
        <v>23</v>
      </c>
      <c r="T507" s="232">
        <v>49850000</v>
      </c>
      <c r="U507" s="34"/>
      <c r="V507" s="34"/>
      <c r="W507" s="34"/>
      <c r="X507" s="34"/>
      <c r="Y507" s="115">
        <f t="shared" si="139"/>
        <v>23</v>
      </c>
      <c r="Z507" s="873">
        <f t="shared" si="140"/>
        <v>49850000</v>
      </c>
      <c r="AA507" s="115">
        <f t="shared" si="141"/>
        <v>146</v>
      </c>
      <c r="AB507" s="873">
        <f t="shared" si="142"/>
        <v>253750000</v>
      </c>
      <c r="AC507" s="874">
        <f t="shared" si="143"/>
        <v>97.333333333333343</v>
      </c>
      <c r="AD507" s="874">
        <f t="shared" si="144"/>
        <v>67.833083832335333</v>
      </c>
      <c r="AE507" s="490"/>
      <c r="AF507" s="569"/>
      <c r="AG507" s="569"/>
      <c r="AH507" s="569"/>
      <c r="AI507" s="569"/>
      <c r="AJ507" s="569"/>
      <c r="AK507" s="569"/>
      <c r="AL507" s="569"/>
      <c r="AM507" s="569"/>
      <c r="AN507" s="569"/>
      <c r="AO507" s="569"/>
      <c r="AP507" s="569"/>
      <c r="AQ507" s="569"/>
      <c r="AR507" s="569"/>
      <c r="AS507" s="569"/>
      <c r="AT507" s="569"/>
      <c r="AU507" s="569"/>
      <c r="AV507" s="569"/>
      <c r="AW507" s="569"/>
      <c r="AX507" s="569"/>
      <c r="AY507" s="569"/>
      <c r="AZ507" s="569"/>
      <c r="BA507" s="569"/>
      <c r="BB507" s="569"/>
      <c r="BC507" s="569"/>
      <c r="BD507" s="569"/>
      <c r="BE507" s="569"/>
      <c r="BF507" s="569"/>
      <c r="BG507" s="569"/>
      <c r="BH507" s="569"/>
      <c r="BI507" s="569"/>
      <c r="BJ507" s="569"/>
      <c r="BK507" s="569"/>
      <c r="BL507" s="569"/>
      <c r="BM507" s="569"/>
      <c r="BN507" s="569"/>
      <c r="BO507" s="569"/>
      <c r="BP507" s="752"/>
      <c r="BQ507" s="752"/>
      <c r="BR507" s="752"/>
    </row>
    <row r="508" spans="1:70" s="22" customFormat="1" ht="33">
      <c r="A508" s="451"/>
      <c r="B508" s="34"/>
      <c r="C508" s="967" t="s">
        <v>41</v>
      </c>
      <c r="D508" s="967" t="s">
        <v>25</v>
      </c>
      <c r="E508" s="967" t="s">
        <v>78</v>
      </c>
      <c r="F508" s="967" t="s">
        <v>25</v>
      </c>
      <c r="G508" s="967" t="s">
        <v>28</v>
      </c>
      <c r="H508" s="967" t="s">
        <v>35</v>
      </c>
      <c r="I508" s="34" t="s">
        <v>241</v>
      </c>
      <c r="J508" s="45" t="s">
        <v>517</v>
      </c>
      <c r="K508" s="506">
        <v>3</v>
      </c>
      <c r="L508" s="558">
        <v>450000000</v>
      </c>
      <c r="M508" s="506">
        <v>0</v>
      </c>
      <c r="N508" s="36">
        <v>0</v>
      </c>
      <c r="O508" s="506">
        <v>1</v>
      </c>
      <c r="P508" s="36">
        <v>150000000</v>
      </c>
      <c r="Q508" s="969"/>
      <c r="R508" s="558"/>
      <c r="S508" s="34"/>
      <c r="T508" s="232"/>
      <c r="U508" s="34"/>
      <c r="V508" s="34"/>
      <c r="W508" s="34"/>
      <c r="X508" s="34"/>
      <c r="Y508" s="115">
        <f t="shared" si="139"/>
        <v>0</v>
      </c>
      <c r="Z508" s="873">
        <f t="shared" si="140"/>
        <v>0</v>
      </c>
      <c r="AA508" s="115">
        <f t="shared" si="141"/>
        <v>0</v>
      </c>
      <c r="AB508" s="873">
        <f t="shared" si="142"/>
        <v>0</v>
      </c>
      <c r="AC508" s="874">
        <f t="shared" si="143"/>
        <v>0</v>
      </c>
      <c r="AD508" s="874">
        <f t="shared" si="144"/>
        <v>0</v>
      </c>
      <c r="AE508" s="490"/>
      <c r="AF508" s="569"/>
      <c r="AG508" s="569"/>
      <c r="AH508" s="569"/>
      <c r="AI508" s="569"/>
      <c r="AJ508" s="569"/>
      <c r="AK508" s="569"/>
      <c r="AL508" s="569"/>
      <c r="AM508" s="569"/>
      <c r="AN508" s="569"/>
      <c r="AO508" s="569"/>
      <c r="AP508" s="569"/>
      <c r="AQ508" s="569"/>
      <c r="AR508" s="569"/>
      <c r="AS508" s="569"/>
      <c r="AT508" s="569"/>
      <c r="AU508" s="569"/>
      <c r="AV508" s="569"/>
      <c r="AW508" s="569"/>
      <c r="AX508" s="569"/>
      <c r="AY508" s="569"/>
      <c r="AZ508" s="569"/>
      <c r="BA508" s="569"/>
      <c r="BB508" s="569"/>
      <c r="BC508" s="569"/>
      <c r="BD508" s="569"/>
      <c r="BE508" s="569"/>
      <c r="BF508" s="569"/>
      <c r="BG508" s="569"/>
      <c r="BH508" s="569"/>
      <c r="BI508" s="569"/>
      <c r="BJ508" s="569"/>
      <c r="BK508" s="569"/>
      <c r="BL508" s="569"/>
      <c r="BM508" s="569"/>
      <c r="BN508" s="569"/>
      <c r="BO508" s="569"/>
      <c r="BP508" s="752"/>
      <c r="BQ508" s="752"/>
      <c r="BR508" s="752"/>
    </row>
    <row r="509" spans="1:70" s="22" customFormat="1" ht="99">
      <c r="A509" s="451"/>
      <c r="B509" s="34"/>
      <c r="C509" s="967" t="s">
        <v>41</v>
      </c>
      <c r="D509" s="967" t="s">
        <v>25</v>
      </c>
      <c r="E509" s="967" t="s">
        <v>78</v>
      </c>
      <c r="F509" s="967" t="s">
        <v>25</v>
      </c>
      <c r="G509" s="967" t="s">
        <v>28</v>
      </c>
      <c r="H509" s="967" t="s">
        <v>84</v>
      </c>
      <c r="I509" s="34" t="s">
        <v>518</v>
      </c>
      <c r="J509" s="45" t="s">
        <v>519</v>
      </c>
      <c r="K509" s="506">
        <v>60</v>
      </c>
      <c r="L509" s="558">
        <v>419770000</v>
      </c>
      <c r="M509" s="506">
        <v>24</v>
      </c>
      <c r="N509" s="36">
        <v>172614276</v>
      </c>
      <c r="O509" s="506">
        <v>12</v>
      </c>
      <c r="P509" s="36">
        <v>68920000</v>
      </c>
      <c r="Q509" s="875">
        <v>3</v>
      </c>
      <c r="R509" s="558">
        <v>11593800</v>
      </c>
      <c r="S509" s="34">
        <v>6</v>
      </c>
      <c r="T509" s="232">
        <v>34793594</v>
      </c>
      <c r="U509" s="34"/>
      <c r="V509" s="34"/>
      <c r="W509" s="34"/>
      <c r="X509" s="34"/>
      <c r="Y509" s="115">
        <f t="shared" si="139"/>
        <v>9</v>
      </c>
      <c r="Z509" s="873">
        <f t="shared" si="140"/>
        <v>46387394</v>
      </c>
      <c r="AA509" s="115">
        <f t="shared" si="141"/>
        <v>33</v>
      </c>
      <c r="AB509" s="873">
        <f t="shared" si="142"/>
        <v>219001670</v>
      </c>
      <c r="AC509" s="874">
        <f t="shared" si="143"/>
        <v>55.000000000000007</v>
      </c>
      <c r="AD509" s="874">
        <f t="shared" si="144"/>
        <v>52.171825047049566</v>
      </c>
      <c r="AE509" s="490"/>
      <c r="AF509" s="569"/>
      <c r="AG509" s="569"/>
      <c r="AH509" s="569"/>
      <c r="AI509" s="569"/>
      <c r="AJ509" s="569"/>
      <c r="AK509" s="569"/>
      <c r="AL509" s="569"/>
      <c r="AM509" s="569"/>
      <c r="AN509" s="569"/>
      <c r="AO509" s="569"/>
      <c r="AP509" s="569"/>
      <c r="AQ509" s="569"/>
      <c r="AR509" s="569"/>
      <c r="AS509" s="569"/>
      <c r="AT509" s="569"/>
      <c r="AU509" s="569"/>
      <c r="AV509" s="569"/>
      <c r="AW509" s="569"/>
      <c r="AX509" s="569"/>
      <c r="AY509" s="569"/>
      <c r="AZ509" s="569"/>
      <c r="BA509" s="569"/>
      <c r="BB509" s="569"/>
      <c r="BC509" s="569"/>
      <c r="BD509" s="569"/>
      <c r="BE509" s="569"/>
      <c r="BF509" s="569"/>
      <c r="BG509" s="569"/>
      <c r="BH509" s="569"/>
      <c r="BI509" s="569"/>
      <c r="BJ509" s="569"/>
      <c r="BK509" s="569"/>
      <c r="BL509" s="569"/>
      <c r="BM509" s="569"/>
      <c r="BN509" s="569"/>
      <c r="BO509" s="569"/>
      <c r="BP509" s="752"/>
      <c r="BQ509" s="752"/>
      <c r="BR509" s="752"/>
    </row>
    <row r="510" spans="1:70" s="22" customFormat="1" ht="82.5">
      <c r="A510" s="451"/>
      <c r="B510" s="34"/>
      <c r="C510" s="967" t="s">
        <v>41</v>
      </c>
      <c r="D510" s="967" t="s">
        <v>25</v>
      </c>
      <c r="E510" s="967" t="s">
        <v>78</v>
      </c>
      <c r="F510" s="967" t="s">
        <v>25</v>
      </c>
      <c r="G510" s="967" t="s">
        <v>28</v>
      </c>
      <c r="H510" s="967" t="s">
        <v>50</v>
      </c>
      <c r="I510" s="34" t="s">
        <v>520</v>
      </c>
      <c r="J510" s="45" t="s">
        <v>521</v>
      </c>
      <c r="K510" s="506">
        <v>60</v>
      </c>
      <c r="L510" s="558">
        <v>125775000</v>
      </c>
      <c r="M510" s="506">
        <v>24</v>
      </c>
      <c r="N510" s="36">
        <v>18897390</v>
      </c>
      <c r="O510" s="506">
        <v>12</v>
      </c>
      <c r="P510" s="36">
        <v>22375000</v>
      </c>
      <c r="Q510" s="875">
        <v>3</v>
      </c>
      <c r="R510" s="558">
        <v>1246080</v>
      </c>
      <c r="S510" s="34">
        <v>6</v>
      </c>
      <c r="T510" s="232">
        <v>3171080</v>
      </c>
      <c r="U510" s="34"/>
      <c r="V510" s="34"/>
      <c r="W510" s="34"/>
      <c r="X510" s="34"/>
      <c r="Y510" s="115">
        <f t="shared" si="139"/>
        <v>9</v>
      </c>
      <c r="Z510" s="873">
        <f t="shared" si="140"/>
        <v>4417160</v>
      </c>
      <c r="AA510" s="115">
        <f t="shared" si="141"/>
        <v>33</v>
      </c>
      <c r="AB510" s="873">
        <f t="shared" si="142"/>
        <v>23314550</v>
      </c>
      <c r="AC510" s="874">
        <f t="shared" si="143"/>
        <v>55.000000000000007</v>
      </c>
      <c r="AD510" s="874">
        <f t="shared" si="144"/>
        <v>18.53671238322401</v>
      </c>
      <c r="AE510" s="490"/>
      <c r="AF510" s="569"/>
      <c r="AG510" s="569"/>
      <c r="AH510" s="569"/>
      <c r="AI510" s="569"/>
      <c r="AJ510" s="569"/>
      <c r="AK510" s="569"/>
      <c r="AL510" s="569"/>
      <c r="AM510" s="569"/>
      <c r="AN510" s="569"/>
      <c r="AO510" s="569"/>
      <c r="AP510" s="569"/>
      <c r="AQ510" s="569"/>
      <c r="AR510" s="569"/>
      <c r="AS510" s="569"/>
      <c r="AT510" s="569"/>
      <c r="AU510" s="569"/>
      <c r="AV510" s="569"/>
      <c r="AW510" s="569"/>
      <c r="AX510" s="569"/>
      <c r="AY510" s="569"/>
      <c r="AZ510" s="569"/>
      <c r="BA510" s="569"/>
      <c r="BB510" s="569"/>
      <c r="BC510" s="569"/>
      <c r="BD510" s="569"/>
      <c r="BE510" s="569"/>
      <c r="BF510" s="569"/>
      <c r="BG510" s="569"/>
      <c r="BH510" s="569"/>
      <c r="BI510" s="569"/>
      <c r="BJ510" s="569"/>
      <c r="BK510" s="569"/>
      <c r="BL510" s="569"/>
      <c r="BM510" s="569"/>
      <c r="BN510" s="569"/>
      <c r="BO510" s="569"/>
      <c r="BP510" s="752"/>
      <c r="BQ510" s="752"/>
      <c r="BR510" s="752"/>
    </row>
    <row r="511" spans="1:70" s="22" customFormat="1" ht="66">
      <c r="A511" s="2554">
        <v>3</v>
      </c>
      <c r="B511" s="44"/>
      <c r="C511" s="753" t="s">
        <v>41</v>
      </c>
      <c r="D511" s="753" t="s">
        <v>25</v>
      </c>
      <c r="E511" s="753" t="s">
        <v>78</v>
      </c>
      <c r="F511" s="753" t="s">
        <v>25</v>
      </c>
      <c r="G511" s="753" t="s">
        <v>56</v>
      </c>
      <c r="H511" s="753"/>
      <c r="I511" s="44" t="s">
        <v>522</v>
      </c>
      <c r="J511" s="44" t="s">
        <v>2741</v>
      </c>
      <c r="K511" s="146">
        <v>100</v>
      </c>
      <c r="L511" s="879">
        <f>SUM(L512:L513)</f>
        <v>431992150</v>
      </c>
      <c r="M511" s="146">
        <v>85</v>
      </c>
      <c r="N511" s="879">
        <f>SUM(N512:N513)</f>
        <v>183466150</v>
      </c>
      <c r="O511" s="146">
        <v>7</v>
      </c>
      <c r="P511" s="879">
        <f>SUM(P512:P513)</f>
        <v>92265930</v>
      </c>
      <c r="Q511" s="880">
        <v>0</v>
      </c>
      <c r="R511" s="879">
        <f>SUM(R512:R513)</f>
        <v>3323800</v>
      </c>
      <c r="S511" s="44"/>
      <c r="T511" s="221">
        <f>SUM(T512:T513)</f>
        <v>31003450</v>
      </c>
      <c r="U511" s="44"/>
      <c r="V511" s="44"/>
      <c r="W511" s="44"/>
      <c r="X511" s="44"/>
      <c r="Y511" s="146">
        <f t="shared" si="139"/>
        <v>0</v>
      </c>
      <c r="Z511" s="867">
        <f t="shared" si="140"/>
        <v>34327250</v>
      </c>
      <c r="AA511" s="146">
        <f t="shared" si="141"/>
        <v>85</v>
      </c>
      <c r="AB511" s="867">
        <f t="shared" si="142"/>
        <v>217793400</v>
      </c>
      <c r="AC511" s="868">
        <f t="shared" si="143"/>
        <v>85</v>
      </c>
      <c r="AD511" s="868">
        <f t="shared" si="144"/>
        <v>50.416055013962634</v>
      </c>
      <c r="AE511" s="482" t="s">
        <v>2746</v>
      </c>
      <c r="AF511" s="569"/>
      <c r="AG511" s="569"/>
      <c r="AH511" s="569"/>
      <c r="AI511" s="569"/>
      <c r="AJ511" s="569"/>
      <c r="AK511" s="569"/>
      <c r="AL511" s="569"/>
      <c r="AM511" s="569"/>
      <c r="AN511" s="569"/>
      <c r="AO511" s="569"/>
      <c r="AP511" s="569"/>
      <c r="AQ511" s="569"/>
      <c r="AR511" s="569"/>
      <c r="AS511" s="569"/>
      <c r="AT511" s="569"/>
      <c r="AU511" s="569"/>
      <c r="AV511" s="569"/>
      <c r="AW511" s="569"/>
      <c r="AX511" s="569"/>
      <c r="AY511" s="569"/>
      <c r="AZ511" s="569"/>
      <c r="BA511" s="569"/>
      <c r="BB511" s="569"/>
      <c r="BC511" s="569"/>
      <c r="BD511" s="569"/>
      <c r="BE511" s="569"/>
      <c r="BF511" s="569"/>
      <c r="BG511" s="569"/>
      <c r="BH511" s="569"/>
      <c r="BI511" s="569"/>
      <c r="BJ511" s="569"/>
      <c r="BK511" s="569"/>
      <c r="BL511" s="569"/>
      <c r="BM511" s="569"/>
      <c r="BN511" s="569"/>
      <c r="BO511" s="569"/>
      <c r="BP511" s="752"/>
      <c r="BQ511" s="752"/>
      <c r="BR511" s="752"/>
    </row>
    <row r="512" spans="1:70" s="22" customFormat="1" ht="66">
      <c r="A512" s="451"/>
      <c r="B512" s="34"/>
      <c r="C512" s="967" t="s">
        <v>41</v>
      </c>
      <c r="D512" s="967" t="s">
        <v>25</v>
      </c>
      <c r="E512" s="967" t="s">
        <v>78</v>
      </c>
      <c r="F512" s="967" t="s">
        <v>25</v>
      </c>
      <c r="G512" s="967" t="s">
        <v>56</v>
      </c>
      <c r="H512" s="967" t="s">
        <v>56</v>
      </c>
      <c r="I512" s="34" t="s">
        <v>523</v>
      </c>
      <c r="J512" s="34" t="s">
        <v>2742</v>
      </c>
      <c r="K512" s="506">
        <v>20</v>
      </c>
      <c r="L512" s="558">
        <f>5*P512</f>
        <v>314642150</v>
      </c>
      <c r="M512" s="506">
        <v>8</v>
      </c>
      <c r="N512" s="36">
        <v>146014750</v>
      </c>
      <c r="O512" s="506">
        <v>4</v>
      </c>
      <c r="P512" s="36">
        <v>62928430</v>
      </c>
      <c r="Q512" s="882">
        <v>1</v>
      </c>
      <c r="R512" s="558">
        <v>2448800</v>
      </c>
      <c r="S512" s="34">
        <v>2</v>
      </c>
      <c r="T512" s="232">
        <v>29080750</v>
      </c>
      <c r="U512" s="34"/>
      <c r="V512" s="34"/>
      <c r="W512" s="34"/>
      <c r="X512" s="34"/>
      <c r="Y512" s="115">
        <f t="shared" si="139"/>
        <v>3</v>
      </c>
      <c r="Z512" s="873">
        <f t="shared" si="140"/>
        <v>31529550</v>
      </c>
      <c r="AA512" s="115">
        <f t="shared" si="141"/>
        <v>11</v>
      </c>
      <c r="AB512" s="873">
        <f t="shared" si="142"/>
        <v>177544300</v>
      </c>
      <c r="AC512" s="874">
        <f t="shared" si="143"/>
        <v>55.000000000000007</v>
      </c>
      <c r="AD512" s="874">
        <f t="shared" si="144"/>
        <v>56.427373128488981</v>
      </c>
      <c r="AE512" s="490"/>
      <c r="AF512" s="569"/>
      <c r="AG512" s="569"/>
      <c r="AH512" s="569"/>
      <c r="AI512" s="569"/>
      <c r="AJ512" s="569"/>
      <c r="AK512" s="569"/>
      <c r="AL512" s="569"/>
      <c r="AM512" s="569"/>
      <c r="AN512" s="569"/>
      <c r="AO512" s="569"/>
      <c r="AP512" s="569"/>
      <c r="AQ512" s="569"/>
      <c r="AR512" s="569"/>
      <c r="AS512" s="569"/>
      <c r="AT512" s="569"/>
      <c r="AU512" s="569"/>
      <c r="AV512" s="569"/>
      <c r="AW512" s="569"/>
      <c r="AX512" s="569"/>
      <c r="AY512" s="569"/>
      <c r="AZ512" s="569"/>
      <c r="BA512" s="569"/>
      <c r="BB512" s="569"/>
      <c r="BC512" s="569"/>
      <c r="BD512" s="569"/>
      <c r="BE512" s="569"/>
      <c r="BF512" s="569"/>
      <c r="BG512" s="569"/>
      <c r="BH512" s="569"/>
      <c r="BI512" s="569"/>
      <c r="BJ512" s="569"/>
      <c r="BK512" s="569"/>
      <c r="BL512" s="569"/>
      <c r="BM512" s="569"/>
      <c r="BN512" s="569"/>
      <c r="BO512" s="569"/>
      <c r="BP512" s="752"/>
      <c r="BQ512" s="752"/>
      <c r="BR512" s="752"/>
    </row>
    <row r="513" spans="1:70" s="22" customFormat="1" ht="49.5">
      <c r="A513" s="451"/>
      <c r="B513" s="34"/>
      <c r="C513" s="967" t="s">
        <v>41</v>
      </c>
      <c r="D513" s="967" t="s">
        <v>25</v>
      </c>
      <c r="E513" s="967" t="s">
        <v>78</v>
      </c>
      <c r="F513" s="967" t="s">
        <v>25</v>
      </c>
      <c r="G513" s="967" t="s">
        <v>56</v>
      </c>
      <c r="H513" s="967" t="s">
        <v>43</v>
      </c>
      <c r="I513" s="34" t="s">
        <v>524</v>
      </c>
      <c r="J513" s="34" t="s">
        <v>2743</v>
      </c>
      <c r="K513" s="506">
        <v>4</v>
      </c>
      <c r="L513" s="558">
        <f>4*P513</f>
        <v>117350000</v>
      </c>
      <c r="M513" s="506">
        <v>1</v>
      </c>
      <c r="N513" s="36">
        <v>37451400</v>
      </c>
      <c r="O513" s="506">
        <v>1</v>
      </c>
      <c r="P513" s="36">
        <v>29337500</v>
      </c>
      <c r="Q513" s="969">
        <v>0</v>
      </c>
      <c r="R513" s="558">
        <v>875000</v>
      </c>
      <c r="S513" s="34"/>
      <c r="T513" s="232">
        <v>1922700</v>
      </c>
      <c r="U513" s="34"/>
      <c r="V513" s="34"/>
      <c r="W513" s="34"/>
      <c r="X513" s="34"/>
      <c r="Y513" s="115">
        <f t="shared" si="139"/>
        <v>0</v>
      </c>
      <c r="Z513" s="873">
        <f t="shared" si="140"/>
        <v>2797700</v>
      </c>
      <c r="AA513" s="115">
        <f t="shared" si="141"/>
        <v>1</v>
      </c>
      <c r="AB513" s="873">
        <f t="shared" si="142"/>
        <v>40249100</v>
      </c>
      <c r="AC513" s="874">
        <f t="shared" si="143"/>
        <v>25</v>
      </c>
      <c r="AD513" s="874">
        <f t="shared" si="144"/>
        <v>34.298338304218149</v>
      </c>
      <c r="AE513" s="490"/>
      <c r="AF513" s="569"/>
      <c r="AG513" s="569"/>
      <c r="AH513" s="569"/>
      <c r="AI513" s="569"/>
      <c r="AJ513" s="569"/>
      <c r="AK513" s="569"/>
      <c r="AL513" s="569"/>
      <c r="AM513" s="569"/>
      <c r="AN513" s="569"/>
      <c r="AO513" s="569"/>
      <c r="AP513" s="569"/>
      <c r="AQ513" s="569"/>
      <c r="AR513" s="569"/>
      <c r="AS513" s="569"/>
      <c r="AT513" s="569"/>
      <c r="AU513" s="569"/>
      <c r="AV513" s="569"/>
      <c r="AW513" s="569"/>
      <c r="AX513" s="569"/>
      <c r="AY513" s="569"/>
      <c r="AZ513" s="569"/>
      <c r="BA513" s="569"/>
      <c r="BB513" s="569"/>
      <c r="BC513" s="569"/>
      <c r="BD513" s="569"/>
      <c r="BE513" s="569"/>
      <c r="BF513" s="569"/>
      <c r="BG513" s="569"/>
      <c r="BH513" s="569"/>
      <c r="BI513" s="569"/>
      <c r="BJ513" s="569"/>
      <c r="BK513" s="569"/>
      <c r="BL513" s="569"/>
      <c r="BM513" s="569"/>
      <c r="BN513" s="569"/>
      <c r="BO513" s="569"/>
      <c r="BP513" s="752"/>
      <c r="BQ513" s="752"/>
      <c r="BR513" s="752"/>
    </row>
    <row r="514" spans="1:70" s="22" customFormat="1" ht="82.5">
      <c r="A514" s="2554">
        <v>4</v>
      </c>
      <c r="B514" s="44"/>
      <c r="C514" s="753" t="s">
        <v>41</v>
      </c>
      <c r="D514" s="753" t="s">
        <v>25</v>
      </c>
      <c r="E514" s="753" t="s">
        <v>78</v>
      </c>
      <c r="F514" s="753" t="s">
        <v>25</v>
      </c>
      <c r="G514" s="753" t="s">
        <v>45</v>
      </c>
      <c r="H514" s="753"/>
      <c r="I514" s="44" t="s">
        <v>525</v>
      </c>
      <c r="J514" s="44" t="s">
        <v>2744</v>
      </c>
      <c r="K514" s="146">
        <v>20</v>
      </c>
      <c r="L514" s="879">
        <f>SUM(L515:L516)</f>
        <v>3450000000</v>
      </c>
      <c r="M514" s="146">
        <v>0</v>
      </c>
      <c r="N514" s="879">
        <f>SUM(N515:N516)</f>
        <v>0</v>
      </c>
      <c r="O514" s="146">
        <v>3</v>
      </c>
      <c r="P514" s="879">
        <f>SUM(P515:P516)</f>
        <v>1150000000</v>
      </c>
      <c r="Q514" s="880">
        <v>0</v>
      </c>
      <c r="R514" s="879">
        <f>SUM(R515:R516)</f>
        <v>5178000</v>
      </c>
      <c r="S514" s="44"/>
      <c r="T514" s="221">
        <f>SUM(T515:T516)</f>
        <v>462629650</v>
      </c>
      <c r="U514" s="44"/>
      <c r="V514" s="44"/>
      <c r="W514" s="44"/>
      <c r="X514" s="44"/>
      <c r="Y514" s="146">
        <f t="shared" si="139"/>
        <v>0</v>
      </c>
      <c r="Z514" s="867">
        <f t="shared" si="140"/>
        <v>467807650</v>
      </c>
      <c r="AA514" s="146">
        <f t="shared" si="141"/>
        <v>0</v>
      </c>
      <c r="AB514" s="867">
        <f t="shared" si="142"/>
        <v>467807650</v>
      </c>
      <c r="AC514" s="868">
        <f t="shared" si="143"/>
        <v>0</v>
      </c>
      <c r="AD514" s="868">
        <f t="shared" si="144"/>
        <v>13.559642028985508</v>
      </c>
      <c r="AE514" s="482" t="s">
        <v>2746</v>
      </c>
      <c r="AF514" s="569"/>
      <c r="AG514" s="569"/>
      <c r="AH514" s="569"/>
      <c r="AI514" s="569"/>
      <c r="AJ514" s="569"/>
      <c r="AK514" s="569"/>
      <c r="AL514" s="569"/>
      <c r="AM514" s="569"/>
      <c r="AN514" s="569"/>
      <c r="AO514" s="569"/>
      <c r="AP514" s="569"/>
      <c r="AQ514" s="569"/>
      <c r="AR514" s="569"/>
      <c r="AS514" s="569"/>
      <c r="AT514" s="569"/>
      <c r="AU514" s="569"/>
      <c r="AV514" s="569"/>
      <c r="AW514" s="569"/>
      <c r="AX514" s="569"/>
      <c r="AY514" s="569"/>
      <c r="AZ514" s="569"/>
      <c r="BA514" s="569"/>
      <c r="BB514" s="569"/>
      <c r="BC514" s="569"/>
      <c r="BD514" s="569"/>
      <c r="BE514" s="569"/>
      <c r="BF514" s="569"/>
      <c r="BG514" s="569"/>
      <c r="BH514" s="569"/>
      <c r="BI514" s="569"/>
      <c r="BJ514" s="569"/>
      <c r="BK514" s="569"/>
      <c r="BL514" s="569"/>
      <c r="BM514" s="569"/>
      <c r="BN514" s="569"/>
      <c r="BO514" s="569"/>
      <c r="BP514" s="752"/>
      <c r="BQ514" s="752"/>
      <c r="BR514" s="752"/>
    </row>
    <row r="515" spans="1:70" s="22" customFormat="1" ht="49.5">
      <c r="A515" s="451"/>
      <c r="B515" s="34"/>
      <c r="C515" s="967" t="s">
        <v>41</v>
      </c>
      <c r="D515" s="967" t="s">
        <v>25</v>
      </c>
      <c r="E515" s="967" t="s">
        <v>78</v>
      </c>
      <c r="F515" s="967" t="s">
        <v>25</v>
      </c>
      <c r="G515" s="967" t="s">
        <v>45</v>
      </c>
      <c r="H515" s="967" t="s">
        <v>59</v>
      </c>
      <c r="I515" s="34" t="s">
        <v>526</v>
      </c>
      <c r="J515" s="34" t="s">
        <v>2745</v>
      </c>
      <c r="K515" s="506">
        <v>14</v>
      </c>
      <c r="L515" s="558">
        <f>P515*3</f>
        <v>2850000000</v>
      </c>
      <c r="M515" s="506">
        <v>0</v>
      </c>
      <c r="N515" s="36">
        <v>0</v>
      </c>
      <c r="O515" s="506">
        <v>2.5</v>
      </c>
      <c r="P515" s="36">
        <v>950000000</v>
      </c>
      <c r="Q515" s="882">
        <v>0</v>
      </c>
      <c r="R515" s="558">
        <v>3460250</v>
      </c>
      <c r="S515" s="34"/>
      <c r="T515" s="232">
        <v>399958400</v>
      </c>
      <c r="U515" s="34"/>
      <c r="V515" s="34"/>
      <c r="W515" s="34"/>
      <c r="X515" s="34"/>
      <c r="Y515" s="115">
        <f t="shared" si="139"/>
        <v>0</v>
      </c>
      <c r="Z515" s="873">
        <f t="shared" si="140"/>
        <v>403418650</v>
      </c>
      <c r="AA515" s="115">
        <f t="shared" si="141"/>
        <v>0</v>
      </c>
      <c r="AB515" s="873">
        <f t="shared" si="142"/>
        <v>403418650</v>
      </c>
      <c r="AC515" s="874">
        <f t="shared" si="143"/>
        <v>0</v>
      </c>
      <c r="AD515" s="874">
        <f t="shared" si="144"/>
        <v>14.155040350877194</v>
      </c>
      <c r="AE515" s="490"/>
      <c r="AF515" s="569"/>
      <c r="AG515" s="569"/>
      <c r="AH515" s="569"/>
      <c r="AI515" s="569"/>
      <c r="AJ515" s="569"/>
      <c r="AK515" s="569"/>
      <c r="AL515" s="569"/>
      <c r="AM515" s="569"/>
      <c r="AN515" s="569"/>
      <c r="AO515" s="569"/>
      <c r="AP515" s="569"/>
      <c r="AQ515" s="569"/>
      <c r="AR515" s="569"/>
      <c r="AS515" s="569"/>
      <c r="AT515" s="569"/>
      <c r="AU515" s="569"/>
      <c r="AV515" s="569"/>
      <c r="AW515" s="569"/>
      <c r="AX515" s="569"/>
      <c r="AY515" s="569"/>
      <c r="AZ515" s="569"/>
      <c r="BA515" s="569"/>
      <c r="BB515" s="569"/>
      <c r="BC515" s="569"/>
      <c r="BD515" s="569"/>
      <c r="BE515" s="569"/>
      <c r="BF515" s="569"/>
      <c r="BG515" s="569"/>
      <c r="BH515" s="569"/>
      <c r="BI515" s="569"/>
      <c r="BJ515" s="569"/>
      <c r="BK515" s="569"/>
      <c r="BL515" s="569"/>
      <c r="BM515" s="569"/>
      <c r="BN515" s="569"/>
      <c r="BO515" s="569"/>
      <c r="BP515" s="752"/>
      <c r="BQ515" s="752"/>
      <c r="BR515" s="752"/>
    </row>
    <row r="516" spans="1:70" s="22" customFormat="1" ht="49.5">
      <c r="A516" s="451"/>
      <c r="B516" s="34"/>
      <c r="C516" s="967" t="s">
        <v>41</v>
      </c>
      <c r="D516" s="967" t="s">
        <v>25</v>
      </c>
      <c r="E516" s="967" t="s">
        <v>78</v>
      </c>
      <c r="F516" s="967" t="s">
        <v>25</v>
      </c>
      <c r="G516" s="967" t="s">
        <v>45</v>
      </c>
      <c r="H516" s="967" t="s">
        <v>60</v>
      </c>
      <c r="I516" s="34" t="s">
        <v>527</v>
      </c>
      <c r="J516" s="34" t="s">
        <v>2010</v>
      </c>
      <c r="K516" s="506">
        <v>6</v>
      </c>
      <c r="L516" s="558">
        <f>P516*3</f>
        <v>600000000</v>
      </c>
      <c r="M516" s="506">
        <v>0</v>
      </c>
      <c r="N516" s="36">
        <v>0</v>
      </c>
      <c r="O516" s="506">
        <v>0.5</v>
      </c>
      <c r="P516" s="36">
        <v>200000000</v>
      </c>
      <c r="Q516" s="875">
        <v>0</v>
      </c>
      <c r="R516" s="558">
        <v>1717750</v>
      </c>
      <c r="S516" s="34"/>
      <c r="T516" s="232">
        <v>62671250</v>
      </c>
      <c r="U516" s="34"/>
      <c r="V516" s="34"/>
      <c r="W516" s="34"/>
      <c r="X516" s="34"/>
      <c r="Y516" s="115">
        <f t="shared" si="139"/>
        <v>0</v>
      </c>
      <c r="Z516" s="873">
        <f t="shared" si="140"/>
        <v>64389000</v>
      </c>
      <c r="AA516" s="115">
        <f t="shared" si="141"/>
        <v>0</v>
      </c>
      <c r="AB516" s="873">
        <f t="shared" si="142"/>
        <v>64389000</v>
      </c>
      <c r="AC516" s="874">
        <f t="shared" si="143"/>
        <v>0</v>
      </c>
      <c r="AD516" s="874">
        <f t="shared" si="144"/>
        <v>10.731499999999999</v>
      </c>
      <c r="AE516" s="490"/>
      <c r="AF516" s="569"/>
      <c r="AG516" s="569"/>
      <c r="AH516" s="569"/>
      <c r="AI516" s="569"/>
      <c r="AJ516" s="569"/>
      <c r="AK516" s="569"/>
      <c r="AL516" s="569"/>
      <c r="AM516" s="569"/>
      <c r="AN516" s="569"/>
      <c r="AO516" s="569"/>
      <c r="AP516" s="569"/>
      <c r="AQ516" s="569"/>
      <c r="AR516" s="569"/>
      <c r="AS516" s="569"/>
      <c r="AT516" s="569"/>
      <c r="AU516" s="569"/>
      <c r="AV516" s="569"/>
      <c r="AW516" s="569"/>
      <c r="AX516" s="569"/>
      <c r="AY516" s="569"/>
      <c r="AZ516" s="569"/>
      <c r="BA516" s="569"/>
      <c r="BB516" s="569"/>
      <c r="BC516" s="569"/>
      <c r="BD516" s="569"/>
      <c r="BE516" s="569"/>
      <c r="BF516" s="569"/>
      <c r="BG516" s="569"/>
      <c r="BH516" s="569"/>
      <c r="BI516" s="569"/>
      <c r="BJ516" s="569"/>
      <c r="BK516" s="569"/>
      <c r="BL516" s="569"/>
      <c r="BM516" s="569"/>
      <c r="BN516" s="569"/>
      <c r="BO516" s="569"/>
      <c r="BP516" s="752"/>
      <c r="BQ516" s="752"/>
      <c r="BR516" s="752"/>
    </row>
    <row r="517" spans="1:70" s="22" customFormat="1" ht="82.5">
      <c r="A517" s="2554">
        <v>5</v>
      </c>
      <c r="B517" s="44"/>
      <c r="C517" s="753" t="s">
        <v>41</v>
      </c>
      <c r="D517" s="753" t="s">
        <v>25</v>
      </c>
      <c r="E517" s="753" t="s">
        <v>78</v>
      </c>
      <c r="F517" s="753" t="s">
        <v>25</v>
      </c>
      <c r="G517" s="753" t="s">
        <v>42</v>
      </c>
      <c r="H517" s="753"/>
      <c r="I517" s="44" t="s">
        <v>2747</v>
      </c>
      <c r="J517" s="44" t="s">
        <v>2748</v>
      </c>
      <c r="K517" s="146">
        <v>97.17</v>
      </c>
      <c r="L517" s="879">
        <f>L518</f>
        <v>82134600000</v>
      </c>
      <c r="M517" s="146">
        <v>20</v>
      </c>
      <c r="N517" s="879">
        <f>N518</f>
        <v>9184369800</v>
      </c>
      <c r="O517" s="146">
        <v>18.34</v>
      </c>
      <c r="P517" s="879">
        <f>SUM(P518)</f>
        <v>5940094677</v>
      </c>
      <c r="Q517" s="880">
        <v>0</v>
      </c>
      <c r="R517" s="879">
        <f>R518</f>
        <v>16430100</v>
      </c>
      <c r="S517" s="44"/>
      <c r="T517" s="976">
        <f>SUM(T518)</f>
        <v>3520734100</v>
      </c>
      <c r="U517" s="44"/>
      <c r="V517" s="44"/>
      <c r="W517" s="44"/>
      <c r="X517" s="44"/>
      <c r="Y517" s="146">
        <f t="shared" si="139"/>
        <v>0</v>
      </c>
      <c r="Z517" s="879">
        <f t="shared" si="140"/>
        <v>3537164200</v>
      </c>
      <c r="AA517" s="146">
        <f t="shared" si="141"/>
        <v>20</v>
      </c>
      <c r="AB517" s="879">
        <f t="shared" si="142"/>
        <v>12721534000</v>
      </c>
      <c r="AC517" s="868">
        <f t="shared" si="143"/>
        <v>20.582484305855715</v>
      </c>
      <c r="AD517" s="868">
        <f t="shared" si="144"/>
        <v>15.488641814777207</v>
      </c>
      <c r="AE517" s="482" t="s">
        <v>2746</v>
      </c>
      <c r="AF517" s="569"/>
      <c r="AG517" s="569"/>
      <c r="AH517" s="569"/>
      <c r="AI517" s="569"/>
      <c r="AJ517" s="569"/>
      <c r="AK517" s="569"/>
      <c r="AL517" s="569"/>
      <c r="AM517" s="569"/>
      <c r="AN517" s="569"/>
      <c r="AO517" s="569"/>
      <c r="AP517" s="569"/>
      <c r="AQ517" s="569"/>
      <c r="AR517" s="569"/>
      <c r="AS517" s="569"/>
      <c r="AT517" s="569"/>
      <c r="AU517" s="569"/>
      <c r="AV517" s="569"/>
      <c r="AW517" s="569"/>
      <c r="AX517" s="569"/>
      <c r="AY517" s="569"/>
      <c r="AZ517" s="569"/>
      <c r="BA517" s="569"/>
      <c r="BB517" s="569"/>
      <c r="BC517" s="569"/>
      <c r="BD517" s="569"/>
      <c r="BE517" s="569"/>
      <c r="BF517" s="569"/>
      <c r="BG517" s="569"/>
      <c r="BH517" s="569"/>
      <c r="BI517" s="569"/>
      <c r="BJ517" s="569"/>
      <c r="BK517" s="569"/>
      <c r="BL517" s="569"/>
      <c r="BM517" s="569"/>
      <c r="BN517" s="569"/>
      <c r="BO517" s="569"/>
      <c r="BP517" s="752"/>
      <c r="BQ517" s="752"/>
      <c r="BR517" s="752"/>
    </row>
    <row r="518" spans="1:70" s="22" customFormat="1" ht="49.5">
      <c r="A518" s="451"/>
      <c r="B518" s="34"/>
      <c r="C518" s="967" t="s">
        <v>41</v>
      </c>
      <c r="D518" s="967" t="s">
        <v>25</v>
      </c>
      <c r="E518" s="967" t="s">
        <v>78</v>
      </c>
      <c r="F518" s="967" t="s">
        <v>25</v>
      </c>
      <c r="G518" s="967" t="s">
        <v>42</v>
      </c>
      <c r="H518" s="967" t="s">
        <v>57</v>
      </c>
      <c r="I518" s="34" t="s">
        <v>528</v>
      </c>
      <c r="J518" s="34"/>
      <c r="K518" s="506">
        <v>200</v>
      </c>
      <c r="L518" s="558">
        <v>82134600000</v>
      </c>
      <c r="M518" s="506">
        <v>69</v>
      </c>
      <c r="N518" s="36">
        <v>9184369800</v>
      </c>
      <c r="O518" s="506">
        <v>41</v>
      </c>
      <c r="P518" s="36">
        <v>5940094677</v>
      </c>
      <c r="Q518" s="882">
        <v>0</v>
      </c>
      <c r="R518" s="558">
        <v>16430100</v>
      </c>
      <c r="S518" s="34">
        <v>28</v>
      </c>
      <c r="T518" s="232">
        <v>3520734100</v>
      </c>
      <c r="U518" s="34"/>
      <c r="V518" s="34"/>
      <c r="W518" s="34"/>
      <c r="X518" s="34"/>
      <c r="Y518" s="115">
        <f t="shared" si="139"/>
        <v>28</v>
      </c>
      <c r="Z518" s="873">
        <f t="shared" si="140"/>
        <v>3537164200</v>
      </c>
      <c r="AA518" s="115">
        <f t="shared" si="141"/>
        <v>97</v>
      </c>
      <c r="AB518" s="873">
        <f t="shared" si="142"/>
        <v>12721534000</v>
      </c>
      <c r="AC518" s="874">
        <f t="shared" si="143"/>
        <v>48.5</v>
      </c>
      <c r="AD518" s="874">
        <f t="shared" si="144"/>
        <v>15.488641814777207</v>
      </c>
      <c r="AE518" s="490"/>
      <c r="AF518" s="569"/>
      <c r="AG518" s="569"/>
      <c r="AH518" s="569"/>
      <c r="AI518" s="569"/>
      <c r="AJ518" s="569"/>
      <c r="AK518" s="569"/>
      <c r="AL518" s="569"/>
      <c r="AM518" s="569"/>
      <c r="AN518" s="569"/>
      <c r="AO518" s="569"/>
      <c r="AP518" s="569"/>
      <c r="AQ518" s="569"/>
      <c r="AR518" s="569"/>
      <c r="AS518" s="569"/>
      <c r="AT518" s="569"/>
      <c r="AU518" s="569"/>
      <c r="AV518" s="569"/>
      <c r="AW518" s="569"/>
      <c r="AX518" s="569"/>
      <c r="AY518" s="569"/>
      <c r="AZ518" s="569"/>
      <c r="BA518" s="569"/>
      <c r="BB518" s="569"/>
      <c r="BC518" s="569"/>
      <c r="BD518" s="569"/>
      <c r="BE518" s="569"/>
      <c r="BF518" s="569"/>
      <c r="BG518" s="569"/>
      <c r="BH518" s="569"/>
      <c r="BI518" s="569"/>
      <c r="BJ518" s="569"/>
      <c r="BK518" s="569"/>
      <c r="BL518" s="569"/>
      <c r="BM518" s="569"/>
      <c r="BN518" s="569"/>
      <c r="BO518" s="569"/>
      <c r="BP518" s="752"/>
      <c r="BQ518" s="752"/>
      <c r="BR518" s="752"/>
    </row>
    <row r="519" spans="1:70" s="22" customFormat="1" ht="99">
      <c r="A519" s="2554">
        <v>6</v>
      </c>
      <c r="B519" s="44"/>
      <c r="C519" s="753" t="s">
        <v>41</v>
      </c>
      <c r="D519" s="753" t="s">
        <v>25</v>
      </c>
      <c r="E519" s="753" t="s">
        <v>78</v>
      </c>
      <c r="F519" s="753" t="s">
        <v>25</v>
      </c>
      <c r="G519" s="753" t="s">
        <v>529</v>
      </c>
      <c r="H519" s="753"/>
      <c r="I519" s="44" t="s">
        <v>530</v>
      </c>
      <c r="J519" s="44" t="s">
        <v>2751</v>
      </c>
      <c r="K519" s="146">
        <v>60</v>
      </c>
      <c r="L519" s="879">
        <f>SUM(L520:L523)</f>
        <v>8800000000</v>
      </c>
      <c r="M519" s="146">
        <v>16.670000000000002</v>
      </c>
      <c r="N519" s="879">
        <f>SUM(N520:N523)</f>
        <v>0</v>
      </c>
      <c r="O519" s="146">
        <f>23.33-M519</f>
        <v>6.6599999999999966</v>
      </c>
      <c r="P519" s="879">
        <f>SUM(P520:P523)</f>
        <v>2750000000</v>
      </c>
      <c r="Q519" s="880">
        <v>0</v>
      </c>
      <c r="R519" s="879">
        <f>SUM(R520:R523)</f>
        <v>16807100</v>
      </c>
      <c r="S519" s="44"/>
      <c r="T519" s="976">
        <f>SUM(T520:T523)</f>
        <v>544382650</v>
      </c>
      <c r="U519" s="44"/>
      <c r="V519" s="44"/>
      <c r="W519" s="44"/>
      <c r="X519" s="44"/>
      <c r="Y519" s="146">
        <f t="shared" si="139"/>
        <v>0</v>
      </c>
      <c r="Z519" s="879">
        <f t="shared" si="140"/>
        <v>561189750</v>
      </c>
      <c r="AA519" s="146">
        <f t="shared" si="141"/>
        <v>16.670000000000002</v>
      </c>
      <c r="AB519" s="879">
        <f t="shared" si="142"/>
        <v>561189750</v>
      </c>
      <c r="AC519" s="868">
        <f t="shared" si="143"/>
        <v>27.783333333333339</v>
      </c>
      <c r="AD519" s="868">
        <f t="shared" si="144"/>
        <v>6.3771562500000005</v>
      </c>
      <c r="AE519" s="482" t="s">
        <v>2746</v>
      </c>
      <c r="AF519" s="569"/>
      <c r="AG519" s="569"/>
      <c r="AH519" s="569"/>
      <c r="AI519" s="569"/>
      <c r="AJ519" s="569"/>
      <c r="AK519" s="569"/>
      <c r="AL519" s="569"/>
      <c r="AM519" s="569"/>
      <c r="AN519" s="569"/>
      <c r="AO519" s="569"/>
      <c r="AP519" s="569"/>
      <c r="AQ519" s="569"/>
      <c r="AR519" s="569"/>
      <c r="AS519" s="569"/>
      <c r="AT519" s="569"/>
      <c r="AU519" s="569"/>
      <c r="AV519" s="569"/>
      <c r="AW519" s="569"/>
      <c r="AX519" s="569"/>
      <c r="AY519" s="569"/>
      <c r="AZ519" s="569"/>
      <c r="BA519" s="569"/>
      <c r="BB519" s="569"/>
      <c r="BC519" s="569"/>
      <c r="BD519" s="569"/>
      <c r="BE519" s="569"/>
      <c r="BF519" s="569"/>
      <c r="BG519" s="569"/>
      <c r="BH519" s="569"/>
      <c r="BI519" s="569"/>
      <c r="BJ519" s="569"/>
      <c r="BK519" s="569"/>
      <c r="BL519" s="569"/>
      <c r="BM519" s="569"/>
      <c r="BN519" s="569"/>
      <c r="BO519" s="569"/>
      <c r="BP519" s="752"/>
      <c r="BQ519" s="752"/>
      <c r="BR519" s="752"/>
    </row>
    <row r="520" spans="1:70" s="22" customFormat="1" ht="49.5">
      <c r="A520" s="451"/>
      <c r="B520" s="34"/>
      <c r="C520" s="967" t="s">
        <v>41</v>
      </c>
      <c r="D520" s="967" t="s">
        <v>25</v>
      </c>
      <c r="E520" s="967" t="s">
        <v>78</v>
      </c>
      <c r="F520" s="967" t="s">
        <v>25</v>
      </c>
      <c r="G520" s="967" t="s">
        <v>529</v>
      </c>
      <c r="H520" s="967" t="s">
        <v>39</v>
      </c>
      <c r="I520" s="34" t="s">
        <v>531</v>
      </c>
      <c r="J520" s="34" t="s">
        <v>2749</v>
      </c>
      <c r="K520" s="506">
        <v>1</v>
      </c>
      <c r="L520" s="558">
        <f>P520</f>
        <v>100000000</v>
      </c>
      <c r="M520" s="203">
        <v>0</v>
      </c>
      <c r="N520" s="36">
        <v>0</v>
      </c>
      <c r="O520" s="506">
        <v>1</v>
      </c>
      <c r="P520" s="36">
        <v>100000000</v>
      </c>
      <c r="Q520" s="882"/>
      <c r="R520" s="558">
        <v>315700</v>
      </c>
      <c r="S520" s="34"/>
      <c r="T520" s="232">
        <v>49375000</v>
      </c>
      <c r="U520" s="34"/>
      <c r="V520" s="34"/>
      <c r="W520" s="34"/>
      <c r="X520" s="34"/>
      <c r="Y520" s="115">
        <f t="shared" si="139"/>
        <v>0</v>
      </c>
      <c r="Z520" s="873">
        <f t="shared" si="140"/>
        <v>49690700</v>
      </c>
      <c r="AA520" s="115">
        <f t="shared" si="141"/>
        <v>0</v>
      </c>
      <c r="AB520" s="873">
        <f t="shared" si="142"/>
        <v>49690700</v>
      </c>
      <c r="AC520" s="874">
        <f t="shared" si="143"/>
        <v>0</v>
      </c>
      <c r="AD520" s="874">
        <f t="shared" si="144"/>
        <v>49.6907</v>
      </c>
      <c r="AE520" s="490"/>
      <c r="AF520" s="569"/>
      <c r="AG520" s="569"/>
      <c r="AH520" s="569"/>
      <c r="AI520" s="569"/>
      <c r="AJ520" s="569"/>
      <c r="AK520" s="569"/>
      <c r="AL520" s="569"/>
      <c r="AM520" s="569"/>
      <c r="AN520" s="569"/>
      <c r="AO520" s="569"/>
      <c r="AP520" s="569"/>
      <c r="AQ520" s="569"/>
      <c r="AR520" s="569"/>
      <c r="AS520" s="569"/>
      <c r="AT520" s="569"/>
      <c r="AU520" s="569"/>
      <c r="AV520" s="569"/>
      <c r="AW520" s="569"/>
      <c r="AX520" s="569"/>
      <c r="AY520" s="569"/>
      <c r="AZ520" s="569"/>
      <c r="BA520" s="569"/>
      <c r="BB520" s="569"/>
      <c r="BC520" s="569"/>
      <c r="BD520" s="569"/>
      <c r="BE520" s="569"/>
      <c r="BF520" s="569"/>
      <c r="BG520" s="569"/>
      <c r="BH520" s="569"/>
      <c r="BI520" s="569"/>
      <c r="BJ520" s="569"/>
      <c r="BK520" s="569"/>
      <c r="BL520" s="569"/>
      <c r="BM520" s="569"/>
      <c r="BN520" s="569"/>
      <c r="BO520" s="569"/>
      <c r="BP520" s="752"/>
      <c r="BQ520" s="752"/>
      <c r="BR520" s="752"/>
    </row>
    <row r="521" spans="1:70" s="22" customFormat="1" ht="49.5">
      <c r="A521" s="451"/>
      <c r="B521" s="34"/>
      <c r="C521" s="967" t="s">
        <v>41</v>
      </c>
      <c r="D521" s="967" t="s">
        <v>25</v>
      </c>
      <c r="E521" s="967" t="s">
        <v>78</v>
      </c>
      <c r="F521" s="967" t="s">
        <v>25</v>
      </c>
      <c r="G521" s="967" t="s">
        <v>529</v>
      </c>
      <c r="H521" s="967" t="s">
        <v>78</v>
      </c>
      <c r="I521" s="34" t="s">
        <v>532</v>
      </c>
      <c r="J521" s="34" t="s">
        <v>2750</v>
      </c>
      <c r="K521" s="506">
        <v>10</v>
      </c>
      <c r="L521" s="558">
        <f>3*P521</f>
        <v>5400000000</v>
      </c>
      <c r="M521" s="506">
        <v>0</v>
      </c>
      <c r="N521" s="36">
        <v>0</v>
      </c>
      <c r="O521" s="506">
        <v>3</v>
      </c>
      <c r="P521" s="36">
        <v>1800000000</v>
      </c>
      <c r="Q521" s="969"/>
      <c r="R521" s="558">
        <v>15401500</v>
      </c>
      <c r="S521" s="34"/>
      <c r="T521" s="232">
        <v>471386850</v>
      </c>
      <c r="U521" s="34"/>
      <c r="V521" s="34"/>
      <c r="W521" s="34"/>
      <c r="X521" s="34"/>
      <c r="Y521" s="115">
        <f t="shared" si="139"/>
        <v>0</v>
      </c>
      <c r="Z521" s="873">
        <f t="shared" si="140"/>
        <v>486788350</v>
      </c>
      <c r="AA521" s="115">
        <f t="shared" si="141"/>
        <v>0</v>
      </c>
      <c r="AB521" s="873">
        <f t="shared" si="142"/>
        <v>486788350</v>
      </c>
      <c r="AC521" s="874">
        <f t="shared" si="143"/>
        <v>0</v>
      </c>
      <c r="AD521" s="874">
        <f t="shared" si="144"/>
        <v>9.0145990740740736</v>
      </c>
      <c r="AE521" s="490"/>
      <c r="AF521" s="569"/>
      <c r="AG521" s="569"/>
      <c r="AH521" s="569"/>
      <c r="AI521" s="569"/>
      <c r="AJ521" s="569"/>
      <c r="AK521" s="569"/>
      <c r="AL521" s="569"/>
      <c r="AM521" s="569"/>
      <c r="AN521" s="569"/>
      <c r="AO521" s="569"/>
      <c r="AP521" s="569"/>
      <c r="AQ521" s="569"/>
      <c r="AR521" s="569"/>
      <c r="AS521" s="569"/>
      <c r="AT521" s="569"/>
      <c r="AU521" s="569"/>
      <c r="AV521" s="569"/>
      <c r="AW521" s="569"/>
      <c r="AX521" s="569"/>
      <c r="AY521" s="569"/>
      <c r="AZ521" s="569"/>
      <c r="BA521" s="569"/>
      <c r="BB521" s="569"/>
      <c r="BC521" s="569"/>
      <c r="BD521" s="569"/>
      <c r="BE521" s="569"/>
      <c r="BF521" s="569"/>
      <c r="BG521" s="569"/>
      <c r="BH521" s="569"/>
      <c r="BI521" s="569"/>
      <c r="BJ521" s="569"/>
      <c r="BK521" s="569"/>
      <c r="BL521" s="569"/>
      <c r="BM521" s="569"/>
      <c r="BN521" s="569"/>
      <c r="BO521" s="569"/>
      <c r="BP521" s="752"/>
      <c r="BQ521" s="752"/>
      <c r="BR521" s="752"/>
    </row>
    <row r="522" spans="1:70" s="22" customFormat="1" ht="49.5">
      <c r="A522" s="451"/>
      <c r="B522" s="34"/>
      <c r="C522" s="967" t="s">
        <v>41</v>
      </c>
      <c r="D522" s="967" t="s">
        <v>25</v>
      </c>
      <c r="E522" s="967" t="s">
        <v>78</v>
      </c>
      <c r="F522" s="967" t="s">
        <v>25</v>
      </c>
      <c r="G522" s="967" t="s">
        <v>529</v>
      </c>
      <c r="H522" s="967" t="s">
        <v>38</v>
      </c>
      <c r="I522" s="34" t="s">
        <v>533</v>
      </c>
      <c r="J522" s="34" t="s">
        <v>2752</v>
      </c>
      <c r="K522" s="506">
        <v>9</v>
      </c>
      <c r="L522" s="558">
        <f>3*P522</f>
        <v>1800000000</v>
      </c>
      <c r="M522" s="506">
        <v>0</v>
      </c>
      <c r="N522" s="36">
        <v>0</v>
      </c>
      <c r="O522" s="506">
        <v>3</v>
      </c>
      <c r="P522" s="36">
        <v>600000000</v>
      </c>
      <c r="Q522" s="882"/>
      <c r="R522" s="558">
        <v>1089900</v>
      </c>
      <c r="S522" s="34"/>
      <c r="T522" s="232">
        <v>16759000</v>
      </c>
      <c r="U522" s="34"/>
      <c r="V522" s="34"/>
      <c r="W522" s="34"/>
      <c r="X522" s="34"/>
      <c r="Y522" s="115">
        <f t="shared" si="139"/>
        <v>0</v>
      </c>
      <c r="Z522" s="873">
        <f t="shared" si="140"/>
        <v>17848900</v>
      </c>
      <c r="AA522" s="115">
        <f t="shared" si="141"/>
        <v>0</v>
      </c>
      <c r="AB522" s="873">
        <f t="shared" si="142"/>
        <v>17848900</v>
      </c>
      <c r="AC522" s="874">
        <f t="shared" si="143"/>
        <v>0</v>
      </c>
      <c r="AD522" s="874">
        <f t="shared" si="144"/>
        <v>0.99160555555555552</v>
      </c>
      <c r="AE522" s="490"/>
      <c r="AF522" s="569"/>
      <c r="AG522" s="569"/>
      <c r="AH522" s="569"/>
      <c r="AI522" s="569"/>
      <c r="AJ522" s="569"/>
      <c r="AK522" s="569"/>
      <c r="AL522" s="569"/>
      <c r="AM522" s="569"/>
      <c r="AN522" s="569"/>
      <c r="AO522" s="569"/>
      <c r="AP522" s="569"/>
      <c r="AQ522" s="569"/>
      <c r="AR522" s="569"/>
      <c r="AS522" s="569"/>
      <c r="AT522" s="569"/>
      <c r="AU522" s="569"/>
      <c r="AV522" s="569"/>
      <c r="AW522" s="569"/>
      <c r="AX522" s="569"/>
      <c r="AY522" s="569"/>
      <c r="AZ522" s="569"/>
      <c r="BA522" s="569"/>
      <c r="BB522" s="569"/>
      <c r="BC522" s="569"/>
      <c r="BD522" s="569"/>
      <c r="BE522" s="569"/>
      <c r="BF522" s="569"/>
      <c r="BG522" s="569"/>
      <c r="BH522" s="569"/>
      <c r="BI522" s="569"/>
      <c r="BJ522" s="569"/>
      <c r="BK522" s="569"/>
      <c r="BL522" s="569"/>
      <c r="BM522" s="569"/>
      <c r="BN522" s="569"/>
      <c r="BO522" s="569"/>
      <c r="BP522" s="752"/>
      <c r="BQ522" s="752"/>
      <c r="BR522" s="752"/>
    </row>
    <row r="523" spans="1:70" s="22" customFormat="1" ht="66">
      <c r="A523" s="451"/>
      <c r="B523" s="34"/>
      <c r="C523" s="967" t="s">
        <v>41</v>
      </c>
      <c r="D523" s="967" t="s">
        <v>25</v>
      </c>
      <c r="E523" s="967" t="s">
        <v>78</v>
      </c>
      <c r="F523" s="967" t="s">
        <v>25</v>
      </c>
      <c r="G523" s="967" t="s">
        <v>529</v>
      </c>
      <c r="H523" s="967" t="s">
        <v>30</v>
      </c>
      <c r="I523" s="34" t="s">
        <v>534</v>
      </c>
      <c r="J523" s="34" t="s">
        <v>2753</v>
      </c>
      <c r="K523" s="506">
        <v>8</v>
      </c>
      <c r="L523" s="558">
        <v>1500000000</v>
      </c>
      <c r="M523" s="506">
        <v>0</v>
      </c>
      <c r="N523" s="36">
        <v>0</v>
      </c>
      <c r="O523" s="506">
        <v>1</v>
      </c>
      <c r="P523" s="36">
        <v>250000000</v>
      </c>
      <c r="Q523" s="969"/>
      <c r="R523" s="558"/>
      <c r="S523" s="34"/>
      <c r="T523" s="232">
        <v>6861800</v>
      </c>
      <c r="U523" s="34"/>
      <c r="V523" s="34"/>
      <c r="W523" s="34"/>
      <c r="X523" s="34"/>
      <c r="Y523" s="115">
        <f t="shared" ref="Y523:Y545" si="145">Q523+S523+U523+W523</f>
        <v>0</v>
      </c>
      <c r="Z523" s="873">
        <f t="shared" ref="Z523:Z545" si="146">R523+T523+V523+X523</f>
        <v>6861800</v>
      </c>
      <c r="AA523" s="115">
        <f t="shared" ref="AA523:AA545" si="147">M523+Y523</f>
        <v>0</v>
      </c>
      <c r="AB523" s="873">
        <f t="shared" ref="AB523:AB545" si="148">N523+Z523</f>
        <v>6861800</v>
      </c>
      <c r="AC523" s="874">
        <f t="shared" ref="AC523:AC545" si="149">AA523/K523*100</f>
        <v>0</v>
      </c>
      <c r="AD523" s="874">
        <f t="shared" ref="AD523:AD545" si="150">AB523/L523*100</f>
        <v>0.45745333333333338</v>
      </c>
      <c r="AE523" s="490"/>
      <c r="AF523" s="569"/>
      <c r="AG523" s="569"/>
      <c r="AH523" s="569"/>
      <c r="AI523" s="569"/>
      <c r="AJ523" s="569"/>
      <c r="AK523" s="569"/>
      <c r="AL523" s="569"/>
      <c r="AM523" s="569"/>
      <c r="AN523" s="569"/>
      <c r="AO523" s="569"/>
      <c r="AP523" s="569"/>
      <c r="AQ523" s="569"/>
      <c r="AR523" s="569"/>
      <c r="AS523" s="569"/>
      <c r="AT523" s="569"/>
      <c r="AU523" s="569"/>
      <c r="AV523" s="569"/>
      <c r="AW523" s="569"/>
      <c r="AX523" s="569"/>
      <c r="AY523" s="569"/>
      <c r="AZ523" s="569"/>
      <c r="BA523" s="569"/>
      <c r="BB523" s="569"/>
      <c r="BC523" s="569"/>
      <c r="BD523" s="569"/>
      <c r="BE523" s="569"/>
      <c r="BF523" s="569"/>
      <c r="BG523" s="569"/>
      <c r="BH523" s="569"/>
      <c r="BI523" s="569"/>
      <c r="BJ523" s="569"/>
      <c r="BK523" s="569"/>
      <c r="BL523" s="569"/>
      <c r="BM523" s="569"/>
      <c r="BN523" s="569"/>
      <c r="BO523" s="569"/>
      <c r="BP523" s="752"/>
      <c r="BQ523" s="752"/>
      <c r="BR523" s="752"/>
    </row>
    <row r="524" spans="1:70" s="22" customFormat="1" ht="66">
      <c r="A524" s="2554">
        <v>7</v>
      </c>
      <c r="B524" s="44"/>
      <c r="C524" s="753" t="s">
        <v>41</v>
      </c>
      <c r="D524" s="753" t="s">
        <v>25</v>
      </c>
      <c r="E524" s="753" t="s">
        <v>78</v>
      </c>
      <c r="F524" s="753" t="s">
        <v>25</v>
      </c>
      <c r="G524" s="753" t="s">
        <v>45</v>
      </c>
      <c r="H524" s="753"/>
      <c r="I524" s="44" t="s">
        <v>535</v>
      </c>
      <c r="J524" s="44" t="s">
        <v>2754</v>
      </c>
      <c r="K524" s="146">
        <v>95.3</v>
      </c>
      <c r="L524" s="879">
        <f>SUM(L525:L533)</f>
        <v>35831042676</v>
      </c>
      <c r="M524" s="146">
        <v>92</v>
      </c>
      <c r="N524" s="879">
        <f>SUM(N525:N533)</f>
        <v>8562997571</v>
      </c>
      <c r="O524" s="146">
        <f>94.45-M524</f>
        <v>2.4500000000000028</v>
      </c>
      <c r="P524" s="879">
        <f>SUM(P525:P533)</f>
        <v>11643698716</v>
      </c>
      <c r="Q524" s="880">
        <v>0</v>
      </c>
      <c r="R524" s="879">
        <f>SUM(R525:R533)</f>
        <v>478360000</v>
      </c>
      <c r="S524" s="44"/>
      <c r="T524" s="221">
        <f>SUM(T525:T533)</f>
        <v>2045467320</v>
      </c>
      <c r="U524" s="44"/>
      <c r="V524" s="44"/>
      <c r="W524" s="44"/>
      <c r="X524" s="44"/>
      <c r="Y524" s="146">
        <f t="shared" si="145"/>
        <v>0</v>
      </c>
      <c r="Z524" s="879">
        <f t="shared" si="146"/>
        <v>2523827320</v>
      </c>
      <c r="AA524" s="146">
        <f t="shared" si="147"/>
        <v>92</v>
      </c>
      <c r="AB524" s="879">
        <f t="shared" si="148"/>
        <v>11086824891</v>
      </c>
      <c r="AC524" s="868">
        <f t="shared" si="149"/>
        <v>96.537250786988466</v>
      </c>
      <c r="AD524" s="868">
        <f t="shared" si="150"/>
        <v>30.941954414366148</v>
      </c>
      <c r="AE524" s="482" t="s">
        <v>2746</v>
      </c>
      <c r="AF524" s="569"/>
      <c r="AG524" s="569"/>
      <c r="AH524" s="569"/>
      <c r="AI524" s="569"/>
      <c r="AJ524" s="569"/>
      <c r="AK524" s="569"/>
      <c r="AL524" s="569"/>
      <c r="AM524" s="569"/>
      <c r="AN524" s="569"/>
      <c r="AO524" s="569"/>
      <c r="AP524" s="569"/>
      <c r="AQ524" s="569"/>
      <c r="AR524" s="569"/>
      <c r="AS524" s="569"/>
      <c r="AT524" s="569"/>
      <c r="AU524" s="569"/>
      <c r="AV524" s="569"/>
      <c r="AW524" s="569"/>
      <c r="AX524" s="569"/>
      <c r="AY524" s="569"/>
      <c r="AZ524" s="569"/>
      <c r="BA524" s="569"/>
      <c r="BB524" s="569"/>
      <c r="BC524" s="569"/>
      <c r="BD524" s="569"/>
      <c r="BE524" s="569"/>
      <c r="BF524" s="569"/>
      <c r="BG524" s="569"/>
      <c r="BH524" s="569"/>
      <c r="BI524" s="569"/>
      <c r="BJ524" s="569"/>
      <c r="BK524" s="569"/>
      <c r="BL524" s="569"/>
      <c r="BM524" s="569"/>
      <c r="BN524" s="569"/>
      <c r="BO524" s="569"/>
      <c r="BP524" s="752"/>
      <c r="BQ524" s="752"/>
      <c r="BR524" s="752"/>
    </row>
    <row r="525" spans="1:70" s="22" customFormat="1" ht="82.5">
      <c r="A525" s="451"/>
      <c r="B525" s="34"/>
      <c r="C525" s="967" t="s">
        <v>41</v>
      </c>
      <c r="D525" s="967" t="s">
        <v>25</v>
      </c>
      <c r="E525" s="967" t="s">
        <v>78</v>
      </c>
      <c r="F525" s="967" t="s">
        <v>25</v>
      </c>
      <c r="G525" s="967" t="s">
        <v>45</v>
      </c>
      <c r="H525" s="967" t="s">
        <v>31</v>
      </c>
      <c r="I525" s="34" t="s">
        <v>536</v>
      </c>
      <c r="J525" s="34" t="s">
        <v>2755</v>
      </c>
      <c r="K525" s="506">
        <v>48</v>
      </c>
      <c r="L525" s="558">
        <v>302098400</v>
      </c>
      <c r="M525" s="506">
        <v>12</v>
      </c>
      <c r="N525" s="36">
        <v>51718900</v>
      </c>
      <c r="O525" s="506">
        <v>12</v>
      </c>
      <c r="P525" s="36">
        <v>54904773</v>
      </c>
      <c r="Q525" s="882">
        <v>3</v>
      </c>
      <c r="R525" s="558">
        <v>2745250</v>
      </c>
      <c r="S525" s="34">
        <v>6</v>
      </c>
      <c r="T525" s="232">
        <v>26207300</v>
      </c>
      <c r="U525" s="34"/>
      <c r="V525" s="34"/>
      <c r="W525" s="34"/>
      <c r="X525" s="34"/>
      <c r="Y525" s="115">
        <f t="shared" si="145"/>
        <v>9</v>
      </c>
      <c r="Z525" s="873">
        <f t="shared" si="146"/>
        <v>28952550</v>
      </c>
      <c r="AA525" s="115">
        <f t="shared" si="147"/>
        <v>21</v>
      </c>
      <c r="AB525" s="873">
        <f t="shared" si="148"/>
        <v>80671450</v>
      </c>
      <c r="AC525" s="874">
        <f t="shared" si="149"/>
        <v>43.75</v>
      </c>
      <c r="AD525" s="874">
        <f t="shared" si="150"/>
        <v>26.703699854087276</v>
      </c>
      <c r="AE525" s="490"/>
      <c r="AF525" s="569"/>
      <c r="AG525" s="569"/>
      <c r="AH525" s="569"/>
      <c r="AI525" s="569"/>
      <c r="AJ525" s="569"/>
      <c r="AK525" s="569"/>
      <c r="AL525" s="569"/>
      <c r="AM525" s="569"/>
      <c r="AN525" s="569"/>
      <c r="AO525" s="569"/>
      <c r="AP525" s="569"/>
      <c r="AQ525" s="569"/>
      <c r="AR525" s="569"/>
      <c r="AS525" s="569"/>
      <c r="AT525" s="569"/>
      <c r="AU525" s="569"/>
      <c r="AV525" s="569"/>
      <c r="AW525" s="569"/>
      <c r="AX525" s="569"/>
      <c r="AY525" s="569"/>
      <c r="AZ525" s="569"/>
      <c r="BA525" s="569"/>
      <c r="BB525" s="569"/>
      <c r="BC525" s="569"/>
      <c r="BD525" s="569"/>
      <c r="BE525" s="569"/>
      <c r="BF525" s="569"/>
      <c r="BG525" s="569"/>
      <c r="BH525" s="569"/>
      <c r="BI525" s="569"/>
      <c r="BJ525" s="569"/>
      <c r="BK525" s="569"/>
      <c r="BL525" s="569"/>
      <c r="BM525" s="569"/>
      <c r="BN525" s="569"/>
      <c r="BO525" s="569"/>
      <c r="BP525" s="752"/>
      <c r="BQ525" s="752"/>
      <c r="BR525" s="752"/>
    </row>
    <row r="526" spans="1:70" s="22" customFormat="1" ht="99">
      <c r="A526" s="451"/>
      <c r="B526" s="34"/>
      <c r="C526" s="967" t="s">
        <v>41</v>
      </c>
      <c r="D526" s="967" t="s">
        <v>25</v>
      </c>
      <c r="E526" s="967" t="s">
        <v>78</v>
      </c>
      <c r="F526" s="967" t="s">
        <v>25</v>
      </c>
      <c r="G526" s="967" t="s">
        <v>45</v>
      </c>
      <c r="H526" s="967" t="s">
        <v>62</v>
      </c>
      <c r="I526" s="34" t="s">
        <v>537</v>
      </c>
      <c r="J526" s="34" t="s">
        <v>2756</v>
      </c>
      <c r="K526" s="506">
        <v>60</v>
      </c>
      <c r="L526" s="558">
        <v>848816400</v>
      </c>
      <c r="M526" s="506">
        <v>24</v>
      </c>
      <c r="N526" s="36">
        <v>265053120</v>
      </c>
      <c r="O526" s="506">
        <v>12</v>
      </c>
      <c r="P526" s="36">
        <v>106058105</v>
      </c>
      <c r="Q526" s="875">
        <v>3</v>
      </c>
      <c r="R526" s="558">
        <v>927750</v>
      </c>
      <c r="S526" s="34">
        <v>6</v>
      </c>
      <c r="T526" s="232">
        <v>20827800</v>
      </c>
      <c r="U526" s="34"/>
      <c r="V526" s="34"/>
      <c r="W526" s="34"/>
      <c r="X526" s="34"/>
      <c r="Y526" s="115">
        <f t="shared" si="145"/>
        <v>9</v>
      </c>
      <c r="Z526" s="873">
        <f t="shared" si="146"/>
        <v>21755550</v>
      </c>
      <c r="AA526" s="115">
        <f t="shared" si="147"/>
        <v>33</v>
      </c>
      <c r="AB526" s="873">
        <f t="shared" si="148"/>
        <v>286808670</v>
      </c>
      <c r="AC526" s="874">
        <f t="shared" si="149"/>
        <v>55.000000000000007</v>
      </c>
      <c r="AD526" s="874">
        <f t="shared" si="150"/>
        <v>33.789247003238863</v>
      </c>
      <c r="AE526" s="490"/>
      <c r="AF526" s="569"/>
      <c r="AG526" s="569"/>
      <c r="AH526" s="569"/>
      <c r="AI526" s="569"/>
      <c r="AJ526" s="569"/>
      <c r="AK526" s="569"/>
      <c r="AL526" s="569"/>
      <c r="AM526" s="569"/>
      <c r="AN526" s="569"/>
      <c r="AO526" s="569"/>
      <c r="AP526" s="569"/>
      <c r="AQ526" s="569"/>
      <c r="AR526" s="569"/>
      <c r="AS526" s="569"/>
      <c r="AT526" s="569"/>
      <c r="AU526" s="569"/>
      <c r="AV526" s="569"/>
      <c r="AW526" s="569"/>
      <c r="AX526" s="569"/>
      <c r="AY526" s="569"/>
      <c r="AZ526" s="569"/>
      <c r="BA526" s="569"/>
      <c r="BB526" s="569"/>
      <c r="BC526" s="569"/>
      <c r="BD526" s="569"/>
      <c r="BE526" s="569"/>
      <c r="BF526" s="569"/>
      <c r="BG526" s="569"/>
      <c r="BH526" s="569"/>
      <c r="BI526" s="569"/>
      <c r="BJ526" s="569"/>
      <c r="BK526" s="569"/>
      <c r="BL526" s="569"/>
      <c r="BM526" s="569"/>
      <c r="BN526" s="569"/>
      <c r="BO526" s="569"/>
      <c r="BP526" s="752"/>
      <c r="BQ526" s="752"/>
      <c r="BR526" s="752"/>
    </row>
    <row r="527" spans="1:70" s="22" customFormat="1" ht="49.5">
      <c r="A527" s="451"/>
      <c r="B527" s="34"/>
      <c r="C527" s="967" t="s">
        <v>41</v>
      </c>
      <c r="D527" s="967" t="s">
        <v>25</v>
      </c>
      <c r="E527" s="967" t="s">
        <v>78</v>
      </c>
      <c r="F527" s="967" t="s">
        <v>25</v>
      </c>
      <c r="G527" s="967" t="s">
        <v>45</v>
      </c>
      <c r="H527" s="967" t="s">
        <v>74</v>
      </c>
      <c r="I527" s="34" t="s">
        <v>538</v>
      </c>
      <c r="J527" s="34" t="s">
        <v>2757</v>
      </c>
      <c r="K527" s="506">
        <v>1500</v>
      </c>
      <c r="L527" s="558">
        <v>19846674500</v>
      </c>
      <c r="M527" s="506">
        <v>351</v>
      </c>
      <c r="N527" s="36">
        <v>6591287151</v>
      </c>
      <c r="O527" s="506">
        <v>300</v>
      </c>
      <c r="P527" s="36">
        <v>6572000000</v>
      </c>
      <c r="Q527" s="882">
        <v>0</v>
      </c>
      <c r="R527" s="558">
        <v>0</v>
      </c>
      <c r="S527" s="34"/>
      <c r="T527" s="232">
        <v>122000000</v>
      </c>
      <c r="U527" s="34"/>
      <c r="V527" s="34"/>
      <c r="W527" s="34"/>
      <c r="X527" s="34"/>
      <c r="Y527" s="115">
        <f t="shared" si="145"/>
        <v>0</v>
      </c>
      <c r="Z527" s="873">
        <f t="shared" si="146"/>
        <v>122000000</v>
      </c>
      <c r="AA527" s="115">
        <f t="shared" si="147"/>
        <v>351</v>
      </c>
      <c r="AB527" s="873">
        <f t="shared" si="148"/>
        <v>6713287151</v>
      </c>
      <c r="AC527" s="874">
        <f t="shared" si="149"/>
        <v>23.400000000000002</v>
      </c>
      <c r="AD527" s="874">
        <f t="shared" si="150"/>
        <v>33.825753281739971</v>
      </c>
      <c r="AE527" s="490"/>
      <c r="AF527" s="569"/>
      <c r="AG527" s="569"/>
      <c r="AH527" s="569"/>
      <c r="AI527" s="569"/>
      <c r="AJ527" s="569"/>
      <c r="AK527" s="569"/>
      <c r="AL527" s="569"/>
      <c r="AM527" s="569"/>
      <c r="AN527" s="569"/>
      <c r="AO527" s="569"/>
      <c r="AP527" s="569"/>
      <c r="AQ527" s="569"/>
      <c r="AR527" s="569"/>
      <c r="AS527" s="569"/>
      <c r="AT527" s="569"/>
      <c r="AU527" s="569"/>
      <c r="AV527" s="569"/>
      <c r="AW527" s="569"/>
      <c r="AX527" s="569"/>
      <c r="AY527" s="569"/>
      <c r="AZ527" s="569"/>
      <c r="BA527" s="569"/>
      <c r="BB527" s="569"/>
      <c r="BC527" s="569"/>
      <c r="BD527" s="569"/>
      <c r="BE527" s="569"/>
      <c r="BF527" s="569"/>
      <c r="BG527" s="569"/>
      <c r="BH527" s="569"/>
      <c r="BI527" s="569"/>
      <c r="BJ527" s="569"/>
      <c r="BK527" s="569"/>
      <c r="BL527" s="569"/>
      <c r="BM527" s="569"/>
      <c r="BN527" s="569"/>
      <c r="BO527" s="569"/>
      <c r="BP527" s="752"/>
      <c r="BQ527" s="752"/>
      <c r="BR527" s="752"/>
    </row>
    <row r="528" spans="1:70" s="22" customFormat="1" ht="33">
      <c r="A528" s="451"/>
      <c r="B528" s="34"/>
      <c r="C528" s="967" t="s">
        <v>41</v>
      </c>
      <c r="D528" s="967" t="s">
        <v>25</v>
      </c>
      <c r="E528" s="967" t="s">
        <v>78</v>
      </c>
      <c r="F528" s="967" t="s">
        <v>25</v>
      </c>
      <c r="G528" s="967" t="s">
        <v>45</v>
      </c>
      <c r="H528" s="967" t="s">
        <v>47</v>
      </c>
      <c r="I528" s="34" t="s">
        <v>539</v>
      </c>
      <c r="J528" s="34" t="s">
        <v>2758</v>
      </c>
      <c r="K528" s="506">
        <v>5</v>
      </c>
      <c r="L528" s="558">
        <v>1621658550</v>
      </c>
      <c r="M528" s="506">
        <v>3</v>
      </c>
      <c r="N528" s="36">
        <v>152256850</v>
      </c>
      <c r="O528" s="506">
        <v>1</v>
      </c>
      <c r="P528" s="36">
        <v>70625375</v>
      </c>
      <c r="Q528" s="969">
        <v>0</v>
      </c>
      <c r="R528" s="558">
        <v>13423750</v>
      </c>
      <c r="S528" s="34"/>
      <c r="T528" s="232">
        <v>39612500</v>
      </c>
      <c r="U528" s="34"/>
      <c r="V528" s="34"/>
      <c r="W528" s="34"/>
      <c r="X528" s="34"/>
      <c r="Y528" s="115">
        <f t="shared" si="145"/>
        <v>0</v>
      </c>
      <c r="Z528" s="873">
        <f t="shared" si="146"/>
        <v>53036250</v>
      </c>
      <c r="AA528" s="115">
        <f t="shared" si="147"/>
        <v>3</v>
      </c>
      <c r="AB528" s="873">
        <f t="shared" si="148"/>
        <v>205293100</v>
      </c>
      <c r="AC528" s="874">
        <f t="shared" si="149"/>
        <v>60</v>
      </c>
      <c r="AD528" s="874">
        <f t="shared" si="150"/>
        <v>12.659452879275973</v>
      </c>
      <c r="AE528" s="490"/>
      <c r="AF528" s="569"/>
      <c r="AG528" s="569"/>
      <c r="AH528" s="569"/>
      <c r="AI528" s="569"/>
      <c r="AJ528" s="569"/>
      <c r="AK528" s="569"/>
      <c r="AL528" s="569"/>
      <c r="AM528" s="569"/>
      <c r="AN528" s="569"/>
      <c r="AO528" s="569"/>
      <c r="AP528" s="569"/>
      <c r="AQ528" s="569"/>
      <c r="AR528" s="569"/>
      <c r="AS528" s="569"/>
      <c r="AT528" s="569"/>
      <c r="AU528" s="569"/>
      <c r="AV528" s="569"/>
      <c r="AW528" s="569"/>
      <c r="AX528" s="569"/>
      <c r="AY528" s="569"/>
      <c r="AZ528" s="569"/>
      <c r="BA528" s="569"/>
      <c r="BB528" s="569"/>
      <c r="BC528" s="569"/>
      <c r="BD528" s="569"/>
      <c r="BE528" s="569"/>
      <c r="BF528" s="569"/>
      <c r="BG528" s="569"/>
      <c r="BH528" s="569"/>
      <c r="BI528" s="569"/>
      <c r="BJ528" s="569"/>
      <c r="BK528" s="569"/>
      <c r="BL528" s="569"/>
      <c r="BM528" s="569"/>
      <c r="BN528" s="569"/>
      <c r="BO528" s="569"/>
      <c r="BP528" s="752"/>
      <c r="BQ528" s="752"/>
      <c r="BR528" s="752"/>
    </row>
    <row r="529" spans="1:70" s="22" customFormat="1" ht="66">
      <c r="A529" s="451"/>
      <c r="B529" s="34"/>
      <c r="C529" s="967" t="s">
        <v>41</v>
      </c>
      <c r="D529" s="967" t="s">
        <v>25</v>
      </c>
      <c r="E529" s="967" t="s">
        <v>78</v>
      </c>
      <c r="F529" s="967" t="s">
        <v>25</v>
      </c>
      <c r="G529" s="967" t="s">
        <v>45</v>
      </c>
      <c r="H529" s="967" t="s">
        <v>54</v>
      </c>
      <c r="I529" s="34" t="s">
        <v>540</v>
      </c>
      <c r="J529" s="34" t="s">
        <v>2759</v>
      </c>
      <c r="K529" s="506">
        <v>36</v>
      </c>
      <c r="L529" s="558">
        <f>3*P529</f>
        <v>747794826</v>
      </c>
      <c r="M529" s="506">
        <v>0</v>
      </c>
      <c r="N529" s="36">
        <v>0</v>
      </c>
      <c r="O529" s="506">
        <v>12</v>
      </c>
      <c r="P529" s="36">
        <v>249264942</v>
      </c>
      <c r="Q529" s="969">
        <v>3</v>
      </c>
      <c r="R529" s="558">
        <v>3568000</v>
      </c>
      <c r="S529" s="34">
        <v>6</v>
      </c>
      <c r="T529" s="232">
        <v>87353900</v>
      </c>
      <c r="U529" s="34"/>
      <c r="V529" s="34"/>
      <c r="W529" s="34"/>
      <c r="X529" s="34"/>
      <c r="Y529" s="115">
        <f t="shared" si="145"/>
        <v>9</v>
      </c>
      <c r="Z529" s="873">
        <f t="shared" si="146"/>
        <v>90921900</v>
      </c>
      <c r="AA529" s="115">
        <f t="shared" si="147"/>
        <v>9</v>
      </c>
      <c r="AB529" s="873">
        <f t="shared" si="148"/>
        <v>90921900</v>
      </c>
      <c r="AC529" s="874">
        <f t="shared" si="149"/>
        <v>25</v>
      </c>
      <c r="AD529" s="874">
        <f t="shared" si="150"/>
        <v>12.158669308578499</v>
      </c>
      <c r="AE529" s="490"/>
      <c r="AF529" s="569"/>
      <c r="AG529" s="569"/>
      <c r="AH529" s="569"/>
      <c r="AI529" s="569"/>
      <c r="AJ529" s="569"/>
      <c r="AK529" s="569"/>
      <c r="AL529" s="569"/>
      <c r="AM529" s="569"/>
      <c r="AN529" s="569"/>
      <c r="AO529" s="569"/>
      <c r="AP529" s="569"/>
      <c r="AQ529" s="569"/>
      <c r="AR529" s="569"/>
      <c r="AS529" s="569"/>
      <c r="AT529" s="569"/>
      <c r="AU529" s="569"/>
      <c r="AV529" s="569"/>
      <c r="AW529" s="569"/>
      <c r="AX529" s="569"/>
      <c r="AY529" s="569"/>
      <c r="AZ529" s="569"/>
      <c r="BA529" s="569"/>
      <c r="BB529" s="569"/>
      <c r="BC529" s="569"/>
      <c r="BD529" s="569"/>
      <c r="BE529" s="569"/>
      <c r="BF529" s="569"/>
      <c r="BG529" s="569"/>
      <c r="BH529" s="569"/>
      <c r="BI529" s="569"/>
      <c r="BJ529" s="569"/>
      <c r="BK529" s="569"/>
      <c r="BL529" s="569"/>
      <c r="BM529" s="569"/>
      <c r="BN529" s="569"/>
      <c r="BO529" s="569"/>
      <c r="BP529" s="752"/>
      <c r="BQ529" s="752"/>
      <c r="BR529" s="752"/>
    </row>
    <row r="530" spans="1:70" s="22" customFormat="1" ht="49.5">
      <c r="A530" s="451"/>
      <c r="B530" s="34"/>
      <c r="C530" s="967" t="s">
        <v>41</v>
      </c>
      <c r="D530" s="967" t="s">
        <v>25</v>
      </c>
      <c r="E530" s="967" t="s">
        <v>78</v>
      </c>
      <c r="F530" s="967" t="s">
        <v>25</v>
      </c>
      <c r="G530" s="967" t="s">
        <v>45</v>
      </c>
      <c r="H530" s="967" t="s">
        <v>474</v>
      </c>
      <c r="I530" s="34" t="s">
        <v>541</v>
      </c>
      <c r="J530" s="34" t="s">
        <v>2760</v>
      </c>
      <c r="K530" s="506">
        <v>15</v>
      </c>
      <c r="L530" s="558">
        <v>4000000000</v>
      </c>
      <c r="M530" s="506">
        <v>8</v>
      </c>
      <c r="N530" s="36">
        <v>1502681550</v>
      </c>
      <c r="O530" s="506">
        <v>1</v>
      </c>
      <c r="P530" s="36">
        <v>400000000</v>
      </c>
      <c r="Q530" s="882">
        <v>0</v>
      </c>
      <c r="R530" s="558">
        <v>8612150</v>
      </c>
      <c r="S530" s="34">
        <v>1</v>
      </c>
      <c r="T530" s="232">
        <v>118397050</v>
      </c>
      <c r="U530" s="34"/>
      <c r="V530" s="34"/>
      <c r="W530" s="34"/>
      <c r="X530" s="34"/>
      <c r="Y530" s="115">
        <f t="shared" si="145"/>
        <v>1</v>
      </c>
      <c r="Z530" s="873">
        <f t="shared" si="146"/>
        <v>127009200</v>
      </c>
      <c r="AA530" s="115">
        <f t="shared" si="147"/>
        <v>9</v>
      </c>
      <c r="AB530" s="873">
        <f t="shared" si="148"/>
        <v>1629690750</v>
      </c>
      <c r="AC530" s="874">
        <f t="shared" si="149"/>
        <v>60</v>
      </c>
      <c r="AD530" s="874">
        <f t="shared" si="150"/>
        <v>40.742268750000001</v>
      </c>
      <c r="AE530" s="490"/>
      <c r="AF530" s="569"/>
      <c r="AG530" s="569"/>
      <c r="AH530" s="569"/>
      <c r="AI530" s="569"/>
      <c r="AJ530" s="569"/>
      <c r="AK530" s="569"/>
      <c r="AL530" s="569"/>
      <c r="AM530" s="569"/>
      <c r="AN530" s="569"/>
      <c r="AO530" s="569"/>
      <c r="AP530" s="569"/>
      <c r="AQ530" s="569"/>
      <c r="AR530" s="569"/>
      <c r="AS530" s="569"/>
      <c r="AT530" s="569"/>
      <c r="AU530" s="569"/>
      <c r="AV530" s="569"/>
      <c r="AW530" s="569"/>
      <c r="AX530" s="569"/>
      <c r="AY530" s="569"/>
      <c r="AZ530" s="569"/>
      <c r="BA530" s="569"/>
      <c r="BB530" s="569"/>
      <c r="BC530" s="569"/>
      <c r="BD530" s="569"/>
      <c r="BE530" s="569"/>
      <c r="BF530" s="569"/>
      <c r="BG530" s="569"/>
      <c r="BH530" s="569"/>
      <c r="BI530" s="569"/>
      <c r="BJ530" s="569"/>
      <c r="BK530" s="569"/>
      <c r="BL530" s="569"/>
      <c r="BM530" s="569"/>
      <c r="BN530" s="569"/>
      <c r="BO530" s="569"/>
      <c r="BP530" s="752"/>
      <c r="BQ530" s="752"/>
      <c r="BR530" s="752"/>
    </row>
    <row r="531" spans="1:70" s="22" customFormat="1" ht="66">
      <c r="A531" s="451"/>
      <c r="B531" s="34"/>
      <c r="C531" s="967" t="s">
        <v>41</v>
      </c>
      <c r="D531" s="967" t="s">
        <v>25</v>
      </c>
      <c r="E531" s="967" t="s">
        <v>78</v>
      </c>
      <c r="F531" s="967" t="s">
        <v>25</v>
      </c>
      <c r="G531" s="967" t="s">
        <v>45</v>
      </c>
      <c r="H531" s="967" t="s">
        <v>542</v>
      </c>
      <c r="I531" s="34" t="s">
        <v>543</v>
      </c>
      <c r="J531" s="34" t="s">
        <v>2761</v>
      </c>
      <c r="K531" s="506">
        <v>36</v>
      </c>
      <c r="L531" s="558">
        <v>90000000</v>
      </c>
      <c r="M531" s="506">
        <v>0</v>
      </c>
      <c r="N531" s="36">
        <v>0</v>
      </c>
      <c r="O531" s="506">
        <v>12</v>
      </c>
      <c r="P531" s="36">
        <v>29455056</v>
      </c>
      <c r="Q531" s="969">
        <v>3</v>
      </c>
      <c r="R531" s="558">
        <v>15549250</v>
      </c>
      <c r="S531" s="34">
        <v>6</v>
      </c>
      <c r="T531" s="232">
        <v>24651150</v>
      </c>
      <c r="U531" s="34"/>
      <c r="V531" s="34"/>
      <c r="W531" s="34"/>
      <c r="X531" s="34"/>
      <c r="Y531" s="115">
        <f t="shared" si="145"/>
        <v>9</v>
      </c>
      <c r="Z531" s="873">
        <f t="shared" si="146"/>
        <v>40200400</v>
      </c>
      <c r="AA531" s="115">
        <f t="shared" si="147"/>
        <v>9</v>
      </c>
      <c r="AB531" s="873">
        <f t="shared" si="148"/>
        <v>40200400</v>
      </c>
      <c r="AC531" s="874">
        <f t="shared" si="149"/>
        <v>25</v>
      </c>
      <c r="AD531" s="874">
        <f t="shared" si="150"/>
        <v>44.667111111111112</v>
      </c>
      <c r="AE531" s="490"/>
      <c r="AF531" s="569"/>
      <c r="AG531" s="569"/>
      <c r="AH531" s="569"/>
      <c r="AI531" s="569"/>
      <c r="AJ531" s="569"/>
      <c r="AK531" s="569"/>
      <c r="AL531" s="569"/>
      <c r="AM531" s="569"/>
      <c r="AN531" s="569"/>
      <c r="AO531" s="569"/>
      <c r="AP531" s="569"/>
      <c r="AQ531" s="569"/>
      <c r="AR531" s="569"/>
      <c r="AS531" s="569"/>
      <c r="AT531" s="569"/>
      <c r="AU531" s="569"/>
      <c r="AV531" s="569"/>
      <c r="AW531" s="569"/>
      <c r="AX531" s="569"/>
      <c r="AY531" s="569"/>
      <c r="AZ531" s="569"/>
      <c r="BA531" s="569"/>
      <c r="BB531" s="569"/>
      <c r="BC531" s="569"/>
      <c r="BD531" s="569"/>
      <c r="BE531" s="569"/>
      <c r="BF531" s="569"/>
      <c r="BG531" s="569"/>
      <c r="BH531" s="569"/>
      <c r="BI531" s="569"/>
      <c r="BJ531" s="569"/>
      <c r="BK531" s="569"/>
      <c r="BL531" s="569"/>
      <c r="BM531" s="569"/>
      <c r="BN531" s="569"/>
      <c r="BO531" s="569"/>
      <c r="BP531" s="752"/>
      <c r="BQ531" s="752"/>
      <c r="BR531" s="752"/>
    </row>
    <row r="532" spans="1:70" s="22" customFormat="1" ht="66">
      <c r="A532" s="451"/>
      <c r="B532" s="34"/>
      <c r="C532" s="967" t="s">
        <v>41</v>
      </c>
      <c r="D532" s="967" t="s">
        <v>25</v>
      </c>
      <c r="E532" s="967" t="s">
        <v>78</v>
      </c>
      <c r="F532" s="967" t="s">
        <v>25</v>
      </c>
      <c r="G532" s="967" t="s">
        <v>45</v>
      </c>
      <c r="H532" s="967" t="s">
        <v>49</v>
      </c>
      <c r="I532" s="34" t="s">
        <v>544</v>
      </c>
      <c r="J532" s="34" t="s">
        <v>2742</v>
      </c>
      <c r="K532" s="506">
        <v>12</v>
      </c>
      <c r="L532" s="558">
        <v>150000000</v>
      </c>
      <c r="M532" s="506">
        <v>0</v>
      </c>
      <c r="N532" s="36">
        <v>0</v>
      </c>
      <c r="O532" s="506">
        <v>4</v>
      </c>
      <c r="P532" s="36">
        <v>49390465</v>
      </c>
      <c r="Q532" s="882">
        <v>1</v>
      </c>
      <c r="R532" s="558">
        <v>4065050</v>
      </c>
      <c r="S532" s="34">
        <v>2</v>
      </c>
      <c r="T532" s="232">
        <v>4065050</v>
      </c>
      <c r="U532" s="34"/>
      <c r="V532" s="34"/>
      <c r="W532" s="34"/>
      <c r="X532" s="34"/>
      <c r="Y532" s="115">
        <f t="shared" si="145"/>
        <v>3</v>
      </c>
      <c r="Z532" s="873">
        <f t="shared" si="146"/>
        <v>8130100</v>
      </c>
      <c r="AA532" s="115">
        <f t="shared" si="147"/>
        <v>3</v>
      </c>
      <c r="AB532" s="873">
        <f t="shared" si="148"/>
        <v>8130100</v>
      </c>
      <c r="AC532" s="874">
        <f t="shared" si="149"/>
        <v>25</v>
      </c>
      <c r="AD532" s="874">
        <f t="shared" si="150"/>
        <v>5.420066666666667</v>
      </c>
      <c r="AE532" s="490"/>
      <c r="AF532" s="569"/>
      <c r="AG532" s="569"/>
      <c r="AH532" s="569"/>
      <c r="AI532" s="569"/>
      <c r="AJ532" s="569"/>
      <c r="AK532" s="569"/>
      <c r="AL532" s="569"/>
      <c r="AM532" s="569"/>
      <c r="AN532" s="569"/>
      <c r="AO532" s="569"/>
      <c r="AP532" s="569"/>
      <c r="AQ532" s="569"/>
      <c r="AR532" s="569"/>
      <c r="AS532" s="569"/>
      <c r="AT532" s="569"/>
      <c r="AU532" s="569"/>
      <c r="AV532" s="569"/>
      <c r="AW532" s="569"/>
      <c r="AX532" s="569"/>
      <c r="AY532" s="569"/>
      <c r="AZ532" s="569"/>
      <c r="BA532" s="569"/>
      <c r="BB532" s="569"/>
      <c r="BC532" s="569"/>
      <c r="BD532" s="569"/>
      <c r="BE532" s="569"/>
      <c r="BF532" s="569"/>
      <c r="BG532" s="569"/>
      <c r="BH532" s="569"/>
      <c r="BI532" s="569"/>
      <c r="BJ532" s="569"/>
      <c r="BK532" s="569"/>
      <c r="BL532" s="569"/>
      <c r="BM532" s="569"/>
      <c r="BN532" s="569"/>
      <c r="BO532" s="569"/>
      <c r="BP532" s="752"/>
      <c r="BQ532" s="752"/>
      <c r="BR532" s="752"/>
    </row>
    <row r="533" spans="1:70" s="22" customFormat="1" ht="82.5">
      <c r="A533" s="451"/>
      <c r="B533" s="34"/>
      <c r="C533" s="967" t="s">
        <v>41</v>
      </c>
      <c r="D533" s="967" t="s">
        <v>25</v>
      </c>
      <c r="E533" s="967" t="s">
        <v>78</v>
      </c>
      <c r="F533" s="967" t="s">
        <v>25</v>
      </c>
      <c r="G533" s="967" t="s">
        <v>45</v>
      </c>
      <c r="H533" s="967" t="s">
        <v>53</v>
      </c>
      <c r="I533" s="34" t="s">
        <v>545</v>
      </c>
      <c r="J533" s="34" t="s">
        <v>2762</v>
      </c>
      <c r="K533" s="506">
        <v>200</v>
      </c>
      <c r="L533" s="558">
        <f>2*P533</f>
        <v>8224000000</v>
      </c>
      <c r="M533" s="506">
        <v>0</v>
      </c>
      <c r="N533" s="36">
        <v>0</v>
      </c>
      <c r="O533" s="506">
        <v>1087</v>
      </c>
      <c r="P533" s="36">
        <v>4112000000</v>
      </c>
      <c r="Q533" s="969"/>
      <c r="R533" s="558">
        <v>429468800</v>
      </c>
      <c r="S533" s="34">
        <v>347</v>
      </c>
      <c r="T533" s="232">
        <v>1602352570</v>
      </c>
      <c r="U533" s="34"/>
      <c r="V533" s="34"/>
      <c r="W533" s="34"/>
      <c r="X533" s="34"/>
      <c r="Y533" s="115">
        <f t="shared" si="145"/>
        <v>347</v>
      </c>
      <c r="Z533" s="873">
        <f t="shared" si="146"/>
        <v>2031821370</v>
      </c>
      <c r="AA533" s="115">
        <f t="shared" si="147"/>
        <v>347</v>
      </c>
      <c r="AB533" s="873">
        <f t="shared" si="148"/>
        <v>2031821370</v>
      </c>
      <c r="AC533" s="874">
        <f t="shared" si="149"/>
        <v>173.5</v>
      </c>
      <c r="AD533" s="874">
        <f t="shared" si="150"/>
        <v>24.705999148832685</v>
      </c>
      <c r="AE533" s="490"/>
      <c r="AF533" s="569"/>
      <c r="AG533" s="569"/>
      <c r="AH533" s="569"/>
      <c r="AI533" s="569"/>
      <c r="AJ533" s="569"/>
      <c r="AK533" s="569"/>
      <c r="AL533" s="569"/>
      <c r="AM533" s="569"/>
      <c r="AN533" s="569"/>
      <c r="AO533" s="569"/>
      <c r="AP533" s="569"/>
      <c r="AQ533" s="569"/>
      <c r="AR533" s="569"/>
      <c r="AS533" s="569"/>
      <c r="AT533" s="569"/>
      <c r="AU533" s="569"/>
      <c r="AV533" s="569"/>
      <c r="AW533" s="569"/>
      <c r="AX533" s="569"/>
      <c r="AY533" s="569"/>
      <c r="AZ533" s="569"/>
      <c r="BA533" s="569"/>
      <c r="BB533" s="569"/>
      <c r="BC533" s="569"/>
      <c r="BD533" s="569"/>
      <c r="BE533" s="569"/>
      <c r="BF533" s="569"/>
      <c r="BG533" s="569"/>
      <c r="BH533" s="569"/>
      <c r="BI533" s="569"/>
      <c r="BJ533" s="569"/>
      <c r="BK533" s="569"/>
      <c r="BL533" s="569"/>
      <c r="BM533" s="569"/>
      <c r="BN533" s="569"/>
      <c r="BO533" s="569"/>
      <c r="BP533" s="752"/>
      <c r="BQ533" s="752"/>
      <c r="BR533" s="752"/>
    </row>
    <row r="534" spans="1:70" s="22" customFormat="1" ht="49.5">
      <c r="A534" s="2554">
        <v>8</v>
      </c>
      <c r="B534" s="44"/>
      <c r="C534" s="753" t="s">
        <v>41</v>
      </c>
      <c r="D534" s="753" t="s">
        <v>25</v>
      </c>
      <c r="E534" s="753" t="s">
        <v>78</v>
      </c>
      <c r="F534" s="753" t="s">
        <v>25</v>
      </c>
      <c r="G534" s="753" t="s">
        <v>42</v>
      </c>
      <c r="H534" s="753"/>
      <c r="I534" s="44" t="s">
        <v>546</v>
      </c>
      <c r="J534" s="44" t="s">
        <v>2774</v>
      </c>
      <c r="K534" s="146">
        <v>97.25</v>
      </c>
      <c r="L534" s="879">
        <f>SUM(L535:L537)</f>
        <v>15878400000</v>
      </c>
      <c r="M534" s="146">
        <v>96</v>
      </c>
      <c r="N534" s="879">
        <f>SUM(N535:N537)</f>
        <v>3207139200</v>
      </c>
      <c r="O534" s="146">
        <f>97.09-M534</f>
        <v>1.0900000000000034</v>
      </c>
      <c r="P534" s="879">
        <f>SUM(P535:P537)</f>
        <v>3963168105</v>
      </c>
      <c r="Q534" s="880">
        <v>0</v>
      </c>
      <c r="R534" s="879">
        <f>SUM(R535:R537)</f>
        <v>69676700</v>
      </c>
      <c r="S534" s="44"/>
      <c r="T534" s="221">
        <f>SUM(T536:T537)</f>
        <v>543469500</v>
      </c>
      <c r="U534" s="44"/>
      <c r="V534" s="44"/>
      <c r="W534" s="44"/>
      <c r="X534" s="44"/>
      <c r="Y534" s="146">
        <f t="shared" si="145"/>
        <v>0</v>
      </c>
      <c r="Z534" s="879">
        <f t="shared" si="146"/>
        <v>613146200</v>
      </c>
      <c r="AA534" s="146">
        <f t="shared" si="147"/>
        <v>96</v>
      </c>
      <c r="AB534" s="879">
        <f t="shared" si="148"/>
        <v>3820285400</v>
      </c>
      <c r="AC534" s="868">
        <f t="shared" si="149"/>
        <v>98.714652956298195</v>
      </c>
      <c r="AD534" s="868">
        <f t="shared" si="150"/>
        <v>24.059636991132606</v>
      </c>
      <c r="AE534" s="482" t="s">
        <v>2746</v>
      </c>
      <c r="AF534" s="569"/>
      <c r="AG534" s="569"/>
      <c r="AH534" s="569"/>
      <c r="AI534" s="569"/>
      <c r="AJ534" s="569"/>
      <c r="AK534" s="569"/>
      <c r="AL534" s="569"/>
      <c r="AM534" s="569"/>
      <c r="AN534" s="569"/>
      <c r="AO534" s="569"/>
      <c r="AP534" s="569"/>
      <c r="AQ534" s="569"/>
      <c r="AR534" s="569"/>
      <c r="AS534" s="569"/>
      <c r="AT534" s="569"/>
      <c r="AU534" s="569"/>
      <c r="AV534" s="569"/>
      <c r="AW534" s="569"/>
      <c r="AX534" s="569"/>
      <c r="AY534" s="569"/>
      <c r="AZ534" s="569"/>
      <c r="BA534" s="569"/>
      <c r="BB534" s="569"/>
      <c r="BC534" s="569"/>
      <c r="BD534" s="569"/>
      <c r="BE534" s="569"/>
      <c r="BF534" s="569"/>
      <c r="BG534" s="569"/>
      <c r="BH534" s="569"/>
      <c r="BI534" s="569"/>
      <c r="BJ534" s="569"/>
      <c r="BK534" s="569"/>
      <c r="BL534" s="569"/>
      <c r="BM534" s="569"/>
      <c r="BN534" s="569"/>
      <c r="BO534" s="569"/>
      <c r="BP534" s="752"/>
      <c r="BQ534" s="752"/>
      <c r="BR534" s="752"/>
    </row>
    <row r="535" spans="1:70" s="22" customFormat="1" ht="49.5">
      <c r="A535" s="451"/>
      <c r="B535" s="34"/>
      <c r="C535" s="967" t="s">
        <v>41</v>
      </c>
      <c r="D535" s="967" t="s">
        <v>25</v>
      </c>
      <c r="E535" s="967" t="s">
        <v>78</v>
      </c>
      <c r="F535" s="967" t="s">
        <v>25</v>
      </c>
      <c r="G535" s="967" t="s">
        <v>42</v>
      </c>
      <c r="H535" s="967" t="s">
        <v>30</v>
      </c>
      <c r="I535" s="34" t="s">
        <v>547</v>
      </c>
      <c r="J535" s="34" t="s">
        <v>2763</v>
      </c>
      <c r="K535" s="506">
        <v>2000</v>
      </c>
      <c r="L535" s="558">
        <v>11460000000</v>
      </c>
      <c r="M535" s="506">
        <v>573</v>
      </c>
      <c r="N535" s="36">
        <v>2865000000</v>
      </c>
      <c r="O535" s="506">
        <v>500</v>
      </c>
      <c r="P535" s="36">
        <v>2500000000</v>
      </c>
      <c r="Q535" s="882">
        <v>0</v>
      </c>
      <c r="R535" s="558">
        <v>0</v>
      </c>
      <c r="S535" s="34"/>
      <c r="T535" s="34"/>
      <c r="U535" s="34"/>
      <c r="V535" s="34"/>
      <c r="W535" s="34"/>
      <c r="X535" s="34"/>
      <c r="Y535" s="115">
        <f t="shared" si="145"/>
        <v>0</v>
      </c>
      <c r="Z535" s="873">
        <f t="shared" si="146"/>
        <v>0</v>
      </c>
      <c r="AA535" s="115">
        <f t="shared" si="147"/>
        <v>573</v>
      </c>
      <c r="AB535" s="873">
        <f t="shared" si="148"/>
        <v>2865000000</v>
      </c>
      <c r="AC535" s="874">
        <f t="shared" si="149"/>
        <v>28.65</v>
      </c>
      <c r="AD535" s="874">
        <f t="shared" si="150"/>
        <v>25</v>
      </c>
      <c r="AE535" s="490"/>
      <c r="AF535" s="569"/>
      <c r="AG535" s="569"/>
      <c r="AH535" s="569"/>
      <c r="AI535" s="569"/>
      <c r="AJ535" s="569"/>
      <c r="AK535" s="569"/>
      <c r="AL535" s="569"/>
      <c r="AM535" s="569"/>
      <c r="AN535" s="569"/>
      <c r="AO535" s="569"/>
      <c r="AP535" s="569"/>
      <c r="AQ535" s="569"/>
      <c r="AR535" s="569"/>
      <c r="AS535" s="569"/>
      <c r="AT535" s="569"/>
      <c r="AU535" s="569"/>
      <c r="AV535" s="569"/>
      <c r="AW535" s="569"/>
      <c r="AX535" s="569"/>
      <c r="AY535" s="569"/>
      <c r="AZ535" s="569"/>
      <c r="BA535" s="569"/>
      <c r="BB535" s="569"/>
      <c r="BC535" s="569"/>
      <c r="BD535" s="569"/>
      <c r="BE535" s="569"/>
      <c r="BF535" s="569"/>
      <c r="BG535" s="569"/>
      <c r="BH535" s="569"/>
      <c r="BI535" s="569"/>
      <c r="BJ535" s="569"/>
      <c r="BK535" s="569"/>
      <c r="BL535" s="569"/>
      <c r="BM535" s="569"/>
      <c r="BN535" s="569"/>
      <c r="BO535" s="569"/>
      <c r="BP535" s="752"/>
      <c r="BQ535" s="752"/>
      <c r="BR535" s="752"/>
    </row>
    <row r="536" spans="1:70" s="22" customFormat="1" ht="82.5">
      <c r="A536" s="451"/>
      <c r="B536" s="34"/>
      <c r="C536" s="967" t="s">
        <v>41</v>
      </c>
      <c r="D536" s="967" t="s">
        <v>25</v>
      </c>
      <c r="E536" s="967" t="s">
        <v>78</v>
      </c>
      <c r="F536" s="967" t="s">
        <v>25</v>
      </c>
      <c r="G536" s="967" t="s">
        <v>42</v>
      </c>
      <c r="H536" s="967" t="s">
        <v>35</v>
      </c>
      <c r="I536" s="34" t="s">
        <v>548</v>
      </c>
      <c r="J536" s="34" t="s">
        <v>2764</v>
      </c>
      <c r="K536" s="506">
        <v>48</v>
      </c>
      <c r="L536" s="558">
        <v>818400000</v>
      </c>
      <c r="M536" s="506">
        <v>12</v>
      </c>
      <c r="N536" s="36">
        <v>342139200</v>
      </c>
      <c r="O536" s="506">
        <v>12</v>
      </c>
      <c r="P536" s="36">
        <v>263168105</v>
      </c>
      <c r="Q536" s="875">
        <v>3</v>
      </c>
      <c r="R536" s="558">
        <v>39673800</v>
      </c>
      <c r="S536" s="34">
        <v>6</v>
      </c>
      <c r="T536" s="232">
        <v>118657450</v>
      </c>
      <c r="U536" s="34"/>
      <c r="V536" s="34"/>
      <c r="W536" s="34"/>
      <c r="X536" s="34"/>
      <c r="Y536" s="115">
        <f t="shared" si="145"/>
        <v>9</v>
      </c>
      <c r="Z536" s="873">
        <f t="shared" si="146"/>
        <v>158331250</v>
      </c>
      <c r="AA536" s="115">
        <f t="shared" si="147"/>
        <v>21</v>
      </c>
      <c r="AB536" s="873">
        <f t="shared" si="148"/>
        <v>500470450</v>
      </c>
      <c r="AC536" s="874">
        <f t="shared" si="149"/>
        <v>43.75</v>
      </c>
      <c r="AD536" s="874">
        <f t="shared" si="150"/>
        <v>61.152303274682311</v>
      </c>
      <c r="AE536" s="490"/>
      <c r="AF536" s="569"/>
      <c r="AG536" s="569"/>
      <c r="AH536" s="569"/>
      <c r="AI536" s="569"/>
      <c r="AJ536" s="569"/>
      <c r="AK536" s="569"/>
      <c r="AL536" s="569"/>
      <c r="AM536" s="569"/>
      <c r="AN536" s="569"/>
      <c r="AO536" s="569"/>
      <c r="AP536" s="569"/>
      <c r="AQ536" s="569"/>
      <c r="AR536" s="569"/>
      <c r="AS536" s="569"/>
      <c r="AT536" s="569"/>
      <c r="AU536" s="569"/>
      <c r="AV536" s="569"/>
      <c r="AW536" s="569"/>
      <c r="AX536" s="569"/>
      <c r="AY536" s="569"/>
      <c r="AZ536" s="569"/>
      <c r="BA536" s="569"/>
      <c r="BB536" s="569"/>
      <c r="BC536" s="569"/>
      <c r="BD536" s="569"/>
      <c r="BE536" s="569"/>
      <c r="BF536" s="569"/>
      <c r="BG536" s="569"/>
      <c r="BH536" s="569"/>
      <c r="BI536" s="569"/>
      <c r="BJ536" s="569"/>
      <c r="BK536" s="569"/>
      <c r="BL536" s="569"/>
      <c r="BM536" s="569"/>
      <c r="BN536" s="569"/>
      <c r="BO536" s="569"/>
      <c r="BP536" s="752"/>
      <c r="BQ536" s="752"/>
      <c r="BR536" s="752"/>
    </row>
    <row r="537" spans="1:70" s="22" customFormat="1" ht="49.5">
      <c r="A537" s="451"/>
      <c r="B537" s="34"/>
      <c r="C537" s="967" t="s">
        <v>41</v>
      </c>
      <c r="D537" s="967" t="s">
        <v>25</v>
      </c>
      <c r="E537" s="967" t="s">
        <v>78</v>
      </c>
      <c r="F537" s="967" t="s">
        <v>25</v>
      </c>
      <c r="G537" s="967" t="s">
        <v>42</v>
      </c>
      <c r="H537" s="967" t="s">
        <v>61</v>
      </c>
      <c r="I537" s="34" t="s">
        <v>549</v>
      </c>
      <c r="J537" s="34" t="s">
        <v>2765</v>
      </c>
      <c r="K537" s="506">
        <v>8</v>
      </c>
      <c r="L537" s="558">
        <f>3*P537</f>
        <v>3600000000</v>
      </c>
      <c r="M537" s="506">
        <v>0</v>
      </c>
      <c r="N537" s="36">
        <v>0</v>
      </c>
      <c r="O537" s="506">
        <v>2</v>
      </c>
      <c r="P537" s="36">
        <v>1200000000</v>
      </c>
      <c r="Q537" s="882">
        <v>0</v>
      </c>
      <c r="R537" s="558">
        <v>30002900</v>
      </c>
      <c r="S537" s="34">
        <v>2</v>
      </c>
      <c r="T537" s="232">
        <v>424812050</v>
      </c>
      <c r="U537" s="34"/>
      <c r="V537" s="34"/>
      <c r="W537" s="34"/>
      <c r="X537" s="34"/>
      <c r="Y537" s="115">
        <f t="shared" si="145"/>
        <v>2</v>
      </c>
      <c r="Z537" s="873">
        <f t="shared" si="146"/>
        <v>454814950</v>
      </c>
      <c r="AA537" s="115">
        <f t="shared" si="147"/>
        <v>2</v>
      </c>
      <c r="AB537" s="873">
        <f t="shared" si="148"/>
        <v>454814950</v>
      </c>
      <c r="AC537" s="874">
        <f t="shared" si="149"/>
        <v>25</v>
      </c>
      <c r="AD537" s="874">
        <f t="shared" si="150"/>
        <v>12.633748611111113</v>
      </c>
      <c r="AE537" s="490"/>
      <c r="AF537" s="569"/>
      <c r="AG537" s="569"/>
      <c r="AH537" s="569"/>
      <c r="AI537" s="569"/>
      <c r="AJ537" s="569"/>
      <c r="AK537" s="569"/>
      <c r="AL537" s="569"/>
      <c r="AM537" s="569"/>
      <c r="AN537" s="569"/>
      <c r="AO537" s="569"/>
      <c r="AP537" s="569"/>
      <c r="AQ537" s="569"/>
      <c r="AR537" s="569"/>
      <c r="AS537" s="569"/>
      <c r="AT537" s="569"/>
      <c r="AU537" s="569"/>
      <c r="AV537" s="569"/>
      <c r="AW537" s="569"/>
      <c r="AX537" s="569"/>
      <c r="AY537" s="569"/>
      <c r="AZ537" s="569"/>
      <c r="BA537" s="569"/>
      <c r="BB537" s="569"/>
      <c r="BC537" s="569"/>
      <c r="BD537" s="569"/>
      <c r="BE537" s="569"/>
      <c r="BF537" s="569"/>
      <c r="BG537" s="569"/>
      <c r="BH537" s="569"/>
      <c r="BI537" s="569"/>
      <c r="BJ537" s="569"/>
      <c r="BK537" s="569"/>
      <c r="BL537" s="569"/>
      <c r="BM537" s="569"/>
      <c r="BN537" s="569"/>
      <c r="BO537" s="569"/>
      <c r="BP537" s="752"/>
      <c r="BQ537" s="752"/>
      <c r="BR537" s="752"/>
    </row>
    <row r="538" spans="1:70" s="22" customFormat="1" ht="82.5">
      <c r="A538" s="2554">
        <v>9</v>
      </c>
      <c r="B538" s="44"/>
      <c r="C538" s="753" t="s">
        <v>41</v>
      </c>
      <c r="D538" s="753" t="s">
        <v>25</v>
      </c>
      <c r="E538" s="753" t="s">
        <v>78</v>
      </c>
      <c r="F538" s="753" t="s">
        <v>25</v>
      </c>
      <c r="G538" s="753" t="s">
        <v>48</v>
      </c>
      <c r="H538" s="753"/>
      <c r="I538" s="44" t="s">
        <v>550</v>
      </c>
      <c r="J538" s="44" t="s">
        <v>2766</v>
      </c>
      <c r="K538" s="146">
        <v>97.22</v>
      </c>
      <c r="L538" s="879">
        <f>SUM(L539:L545)</f>
        <v>13467227935</v>
      </c>
      <c r="M538" s="146">
        <v>96</v>
      </c>
      <c r="N538" s="879">
        <f>SUM(N539:N545)</f>
        <v>0</v>
      </c>
      <c r="O538" s="146">
        <v>0.95</v>
      </c>
      <c r="P538" s="879">
        <f>SUM(P539:P545)</f>
        <v>5500221876</v>
      </c>
      <c r="Q538" s="880">
        <v>0</v>
      </c>
      <c r="R538" s="879">
        <f>SUM(R539:R545)</f>
        <v>26396150</v>
      </c>
      <c r="S538" s="44"/>
      <c r="T538" s="221">
        <f>SUM(T539:T545)</f>
        <v>954722950</v>
      </c>
      <c r="U538" s="44"/>
      <c r="V538" s="44"/>
      <c r="W538" s="44"/>
      <c r="X538" s="44"/>
      <c r="Y538" s="146">
        <f t="shared" si="145"/>
        <v>0</v>
      </c>
      <c r="Z538" s="879">
        <f t="shared" si="146"/>
        <v>981119100</v>
      </c>
      <c r="AA538" s="146">
        <f t="shared" si="147"/>
        <v>96</v>
      </c>
      <c r="AB538" s="879">
        <f t="shared" si="148"/>
        <v>981119100</v>
      </c>
      <c r="AC538" s="868">
        <f t="shared" si="149"/>
        <v>98.745114174038264</v>
      </c>
      <c r="AD538" s="868">
        <f t="shared" si="150"/>
        <v>7.2852342348061701</v>
      </c>
      <c r="AE538" s="482" t="s">
        <v>2746</v>
      </c>
      <c r="AF538" s="569"/>
      <c r="AG538" s="569"/>
      <c r="AH538" s="569"/>
      <c r="AI538" s="569"/>
      <c r="AJ538" s="569"/>
      <c r="AK538" s="569"/>
      <c r="AL538" s="569"/>
      <c r="AM538" s="569"/>
      <c r="AN538" s="569"/>
      <c r="AO538" s="569"/>
      <c r="AP538" s="569"/>
      <c r="AQ538" s="569"/>
      <c r="AR538" s="569"/>
      <c r="AS538" s="569"/>
      <c r="AT538" s="569"/>
      <c r="AU538" s="569"/>
      <c r="AV538" s="569"/>
      <c r="AW538" s="569"/>
      <c r="AX538" s="569"/>
      <c r="AY538" s="569"/>
      <c r="AZ538" s="569"/>
      <c r="BA538" s="569"/>
      <c r="BB538" s="569"/>
      <c r="BC538" s="569"/>
      <c r="BD538" s="569"/>
      <c r="BE538" s="569"/>
      <c r="BF538" s="569"/>
      <c r="BG538" s="569"/>
      <c r="BH538" s="569"/>
      <c r="BI538" s="569"/>
      <c r="BJ538" s="569"/>
      <c r="BK538" s="569"/>
      <c r="BL538" s="569"/>
      <c r="BM538" s="569"/>
      <c r="BN538" s="569"/>
      <c r="BO538" s="569"/>
      <c r="BP538" s="752"/>
      <c r="BQ538" s="752"/>
      <c r="BR538" s="752"/>
    </row>
    <row r="539" spans="1:70" s="22" customFormat="1" ht="82.5">
      <c r="A539" s="451"/>
      <c r="B539" s="34"/>
      <c r="C539" s="967" t="s">
        <v>41</v>
      </c>
      <c r="D539" s="967" t="s">
        <v>25</v>
      </c>
      <c r="E539" s="967" t="s">
        <v>78</v>
      </c>
      <c r="F539" s="967" t="s">
        <v>25</v>
      </c>
      <c r="G539" s="967" t="s">
        <v>48</v>
      </c>
      <c r="H539" s="967" t="s">
        <v>28</v>
      </c>
      <c r="I539" s="34" t="s">
        <v>551</v>
      </c>
      <c r="J539" s="34" t="s">
        <v>2767</v>
      </c>
      <c r="K539" s="506">
        <v>36</v>
      </c>
      <c r="L539" s="558">
        <f>3*P539</f>
        <v>148470000</v>
      </c>
      <c r="M539" s="506">
        <v>0</v>
      </c>
      <c r="N539" s="36">
        <v>0</v>
      </c>
      <c r="O539" s="506">
        <v>12</v>
      </c>
      <c r="P539" s="36">
        <v>49490000</v>
      </c>
      <c r="Q539" s="882">
        <v>3</v>
      </c>
      <c r="R539" s="558">
        <v>7483000</v>
      </c>
      <c r="S539" s="34">
        <v>6</v>
      </c>
      <c r="T539" s="232">
        <v>17675950</v>
      </c>
      <c r="U539" s="34"/>
      <c r="V539" s="34"/>
      <c r="W539" s="34"/>
      <c r="X539" s="34"/>
      <c r="Y539" s="115">
        <f t="shared" si="145"/>
        <v>9</v>
      </c>
      <c r="Z539" s="873">
        <f t="shared" si="146"/>
        <v>25158950</v>
      </c>
      <c r="AA539" s="115">
        <f t="shared" si="147"/>
        <v>9</v>
      </c>
      <c r="AB539" s="873">
        <f t="shared" si="148"/>
        <v>25158950</v>
      </c>
      <c r="AC539" s="874">
        <f t="shared" si="149"/>
        <v>25</v>
      </c>
      <c r="AD539" s="874">
        <f t="shared" si="150"/>
        <v>16.945477200781305</v>
      </c>
      <c r="AE539" s="490"/>
      <c r="AF539" s="870"/>
      <c r="AG539" s="870"/>
      <c r="AH539" s="870"/>
      <c r="AI539" s="870"/>
      <c r="AJ539" s="870"/>
      <c r="AK539" s="870"/>
      <c r="AL539" s="870"/>
      <c r="AM539" s="870"/>
      <c r="AN539" s="870"/>
      <c r="AO539" s="870"/>
      <c r="AP539" s="870"/>
      <c r="AQ539" s="870"/>
      <c r="AR539" s="870"/>
      <c r="AS539" s="870"/>
      <c r="AT539" s="870"/>
      <c r="AU539" s="870"/>
      <c r="AV539" s="870"/>
      <c r="AW539" s="870"/>
      <c r="AX539" s="870"/>
      <c r="AY539" s="870"/>
      <c r="AZ539" s="870"/>
      <c r="BA539" s="870"/>
      <c r="BB539" s="870"/>
      <c r="BC539" s="870"/>
      <c r="BD539" s="870"/>
      <c r="BE539" s="870"/>
      <c r="BF539" s="870"/>
      <c r="BG539" s="870"/>
      <c r="BH539" s="870"/>
      <c r="BI539" s="870"/>
      <c r="BJ539" s="870"/>
      <c r="BK539" s="870"/>
      <c r="BL539" s="870"/>
      <c r="BM539" s="870"/>
      <c r="BN539" s="870"/>
      <c r="BO539" s="870"/>
      <c r="BP539" s="752"/>
      <c r="BQ539" s="752"/>
      <c r="BR539" s="752"/>
    </row>
    <row r="540" spans="1:70" s="22" customFormat="1" ht="36" customHeight="1">
      <c r="A540" s="451"/>
      <c r="B540" s="34"/>
      <c r="C540" s="967" t="s">
        <v>41</v>
      </c>
      <c r="D540" s="967" t="s">
        <v>25</v>
      </c>
      <c r="E540" s="967" t="s">
        <v>78</v>
      </c>
      <c r="F540" s="967" t="s">
        <v>25</v>
      </c>
      <c r="G540" s="967" t="s">
        <v>48</v>
      </c>
      <c r="H540" s="967" t="s">
        <v>78</v>
      </c>
      <c r="I540" s="34" t="s">
        <v>552</v>
      </c>
      <c r="J540" s="34" t="s">
        <v>2768</v>
      </c>
      <c r="K540" s="506">
        <v>6</v>
      </c>
      <c r="L540" s="558">
        <f>3*P540</f>
        <v>8044395657</v>
      </c>
      <c r="M540" s="506">
        <v>0</v>
      </c>
      <c r="N540" s="36">
        <v>0</v>
      </c>
      <c r="O540" s="506">
        <v>2</v>
      </c>
      <c r="P540" s="36">
        <v>2681465219</v>
      </c>
      <c r="Q540" s="875">
        <v>0</v>
      </c>
      <c r="R540" s="558">
        <v>685800</v>
      </c>
      <c r="S540" s="34"/>
      <c r="T540" s="232">
        <v>472055400</v>
      </c>
      <c r="U540" s="34"/>
      <c r="V540" s="34"/>
      <c r="W540" s="34"/>
      <c r="X540" s="34"/>
      <c r="Y540" s="115">
        <f t="shared" si="145"/>
        <v>0</v>
      </c>
      <c r="Z540" s="873">
        <f t="shared" si="146"/>
        <v>472741200</v>
      </c>
      <c r="AA540" s="115">
        <f t="shared" si="147"/>
        <v>0</v>
      </c>
      <c r="AB540" s="873">
        <f t="shared" si="148"/>
        <v>472741200</v>
      </c>
      <c r="AC540" s="874">
        <f t="shared" si="149"/>
        <v>0</v>
      </c>
      <c r="AD540" s="874">
        <f t="shared" si="150"/>
        <v>5.8766527674286424</v>
      </c>
      <c r="AE540" s="490"/>
      <c r="AF540" s="750"/>
      <c r="AG540" s="750"/>
      <c r="AH540" s="750"/>
      <c r="AI540" s="750"/>
      <c r="AJ540" s="750"/>
      <c r="AK540" s="750"/>
      <c r="AL540" s="750"/>
      <c r="AM540" s="750"/>
      <c r="AN540" s="750"/>
      <c r="AO540" s="750"/>
      <c r="AP540" s="750"/>
      <c r="AQ540" s="750"/>
      <c r="AR540" s="750"/>
      <c r="AS540" s="750"/>
      <c r="AT540" s="750"/>
      <c r="AU540" s="750"/>
      <c r="AV540" s="750"/>
      <c r="AW540" s="750"/>
      <c r="AX540" s="750"/>
      <c r="AY540" s="750"/>
      <c r="AZ540" s="750"/>
      <c r="BA540" s="750"/>
      <c r="BB540" s="750"/>
      <c r="BC540" s="752"/>
      <c r="BD540" s="752"/>
      <c r="BE540" s="752"/>
      <c r="BF540" s="752"/>
      <c r="BG540" s="752"/>
      <c r="BH540" s="752"/>
      <c r="BI540" s="752"/>
      <c r="BJ540" s="752"/>
      <c r="BK540" s="752"/>
      <c r="BL540" s="752"/>
      <c r="BM540" s="752"/>
      <c r="BN540" s="752"/>
      <c r="BO540" s="752"/>
      <c r="BP540" s="752"/>
      <c r="BQ540" s="752"/>
      <c r="BR540" s="752"/>
    </row>
    <row r="541" spans="1:70" s="22" customFormat="1" ht="66">
      <c r="A541" s="451"/>
      <c r="B541" s="34"/>
      <c r="C541" s="967" t="s">
        <v>41</v>
      </c>
      <c r="D541" s="967" t="s">
        <v>25</v>
      </c>
      <c r="E541" s="967" t="s">
        <v>78</v>
      </c>
      <c r="F541" s="967" t="s">
        <v>25</v>
      </c>
      <c r="G541" s="967" t="s">
        <v>48</v>
      </c>
      <c r="H541" s="967" t="s">
        <v>38</v>
      </c>
      <c r="I541" s="34" t="s">
        <v>553</v>
      </c>
      <c r="J541" s="34" t="s">
        <v>2769</v>
      </c>
      <c r="K541" s="506">
        <v>15</v>
      </c>
      <c r="L541" s="558">
        <f>2*P541</f>
        <v>2944875386</v>
      </c>
      <c r="M541" s="506">
        <v>0</v>
      </c>
      <c r="N541" s="36">
        <v>0</v>
      </c>
      <c r="O541" s="506">
        <v>5</v>
      </c>
      <c r="P541" s="36">
        <v>1472437693</v>
      </c>
      <c r="Q541" s="882">
        <v>0</v>
      </c>
      <c r="R541" s="558">
        <v>895600</v>
      </c>
      <c r="S541" s="34"/>
      <c r="T541" s="232">
        <v>202679100</v>
      </c>
      <c r="U541" s="34"/>
      <c r="V541" s="34"/>
      <c r="W541" s="34"/>
      <c r="X541" s="34"/>
      <c r="Y541" s="115">
        <f t="shared" si="145"/>
        <v>0</v>
      </c>
      <c r="Z541" s="873">
        <f t="shared" si="146"/>
        <v>203574700</v>
      </c>
      <c r="AA541" s="115">
        <f t="shared" si="147"/>
        <v>0</v>
      </c>
      <c r="AB541" s="873">
        <f t="shared" si="148"/>
        <v>203574700</v>
      </c>
      <c r="AC541" s="874">
        <f t="shared" si="149"/>
        <v>0</v>
      </c>
      <c r="AD541" s="874">
        <f t="shared" si="150"/>
        <v>6.9128459889270157</v>
      </c>
      <c r="AE541" s="490"/>
      <c r="AF541" s="750"/>
      <c r="AG541" s="750"/>
      <c r="AH541" s="750"/>
      <c r="AI541" s="750"/>
      <c r="AJ541" s="750"/>
      <c r="AK541" s="750"/>
      <c r="AL541" s="750"/>
      <c r="AM541" s="750"/>
      <c r="AN541" s="750"/>
      <c r="AO541" s="750"/>
      <c r="AP541" s="750"/>
      <c r="AQ541" s="750"/>
      <c r="AR541" s="750"/>
      <c r="AS541" s="750"/>
      <c r="AT541" s="750"/>
      <c r="AU541" s="750"/>
      <c r="AV541" s="750"/>
      <c r="AW541" s="750"/>
      <c r="AX541" s="750"/>
      <c r="AY541" s="750"/>
      <c r="AZ541" s="750"/>
      <c r="BA541" s="750"/>
      <c r="BB541" s="750"/>
      <c r="BC541" s="752"/>
      <c r="BD541" s="752"/>
      <c r="BE541" s="752"/>
      <c r="BF541" s="752"/>
      <c r="BG541" s="752"/>
      <c r="BH541" s="752"/>
      <c r="BI541" s="752"/>
      <c r="BJ541" s="752"/>
      <c r="BK541" s="752"/>
      <c r="BL541" s="752"/>
      <c r="BM541" s="752"/>
      <c r="BN541" s="752"/>
      <c r="BO541" s="752"/>
      <c r="BP541" s="752"/>
      <c r="BQ541" s="752"/>
      <c r="BR541" s="752"/>
    </row>
    <row r="542" spans="1:70" s="22" customFormat="1" ht="99">
      <c r="A542" s="451"/>
      <c r="B542" s="34"/>
      <c r="C542" s="967" t="s">
        <v>41</v>
      </c>
      <c r="D542" s="967" t="s">
        <v>25</v>
      </c>
      <c r="E542" s="967" t="s">
        <v>78</v>
      </c>
      <c r="F542" s="967" t="s">
        <v>25</v>
      </c>
      <c r="G542" s="967" t="s">
        <v>48</v>
      </c>
      <c r="H542" s="967" t="s">
        <v>56</v>
      </c>
      <c r="I542" s="34" t="s">
        <v>554</v>
      </c>
      <c r="J542" s="34" t="s">
        <v>2770</v>
      </c>
      <c r="K542" s="506">
        <v>36</v>
      </c>
      <c r="L542" s="558">
        <f>3*P542</f>
        <v>321217749</v>
      </c>
      <c r="M542" s="506">
        <v>0</v>
      </c>
      <c r="N542" s="36">
        <v>0</v>
      </c>
      <c r="O542" s="506">
        <v>12</v>
      </c>
      <c r="P542" s="36">
        <v>107072583</v>
      </c>
      <c r="Q542" s="969">
        <v>3</v>
      </c>
      <c r="R542" s="558">
        <v>12565400</v>
      </c>
      <c r="S542" s="34">
        <v>6</v>
      </c>
      <c r="T542" s="232">
        <v>19632000</v>
      </c>
      <c r="U542" s="34"/>
      <c r="V542" s="34"/>
      <c r="W542" s="34"/>
      <c r="X542" s="34"/>
      <c r="Y542" s="115">
        <f t="shared" si="145"/>
        <v>9</v>
      </c>
      <c r="Z542" s="873">
        <f t="shared" si="146"/>
        <v>32197400</v>
      </c>
      <c r="AA542" s="115">
        <f t="shared" si="147"/>
        <v>9</v>
      </c>
      <c r="AB542" s="873">
        <f t="shared" si="148"/>
        <v>32197400</v>
      </c>
      <c r="AC542" s="874">
        <f t="shared" si="149"/>
        <v>25</v>
      </c>
      <c r="AD542" s="874">
        <f t="shared" si="150"/>
        <v>10.023543250718689</v>
      </c>
      <c r="AE542" s="490"/>
      <c r="AF542" s="750"/>
      <c r="AG542" s="750"/>
      <c r="AH542" s="750"/>
      <c r="AI542" s="750"/>
      <c r="AJ542" s="750"/>
      <c r="AK542" s="750"/>
      <c r="AL542" s="750"/>
      <c r="AM542" s="750"/>
      <c r="AN542" s="750"/>
      <c r="AO542" s="750"/>
      <c r="AP542" s="750"/>
      <c r="AQ542" s="750"/>
      <c r="AR542" s="750"/>
      <c r="AS542" s="750"/>
      <c r="AT542" s="750"/>
      <c r="AU542" s="750"/>
      <c r="AV542" s="750"/>
      <c r="AW542" s="750"/>
      <c r="AX542" s="750"/>
      <c r="AY542" s="750"/>
      <c r="AZ542" s="750"/>
      <c r="BA542" s="750"/>
      <c r="BB542" s="750"/>
      <c r="BC542" s="752"/>
      <c r="BD542" s="752"/>
      <c r="BE542" s="752"/>
      <c r="BF542" s="752"/>
      <c r="BG542" s="752"/>
      <c r="BH542" s="752"/>
      <c r="BI542" s="752"/>
      <c r="BJ542" s="752"/>
      <c r="BK542" s="752"/>
      <c r="BL542" s="752"/>
      <c r="BM542" s="752"/>
      <c r="BN542" s="752"/>
      <c r="BO542" s="752"/>
      <c r="BP542" s="752"/>
      <c r="BQ542" s="752"/>
      <c r="BR542" s="752"/>
    </row>
    <row r="543" spans="1:70" s="22" customFormat="1" ht="66">
      <c r="A543" s="451"/>
      <c r="B543" s="34"/>
      <c r="C543" s="967" t="s">
        <v>41</v>
      </c>
      <c r="D543" s="967" t="s">
        <v>25</v>
      </c>
      <c r="E543" s="967" t="s">
        <v>78</v>
      </c>
      <c r="F543" s="967" t="s">
        <v>25</v>
      </c>
      <c r="G543" s="967" t="s">
        <v>48</v>
      </c>
      <c r="H543" s="967" t="s">
        <v>30</v>
      </c>
      <c r="I543" s="34" t="s">
        <v>555</v>
      </c>
      <c r="J543" s="34" t="s">
        <v>2771</v>
      </c>
      <c r="K543" s="506">
        <v>12</v>
      </c>
      <c r="L543" s="558">
        <f>3*P543</f>
        <v>1032452283</v>
      </c>
      <c r="M543" s="506">
        <v>0</v>
      </c>
      <c r="N543" s="36">
        <v>0</v>
      </c>
      <c r="O543" s="506">
        <v>4</v>
      </c>
      <c r="P543" s="36">
        <v>344150761</v>
      </c>
      <c r="Q543" s="969">
        <v>0</v>
      </c>
      <c r="R543" s="558">
        <v>4766350</v>
      </c>
      <c r="S543" s="34"/>
      <c r="T543" s="232">
        <v>230739000</v>
      </c>
      <c r="U543" s="34"/>
      <c r="V543" s="34"/>
      <c r="W543" s="34"/>
      <c r="X543" s="34"/>
      <c r="Y543" s="115">
        <f t="shared" si="145"/>
        <v>0</v>
      </c>
      <c r="Z543" s="873">
        <f t="shared" si="146"/>
        <v>235505350</v>
      </c>
      <c r="AA543" s="115">
        <f t="shared" si="147"/>
        <v>0</v>
      </c>
      <c r="AB543" s="873">
        <f t="shared" si="148"/>
        <v>235505350</v>
      </c>
      <c r="AC543" s="874">
        <f t="shared" si="149"/>
        <v>0</v>
      </c>
      <c r="AD543" s="874">
        <f t="shared" si="150"/>
        <v>22.810289044612436</v>
      </c>
      <c r="AE543" s="490"/>
      <c r="AF543" s="750"/>
      <c r="AG543" s="750"/>
      <c r="AH543" s="750"/>
      <c r="AI543" s="750"/>
      <c r="AJ543" s="750"/>
      <c r="AK543" s="750"/>
      <c r="AL543" s="750"/>
      <c r="AM543" s="750"/>
      <c r="AN543" s="750"/>
      <c r="AO543" s="750"/>
      <c r="AP543" s="750"/>
      <c r="AQ543" s="750"/>
      <c r="AR543" s="750"/>
      <c r="AS543" s="750"/>
      <c r="AT543" s="750"/>
      <c r="AU543" s="750"/>
      <c r="AV543" s="750"/>
      <c r="AW543" s="750"/>
      <c r="AX543" s="750"/>
      <c r="AY543" s="750"/>
      <c r="AZ543" s="750"/>
      <c r="BA543" s="750"/>
      <c r="BB543" s="750"/>
      <c r="BC543" s="752"/>
      <c r="BD543" s="752"/>
      <c r="BE543" s="752"/>
      <c r="BF543" s="752"/>
      <c r="BG543" s="752"/>
      <c r="BH543" s="752"/>
      <c r="BI543" s="752"/>
      <c r="BJ543" s="752"/>
      <c r="BK543" s="752"/>
      <c r="BL543" s="752"/>
      <c r="BM543" s="752"/>
      <c r="BN543" s="752"/>
      <c r="BO543" s="752"/>
      <c r="BP543" s="752"/>
      <c r="BQ543" s="752"/>
      <c r="BR543" s="752"/>
    </row>
    <row r="544" spans="1:70" s="22" customFormat="1" ht="82.5">
      <c r="A544" s="451"/>
      <c r="B544" s="34"/>
      <c r="C544" s="967" t="s">
        <v>41</v>
      </c>
      <c r="D544" s="967" t="s">
        <v>25</v>
      </c>
      <c r="E544" s="967" t="s">
        <v>78</v>
      </c>
      <c r="F544" s="967" t="s">
        <v>25</v>
      </c>
      <c r="G544" s="967" t="s">
        <v>48</v>
      </c>
      <c r="H544" s="967" t="s">
        <v>43</v>
      </c>
      <c r="I544" s="34" t="s">
        <v>556</v>
      </c>
      <c r="J544" s="34" t="s">
        <v>2772</v>
      </c>
      <c r="K544" s="506">
        <v>12</v>
      </c>
      <c r="L544" s="558">
        <f>3*P544</f>
        <v>195316860</v>
      </c>
      <c r="M544" s="506">
        <v>0</v>
      </c>
      <c r="N544" s="36">
        <v>0</v>
      </c>
      <c r="O544" s="506">
        <v>4</v>
      </c>
      <c r="P544" s="36">
        <v>65105620</v>
      </c>
      <c r="Q544" s="882">
        <v>0</v>
      </c>
      <c r="R544" s="558">
        <v>0</v>
      </c>
      <c r="S544" s="34"/>
      <c r="T544" s="232">
        <v>9372350</v>
      </c>
      <c r="U544" s="34"/>
      <c r="V544" s="34"/>
      <c r="W544" s="34"/>
      <c r="X544" s="34"/>
      <c r="Y544" s="115">
        <f t="shared" si="145"/>
        <v>0</v>
      </c>
      <c r="Z544" s="873">
        <f t="shared" si="146"/>
        <v>9372350</v>
      </c>
      <c r="AA544" s="115">
        <f t="shared" si="147"/>
        <v>0</v>
      </c>
      <c r="AB544" s="873">
        <f t="shared" si="148"/>
        <v>9372350</v>
      </c>
      <c r="AC544" s="874">
        <f t="shared" si="149"/>
        <v>0</v>
      </c>
      <c r="AD544" s="874">
        <f t="shared" si="150"/>
        <v>4.7985360813193498</v>
      </c>
      <c r="AE544" s="490"/>
      <c r="AF544" s="750"/>
      <c r="AG544" s="750"/>
      <c r="AH544" s="750"/>
      <c r="AI544" s="750"/>
      <c r="AJ544" s="750"/>
      <c r="AK544" s="750"/>
      <c r="AL544" s="750"/>
      <c r="AM544" s="750"/>
      <c r="AN544" s="750"/>
      <c r="AO544" s="750"/>
      <c r="AP544" s="750"/>
      <c r="AQ544" s="750"/>
      <c r="AR544" s="750"/>
      <c r="AS544" s="750"/>
      <c r="AT544" s="750"/>
      <c r="AU544" s="750"/>
      <c r="AV544" s="750"/>
      <c r="AW544" s="750"/>
      <c r="AX544" s="750"/>
      <c r="AY544" s="750"/>
      <c r="AZ544" s="750"/>
      <c r="BA544" s="750"/>
      <c r="BB544" s="750"/>
      <c r="BC544" s="752"/>
      <c r="BD544" s="752"/>
      <c r="BE544" s="752"/>
      <c r="BF544" s="752"/>
      <c r="BG544" s="752"/>
      <c r="BH544" s="752"/>
      <c r="BI544" s="752"/>
      <c r="BJ544" s="752"/>
      <c r="BK544" s="752"/>
      <c r="BL544" s="752"/>
      <c r="BM544" s="752"/>
      <c r="BN544" s="752"/>
      <c r="BO544" s="752"/>
      <c r="BP544" s="752"/>
      <c r="BQ544" s="752"/>
      <c r="BR544" s="752"/>
    </row>
    <row r="545" spans="1:76" s="22" customFormat="1" ht="66">
      <c r="A545" s="451"/>
      <c r="B545" s="34"/>
      <c r="C545" s="967" t="s">
        <v>41</v>
      </c>
      <c r="D545" s="967" t="s">
        <v>25</v>
      </c>
      <c r="E545" s="967" t="s">
        <v>78</v>
      </c>
      <c r="F545" s="967" t="s">
        <v>25</v>
      </c>
      <c r="G545" s="967" t="s">
        <v>48</v>
      </c>
      <c r="H545" s="967" t="s">
        <v>31</v>
      </c>
      <c r="I545" s="34" t="s">
        <v>557</v>
      </c>
      <c r="J545" s="34" t="s">
        <v>2773</v>
      </c>
      <c r="K545" s="506">
        <v>1</v>
      </c>
      <c r="L545" s="558">
        <f>P545</f>
        <v>780500000</v>
      </c>
      <c r="M545" s="506">
        <v>0</v>
      </c>
      <c r="N545" s="36">
        <v>0</v>
      </c>
      <c r="O545" s="506">
        <v>0</v>
      </c>
      <c r="P545" s="36">
        <v>780500000</v>
      </c>
      <c r="Q545" s="969">
        <v>0</v>
      </c>
      <c r="R545" s="558">
        <v>0</v>
      </c>
      <c r="S545" s="34"/>
      <c r="T545" s="232">
        <v>2569150</v>
      </c>
      <c r="U545" s="34"/>
      <c r="V545" s="34"/>
      <c r="W545" s="34"/>
      <c r="X545" s="34"/>
      <c r="Y545" s="115">
        <f t="shared" si="145"/>
        <v>0</v>
      </c>
      <c r="Z545" s="873">
        <f t="shared" si="146"/>
        <v>2569150</v>
      </c>
      <c r="AA545" s="115">
        <f t="shared" si="147"/>
        <v>0</v>
      </c>
      <c r="AB545" s="873">
        <f t="shared" si="148"/>
        <v>2569150</v>
      </c>
      <c r="AC545" s="874">
        <f t="shared" si="149"/>
        <v>0</v>
      </c>
      <c r="AD545" s="874">
        <f t="shared" si="150"/>
        <v>0.32916720051249199</v>
      </c>
      <c r="AE545" s="490"/>
      <c r="AF545" s="750"/>
      <c r="AG545" s="750"/>
      <c r="AH545" s="750"/>
      <c r="AI545" s="750"/>
      <c r="AJ545" s="750"/>
      <c r="AK545" s="750"/>
      <c r="AL545" s="750"/>
      <c r="AM545" s="750"/>
      <c r="AN545" s="750"/>
      <c r="AO545" s="750"/>
      <c r="AP545" s="750"/>
      <c r="AQ545" s="750"/>
      <c r="AR545" s="750"/>
      <c r="AS545" s="750"/>
      <c r="AT545" s="750"/>
      <c r="AU545" s="750"/>
      <c r="AV545" s="750"/>
      <c r="AW545" s="750"/>
      <c r="AX545" s="750"/>
      <c r="AY545" s="750"/>
      <c r="AZ545" s="750"/>
      <c r="BA545" s="750"/>
      <c r="BB545" s="750"/>
      <c r="BC545" s="752"/>
      <c r="BD545" s="752"/>
      <c r="BE545" s="752"/>
      <c r="BF545" s="752"/>
      <c r="BG545" s="752"/>
      <c r="BH545" s="752"/>
      <c r="BI545" s="752"/>
      <c r="BJ545" s="752"/>
      <c r="BK545" s="752"/>
      <c r="BL545" s="752"/>
      <c r="BM545" s="752"/>
      <c r="BN545" s="752"/>
      <c r="BO545" s="752"/>
      <c r="BP545" s="752"/>
      <c r="BQ545" s="752"/>
      <c r="BR545" s="752"/>
    </row>
    <row r="546" spans="1:76" ht="21.75" customHeight="1">
      <c r="A546" s="2802"/>
      <c r="B546" s="2802"/>
      <c r="C546" s="2802"/>
      <c r="D546" s="2802"/>
      <c r="E546" s="2802"/>
      <c r="F546" s="2802"/>
      <c r="G546" s="2802"/>
      <c r="H546" s="2802"/>
      <c r="I546" s="2802"/>
      <c r="J546" s="2802"/>
      <c r="K546" s="2802"/>
      <c r="L546" s="2802"/>
      <c r="M546" s="2802"/>
      <c r="N546" s="2802"/>
      <c r="O546" s="2802"/>
      <c r="P546" s="2802"/>
      <c r="Q546" s="2802"/>
      <c r="R546" s="2802"/>
      <c r="S546" s="2802"/>
      <c r="T546" s="2802"/>
      <c r="U546" s="2802"/>
      <c r="V546" s="2802"/>
      <c r="W546" s="2802"/>
      <c r="X546" s="2802"/>
      <c r="Y546" s="2802"/>
      <c r="Z546" s="2802"/>
      <c r="AA546" s="2802"/>
      <c r="AB546" s="2802"/>
      <c r="AC546" s="905">
        <f>(AC491+AC504+AC511+AC514+AC517+AC519+AC524+AC534+AC538)/9</f>
        <v>57.484759506279325</v>
      </c>
      <c r="AD546" s="905">
        <f>(AD491+AD504+AD511+AD514+AD517+AD519+AD524+AD534+AD538)/9</f>
        <v>24.660536615281519</v>
      </c>
      <c r="AE546" s="490"/>
    </row>
    <row r="547" spans="1:76" ht="20.25" customHeight="1">
      <c r="A547" s="2802"/>
      <c r="B547" s="2802"/>
      <c r="C547" s="2802"/>
      <c r="D547" s="2802"/>
      <c r="E547" s="2802"/>
      <c r="F547" s="2802"/>
      <c r="G547" s="2802"/>
      <c r="H547" s="2802"/>
      <c r="I547" s="2802"/>
      <c r="J547" s="2802"/>
      <c r="K547" s="2802"/>
      <c r="L547" s="2802"/>
      <c r="M547" s="2802"/>
      <c r="N547" s="2802"/>
      <c r="O547" s="2802"/>
      <c r="P547" s="2802"/>
      <c r="Q547" s="2802"/>
      <c r="R547" s="2802"/>
      <c r="S547" s="2802"/>
      <c r="T547" s="2802"/>
      <c r="U547" s="2802"/>
      <c r="V547" s="2802"/>
      <c r="W547" s="2802"/>
      <c r="X547" s="2802"/>
      <c r="Y547" s="2802"/>
      <c r="Z547" s="2802"/>
      <c r="AA547" s="2802"/>
      <c r="AB547" s="2802"/>
      <c r="AC547" s="524" t="str">
        <f>IF(AC546&gt;=91,"ST",IF(AC546&gt;=76,"T",IF(AC546&gt;=66,"S",IF(AC546&gt;=51,"R","SR"))))</f>
        <v>R</v>
      </c>
      <c r="AD547" s="524" t="str">
        <f>IF(AD546&gt;=91,"ST",IF(AD546&gt;=76,"T",IF(AD546&gt;=66,"S",IF(AD546&gt;=51,"R","SR"))))</f>
        <v>SR</v>
      </c>
      <c r="AE547" s="490"/>
    </row>
    <row r="548" spans="1:76" s="1235" customFormat="1" ht="34.5" customHeight="1">
      <c r="A548" s="1621" t="s">
        <v>86</v>
      </c>
      <c r="B548" s="1617"/>
      <c r="C548" s="1621"/>
      <c r="D548" s="1621"/>
      <c r="E548" s="1621"/>
      <c r="F548" s="1621"/>
      <c r="G548" s="1621"/>
      <c r="H548" s="1621"/>
      <c r="I548" s="2803" t="s">
        <v>2011</v>
      </c>
      <c r="J548" s="2804"/>
      <c r="K548" s="1617"/>
      <c r="L548" s="1617"/>
      <c r="M548" s="1617"/>
      <c r="N548" s="1617"/>
      <c r="O548" s="1617"/>
      <c r="P548" s="1617"/>
      <c r="Q548" s="1617"/>
      <c r="R548" s="1617"/>
      <c r="S548" s="1617"/>
      <c r="T548" s="1617"/>
      <c r="U548" s="1617"/>
      <c r="V548" s="1617"/>
      <c r="W548" s="1617"/>
      <c r="X548" s="1617"/>
      <c r="Y548" s="1617"/>
      <c r="Z548" s="1617"/>
      <c r="AA548" s="1617"/>
      <c r="AB548" s="1617"/>
      <c r="AC548" s="1617"/>
      <c r="AD548" s="1617"/>
      <c r="AE548" s="1622"/>
      <c r="AF548" s="861"/>
      <c r="AG548" s="861"/>
      <c r="AH548" s="861"/>
      <c r="AI548" s="861"/>
      <c r="AJ548" s="861"/>
      <c r="AK548" s="861"/>
      <c r="AL548" s="861"/>
      <c r="AM548" s="861"/>
      <c r="AN548" s="861"/>
      <c r="AO548" s="861"/>
      <c r="AP548" s="861"/>
      <c r="AQ548" s="861"/>
      <c r="AR548" s="861"/>
      <c r="AS548" s="861"/>
      <c r="AT548" s="861"/>
      <c r="AU548" s="861"/>
      <c r="AV548" s="861"/>
      <c r="AW548" s="861"/>
      <c r="AX548" s="861"/>
      <c r="AY548" s="861"/>
      <c r="AZ548" s="861"/>
      <c r="BA548" s="861"/>
      <c r="BB548" s="861"/>
      <c r="BC548" s="862"/>
      <c r="BD548" s="862"/>
      <c r="BE548" s="862"/>
      <c r="BF548" s="862"/>
      <c r="BG548" s="862"/>
      <c r="BH548" s="862"/>
      <c r="BI548" s="862"/>
      <c r="BJ548" s="862"/>
      <c r="BK548" s="862"/>
      <c r="BL548" s="862"/>
      <c r="BM548" s="862"/>
      <c r="BN548" s="862"/>
      <c r="BO548" s="862"/>
      <c r="BP548" s="862"/>
      <c r="BQ548" s="862"/>
      <c r="BR548" s="862"/>
    </row>
    <row r="549" spans="1:76" s="1" customFormat="1" ht="25.5" customHeight="1">
      <c r="A549" s="2712" t="s">
        <v>2012</v>
      </c>
      <c r="B549" s="2713"/>
      <c r="C549" s="2713"/>
      <c r="D549" s="2713"/>
      <c r="E549" s="2713"/>
      <c r="F549" s="2713"/>
      <c r="G549" s="2713"/>
      <c r="H549" s="2713"/>
      <c r="I549" s="2714"/>
      <c r="J549" s="1507"/>
      <c r="K549" s="1506"/>
      <c r="L549" s="2490">
        <v>13130298210</v>
      </c>
      <c r="M549" s="1506"/>
      <c r="N549" s="2491">
        <v>3915146974</v>
      </c>
      <c r="O549" s="2492"/>
      <c r="P549" s="2493">
        <f>SUM(P550+P562+P565+P567+P569+P571+P575+P578)</f>
        <v>2086908229</v>
      </c>
      <c r="Q549" s="2494"/>
      <c r="R549" s="2493">
        <f>SUM(R550+R562+R565+R567+R569+R571+R575+R578)</f>
        <v>395150376</v>
      </c>
      <c r="S549" s="2495"/>
      <c r="T549" s="2496">
        <f>T550+T562+T571+T575+T578</f>
        <v>539841633</v>
      </c>
      <c r="U549" s="1506"/>
      <c r="V549" s="2497"/>
      <c r="W549" s="1506"/>
      <c r="X549" s="2496"/>
      <c r="Y549" s="2494"/>
      <c r="Z549" s="2493">
        <f>SUM(Z550+Z562+Z565+Z567+Z569+Z571+Z575+Z578)</f>
        <v>934992009</v>
      </c>
      <c r="AA549" s="1506"/>
      <c r="AB549" s="2493">
        <f>SUM(AB550+AB562+AB565+AB567+AB569+AB571+AB575+AB578)</f>
        <v>7032849737</v>
      </c>
      <c r="AC549" s="1506"/>
      <c r="AD549" s="1506"/>
      <c r="AE549" s="1508"/>
      <c r="AF549" s="2130"/>
      <c r="AG549" s="2130"/>
      <c r="AH549" s="2130"/>
      <c r="AI549" s="2130"/>
      <c r="AJ549" s="2130"/>
      <c r="AK549" s="2130"/>
      <c r="AL549" s="2130"/>
      <c r="AM549" s="2130"/>
      <c r="AN549" s="2130"/>
      <c r="AO549" s="2130"/>
      <c r="AP549" s="2130"/>
      <c r="AQ549" s="2130"/>
      <c r="AR549" s="2130"/>
      <c r="AS549" s="2130"/>
      <c r="AT549" s="2130"/>
      <c r="AU549" s="2130"/>
      <c r="AV549" s="2130"/>
      <c r="AW549" s="2130"/>
      <c r="AX549" s="2130"/>
      <c r="AY549" s="2130"/>
      <c r="AZ549" s="2130"/>
      <c r="BA549" s="2130"/>
      <c r="BB549" s="2130"/>
      <c r="BC549" s="2130"/>
      <c r="BD549" s="2130"/>
      <c r="BE549" s="2130"/>
      <c r="BF549" s="2130"/>
      <c r="BG549" s="2130"/>
      <c r="BH549" s="2130"/>
      <c r="BI549" s="2130"/>
      <c r="BJ549" s="2130"/>
      <c r="BK549" s="2130"/>
      <c r="BL549" s="2130"/>
      <c r="BM549" s="2130"/>
      <c r="BN549" s="2130"/>
      <c r="BO549" s="2130"/>
      <c r="BP549" s="2130"/>
      <c r="BQ549" s="2130"/>
      <c r="BR549" s="2130"/>
      <c r="BS549" s="2130"/>
      <c r="BT549" s="2130"/>
      <c r="BU549" s="2130"/>
      <c r="BV549" s="2130"/>
      <c r="BW549" s="2130"/>
      <c r="BX549" s="2130"/>
    </row>
    <row r="550" spans="1:76" s="1" customFormat="1" ht="51">
      <c r="A550" s="2205">
        <v>1</v>
      </c>
      <c r="B550" s="2143"/>
      <c r="C550" s="2204">
        <v>1</v>
      </c>
      <c r="D550" s="2205" t="s">
        <v>25</v>
      </c>
      <c r="E550" s="2204">
        <v>1</v>
      </c>
      <c r="F550" s="2205" t="s">
        <v>25</v>
      </c>
      <c r="G550" s="2204"/>
      <c r="H550" s="2196"/>
      <c r="I550" s="2498" t="s">
        <v>957</v>
      </c>
      <c r="J550" s="2143" t="s">
        <v>4070</v>
      </c>
      <c r="K550" s="2499" t="s">
        <v>87</v>
      </c>
      <c r="L550" s="2500">
        <f>SUM(L551:L561)</f>
        <v>5943002400</v>
      </c>
      <c r="M550" s="2511">
        <v>36</v>
      </c>
      <c r="N550" s="2500">
        <f>SUM(N551:N561)</f>
        <v>3027009505</v>
      </c>
      <c r="O550" s="2514">
        <v>3</v>
      </c>
      <c r="P550" s="2502">
        <f>SUM(P551:P561)</f>
        <v>1034573925</v>
      </c>
      <c r="Q550" s="2503"/>
      <c r="R550" s="2500">
        <f>SUM(R551:R561)</f>
        <v>181439234</v>
      </c>
      <c r="S550" s="2504"/>
      <c r="T550" s="2505">
        <f>SUM(T551:T561)</f>
        <v>296675650</v>
      </c>
      <c r="U550" s="2506"/>
      <c r="V550" s="2507">
        <f>SUM(V551:V561)</f>
        <v>0</v>
      </c>
      <c r="W550" s="2506"/>
      <c r="X550" s="2500">
        <f>SUM(X551:X561)</f>
        <v>0</v>
      </c>
      <c r="Y550" s="2508">
        <f t="shared" ref="Y550:Y573" si="151">Q550+S550+U550+W550</f>
        <v>0</v>
      </c>
      <c r="Z550" s="2500">
        <f t="shared" ref="Z550:Z573" si="152">R550+T550+V550+X550</f>
        <v>478114884</v>
      </c>
      <c r="AA550" s="2505">
        <f t="shared" ref="AA550:AA573" si="153">M550+Y550</f>
        <v>36</v>
      </c>
      <c r="AB550" s="2500">
        <f t="shared" ref="AB550:AB573" si="154">N550+Z550</f>
        <v>3505124389</v>
      </c>
      <c r="AC550" s="2509">
        <f t="shared" ref="AC550:AC573" si="155">AA550/K550*100</f>
        <v>50</v>
      </c>
      <c r="AD550" s="2510">
        <f t="shared" ref="AD550:AD573" si="156">AB550/L550*100</f>
        <v>58.979016885471893</v>
      </c>
      <c r="AE550" s="2204" t="s">
        <v>4071</v>
      </c>
      <c r="AF550" s="2450"/>
      <c r="AG550" s="2450"/>
      <c r="AH550" s="2450"/>
      <c r="AI550" s="2450"/>
      <c r="AJ550" s="2450"/>
      <c r="AK550" s="2450"/>
      <c r="AL550" s="2450"/>
      <c r="AM550" s="2450"/>
      <c r="AN550" s="2450"/>
      <c r="AO550" s="2450"/>
      <c r="AP550" s="2450"/>
      <c r="AQ550" s="2450"/>
      <c r="AR550" s="2450"/>
      <c r="AS550" s="2450"/>
      <c r="AT550" s="2450"/>
      <c r="AU550" s="2450"/>
      <c r="AV550" s="2450"/>
      <c r="AW550" s="2450"/>
      <c r="AX550" s="2450"/>
      <c r="AY550" s="2450"/>
      <c r="AZ550" s="2450"/>
      <c r="BA550" s="2450"/>
      <c r="BB550" s="2450"/>
      <c r="BC550" s="2450"/>
      <c r="BD550" s="2450"/>
      <c r="BE550" s="2450"/>
      <c r="BF550" s="2450"/>
      <c r="BG550" s="2450"/>
      <c r="BH550" s="2450"/>
      <c r="BI550" s="2450"/>
      <c r="BJ550" s="2450"/>
      <c r="BK550" s="2450"/>
      <c r="BL550" s="2450"/>
      <c r="BM550" s="2450"/>
      <c r="BN550" s="2450"/>
      <c r="BO550" s="2450"/>
      <c r="BP550" s="2450"/>
      <c r="BQ550" s="2450"/>
      <c r="BR550" s="2450"/>
      <c r="BS550" s="2450"/>
      <c r="BT550" s="2450"/>
      <c r="BU550" s="2450"/>
      <c r="BV550" s="2450"/>
      <c r="BW550" s="2450"/>
      <c r="BX550" s="2450"/>
    </row>
    <row r="551" spans="1:76" s="1" customFormat="1" ht="51">
      <c r="A551" s="2571"/>
      <c r="B551" s="2452"/>
      <c r="C551" s="2453">
        <v>1</v>
      </c>
      <c r="D551" s="2454" t="s">
        <v>25</v>
      </c>
      <c r="E551" s="2453">
        <v>1</v>
      </c>
      <c r="F551" s="2454" t="s">
        <v>25</v>
      </c>
      <c r="G551" s="2454" t="s">
        <v>28</v>
      </c>
      <c r="H551" s="2455"/>
      <c r="I551" s="2456" t="s">
        <v>4072</v>
      </c>
      <c r="J551" s="2245" t="s">
        <v>4073</v>
      </c>
      <c r="K551" s="2457" t="s">
        <v>87</v>
      </c>
      <c r="L551" s="2458">
        <v>639828000</v>
      </c>
      <c r="M551" s="2472">
        <v>36</v>
      </c>
      <c r="N551" s="2458">
        <v>290677664</v>
      </c>
      <c r="O551" s="2459" t="s">
        <v>52</v>
      </c>
      <c r="P551" s="2460">
        <v>41400000</v>
      </c>
      <c r="Q551" s="2561">
        <v>3</v>
      </c>
      <c r="R551" s="2461">
        <v>9541727</v>
      </c>
      <c r="S551" s="2561">
        <v>3</v>
      </c>
      <c r="T551" s="2463">
        <v>7972415</v>
      </c>
      <c r="U551" s="2464"/>
      <c r="V551" s="2465"/>
      <c r="W551" s="2466"/>
      <c r="X551" s="2458"/>
      <c r="Y551" s="2467">
        <f t="shared" si="151"/>
        <v>6</v>
      </c>
      <c r="Z551" s="2452">
        <f t="shared" si="152"/>
        <v>17514142</v>
      </c>
      <c r="AA551" s="2458">
        <f t="shared" si="153"/>
        <v>42</v>
      </c>
      <c r="AB551" s="2452">
        <f t="shared" si="154"/>
        <v>308191806</v>
      </c>
      <c r="AC551" s="2468">
        <f t="shared" si="155"/>
        <v>58.333333333333336</v>
      </c>
      <c r="AD551" s="2451">
        <f t="shared" si="156"/>
        <v>48.167914814606426</v>
      </c>
      <c r="AE551" s="2455"/>
      <c r="AF551" s="2469"/>
      <c r="AG551" s="2469"/>
      <c r="AH551" s="2469"/>
      <c r="AI551" s="2469"/>
      <c r="AJ551" s="2469"/>
      <c r="AK551" s="2469"/>
      <c r="AL551" s="2469"/>
      <c r="AM551" s="2469"/>
      <c r="AN551" s="2469"/>
      <c r="AO551" s="2469"/>
      <c r="AP551" s="2469"/>
      <c r="AQ551" s="2469"/>
      <c r="AR551" s="2469"/>
      <c r="AS551" s="2469"/>
      <c r="AT551" s="2469"/>
      <c r="AU551" s="2469"/>
      <c r="AV551" s="2469"/>
      <c r="AW551" s="2469"/>
      <c r="AX551" s="2469"/>
      <c r="AY551" s="2469"/>
      <c r="AZ551" s="2469"/>
      <c r="BA551" s="2469"/>
      <c r="BB551" s="2469"/>
      <c r="BC551" s="2469"/>
      <c r="BD551" s="2469"/>
      <c r="BE551" s="2469"/>
      <c r="BF551" s="2469"/>
      <c r="BG551" s="2469"/>
      <c r="BH551" s="2469"/>
      <c r="BI551" s="2469"/>
      <c r="BJ551" s="2469"/>
      <c r="BK551" s="2469"/>
      <c r="BL551" s="2469"/>
      <c r="BM551" s="2469"/>
      <c r="BN551" s="2469"/>
      <c r="BO551" s="2469"/>
      <c r="BP551" s="2469"/>
      <c r="BQ551" s="2469"/>
      <c r="BR551" s="2469"/>
      <c r="BS551" s="2469"/>
      <c r="BT551" s="2469"/>
      <c r="BU551" s="2469"/>
      <c r="BV551" s="2469"/>
      <c r="BW551" s="2469"/>
      <c r="BX551" s="2469"/>
    </row>
    <row r="552" spans="1:76" s="1" customFormat="1" ht="51">
      <c r="A552" s="2571"/>
      <c r="B552" s="2452"/>
      <c r="C552" s="2453">
        <v>1</v>
      </c>
      <c r="D552" s="2454" t="s">
        <v>25</v>
      </c>
      <c r="E552" s="2453">
        <v>1</v>
      </c>
      <c r="F552" s="2454" t="s">
        <v>25</v>
      </c>
      <c r="G552" s="2454" t="s">
        <v>29</v>
      </c>
      <c r="H552" s="2455"/>
      <c r="I552" s="2456" t="s">
        <v>4074</v>
      </c>
      <c r="J552" s="2245" t="s">
        <v>4075</v>
      </c>
      <c r="K552" s="2457" t="s">
        <v>87</v>
      </c>
      <c r="L552" s="2458">
        <v>3027403000</v>
      </c>
      <c r="M552" s="2472">
        <v>36</v>
      </c>
      <c r="N552" s="2458">
        <v>1625250000</v>
      </c>
      <c r="O552" s="2459" t="s">
        <v>52</v>
      </c>
      <c r="P552" s="2460">
        <v>863600000</v>
      </c>
      <c r="Q552" s="2561">
        <v>3</v>
      </c>
      <c r="R552" s="2458">
        <v>128000000</v>
      </c>
      <c r="S552" s="2462"/>
      <c r="T552" s="2463">
        <v>246595000</v>
      </c>
      <c r="U552" s="2464"/>
      <c r="V552" s="2465"/>
      <c r="W552" s="2466"/>
      <c r="X552" s="2458"/>
      <c r="Y552" s="2467">
        <f t="shared" si="151"/>
        <v>3</v>
      </c>
      <c r="Z552" s="2452">
        <f t="shared" si="152"/>
        <v>374595000</v>
      </c>
      <c r="AA552" s="2458">
        <f t="shared" si="153"/>
        <v>39</v>
      </c>
      <c r="AB552" s="2452">
        <f t="shared" si="154"/>
        <v>1999845000</v>
      </c>
      <c r="AC552" s="2468">
        <f t="shared" si="155"/>
        <v>54.166666666666664</v>
      </c>
      <c r="AD552" s="2451">
        <f t="shared" si="156"/>
        <v>66.058103265406018</v>
      </c>
      <c r="AE552" s="2455"/>
      <c r="AF552" s="2469"/>
      <c r="AG552" s="2469"/>
      <c r="AH552" s="2469"/>
      <c r="AI552" s="2469"/>
      <c r="AJ552" s="2469"/>
      <c r="AK552" s="2469"/>
      <c r="AL552" s="2469"/>
      <c r="AM552" s="2469"/>
      <c r="AN552" s="2469"/>
      <c r="AO552" s="2469"/>
      <c r="AP552" s="2469"/>
      <c r="AQ552" s="2469"/>
      <c r="AR552" s="2469"/>
      <c r="AS552" s="2469"/>
      <c r="AT552" s="2469"/>
      <c r="AU552" s="2469"/>
      <c r="AV552" s="2469"/>
      <c r="AW552" s="2469"/>
      <c r="AX552" s="2469"/>
      <c r="AY552" s="2469"/>
      <c r="AZ552" s="2469"/>
      <c r="BA552" s="2469"/>
      <c r="BB552" s="2469"/>
      <c r="BC552" s="2469"/>
      <c r="BD552" s="2469"/>
      <c r="BE552" s="2469"/>
      <c r="BF552" s="2469"/>
      <c r="BG552" s="2469"/>
      <c r="BH552" s="2469"/>
      <c r="BI552" s="2469"/>
      <c r="BJ552" s="2469"/>
      <c r="BK552" s="2469"/>
      <c r="BL552" s="2469"/>
      <c r="BM552" s="2469"/>
      <c r="BN552" s="2469"/>
      <c r="BO552" s="2469"/>
      <c r="BP552" s="2469"/>
      <c r="BQ552" s="2469"/>
      <c r="BR552" s="2469"/>
      <c r="BS552" s="2469"/>
      <c r="BT552" s="2469"/>
      <c r="BU552" s="2469"/>
      <c r="BV552" s="2469"/>
      <c r="BW552" s="2469"/>
      <c r="BX552" s="2469"/>
    </row>
    <row r="553" spans="1:76" s="1" customFormat="1" ht="38.25">
      <c r="A553" s="2572"/>
      <c r="B553" s="2452"/>
      <c r="C553" s="2453">
        <v>1</v>
      </c>
      <c r="D553" s="2454" t="s">
        <v>25</v>
      </c>
      <c r="E553" s="2453">
        <v>1</v>
      </c>
      <c r="F553" s="2454" t="s">
        <v>25</v>
      </c>
      <c r="G553" s="2454" t="s">
        <v>30</v>
      </c>
      <c r="H553" s="2455"/>
      <c r="I553" s="2456" t="s">
        <v>69</v>
      </c>
      <c r="J553" s="2245" t="s">
        <v>4076</v>
      </c>
      <c r="K553" s="2457" t="s">
        <v>87</v>
      </c>
      <c r="L553" s="2458">
        <v>66750600</v>
      </c>
      <c r="M553" s="2472">
        <v>36</v>
      </c>
      <c r="N553" s="2458">
        <v>25563050</v>
      </c>
      <c r="O553" s="2459" t="s">
        <v>52</v>
      </c>
      <c r="P553" s="2460">
        <v>3072200</v>
      </c>
      <c r="Q553" s="2561">
        <v>3</v>
      </c>
      <c r="R553" s="2245">
        <v>0</v>
      </c>
      <c r="S553" s="2462"/>
      <c r="T553" s="2359" t="s">
        <v>579</v>
      </c>
      <c r="U553" s="2464"/>
      <c r="V553" s="2465"/>
      <c r="W553" s="2470"/>
      <c r="X553" s="2458"/>
      <c r="Y553" s="2467">
        <f t="shared" si="151"/>
        <v>3</v>
      </c>
      <c r="Z553" s="2452">
        <v>0</v>
      </c>
      <c r="AA553" s="2458">
        <f t="shared" si="153"/>
        <v>39</v>
      </c>
      <c r="AB553" s="2452">
        <f t="shared" si="154"/>
        <v>25563050</v>
      </c>
      <c r="AC553" s="2468">
        <f t="shared" si="155"/>
        <v>54.166666666666664</v>
      </c>
      <c r="AD553" s="2451">
        <f t="shared" si="156"/>
        <v>38.296359882907424</v>
      </c>
      <c r="AE553" s="2455"/>
      <c r="AF553" s="2469"/>
      <c r="AG553" s="2469"/>
      <c r="AH553" s="2469"/>
      <c r="AI553" s="2469"/>
      <c r="AJ553" s="2469"/>
      <c r="AK553" s="2469"/>
      <c r="AL553" s="2469"/>
      <c r="AM553" s="2469"/>
      <c r="AN553" s="2469"/>
      <c r="AO553" s="2469"/>
      <c r="AP553" s="2469"/>
      <c r="AQ553" s="2469"/>
      <c r="AR553" s="2469"/>
      <c r="AS553" s="2469"/>
      <c r="AT553" s="2469"/>
      <c r="AU553" s="2469"/>
      <c r="AV553" s="2469"/>
      <c r="AW553" s="2469"/>
      <c r="AX553" s="2469"/>
      <c r="AY553" s="2469"/>
      <c r="AZ553" s="2469"/>
      <c r="BA553" s="2469"/>
      <c r="BB553" s="2469"/>
      <c r="BC553" s="2469"/>
      <c r="BD553" s="2469"/>
      <c r="BE553" s="2469"/>
      <c r="BF553" s="2469"/>
      <c r="BG553" s="2469"/>
      <c r="BH553" s="2469"/>
      <c r="BI553" s="2469"/>
      <c r="BJ553" s="2469"/>
      <c r="BK553" s="2469"/>
      <c r="BL553" s="2469"/>
      <c r="BM553" s="2469"/>
      <c r="BN553" s="2469"/>
      <c r="BO553" s="2469"/>
      <c r="BP553" s="2469"/>
      <c r="BQ553" s="2469"/>
      <c r="BR553" s="2469"/>
      <c r="BS553" s="2469"/>
      <c r="BT553" s="2469"/>
      <c r="BU553" s="2469"/>
      <c r="BV553" s="2469"/>
      <c r="BW553" s="2469"/>
      <c r="BX553" s="2469"/>
    </row>
    <row r="554" spans="1:76" s="1" customFormat="1" ht="51">
      <c r="A554" s="2573"/>
      <c r="B554" s="2452"/>
      <c r="C554" s="2453">
        <v>1</v>
      </c>
      <c r="D554" s="2454" t="s">
        <v>25</v>
      </c>
      <c r="E554" s="2453">
        <v>1</v>
      </c>
      <c r="F554" s="2454" t="s">
        <v>25</v>
      </c>
      <c r="G554" s="2454" t="s">
        <v>43</v>
      </c>
      <c r="H554" s="2455"/>
      <c r="I554" s="2456" t="s">
        <v>917</v>
      </c>
      <c r="J554" s="2245" t="s">
        <v>4077</v>
      </c>
      <c r="K554" s="2457" t="s">
        <v>87</v>
      </c>
      <c r="L554" s="2458">
        <v>186895800</v>
      </c>
      <c r="M554" s="2472">
        <v>36</v>
      </c>
      <c r="N554" s="2458">
        <v>90484300</v>
      </c>
      <c r="O554" s="2459" t="s">
        <v>52</v>
      </c>
      <c r="P554" s="2460">
        <v>8200000</v>
      </c>
      <c r="Q554" s="2561">
        <v>3</v>
      </c>
      <c r="R554" s="2458">
        <v>3790000</v>
      </c>
      <c r="S554" s="2462"/>
      <c r="T554" s="2692" t="s">
        <v>579</v>
      </c>
      <c r="U554" s="2464"/>
      <c r="V554" s="2465"/>
      <c r="W554" s="2470"/>
      <c r="X554" s="2458"/>
      <c r="Y554" s="2467">
        <f t="shared" si="151"/>
        <v>3</v>
      </c>
      <c r="Z554" s="2452">
        <v>0</v>
      </c>
      <c r="AA554" s="2458">
        <f t="shared" si="153"/>
        <v>39</v>
      </c>
      <c r="AB554" s="2452">
        <f t="shared" si="154"/>
        <v>90484300</v>
      </c>
      <c r="AC554" s="2468">
        <f t="shared" si="155"/>
        <v>54.166666666666664</v>
      </c>
      <c r="AD554" s="2451">
        <f t="shared" si="156"/>
        <v>48.414303585206305</v>
      </c>
      <c r="AE554" s="2455"/>
      <c r="AF554" s="2469"/>
      <c r="AG554" s="2469"/>
      <c r="AH554" s="2469"/>
      <c r="AI554" s="2469"/>
      <c r="AJ554" s="2469"/>
      <c r="AK554" s="2469"/>
      <c r="AL554" s="2469"/>
      <c r="AM554" s="2469"/>
      <c r="AN554" s="2469"/>
      <c r="AO554" s="2469"/>
      <c r="AP554" s="2469"/>
      <c r="AQ554" s="2469"/>
      <c r="AR554" s="2469"/>
      <c r="AS554" s="2469"/>
      <c r="AT554" s="2469"/>
      <c r="AU554" s="2469"/>
      <c r="AV554" s="2469"/>
      <c r="AW554" s="2469"/>
      <c r="AX554" s="2469"/>
      <c r="AY554" s="2469"/>
      <c r="AZ554" s="2469"/>
      <c r="BA554" s="2469"/>
      <c r="BB554" s="2469"/>
      <c r="BC554" s="2469"/>
      <c r="BD554" s="2469"/>
      <c r="BE554" s="2469"/>
      <c r="BF554" s="2469"/>
      <c r="BG554" s="2469"/>
      <c r="BH554" s="2469"/>
      <c r="BI554" s="2469"/>
      <c r="BJ554" s="2469"/>
      <c r="BK554" s="2469"/>
      <c r="BL554" s="2469"/>
      <c r="BM554" s="2469"/>
      <c r="BN554" s="2469"/>
      <c r="BO554" s="2469"/>
      <c r="BP554" s="2469"/>
      <c r="BQ554" s="2469"/>
      <c r="BR554" s="2469"/>
      <c r="BS554" s="2469"/>
      <c r="BT554" s="2469"/>
      <c r="BU554" s="2469"/>
      <c r="BV554" s="2469"/>
      <c r="BW554" s="2469"/>
      <c r="BX554" s="2469"/>
    </row>
    <row r="555" spans="1:76" s="1" customFormat="1" ht="38.25">
      <c r="A555" s="2571"/>
      <c r="B555" s="2452"/>
      <c r="C555" s="2453">
        <v>1</v>
      </c>
      <c r="D555" s="2454" t="s">
        <v>25</v>
      </c>
      <c r="E555" s="2453">
        <v>1</v>
      </c>
      <c r="F555" s="2454" t="s">
        <v>25</v>
      </c>
      <c r="G555" s="2453">
        <v>10</v>
      </c>
      <c r="H555" s="2455"/>
      <c r="I555" s="2456" t="s">
        <v>70</v>
      </c>
      <c r="J555" s="2245" t="s">
        <v>4078</v>
      </c>
      <c r="K555" s="2457" t="s">
        <v>87</v>
      </c>
      <c r="L555" s="2458">
        <v>240000000</v>
      </c>
      <c r="M555" s="2472">
        <v>36</v>
      </c>
      <c r="N555" s="2458">
        <v>113487594</v>
      </c>
      <c r="O555" s="2459" t="s">
        <v>52</v>
      </c>
      <c r="P555" s="2460">
        <v>24128985</v>
      </c>
      <c r="Q555" s="2561">
        <v>3</v>
      </c>
      <c r="R555" s="2458">
        <v>8573307</v>
      </c>
      <c r="S555" s="2561">
        <v>3</v>
      </c>
      <c r="T555" s="2463">
        <v>14034235</v>
      </c>
      <c r="U555" s="2464"/>
      <c r="V555" s="2465"/>
      <c r="W555" s="2470"/>
      <c r="X555" s="2458"/>
      <c r="Y555" s="2467">
        <f t="shared" si="151"/>
        <v>6</v>
      </c>
      <c r="Z555" s="2452">
        <f t="shared" si="152"/>
        <v>22607542</v>
      </c>
      <c r="AA555" s="2458">
        <f t="shared" si="153"/>
        <v>42</v>
      </c>
      <c r="AB555" s="2452">
        <f t="shared" si="154"/>
        <v>136095136</v>
      </c>
      <c r="AC555" s="2468">
        <f t="shared" si="155"/>
        <v>58.333333333333336</v>
      </c>
      <c r="AD555" s="2451">
        <f t="shared" si="156"/>
        <v>56.706306666666663</v>
      </c>
      <c r="AE555" s="2455"/>
      <c r="AF555" s="2469"/>
      <c r="AG555" s="2469"/>
      <c r="AH555" s="2469"/>
      <c r="AI555" s="2469"/>
      <c r="AJ555" s="2469"/>
      <c r="AK555" s="2469"/>
      <c r="AL555" s="2469"/>
      <c r="AM555" s="2469"/>
      <c r="AN555" s="2469"/>
      <c r="AO555" s="2469"/>
      <c r="AP555" s="2469"/>
      <c r="AQ555" s="2469"/>
      <c r="AR555" s="2469"/>
      <c r="AS555" s="2469"/>
      <c r="AT555" s="2469"/>
      <c r="AU555" s="2469"/>
      <c r="AV555" s="2469"/>
      <c r="AW555" s="2469"/>
      <c r="AX555" s="2469"/>
      <c r="AY555" s="2469"/>
      <c r="AZ555" s="2469"/>
      <c r="BA555" s="2469"/>
      <c r="BB555" s="2469"/>
      <c r="BC555" s="2469"/>
      <c r="BD555" s="2469"/>
      <c r="BE555" s="2469"/>
      <c r="BF555" s="2469"/>
      <c r="BG555" s="2469"/>
      <c r="BH555" s="2469"/>
      <c r="BI555" s="2469"/>
      <c r="BJ555" s="2469"/>
      <c r="BK555" s="2469"/>
      <c r="BL555" s="2469"/>
      <c r="BM555" s="2469"/>
      <c r="BN555" s="2469"/>
      <c r="BO555" s="2469"/>
      <c r="BP555" s="2469"/>
      <c r="BQ555" s="2469"/>
      <c r="BR555" s="2469"/>
      <c r="BS555" s="2469"/>
      <c r="BT555" s="2469"/>
      <c r="BU555" s="2469"/>
      <c r="BV555" s="2469"/>
      <c r="BW555" s="2469"/>
      <c r="BX555" s="2469"/>
    </row>
    <row r="556" spans="1:76" s="1" customFormat="1" ht="63.75">
      <c r="A556" s="2571"/>
      <c r="B556" s="2452"/>
      <c r="C556" s="2453">
        <v>1</v>
      </c>
      <c r="D556" s="2454" t="s">
        <v>25</v>
      </c>
      <c r="E556" s="2453">
        <v>1</v>
      </c>
      <c r="F556" s="2454" t="s">
        <v>25</v>
      </c>
      <c r="G556" s="2453">
        <v>11</v>
      </c>
      <c r="H556" s="2455"/>
      <c r="I556" s="2456" t="s">
        <v>71</v>
      </c>
      <c r="J556" s="2245" t="s">
        <v>4079</v>
      </c>
      <c r="K556" s="2457" t="s">
        <v>87</v>
      </c>
      <c r="L556" s="2458">
        <v>210000000</v>
      </c>
      <c r="M556" s="2472">
        <v>36</v>
      </c>
      <c r="N556" s="2458">
        <v>92289600</v>
      </c>
      <c r="O556" s="2459" t="s">
        <v>52</v>
      </c>
      <c r="P556" s="2460">
        <v>17060505</v>
      </c>
      <c r="Q556" s="2561">
        <v>3</v>
      </c>
      <c r="R556" s="2458">
        <v>5014200</v>
      </c>
      <c r="S556" s="2561">
        <v>3</v>
      </c>
      <c r="T556" s="2410">
        <v>7615000</v>
      </c>
      <c r="U556" s="2464"/>
      <c r="V556" s="2465"/>
      <c r="W556" s="2470"/>
      <c r="X556" s="2458"/>
      <c r="Y556" s="2467">
        <f t="shared" si="151"/>
        <v>6</v>
      </c>
      <c r="Z556" s="2452">
        <f t="shared" si="152"/>
        <v>12629200</v>
      </c>
      <c r="AA556" s="2458">
        <f t="shared" si="153"/>
        <v>42</v>
      </c>
      <c r="AB556" s="2452">
        <f t="shared" si="154"/>
        <v>104918800</v>
      </c>
      <c r="AC556" s="2468">
        <f t="shared" si="155"/>
        <v>58.333333333333336</v>
      </c>
      <c r="AD556" s="2451">
        <f t="shared" si="156"/>
        <v>49.961333333333336</v>
      </c>
      <c r="AE556" s="2455"/>
      <c r="AF556" s="2469"/>
      <c r="AG556" s="2469"/>
      <c r="AH556" s="2469"/>
      <c r="AI556" s="2469"/>
      <c r="AJ556" s="2469"/>
      <c r="AK556" s="2469"/>
      <c r="AL556" s="2469"/>
      <c r="AM556" s="2469"/>
      <c r="AN556" s="2469"/>
      <c r="AO556" s="2469"/>
      <c r="AP556" s="2469"/>
      <c r="AQ556" s="2469"/>
      <c r="AR556" s="2469"/>
      <c r="AS556" s="2469"/>
      <c r="AT556" s="2469"/>
      <c r="AU556" s="2469"/>
      <c r="AV556" s="2469"/>
      <c r="AW556" s="2469"/>
      <c r="AX556" s="2469"/>
      <c r="AY556" s="2469"/>
      <c r="AZ556" s="2469"/>
      <c r="BA556" s="2469"/>
      <c r="BB556" s="2469"/>
      <c r="BC556" s="2469"/>
      <c r="BD556" s="2469"/>
      <c r="BE556" s="2469"/>
      <c r="BF556" s="2469"/>
      <c r="BG556" s="2469"/>
      <c r="BH556" s="2469"/>
      <c r="BI556" s="2469"/>
      <c r="BJ556" s="2469"/>
      <c r="BK556" s="2469"/>
      <c r="BL556" s="2469"/>
      <c r="BM556" s="2469"/>
      <c r="BN556" s="2469"/>
      <c r="BO556" s="2469"/>
      <c r="BP556" s="2469"/>
      <c r="BQ556" s="2469"/>
      <c r="BR556" s="2469"/>
      <c r="BS556" s="2469"/>
      <c r="BT556" s="2469"/>
      <c r="BU556" s="2469"/>
      <c r="BV556" s="2469"/>
      <c r="BW556" s="2469"/>
      <c r="BX556" s="2469"/>
    </row>
    <row r="557" spans="1:76" s="1" customFormat="1" ht="76.5">
      <c r="A557" s="2453"/>
      <c r="B557" s="2452"/>
      <c r="C557" s="2453">
        <v>1</v>
      </c>
      <c r="D557" s="2454" t="s">
        <v>25</v>
      </c>
      <c r="E557" s="2453">
        <v>1</v>
      </c>
      <c r="F557" s="2454" t="s">
        <v>25</v>
      </c>
      <c r="G557" s="2453">
        <v>12</v>
      </c>
      <c r="H557" s="2455"/>
      <c r="I557" s="2456" t="s">
        <v>72</v>
      </c>
      <c r="J557" s="2245" t="s">
        <v>4080</v>
      </c>
      <c r="K557" s="2457" t="s">
        <v>87</v>
      </c>
      <c r="L557" s="2458">
        <v>60000000</v>
      </c>
      <c r="M557" s="2472">
        <v>33</v>
      </c>
      <c r="N557" s="2458">
        <v>19999450</v>
      </c>
      <c r="O557" s="2459"/>
      <c r="P557" s="2460">
        <v>2256200</v>
      </c>
      <c r="Q557" s="2561">
        <v>3</v>
      </c>
      <c r="R557" s="2458">
        <v>0</v>
      </c>
      <c r="S557" s="2561">
        <v>3</v>
      </c>
      <c r="T557" s="2410">
        <v>2254000</v>
      </c>
      <c r="U557" s="2464"/>
      <c r="V557" s="2465"/>
      <c r="W557" s="2466"/>
      <c r="X557" s="2458"/>
      <c r="Y557" s="2467">
        <f t="shared" si="151"/>
        <v>6</v>
      </c>
      <c r="Z557" s="2452">
        <f t="shared" si="152"/>
        <v>2254000</v>
      </c>
      <c r="AA557" s="2458">
        <f t="shared" si="153"/>
        <v>39</v>
      </c>
      <c r="AB557" s="2452">
        <f t="shared" si="154"/>
        <v>22253450</v>
      </c>
      <c r="AC557" s="2468">
        <f t="shared" si="155"/>
        <v>54.166666666666664</v>
      </c>
      <c r="AD557" s="2451">
        <f t="shared" si="156"/>
        <v>37.089083333333335</v>
      </c>
      <c r="AE557" s="2455"/>
      <c r="AF557" s="2469"/>
      <c r="AG557" s="2469"/>
      <c r="AH557" s="2469"/>
      <c r="AI557" s="2469"/>
      <c r="AJ557" s="2469"/>
      <c r="AK557" s="2469"/>
      <c r="AL557" s="2469"/>
      <c r="AM557" s="2469"/>
      <c r="AN557" s="2469"/>
      <c r="AO557" s="2469"/>
      <c r="AP557" s="2469"/>
      <c r="AQ557" s="2469"/>
      <c r="AR557" s="2469"/>
      <c r="AS557" s="2469"/>
      <c r="AT557" s="2469"/>
      <c r="AU557" s="2469"/>
      <c r="AV557" s="2469"/>
      <c r="AW557" s="2469"/>
      <c r="AX557" s="2469"/>
      <c r="AY557" s="2469"/>
      <c r="AZ557" s="2469"/>
      <c r="BA557" s="2469"/>
      <c r="BB557" s="2469"/>
      <c r="BC557" s="2469"/>
      <c r="BD557" s="2469"/>
      <c r="BE557" s="2469"/>
      <c r="BF557" s="2469"/>
      <c r="BG557" s="2469"/>
      <c r="BH557" s="2469"/>
      <c r="BI557" s="2469"/>
      <c r="BJ557" s="2469"/>
      <c r="BK557" s="2469"/>
      <c r="BL557" s="2469"/>
      <c r="BM557" s="2469"/>
      <c r="BN557" s="2469"/>
      <c r="BO557" s="2469"/>
      <c r="BP557" s="2469"/>
      <c r="BQ557" s="2469"/>
      <c r="BR557" s="2469"/>
      <c r="BS557" s="2469"/>
      <c r="BT557" s="2469"/>
      <c r="BU557" s="2469"/>
      <c r="BV557" s="2469"/>
      <c r="BW557" s="2469"/>
      <c r="BX557" s="2469"/>
    </row>
    <row r="558" spans="1:76" s="1" customFormat="1" ht="51">
      <c r="A558" s="2453"/>
      <c r="B558" s="2452"/>
      <c r="C558" s="2453">
        <v>1</v>
      </c>
      <c r="D558" s="2454" t="s">
        <v>25</v>
      </c>
      <c r="E558" s="2453">
        <v>1</v>
      </c>
      <c r="F558" s="2454" t="s">
        <v>25</v>
      </c>
      <c r="G558" s="2453">
        <v>15</v>
      </c>
      <c r="H558" s="2455"/>
      <c r="I558" s="2456" t="s">
        <v>73</v>
      </c>
      <c r="J558" s="2245" t="s">
        <v>4081</v>
      </c>
      <c r="K558" s="2457" t="s">
        <v>87</v>
      </c>
      <c r="L558" s="2458">
        <v>27000000</v>
      </c>
      <c r="M558" s="2472">
        <v>36</v>
      </c>
      <c r="N558" s="2458">
        <v>13240000</v>
      </c>
      <c r="O558" s="2459" t="s">
        <v>52</v>
      </c>
      <c r="P558" s="2460">
        <v>3000000</v>
      </c>
      <c r="Q558" s="2561">
        <v>3</v>
      </c>
      <c r="R558" s="2458">
        <v>735000</v>
      </c>
      <c r="S558" s="2561">
        <v>3</v>
      </c>
      <c r="T558" s="2463">
        <v>665000</v>
      </c>
      <c r="U558" s="2464"/>
      <c r="V558" s="2465"/>
      <c r="W558" s="2466"/>
      <c r="X558" s="2458"/>
      <c r="Y558" s="2467">
        <f t="shared" si="151"/>
        <v>6</v>
      </c>
      <c r="Z558" s="2452">
        <f t="shared" si="152"/>
        <v>1400000</v>
      </c>
      <c r="AA558" s="2458">
        <f t="shared" si="153"/>
        <v>42</v>
      </c>
      <c r="AB558" s="2452">
        <f t="shared" si="154"/>
        <v>14640000</v>
      </c>
      <c r="AC558" s="2468">
        <f t="shared" si="155"/>
        <v>58.333333333333336</v>
      </c>
      <c r="AD558" s="2451">
        <f t="shared" si="156"/>
        <v>54.222222222222229</v>
      </c>
      <c r="AE558" s="2455"/>
      <c r="AF558" s="2469"/>
      <c r="AG558" s="2469"/>
      <c r="AH558" s="2469"/>
      <c r="AI558" s="2469"/>
      <c r="AJ558" s="2469"/>
      <c r="AK558" s="2469"/>
      <c r="AL558" s="2469"/>
      <c r="AM558" s="2469"/>
      <c r="AN558" s="2469"/>
      <c r="AO558" s="2469"/>
      <c r="AP558" s="2469"/>
      <c r="AQ558" s="2469"/>
      <c r="AR558" s="2469"/>
      <c r="AS558" s="2469"/>
      <c r="AT558" s="2469"/>
      <c r="AU558" s="2469"/>
      <c r="AV558" s="2469"/>
      <c r="AW558" s="2469"/>
      <c r="AX558" s="2469"/>
      <c r="AY558" s="2469"/>
      <c r="AZ558" s="2469"/>
      <c r="BA558" s="2469"/>
      <c r="BB558" s="2469"/>
      <c r="BC558" s="2469"/>
      <c r="BD558" s="2469"/>
      <c r="BE558" s="2469"/>
      <c r="BF558" s="2469"/>
      <c r="BG558" s="2469"/>
      <c r="BH558" s="2469"/>
      <c r="BI558" s="2469"/>
      <c r="BJ558" s="2469"/>
      <c r="BK558" s="2469"/>
      <c r="BL558" s="2469"/>
      <c r="BM558" s="2469"/>
      <c r="BN558" s="2469"/>
      <c r="BO558" s="2469"/>
      <c r="BP558" s="2469"/>
      <c r="BQ558" s="2469"/>
      <c r="BR558" s="2469"/>
      <c r="BS558" s="2469"/>
      <c r="BT558" s="2469"/>
      <c r="BU558" s="2469"/>
      <c r="BV558" s="2469"/>
      <c r="BW558" s="2469"/>
      <c r="BX558" s="2469"/>
    </row>
    <row r="559" spans="1:76" s="1" customFormat="1" ht="38.25">
      <c r="A559" s="2453"/>
      <c r="B559" s="2452"/>
      <c r="C559" s="2453">
        <v>1</v>
      </c>
      <c r="D559" s="2454" t="s">
        <v>25</v>
      </c>
      <c r="E559" s="2453">
        <v>1</v>
      </c>
      <c r="F559" s="2454" t="s">
        <v>25</v>
      </c>
      <c r="G559" s="2453">
        <v>17</v>
      </c>
      <c r="H559" s="2455"/>
      <c r="I559" s="2456" t="s">
        <v>75</v>
      </c>
      <c r="J559" s="2245" t="s">
        <v>4082</v>
      </c>
      <c r="K559" s="2457" t="s">
        <v>87</v>
      </c>
      <c r="L559" s="2458">
        <v>70625000</v>
      </c>
      <c r="M559" s="2472">
        <v>36</v>
      </c>
      <c r="N559" s="2458">
        <v>28620000</v>
      </c>
      <c r="O559" s="2459" t="s">
        <v>52</v>
      </c>
      <c r="P559" s="2460">
        <v>5110000</v>
      </c>
      <c r="Q559" s="2561">
        <v>3</v>
      </c>
      <c r="R559" s="2458">
        <v>5110000</v>
      </c>
      <c r="S559" s="2462"/>
      <c r="T559" s="2463" t="s">
        <v>579</v>
      </c>
      <c r="U559" s="2464"/>
      <c r="V559" s="2465"/>
      <c r="W559" s="2466"/>
      <c r="X559" s="2458"/>
      <c r="Y559" s="2467">
        <f t="shared" si="151"/>
        <v>3</v>
      </c>
      <c r="Z559" s="2452">
        <v>0</v>
      </c>
      <c r="AA559" s="2458">
        <f t="shared" si="153"/>
        <v>39</v>
      </c>
      <c r="AB559" s="2452">
        <f t="shared" si="154"/>
        <v>28620000</v>
      </c>
      <c r="AC559" s="2468">
        <f t="shared" si="155"/>
        <v>54.166666666666664</v>
      </c>
      <c r="AD559" s="2451">
        <f t="shared" si="156"/>
        <v>40.523893805309733</v>
      </c>
      <c r="AE559" s="2455"/>
      <c r="AF559" s="2469"/>
      <c r="AG559" s="2469"/>
      <c r="AH559" s="2469"/>
      <c r="AI559" s="2469"/>
      <c r="AJ559" s="2469"/>
      <c r="AK559" s="2469"/>
      <c r="AL559" s="2469"/>
      <c r="AM559" s="2469"/>
      <c r="AN559" s="2469"/>
      <c r="AO559" s="2469"/>
      <c r="AP559" s="2469"/>
      <c r="AQ559" s="2469"/>
      <c r="AR559" s="2469"/>
      <c r="AS559" s="2469"/>
      <c r="AT559" s="2469"/>
      <c r="AU559" s="2469"/>
      <c r="AV559" s="2469"/>
      <c r="AW559" s="2469"/>
      <c r="AX559" s="2469"/>
      <c r="AY559" s="2469"/>
      <c r="AZ559" s="2469"/>
      <c r="BA559" s="2469"/>
      <c r="BB559" s="2469"/>
      <c r="BC559" s="2469"/>
      <c r="BD559" s="2469"/>
      <c r="BE559" s="2469"/>
      <c r="BF559" s="2469"/>
      <c r="BG559" s="2469"/>
      <c r="BH559" s="2469"/>
      <c r="BI559" s="2469"/>
      <c r="BJ559" s="2469"/>
      <c r="BK559" s="2469"/>
      <c r="BL559" s="2469"/>
      <c r="BM559" s="2469"/>
      <c r="BN559" s="2469"/>
      <c r="BO559" s="2469"/>
      <c r="BP559" s="2469"/>
      <c r="BQ559" s="2469"/>
      <c r="BR559" s="2469"/>
      <c r="BS559" s="2469"/>
      <c r="BT559" s="2469"/>
      <c r="BU559" s="2469"/>
      <c r="BV559" s="2469"/>
      <c r="BW559" s="2469"/>
      <c r="BX559" s="2469"/>
    </row>
    <row r="560" spans="1:76" s="1" customFormat="1" ht="63.75">
      <c r="A560" s="2453"/>
      <c r="B560" s="2452"/>
      <c r="C560" s="2453">
        <v>1</v>
      </c>
      <c r="D560" s="2454" t="s">
        <v>25</v>
      </c>
      <c r="E560" s="2453">
        <v>1</v>
      </c>
      <c r="F560" s="2454" t="s">
        <v>25</v>
      </c>
      <c r="G560" s="2453">
        <v>18</v>
      </c>
      <c r="H560" s="2455"/>
      <c r="I560" s="2456" t="s">
        <v>76</v>
      </c>
      <c r="J560" s="2245" t="s">
        <v>4083</v>
      </c>
      <c r="K560" s="2457" t="s">
        <v>87</v>
      </c>
      <c r="L560" s="2458">
        <v>1045000000</v>
      </c>
      <c r="M560" s="2472">
        <v>36</v>
      </c>
      <c r="N560" s="2458">
        <v>551082847</v>
      </c>
      <c r="O560" s="2459" t="s">
        <v>52</v>
      </c>
      <c r="P560" s="2460">
        <v>25171035</v>
      </c>
      <c r="Q560" s="2561">
        <v>3</v>
      </c>
      <c r="R560" s="2458">
        <v>11275000</v>
      </c>
      <c r="S560" s="2561">
        <v>3</v>
      </c>
      <c r="T560" s="2463">
        <v>6880000</v>
      </c>
      <c r="U560" s="2464"/>
      <c r="V560" s="2465"/>
      <c r="W560" s="2466"/>
      <c r="X560" s="2458"/>
      <c r="Y560" s="2467">
        <f t="shared" si="151"/>
        <v>6</v>
      </c>
      <c r="Z560" s="2452">
        <f t="shared" si="152"/>
        <v>18155000</v>
      </c>
      <c r="AA560" s="2458">
        <f t="shared" si="153"/>
        <v>42</v>
      </c>
      <c r="AB560" s="2452">
        <f t="shared" si="154"/>
        <v>569237847</v>
      </c>
      <c r="AC560" s="2468">
        <f t="shared" si="155"/>
        <v>58.333333333333336</v>
      </c>
      <c r="AD560" s="2451">
        <f t="shared" si="156"/>
        <v>54.472521244019134</v>
      </c>
      <c r="AE560" s="2455"/>
      <c r="AF560" s="2469"/>
      <c r="AG560" s="2469"/>
      <c r="AH560" s="2469"/>
      <c r="AI560" s="2469"/>
      <c r="AJ560" s="2469"/>
      <c r="AK560" s="2469"/>
      <c r="AL560" s="2469"/>
      <c r="AM560" s="2469"/>
      <c r="AN560" s="2469"/>
      <c r="AO560" s="2469"/>
      <c r="AP560" s="2469"/>
      <c r="AQ560" s="2469"/>
      <c r="AR560" s="2469"/>
      <c r="AS560" s="2469"/>
      <c r="AT560" s="2469"/>
      <c r="AU560" s="2469"/>
      <c r="AV560" s="2469"/>
      <c r="AW560" s="2469"/>
      <c r="AX560" s="2469"/>
      <c r="AY560" s="2469"/>
      <c r="AZ560" s="2469"/>
      <c r="BA560" s="2469"/>
      <c r="BB560" s="2469"/>
      <c r="BC560" s="2469"/>
      <c r="BD560" s="2469"/>
      <c r="BE560" s="2469"/>
      <c r="BF560" s="2469"/>
      <c r="BG560" s="2469"/>
      <c r="BH560" s="2469"/>
      <c r="BI560" s="2469"/>
      <c r="BJ560" s="2469"/>
      <c r="BK560" s="2469"/>
      <c r="BL560" s="2469"/>
      <c r="BM560" s="2469"/>
      <c r="BN560" s="2469"/>
      <c r="BO560" s="2469"/>
      <c r="BP560" s="2469"/>
      <c r="BQ560" s="2469"/>
      <c r="BR560" s="2469"/>
      <c r="BS560" s="2469"/>
      <c r="BT560" s="2469"/>
      <c r="BU560" s="2469"/>
      <c r="BV560" s="2469"/>
      <c r="BW560" s="2469"/>
      <c r="BX560" s="2469"/>
    </row>
    <row r="561" spans="1:76" s="1" customFormat="1" ht="51">
      <c r="A561" s="2453"/>
      <c r="B561" s="2452"/>
      <c r="C561" s="2453">
        <v>1</v>
      </c>
      <c r="D561" s="2454" t="s">
        <v>25</v>
      </c>
      <c r="E561" s="2453">
        <v>1</v>
      </c>
      <c r="F561" s="2454" t="s">
        <v>25</v>
      </c>
      <c r="G561" s="2453">
        <v>20</v>
      </c>
      <c r="H561" s="2455"/>
      <c r="I561" s="2456" t="s">
        <v>77</v>
      </c>
      <c r="J561" s="2245" t="s">
        <v>4084</v>
      </c>
      <c r="K561" s="2457" t="s">
        <v>87</v>
      </c>
      <c r="L561" s="2458">
        <v>369500000</v>
      </c>
      <c r="M561" s="2472">
        <v>36</v>
      </c>
      <c r="N561" s="2458">
        <v>176315000</v>
      </c>
      <c r="O561" s="2459" t="s">
        <v>52</v>
      </c>
      <c r="P561" s="2460">
        <v>41575000</v>
      </c>
      <c r="Q561" s="2561">
        <v>3</v>
      </c>
      <c r="R561" s="2458">
        <v>9400000</v>
      </c>
      <c r="S561" s="2561">
        <v>3</v>
      </c>
      <c r="T561" s="2463">
        <v>10660000</v>
      </c>
      <c r="U561" s="2464"/>
      <c r="V561" s="2465"/>
      <c r="W561" s="2466"/>
      <c r="X561" s="2458"/>
      <c r="Y561" s="2467">
        <f t="shared" si="151"/>
        <v>6</v>
      </c>
      <c r="Z561" s="2452">
        <f t="shared" si="152"/>
        <v>20060000</v>
      </c>
      <c r="AA561" s="2458">
        <f t="shared" si="153"/>
        <v>42</v>
      </c>
      <c r="AB561" s="2452">
        <f t="shared" si="154"/>
        <v>196375000</v>
      </c>
      <c r="AC561" s="2468">
        <f t="shared" si="155"/>
        <v>58.333333333333336</v>
      </c>
      <c r="AD561" s="2451">
        <f t="shared" si="156"/>
        <v>53.146143437077129</v>
      </c>
      <c r="AE561" s="2455"/>
    </row>
    <row r="562" spans="1:76" s="1" customFormat="1" ht="51">
      <c r="A562" s="2204">
        <v>2</v>
      </c>
      <c r="B562" s="2143"/>
      <c r="C562" s="2502">
        <v>1</v>
      </c>
      <c r="D562" s="2515" t="s">
        <v>25</v>
      </c>
      <c r="E562" s="2502">
        <v>1</v>
      </c>
      <c r="F562" s="2515" t="s">
        <v>28</v>
      </c>
      <c r="G562" s="2205"/>
      <c r="H562" s="2196"/>
      <c r="I562" s="2498" t="s">
        <v>3852</v>
      </c>
      <c r="J562" s="2143" t="s">
        <v>4085</v>
      </c>
      <c r="K562" s="2501" t="s">
        <v>87</v>
      </c>
      <c r="L562" s="2500">
        <f>SUM(L563:L564)</f>
        <v>1377553140</v>
      </c>
      <c r="M562" s="2511">
        <v>36</v>
      </c>
      <c r="N562" s="2500">
        <f>SUM(N563:N564)</f>
        <v>603303161</v>
      </c>
      <c r="O562" s="2516" t="s">
        <v>52</v>
      </c>
      <c r="P562" s="2502">
        <f>SUM(P563:P564)</f>
        <v>167899031</v>
      </c>
      <c r="Q562" s="2503"/>
      <c r="R562" s="2505">
        <f>SUM(R563:R564)</f>
        <v>40381052</v>
      </c>
      <c r="S562" s="2504"/>
      <c r="T562" s="2505">
        <f>SUM(T563:T564)</f>
        <v>61710950</v>
      </c>
      <c r="U562" s="2506"/>
      <c r="V562" s="2507">
        <f>SUM(V563:V564)</f>
        <v>0</v>
      </c>
      <c r="W562" s="2506"/>
      <c r="X562" s="2500">
        <f>SUM(X563:X564)</f>
        <v>0</v>
      </c>
      <c r="Y562" s="2517">
        <f t="shared" si="151"/>
        <v>0</v>
      </c>
      <c r="Z562" s="2505">
        <f t="shared" si="152"/>
        <v>102092002</v>
      </c>
      <c r="AA562" s="2505">
        <f t="shared" si="153"/>
        <v>36</v>
      </c>
      <c r="AB562" s="2500">
        <f t="shared" si="154"/>
        <v>705395163</v>
      </c>
      <c r="AC562" s="2509">
        <f t="shared" si="155"/>
        <v>50</v>
      </c>
      <c r="AD562" s="2510">
        <f t="shared" si="156"/>
        <v>51.206384894886895</v>
      </c>
      <c r="AE562" s="2204" t="s">
        <v>4071</v>
      </c>
      <c r="AF562" s="2469"/>
      <c r="AG562" s="2469"/>
      <c r="AH562" s="2469"/>
      <c r="AI562" s="2469"/>
      <c r="AJ562" s="2469"/>
      <c r="AK562" s="2469"/>
      <c r="AL562" s="2469"/>
      <c r="AM562" s="2469"/>
      <c r="AN562" s="2469"/>
      <c r="AO562" s="2469"/>
      <c r="AP562" s="2469"/>
      <c r="AQ562" s="2469"/>
      <c r="AR562" s="2469"/>
      <c r="AS562" s="2469"/>
      <c r="AT562" s="2469"/>
      <c r="AU562" s="2469"/>
      <c r="AV562" s="2469"/>
      <c r="AW562" s="2469"/>
      <c r="AX562" s="2469"/>
      <c r="AY562" s="2469"/>
      <c r="AZ562" s="2469"/>
      <c r="BA562" s="2469"/>
      <c r="BB562" s="2469"/>
      <c r="BC562" s="2469"/>
      <c r="BD562" s="2469"/>
      <c r="BE562" s="2469"/>
      <c r="BF562" s="2469"/>
      <c r="BG562" s="2469"/>
      <c r="BH562" s="2469"/>
      <c r="BI562" s="2469"/>
      <c r="BJ562" s="2469"/>
      <c r="BK562" s="2469"/>
      <c r="BL562" s="2469"/>
      <c r="BM562" s="2469"/>
      <c r="BN562" s="2469"/>
      <c r="BO562" s="2469"/>
      <c r="BP562" s="2469"/>
      <c r="BQ562" s="2469"/>
      <c r="BR562" s="2469"/>
      <c r="BS562" s="2469"/>
      <c r="BT562" s="2469"/>
      <c r="BU562" s="2469"/>
      <c r="BV562" s="2469"/>
      <c r="BW562" s="2469"/>
      <c r="BX562" s="2469"/>
    </row>
    <row r="563" spans="1:76" s="1" customFormat="1" ht="63.75">
      <c r="A563" s="2453"/>
      <c r="B563" s="2452"/>
      <c r="C563" s="2453">
        <v>1</v>
      </c>
      <c r="D563" s="2454" t="s">
        <v>25</v>
      </c>
      <c r="E563" s="2453">
        <v>1</v>
      </c>
      <c r="F563" s="2454" t="s">
        <v>28</v>
      </c>
      <c r="G563" s="2453">
        <v>24</v>
      </c>
      <c r="H563" s="2455"/>
      <c r="I563" s="2456" t="s">
        <v>974</v>
      </c>
      <c r="J563" s="2245" t="s">
        <v>4086</v>
      </c>
      <c r="K563" s="2471" t="s">
        <v>87</v>
      </c>
      <c r="L563" s="2410">
        <v>952711140</v>
      </c>
      <c r="M563" s="2512">
        <v>36</v>
      </c>
      <c r="N563" s="2458">
        <v>500201161</v>
      </c>
      <c r="O563" s="2459" t="s">
        <v>52</v>
      </c>
      <c r="P563" s="2460">
        <v>54140000</v>
      </c>
      <c r="Q563" s="2561">
        <v>3</v>
      </c>
      <c r="R563" s="2458">
        <v>10000000</v>
      </c>
      <c r="S563" s="2561">
        <v>3</v>
      </c>
      <c r="T563" s="2458">
        <v>44140000</v>
      </c>
      <c r="U563" s="2466"/>
      <c r="V563" s="2465"/>
      <c r="W563" s="2466"/>
      <c r="X563" s="2458"/>
      <c r="Y563" s="2467">
        <f t="shared" si="151"/>
        <v>6</v>
      </c>
      <c r="Z563" s="2452">
        <f t="shared" si="152"/>
        <v>54140000</v>
      </c>
      <c r="AA563" s="2458">
        <f t="shared" si="153"/>
        <v>42</v>
      </c>
      <c r="AB563" s="2452">
        <f t="shared" si="154"/>
        <v>554341161</v>
      </c>
      <c r="AC563" s="2468">
        <f t="shared" si="155"/>
        <v>58.333333333333336</v>
      </c>
      <c r="AD563" s="2451">
        <f t="shared" si="156"/>
        <v>58.185649115008772</v>
      </c>
      <c r="AE563" s="2455" t="s">
        <v>4071</v>
      </c>
      <c r="AF563" s="2259"/>
      <c r="AG563" s="2259"/>
      <c r="AH563" s="2259"/>
      <c r="AI563" s="2259"/>
      <c r="AJ563" s="2259"/>
      <c r="AK563" s="2259"/>
      <c r="AL563" s="2259"/>
      <c r="AM563" s="2259"/>
      <c r="AN563" s="2259"/>
      <c r="AO563" s="2259"/>
      <c r="AP563" s="2259"/>
      <c r="AQ563" s="2259"/>
      <c r="AR563" s="2259"/>
      <c r="AS563" s="2259"/>
      <c r="AT563" s="2259"/>
      <c r="AU563" s="2259"/>
      <c r="AV563" s="2259"/>
      <c r="AW563" s="2259"/>
      <c r="AX563" s="2259"/>
      <c r="AY563" s="2259"/>
      <c r="AZ563" s="2259"/>
      <c r="BA563" s="2259"/>
      <c r="BB563" s="2259"/>
      <c r="BC563" s="2259"/>
      <c r="BD563" s="2259"/>
      <c r="BE563" s="2259"/>
      <c r="BF563" s="2259"/>
      <c r="BG563" s="2259"/>
      <c r="BH563" s="2259"/>
      <c r="BI563" s="2259"/>
      <c r="BJ563" s="2259"/>
      <c r="BK563" s="2259"/>
      <c r="BL563" s="2259"/>
      <c r="BM563" s="2259"/>
      <c r="BN563" s="2259"/>
      <c r="BO563" s="2259"/>
      <c r="BP563" s="2259"/>
      <c r="BQ563" s="2259"/>
      <c r="BR563" s="2259"/>
      <c r="BS563" s="2259"/>
      <c r="BT563" s="2259"/>
      <c r="BU563" s="2259"/>
      <c r="BV563" s="2259"/>
      <c r="BW563" s="2259"/>
      <c r="BX563" s="2259"/>
    </row>
    <row r="564" spans="1:76" s="1" customFormat="1" ht="48" customHeight="1">
      <c r="A564" s="2453"/>
      <c r="B564" s="2452"/>
      <c r="C564" s="2453">
        <v>1</v>
      </c>
      <c r="D564" s="2454" t="s">
        <v>25</v>
      </c>
      <c r="E564" s="2453">
        <v>1</v>
      </c>
      <c r="F564" s="2454" t="s">
        <v>28</v>
      </c>
      <c r="G564" s="2453">
        <v>25</v>
      </c>
      <c r="H564" s="2455"/>
      <c r="I564" s="2456" t="s">
        <v>4087</v>
      </c>
      <c r="J564" s="2245" t="s">
        <v>4088</v>
      </c>
      <c r="K564" s="2513">
        <v>72</v>
      </c>
      <c r="L564" s="2458">
        <v>424842000</v>
      </c>
      <c r="M564" s="2513">
        <v>36</v>
      </c>
      <c r="N564" s="2458">
        <v>103102000</v>
      </c>
      <c r="O564" s="2459" t="s">
        <v>52</v>
      </c>
      <c r="P564" s="2460">
        <v>113759031</v>
      </c>
      <c r="Q564" s="2561">
        <v>3</v>
      </c>
      <c r="R564" s="2458">
        <v>30381052</v>
      </c>
      <c r="S564" s="2472">
        <v>3</v>
      </c>
      <c r="T564" s="2458">
        <v>17570950</v>
      </c>
      <c r="U564" s="2466"/>
      <c r="V564" s="2465"/>
      <c r="W564" s="2466"/>
      <c r="X564" s="2458"/>
      <c r="Y564" s="2473">
        <f t="shared" si="151"/>
        <v>6</v>
      </c>
      <c r="Z564" s="2452">
        <f t="shared" si="152"/>
        <v>47952002</v>
      </c>
      <c r="AA564" s="2468">
        <f t="shared" si="153"/>
        <v>42</v>
      </c>
      <c r="AB564" s="2452">
        <f t="shared" si="154"/>
        <v>151054002</v>
      </c>
      <c r="AC564" s="2458">
        <f t="shared" si="155"/>
        <v>58.333333333333336</v>
      </c>
      <c r="AD564" s="2451">
        <f t="shared" si="156"/>
        <v>35.555336336802853</v>
      </c>
      <c r="AE564" s="2455"/>
      <c r="AF564" s="2259"/>
      <c r="AG564" s="2259"/>
      <c r="AH564" s="2259"/>
      <c r="AI564" s="2259"/>
      <c r="AJ564" s="2259"/>
      <c r="AK564" s="2259"/>
      <c r="AL564" s="2259"/>
      <c r="AM564" s="2259"/>
      <c r="AN564" s="2259"/>
      <c r="AO564" s="2259"/>
      <c r="AP564" s="2259"/>
      <c r="AQ564" s="2259"/>
      <c r="AR564" s="2259"/>
      <c r="AS564" s="2259"/>
      <c r="AT564" s="2259"/>
      <c r="AU564" s="2259"/>
      <c r="AV564" s="2259"/>
      <c r="AW564" s="2259"/>
      <c r="AX564" s="2259"/>
      <c r="AY564" s="2259"/>
      <c r="AZ564" s="2259"/>
      <c r="BA564" s="2259"/>
      <c r="BB564" s="2259"/>
      <c r="BC564" s="2259"/>
      <c r="BD564" s="2259"/>
      <c r="BE564" s="2259"/>
      <c r="BF564" s="2259"/>
      <c r="BG564" s="2259"/>
      <c r="BH564" s="2259"/>
      <c r="BI564" s="2259"/>
      <c r="BJ564" s="2259"/>
      <c r="BK564" s="2259"/>
      <c r="BL564" s="2259"/>
      <c r="BM564" s="2259"/>
      <c r="BN564" s="2259"/>
      <c r="BO564" s="2259"/>
      <c r="BP564" s="2259"/>
      <c r="BQ564" s="2259"/>
      <c r="BR564" s="2259"/>
      <c r="BS564" s="2259"/>
      <c r="BT564" s="2259"/>
      <c r="BU564" s="2259"/>
      <c r="BV564" s="2259"/>
      <c r="BW564" s="2259"/>
      <c r="BX564" s="2259"/>
    </row>
    <row r="565" spans="1:76" s="1" customFormat="1" ht="76.5">
      <c r="A565" s="2205">
        <v>3</v>
      </c>
      <c r="B565" s="2143"/>
      <c r="C565" s="2204">
        <v>2</v>
      </c>
      <c r="D565" s="2205" t="s">
        <v>34</v>
      </c>
      <c r="E565" s="2205" t="s">
        <v>28</v>
      </c>
      <c r="F565" s="2204">
        <v>15</v>
      </c>
      <c r="G565" s="2204"/>
      <c r="H565" s="2196"/>
      <c r="I565" s="2498" t="s">
        <v>1532</v>
      </c>
      <c r="J565" s="2143" t="s">
        <v>4089</v>
      </c>
      <c r="K565" s="2518">
        <v>100</v>
      </c>
      <c r="L565" s="2500">
        <f>SUM(L566)</f>
        <v>95000000</v>
      </c>
      <c r="M565" s="2518">
        <v>50</v>
      </c>
      <c r="N565" s="2500">
        <f>SUM(N566)</f>
        <v>49274754</v>
      </c>
      <c r="O565" s="2519">
        <v>17</v>
      </c>
      <c r="P565" s="2502">
        <f>SUM(P566)</f>
        <v>14096800</v>
      </c>
      <c r="Q565" s="2520"/>
      <c r="R565" s="2505">
        <f>SUM(R566)</f>
        <v>0</v>
      </c>
      <c r="S565" s="2143"/>
      <c r="T565" s="2505">
        <f>SUM(T566)</f>
        <v>0</v>
      </c>
      <c r="U565" s="2506"/>
      <c r="V565" s="2507">
        <f>SUM(V566)</f>
        <v>0</v>
      </c>
      <c r="W565" s="2506"/>
      <c r="X565" s="2505">
        <f>SUM(X566)</f>
        <v>0</v>
      </c>
      <c r="Y565" s="2521">
        <f t="shared" si="151"/>
        <v>0</v>
      </c>
      <c r="Z565" s="2505">
        <f t="shared" si="152"/>
        <v>0</v>
      </c>
      <c r="AA565" s="2505">
        <f t="shared" si="153"/>
        <v>50</v>
      </c>
      <c r="AB565" s="2500">
        <f t="shared" si="154"/>
        <v>49274754</v>
      </c>
      <c r="AC565" s="2509">
        <f t="shared" si="155"/>
        <v>50</v>
      </c>
      <c r="AD565" s="2510">
        <f t="shared" si="156"/>
        <v>51.86816210526316</v>
      </c>
      <c r="AE565" s="2204" t="s">
        <v>4071</v>
      </c>
      <c r="AF565" s="2474"/>
      <c r="AG565" s="2259"/>
      <c r="AH565" s="2259"/>
      <c r="AI565" s="2259"/>
      <c r="AJ565" s="2259"/>
      <c r="AK565" s="2259"/>
      <c r="AL565" s="2259"/>
      <c r="AM565" s="2259"/>
      <c r="AN565" s="2259"/>
      <c r="AO565" s="2259"/>
      <c r="AP565" s="2259"/>
      <c r="AQ565" s="2259"/>
      <c r="AR565" s="2259"/>
      <c r="AS565" s="2259"/>
      <c r="AT565" s="2259"/>
      <c r="AU565" s="2259"/>
      <c r="AV565" s="2259"/>
      <c r="AW565" s="2259"/>
      <c r="AX565" s="2259"/>
      <c r="AY565" s="2259"/>
      <c r="AZ565" s="2259"/>
      <c r="BA565" s="2259"/>
      <c r="BB565" s="2259"/>
      <c r="BC565" s="2259"/>
      <c r="BD565" s="2259"/>
      <c r="BE565" s="2259"/>
      <c r="BF565" s="2259"/>
      <c r="BG565" s="2259"/>
      <c r="BH565" s="2259"/>
      <c r="BI565" s="2259"/>
      <c r="BJ565" s="2259"/>
      <c r="BK565" s="2259"/>
      <c r="BL565" s="2259"/>
      <c r="BM565" s="2259"/>
      <c r="BN565" s="2259"/>
      <c r="BO565" s="2259"/>
      <c r="BP565" s="2259"/>
      <c r="BQ565" s="2259"/>
      <c r="BR565" s="2259"/>
      <c r="BS565" s="2259"/>
      <c r="BT565" s="2259"/>
      <c r="BU565" s="2259"/>
      <c r="BV565" s="2259"/>
      <c r="BW565" s="2259"/>
      <c r="BX565" s="2259"/>
    </row>
    <row r="566" spans="1:76" s="1" customFormat="1" ht="37.5" customHeight="1">
      <c r="A566" s="2455"/>
      <c r="B566" s="2245"/>
      <c r="C566" s="2455">
        <v>2</v>
      </c>
      <c r="D566" s="2475" t="s">
        <v>34</v>
      </c>
      <c r="E566" s="2475" t="s">
        <v>28</v>
      </c>
      <c r="F566" s="2455">
        <v>15</v>
      </c>
      <c r="G566" s="2455">
        <v>10</v>
      </c>
      <c r="H566" s="2455"/>
      <c r="I566" s="2456" t="s">
        <v>4090</v>
      </c>
      <c r="J566" s="2245" t="s">
        <v>4091</v>
      </c>
      <c r="K566" s="2476">
        <v>5</v>
      </c>
      <c r="L566" s="2458">
        <v>95000000</v>
      </c>
      <c r="M566" s="2477">
        <v>2</v>
      </c>
      <c r="N566" s="2458">
        <v>49274754</v>
      </c>
      <c r="O566" s="2478">
        <v>1</v>
      </c>
      <c r="P566" s="2460">
        <v>14096800</v>
      </c>
      <c r="Q566" s="2479"/>
      <c r="R566" s="2480">
        <v>0</v>
      </c>
      <c r="S566" s="2245"/>
      <c r="T566" s="2480"/>
      <c r="U566" s="2466"/>
      <c r="V566" s="2465"/>
      <c r="W566" s="2466"/>
      <c r="X566" s="2458"/>
      <c r="Y566" s="2467">
        <f t="shared" si="151"/>
        <v>0</v>
      </c>
      <c r="Z566" s="2481">
        <f t="shared" si="152"/>
        <v>0</v>
      </c>
      <c r="AA566" s="2458">
        <f t="shared" si="153"/>
        <v>2</v>
      </c>
      <c r="AB566" s="2452">
        <f t="shared" si="154"/>
        <v>49274754</v>
      </c>
      <c r="AC566" s="2468">
        <f t="shared" si="155"/>
        <v>40</v>
      </c>
      <c r="AD566" s="2468">
        <f t="shared" si="156"/>
        <v>51.86816210526316</v>
      </c>
      <c r="AE566" s="2455"/>
      <c r="AF566" s="2259"/>
      <c r="AG566" s="2259"/>
      <c r="AH566" s="2259"/>
      <c r="AI566" s="2259"/>
      <c r="AJ566" s="2259"/>
      <c r="AK566" s="2259"/>
      <c r="AL566" s="2259"/>
      <c r="AM566" s="2259"/>
      <c r="AN566" s="2259"/>
      <c r="AO566" s="2259"/>
      <c r="AP566" s="2259"/>
      <c r="AQ566" s="2259"/>
      <c r="AR566" s="2259"/>
      <c r="AS566" s="2259"/>
      <c r="AT566" s="2259"/>
      <c r="AU566" s="2259"/>
      <c r="AV566" s="2259"/>
      <c r="AW566" s="2259"/>
      <c r="AX566" s="2259"/>
      <c r="AY566" s="2259"/>
      <c r="AZ566" s="2259"/>
      <c r="BA566" s="2259"/>
      <c r="BB566" s="2259"/>
      <c r="BC566" s="2259"/>
      <c r="BD566" s="2259"/>
      <c r="BE566" s="2259"/>
      <c r="BF566" s="2259"/>
      <c r="BG566" s="2259"/>
      <c r="BH566" s="2259"/>
      <c r="BI566" s="2259"/>
      <c r="BJ566" s="2259"/>
      <c r="BK566" s="2259"/>
      <c r="BL566" s="2259"/>
      <c r="BM566" s="2259"/>
      <c r="BN566" s="2259"/>
      <c r="BO566" s="2259"/>
      <c r="BP566" s="2259"/>
      <c r="BQ566" s="2259"/>
      <c r="BR566" s="2259"/>
      <c r="BS566" s="2259"/>
      <c r="BT566" s="2259"/>
      <c r="BU566" s="2259"/>
      <c r="BV566" s="2259"/>
      <c r="BW566" s="2259"/>
      <c r="BX566" s="2259"/>
    </row>
    <row r="567" spans="1:76" s="1" customFormat="1" ht="38.25">
      <c r="A567" s="2205">
        <v>4</v>
      </c>
      <c r="B567" s="2143"/>
      <c r="C567" s="2204">
        <v>1</v>
      </c>
      <c r="D567" s="2205" t="s">
        <v>25</v>
      </c>
      <c r="E567" s="2205" t="s">
        <v>39</v>
      </c>
      <c r="F567" s="2204">
        <v>23</v>
      </c>
      <c r="G567" s="2204"/>
      <c r="H567" s="2196"/>
      <c r="I567" s="2498" t="s">
        <v>4092</v>
      </c>
      <c r="J567" s="2143" t="s">
        <v>4093</v>
      </c>
      <c r="K567" s="2518">
        <v>100</v>
      </c>
      <c r="L567" s="2500">
        <f>SUM(L568)</f>
        <v>571800000</v>
      </c>
      <c r="M567" s="2505">
        <v>29</v>
      </c>
      <c r="N567" s="2500">
        <f>SUM(N568)</f>
        <v>138658300</v>
      </c>
      <c r="O567" s="2519">
        <v>17</v>
      </c>
      <c r="P567" s="2502">
        <f>SUM(P568)</f>
        <v>44144850</v>
      </c>
      <c r="Q567" s="2522"/>
      <c r="R567" s="2500">
        <f>SUM(R568)</f>
        <v>7000000</v>
      </c>
      <c r="S567" s="2506"/>
      <c r="T567" s="2505">
        <f>SUM(T568)</f>
        <v>0</v>
      </c>
      <c r="U567" s="2506"/>
      <c r="V567" s="2507">
        <f>SUM(V568)</f>
        <v>0</v>
      </c>
      <c r="W567" s="2506"/>
      <c r="X567" s="2505">
        <f>SUM(X568)</f>
        <v>0</v>
      </c>
      <c r="Y567" s="2523">
        <f t="shared" si="151"/>
        <v>0</v>
      </c>
      <c r="Z567" s="2500">
        <f t="shared" si="152"/>
        <v>7000000</v>
      </c>
      <c r="AA567" s="2509">
        <f t="shared" si="153"/>
        <v>29</v>
      </c>
      <c r="AB567" s="2500">
        <f t="shared" si="154"/>
        <v>145658300</v>
      </c>
      <c r="AC567" s="2509">
        <f t="shared" si="155"/>
        <v>28.999999999999996</v>
      </c>
      <c r="AD567" s="2524">
        <f t="shared" si="156"/>
        <v>25.473644630989856</v>
      </c>
      <c r="AE567" s="2204" t="s">
        <v>4071</v>
      </c>
      <c r="AF567" s="2469"/>
      <c r="AG567" s="2469"/>
      <c r="AH567" s="2469"/>
      <c r="AI567" s="2469"/>
      <c r="AJ567" s="2469"/>
      <c r="AK567" s="2469"/>
      <c r="AL567" s="2469"/>
      <c r="AM567" s="2469"/>
      <c r="AN567" s="2469"/>
      <c r="AO567" s="2469"/>
      <c r="AP567" s="2469"/>
      <c r="AQ567" s="2469"/>
      <c r="AR567" s="2469"/>
      <c r="AS567" s="2469"/>
      <c r="AT567" s="2469"/>
      <c r="AU567" s="2469"/>
      <c r="AV567" s="2469"/>
      <c r="AW567" s="2469"/>
      <c r="AX567" s="2469"/>
      <c r="AY567" s="2469"/>
      <c r="AZ567" s="2469"/>
      <c r="BA567" s="2469"/>
      <c r="BB567" s="2469"/>
      <c r="BC567" s="2469"/>
      <c r="BD567" s="2469"/>
      <c r="BE567" s="2469"/>
      <c r="BF567" s="2469"/>
      <c r="BG567" s="2469"/>
      <c r="BH567" s="2469"/>
      <c r="BI567" s="2469"/>
      <c r="BJ567" s="2469"/>
      <c r="BK567" s="2469"/>
      <c r="BL567" s="2469"/>
      <c r="BM567" s="2469"/>
      <c r="BN567" s="2469"/>
      <c r="BO567" s="2469"/>
      <c r="BP567" s="2469"/>
      <c r="BQ567" s="2469"/>
      <c r="BR567" s="2469"/>
      <c r="BS567" s="2469"/>
      <c r="BT567" s="2469"/>
      <c r="BU567" s="2469"/>
      <c r="BV567" s="2469"/>
      <c r="BW567" s="2469"/>
      <c r="BX567" s="2469"/>
    </row>
    <row r="568" spans="1:76" s="1" customFormat="1" ht="51">
      <c r="A568" s="2455"/>
      <c r="B568" s="2245"/>
      <c r="C568" s="2455">
        <v>1</v>
      </c>
      <c r="D568" s="2475" t="s">
        <v>25</v>
      </c>
      <c r="E568" s="2475" t="s">
        <v>39</v>
      </c>
      <c r="F568" s="2455">
        <v>23</v>
      </c>
      <c r="G568" s="2455">
        <v>20</v>
      </c>
      <c r="H568" s="2455"/>
      <c r="I568" s="2456" t="s">
        <v>4094</v>
      </c>
      <c r="J568" s="2245" t="s">
        <v>4095</v>
      </c>
      <c r="K568" s="2476">
        <v>60</v>
      </c>
      <c r="L568" s="2458">
        <v>571800000</v>
      </c>
      <c r="M568" s="2477">
        <v>64.226651982378854</v>
      </c>
      <c r="N568" s="2458">
        <v>138658300</v>
      </c>
      <c r="O568" s="2478">
        <v>12</v>
      </c>
      <c r="P568" s="2460">
        <v>44144850</v>
      </c>
      <c r="Q568" s="2482">
        <v>15.9</v>
      </c>
      <c r="R568" s="2458">
        <v>7000000</v>
      </c>
      <c r="S568" s="2466"/>
      <c r="T568" s="2458"/>
      <c r="U568" s="2466"/>
      <c r="V568" s="2465"/>
      <c r="W568" s="2466"/>
      <c r="X568" s="2458"/>
      <c r="Y568" s="2467">
        <f t="shared" si="151"/>
        <v>15.9</v>
      </c>
      <c r="Z568" s="2452">
        <f t="shared" si="152"/>
        <v>7000000</v>
      </c>
      <c r="AA568" s="2468">
        <f t="shared" si="153"/>
        <v>80.12665198237886</v>
      </c>
      <c r="AB568" s="2452">
        <f t="shared" si="154"/>
        <v>145658300</v>
      </c>
      <c r="AC568" s="2468">
        <f t="shared" si="155"/>
        <v>133.54441997063142</v>
      </c>
      <c r="AD568" s="2451">
        <f t="shared" si="156"/>
        <v>25.473644630989856</v>
      </c>
      <c r="AE568" s="2455"/>
      <c r="AF568" s="2469"/>
      <c r="AG568" s="2469"/>
      <c r="AH568" s="2469"/>
      <c r="AI568" s="2469"/>
      <c r="AJ568" s="2469"/>
      <c r="AK568" s="2469"/>
      <c r="AL568" s="2469"/>
      <c r="AM568" s="2469"/>
      <c r="AN568" s="2469"/>
      <c r="AO568" s="2469"/>
      <c r="AP568" s="2469"/>
      <c r="AQ568" s="2469"/>
      <c r="AR568" s="2469"/>
      <c r="AS568" s="2469"/>
      <c r="AT568" s="2469"/>
      <c r="AU568" s="2469"/>
      <c r="AV568" s="2469"/>
      <c r="AW568" s="2469"/>
      <c r="AX568" s="2469"/>
      <c r="AY568" s="2469"/>
      <c r="AZ568" s="2469"/>
      <c r="BA568" s="2469"/>
      <c r="BB568" s="2469"/>
      <c r="BC568" s="2469"/>
      <c r="BD568" s="2469"/>
      <c r="BE568" s="2469"/>
      <c r="BF568" s="2469"/>
      <c r="BG568" s="2469"/>
      <c r="BH568" s="2469"/>
      <c r="BI568" s="2469"/>
      <c r="BJ568" s="2469"/>
      <c r="BK568" s="2469"/>
      <c r="BL568" s="2469"/>
      <c r="BM568" s="2469"/>
      <c r="BN568" s="2469"/>
      <c r="BO568" s="2469"/>
      <c r="BP568" s="2469"/>
      <c r="BQ568" s="2469"/>
      <c r="BR568" s="2469"/>
      <c r="BS568" s="2469"/>
      <c r="BT568" s="2469"/>
      <c r="BU568" s="2469"/>
      <c r="BV568" s="2469"/>
      <c r="BW568" s="2469"/>
      <c r="BX568" s="2469"/>
    </row>
    <row r="569" spans="1:76" s="1" customFormat="1" ht="63.75">
      <c r="A569" s="2205">
        <v>5</v>
      </c>
      <c r="B569" s="2143"/>
      <c r="C569" s="2204">
        <v>1</v>
      </c>
      <c r="D569" s="2205" t="s">
        <v>25</v>
      </c>
      <c r="E569" s="2205" t="s">
        <v>38</v>
      </c>
      <c r="F569" s="2204">
        <v>23</v>
      </c>
      <c r="G569" s="2204"/>
      <c r="H569" s="2196"/>
      <c r="I569" s="2498" t="s">
        <v>4096</v>
      </c>
      <c r="J569" s="2143" t="s">
        <v>4097</v>
      </c>
      <c r="K569" s="2518">
        <v>100</v>
      </c>
      <c r="L569" s="2500">
        <f>L570</f>
        <v>717375320</v>
      </c>
      <c r="M569" s="2505">
        <v>80.497072808729342</v>
      </c>
      <c r="N569" s="2500">
        <f>N570</f>
        <v>277702670</v>
      </c>
      <c r="O569" s="2519">
        <v>20</v>
      </c>
      <c r="P569" s="2502">
        <f>P570</f>
        <v>75058000</v>
      </c>
      <c r="Q569" s="2522"/>
      <c r="R569" s="2500">
        <f>R570</f>
        <v>4000000</v>
      </c>
      <c r="S569" s="2525"/>
      <c r="T569" s="2526">
        <f>T570</f>
        <v>0</v>
      </c>
      <c r="U569" s="2506"/>
      <c r="V569" s="2507">
        <f>V570</f>
        <v>0</v>
      </c>
      <c r="W569" s="2506"/>
      <c r="X569" s="2500">
        <f>X570</f>
        <v>0</v>
      </c>
      <c r="Y569" s="2527">
        <f t="shared" si="151"/>
        <v>0</v>
      </c>
      <c r="Z569" s="2500">
        <f t="shared" si="152"/>
        <v>4000000</v>
      </c>
      <c r="AA569" s="2528">
        <f t="shared" si="153"/>
        <v>80.497072808729342</v>
      </c>
      <c r="AB569" s="2500">
        <f t="shared" si="154"/>
        <v>281702670</v>
      </c>
      <c r="AC569" s="2509">
        <f t="shared" si="155"/>
        <v>80.497072808729342</v>
      </c>
      <c r="AD569" s="2510">
        <f t="shared" si="156"/>
        <v>39.268519859311581</v>
      </c>
      <c r="AE569" s="2204" t="s">
        <v>4071</v>
      </c>
      <c r="AF569" s="2450"/>
      <c r="AG569" s="2450"/>
      <c r="AH569" s="2450"/>
      <c r="AI569" s="2450"/>
      <c r="AJ569" s="2450"/>
      <c r="AK569" s="2450"/>
      <c r="AL569" s="2450"/>
      <c r="AM569" s="2450"/>
      <c r="AN569" s="2450"/>
      <c r="AO569" s="2450"/>
      <c r="AP569" s="2450"/>
      <c r="AQ569" s="2450"/>
      <c r="AR569" s="2450"/>
      <c r="AS569" s="2450"/>
      <c r="AT569" s="2450"/>
      <c r="AU569" s="2450"/>
      <c r="AV569" s="2450"/>
      <c r="AW569" s="2450"/>
      <c r="AX569" s="2450"/>
      <c r="AY569" s="2450"/>
      <c r="AZ569" s="2450"/>
      <c r="BA569" s="2450"/>
      <c r="BB569" s="2450"/>
      <c r="BC569" s="2450"/>
      <c r="BD569" s="2450"/>
      <c r="BE569" s="2450"/>
      <c r="BF569" s="2450"/>
      <c r="BG569" s="2450"/>
      <c r="BH569" s="2450"/>
      <c r="BI569" s="2450"/>
      <c r="BJ569" s="2450"/>
      <c r="BK569" s="2450"/>
      <c r="BL569" s="2450"/>
      <c r="BM569" s="2450"/>
      <c r="BN569" s="2450"/>
      <c r="BO569" s="2450"/>
      <c r="BP569" s="2450"/>
      <c r="BQ569" s="2450"/>
      <c r="BR569" s="2450"/>
      <c r="BS569" s="2450"/>
      <c r="BT569" s="2450"/>
      <c r="BU569" s="2450"/>
      <c r="BV569" s="2450"/>
      <c r="BW569" s="2450"/>
      <c r="BX569" s="2450"/>
    </row>
    <row r="570" spans="1:76" s="1" customFormat="1" ht="33.75" customHeight="1">
      <c r="A570" s="2455"/>
      <c r="B570" s="2245"/>
      <c r="C570" s="2455">
        <v>1</v>
      </c>
      <c r="D570" s="2475" t="s">
        <v>25</v>
      </c>
      <c r="E570" s="2475" t="s">
        <v>38</v>
      </c>
      <c r="F570" s="2455">
        <v>23</v>
      </c>
      <c r="G570" s="2455">
        <v>13</v>
      </c>
      <c r="H570" s="2455"/>
      <c r="I570" s="2456" t="s">
        <v>4098</v>
      </c>
      <c r="J570" s="2245" t="s">
        <v>4099</v>
      </c>
      <c r="K570" s="2476">
        <v>5</v>
      </c>
      <c r="L570" s="2458">
        <v>717375320</v>
      </c>
      <c r="M570" s="2458">
        <v>2</v>
      </c>
      <c r="N570" s="2458">
        <v>277702670</v>
      </c>
      <c r="O570" s="2478">
        <v>1</v>
      </c>
      <c r="P570" s="2460">
        <v>75058000</v>
      </c>
      <c r="Q570" s="2479">
        <v>5.3</v>
      </c>
      <c r="R570" s="2458">
        <v>4000000</v>
      </c>
      <c r="S570" s="2245"/>
      <c r="T570" s="2458"/>
      <c r="U570" s="2466"/>
      <c r="V570" s="2465"/>
      <c r="W570" s="2466"/>
      <c r="X570" s="2458"/>
      <c r="Y570" s="2483">
        <f t="shared" si="151"/>
        <v>5.3</v>
      </c>
      <c r="Z570" s="2452">
        <f t="shared" si="152"/>
        <v>4000000</v>
      </c>
      <c r="AA570" s="2484">
        <f t="shared" si="153"/>
        <v>7.3</v>
      </c>
      <c r="AB570" s="2452">
        <f t="shared" si="154"/>
        <v>281702670</v>
      </c>
      <c r="AC570" s="2468">
        <f t="shared" si="155"/>
        <v>146</v>
      </c>
      <c r="AD570" s="2451">
        <f t="shared" si="156"/>
        <v>39.268519859311581</v>
      </c>
      <c r="AE570" s="2455"/>
      <c r="AF570" s="2469"/>
      <c r="AG570" s="2469"/>
      <c r="AH570" s="2469"/>
      <c r="AI570" s="2469"/>
      <c r="AJ570" s="2469"/>
      <c r="AK570" s="2469"/>
      <c r="AL570" s="2469"/>
      <c r="AM570" s="2469"/>
      <c r="AN570" s="2469"/>
      <c r="AO570" s="2469"/>
      <c r="AP570" s="2469"/>
      <c r="AQ570" s="2469"/>
      <c r="AR570" s="2469"/>
      <c r="AS570" s="2469"/>
      <c r="AT570" s="2469"/>
      <c r="AU570" s="2469"/>
      <c r="AV570" s="2469"/>
      <c r="AW570" s="2469"/>
      <c r="AX570" s="2469"/>
      <c r="AY570" s="2469"/>
      <c r="AZ570" s="2469"/>
      <c r="BA570" s="2469"/>
      <c r="BB570" s="2469"/>
      <c r="BC570" s="2469"/>
      <c r="BD570" s="2469"/>
      <c r="BE570" s="2469"/>
      <c r="BF570" s="2469"/>
      <c r="BG570" s="2469"/>
      <c r="BH570" s="2469"/>
      <c r="BI570" s="2469"/>
      <c r="BJ570" s="2469"/>
      <c r="BK570" s="2469"/>
      <c r="BL570" s="2469"/>
      <c r="BM570" s="2469"/>
      <c r="BN570" s="2469"/>
      <c r="BO570" s="2469"/>
      <c r="BP570" s="2469"/>
      <c r="BQ570" s="2469"/>
      <c r="BR570" s="2469"/>
      <c r="BS570" s="2469"/>
      <c r="BT570" s="2469"/>
      <c r="BU570" s="2469"/>
      <c r="BV570" s="2469"/>
      <c r="BW570" s="2469"/>
      <c r="BX570" s="2469"/>
    </row>
    <row r="571" spans="1:76" s="1" customFormat="1" ht="51">
      <c r="A571" s="2205">
        <v>4</v>
      </c>
      <c r="B571" s="2143"/>
      <c r="C571" s="2204">
        <v>1</v>
      </c>
      <c r="D571" s="2205" t="s">
        <v>25</v>
      </c>
      <c r="E571" s="2205" t="s">
        <v>38</v>
      </c>
      <c r="F571" s="2204">
        <v>26</v>
      </c>
      <c r="G571" s="2204"/>
      <c r="H571" s="2196"/>
      <c r="I571" s="2498" t="s">
        <v>4100</v>
      </c>
      <c r="J571" s="2143" t="s">
        <v>4101</v>
      </c>
      <c r="K571" s="2518">
        <v>100</v>
      </c>
      <c r="L571" s="2500">
        <f>SUM(L572:L573)</f>
        <v>2164210800</v>
      </c>
      <c r="M571" s="2505">
        <v>50</v>
      </c>
      <c r="N571" s="2500">
        <f>SUM(N572:N573)</f>
        <v>1156449768</v>
      </c>
      <c r="O571" s="2519">
        <v>17</v>
      </c>
      <c r="P571" s="2502">
        <f>SUM(P572:P574)</f>
        <v>595001229</v>
      </c>
      <c r="Q571" s="2522"/>
      <c r="R571" s="2500">
        <f>SUM(R572:R574)</f>
        <v>96519340</v>
      </c>
      <c r="S571" s="2506"/>
      <c r="T571" s="2500">
        <f>SUM(T572:T573)</f>
        <v>138964783</v>
      </c>
      <c r="U571" s="2506"/>
      <c r="V571" s="2507">
        <f>SUM(V572:V573)</f>
        <v>0</v>
      </c>
      <c r="W571" s="2506"/>
      <c r="X571" s="2505">
        <f>SUM(X572:X573)</f>
        <v>0</v>
      </c>
      <c r="Y571" s="2517">
        <f t="shared" si="151"/>
        <v>0</v>
      </c>
      <c r="Z571" s="2500">
        <f t="shared" si="152"/>
        <v>235484123</v>
      </c>
      <c r="AA571" s="2505">
        <f t="shared" si="153"/>
        <v>50</v>
      </c>
      <c r="AB571" s="2500">
        <f t="shared" si="154"/>
        <v>1391933891</v>
      </c>
      <c r="AC571" s="2509">
        <f t="shared" si="155"/>
        <v>50</v>
      </c>
      <c r="AD571" s="2529">
        <f t="shared" si="156"/>
        <v>64.316003367139658</v>
      </c>
      <c r="AE571" s="2204" t="s">
        <v>4071</v>
      </c>
      <c r="AF571" s="2469"/>
      <c r="AG571" s="2469"/>
      <c r="AH571" s="2469"/>
      <c r="AI571" s="2469"/>
      <c r="AJ571" s="2469"/>
      <c r="AK571" s="2469"/>
      <c r="AL571" s="2469"/>
      <c r="AM571" s="2469"/>
      <c r="AN571" s="2469"/>
      <c r="AO571" s="2469"/>
      <c r="AP571" s="2469"/>
      <c r="AQ571" s="2469"/>
      <c r="AR571" s="2469"/>
      <c r="AS571" s="2469"/>
      <c r="AT571" s="2469"/>
      <c r="AU571" s="2469"/>
      <c r="AV571" s="2469"/>
      <c r="AW571" s="2469"/>
      <c r="AX571" s="2469"/>
      <c r="AY571" s="2469"/>
      <c r="AZ571" s="2469"/>
      <c r="BA571" s="2469"/>
      <c r="BB571" s="2469"/>
      <c r="BC571" s="2469"/>
      <c r="BD571" s="2469"/>
      <c r="BE571" s="2469"/>
      <c r="BF571" s="2469"/>
      <c r="BG571" s="2469"/>
      <c r="BH571" s="2469"/>
      <c r="BI571" s="2469"/>
      <c r="BJ571" s="2469"/>
      <c r="BK571" s="2469"/>
      <c r="BL571" s="2469"/>
      <c r="BM571" s="2469"/>
      <c r="BN571" s="2469"/>
      <c r="BO571" s="2469"/>
      <c r="BP571" s="2469"/>
      <c r="BQ571" s="2469"/>
      <c r="BR571" s="2469"/>
      <c r="BS571" s="2469"/>
      <c r="BT571" s="2469"/>
      <c r="BU571" s="2469"/>
      <c r="BV571" s="2469"/>
      <c r="BW571" s="2469"/>
      <c r="BX571" s="2469"/>
    </row>
    <row r="572" spans="1:76" s="1" customFormat="1" ht="51">
      <c r="A572" s="2453"/>
      <c r="B572" s="2452"/>
      <c r="C572" s="2453">
        <v>1</v>
      </c>
      <c r="D572" s="2454" t="s">
        <v>25</v>
      </c>
      <c r="E572" s="2454" t="s">
        <v>38</v>
      </c>
      <c r="F572" s="2453">
        <v>26</v>
      </c>
      <c r="G572" s="2454" t="s">
        <v>28</v>
      </c>
      <c r="H572" s="2455"/>
      <c r="I572" s="2456" t="s">
        <v>4102</v>
      </c>
      <c r="J572" s="2245" t="s">
        <v>4103</v>
      </c>
      <c r="K572" s="2476">
        <v>60</v>
      </c>
      <c r="L572" s="2458">
        <v>1205008500</v>
      </c>
      <c r="M572" s="2458">
        <v>24</v>
      </c>
      <c r="N572" s="2458">
        <v>938788384</v>
      </c>
      <c r="O572" s="2485">
        <v>12</v>
      </c>
      <c r="P572" s="2460">
        <v>310303850</v>
      </c>
      <c r="Q572" s="2482">
        <v>15</v>
      </c>
      <c r="R572" s="2458">
        <v>48399340</v>
      </c>
      <c r="S572" s="2470">
        <v>25</v>
      </c>
      <c r="T572" s="2458">
        <v>100684783</v>
      </c>
      <c r="U572" s="2466"/>
      <c r="V572" s="2465"/>
      <c r="W572" s="2466"/>
      <c r="X572" s="2458"/>
      <c r="Y572" s="2467">
        <f t="shared" si="151"/>
        <v>40</v>
      </c>
      <c r="Z572" s="2452">
        <f t="shared" si="152"/>
        <v>149084123</v>
      </c>
      <c r="AA572" s="2458">
        <f t="shared" si="153"/>
        <v>64</v>
      </c>
      <c r="AB572" s="2452">
        <f t="shared" si="154"/>
        <v>1087872507</v>
      </c>
      <c r="AC572" s="2468">
        <f t="shared" si="155"/>
        <v>106.66666666666667</v>
      </c>
      <c r="AD572" s="2486">
        <f t="shared" si="156"/>
        <v>90.279239275075653</v>
      </c>
      <c r="AE572" s="2455"/>
      <c r="AF572" s="2469"/>
      <c r="AG572" s="2469"/>
      <c r="AH572" s="2469"/>
      <c r="AI572" s="2469"/>
      <c r="AJ572" s="2469"/>
      <c r="AK572" s="2469"/>
      <c r="AL572" s="2469"/>
      <c r="AM572" s="2469"/>
      <c r="AN572" s="2469"/>
      <c r="AO572" s="2469"/>
      <c r="AP572" s="2469"/>
      <c r="AQ572" s="2469"/>
      <c r="AR572" s="2469"/>
      <c r="AS572" s="2469"/>
      <c r="AT572" s="2469"/>
      <c r="AU572" s="2469"/>
      <c r="AV572" s="2469"/>
      <c r="AW572" s="2469"/>
      <c r="AX572" s="2469"/>
      <c r="AY572" s="2469"/>
      <c r="AZ572" s="2469"/>
      <c r="BA572" s="2469"/>
      <c r="BB572" s="2469"/>
      <c r="BC572" s="2469"/>
      <c r="BD572" s="2469"/>
      <c r="BE572" s="2469"/>
      <c r="BF572" s="2469"/>
      <c r="BG572" s="2469"/>
      <c r="BH572" s="2469"/>
      <c r="BI572" s="2469"/>
      <c r="BJ572" s="2469"/>
      <c r="BK572" s="2469"/>
      <c r="BL572" s="2469"/>
      <c r="BM572" s="2469"/>
      <c r="BN572" s="2469"/>
      <c r="BO572" s="2469"/>
      <c r="BP572" s="2469"/>
      <c r="BQ572" s="2469"/>
      <c r="BR572" s="2469"/>
      <c r="BS572" s="2469"/>
      <c r="BT572" s="2469"/>
      <c r="BU572" s="2469"/>
      <c r="BV572" s="2469"/>
      <c r="BW572" s="2469"/>
      <c r="BX572" s="2469"/>
    </row>
    <row r="573" spans="1:76" s="1" customFormat="1" ht="58.5" customHeight="1">
      <c r="A573" s="2571"/>
      <c r="B573" s="2452"/>
      <c r="C573" s="2453">
        <v>1</v>
      </c>
      <c r="D573" s="2454" t="s">
        <v>25</v>
      </c>
      <c r="E573" s="2454" t="s">
        <v>38</v>
      </c>
      <c r="F573" s="2453">
        <v>26</v>
      </c>
      <c r="G573" s="2454" t="s">
        <v>39</v>
      </c>
      <c r="H573" s="2455"/>
      <c r="I573" s="2456" t="s">
        <v>4104</v>
      </c>
      <c r="J573" s="2245" t="s">
        <v>4105</v>
      </c>
      <c r="K573" s="2476">
        <v>60</v>
      </c>
      <c r="L573" s="2458">
        <v>959202300</v>
      </c>
      <c r="M573" s="2458">
        <v>44.382281607118003</v>
      </c>
      <c r="N573" s="2458">
        <v>217661384</v>
      </c>
      <c r="O573" s="2485">
        <v>12</v>
      </c>
      <c r="P573" s="2460">
        <v>36537379</v>
      </c>
      <c r="Q573" s="2482">
        <v>20</v>
      </c>
      <c r="R573" s="2458">
        <v>7200000</v>
      </c>
      <c r="S573" s="2245">
        <v>15.43</v>
      </c>
      <c r="T573" s="2458">
        <v>38280000</v>
      </c>
      <c r="U573" s="2466"/>
      <c r="V573" s="2465"/>
      <c r="W573" s="2466"/>
      <c r="X573" s="2458"/>
      <c r="Y573" s="2467">
        <f t="shared" si="151"/>
        <v>35.43</v>
      </c>
      <c r="Z573" s="2452">
        <f t="shared" si="152"/>
        <v>45480000</v>
      </c>
      <c r="AA573" s="2468">
        <f t="shared" si="153"/>
        <v>79.812281607117995</v>
      </c>
      <c r="AB573" s="2452">
        <f t="shared" si="154"/>
        <v>263141384</v>
      </c>
      <c r="AC573" s="2468">
        <f t="shared" si="155"/>
        <v>133.02046934519666</v>
      </c>
      <c r="AD573" s="2486">
        <f t="shared" si="156"/>
        <v>27.433356237782164</v>
      </c>
      <c r="AE573" s="2455"/>
      <c r="AF573" s="2469"/>
      <c r="AG573" s="2469"/>
      <c r="AH573" s="2469"/>
      <c r="AI573" s="2469"/>
      <c r="AJ573" s="2469"/>
      <c r="AK573" s="2469"/>
      <c r="AL573" s="2469"/>
      <c r="AM573" s="2469"/>
      <c r="AN573" s="2469"/>
      <c r="AO573" s="2469"/>
      <c r="AP573" s="2469"/>
      <c r="AQ573" s="2469"/>
      <c r="AR573" s="2469"/>
      <c r="AS573" s="2469"/>
      <c r="AT573" s="2469"/>
      <c r="AU573" s="2469"/>
      <c r="AV573" s="2469"/>
      <c r="AW573" s="2469"/>
      <c r="AX573" s="2469"/>
      <c r="AY573" s="2469"/>
      <c r="AZ573" s="2469"/>
      <c r="BA573" s="2469"/>
      <c r="BB573" s="2469"/>
      <c r="BC573" s="2469"/>
      <c r="BD573" s="2469"/>
      <c r="BE573" s="2469"/>
      <c r="BF573" s="2469"/>
      <c r="BG573" s="2469"/>
      <c r="BH573" s="2469"/>
      <c r="BI573" s="2469"/>
      <c r="BJ573" s="2469"/>
      <c r="BK573" s="2469"/>
      <c r="BL573" s="2469"/>
      <c r="BM573" s="2469"/>
      <c r="BN573" s="2469"/>
      <c r="BO573" s="2469"/>
      <c r="BP573" s="2469"/>
      <c r="BQ573" s="2469"/>
      <c r="BR573" s="2469"/>
      <c r="BS573" s="2469"/>
      <c r="BT573" s="2469"/>
      <c r="BU573" s="2469"/>
      <c r="BV573" s="2469"/>
      <c r="BW573" s="2469"/>
      <c r="BX573" s="2469"/>
    </row>
    <row r="574" spans="1:76" s="1" customFormat="1" ht="33" customHeight="1">
      <c r="A574" s="2571"/>
      <c r="B574" s="2452"/>
      <c r="C574" s="2453"/>
      <c r="D574" s="2454"/>
      <c r="E574" s="2454"/>
      <c r="F574" s="2453"/>
      <c r="G574" s="2454"/>
      <c r="H574" s="2455"/>
      <c r="I574" s="2456" t="s">
        <v>4116</v>
      </c>
      <c r="J574" s="2245"/>
      <c r="K574" s="2476"/>
      <c r="L574" s="2458"/>
      <c r="M574" s="2458"/>
      <c r="N574" s="2458"/>
      <c r="O574" s="2485"/>
      <c r="P574" s="2460">
        <v>248160000</v>
      </c>
      <c r="Q574" s="2482">
        <v>10.4</v>
      </c>
      <c r="R574" s="2458">
        <v>40920000</v>
      </c>
      <c r="S574" s="2245">
        <v>22.25</v>
      </c>
      <c r="T574" s="2458">
        <v>8127750</v>
      </c>
      <c r="U574" s="2466"/>
      <c r="V574" s="2465"/>
      <c r="W574" s="2466"/>
      <c r="X574" s="2458"/>
      <c r="Y574" s="2467"/>
      <c r="Z574" s="2452">
        <f t="shared" ref="Z574:Z579" si="157">R574+T574+V574+X574</f>
        <v>49047750</v>
      </c>
      <c r="AA574" s="2468"/>
      <c r="AB574" s="2452"/>
      <c r="AC574" s="2468"/>
      <c r="AD574" s="2486"/>
      <c r="AE574" s="2455"/>
      <c r="AF574" s="2469"/>
      <c r="AG574" s="2469"/>
      <c r="AH574" s="2469"/>
      <c r="AI574" s="2469"/>
      <c r="AJ574" s="2469"/>
      <c r="AK574" s="2469"/>
      <c r="AL574" s="2469"/>
      <c r="AM574" s="2469"/>
      <c r="AN574" s="2469"/>
      <c r="AO574" s="2469"/>
      <c r="AP574" s="2469"/>
      <c r="AQ574" s="2469"/>
      <c r="AR574" s="2469"/>
      <c r="AS574" s="2469"/>
      <c r="AT574" s="2469"/>
      <c r="AU574" s="2469"/>
      <c r="AV574" s="2469"/>
      <c r="AW574" s="2469"/>
      <c r="AX574" s="2469"/>
      <c r="AY574" s="2469"/>
      <c r="AZ574" s="2469"/>
      <c r="BA574" s="2469"/>
      <c r="BB574" s="2469"/>
      <c r="BC574" s="2469"/>
      <c r="BD574" s="2469"/>
      <c r="BE574" s="2469"/>
      <c r="BF574" s="2469"/>
      <c r="BG574" s="2469"/>
      <c r="BH574" s="2469"/>
      <c r="BI574" s="2469"/>
      <c r="BJ574" s="2469"/>
      <c r="BK574" s="2469"/>
      <c r="BL574" s="2469"/>
      <c r="BM574" s="2469"/>
      <c r="BN574" s="2469"/>
      <c r="BO574" s="2469"/>
      <c r="BP574" s="2469"/>
      <c r="BQ574" s="2469"/>
      <c r="BR574" s="2469"/>
      <c r="BS574" s="2469"/>
      <c r="BT574" s="2469"/>
      <c r="BU574" s="2469"/>
      <c r="BV574" s="2469"/>
      <c r="BW574" s="2469"/>
      <c r="BX574" s="2469"/>
    </row>
    <row r="575" spans="1:76" s="1" customFormat="1" ht="43.5" customHeight="1">
      <c r="A575" s="2205">
        <v>5</v>
      </c>
      <c r="B575" s="2143"/>
      <c r="C575" s="2204">
        <v>1</v>
      </c>
      <c r="D575" s="2205" t="s">
        <v>25</v>
      </c>
      <c r="E575" s="2205" t="s">
        <v>38</v>
      </c>
      <c r="F575" s="2204">
        <v>27</v>
      </c>
      <c r="G575" s="2204"/>
      <c r="H575" s="2196"/>
      <c r="I575" s="2498" t="s">
        <v>4106</v>
      </c>
      <c r="J575" s="2143" t="s">
        <v>4107</v>
      </c>
      <c r="K575" s="2518">
        <v>80</v>
      </c>
      <c r="L575" s="2500">
        <f>SUM(L576:L577)</f>
        <v>1229144600</v>
      </c>
      <c r="M575" s="2505">
        <v>70</v>
      </c>
      <c r="N575" s="2500">
        <f>SUM(N576:N577)</f>
        <v>315707860</v>
      </c>
      <c r="O575" s="2519">
        <v>10</v>
      </c>
      <c r="P575" s="2502">
        <f>SUM(P576:P577)</f>
        <v>75074320</v>
      </c>
      <c r="Q575" s="2522"/>
      <c r="R575" s="2500">
        <f>SUM(R576:R577)</f>
        <v>10305000</v>
      </c>
      <c r="S575" s="2530"/>
      <c r="T575" s="2505">
        <f>SUM(T576:T577)</f>
        <v>21230800</v>
      </c>
      <c r="U575" s="2506"/>
      <c r="V575" s="2507">
        <f>SUM(V576:V577)</f>
        <v>0</v>
      </c>
      <c r="W575" s="2506"/>
      <c r="X575" s="2500">
        <f>SUM(X576:X577)</f>
        <v>0</v>
      </c>
      <c r="Y575" s="2531">
        <f>Q575+S575+U575+W575</f>
        <v>0</v>
      </c>
      <c r="Z575" s="2500">
        <f t="shared" si="157"/>
        <v>31535800</v>
      </c>
      <c r="AA575" s="2505">
        <f t="shared" ref="AA575:AB579" si="158">M575+Y575</f>
        <v>70</v>
      </c>
      <c r="AB575" s="2500">
        <f t="shared" si="158"/>
        <v>347243660</v>
      </c>
      <c r="AC575" s="2509">
        <f t="shared" ref="AC575:AD579" si="159">AA575/K575*100</f>
        <v>87.5</v>
      </c>
      <c r="AD575" s="2510">
        <f t="shared" si="159"/>
        <v>28.250838835398213</v>
      </c>
      <c r="AE575" s="2204" t="s">
        <v>4071</v>
      </c>
      <c r="AF575" s="2469"/>
      <c r="AG575" s="2469"/>
      <c r="AH575" s="2469"/>
      <c r="AI575" s="2469"/>
      <c r="AJ575" s="2469"/>
      <c r="AK575" s="2469"/>
      <c r="AL575" s="2469"/>
      <c r="AM575" s="2469"/>
      <c r="AN575" s="2469"/>
      <c r="AO575" s="2469"/>
      <c r="AP575" s="2469"/>
      <c r="AQ575" s="2469"/>
      <c r="AR575" s="2469"/>
      <c r="AS575" s="2469"/>
      <c r="AT575" s="2469"/>
      <c r="AU575" s="2469"/>
      <c r="AV575" s="2469"/>
      <c r="AW575" s="2469"/>
      <c r="AX575" s="2469"/>
      <c r="AY575" s="2469"/>
      <c r="AZ575" s="2469"/>
      <c r="BA575" s="2469"/>
      <c r="BB575" s="2469"/>
      <c r="BC575" s="2469"/>
      <c r="BD575" s="2469"/>
      <c r="BE575" s="2469"/>
      <c r="BF575" s="2469"/>
      <c r="BG575" s="2469"/>
      <c r="BH575" s="2469"/>
      <c r="BI575" s="2469"/>
      <c r="BJ575" s="2469"/>
      <c r="BK575" s="2469"/>
      <c r="BL575" s="2469"/>
      <c r="BM575" s="2469"/>
      <c r="BN575" s="2469"/>
      <c r="BO575" s="2469"/>
      <c r="BP575" s="2469"/>
      <c r="BQ575" s="2469"/>
      <c r="BR575" s="2469"/>
      <c r="BS575" s="2469"/>
      <c r="BT575" s="2469"/>
      <c r="BU575" s="2469"/>
      <c r="BV575" s="2469"/>
      <c r="BW575" s="2469"/>
      <c r="BX575" s="2469"/>
    </row>
    <row r="576" spans="1:76" s="1" customFormat="1" ht="51">
      <c r="A576" s="2453"/>
      <c r="B576" s="2452"/>
      <c r="C576" s="2453">
        <v>1</v>
      </c>
      <c r="D576" s="2454" t="s">
        <v>25</v>
      </c>
      <c r="E576" s="2454" t="s">
        <v>38</v>
      </c>
      <c r="F576" s="2453">
        <v>27</v>
      </c>
      <c r="G576" s="2454" t="s">
        <v>25</v>
      </c>
      <c r="H576" s="2455"/>
      <c r="I576" s="2456" t="s">
        <v>4108</v>
      </c>
      <c r="J576" s="2245" t="s">
        <v>4109</v>
      </c>
      <c r="K576" s="2476">
        <v>20</v>
      </c>
      <c r="L576" s="2458">
        <v>564113600</v>
      </c>
      <c r="M576" s="2458">
        <v>31.593433343598317</v>
      </c>
      <c r="N576" s="2458">
        <v>162178809</v>
      </c>
      <c r="O576" s="2478">
        <v>4</v>
      </c>
      <c r="P576" s="2460">
        <v>44127000</v>
      </c>
      <c r="Q576" s="2482">
        <v>1</v>
      </c>
      <c r="R576" s="2458">
        <v>7805000</v>
      </c>
      <c r="S576" s="2466">
        <v>1</v>
      </c>
      <c r="T576" s="2452">
        <v>11305500</v>
      </c>
      <c r="U576" s="2466"/>
      <c r="V576" s="2465"/>
      <c r="W576" s="2466"/>
      <c r="X576" s="2458"/>
      <c r="Y576" s="2487">
        <f>Q576+S576+U576+W576</f>
        <v>2</v>
      </c>
      <c r="Z576" s="2452">
        <f t="shared" si="157"/>
        <v>19110500</v>
      </c>
      <c r="AA576" s="2458">
        <f t="shared" si="158"/>
        <v>33.593433343598321</v>
      </c>
      <c r="AB576" s="2452">
        <f t="shared" si="158"/>
        <v>181289309</v>
      </c>
      <c r="AC576" s="2468">
        <f t="shared" si="159"/>
        <v>167.9671667179916</v>
      </c>
      <c r="AD576" s="2451">
        <f t="shared" si="159"/>
        <v>32.137021514815459</v>
      </c>
      <c r="AE576" s="2455"/>
      <c r="AF576" s="2469"/>
      <c r="AG576" s="2469"/>
      <c r="AH576" s="2469"/>
      <c r="AI576" s="2469"/>
      <c r="AJ576" s="2469"/>
      <c r="AK576" s="2469"/>
      <c r="AL576" s="2469"/>
      <c r="AM576" s="2469"/>
      <c r="AN576" s="2469"/>
      <c r="AO576" s="2469"/>
      <c r="AP576" s="2469"/>
      <c r="AQ576" s="2469"/>
      <c r="AR576" s="2469"/>
      <c r="AS576" s="2469"/>
      <c r="AT576" s="2469"/>
      <c r="AU576" s="2469"/>
      <c r="AV576" s="2469"/>
      <c r="AW576" s="2469"/>
      <c r="AX576" s="2469"/>
      <c r="AY576" s="2469"/>
      <c r="AZ576" s="2469"/>
      <c r="BA576" s="2469"/>
      <c r="BB576" s="2469"/>
      <c r="BC576" s="2469"/>
      <c r="BD576" s="2469"/>
      <c r="BE576" s="2469"/>
      <c r="BF576" s="2469"/>
      <c r="BG576" s="2469"/>
      <c r="BH576" s="2469"/>
      <c r="BI576" s="2469"/>
      <c r="BJ576" s="2469"/>
      <c r="BK576" s="2469"/>
      <c r="BL576" s="2469"/>
      <c r="BM576" s="2469"/>
      <c r="BN576" s="2469"/>
      <c r="BO576" s="2469"/>
      <c r="BP576" s="2469"/>
      <c r="BQ576" s="2469"/>
      <c r="BR576" s="2469"/>
      <c r="BS576" s="2469"/>
      <c r="BT576" s="2469"/>
      <c r="BU576" s="2469"/>
      <c r="BV576" s="2469"/>
      <c r="BW576" s="2469"/>
      <c r="BX576" s="2469"/>
    </row>
    <row r="577" spans="1:76" s="1" customFormat="1" ht="51">
      <c r="A577" s="2574"/>
      <c r="B577" s="2452"/>
      <c r="C577" s="2453">
        <v>1</v>
      </c>
      <c r="D577" s="2454" t="s">
        <v>25</v>
      </c>
      <c r="E577" s="2454" t="s">
        <v>38</v>
      </c>
      <c r="F577" s="2453">
        <v>27</v>
      </c>
      <c r="G577" s="2454" t="s">
        <v>28</v>
      </c>
      <c r="H577" s="2455"/>
      <c r="I577" s="2456" t="s">
        <v>4110</v>
      </c>
      <c r="J577" s="2245" t="s">
        <v>4111</v>
      </c>
      <c r="K577" s="2476">
        <v>20</v>
      </c>
      <c r="L577" s="2458">
        <v>665031000</v>
      </c>
      <c r="M577" s="2458">
        <v>31.382650397385568</v>
      </c>
      <c r="N577" s="2458">
        <v>153529051</v>
      </c>
      <c r="O577" s="2478">
        <v>4</v>
      </c>
      <c r="P577" s="2460">
        <v>30947320</v>
      </c>
      <c r="Q577" s="2482">
        <v>1</v>
      </c>
      <c r="R577" s="2458">
        <v>2500000</v>
      </c>
      <c r="S577" s="2466">
        <v>1</v>
      </c>
      <c r="T577" s="2452">
        <v>9925300</v>
      </c>
      <c r="U577" s="2466"/>
      <c r="V577" s="2465"/>
      <c r="W577" s="2466"/>
      <c r="X577" s="2458"/>
      <c r="Y577" s="2488">
        <f>Q577+S577+U577+W577</f>
        <v>2</v>
      </c>
      <c r="Z577" s="2452">
        <f t="shared" si="157"/>
        <v>12425300</v>
      </c>
      <c r="AA577" s="2458">
        <f t="shared" si="158"/>
        <v>33.382650397385568</v>
      </c>
      <c r="AB577" s="2452">
        <f t="shared" si="158"/>
        <v>165954351</v>
      </c>
      <c r="AC577" s="2468">
        <f t="shared" si="159"/>
        <v>166.91325198692783</v>
      </c>
      <c r="AD577" s="2451">
        <f t="shared" si="159"/>
        <v>24.954378216955302</v>
      </c>
      <c r="AE577" s="2455"/>
      <c r="AF577" s="2450"/>
      <c r="AG577" s="2450"/>
      <c r="AH577" s="2450"/>
      <c r="AI577" s="2450"/>
      <c r="AJ577" s="2450"/>
      <c r="AK577" s="2450"/>
      <c r="AL577" s="2450"/>
      <c r="AM577" s="2450"/>
      <c r="AN577" s="2450"/>
      <c r="AO577" s="2450"/>
      <c r="AP577" s="2450"/>
      <c r="AQ577" s="2450"/>
      <c r="AR577" s="2450"/>
      <c r="AS577" s="2450"/>
      <c r="AT577" s="2450"/>
      <c r="AU577" s="2450"/>
      <c r="AV577" s="2450"/>
      <c r="AW577" s="2450"/>
      <c r="AX577" s="2450"/>
      <c r="AY577" s="2450"/>
      <c r="AZ577" s="2450"/>
      <c r="BA577" s="2450"/>
      <c r="BB577" s="2450"/>
      <c r="BC577" s="2450"/>
      <c r="BD577" s="2450"/>
      <c r="BE577" s="2450"/>
      <c r="BF577" s="2450"/>
      <c r="BG577" s="2450"/>
      <c r="BH577" s="2450"/>
      <c r="BI577" s="2450"/>
      <c r="BJ577" s="2450"/>
      <c r="BK577" s="2450"/>
      <c r="BL577" s="2450"/>
      <c r="BM577" s="2450"/>
      <c r="BN577" s="2450"/>
      <c r="BO577" s="2450"/>
      <c r="BP577" s="2450"/>
      <c r="BQ577" s="2450"/>
      <c r="BR577" s="2450"/>
      <c r="BS577" s="2450"/>
      <c r="BT577" s="2450"/>
      <c r="BU577" s="2450"/>
      <c r="BV577" s="2450"/>
      <c r="BW577" s="2450"/>
      <c r="BX577" s="2450"/>
    </row>
    <row r="578" spans="1:76" s="1" customFormat="1" ht="78.75" customHeight="1">
      <c r="A578" s="2205">
        <v>6</v>
      </c>
      <c r="B578" s="2143"/>
      <c r="C578" s="2204">
        <v>1</v>
      </c>
      <c r="D578" s="2205" t="s">
        <v>25</v>
      </c>
      <c r="E578" s="2205" t="s">
        <v>38</v>
      </c>
      <c r="F578" s="2204">
        <v>28</v>
      </c>
      <c r="G578" s="2204"/>
      <c r="H578" s="2196"/>
      <c r="I578" s="2498" t="s">
        <v>4112</v>
      </c>
      <c r="J578" s="2143" t="s">
        <v>4113</v>
      </c>
      <c r="K578" s="2518">
        <v>90</v>
      </c>
      <c r="L578" s="2500">
        <f>L579</f>
        <v>1457053950</v>
      </c>
      <c r="M578" s="2505">
        <v>65</v>
      </c>
      <c r="N578" s="2500">
        <f>N579</f>
        <v>529751710</v>
      </c>
      <c r="O578" s="2519">
        <v>15</v>
      </c>
      <c r="P578" s="2502">
        <f>P579</f>
        <v>81060074</v>
      </c>
      <c r="Q578" s="2522">
        <f>Q579</f>
        <v>10.130000000000001</v>
      </c>
      <c r="R578" s="2500">
        <f>R579</f>
        <v>55505750</v>
      </c>
      <c r="S578" s="2532"/>
      <c r="T578" s="2505">
        <f>T579</f>
        <v>21259450</v>
      </c>
      <c r="U578" s="2506"/>
      <c r="V578" s="2507">
        <f>V579</f>
        <v>0</v>
      </c>
      <c r="W578" s="2506"/>
      <c r="X578" s="2500">
        <f>X579</f>
        <v>0</v>
      </c>
      <c r="Y578" s="2523">
        <f>Q578+S578+U578+W578</f>
        <v>10.130000000000001</v>
      </c>
      <c r="Z578" s="2500">
        <f t="shared" si="157"/>
        <v>76765200</v>
      </c>
      <c r="AA578" s="2505">
        <f t="shared" si="158"/>
        <v>75.13</v>
      </c>
      <c r="AB578" s="2500">
        <f t="shared" si="158"/>
        <v>606516910</v>
      </c>
      <c r="AC578" s="2509">
        <f t="shared" si="159"/>
        <v>83.477777777777774</v>
      </c>
      <c r="AD578" s="2529">
        <f t="shared" si="159"/>
        <v>41.626249323163364</v>
      </c>
      <c r="AE578" s="2204" t="s">
        <v>4071</v>
      </c>
      <c r="AF578" s="2469"/>
      <c r="AG578" s="2469"/>
      <c r="AH578" s="2469"/>
      <c r="AI578" s="2469"/>
      <c r="AJ578" s="2469"/>
      <c r="AK578" s="2469"/>
      <c r="AL578" s="2469"/>
      <c r="AM578" s="2469"/>
      <c r="AN578" s="2469"/>
      <c r="AO578" s="2469"/>
      <c r="AP578" s="2469"/>
      <c r="AQ578" s="2469"/>
      <c r="AR578" s="2469"/>
      <c r="AS578" s="2469"/>
      <c r="AT578" s="2469"/>
      <c r="AU578" s="2469"/>
      <c r="AV578" s="2469"/>
      <c r="AW578" s="2469"/>
      <c r="AX578" s="2469"/>
      <c r="AY578" s="2469"/>
      <c r="AZ578" s="2469"/>
      <c r="BA578" s="2469"/>
      <c r="BB578" s="2469"/>
      <c r="BC578" s="2469"/>
      <c r="BD578" s="2469"/>
      <c r="BE578" s="2469"/>
      <c r="BF578" s="2469"/>
      <c r="BG578" s="2469"/>
      <c r="BH578" s="2469"/>
      <c r="BI578" s="2469"/>
      <c r="BJ578" s="2469"/>
      <c r="BK578" s="2469"/>
      <c r="BL578" s="2469"/>
      <c r="BM578" s="2469"/>
      <c r="BN578" s="2469"/>
      <c r="BO578" s="2469"/>
      <c r="BP578" s="2469"/>
      <c r="BQ578" s="2469"/>
      <c r="BR578" s="2469"/>
      <c r="BS578" s="2469"/>
      <c r="BT578" s="2469"/>
      <c r="BU578" s="2469"/>
      <c r="BV578" s="2469"/>
      <c r="BW578" s="2469"/>
      <c r="BX578" s="2469"/>
    </row>
    <row r="579" spans="1:76" s="1" customFormat="1" ht="38.25">
      <c r="A579" s="2455"/>
      <c r="B579" s="2452"/>
      <c r="C579" s="2453">
        <v>1</v>
      </c>
      <c r="D579" s="2454" t="s">
        <v>25</v>
      </c>
      <c r="E579" s="2454" t="s">
        <v>38</v>
      </c>
      <c r="F579" s="2453">
        <v>28</v>
      </c>
      <c r="G579" s="2454" t="s">
        <v>29</v>
      </c>
      <c r="H579" s="2455"/>
      <c r="I579" s="2456" t="s">
        <v>4114</v>
      </c>
      <c r="J579" s="2245" t="s">
        <v>4115</v>
      </c>
      <c r="K579" s="2476">
        <v>60</v>
      </c>
      <c r="L579" s="2458">
        <v>1457053950</v>
      </c>
      <c r="M579" s="2458">
        <v>24</v>
      </c>
      <c r="N579" s="2458">
        <v>529751710</v>
      </c>
      <c r="O579" s="2478">
        <v>12</v>
      </c>
      <c r="P579" s="2460">
        <v>81060074</v>
      </c>
      <c r="Q579" s="2482">
        <v>10.130000000000001</v>
      </c>
      <c r="R579" s="2458">
        <v>55505750</v>
      </c>
      <c r="S579" s="2466"/>
      <c r="T579" s="2458">
        <v>21259450</v>
      </c>
      <c r="U579" s="2466"/>
      <c r="V579" s="2465"/>
      <c r="W579" s="2466"/>
      <c r="X579" s="2458"/>
      <c r="Y579" s="2489">
        <f>Q579+S579+U579+W579</f>
        <v>10.130000000000001</v>
      </c>
      <c r="Z579" s="2452">
        <f t="shared" si="157"/>
        <v>76765200</v>
      </c>
      <c r="AA579" s="2458">
        <f t="shared" si="158"/>
        <v>34.130000000000003</v>
      </c>
      <c r="AB579" s="2452">
        <f t="shared" si="158"/>
        <v>606516910</v>
      </c>
      <c r="AC579" s="2468">
        <f t="shared" si="159"/>
        <v>56.88333333333334</v>
      </c>
      <c r="AD579" s="2451">
        <f t="shared" si="159"/>
        <v>41.626249323163364</v>
      </c>
      <c r="AE579" s="2455"/>
      <c r="AF579" s="2469"/>
      <c r="AG579" s="2469"/>
      <c r="AH579" s="2469"/>
      <c r="AI579" s="2469"/>
      <c r="AJ579" s="2469"/>
      <c r="AK579" s="2469"/>
      <c r="AL579" s="2469"/>
      <c r="AM579" s="2469"/>
      <c r="AN579" s="2469"/>
      <c r="AO579" s="2469"/>
      <c r="AP579" s="2469"/>
      <c r="AQ579" s="2469"/>
      <c r="AR579" s="2469"/>
      <c r="AS579" s="2469"/>
      <c r="AT579" s="2469"/>
      <c r="AU579" s="2469"/>
      <c r="AV579" s="2469"/>
      <c r="AW579" s="2469"/>
      <c r="AX579" s="2469"/>
      <c r="AY579" s="2469"/>
      <c r="AZ579" s="2469"/>
      <c r="BA579" s="2469"/>
      <c r="BB579" s="2469"/>
      <c r="BC579" s="2469"/>
      <c r="BD579" s="2469"/>
      <c r="BE579" s="2469"/>
      <c r="BF579" s="2469"/>
      <c r="BG579" s="2469"/>
      <c r="BH579" s="2469"/>
      <c r="BI579" s="2469"/>
      <c r="BJ579" s="2469"/>
      <c r="BK579" s="2469"/>
      <c r="BL579" s="2469"/>
      <c r="BM579" s="2469"/>
      <c r="BN579" s="2469"/>
      <c r="BO579" s="2469"/>
      <c r="BP579" s="2469"/>
      <c r="BQ579" s="2469"/>
      <c r="BR579" s="2469"/>
      <c r="BS579" s="2469"/>
      <c r="BT579" s="2469"/>
      <c r="BU579" s="2469"/>
      <c r="BV579" s="2469"/>
      <c r="BW579" s="2469"/>
      <c r="BX579" s="2469"/>
    </row>
    <row r="580" spans="1:76" s="1" customFormat="1" ht="18" customHeight="1">
      <c r="A580" s="2705" t="s">
        <v>63</v>
      </c>
      <c r="B580" s="2705"/>
      <c r="C580" s="2706"/>
      <c r="D580" s="2706"/>
      <c r="E580" s="2706"/>
      <c r="F580" s="2706"/>
      <c r="G580" s="2706"/>
      <c r="H580" s="2706"/>
      <c r="I580" s="2706"/>
      <c r="J580" s="2706"/>
      <c r="K580" s="2706"/>
      <c r="L580" s="2706"/>
      <c r="M580" s="2706"/>
      <c r="N580" s="2706"/>
      <c r="O580" s="2706"/>
      <c r="P580" s="2706"/>
      <c r="Q580" s="2706"/>
      <c r="R580" s="2706"/>
      <c r="S580" s="2706"/>
      <c r="T580" s="2706"/>
      <c r="U580" s="2706"/>
      <c r="V580" s="2706"/>
      <c r="W580" s="2706"/>
      <c r="X580" s="2706"/>
      <c r="Y580" s="2706"/>
      <c r="Z580" s="2706"/>
      <c r="AA580" s="2706"/>
      <c r="AB580" s="2706"/>
      <c r="AC580" s="2249">
        <f>(AC550+AC562+AC565+AC567+AC569+AC571+AC575+AC578)/8</f>
        <v>60.059356323313388</v>
      </c>
      <c r="AD580" s="2249">
        <f>(AD550+AD562+AD565+AD567+AD569+AD571+AD575+AD578)/8</f>
        <v>45.123602487703081</v>
      </c>
      <c r="AE580" s="2216"/>
    </row>
    <row r="581" spans="1:76" s="1" customFormat="1" ht="18" customHeight="1">
      <c r="A581" s="2705" t="s">
        <v>64</v>
      </c>
      <c r="B581" s="2705"/>
      <c r="C581" s="2706"/>
      <c r="D581" s="2706"/>
      <c r="E581" s="2706"/>
      <c r="F581" s="2706"/>
      <c r="G581" s="2706"/>
      <c r="H581" s="2706"/>
      <c r="I581" s="2706"/>
      <c r="J581" s="2706"/>
      <c r="K581" s="2706"/>
      <c r="L581" s="2706"/>
      <c r="M581" s="2706"/>
      <c r="N581" s="2706"/>
      <c r="O581" s="2706"/>
      <c r="P581" s="2706"/>
      <c r="Q581" s="2706"/>
      <c r="R581" s="2706"/>
      <c r="S581" s="2706"/>
      <c r="T581" s="2706"/>
      <c r="U581" s="2706"/>
      <c r="V581" s="2706"/>
      <c r="W581" s="2706"/>
      <c r="X581" s="2706"/>
      <c r="Y581" s="2706"/>
      <c r="Z581" s="2706"/>
      <c r="AA581" s="2706"/>
      <c r="AB581" s="2706"/>
      <c r="AC581" s="524" t="str">
        <f>IF(AC580&gt;=91,"ST",IF(AC580&gt;=76,"T",IF(AC580&gt;=66,"S",IF(AC580&gt;=51,"R","SR"))))</f>
        <v>R</v>
      </c>
      <c r="AD581" s="524" t="str">
        <f>IF(AD580&gt;=91,"ST",IF(AD580&gt;=76,"T",IF(AD580&gt;=66,"S",IF(AD580&gt;=51,"R","SR"))))</f>
        <v>SR</v>
      </c>
      <c r="AE581" s="2216"/>
    </row>
    <row r="582" spans="1:76" ht="27" customHeight="1">
      <c r="A582" s="2814" t="s">
        <v>88</v>
      </c>
      <c r="B582" s="2815"/>
      <c r="C582" s="2815"/>
      <c r="D582" s="2815"/>
      <c r="E582" s="2815"/>
      <c r="F582" s="2815"/>
      <c r="G582" s="2815"/>
      <c r="H582" s="2815"/>
      <c r="I582" s="2816"/>
      <c r="J582" s="1507"/>
      <c r="K582" s="1507"/>
      <c r="L582" s="1514">
        <f>L583+L598+L604+L606+L610+L612+L620</f>
        <v>35567131837</v>
      </c>
      <c r="M582" s="1507"/>
      <c r="N582" s="1514">
        <f>N583+N598+N604+N606+N610+N612+N620</f>
        <v>10117152650</v>
      </c>
      <c r="O582" s="1510"/>
      <c r="P582" s="1514">
        <f>P583+P598+P604+P606+P610+P612+P620</f>
        <v>4113891148</v>
      </c>
      <c r="Q582" s="1511"/>
      <c r="R582" s="1514">
        <f>R583+R598+R604+R606+R610+R612+R620</f>
        <v>643060255</v>
      </c>
      <c r="S582" s="1507"/>
      <c r="T582" s="1512">
        <f>T583+T598+T606+T610+T612+T620</f>
        <v>1372693383</v>
      </c>
      <c r="U582" s="1507"/>
      <c r="V582" s="1513"/>
      <c r="W582" s="1507"/>
      <c r="X582" s="1512"/>
      <c r="Y582" s="1511"/>
      <c r="Z582" s="1514">
        <f>Z583+Z598+Z604+Z606+Z610+Z612+Z620</f>
        <v>2015753638</v>
      </c>
      <c r="AA582" s="1507"/>
      <c r="AB582" s="1514">
        <f>AB583+AB598+AB604+AB606+AB610+AB612+AB620</f>
        <v>12132906288</v>
      </c>
      <c r="AC582" s="1507"/>
      <c r="AD582" s="1507"/>
      <c r="AE582" s="2590"/>
      <c r="AF582" s="861"/>
      <c r="AG582" s="861"/>
      <c r="AH582" s="861"/>
      <c r="AI582" s="861"/>
      <c r="AJ582" s="861"/>
      <c r="AK582" s="861"/>
      <c r="AL582" s="861"/>
      <c r="AM582" s="861"/>
      <c r="AN582" s="861"/>
      <c r="AO582" s="861"/>
      <c r="AP582" s="861"/>
      <c r="AQ582" s="861"/>
      <c r="AR582" s="861"/>
      <c r="AS582" s="861"/>
      <c r="AT582" s="861"/>
      <c r="AU582" s="861"/>
      <c r="AV582" s="861"/>
      <c r="AW582" s="861"/>
      <c r="AX582" s="861"/>
      <c r="AY582" s="861"/>
      <c r="AZ582" s="861"/>
      <c r="BA582" s="861"/>
      <c r="BB582" s="861"/>
      <c r="BC582" s="862"/>
      <c r="BD582" s="862"/>
      <c r="BE582" s="862"/>
      <c r="BF582" s="862"/>
      <c r="BG582" s="862"/>
      <c r="BH582" s="862"/>
      <c r="BI582" s="862"/>
      <c r="BJ582" s="862"/>
      <c r="BK582" s="862"/>
      <c r="BL582" s="862"/>
      <c r="BM582" s="862"/>
      <c r="BN582" s="862"/>
      <c r="BO582" s="862"/>
      <c r="BP582" s="862"/>
      <c r="BQ582" s="862"/>
    </row>
    <row r="583" spans="1:76" ht="82.5">
      <c r="A583" s="608">
        <v>1</v>
      </c>
      <c r="B583" s="33"/>
      <c r="C583" s="989"/>
      <c r="D583" s="989"/>
      <c r="E583" s="989"/>
      <c r="F583" s="989"/>
      <c r="G583" s="989"/>
      <c r="H583" s="989"/>
      <c r="I583" s="33" t="s">
        <v>912</v>
      </c>
      <c r="J583" s="33" t="s">
        <v>913</v>
      </c>
      <c r="K583" s="609">
        <v>60</v>
      </c>
      <c r="L583" s="159">
        <f>SUM(L584:L597)</f>
        <v>8758102520</v>
      </c>
      <c r="M583" s="609">
        <v>24</v>
      </c>
      <c r="N583" s="159">
        <f>SUM(N584:N597)</f>
        <v>3172840018</v>
      </c>
      <c r="O583" s="609">
        <v>12</v>
      </c>
      <c r="P583" s="159">
        <f>SUM(P584:P597)</f>
        <v>1302747648</v>
      </c>
      <c r="Q583" s="609">
        <v>3</v>
      </c>
      <c r="R583" s="159">
        <f>SUM(R584:R597)</f>
        <v>249915805</v>
      </c>
      <c r="S583" s="138"/>
      <c r="T583" s="159">
        <f>SUM(T584:T597)</f>
        <v>437030415</v>
      </c>
      <c r="U583" s="33"/>
      <c r="V583" s="223"/>
      <c r="W583" s="33"/>
      <c r="X583" s="223"/>
      <c r="Y583" s="531">
        <f t="shared" ref="Y583:Z590" si="160">Q583+S583+U583+W583</f>
        <v>3</v>
      </c>
      <c r="Z583" s="159">
        <f t="shared" si="160"/>
        <v>686946220</v>
      </c>
      <c r="AA583" s="33">
        <f t="shared" ref="AA583:AB590" si="161">Y583+M583</f>
        <v>27</v>
      </c>
      <c r="AB583" s="159">
        <f t="shared" si="161"/>
        <v>3859786238</v>
      </c>
      <c r="AC583" s="610">
        <f t="shared" ref="AC583:AD590" si="162">AA583/K583*100</f>
        <v>45</v>
      </c>
      <c r="AD583" s="610">
        <f t="shared" si="162"/>
        <v>44.071032842853732</v>
      </c>
      <c r="AE583" s="369" t="s">
        <v>4117</v>
      </c>
      <c r="AF583" s="971"/>
      <c r="AG583" s="750"/>
      <c r="AH583" s="750"/>
      <c r="AI583" s="750"/>
      <c r="AJ583" s="750"/>
      <c r="AK583" s="750"/>
      <c r="AL583" s="750"/>
      <c r="AM583" s="750"/>
      <c r="AN583" s="750"/>
      <c r="AO583" s="750"/>
      <c r="AP583" s="750"/>
      <c r="AQ583" s="750"/>
      <c r="AR583" s="750"/>
      <c r="AS583" s="750"/>
      <c r="AT583" s="750"/>
      <c r="AU583" s="750"/>
      <c r="AV583" s="750"/>
      <c r="AW583" s="750"/>
      <c r="AX583" s="750"/>
      <c r="AY583" s="750"/>
      <c r="AZ583" s="750"/>
      <c r="BA583" s="750"/>
      <c r="BB583" s="750"/>
      <c r="BC583" s="752"/>
      <c r="BD583" s="752"/>
      <c r="BE583" s="752"/>
      <c r="BF583" s="752"/>
      <c r="BG583" s="752"/>
      <c r="BH583" s="752"/>
      <c r="BI583" s="752"/>
      <c r="BJ583" s="752"/>
      <c r="BK583" s="752"/>
      <c r="BL583" s="752"/>
      <c r="BM583" s="752"/>
      <c r="BN583" s="752"/>
      <c r="BO583" s="752"/>
      <c r="BP583" s="752"/>
      <c r="BQ583" s="752"/>
    </row>
    <row r="584" spans="1:76" ht="33">
      <c r="A584" s="779"/>
      <c r="B584" s="11"/>
      <c r="C584" s="304"/>
      <c r="D584" s="304"/>
      <c r="E584" s="304"/>
      <c r="F584" s="304"/>
      <c r="G584" s="304"/>
      <c r="H584" s="304"/>
      <c r="I584" s="250" t="s">
        <v>67</v>
      </c>
      <c r="J584" s="11" t="s">
        <v>914</v>
      </c>
      <c r="K584" s="318">
        <v>60</v>
      </c>
      <c r="L584" s="611">
        <f>19060000+80400000+85000000+86000000+87000000+88000000</f>
        <v>445460000</v>
      </c>
      <c r="M584" s="318">
        <v>24</v>
      </c>
      <c r="N584" s="24">
        <v>165070343</v>
      </c>
      <c r="O584" s="318">
        <v>12</v>
      </c>
      <c r="P584" s="24">
        <v>69500000</v>
      </c>
      <c r="Q584" s="318">
        <v>3</v>
      </c>
      <c r="R584" s="972">
        <v>6104072</v>
      </c>
      <c r="S584" s="612"/>
      <c r="T584" s="24">
        <v>18851740</v>
      </c>
      <c r="U584" s="612"/>
      <c r="V584" s="265"/>
      <c r="W584" s="612"/>
      <c r="X584" s="24"/>
      <c r="Y584" s="528">
        <f t="shared" si="160"/>
        <v>3</v>
      </c>
      <c r="Z584" s="972">
        <f t="shared" si="160"/>
        <v>24955812</v>
      </c>
      <c r="AA584" s="528">
        <f t="shared" si="161"/>
        <v>27</v>
      </c>
      <c r="AB584" s="24">
        <f t="shared" si="161"/>
        <v>190026155</v>
      </c>
      <c r="AC584" s="613">
        <f t="shared" si="162"/>
        <v>45</v>
      </c>
      <c r="AD584" s="613">
        <f t="shared" si="162"/>
        <v>42.658410407219506</v>
      </c>
      <c r="AE584" s="483"/>
      <c r="AF584" s="750"/>
      <c r="AG584" s="750"/>
      <c r="AH584" s="750"/>
      <c r="AI584" s="750"/>
      <c r="AJ584" s="750"/>
      <c r="AK584" s="750"/>
      <c r="AL584" s="750"/>
      <c r="AM584" s="750"/>
      <c r="AN584" s="750"/>
      <c r="AO584" s="750"/>
      <c r="AP584" s="750"/>
      <c r="AQ584" s="750"/>
      <c r="AR584" s="750"/>
      <c r="AS584" s="750"/>
      <c r="AT584" s="750"/>
      <c r="AU584" s="750"/>
      <c r="AV584" s="750"/>
      <c r="AW584" s="750"/>
      <c r="AX584" s="750"/>
      <c r="AY584" s="750"/>
      <c r="AZ584" s="750"/>
      <c r="BA584" s="750"/>
      <c r="BB584" s="750"/>
      <c r="BC584" s="752"/>
      <c r="BD584" s="752"/>
      <c r="BE584" s="752"/>
      <c r="BF584" s="752"/>
      <c r="BG584" s="752"/>
      <c r="BH584" s="752"/>
      <c r="BI584" s="752"/>
      <c r="BJ584" s="752"/>
      <c r="BK584" s="752"/>
      <c r="BL584" s="752"/>
      <c r="BM584" s="752"/>
      <c r="BN584" s="752"/>
      <c r="BO584" s="752"/>
      <c r="BP584" s="752"/>
      <c r="BQ584" s="752"/>
    </row>
    <row r="585" spans="1:76" ht="33">
      <c r="A585" s="779"/>
      <c r="B585" s="11"/>
      <c r="C585" s="304"/>
      <c r="D585" s="304"/>
      <c r="E585" s="304"/>
      <c r="F585" s="304"/>
      <c r="G585" s="304"/>
      <c r="H585" s="304"/>
      <c r="I585" s="250" t="s">
        <v>68</v>
      </c>
      <c r="J585" s="11" t="s">
        <v>915</v>
      </c>
      <c r="K585" s="318">
        <v>60</v>
      </c>
      <c r="L585" s="24">
        <f>25600000+45900000+47500000+50000000+50000000+50000000</f>
        <v>269000000</v>
      </c>
      <c r="M585" s="318">
        <v>24</v>
      </c>
      <c r="N585" s="24">
        <v>136250000</v>
      </c>
      <c r="O585" s="318">
        <v>12</v>
      </c>
      <c r="P585" s="24">
        <v>88500000</v>
      </c>
      <c r="Q585" s="318">
        <v>3</v>
      </c>
      <c r="R585" s="24">
        <v>0</v>
      </c>
      <c r="S585" s="612"/>
      <c r="T585" s="24">
        <v>33000000</v>
      </c>
      <c r="U585" s="612"/>
      <c r="V585" s="265"/>
      <c r="W585" s="612"/>
      <c r="X585" s="24"/>
      <c r="Y585" s="528">
        <f t="shared" si="160"/>
        <v>3</v>
      </c>
      <c r="Z585" s="24">
        <f t="shared" si="160"/>
        <v>33000000</v>
      </c>
      <c r="AA585" s="11">
        <f t="shared" si="161"/>
        <v>27</v>
      </c>
      <c r="AB585" s="24">
        <f t="shared" si="161"/>
        <v>169250000</v>
      </c>
      <c r="AC585" s="613">
        <f t="shared" si="162"/>
        <v>45</v>
      </c>
      <c r="AD585" s="613">
        <f t="shared" si="162"/>
        <v>62.918215613382898</v>
      </c>
      <c r="AE585" s="483"/>
      <c r="AF585" s="751"/>
      <c r="AG585" s="750"/>
      <c r="AH585" s="750"/>
      <c r="AI585" s="750"/>
      <c r="AJ585" s="750"/>
      <c r="AK585" s="750"/>
      <c r="AL585" s="750"/>
      <c r="AM585" s="750"/>
      <c r="AN585" s="750"/>
      <c r="AO585" s="750"/>
      <c r="AP585" s="750"/>
      <c r="AQ585" s="750"/>
      <c r="AR585" s="750"/>
      <c r="AS585" s="750"/>
      <c r="AT585" s="750"/>
      <c r="AU585" s="750"/>
      <c r="AV585" s="750"/>
      <c r="AW585" s="750"/>
      <c r="AX585" s="750"/>
      <c r="AY585" s="750"/>
      <c r="AZ585" s="750"/>
      <c r="BA585" s="750"/>
      <c r="BB585" s="750"/>
      <c r="BC585" s="752"/>
      <c r="BD585" s="752"/>
      <c r="BE585" s="752"/>
      <c r="BF585" s="752"/>
      <c r="BG585" s="752"/>
      <c r="BH585" s="752"/>
      <c r="BI585" s="752"/>
      <c r="BJ585" s="752"/>
      <c r="BK585" s="752"/>
      <c r="BL585" s="752"/>
      <c r="BM585" s="752"/>
      <c r="BN585" s="752"/>
      <c r="BO585" s="752"/>
      <c r="BP585" s="752"/>
      <c r="BQ585" s="752"/>
    </row>
    <row r="586" spans="1:76" ht="49.5">
      <c r="A586" s="779"/>
      <c r="B586" s="11"/>
      <c r="C586" s="304"/>
      <c r="D586" s="304"/>
      <c r="E586" s="304"/>
      <c r="F586" s="304"/>
      <c r="G586" s="304"/>
      <c r="H586" s="304"/>
      <c r="I586" s="250" t="s">
        <v>69</v>
      </c>
      <c r="J586" s="11" t="s">
        <v>916</v>
      </c>
      <c r="K586" s="318">
        <v>60</v>
      </c>
      <c r="L586" s="24">
        <f>44000000+48540600+49000000+49500000+50000000+51000000</f>
        <v>292040600</v>
      </c>
      <c r="M586" s="318">
        <v>24</v>
      </c>
      <c r="N586" s="24">
        <v>105306400</v>
      </c>
      <c r="O586" s="318">
        <v>12</v>
      </c>
      <c r="P586" s="24">
        <v>80757500</v>
      </c>
      <c r="Q586" s="318">
        <v>3</v>
      </c>
      <c r="R586" s="973">
        <v>14632500</v>
      </c>
      <c r="S586" s="11"/>
      <c r="T586" s="24">
        <v>17873800</v>
      </c>
      <c r="U586" s="612"/>
      <c r="V586" s="265"/>
      <c r="W586" s="612"/>
      <c r="X586" s="24"/>
      <c r="Y586" s="528">
        <f t="shared" si="160"/>
        <v>3</v>
      </c>
      <c r="Z586" s="973">
        <f t="shared" si="160"/>
        <v>32506300</v>
      </c>
      <c r="AA586" s="11">
        <f t="shared" si="161"/>
        <v>27</v>
      </c>
      <c r="AB586" s="24">
        <f t="shared" si="161"/>
        <v>137812700</v>
      </c>
      <c r="AC586" s="613">
        <f t="shared" si="162"/>
        <v>45</v>
      </c>
      <c r="AD586" s="613">
        <f t="shared" si="162"/>
        <v>47.189568847619135</v>
      </c>
      <c r="AE586" s="483"/>
      <c r="AF586" s="750"/>
      <c r="AG586" s="750"/>
      <c r="AH586" s="750"/>
      <c r="AI586" s="750"/>
      <c r="AJ586" s="750"/>
      <c r="AK586" s="750"/>
      <c r="AL586" s="750"/>
      <c r="AM586" s="750"/>
      <c r="AN586" s="750"/>
      <c r="AO586" s="750"/>
      <c r="AP586" s="750"/>
      <c r="AQ586" s="750"/>
      <c r="AR586" s="750"/>
      <c r="AS586" s="750"/>
      <c r="AT586" s="750"/>
      <c r="AU586" s="750"/>
      <c r="AV586" s="750"/>
      <c r="AW586" s="750"/>
      <c r="AX586" s="750"/>
      <c r="AY586" s="750"/>
      <c r="AZ586" s="750"/>
      <c r="BA586" s="750"/>
      <c r="BB586" s="750"/>
      <c r="BC586" s="752"/>
      <c r="BD586" s="752"/>
      <c r="BE586" s="752"/>
      <c r="BF586" s="752"/>
      <c r="BG586" s="752"/>
      <c r="BH586" s="752"/>
      <c r="BI586" s="752"/>
      <c r="BJ586" s="752"/>
      <c r="BK586" s="752"/>
      <c r="BL586" s="752"/>
      <c r="BM586" s="752"/>
      <c r="BN586" s="752"/>
      <c r="BO586" s="752"/>
      <c r="BP586" s="752"/>
      <c r="BQ586" s="752"/>
    </row>
    <row r="587" spans="1:76" ht="49.5">
      <c r="A587" s="779"/>
      <c r="B587" s="11"/>
      <c r="C587" s="304"/>
      <c r="D587" s="304"/>
      <c r="E587" s="304"/>
      <c r="F587" s="304"/>
      <c r="G587" s="304"/>
      <c r="H587" s="304"/>
      <c r="I587" s="250" t="s">
        <v>917</v>
      </c>
      <c r="J587" s="11" t="s">
        <v>918</v>
      </c>
      <c r="K587" s="318">
        <v>60</v>
      </c>
      <c r="L587" s="24">
        <f>10000000+10950000+11000000+12000000+10000000+10000000</f>
        <v>63950000</v>
      </c>
      <c r="M587" s="318">
        <v>24</v>
      </c>
      <c r="N587" s="24">
        <v>21680000</v>
      </c>
      <c r="O587" s="318">
        <v>12</v>
      </c>
      <c r="P587" s="24">
        <v>12600000</v>
      </c>
      <c r="Q587" s="318">
        <v>3</v>
      </c>
      <c r="R587" s="24">
        <v>2250000</v>
      </c>
      <c r="S587" s="11"/>
      <c r="T587" s="24">
        <v>0</v>
      </c>
      <c r="U587" s="612"/>
      <c r="V587" s="265"/>
      <c r="W587" s="612"/>
      <c r="X587" s="24"/>
      <c r="Y587" s="528">
        <f t="shared" si="160"/>
        <v>3</v>
      </c>
      <c r="Z587" s="24">
        <f t="shared" si="160"/>
        <v>2250000</v>
      </c>
      <c r="AA587" s="11">
        <f t="shared" si="161"/>
        <v>27</v>
      </c>
      <c r="AB587" s="24">
        <f t="shared" si="161"/>
        <v>23930000</v>
      </c>
      <c r="AC587" s="613">
        <f t="shared" si="162"/>
        <v>45</v>
      </c>
      <c r="AD587" s="613">
        <f t="shared" si="162"/>
        <v>37.419859265050817</v>
      </c>
      <c r="AE587" s="483"/>
      <c r="AF587" s="750"/>
      <c r="AG587" s="750"/>
      <c r="AH587" s="750"/>
      <c r="AI587" s="750"/>
      <c r="AJ587" s="750"/>
      <c r="AK587" s="750"/>
      <c r="AL587" s="750"/>
      <c r="AM587" s="750"/>
      <c r="AN587" s="750"/>
      <c r="AO587" s="750"/>
      <c r="AP587" s="750"/>
      <c r="AQ587" s="750"/>
      <c r="AR587" s="750"/>
      <c r="AS587" s="750"/>
      <c r="AT587" s="750"/>
      <c r="AU587" s="750"/>
      <c r="AV587" s="750"/>
      <c r="AW587" s="750"/>
      <c r="AX587" s="750"/>
      <c r="AY587" s="750"/>
      <c r="AZ587" s="750"/>
      <c r="BA587" s="750"/>
      <c r="BB587" s="750"/>
      <c r="BC587" s="752"/>
      <c r="BD587" s="752"/>
      <c r="BE587" s="752"/>
      <c r="BF587" s="752"/>
      <c r="BG587" s="752"/>
      <c r="BH587" s="752"/>
      <c r="BI587" s="752"/>
      <c r="BJ587" s="752"/>
      <c r="BK587" s="752"/>
      <c r="BL587" s="752"/>
      <c r="BM587" s="752"/>
      <c r="BN587" s="752"/>
      <c r="BO587" s="752"/>
      <c r="BP587" s="752"/>
      <c r="BQ587" s="752"/>
    </row>
    <row r="588" spans="1:76" ht="33">
      <c r="A588" s="779"/>
      <c r="B588" s="11"/>
      <c r="C588" s="304"/>
      <c r="D588" s="304"/>
      <c r="E588" s="304"/>
      <c r="F588" s="304"/>
      <c r="G588" s="304"/>
      <c r="H588" s="304"/>
      <c r="I588" s="250" t="s">
        <v>70</v>
      </c>
      <c r="J588" s="11" t="s">
        <v>919</v>
      </c>
      <c r="K588" s="318">
        <v>60</v>
      </c>
      <c r="L588" s="24">
        <f>20870065+28796058+28800000+29000000+30000000+31000000</f>
        <v>168466123</v>
      </c>
      <c r="M588" s="318">
        <v>24</v>
      </c>
      <c r="N588" s="24">
        <v>74970625</v>
      </c>
      <c r="O588" s="318">
        <v>12</v>
      </c>
      <c r="P588" s="24">
        <v>89329548</v>
      </c>
      <c r="Q588" s="318">
        <v>3</v>
      </c>
      <c r="R588" s="24">
        <v>33975733</v>
      </c>
      <c r="S588" s="11"/>
      <c r="T588" s="24">
        <v>31489875</v>
      </c>
      <c r="U588" s="612"/>
      <c r="V588" s="265"/>
      <c r="W588" s="612"/>
      <c r="X588" s="24"/>
      <c r="Y588" s="528">
        <f t="shared" si="160"/>
        <v>3</v>
      </c>
      <c r="Z588" s="24">
        <f t="shared" si="160"/>
        <v>65465608</v>
      </c>
      <c r="AA588" s="11">
        <f t="shared" si="161"/>
        <v>27</v>
      </c>
      <c r="AB588" s="24">
        <f t="shared" si="161"/>
        <v>140436233</v>
      </c>
      <c r="AC588" s="613">
        <f t="shared" si="162"/>
        <v>45</v>
      </c>
      <c r="AD588" s="613">
        <f t="shared" si="162"/>
        <v>83.36170530855037</v>
      </c>
      <c r="AE588" s="483"/>
      <c r="AF588" s="750"/>
      <c r="AG588" s="750"/>
      <c r="AH588" s="750"/>
      <c r="AI588" s="750"/>
      <c r="AJ588" s="750"/>
      <c r="AK588" s="750"/>
      <c r="AL588" s="750"/>
      <c r="AM588" s="750"/>
      <c r="AN588" s="750"/>
      <c r="AO588" s="750"/>
      <c r="AP588" s="750"/>
      <c r="AQ588" s="750"/>
      <c r="AR588" s="750"/>
      <c r="AS588" s="750"/>
      <c r="AT588" s="750"/>
      <c r="AU588" s="750"/>
      <c r="AV588" s="750"/>
      <c r="AW588" s="750"/>
      <c r="AX588" s="750"/>
      <c r="AY588" s="750"/>
      <c r="AZ588" s="750"/>
      <c r="BA588" s="750"/>
      <c r="BB588" s="750"/>
      <c r="BC588" s="752"/>
      <c r="BD588" s="752"/>
      <c r="BE588" s="752"/>
      <c r="BF588" s="752"/>
      <c r="BG588" s="752"/>
      <c r="BH588" s="752"/>
      <c r="BI588" s="752"/>
      <c r="BJ588" s="752"/>
      <c r="BK588" s="752"/>
      <c r="BL588" s="752"/>
      <c r="BM588" s="752"/>
      <c r="BN588" s="752"/>
      <c r="BO588" s="752"/>
      <c r="BP588" s="752"/>
      <c r="BQ588" s="752"/>
    </row>
    <row r="589" spans="1:76" ht="66">
      <c r="A589" s="779"/>
      <c r="B589" s="11"/>
      <c r="C589" s="304"/>
      <c r="D589" s="304"/>
      <c r="E589" s="304"/>
      <c r="F589" s="304"/>
      <c r="G589" s="304"/>
      <c r="H589" s="304"/>
      <c r="I589" s="250" t="s">
        <v>71</v>
      </c>
      <c r="J589" s="11" t="s">
        <v>920</v>
      </c>
      <c r="K589" s="318">
        <v>60</v>
      </c>
      <c r="L589" s="24">
        <f>34947540+40285822+40325855+40550000+41000000+42000000</f>
        <v>239109217</v>
      </c>
      <c r="M589" s="318">
        <v>24</v>
      </c>
      <c r="N589" s="24">
        <v>90420740</v>
      </c>
      <c r="O589" s="318">
        <v>12</v>
      </c>
      <c r="P589" s="24">
        <v>59618600</v>
      </c>
      <c r="Q589" s="318">
        <v>3</v>
      </c>
      <c r="R589" s="24">
        <v>4650000</v>
      </c>
      <c r="S589" s="11"/>
      <c r="T589" s="24">
        <v>17100000</v>
      </c>
      <c r="U589" s="612"/>
      <c r="V589" s="265"/>
      <c r="W589" s="612"/>
      <c r="X589" s="24"/>
      <c r="Y589" s="528">
        <f t="shared" si="160"/>
        <v>3</v>
      </c>
      <c r="Z589" s="24">
        <f t="shared" si="160"/>
        <v>21750000</v>
      </c>
      <c r="AA589" s="11">
        <f t="shared" si="161"/>
        <v>27</v>
      </c>
      <c r="AB589" s="24">
        <f t="shared" si="161"/>
        <v>112170740</v>
      </c>
      <c r="AC589" s="613">
        <f t="shared" si="162"/>
        <v>45</v>
      </c>
      <c r="AD589" s="613">
        <f t="shared" si="162"/>
        <v>46.911926444056732</v>
      </c>
      <c r="AE589" s="483"/>
      <c r="AF589" s="750"/>
      <c r="AG589" s="750"/>
      <c r="AH589" s="750"/>
      <c r="AI589" s="750"/>
      <c r="AJ589" s="750"/>
      <c r="AK589" s="750"/>
      <c r="AL589" s="750"/>
      <c r="AM589" s="750"/>
      <c r="AN589" s="750"/>
      <c r="AO589" s="750"/>
      <c r="AP589" s="750"/>
      <c r="AQ589" s="750"/>
      <c r="AR589" s="750"/>
      <c r="AS589" s="750"/>
      <c r="AT589" s="750"/>
      <c r="AU589" s="750"/>
      <c r="AV589" s="750"/>
      <c r="AW589" s="750"/>
      <c r="AX589" s="750"/>
      <c r="AY589" s="750"/>
      <c r="AZ589" s="750"/>
      <c r="BA589" s="750"/>
      <c r="BB589" s="750"/>
      <c r="BC589" s="752"/>
      <c r="BD589" s="752"/>
      <c r="BE589" s="752"/>
      <c r="BF589" s="752"/>
      <c r="BG589" s="752"/>
      <c r="BH589" s="752"/>
      <c r="BI589" s="752"/>
      <c r="BJ589" s="752"/>
      <c r="BK589" s="752"/>
      <c r="BL589" s="752"/>
      <c r="BM589" s="752"/>
      <c r="BN589" s="752"/>
      <c r="BO589" s="752"/>
      <c r="BP589" s="752"/>
      <c r="BQ589" s="752"/>
    </row>
    <row r="590" spans="1:76" ht="66">
      <c r="A590" s="779"/>
      <c r="B590" s="11"/>
      <c r="C590" s="304"/>
      <c r="D590" s="304"/>
      <c r="E590" s="304"/>
      <c r="F590" s="304"/>
      <c r="G590" s="304"/>
      <c r="H590" s="304"/>
      <c r="I590" s="250" t="s">
        <v>72</v>
      </c>
      <c r="J590" s="11" t="s">
        <v>921</v>
      </c>
      <c r="K590" s="318">
        <v>60</v>
      </c>
      <c r="L590" s="24">
        <f>8852500+16245750+17000750+17600000+18200000+19100000</f>
        <v>96999000</v>
      </c>
      <c r="M590" s="318">
        <v>24</v>
      </c>
      <c r="N590" s="24">
        <v>31435200</v>
      </c>
      <c r="O590" s="318">
        <v>12</v>
      </c>
      <c r="P590" s="24">
        <v>12922000</v>
      </c>
      <c r="Q590" s="318">
        <v>3</v>
      </c>
      <c r="R590" s="24">
        <v>4273500</v>
      </c>
      <c r="S590" s="11"/>
      <c r="T590" s="24">
        <v>3200000</v>
      </c>
      <c r="U590" s="612"/>
      <c r="V590" s="265"/>
      <c r="W590" s="612"/>
      <c r="X590" s="24"/>
      <c r="Y590" s="528">
        <f t="shared" si="160"/>
        <v>3</v>
      </c>
      <c r="Z590" s="24">
        <f t="shared" si="160"/>
        <v>7473500</v>
      </c>
      <c r="AA590" s="11">
        <f t="shared" si="161"/>
        <v>27</v>
      </c>
      <c r="AB590" s="24">
        <f t="shared" si="161"/>
        <v>38908700</v>
      </c>
      <c r="AC590" s="613">
        <f t="shared" si="162"/>
        <v>45</v>
      </c>
      <c r="AD590" s="613">
        <f t="shared" si="162"/>
        <v>40.112475386344187</v>
      </c>
      <c r="AE590" s="483"/>
      <c r="AF590" s="750"/>
      <c r="AG590" s="750"/>
      <c r="AH590" s="750"/>
      <c r="AI590" s="750"/>
      <c r="AJ590" s="750"/>
      <c r="AK590" s="750"/>
      <c r="AL590" s="750"/>
      <c r="AM590" s="750"/>
      <c r="AN590" s="750"/>
      <c r="AO590" s="750"/>
      <c r="AP590" s="750"/>
      <c r="AQ590" s="750"/>
      <c r="AR590" s="750"/>
      <c r="AS590" s="750"/>
      <c r="AT590" s="750"/>
      <c r="AU590" s="750"/>
      <c r="AV590" s="750"/>
      <c r="AW590" s="750"/>
      <c r="AX590" s="750"/>
      <c r="AY590" s="750"/>
      <c r="AZ590" s="750"/>
      <c r="BA590" s="750"/>
      <c r="BB590" s="750"/>
      <c r="BC590" s="752"/>
      <c r="BD590" s="752"/>
      <c r="BE590" s="752"/>
      <c r="BF590" s="752"/>
      <c r="BG590" s="752"/>
      <c r="BH590" s="752"/>
      <c r="BI590" s="752"/>
      <c r="BJ590" s="752"/>
      <c r="BK590" s="752"/>
      <c r="BL590" s="752"/>
      <c r="BM590" s="752"/>
      <c r="BN590" s="752"/>
      <c r="BO590" s="752"/>
      <c r="BP590" s="752"/>
      <c r="BQ590" s="752"/>
    </row>
    <row r="591" spans="1:76" ht="49.5">
      <c r="A591" s="779"/>
      <c r="B591" s="11"/>
      <c r="C591" s="304"/>
      <c r="D591" s="304"/>
      <c r="E591" s="304"/>
      <c r="F591" s="304"/>
      <c r="G591" s="304"/>
      <c r="H591" s="304"/>
      <c r="I591" s="250" t="s">
        <v>33</v>
      </c>
      <c r="J591" s="11" t="s">
        <v>2776</v>
      </c>
      <c r="K591" s="318">
        <v>10</v>
      </c>
      <c r="L591" s="24"/>
      <c r="M591" s="318">
        <v>0</v>
      </c>
      <c r="N591" s="24"/>
      <c r="O591" s="318">
        <v>5</v>
      </c>
      <c r="P591" s="24">
        <v>51900000</v>
      </c>
      <c r="Q591" s="318">
        <v>1</v>
      </c>
      <c r="R591" s="24">
        <v>13500000</v>
      </c>
      <c r="S591" s="11"/>
      <c r="T591" s="24">
        <v>20000000</v>
      </c>
      <c r="U591" s="612"/>
      <c r="V591" s="265"/>
      <c r="W591" s="612"/>
      <c r="X591" s="24"/>
      <c r="Y591" s="528">
        <f t="shared" ref="Y591:Y613" si="163">Q591+S591+U591+W591</f>
        <v>1</v>
      </c>
      <c r="Z591" s="24"/>
      <c r="AA591" s="11">
        <f t="shared" ref="AA591:AA612" si="164">Y591+M591</f>
        <v>1</v>
      </c>
      <c r="AB591" s="24"/>
      <c r="AC591" s="613">
        <f t="shared" ref="AC591:AC607" si="165">AA591/K591*100</f>
        <v>10</v>
      </c>
      <c r="AD591" s="613"/>
      <c r="AE591" s="483"/>
      <c r="AF591" s="750"/>
      <c r="AG591" s="750"/>
      <c r="AH591" s="750"/>
      <c r="AI591" s="750"/>
      <c r="AJ591" s="750"/>
      <c r="AK591" s="750"/>
      <c r="AL591" s="750"/>
      <c r="AM591" s="750"/>
      <c r="AN591" s="750"/>
      <c r="AO591" s="750"/>
      <c r="AP591" s="750"/>
      <c r="AQ591" s="750"/>
      <c r="AR591" s="750"/>
      <c r="AS591" s="750"/>
      <c r="AT591" s="750"/>
      <c r="AU591" s="750"/>
      <c r="AV591" s="750"/>
      <c r="AW591" s="750"/>
      <c r="AX591" s="750"/>
      <c r="AY591" s="750"/>
      <c r="AZ591" s="750"/>
      <c r="BA591" s="750"/>
      <c r="BB591" s="750"/>
      <c r="BC591" s="752"/>
      <c r="BD591" s="752"/>
      <c r="BE591" s="752"/>
      <c r="BF591" s="752"/>
      <c r="BG591" s="752"/>
      <c r="BH591" s="752"/>
      <c r="BI591" s="752"/>
      <c r="BJ591" s="752"/>
      <c r="BK591" s="752"/>
      <c r="BL591" s="752"/>
      <c r="BM591" s="752"/>
      <c r="BN591" s="752"/>
      <c r="BO591" s="752"/>
      <c r="BP591" s="752"/>
      <c r="BQ591" s="752"/>
    </row>
    <row r="592" spans="1:76" ht="49.5">
      <c r="A592" s="779"/>
      <c r="B592" s="11"/>
      <c r="C592" s="304"/>
      <c r="D592" s="304"/>
      <c r="E592" s="304"/>
      <c r="F592" s="304"/>
      <c r="G592" s="304"/>
      <c r="H592" s="304"/>
      <c r="I592" s="250" t="s">
        <v>73</v>
      </c>
      <c r="J592" s="11" t="s">
        <v>922</v>
      </c>
      <c r="K592" s="318">
        <v>60</v>
      </c>
      <c r="L592" s="24">
        <f>12100000+14500000+15200000+1600500+16700000+17100000</f>
        <v>77200500</v>
      </c>
      <c r="M592" s="318">
        <v>24</v>
      </c>
      <c r="N592" s="24">
        <v>33395000</v>
      </c>
      <c r="O592" s="318">
        <v>12</v>
      </c>
      <c r="P592" s="24">
        <v>9680000</v>
      </c>
      <c r="Q592" s="318">
        <v>3</v>
      </c>
      <c r="R592" s="24">
        <v>660000</v>
      </c>
      <c r="S592" s="11"/>
      <c r="T592" s="24">
        <v>3620000</v>
      </c>
      <c r="U592" s="612"/>
      <c r="V592" s="265"/>
      <c r="W592" s="612"/>
      <c r="X592" s="24"/>
      <c r="Y592" s="528">
        <f t="shared" si="163"/>
        <v>3</v>
      </c>
      <c r="Z592" s="24">
        <f>R592+T592+V592+X592</f>
        <v>4280000</v>
      </c>
      <c r="AA592" s="11">
        <f t="shared" si="164"/>
        <v>27</v>
      </c>
      <c r="AB592" s="24">
        <f>Z592+N592</f>
        <v>37675000</v>
      </c>
      <c r="AC592" s="613">
        <f t="shared" si="165"/>
        <v>45</v>
      </c>
      <c r="AD592" s="613">
        <f>AB592/L592*100</f>
        <v>48.801497399628239</v>
      </c>
      <c r="AE592" s="483"/>
      <c r="AF592" s="201"/>
      <c r="AG592" s="201"/>
      <c r="AH592" s="201"/>
      <c r="AI592" s="201"/>
      <c r="AJ592" s="201"/>
      <c r="AK592" s="201"/>
      <c r="AL592" s="201"/>
      <c r="AM592" s="201"/>
      <c r="AN592" s="201"/>
      <c r="AO592" s="201"/>
      <c r="AP592" s="201"/>
      <c r="AQ592" s="201"/>
      <c r="AR592" s="201"/>
      <c r="AS592" s="201"/>
      <c r="AT592" s="201"/>
      <c r="AU592" s="201"/>
      <c r="AV592" s="201"/>
      <c r="AW592" s="201"/>
      <c r="AX592" s="201"/>
      <c r="AY592" s="201"/>
      <c r="AZ592" s="201"/>
      <c r="BA592" s="201"/>
      <c r="BB592" s="201"/>
      <c r="BC592" s="20"/>
      <c r="BD592" s="20"/>
      <c r="BE592" s="20"/>
      <c r="BF592" s="20"/>
      <c r="BG592" s="20"/>
      <c r="BH592" s="20"/>
      <c r="BI592" s="20"/>
      <c r="BJ592" s="20"/>
      <c r="BK592" s="20"/>
      <c r="BL592" s="20"/>
      <c r="BM592" s="20"/>
      <c r="BN592" s="20"/>
      <c r="BO592" s="20"/>
      <c r="BP592" s="20"/>
      <c r="BQ592" s="20"/>
    </row>
    <row r="593" spans="1:69" ht="49.5">
      <c r="A593" s="779"/>
      <c r="B593" s="11"/>
      <c r="C593" s="304"/>
      <c r="D593" s="304"/>
      <c r="E593" s="304"/>
      <c r="F593" s="304"/>
      <c r="G593" s="304"/>
      <c r="H593" s="304"/>
      <c r="I593" s="250" t="s">
        <v>75</v>
      </c>
      <c r="J593" s="11" t="s">
        <v>923</v>
      </c>
      <c r="K593" s="318">
        <v>60</v>
      </c>
      <c r="L593" s="24">
        <f>50000000+27250000+28500000+29300000+30000000+31000000</f>
        <v>196050000</v>
      </c>
      <c r="M593" s="318">
        <v>24</v>
      </c>
      <c r="N593" s="24">
        <v>71109800</v>
      </c>
      <c r="O593" s="318">
        <v>12</v>
      </c>
      <c r="P593" s="24">
        <v>53950000</v>
      </c>
      <c r="Q593" s="318">
        <v>3</v>
      </c>
      <c r="R593" s="24">
        <v>3375000</v>
      </c>
      <c r="S593" s="11"/>
      <c r="T593" s="24">
        <v>12225000</v>
      </c>
      <c r="U593" s="612"/>
      <c r="V593" s="265"/>
      <c r="W593" s="612"/>
      <c r="X593" s="24"/>
      <c r="Y593" s="528">
        <f t="shared" si="163"/>
        <v>3</v>
      </c>
      <c r="Z593" s="24">
        <f>R593+T593+V593+X593</f>
        <v>15600000</v>
      </c>
      <c r="AA593" s="11">
        <f t="shared" si="164"/>
        <v>27</v>
      </c>
      <c r="AB593" s="24">
        <f>Z593+N593</f>
        <v>86709800</v>
      </c>
      <c r="AC593" s="613">
        <f t="shared" si="165"/>
        <v>45</v>
      </c>
      <c r="AD593" s="613">
        <f>AB593/L593*100</f>
        <v>44.228411119612346</v>
      </c>
      <c r="AE593" s="483"/>
      <c r="AF593" s="750"/>
      <c r="AG593" s="750"/>
      <c r="AH593" s="750"/>
      <c r="AI593" s="750"/>
      <c r="AJ593" s="750"/>
      <c r="AK593" s="750"/>
      <c r="AL593" s="750"/>
      <c r="AM593" s="750"/>
      <c r="AN593" s="750"/>
      <c r="AO593" s="750"/>
      <c r="AP593" s="750"/>
      <c r="AQ593" s="750"/>
      <c r="AR593" s="750"/>
      <c r="AS593" s="750"/>
      <c r="AT593" s="750"/>
      <c r="AU593" s="750"/>
      <c r="AV593" s="750"/>
      <c r="AW593" s="750"/>
      <c r="AX593" s="750"/>
      <c r="AY593" s="750"/>
      <c r="AZ593" s="750"/>
      <c r="BA593" s="750"/>
      <c r="BB593" s="750"/>
      <c r="BC593" s="752"/>
      <c r="BD593" s="752"/>
      <c r="BE593" s="752"/>
      <c r="BF593" s="752"/>
      <c r="BG593" s="752"/>
      <c r="BH593" s="752"/>
      <c r="BI593" s="752"/>
      <c r="BJ593" s="752"/>
      <c r="BK593" s="752"/>
      <c r="BL593" s="752"/>
      <c r="BM593" s="752"/>
      <c r="BN593" s="752"/>
      <c r="BO593" s="752"/>
      <c r="BP593" s="752"/>
      <c r="BQ593" s="752"/>
    </row>
    <row r="594" spans="1:69" ht="33">
      <c r="A594" s="779"/>
      <c r="B594" s="11"/>
      <c r="C594" s="304"/>
      <c r="D594" s="304"/>
      <c r="E594" s="304"/>
      <c r="F594" s="304"/>
      <c r="G594" s="304"/>
      <c r="H594" s="304"/>
      <c r="I594" s="250" t="s">
        <v>76</v>
      </c>
      <c r="J594" s="11" t="s">
        <v>924</v>
      </c>
      <c r="K594" s="318">
        <v>60</v>
      </c>
      <c r="L594" s="24">
        <f>105207000+174400000+176000000+178000000+180000000+183000000</f>
        <v>996607000</v>
      </c>
      <c r="M594" s="318">
        <v>24</v>
      </c>
      <c r="N594" s="24">
        <v>378467310</v>
      </c>
      <c r="O594" s="318">
        <v>12</v>
      </c>
      <c r="P594" s="24">
        <v>38900000</v>
      </c>
      <c r="Q594" s="318">
        <v>3</v>
      </c>
      <c r="R594" s="24">
        <v>15535000</v>
      </c>
      <c r="S594" s="11"/>
      <c r="T594" s="24">
        <v>14970000</v>
      </c>
      <c r="U594" s="612"/>
      <c r="V594" s="265"/>
      <c r="W594" s="612"/>
      <c r="X594" s="24"/>
      <c r="Y594" s="528">
        <f t="shared" si="163"/>
        <v>3</v>
      </c>
      <c r="Z594" s="24">
        <f>R594+T594+V594+X594</f>
        <v>30505000</v>
      </c>
      <c r="AA594" s="11">
        <f t="shared" si="164"/>
        <v>27</v>
      </c>
      <c r="AB594" s="24">
        <f>Z594+N594</f>
        <v>408972310</v>
      </c>
      <c r="AC594" s="613">
        <f t="shared" si="165"/>
        <v>45</v>
      </c>
      <c r="AD594" s="613">
        <f>AB594/L594*100</f>
        <v>41.036467735024942</v>
      </c>
      <c r="AE594" s="483"/>
      <c r="AF594" s="750"/>
      <c r="AG594" s="750"/>
      <c r="AH594" s="750"/>
      <c r="AI594" s="750"/>
      <c r="AJ594" s="750"/>
      <c r="AK594" s="750"/>
      <c r="AL594" s="750"/>
      <c r="AM594" s="750"/>
      <c r="AN594" s="750"/>
      <c r="AO594" s="750"/>
      <c r="AP594" s="750"/>
      <c r="AQ594" s="750"/>
      <c r="AR594" s="750"/>
      <c r="AS594" s="750"/>
      <c r="AT594" s="750"/>
      <c r="AU594" s="750"/>
      <c r="AV594" s="750"/>
      <c r="AW594" s="750"/>
      <c r="AX594" s="750"/>
      <c r="AY594" s="750"/>
      <c r="AZ594" s="750"/>
      <c r="BA594" s="750"/>
      <c r="BB594" s="750"/>
      <c r="BC594" s="752"/>
      <c r="BD594" s="752"/>
      <c r="BE594" s="752"/>
      <c r="BF594" s="752"/>
      <c r="BG594" s="752"/>
      <c r="BH594" s="752"/>
      <c r="BI594" s="752"/>
      <c r="BJ594" s="752"/>
      <c r="BK594" s="752"/>
      <c r="BL594" s="752"/>
      <c r="BM594" s="752"/>
      <c r="BN594" s="752"/>
      <c r="BO594" s="752"/>
      <c r="BP594" s="752"/>
      <c r="BQ594" s="752"/>
    </row>
    <row r="595" spans="1:69" ht="49.5">
      <c r="A595" s="779"/>
      <c r="B595" s="11"/>
      <c r="C595" s="304"/>
      <c r="D595" s="304"/>
      <c r="E595" s="304"/>
      <c r="F595" s="304"/>
      <c r="G595" s="304"/>
      <c r="H595" s="304"/>
      <c r="I595" s="250" t="s">
        <v>925</v>
      </c>
      <c r="J595" s="11" t="s">
        <v>926</v>
      </c>
      <c r="K595" s="318">
        <v>60</v>
      </c>
      <c r="L595" s="24">
        <f>406350000+832400000+835000000+845000000+860000000+900000000</f>
        <v>4678750000</v>
      </c>
      <c r="M595" s="318">
        <v>24</v>
      </c>
      <c r="N595" s="24">
        <v>1756524600</v>
      </c>
      <c r="O595" s="318">
        <v>12</v>
      </c>
      <c r="P595" s="24">
        <v>658125000</v>
      </c>
      <c r="Q595" s="318">
        <v>3</v>
      </c>
      <c r="R595" s="24">
        <v>142035000</v>
      </c>
      <c r="S595" s="11"/>
      <c r="T595" s="24">
        <v>229800000</v>
      </c>
      <c r="U595" s="612"/>
      <c r="V595" s="265"/>
      <c r="W595" s="612"/>
      <c r="X595" s="24"/>
      <c r="Y595" s="528">
        <f t="shared" si="163"/>
        <v>3</v>
      </c>
      <c r="Z595" s="24">
        <f>R595+T595+V595+X595</f>
        <v>371835000</v>
      </c>
      <c r="AA595" s="11">
        <f t="shared" si="164"/>
        <v>27</v>
      </c>
      <c r="AB595" s="24">
        <f>Z595+N595</f>
        <v>2128359600</v>
      </c>
      <c r="AC595" s="613">
        <f t="shared" si="165"/>
        <v>45</v>
      </c>
      <c r="AD595" s="613">
        <f>AB595/L595*100</f>
        <v>45.489919316056636</v>
      </c>
      <c r="AE595" s="483"/>
      <c r="AF595" s="751"/>
      <c r="AG595" s="750"/>
      <c r="AH595" s="750"/>
      <c r="AI595" s="750"/>
      <c r="AJ595" s="750"/>
      <c r="AK595" s="750"/>
      <c r="AL595" s="750"/>
      <c r="AM595" s="750"/>
      <c r="AN595" s="750"/>
      <c r="AO595" s="750"/>
      <c r="AP595" s="750"/>
      <c r="AQ595" s="750"/>
      <c r="AR595" s="750"/>
      <c r="AS595" s="750"/>
      <c r="AT595" s="750"/>
      <c r="AU595" s="750"/>
      <c r="AV595" s="750"/>
      <c r="AW595" s="750"/>
      <c r="AX595" s="750"/>
      <c r="AY595" s="750"/>
      <c r="AZ595" s="750"/>
      <c r="BA595" s="750"/>
      <c r="BB595" s="750"/>
      <c r="BC595" s="752"/>
      <c r="BD595" s="752"/>
      <c r="BE595" s="752"/>
      <c r="BF595" s="752"/>
      <c r="BG595" s="752"/>
      <c r="BH595" s="752"/>
      <c r="BI595" s="752"/>
      <c r="BJ595" s="752"/>
      <c r="BK595" s="752"/>
      <c r="BL595" s="752"/>
      <c r="BM595" s="752"/>
      <c r="BN595" s="752"/>
      <c r="BO595" s="752"/>
      <c r="BP595" s="752"/>
      <c r="BQ595" s="752"/>
    </row>
    <row r="596" spans="1:69" ht="53.25" customHeight="1">
      <c r="A596" s="779"/>
      <c r="B596" s="11"/>
      <c r="C596" s="304"/>
      <c r="D596" s="304"/>
      <c r="E596" s="304"/>
      <c r="F596" s="304"/>
      <c r="G596" s="304"/>
      <c r="H596" s="304"/>
      <c r="I596" s="250" t="s">
        <v>577</v>
      </c>
      <c r="J596" s="11" t="s">
        <v>2777</v>
      </c>
      <c r="K596" s="318">
        <v>36</v>
      </c>
      <c r="L596" s="24">
        <f>3*P596</f>
        <v>58170000</v>
      </c>
      <c r="M596" s="318">
        <v>0</v>
      </c>
      <c r="N596" s="24">
        <v>0</v>
      </c>
      <c r="O596" s="318">
        <v>12</v>
      </c>
      <c r="P596" s="24">
        <v>19390000</v>
      </c>
      <c r="Q596" s="318">
        <v>3</v>
      </c>
      <c r="R596" s="24">
        <v>2250000</v>
      </c>
      <c r="S596" s="11"/>
      <c r="T596" s="24">
        <v>3500000</v>
      </c>
      <c r="U596" s="612"/>
      <c r="V596" s="265"/>
      <c r="W596" s="612"/>
      <c r="X596" s="24"/>
      <c r="Y596" s="528">
        <f t="shared" si="163"/>
        <v>3</v>
      </c>
      <c r="Z596" s="24"/>
      <c r="AA596" s="11">
        <f t="shared" si="164"/>
        <v>3</v>
      </c>
      <c r="AB596" s="24"/>
      <c r="AC596" s="613">
        <f t="shared" si="165"/>
        <v>8.3333333333333321</v>
      </c>
      <c r="AD596" s="613"/>
      <c r="AE596" s="483"/>
      <c r="AF596" s="971"/>
      <c r="AG596" s="750"/>
      <c r="AH596" s="750"/>
      <c r="AI596" s="750"/>
      <c r="AJ596" s="750"/>
      <c r="AK596" s="750"/>
      <c r="AL596" s="750"/>
      <c r="AM596" s="750"/>
      <c r="AN596" s="750"/>
      <c r="AO596" s="750"/>
      <c r="AP596" s="750"/>
      <c r="AQ596" s="750"/>
      <c r="AR596" s="750"/>
      <c r="AS596" s="750"/>
      <c r="AT596" s="750"/>
      <c r="AU596" s="750"/>
      <c r="AV596" s="750"/>
      <c r="AW596" s="750"/>
      <c r="AX596" s="750"/>
      <c r="AY596" s="750"/>
      <c r="AZ596" s="750"/>
      <c r="BA596" s="750"/>
      <c r="BB596" s="750"/>
      <c r="BC596" s="752"/>
      <c r="BD596" s="752"/>
      <c r="BE596" s="752"/>
      <c r="BF596" s="752"/>
      <c r="BG596" s="752"/>
      <c r="BH596" s="752"/>
      <c r="BI596" s="752"/>
      <c r="BJ596" s="752"/>
      <c r="BK596" s="752"/>
      <c r="BL596" s="752"/>
      <c r="BM596" s="752"/>
      <c r="BN596" s="752"/>
      <c r="BO596" s="752"/>
      <c r="BP596" s="752"/>
      <c r="BQ596" s="752"/>
    </row>
    <row r="597" spans="1:69" ht="49.5">
      <c r="A597" s="779"/>
      <c r="B597" s="11"/>
      <c r="C597" s="304"/>
      <c r="D597" s="304"/>
      <c r="E597" s="304"/>
      <c r="F597" s="304"/>
      <c r="G597" s="304"/>
      <c r="H597" s="304"/>
      <c r="I597" s="250" t="s">
        <v>77</v>
      </c>
      <c r="J597" s="11" t="s">
        <v>927</v>
      </c>
      <c r="K597" s="318">
        <v>60</v>
      </c>
      <c r="L597" s="24">
        <f>330000000+157800080+158500000+160000000+170000000+200000000</f>
        <v>1176300080</v>
      </c>
      <c r="M597" s="318">
        <v>24</v>
      </c>
      <c r="N597" s="24">
        <v>308210000</v>
      </c>
      <c r="O597" s="318">
        <v>12</v>
      </c>
      <c r="P597" s="24">
        <v>57575000</v>
      </c>
      <c r="Q597" s="318">
        <v>3</v>
      </c>
      <c r="R597" s="24">
        <v>6675000</v>
      </c>
      <c r="S597" s="11"/>
      <c r="T597" s="254">
        <v>31400000</v>
      </c>
      <c r="U597" s="612"/>
      <c r="V597" s="265"/>
      <c r="W597" s="612"/>
      <c r="X597" s="24"/>
      <c r="Y597" s="528">
        <f t="shared" si="163"/>
        <v>3</v>
      </c>
      <c r="Z597" s="24">
        <f>R597+T597+V597</f>
        <v>38075000</v>
      </c>
      <c r="AA597" s="11">
        <f t="shared" si="164"/>
        <v>27</v>
      </c>
      <c r="AB597" s="24">
        <f>Z597+N597</f>
        <v>346285000</v>
      </c>
      <c r="AC597" s="613">
        <f t="shared" si="165"/>
        <v>45</v>
      </c>
      <c r="AD597" s="613">
        <f>AB597/L597*100</f>
        <v>29.438491579461594</v>
      </c>
      <c r="AE597" s="483"/>
      <c r="AF597" s="750"/>
      <c r="AG597" s="750"/>
      <c r="AH597" s="750"/>
      <c r="AI597" s="750"/>
      <c r="AJ597" s="750"/>
      <c r="AK597" s="750"/>
      <c r="AL597" s="750"/>
      <c r="AM597" s="750"/>
      <c r="AN597" s="750"/>
      <c r="AO597" s="750"/>
      <c r="AP597" s="750"/>
      <c r="AQ597" s="750"/>
      <c r="AR597" s="750"/>
      <c r="AS597" s="750"/>
      <c r="AT597" s="750"/>
      <c r="AU597" s="750"/>
      <c r="AV597" s="750"/>
      <c r="AW597" s="750"/>
      <c r="AX597" s="750"/>
      <c r="AY597" s="750"/>
      <c r="AZ597" s="750"/>
      <c r="BA597" s="750"/>
      <c r="BB597" s="750"/>
      <c r="BC597" s="752"/>
      <c r="BD597" s="752"/>
      <c r="BE597" s="752"/>
      <c r="BF597" s="752"/>
      <c r="BG597" s="752"/>
      <c r="BH597" s="752"/>
      <c r="BI597" s="752"/>
      <c r="BJ597" s="752"/>
      <c r="BK597" s="752"/>
      <c r="BL597" s="752"/>
      <c r="BM597" s="752"/>
      <c r="BN597" s="752"/>
      <c r="BO597" s="752"/>
      <c r="BP597" s="752"/>
      <c r="BQ597" s="752"/>
    </row>
    <row r="598" spans="1:69" ht="66">
      <c r="A598" s="2558">
        <v>2</v>
      </c>
      <c r="B598" s="33"/>
      <c r="C598" s="161"/>
      <c r="D598" s="161"/>
      <c r="E598" s="161"/>
      <c r="F598" s="161"/>
      <c r="G598" s="161"/>
      <c r="H598" s="161"/>
      <c r="I598" s="33" t="s">
        <v>928</v>
      </c>
      <c r="J598" s="33" t="s">
        <v>929</v>
      </c>
      <c r="K598" s="609">
        <v>60</v>
      </c>
      <c r="L598" s="159">
        <f>SUM(L599:L603)</f>
        <v>2846592810</v>
      </c>
      <c r="M598" s="614">
        <v>24</v>
      </c>
      <c r="N598" s="159">
        <f>SUM(N599:N603)</f>
        <v>1104290657</v>
      </c>
      <c r="O598" s="609">
        <v>12</v>
      </c>
      <c r="P598" s="159">
        <f>SUM(P599:P603)</f>
        <v>597231250</v>
      </c>
      <c r="Q598" s="609">
        <v>3</v>
      </c>
      <c r="R598" s="159">
        <f>SUM(R599:R603)</f>
        <v>63440150</v>
      </c>
      <c r="S598" s="33">
        <v>3</v>
      </c>
      <c r="T598" s="159">
        <f>SUM(T599:T603)</f>
        <v>164556438</v>
      </c>
      <c r="U598" s="33"/>
      <c r="V598" s="223">
        <f>SUM(V599:V603)</f>
        <v>0</v>
      </c>
      <c r="W598" s="33"/>
      <c r="X598" s="223">
        <f>SUM(X599:X603)</f>
        <v>0</v>
      </c>
      <c r="Y598" s="531">
        <f t="shared" si="163"/>
        <v>6</v>
      </c>
      <c r="Z598" s="159">
        <f>R598+T598+V598+X598</f>
        <v>227996588</v>
      </c>
      <c r="AA598" s="33">
        <f t="shared" si="164"/>
        <v>30</v>
      </c>
      <c r="AB598" s="159">
        <f>Z598+N598</f>
        <v>1332287245</v>
      </c>
      <c r="AC598" s="610">
        <f t="shared" si="165"/>
        <v>50</v>
      </c>
      <c r="AD598" s="610">
        <f>AB598/L598*100</f>
        <v>46.802873959342293</v>
      </c>
      <c r="AE598" s="369" t="s">
        <v>4117</v>
      </c>
      <c r="AF598" s="750"/>
      <c r="AG598" s="750"/>
      <c r="AH598" s="750"/>
      <c r="AI598" s="750"/>
      <c r="AJ598" s="750"/>
      <c r="AK598" s="750"/>
      <c r="AL598" s="750"/>
      <c r="AM598" s="750"/>
      <c r="AN598" s="750"/>
      <c r="AO598" s="750"/>
      <c r="AP598" s="750"/>
      <c r="AQ598" s="750"/>
      <c r="AR598" s="750"/>
      <c r="AS598" s="750"/>
      <c r="AT598" s="750"/>
      <c r="AU598" s="750"/>
      <c r="AV598" s="750"/>
      <c r="AW598" s="750"/>
      <c r="AX598" s="750"/>
      <c r="AY598" s="750"/>
      <c r="AZ598" s="750"/>
      <c r="BA598" s="750"/>
      <c r="BB598" s="750"/>
      <c r="BC598" s="752"/>
      <c r="BD598" s="752"/>
      <c r="BE598" s="752"/>
      <c r="BF598" s="752"/>
      <c r="BG598" s="752"/>
      <c r="BH598" s="752"/>
      <c r="BI598" s="752"/>
      <c r="BJ598" s="752"/>
      <c r="BK598" s="752"/>
      <c r="BL598" s="752"/>
      <c r="BM598" s="752"/>
      <c r="BN598" s="752"/>
      <c r="BO598" s="752"/>
      <c r="BP598" s="752"/>
      <c r="BQ598" s="752"/>
    </row>
    <row r="599" spans="1:69" ht="49.5">
      <c r="A599" s="779"/>
      <c r="B599" s="11"/>
      <c r="C599" s="304"/>
      <c r="D599" s="304"/>
      <c r="E599" s="304"/>
      <c r="F599" s="304"/>
      <c r="G599" s="304"/>
      <c r="H599" s="304"/>
      <c r="I599" s="8" t="s">
        <v>82</v>
      </c>
      <c r="J599" s="11" t="s">
        <v>930</v>
      </c>
      <c r="K599" s="318">
        <v>60</v>
      </c>
      <c r="L599" s="24">
        <f>88240580+174557250+120000000+95000000+95000000+95000000</f>
        <v>667797830</v>
      </c>
      <c r="M599" s="616">
        <v>24</v>
      </c>
      <c r="N599" s="24">
        <v>198621000</v>
      </c>
      <c r="O599" s="318">
        <v>12</v>
      </c>
      <c r="P599" s="24">
        <v>0</v>
      </c>
      <c r="Q599" s="318">
        <v>3</v>
      </c>
      <c r="R599" s="24">
        <v>0</v>
      </c>
      <c r="S599" s="11"/>
      <c r="T599" s="24"/>
      <c r="U599" s="11"/>
      <c r="V599" s="265"/>
      <c r="W599" s="11"/>
      <c r="X599" s="24"/>
      <c r="Y599" s="528">
        <f t="shared" si="163"/>
        <v>3</v>
      </c>
      <c r="Z599" s="24">
        <f>R599+T599+V599+X599</f>
        <v>0</v>
      </c>
      <c r="AA599" s="11">
        <f t="shared" si="164"/>
        <v>27</v>
      </c>
      <c r="AB599" s="24">
        <f>Z599+N599</f>
        <v>198621000</v>
      </c>
      <c r="AC599" s="613">
        <f t="shared" si="165"/>
        <v>45</v>
      </c>
      <c r="AD599" s="613">
        <f>AB599/L599*100</f>
        <v>29.742684249213568</v>
      </c>
      <c r="AE599" s="483"/>
      <c r="AF599" s="201"/>
      <c r="AG599" s="201"/>
      <c r="AH599" s="201"/>
      <c r="AI599" s="201"/>
      <c r="AJ599" s="201"/>
      <c r="AK599" s="201"/>
      <c r="AL599" s="201"/>
      <c r="AM599" s="201"/>
      <c r="AN599" s="201"/>
      <c r="AO599" s="201"/>
      <c r="AP599" s="201"/>
      <c r="AQ599" s="201"/>
      <c r="AR599" s="201"/>
      <c r="AS599" s="201"/>
      <c r="AT599" s="201"/>
      <c r="AU599" s="201"/>
      <c r="AV599" s="201"/>
      <c r="AW599" s="201"/>
      <c r="AX599" s="201"/>
      <c r="AY599" s="201"/>
      <c r="AZ599" s="201"/>
      <c r="BA599" s="201"/>
      <c r="BB599" s="201"/>
      <c r="BC599" s="20"/>
      <c r="BD599" s="20"/>
      <c r="BE599" s="20"/>
      <c r="BF599" s="20"/>
      <c r="BG599" s="20"/>
      <c r="BH599" s="20"/>
      <c r="BI599" s="20"/>
      <c r="BJ599" s="20"/>
      <c r="BK599" s="20"/>
      <c r="BL599" s="20"/>
      <c r="BM599" s="20"/>
      <c r="BN599" s="20"/>
      <c r="BO599" s="20"/>
      <c r="BP599" s="20"/>
      <c r="BQ599" s="20"/>
    </row>
    <row r="600" spans="1:69" ht="49.5">
      <c r="A600" s="779"/>
      <c r="B600" s="11"/>
      <c r="C600" s="304"/>
      <c r="D600" s="304"/>
      <c r="E600" s="304"/>
      <c r="F600" s="304"/>
      <c r="G600" s="304"/>
      <c r="H600" s="304"/>
      <c r="I600" s="8" t="s">
        <v>931</v>
      </c>
      <c r="J600" s="11" t="s">
        <v>2778</v>
      </c>
      <c r="K600" s="318">
        <v>12</v>
      </c>
      <c r="L600" s="24">
        <f>3*P600</f>
        <v>212250000</v>
      </c>
      <c r="M600" s="24">
        <v>0</v>
      </c>
      <c r="N600" s="24">
        <v>0</v>
      </c>
      <c r="O600" s="318">
        <v>4</v>
      </c>
      <c r="P600" s="24">
        <v>70750000</v>
      </c>
      <c r="Q600" s="24">
        <v>0</v>
      </c>
      <c r="R600" s="24">
        <v>0</v>
      </c>
      <c r="S600" s="11"/>
      <c r="T600" s="24"/>
      <c r="U600" s="11"/>
      <c r="V600" s="265"/>
      <c r="W600" s="11"/>
      <c r="X600" s="24"/>
      <c r="Y600" s="528">
        <f t="shared" si="163"/>
        <v>0</v>
      </c>
      <c r="Z600" s="24"/>
      <c r="AA600" s="11">
        <f t="shared" si="164"/>
        <v>0</v>
      </c>
      <c r="AB600" s="24"/>
      <c r="AC600" s="613">
        <f t="shared" si="165"/>
        <v>0</v>
      </c>
      <c r="AD600" s="613"/>
      <c r="AE600" s="483"/>
      <c r="AF600" s="750"/>
      <c r="AG600" s="750"/>
      <c r="AH600" s="750"/>
      <c r="AI600" s="750"/>
      <c r="AJ600" s="750"/>
      <c r="AK600" s="750"/>
      <c r="AL600" s="750"/>
      <c r="AM600" s="750"/>
      <c r="AN600" s="750"/>
      <c r="AO600" s="750"/>
      <c r="AP600" s="750"/>
      <c r="AQ600" s="750"/>
      <c r="AR600" s="750"/>
      <c r="AS600" s="750"/>
      <c r="AT600" s="750"/>
      <c r="AU600" s="750"/>
      <c r="AV600" s="750"/>
      <c r="AW600" s="750"/>
      <c r="AX600" s="750"/>
      <c r="AY600" s="750"/>
      <c r="AZ600" s="750"/>
      <c r="BA600" s="750"/>
      <c r="BB600" s="750"/>
      <c r="BC600" s="752"/>
      <c r="BD600" s="752"/>
      <c r="BE600" s="752"/>
      <c r="BF600" s="752"/>
      <c r="BG600" s="752"/>
      <c r="BH600" s="752"/>
      <c r="BI600" s="752"/>
      <c r="BJ600" s="752"/>
      <c r="BK600" s="752"/>
      <c r="BL600" s="752"/>
      <c r="BM600" s="752"/>
      <c r="BN600" s="752"/>
      <c r="BO600" s="752"/>
      <c r="BP600" s="752"/>
      <c r="BQ600" s="752"/>
    </row>
    <row r="601" spans="1:69" ht="37.5" customHeight="1">
      <c r="A601" s="779"/>
      <c r="B601" s="11"/>
      <c r="C601" s="304"/>
      <c r="D601" s="304"/>
      <c r="E601" s="304"/>
      <c r="F601" s="304"/>
      <c r="G601" s="304"/>
      <c r="H601" s="304"/>
      <c r="I601" s="8" t="s">
        <v>83</v>
      </c>
      <c r="J601" s="11" t="s">
        <v>2779</v>
      </c>
      <c r="K601" s="318">
        <v>1</v>
      </c>
      <c r="L601" s="24">
        <f>P601</f>
        <v>105750000</v>
      </c>
      <c r="M601" s="24">
        <v>0</v>
      </c>
      <c r="N601" s="24">
        <v>0</v>
      </c>
      <c r="O601" s="318">
        <v>1</v>
      </c>
      <c r="P601" s="24">
        <v>105750000</v>
      </c>
      <c r="Q601" s="24">
        <v>0</v>
      </c>
      <c r="R601" s="24">
        <v>0</v>
      </c>
      <c r="S601" s="11"/>
      <c r="T601" s="24">
        <v>34725000</v>
      </c>
      <c r="U601" s="11"/>
      <c r="V601" s="265"/>
      <c r="W601" s="11"/>
      <c r="X601" s="24"/>
      <c r="Y601" s="528">
        <f t="shared" si="163"/>
        <v>0</v>
      </c>
      <c r="Z601" s="24"/>
      <c r="AA601" s="11">
        <f t="shared" si="164"/>
        <v>0</v>
      </c>
      <c r="AB601" s="24"/>
      <c r="AC601" s="613">
        <f t="shared" si="165"/>
        <v>0</v>
      </c>
      <c r="AD601" s="613"/>
      <c r="AE601" s="483"/>
      <c r="AF601" s="201"/>
      <c r="AG601" s="201"/>
      <c r="AH601" s="201"/>
      <c r="AI601" s="201"/>
      <c r="AJ601" s="201"/>
      <c r="AK601" s="201"/>
      <c r="AL601" s="201"/>
      <c r="AM601" s="201"/>
      <c r="AN601" s="201"/>
      <c r="AO601" s="201"/>
      <c r="AP601" s="201"/>
      <c r="AQ601" s="201"/>
      <c r="AR601" s="201"/>
      <c r="AS601" s="201"/>
      <c r="AT601" s="201"/>
      <c r="AU601" s="201"/>
      <c r="AV601" s="201"/>
      <c r="AW601" s="201"/>
      <c r="AX601" s="201"/>
      <c r="AY601" s="201"/>
      <c r="AZ601" s="201"/>
      <c r="BA601" s="201"/>
      <c r="BB601" s="201"/>
      <c r="BC601" s="20"/>
      <c r="BD601" s="20"/>
      <c r="BE601" s="20"/>
      <c r="BF601" s="20"/>
      <c r="BG601" s="20"/>
      <c r="BH601" s="20"/>
      <c r="BI601" s="20"/>
      <c r="BJ601" s="20"/>
      <c r="BK601" s="20"/>
      <c r="BL601" s="20"/>
      <c r="BM601" s="20"/>
      <c r="BN601" s="20"/>
      <c r="BO601" s="20"/>
      <c r="BP601" s="20"/>
      <c r="BQ601" s="20"/>
    </row>
    <row r="602" spans="1:69" ht="49.5">
      <c r="A602" s="779"/>
      <c r="B602" s="11"/>
      <c r="C602" s="304"/>
      <c r="D602" s="304"/>
      <c r="E602" s="304"/>
      <c r="F602" s="304"/>
      <c r="G602" s="304"/>
      <c r="H602" s="304"/>
      <c r="I602" s="250" t="s">
        <v>932</v>
      </c>
      <c r="J602" s="11" t="s">
        <v>89</v>
      </c>
      <c r="K602" s="318">
        <v>60</v>
      </c>
      <c r="L602" s="24">
        <f>52693830+75020000+76000000+76500000+77000000+78000000</f>
        <v>435213830</v>
      </c>
      <c r="M602" s="616">
        <v>24</v>
      </c>
      <c r="N602" s="24">
        <v>193835000</v>
      </c>
      <c r="O602" s="318">
        <v>12</v>
      </c>
      <c r="P602" s="24">
        <v>115000000</v>
      </c>
      <c r="Q602" s="318">
        <v>3</v>
      </c>
      <c r="R602" s="24">
        <v>45000000</v>
      </c>
      <c r="S602" s="11"/>
      <c r="T602" s="24">
        <v>45500000</v>
      </c>
      <c r="U602" s="11"/>
      <c r="V602" s="265"/>
      <c r="W602" s="11"/>
      <c r="X602" s="24"/>
      <c r="Y602" s="528">
        <f t="shared" si="163"/>
        <v>3</v>
      </c>
      <c r="Z602" s="24">
        <f t="shared" ref="Z602:Z621" si="166">R602+T602+V602+X602</f>
        <v>90500000</v>
      </c>
      <c r="AA602" s="11">
        <f t="shared" si="164"/>
        <v>27</v>
      </c>
      <c r="AB602" s="24">
        <f t="shared" ref="AB602:AB621" si="167">Z602+N602</f>
        <v>284335000</v>
      </c>
      <c r="AC602" s="613">
        <f t="shared" si="165"/>
        <v>45</v>
      </c>
      <c r="AD602" s="613">
        <f t="shared" ref="AD602:AD607" si="168">AB602/L602*100</f>
        <v>65.332252883599779</v>
      </c>
      <c r="AE602" s="483"/>
      <c r="AF602" s="750"/>
      <c r="AG602" s="750"/>
      <c r="AH602" s="750"/>
      <c r="AI602" s="750"/>
      <c r="AJ602" s="750"/>
      <c r="AK602" s="750"/>
      <c r="AL602" s="750"/>
      <c r="AM602" s="750"/>
      <c r="AN602" s="750"/>
      <c r="AO602" s="750"/>
      <c r="AP602" s="750"/>
      <c r="AQ602" s="750"/>
      <c r="AR602" s="750"/>
      <c r="AS602" s="750"/>
      <c r="AT602" s="750"/>
      <c r="AU602" s="750"/>
      <c r="AV602" s="750"/>
      <c r="AW602" s="750"/>
      <c r="AX602" s="750"/>
      <c r="AY602" s="750"/>
      <c r="AZ602" s="750"/>
      <c r="BA602" s="750"/>
      <c r="BB602" s="750"/>
      <c r="BC602" s="752"/>
      <c r="BD602" s="752"/>
      <c r="BE602" s="752"/>
      <c r="BF602" s="752"/>
      <c r="BG602" s="752"/>
      <c r="BH602" s="752"/>
      <c r="BI602" s="752"/>
      <c r="BJ602" s="752"/>
      <c r="BK602" s="752"/>
      <c r="BL602" s="752"/>
      <c r="BM602" s="752"/>
      <c r="BN602" s="752"/>
      <c r="BO602" s="752"/>
      <c r="BP602" s="752"/>
      <c r="BQ602" s="752"/>
    </row>
    <row r="603" spans="1:69" ht="49.5">
      <c r="A603" s="779"/>
      <c r="B603" s="11"/>
      <c r="C603" s="304"/>
      <c r="D603" s="304"/>
      <c r="E603" s="304"/>
      <c r="F603" s="304"/>
      <c r="G603" s="304"/>
      <c r="H603" s="304"/>
      <c r="I603" s="250" t="s">
        <v>933</v>
      </c>
      <c r="J603" s="11" t="s">
        <v>90</v>
      </c>
      <c r="K603" s="318">
        <v>60</v>
      </c>
      <c r="L603" s="24">
        <f>274774400+228806750+229000000+230000000+231000000+232000000</f>
        <v>1425581150</v>
      </c>
      <c r="M603" s="616">
        <v>24</v>
      </c>
      <c r="N603" s="24">
        <v>711834657</v>
      </c>
      <c r="O603" s="318">
        <v>12</v>
      </c>
      <c r="P603" s="24">
        <v>305731250</v>
      </c>
      <c r="Q603" s="318">
        <v>3</v>
      </c>
      <c r="R603" s="24">
        <v>18440150</v>
      </c>
      <c r="S603" s="11"/>
      <c r="T603" s="24">
        <v>84331438</v>
      </c>
      <c r="U603" s="11"/>
      <c r="V603" s="265"/>
      <c r="W603" s="11"/>
      <c r="X603" s="24"/>
      <c r="Y603" s="528">
        <f t="shared" si="163"/>
        <v>3</v>
      </c>
      <c r="Z603" s="24">
        <f t="shared" si="166"/>
        <v>102771588</v>
      </c>
      <c r="AA603" s="11">
        <f t="shared" si="164"/>
        <v>27</v>
      </c>
      <c r="AB603" s="24">
        <f t="shared" si="167"/>
        <v>814606245</v>
      </c>
      <c r="AC603" s="613">
        <f t="shared" si="165"/>
        <v>45</v>
      </c>
      <c r="AD603" s="613">
        <f t="shared" si="168"/>
        <v>57.142046596224979</v>
      </c>
      <c r="AE603" s="745"/>
      <c r="AF603" s="750"/>
      <c r="AG603" s="750"/>
      <c r="AH603" s="750"/>
      <c r="AI603" s="750"/>
      <c r="AJ603" s="750"/>
      <c r="AK603" s="750"/>
      <c r="AL603" s="750"/>
      <c r="AM603" s="750"/>
      <c r="AN603" s="750"/>
      <c r="AO603" s="750"/>
      <c r="AP603" s="750"/>
      <c r="AQ603" s="750"/>
      <c r="AR603" s="750"/>
      <c r="AS603" s="750"/>
      <c r="AT603" s="750"/>
      <c r="AU603" s="750"/>
      <c r="AV603" s="750"/>
      <c r="AW603" s="750"/>
      <c r="AX603" s="750"/>
      <c r="AY603" s="750"/>
      <c r="AZ603" s="750"/>
      <c r="BA603" s="750"/>
      <c r="BB603" s="750"/>
      <c r="BC603" s="752"/>
      <c r="BD603" s="752"/>
      <c r="BE603" s="752"/>
      <c r="BF603" s="752"/>
      <c r="BG603" s="752"/>
      <c r="BH603" s="752"/>
      <c r="BI603" s="752"/>
      <c r="BJ603" s="752"/>
      <c r="BK603" s="752"/>
      <c r="BL603" s="752"/>
      <c r="BM603" s="752"/>
      <c r="BN603" s="752"/>
      <c r="BO603" s="752"/>
      <c r="BP603" s="752"/>
      <c r="BQ603" s="752"/>
    </row>
    <row r="604" spans="1:69" ht="37.5" customHeight="1">
      <c r="A604" s="303">
        <v>3</v>
      </c>
      <c r="B604" s="134"/>
      <c r="C604" s="161"/>
      <c r="D604" s="161"/>
      <c r="E604" s="161"/>
      <c r="F604" s="161"/>
      <c r="G604" s="161"/>
      <c r="H604" s="161"/>
      <c r="I604" s="33" t="s">
        <v>934</v>
      </c>
      <c r="J604" s="33" t="s">
        <v>935</v>
      </c>
      <c r="K604" s="159">
        <v>100</v>
      </c>
      <c r="L604" s="159">
        <f>L605</f>
        <v>735046150</v>
      </c>
      <c r="M604" s="159">
        <v>95</v>
      </c>
      <c r="N604" s="159">
        <f>N605</f>
        <v>635046150</v>
      </c>
      <c r="O604" s="159">
        <v>0</v>
      </c>
      <c r="P604" s="159">
        <f>P605</f>
        <v>0</v>
      </c>
      <c r="Q604" s="617"/>
      <c r="R604" s="159">
        <f>R605</f>
        <v>0</v>
      </c>
      <c r="S604" s="33"/>
      <c r="T604" s="159"/>
      <c r="U604" s="33"/>
      <c r="V604" s="223">
        <f>SUM(V605)</f>
        <v>0</v>
      </c>
      <c r="W604" s="33"/>
      <c r="X604" s="223">
        <f>SUM(X605)</f>
        <v>0</v>
      </c>
      <c r="Y604" s="532">
        <f t="shared" si="163"/>
        <v>0</v>
      </c>
      <c r="Z604" s="159">
        <f t="shared" si="166"/>
        <v>0</v>
      </c>
      <c r="AA604" s="617">
        <f t="shared" si="164"/>
        <v>95</v>
      </c>
      <c r="AB604" s="159">
        <f t="shared" si="167"/>
        <v>635046150</v>
      </c>
      <c r="AC604" s="610">
        <f t="shared" si="165"/>
        <v>95</v>
      </c>
      <c r="AD604" s="610">
        <f t="shared" si="168"/>
        <v>86.395412043175796</v>
      </c>
      <c r="AE604" s="369" t="s">
        <v>4117</v>
      </c>
      <c r="AF604" s="750"/>
      <c r="AG604" s="750"/>
      <c r="AH604" s="750"/>
      <c r="AI604" s="750"/>
      <c r="AJ604" s="750"/>
      <c r="AK604" s="750"/>
      <c r="AL604" s="750"/>
      <c r="AM604" s="750"/>
      <c r="AN604" s="750"/>
      <c r="AO604" s="750"/>
      <c r="AP604" s="750"/>
      <c r="AQ604" s="750"/>
      <c r="AR604" s="750"/>
      <c r="AS604" s="750"/>
      <c r="AT604" s="750"/>
      <c r="AU604" s="750"/>
      <c r="AV604" s="750"/>
      <c r="AW604" s="750"/>
      <c r="AX604" s="750"/>
      <c r="AY604" s="750"/>
      <c r="AZ604" s="750"/>
      <c r="BA604" s="750"/>
      <c r="BB604" s="750"/>
      <c r="BC604" s="752"/>
      <c r="BD604" s="752"/>
      <c r="BE604" s="752"/>
      <c r="BF604" s="752"/>
      <c r="BG604" s="752"/>
      <c r="BH604" s="752"/>
      <c r="BI604" s="752"/>
      <c r="BJ604" s="752"/>
      <c r="BK604" s="752"/>
      <c r="BL604" s="752"/>
      <c r="BM604" s="752"/>
      <c r="BN604" s="752"/>
      <c r="BO604" s="752"/>
      <c r="BP604" s="752"/>
      <c r="BQ604" s="752"/>
    </row>
    <row r="605" spans="1:69" ht="49.5">
      <c r="A605" s="304"/>
      <c r="B605" s="250"/>
      <c r="C605" s="304"/>
      <c r="D605" s="304"/>
      <c r="E605" s="304"/>
      <c r="F605" s="304"/>
      <c r="G605" s="304"/>
      <c r="H605" s="304"/>
      <c r="I605" s="240" t="s">
        <v>936</v>
      </c>
      <c r="J605" s="11" t="s">
        <v>2780</v>
      </c>
      <c r="K605" s="318">
        <v>4</v>
      </c>
      <c r="L605" s="24">
        <f>N605+100000000</f>
        <v>735046150</v>
      </c>
      <c r="M605" s="318">
        <v>3</v>
      </c>
      <c r="N605" s="24">
        <v>635046150</v>
      </c>
      <c r="O605" s="318"/>
      <c r="P605" s="24">
        <v>0</v>
      </c>
      <c r="Q605" s="318"/>
      <c r="R605" s="24">
        <v>0</v>
      </c>
      <c r="S605" s="618"/>
      <c r="T605" s="619"/>
      <c r="U605" s="11"/>
      <c r="V605" s="265"/>
      <c r="W605" s="11"/>
      <c r="X605" s="24"/>
      <c r="Y605" s="265">
        <f t="shared" si="163"/>
        <v>0</v>
      </c>
      <c r="Z605" s="24">
        <f t="shared" si="166"/>
        <v>0</v>
      </c>
      <c r="AA605" s="11">
        <f t="shared" si="164"/>
        <v>3</v>
      </c>
      <c r="AB605" s="24">
        <f t="shared" si="167"/>
        <v>635046150</v>
      </c>
      <c r="AC605" s="613">
        <f t="shared" si="165"/>
        <v>75</v>
      </c>
      <c r="AD605" s="613">
        <f t="shared" si="168"/>
        <v>86.395412043175796</v>
      </c>
      <c r="AE605" s="745"/>
      <c r="AF605" s="750"/>
      <c r="AG605" s="750"/>
      <c r="AH605" s="750"/>
      <c r="AI605" s="750"/>
      <c r="AJ605" s="750"/>
      <c r="AK605" s="750"/>
      <c r="AL605" s="750"/>
      <c r="AM605" s="750"/>
      <c r="AN605" s="750"/>
      <c r="AO605" s="750"/>
      <c r="AP605" s="750"/>
      <c r="AQ605" s="750"/>
      <c r="AR605" s="750"/>
      <c r="AS605" s="750"/>
      <c r="AT605" s="750"/>
      <c r="AU605" s="750"/>
      <c r="AV605" s="750"/>
      <c r="AW605" s="750"/>
      <c r="AX605" s="750"/>
      <c r="AY605" s="750"/>
      <c r="AZ605" s="750"/>
      <c r="BA605" s="750"/>
      <c r="BB605" s="750"/>
      <c r="BC605" s="752"/>
      <c r="BD605" s="752"/>
      <c r="BE605" s="752"/>
      <c r="BF605" s="752"/>
      <c r="BG605" s="752"/>
      <c r="BH605" s="752"/>
      <c r="BI605" s="752"/>
      <c r="BJ605" s="752"/>
      <c r="BK605" s="752"/>
      <c r="BL605" s="752"/>
      <c r="BM605" s="752"/>
      <c r="BN605" s="752"/>
      <c r="BO605" s="752"/>
      <c r="BP605" s="752"/>
      <c r="BQ605" s="752"/>
    </row>
    <row r="606" spans="1:69" ht="49.5">
      <c r="A606" s="620">
        <v>4</v>
      </c>
      <c r="B606" s="621"/>
      <c r="C606" s="620"/>
      <c r="D606" s="620"/>
      <c r="E606" s="620"/>
      <c r="F606" s="620"/>
      <c r="G606" s="620"/>
      <c r="H606" s="620"/>
      <c r="I606" s="33" t="s">
        <v>937</v>
      </c>
      <c r="J606" s="33" t="s">
        <v>2781</v>
      </c>
      <c r="K606" s="609">
        <v>100</v>
      </c>
      <c r="L606" s="159">
        <f>SUM(L607:L609)</f>
        <v>566422500</v>
      </c>
      <c r="M606" s="614">
        <v>60</v>
      </c>
      <c r="N606" s="159">
        <f>SUM(N607:N609)</f>
        <v>0</v>
      </c>
      <c r="O606" s="609">
        <v>20</v>
      </c>
      <c r="P606" s="159">
        <f>SUM(P607:P609)</f>
        <v>209857500</v>
      </c>
      <c r="Q606" s="609">
        <v>0</v>
      </c>
      <c r="R606" s="159">
        <f>SUM(R607:R609)</f>
        <v>3480000</v>
      </c>
      <c r="S606" s="33"/>
      <c r="T606" s="159">
        <f>SUM(T607:T609)</f>
        <v>2250000</v>
      </c>
      <c r="U606" s="33"/>
      <c r="V606" s="159">
        <f>SUM(V607:V609)</f>
        <v>0</v>
      </c>
      <c r="W606" s="33"/>
      <c r="X606" s="159">
        <f>SUM(X607:X609)</f>
        <v>0</v>
      </c>
      <c r="Y606" s="531">
        <f t="shared" si="163"/>
        <v>0</v>
      </c>
      <c r="Z606" s="159">
        <f t="shared" si="166"/>
        <v>5730000</v>
      </c>
      <c r="AA606" s="33">
        <f t="shared" si="164"/>
        <v>60</v>
      </c>
      <c r="AB606" s="159">
        <f t="shared" si="167"/>
        <v>5730000</v>
      </c>
      <c r="AC606" s="610">
        <f t="shared" si="165"/>
        <v>60</v>
      </c>
      <c r="AD606" s="610">
        <f t="shared" si="168"/>
        <v>1.0116123565006687</v>
      </c>
      <c r="AE606" s="369" t="s">
        <v>4117</v>
      </c>
      <c r="AF606" s="750"/>
      <c r="AG606" s="750"/>
      <c r="AH606" s="750"/>
      <c r="AI606" s="750"/>
      <c r="AJ606" s="750"/>
      <c r="AK606" s="750"/>
      <c r="AL606" s="750"/>
      <c r="AM606" s="750"/>
      <c r="AN606" s="750"/>
      <c r="AO606" s="750"/>
      <c r="AP606" s="750"/>
      <c r="AQ606" s="750"/>
      <c r="AR606" s="750"/>
      <c r="AS606" s="750"/>
      <c r="AT606" s="750"/>
      <c r="AU606" s="750"/>
      <c r="AV606" s="750"/>
      <c r="AW606" s="750"/>
      <c r="AX606" s="750"/>
      <c r="AY606" s="750"/>
      <c r="AZ606" s="750"/>
      <c r="BA606" s="750"/>
      <c r="BB606" s="750"/>
      <c r="BC606" s="752"/>
      <c r="BD606" s="752"/>
      <c r="BE606" s="752"/>
      <c r="BF606" s="752"/>
      <c r="BG606" s="752"/>
      <c r="BH606" s="752"/>
      <c r="BI606" s="752"/>
      <c r="BJ606" s="752"/>
      <c r="BK606" s="752"/>
      <c r="BL606" s="752"/>
      <c r="BM606" s="752"/>
      <c r="BN606" s="752"/>
      <c r="BO606" s="752"/>
      <c r="BP606" s="752"/>
      <c r="BQ606" s="752"/>
    </row>
    <row r="607" spans="1:69" ht="66">
      <c r="A607" s="304"/>
      <c r="B607" s="250"/>
      <c r="C607" s="304"/>
      <c r="D607" s="304"/>
      <c r="E607" s="304"/>
      <c r="F607" s="304"/>
      <c r="G607" s="304"/>
      <c r="H607" s="304"/>
      <c r="I607" s="8" t="s">
        <v>938</v>
      </c>
      <c r="J607" s="11" t="s">
        <v>939</v>
      </c>
      <c r="K607" s="318">
        <v>60</v>
      </c>
      <c r="L607" s="24">
        <v>150000000</v>
      </c>
      <c r="M607" s="616">
        <v>12</v>
      </c>
      <c r="N607" s="24">
        <v>0</v>
      </c>
      <c r="O607" s="318">
        <v>12</v>
      </c>
      <c r="P607" s="24">
        <v>71050000</v>
      </c>
      <c r="Q607" s="318">
        <v>3</v>
      </c>
      <c r="R607" s="24">
        <v>3480000</v>
      </c>
      <c r="S607" s="11">
        <v>3</v>
      </c>
      <c r="T607" s="2278">
        <f>5730000-R607</f>
        <v>2250000</v>
      </c>
      <c r="U607" s="11"/>
      <c r="V607" s="265"/>
      <c r="W607" s="11"/>
      <c r="X607" s="24"/>
      <c r="Y607" s="528">
        <f t="shared" si="163"/>
        <v>6</v>
      </c>
      <c r="Z607" s="24">
        <f t="shared" si="166"/>
        <v>5730000</v>
      </c>
      <c r="AA607" s="11">
        <f t="shared" si="164"/>
        <v>18</v>
      </c>
      <c r="AB607" s="24">
        <f t="shared" si="167"/>
        <v>5730000</v>
      </c>
      <c r="AC607" s="613">
        <f t="shared" si="165"/>
        <v>30</v>
      </c>
      <c r="AD607" s="613">
        <f t="shared" si="168"/>
        <v>3.82</v>
      </c>
      <c r="AE607" s="745"/>
      <c r="AF607" s="201"/>
      <c r="AG607" s="201"/>
      <c r="AH607" s="201"/>
      <c r="AI607" s="201"/>
      <c r="AJ607" s="201"/>
      <c r="AK607" s="201"/>
      <c r="AL607" s="201"/>
      <c r="AM607" s="201"/>
      <c r="AN607" s="201"/>
      <c r="AO607" s="201"/>
      <c r="AP607" s="201"/>
      <c r="AQ607" s="201"/>
      <c r="AR607" s="201"/>
      <c r="AS607" s="201"/>
      <c r="AT607" s="201"/>
      <c r="AU607" s="201"/>
      <c r="AV607" s="201"/>
      <c r="AW607" s="201"/>
      <c r="AX607" s="201"/>
      <c r="AY607" s="201"/>
      <c r="AZ607" s="201"/>
      <c r="BA607" s="201"/>
      <c r="BB607" s="201"/>
      <c r="BC607" s="20"/>
      <c r="BD607" s="20"/>
      <c r="BE607" s="20"/>
      <c r="BF607" s="20"/>
      <c r="BG607" s="20"/>
      <c r="BH607" s="20"/>
      <c r="BI607" s="20"/>
      <c r="BJ607" s="20"/>
      <c r="BK607" s="20"/>
      <c r="BL607" s="20"/>
      <c r="BM607" s="20"/>
      <c r="BN607" s="20"/>
      <c r="BO607" s="20"/>
      <c r="BP607" s="20"/>
      <c r="BQ607" s="20"/>
    </row>
    <row r="608" spans="1:69" ht="49.5">
      <c r="A608" s="304"/>
      <c r="B608" s="250"/>
      <c r="C608" s="304"/>
      <c r="D608" s="304"/>
      <c r="E608" s="304"/>
      <c r="F608" s="304"/>
      <c r="G608" s="304"/>
      <c r="H608" s="304"/>
      <c r="I608" s="8" t="s">
        <v>940</v>
      </c>
      <c r="J608" s="11" t="s">
        <v>2782</v>
      </c>
      <c r="K608" s="318">
        <f>3*O608</f>
        <v>180</v>
      </c>
      <c r="L608" s="24">
        <f>3*P608</f>
        <v>189000000</v>
      </c>
      <c r="M608" s="24">
        <v>0</v>
      </c>
      <c r="N608" s="24">
        <v>0</v>
      </c>
      <c r="O608" s="318">
        <v>60</v>
      </c>
      <c r="P608" s="24">
        <v>63000000</v>
      </c>
      <c r="Q608" s="24">
        <v>0</v>
      </c>
      <c r="R608" s="24">
        <v>0</v>
      </c>
      <c r="S608" s="11"/>
      <c r="T608" s="24"/>
      <c r="U608" s="11"/>
      <c r="V608" s="265"/>
      <c r="W608" s="11"/>
      <c r="X608" s="24"/>
      <c r="Y608" s="528">
        <f t="shared" si="163"/>
        <v>0</v>
      </c>
      <c r="Z608" s="24">
        <f t="shared" si="166"/>
        <v>0</v>
      </c>
      <c r="AA608" s="11">
        <f t="shared" si="164"/>
        <v>0</v>
      </c>
      <c r="AB608" s="24">
        <f t="shared" si="167"/>
        <v>0</v>
      </c>
      <c r="AC608" s="613"/>
      <c r="AD608" s="613"/>
      <c r="AE608" s="745"/>
      <c r="AF608" s="201"/>
      <c r="AG608" s="201"/>
      <c r="AH608" s="201"/>
      <c r="AI608" s="201"/>
      <c r="AJ608" s="201"/>
      <c r="AK608" s="201"/>
      <c r="AL608" s="201"/>
      <c r="AM608" s="201"/>
      <c r="AN608" s="201"/>
      <c r="AO608" s="201"/>
      <c r="AP608" s="201"/>
      <c r="AQ608" s="201"/>
      <c r="AR608" s="201"/>
      <c r="AS608" s="201"/>
      <c r="AT608" s="201"/>
      <c r="AU608" s="201"/>
      <c r="AV608" s="201"/>
      <c r="AW608" s="201"/>
      <c r="AX608" s="201"/>
      <c r="AY608" s="201"/>
      <c r="AZ608" s="201"/>
      <c r="BA608" s="201"/>
      <c r="BB608" s="201"/>
      <c r="BC608" s="20"/>
      <c r="BD608" s="20"/>
      <c r="BE608" s="20"/>
      <c r="BF608" s="20"/>
      <c r="BG608" s="20"/>
      <c r="BH608" s="20"/>
      <c r="BI608" s="20"/>
      <c r="BJ608" s="20"/>
      <c r="BK608" s="20"/>
      <c r="BL608" s="20"/>
      <c r="BM608" s="20"/>
      <c r="BN608" s="20"/>
      <c r="BO608" s="20"/>
      <c r="BP608" s="20"/>
      <c r="BQ608" s="20"/>
    </row>
    <row r="609" spans="1:70" ht="66">
      <c r="A609" s="304"/>
      <c r="B609" s="250"/>
      <c r="C609" s="304"/>
      <c r="D609" s="304"/>
      <c r="E609" s="304"/>
      <c r="F609" s="304"/>
      <c r="G609" s="304"/>
      <c r="H609" s="304"/>
      <c r="I609" s="8" t="s">
        <v>941</v>
      </c>
      <c r="J609" s="11" t="s">
        <v>2783</v>
      </c>
      <c r="K609" s="318">
        <v>15</v>
      </c>
      <c r="L609" s="24">
        <f>3*P609</f>
        <v>227422500</v>
      </c>
      <c r="M609" s="24">
        <v>0</v>
      </c>
      <c r="N609" s="24">
        <v>0</v>
      </c>
      <c r="O609" s="318">
        <v>5</v>
      </c>
      <c r="P609" s="24">
        <v>75807500</v>
      </c>
      <c r="Q609" s="24">
        <v>0</v>
      </c>
      <c r="R609" s="24">
        <v>0</v>
      </c>
      <c r="S609" s="11"/>
      <c r="T609" s="24"/>
      <c r="U609" s="11"/>
      <c r="V609" s="265"/>
      <c r="W609" s="11"/>
      <c r="X609" s="24"/>
      <c r="Y609" s="528">
        <f t="shared" si="163"/>
        <v>0</v>
      </c>
      <c r="Z609" s="24">
        <f t="shared" si="166"/>
        <v>0</v>
      </c>
      <c r="AA609" s="11">
        <f t="shared" si="164"/>
        <v>0</v>
      </c>
      <c r="AB609" s="24">
        <f t="shared" si="167"/>
        <v>0</v>
      </c>
      <c r="AC609" s="613"/>
      <c r="AD609" s="613"/>
      <c r="AE609" s="745"/>
      <c r="AF609" s="750"/>
      <c r="AG609" s="750"/>
      <c r="AH609" s="750"/>
      <c r="AI609" s="750"/>
      <c r="AJ609" s="750"/>
      <c r="AK609" s="750"/>
      <c r="AL609" s="750"/>
      <c r="AM609" s="750"/>
      <c r="AN609" s="750"/>
      <c r="AO609" s="750"/>
      <c r="AP609" s="750"/>
      <c r="AQ609" s="750"/>
      <c r="AR609" s="750"/>
      <c r="AS609" s="750"/>
      <c r="AT609" s="750"/>
      <c r="AU609" s="750"/>
      <c r="AV609" s="750"/>
      <c r="AW609" s="750"/>
      <c r="AX609" s="750"/>
      <c r="AY609" s="750"/>
      <c r="AZ609" s="750"/>
      <c r="BA609" s="750"/>
      <c r="BB609" s="750"/>
      <c r="BC609" s="752"/>
      <c r="BD609" s="752"/>
      <c r="BE609" s="752"/>
      <c r="BF609" s="752"/>
      <c r="BG609" s="752"/>
      <c r="BH609" s="752"/>
      <c r="BI609" s="752"/>
      <c r="BJ609" s="752"/>
      <c r="BK609" s="752"/>
      <c r="BL609" s="752"/>
      <c r="BM609" s="752"/>
      <c r="BN609" s="752"/>
      <c r="BO609" s="752"/>
      <c r="BP609" s="752"/>
      <c r="BQ609" s="752"/>
    </row>
    <row r="610" spans="1:70" s="22" customFormat="1" ht="49.5">
      <c r="A610" s="303">
        <v>5</v>
      </c>
      <c r="B610" s="134"/>
      <c r="C610" s="534"/>
      <c r="D610" s="534"/>
      <c r="E610" s="534"/>
      <c r="F610" s="534"/>
      <c r="G610" s="534"/>
      <c r="H610" s="534"/>
      <c r="I610" s="134" t="s">
        <v>942</v>
      </c>
      <c r="J610" s="33" t="s">
        <v>2784</v>
      </c>
      <c r="K610" s="230">
        <v>98</v>
      </c>
      <c r="L610" s="975">
        <f>SUM(L611:L611)</f>
        <v>2130037170</v>
      </c>
      <c r="M610" s="230">
        <v>95</v>
      </c>
      <c r="N610" s="975">
        <f>SUM(N611:N611)</f>
        <v>864547858</v>
      </c>
      <c r="O610" s="230">
        <v>3</v>
      </c>
      <c r="P610" s="975">
        <f>SUM(P611:P611)</f>
        <v>295365000</v>
      </c>
      <c r="Q610" s="159">
        <v>0.05</v>
      </c>
      <c r="R610" s="975">
        <f>SUM(R611:R611)</f>
        <v>22261300</v>
      </c>
      <c r="S610" s="159">
        <v>0.16</v>
      </c>
      <c r="T610" s="975">
        <f>T611</f>
        <v>92123235</v>
      </c>
      <c r="U610" s="33"/>
      <c r="V610" s="223">
        <f>SUM(V611)</f>
        <v>0</v>
      </c>
      <c r="W610" s="33"/>
      <c r="X610" s="223">
        <f>SUM(X611)</f>
        <v>0</v>
      </c>
      <c r="Y610" s="617">
        <f t="shared" si="163"/>
        <v>0.21000000000000002</v>
      </c>
      <c r="Z610" s="975">
        <f t="shared" si="166"/>
        <v>114384535</v>
      </c>
      <c r="AA610" s="617">
        <f t="shared" si="164"/>
        <v>95.21</v>
      </c>
      <c r="AB610" s="159">
        <f t="shared" si="167"/>
        <v>978932393</v>
      </c>
      <c r="AC610" s="610">
        <f t="shared" ref="AC610:AD613" si="169">AA610/K610*100</f>
        <v>97.15306122448979</v>
      </c>
      <c r="AD610" s="1614">
        <f t="shared" si="169"/>
        <v>45.958465269411235</v>
      </c>
      <c r="AE610" s="369" t="s">
        <v>4117</v>
      </c>
      <c r="AF610" s="201"/>
      <c r="AG610" s="201"/>
      <c r="AH610" s="201"/>
      <c r="AI610" s="201"/>
      <c r="AJ610" s="201"/>
      <c r="AK610" s="201"/>
      <c r="AL610" s="201"/>
      <c r="AM610" s="201"/>
      <c r="AN610" s="201"/>
      <c r="AO610" s="201"/>
      <c r="AP610" s="201"/>
      <c r="AQ610" s="201"/>
      <c r="AR610" s="201"/>
      <c r="AS610" s="201"/>
      <c r="AT610" s="201"/>
      <c r="AU610" s="201"/>
      <c r="AV610" s="201"/>
      <c r="AW610" s="201"/>
      <c r="AX610" s="201"/>
      <c r="AY610" s="201"/>
      <c r="AZ610" s="201"/>
      <c r="BA610" s="201"/>
      <c r="BB610" s="201"/>
      <c r="BC610" s="20"/>
      <c r="BD610" s="20"/>
      <c r="BE610" s="20"/>
      <c r="BF610" s="20"/>
      <c r="BG610" s="20"/>
      <c r="BH610" s="20"/>
      <c r="BI610" s="20"/>
      <c r="BJ610" s="20"/>
      <c r="BK610" s="20"/>
      <c r="BL610" s="20"/>
      <c r="BM610" s="20"/>
      <c r="BN610" s="20"/>
      <c r="BO610" s="20"/>
      <c r="BP610" s="20"/>
      <c r="BQ610" s="20"/>
      <c r="BR610" s="752"/>
    </row>
    <row r="611" spans="1:70" ht="71.25" customHeight="1">
      <c r="A611" s="622"/>
      <c r="B611" s="250"/>
      <c r="C611" s="623"/>
      <c r="D611" s="623"/>
      <c r="E611" s="623"/>
      <c r="F611" s="623"/>
      <c r="G611" s="623"/>
      <c r="H611" s="623"/>
      <c r="I611" s="240" t="s">
        <v>943</v>
      </c>
      <c r="J611" s="8" t="s">
        <v>2785</v>
      </c>
      <c r="K611" s="24">
        <v>60</v>
      </c>
      <c r="L611" s="24">
        <f>360000000+320037170+330000000+350000000+370000000+400000000</f>
        <v>2130037170</v>
      </c>
      <c r="M611" s="24">
        <v>24</v>
      </c>
      <c r="N611" s="24">
        <v>864547858</v>
      </c>
      <c r="O611" s="24">
        <v>12</v>
      </c>
      <c r="P611" s="24">
        <v>295365000</v>
      </c>
      <c r="Q611" s="24">
        <v>3</v>
      </c>
      <c r="R611" s="24">
        <v>22261300</v>
      </c>
      <c r="S611" s="24"/>
      <c r="T611" s="2278">
        <f>114384535-R611</f>
        <v>92123235</v>
      </c>
      <c r="U611" s="624"/>
      <c r="V611" s="265"/>
      <c r="W611" s="624"/>
      <c r="X611" s="24"/>
      <c r="Y611" s="625">
        <f t="shared" si="163"/>
        <v>3</v>
      </c>
      <c r="Z611" s="24">
        <f t="shared" si="166"/>
        <v>114384535</v>
      </c>
      <c r="AA611" s="625">
        <f t="shared" si="164"/>
        <v>27</v>
      </c>
      <c r="AB611" s="24">
        <f t="shared" si="167"/>
        <v>978932393</v>
      </c>
      <c r="AC611" s="613">
        <f t="shared" si="169"/>
        <v>45</v>
      </c>
      <c r="AD611" s="613">
        <f t="shared" si="169"/>
        <v>45.958465269411235</v>
      </c>
      <c r="AE611" s="483"/>
      <c r="AF611" s="750"/>
      <c r="AG611" s="750"/>
      <c r="AH611" s="750"/>
      <c r="AI611" s="750"/>
      <c r="AJ611" s="750"/>
      <c r="AK611" s="750"/>
      <c r="AL611" s="750"/>
      <c r="AM611" s="750"/>
      <c r="AN611" s="750"/>
      <c r="AO611" s="750"/>
      <c r="AP611" s="750"/>
      <c r="AQ611" s="750"/>
      <c r="AR611" s="750"/>
      <c r="AS611" s="750"/>
      <c r="AT611" s="750"/>
      <c r="AU611" s="750"/>
      <c r="AV611" s="750"/>
      <c r="AW611" s="750"/>
      <c r="AX611" s="750"/>
      <c r="AY611" s="750"/>
      <c r="AZ611" s="750"/>
      <c r="BA611" s="750"/>
      <c r="BB611" s="750"/>
      <c r="BC611" s="752"/>
      <c r="BD611" s="752"/>
      <c r="BE611" s="752"/>
      <c r="BF611" s="752"/>
      <c r="BG611" s="752"/>
      <c r="BH611" s="752"/>
      <c r="BI611" s="752"/>
      <c r="BJ611" s="752"/>
      <c r="BK611" s="752"/>
      <c r="BL611" s="752"/>
      <c r="BM611" s="752"/>
      <c r="BN611" s="752"/>
      <c r="BO611" s="752"/>
      <c r="BP611" s="752"/>
      <c r="BQ611" s="752"/>
    </row>
    <row r="612" spans="1:70" s="22" customFormat="1" ht="99">
      <c r="A612" s="303">
        <v>6</v>
      </c>
      <c r="B612" s="134"/>
      <c r="C612" s="534"/>
      <c r="D612" s="534"/>
      <c r="E612" s="534"/>
      <c r="F612" s="534"/>
      <c r="G612" s="534"/>
      <c r="H612" s="534"/>
      <c r="I612" s="134" t="s">
        <v>944</v>
      </c>
      <c r="J612" s="33" t="s">
        <v>2786</v>
      </c>
      <c r="K612" s="230">
        <v>99</v>
      </c>
      <c r="L612" s="975">
        <f>SUM(L613:L619)</f>
        <v>6331043631</v>
      </c>
      <c r="M612" s="230">
        <v>95</v>
      </c>
      <c r="N612" s="975">
        <f>SUM(N613:N619)</f>
        <v>737102489</v>
      </c>
      <c r="O612" s="230">
        <v>3</v>
      </c>
      <c r="P612" s="975">
        <f>SUM(P613:P619)</f>
        <v>314448750</v>
      </c>
      <c r="Q612" s="159">
        <v>0.03</v>
      </c>
      <c r="R612" s="975">
        <f>SUM(R613:R619)</f>
        <v>3033000</v>
      </c>
      <c r="S612" s="159">
        <v>0.1</v>
      </c>
      <c r="T612" s="975">
        <f>SUM(T613:T615)</f>
        <v>132620012</v>
      </c>
      <c r="U612" s="33"/>
      <c r="V612" s="975">
        <f>SUM(V613:V619)</f>
        <v>0</v>
      </c>
      <c r="W612" s="33"/>
      <c r="X612" s="975">
        <f>SUM(X613:X619)</f>
        <v>0</v>
      </c>
      <c r="Y612" s="532">
        <f t="shared" si="163"/>
        <v>0.13</v>
      </c>
      <c r="Z612" s="975">
        <f t="shared" si="166"/>
        <v>135653012</v>
      </c>
      <c r="AA612" s="33">
        <f t="shared" si="164"/>
        <v>95.13</v>
      </c>
      <c r="AB612" s="159">
        <f t="shared" si="167"/>
        <v>872755501</v>
      </c>
      <c r="AC612" s="610">
        <f t="shared" si="169"/>
        <v>96.090909090909079</v>
      </c>
      <c r="AD612" s="1614">
        <f t="shared" si="169"/>
        <v>13.785333854382973</v>
      </c>
      <c r="AE612" s="369" t="s">
        <v>4117</v>
      </c>
      <c r="AF612" s="201"/>
      <c r="AG612" s="201"/>
      <c r="AH612" s="201"/>
      <c r="AI612" s="201"/>
      <c r="AJ612" s="201"/>
      <c r="AK612" s="201"/>
      <c r="AL612" s="201"/>
      <c r="AM612" s="201"/>
      <c r="AN612" s="201"/>
      <c r="AO612" s="201"/>
      <c r="AP612" s="201"/>
      <c r="AQ612" s="201"/>
      <c r="AR612" s="201"/>
      <c r="AS612" s="201"/>
      <c r="AT612" s="201"/>
      <c r="AU612" s="201"/>
      <c r="AV612" s="201"/>
      <c r="AW612" s="201"/>
      <c r="AX612" s="201"/>
      <c r="AY612" s="201"/>
      <c r="AZ612" s="201"/>
      <c r="BA612" s="201"/>
      <c r="BB612" s="201"/>
      <c r="BC612" s="20"/>
      <c r="BD612" s="20"/>
      <c r="BE612" s="20"/>
      <c r="BF612" s="20"/>
      <c r="BG612" s="20"/>
      <c r="BH612" s="20"/>
      <c r="BI612" s="20"/>
      <c r="BJ612" s="20"/>
      <c r="BK612" s="20"/>
      <c r="BL612" s="20"/>
      <c r="BM612" s="20"/>
      <c r="BN612" s="20"/>
      <c r="BO612" s="20"/>
      <c r="BP612" s="20"/>
      <c r="BQ612" s="20"/>
      <c r="BR612" s="752"/>
    </row>
    <row r="613" spans="1:70" ht="66">
      <c r="A613" s="304"/>
      <c r="B613" s="250"/>
      <c r="C613" s="623"/>
      <c r="D613" s="623"/>
      <c r="E613" s="623"/>
      <c r="F613" s="623"/>
      <c r="G613" s="623"/>
      <c r="H613" s="623"/>
      <c r="I613" s="240" t="s">
        <v>945</v>
      </c>
      <c r="J613" s="8" t="s">
        <v>2787</v>
      </c>
      <c r="K613" s="318">
        <v>60</v>
      </c>
      <c r="L613" s="24">
        <f>180000000+81722626+180000000+200000000+250000000+300000000</f>
        <v>1191722626</v>
      </c>
      <c r="M613" s="318">
        <v>24</v>
      </c>
      <c r="N613" s="24">
        <v>159337425</v>
      </c>
      <c r="O613" s="318">
        <v>12</v>
      </c>
      <c r="P613" s="24">
        <v>49275000</v>
      </c>
      <c r="Q613" s="318">
        <v>3</v>
      </c>
      <c r="R613" s="24">
        <v>3033000</v>
      </c>
      <c r="S613" s="612">
        <v>6</v>
      </c>
      <c r="T613" s="24">
        <v>17029750</v>
      </c>
      <c r="U613" s="11"/>
      <c r="V613" s="265"/>
      <c r="W613" s="11"/>
      <c r="X613" s="24"/>
      <c r="Y613" s="528">
        <f t="shared" si="163"/>
        <v>9</v>
      </c>
      <c r="Z613" s="24">
        <f t="shared" si="166"/>
        <v>20062750</v>
      </c>
      <c r="AA613" s="624">
        <v>0.45</v>
      </c>
      <c r="AB613" s="24">
        <f t="shared" si="167"/>
        <v>179400175</v>
      </c>
      <c r="AC613" s="613">
        <f t="shared" si="169"/>
        <v>0.75000000000000011</v>
      </c>
      <c r="AD613" s="613">
        <f t="shared" si="169"/>
        <v>15.053853227756036</v>
      </c>
      <c r="AE613" s="745"/>
      <c r="AF613" s="750"/>
      <c r="AG613" s="750"/>
      <c r="AH613" s="750"/>
      <c r="AI613" s="750"/>
      <c r="AJ613" s="750"/>
      <c r="AK613" s="750"/>
      <c r="AL613" s="750"/>
      <c r="AM613" s="750"/>
      <c r="AN613" s="750"/>
      <c r="AO613" s="750"/>
      <c r="AP613" s="750"/>
      <c r="AQ613" s="750"/>
      <c r="AR613" s="750"/>
      <c r="AS613" s="750"/>
      <c r="AT613" s="750"/>
      <c r="AU613" s="750"/>
      <c r="AV613" s="750"/>
      <c r="AW613" s="750"/>
      <c r="AX613" s="750"/>
      <c r="AY613" s="750"/>
      <c r="AZ613" s="750"/>
      <c r="BA613" s="750"/>
      <c r="BB613" s="750"/>
      <c r="BC613" s="752"/>
      <c r="BD613" s="752"/>
      <c r="BE613" s="752"/>
      <c r="BF613" s="752"/>
      <c r="BG613" s="752"/>
      <c r="BH613" s="752"/>
      <c r="BI613" s="752"/>
      <c r="BJ613" s="752"/>
      <c r="BK613" s="752"/>
      <c r="BL613" s="752"/>
      <c r="BM613" s="752"/>
      <c r="BN613" s="752"/>
      <c r="BO613" s="752"/>
      <c r="BP613" s="752"/>
      <c r="BQ613" s="752"/>
    </row>
    <row r="614" spans="1:70" ht="49.5">
      <c r="A614" s="304"/>
      <c r="B614" s="250"/>
      <c r="C614" s="623"/>
      <c r="D614" s="623"/>
      <c r="E614" s="623"/>
      <c r="F614" s="623"/>
      <c r="G614" s="623"/>
      <c r="H614" s="623"/>
      <c r="I614" s="240" t="s">
        <v>2788</v>
      </c>
      <c r="J614" s="8" t="s">
        <v>2789</v>
      </c>
      <c r="K614" s="318">
        <v>3</v>
      </c>
      <c r="L614" s="24">
        <v>150000000</v>
      </c>
      <c r="M614" s="318">
        <v>0</v>
      </c>
      <c r="N614" s="24">
        <v>0</v>
      </c>
      <c r="O614" s="318">
        <v>1</v>
      </c>
      <c r="P614" s="24">
        <v>97280000</v>
      </c>
      <c r="Q614" s="318">
        <v>0</v>
      </c>
      <c r="R614" s="24">
        <v>0</v>
      </c>
      <c r="S614" s="612">
        <v>6</v>
      </c>
      <c r="T614" s="24">
        <v>96274500</v>
      </c>
      <c r="U614" s="11"/>
      <c r="V614" s="265"/>
      <c r="W614" s="11"/>
      <c r="X614" s="24"/>
      <c r="Y614" s="528"/>
      <c r="Z614" s="24">
        <f t="shared" si="166"/>
        <v>96274500</v>
      </c>
      <c r="AA614" s="624"/>
      <c r="AB614" s="24">
        <f t="shared" si="167"/>
        <v>96274500</v>
      </c>
      <c r="AC614" s="613"/>
      <c r="AD614" s="613"/>
      <c r="AE614" s="626"/>
      <c r="AF614" s="861"/>
      <c r="AG614" s="861"/>
      <c r="AH614" s="861"/>
      <c r="AI614" s="861"/>
      <c r="AJ614" s="861"/>
      <c r="AK614" s="861"/>
      <c r="AL614" s="861"/>
      <c r="AM614" s="861"/>
      <c r="AN614" s="861"/>
      <c r="AO614" s="861"/>
      <c r="AP614" s="861"/>
      <c r="AQ614" s="861"/>
      <c r="AR614" s="861"/>
      <c r="AS614" s="861"/>
      <c r="AT614" s="861"/>
      <c r="AU614" s="861"/>
      <c r="AV614" s="861"/>
      <c r="AW614" s="861"/>
      <c r="AX614" s="861"/>
      <c r="AY614" s="861"/>
      <c r="AZ614" s="861"/>
      <c r="BA614" s="861"/>
      <c r="BB614" s="861"/>
      <c r="BC614" s="862"/>
      <c r="BD614" s="862"/>
      <c r="BE614" s="862"/>
      <c r="BF614" s="862"/>
      <c r="BG614" s="862"/>
      <c r="BH614" s="862"/>
      <c r="BI614" s="862"/>
      <c r="BJ614" s="862"/>
      <c r="BK614" s="862"/>
      <c r="BL614" s="862"/>
      <c r="BM614" s="862"/>
      <c r="BN614" s="862"/>
      <c r="BO614" s="862"/>
      <c r="BP614" s="862"/>
      <c r="BQ614" s="862"/>
    </row>
    <row r="615" spans="1:70" ht="66">
      <c r="A615" s="304"/>
      <c r="B615" s="250"/>
      <c r="C615" s="623"/>
      <c r="D615" s="623"/>
      <c r="E615" s="623"/>
      <c r="F615" s="623"/>
      <c r="G615" s="623"/>
      <c r="H615" s="623"/>
      <c r="I615" s="240" t="s">
        <v>946</v>
      </c>
      <c r="J615" s="8" t="s">
        <v>2790</v>
      </c>
      <c r="K615" s="318">
        <v>20</v>
      </c>
      <c r="L615" s="24">
        <v>1100000000</v>
      </c>
      <c r="M615" s="318">
        <v>0</v>
      </c>
      <c r="N615" s="24">
        <v>0</v>
      </c>
      <c r="O615" s="318">
        <v>5</v>
      </c>
      <c r="P615" s="24">
        <v>167893750</v>
      </c>
      <c r="Q615" s="318">
        <v>0</v>
      </c>
      <c r="R615" s="24">
        <v>0</v>
      </c>
      <c r="S615" s="612">
        <v>6</v>
      </c>
      <c r="T615" s="24">
        <v>19315762</v>
      </c>
      <c r="U615" s="11"/>
      <c r="V615" s="265"/>
      <c r="W615" s="11"/>
      <c r="X615" s="24"/>
      <c r="Y615" s="528"/>
      <c r="Z615" s="24">
        <f t="shared" si="166"/>
        <v>19315762</v>
      </c>
      <c r="AA615" s="624"/>
      <c r="AB615" s="24">
        <f t="shared" si="167"/>
        <v>19315762</v>
      </c>
      <c r="AC615" s="613"/>
      <c r="AD615" s="613"/>
      <c r="AE615" s="626"/>
      <c r="AF615" s="971"/>
      <c r="AG615" s="750"/>
      <c r="AH615" s="750"/>
      <c r="AI615" s="750"/>
      <c r="AJ615" s="750"/>
      <c r="AK615" s="750"/>
      <c r="AL615" s="750"/>
      <c r="AM615" s="750"/>
      <c r="AN615" s="750"/>
      <c r="AO615" s="750"/>
      <c r="AP615" s="750"/>
      <c r="AQ615" s="750"/>
      <c r="AR615" s="750"/>
      <c r="AS615" s="750"/>
      <c r="AT615" s="750"/>
      <c r="AU615" s="750"/>
      <c r="AV615" s="750"/>
      <c r="AW615" s="750"/>
      <c r="AX615" s="750"/>
      <c r="AY615" s="750"/>
      <c r="AZ615" s="750"/>
      <c r="BA615" s="750"/>
      <c r="BB615" s="750"/>
      <c r="BC615" s="752"/>
      <c r="BD615" s="752"/>
      <c r="BE615" s="752"/>
      <c r="BF615" s="752"/>
      <c r="BG615" s="752"/>
      <c r="BH615" s="752"/>
      <c r="BI615" s="752"/>
      <c r="BJ615" s="752"/>
      <c r="BK615" s="752"/>
      <c r="BL615" s="752"/>
      <c r="BM615" s="752"/>
      <c r="BN615" s="752"/>
      <c r="BO615" s="752"/>
      <c r="BP615" s="752"/>
      <c r="BQ615" s="752"/>
    </row>
    <row r="616" spans="1:70" ht="66">
      <c r="A616" s="304"/>
      <c r="B616" s="250"/>
      <c r="C616" s="623"/>
      <c r="D616" s="623"/>
      <c r="E616" s="623"/>
      <c r="F616" s="623"/>
      <c r="G616" s="623"/>
      <c r="H616" s="623"/>
      <c r="I616" s="240" t="s">
        <v>947</v>
      </c>
      <c r="J616" s="8" t="s">
        <v>948</v>
      </c>
      <c r="K616" s="318">
        <v>5</v>
      </c>
      <c r="L616" s="24">
        <f>35000000+26362250+35000000+40000000+70000000+100000000</f>
        <v>306362250</v>
      </c>
      <c r="M616" s="318">
        <v>1</v>
      </c>
      <c r="N616" s="24">
        <v>71396009</v>
      </c>
      <c r="O616" s="318">
        <v>1</v>
      </c>
      <c r="P616" s="24">
        <v>0</v>
      </c>
      <c r="Q616" s="318">
        <v>0</v>
      </c>
      <c r="R616" s="24">
        <v>0</v>
      </c>
      <c r="S616" s="612"/>
      <c r="T616" s="24"/>
      <c r="U616" s="11"/>
      <c r="V616" s="265"/>
      <c r="W616" s="11"/>
      <c r="X616" s="24"/>
      <c r="Y616" s="528">
        <f>Q616+S616+U616+W616</f>
        <v>0</v>
      </c>
      <c r="Z616" s="24">
        <f t="shared" si="166"/>
        <v>0</v>
      </c>
      <c r="AA616" s="624">
        <v>0.75</v>
      </c>
      <c r="AB616" s="24">
        <f t="shared" si="167"/>
        <v>71396009</v>
      </c>
      <c r="AC616" s="613">
        <f t="shared" ref="AC616:AD621" si="170">AA616/K616*100</f>
        <v>15</v>
      </c>
      <c r="AD616" s="613">
        <f t="shared" si="170"/>
        <v>23.304440739679904</v>
      </c>
      <c r="AE616" s="626"/>
      <c r="AF616" s="750"/>
      <c r="AG616" s="750"/>
      <c r="AH616" s="750"/>
      <c r="AI616" s="750"/>
      <c r="AJ616" s="750"/>
      <c r="AK616" s="750"/>
      <c r="AL616" s="750"/>
      <c r="AM616" s="750"/>
      <c r="AN616" s="750"/>
      <c r="AO616" s="750"/>
      <c r="AP616" s="750"/>
      <c r="AQ616" s="750"/>
      <c r="AR616" s="750"/>
      <c r="AS616" s="750"/>
      <c r="AT616" s="750"/>
      <c r="AU616" s="750"/>
      <c r="AV616" s="750"/>
      <c r="AW616" s="750"/>
      <c r="AX616" s="750"/>
      <c r="AY616" s="750"/>
      <c r="AZ616" s="750"/>
      <c r="BA616" s="750"/>
      <c r="BB616" s="750"/>
      <c r="BC616" s="752"/>
      <c r="BD616" s="752"/>
      <c r="BE616" s="752"/>
      <c r="BF616" s="752"/>
      <c r="BG616" s="752"/>
      <c r="BH616" s="752"/>
      <c r="BI616" s="752"/>
      <c r="BJ616" s="752"/>
      <c r="BK616" s="752"/>
      <c r="BL616" s="752"/>
      <c r="BM616" s="752"/>
      <c r="BN616" s="752"/>
      <c r="BO616" s="752"/>
      <c r="BP616" s="752"/>
      <c r="BQ616" s="752"/>
    </row>
    <row r="617" spans="1:70" ht="66">
      <c r="A617" s="304"/>
      <c r="B617" s="250"/>
      <c r="C617" s="623"/>
      <c r="D617" s="623"/>
      <c r="E617" s="623"/>
      <c r="F617" s="623"/>
      <c r="G617" s="623"/>
      <c r="H617" s="623"/>
      <c r="I617" s="240" t="s">
        <v>949</v>
      </c>
      <c r="J617" s="8" t="s">
        <v>950</v>
      </c>
      <c r="K617" s="318">
        <v>5</v>
      </c>
      <c r="L617" s="24">
        <f>50000000+282226000+285000000+290000000+296000000+300000000</f>
        <v>1503226000</v>
      </c>
      <c r="M617" s="318">
        <v>1</v>
      </c>
      <c r="N617" s="24">
        <v>91558120</v>
      </c>
      <c r="O617" s="318">
        <v>1</v>
      </c>
      <c r="P617" s="24">
        <v>0</v>
      </c>
      <c r="Q617" s="318">
        <v>0</v>
      </c>
      <c r="R617" s="24">
        <v>0</v>
      </c>
      <c r="S617" s="612"/>
      <c r="T617" s="25"/>
      <c r="U617" s="8"/>
      <c r="V617" s="514"/>
      <c r="W617" s="8"/>
      <c r="X617" s="24"/>
      <c r="Y617" s="24">
        <f>SUM(S617+U617)</f>
        <v>0</v>
      </c>
      <c r="Z617" s="24">
        <f t="shared" si="166"/>
        <v>0</v>
      </c>
      <c r="AA617" s="11">
        <f>Y617+M617</f>
        <v>1</v>
      </c>
      <c r="AB617" s="24">
        <f t="shared" si="167"/>
        <v>91558120</v>
      </c>
      <c r="AC617" s="613">
        <f t="shared" si="170"/>
        <v>20</v>
      </c>
      <c r="AD617" s="613">
        <f t="shared" si="170"/>
        <v>6.0907754389559514</v>
      </c>
      <c r="AE617" s="626"/>
      <c r="AF617" s="750"/>
      <c r="AG617" s="750"/>
      <c r="AH617" s="750"/>
      <c r="AI617" s="750"/>
      <c r="AJ617" s="750"/>
      <c r="AK617" s="750"/>
      <c r="AL617" s="750"/>
      <c r="AM617" s="750"/>
      <c r="AN617" s="750"/>
      <c r="AO617" s="750"/>
      <c r="AP617" s="750"/>
      <c r="AQ617" s="750"/>
      <c r="AR617" s="750"/>
      <c r="AS617" s="750"/>
      <c r="AT617" s="750"/>
      <c r="AU617" s="750"/>
      <c r="AV617" s="750"/>
      <c r="AW617" s="750"/>
      <c r="AX617" s="750"/>
      <c r="AY617" s="750"/>
      <c r="AZ617" s="750"/>
      <c r="BA617" s="750"/>
      <c r="BB617" s="750"/>
      <c r="BC617" s="752"/>
      <c r="BD617" s="752"/>
      <c r="BE617" s="752"/>
      <c r="BF617" s="752"/>
      <c r="BG617" s="752"/>
      <c r="BH617" s="752"/>
      <c r="BI617" s="752"/>
      <c r="BJ617" s="752"/>
      <c r="BK617" s="752"/>
      <c r="BL617" s="752"/>
      <c r="BM617" s="752"/>
      <c r="BN617" s="752"/>
      <c r="BO617" s="752"/>
      <c r="BP617" s="752"/>
      <c r="BQ617" s="752"/>
    </row>
    <row r="618" spans="1:70" ht="49.5">
      <c r="A618" s="304"/>
      <c r="B618" s="250"/>
      <c r="C618" s="623"/>
      <c r="D618" s="623"/>
      <c r="E618" s="623"/>
      <c r="F618" s="623"/>
      <c r="G618" s="623"/>
      <c r="H618" s="623"/>
      <c r="I618" s="240" t="s">
        <v>951</v>
      </c>
      <c r="J618" s="8" t="s">
        <v>952</v>
      </c>
      <c r="K618" s="318">
        <v>2</v>
      </c>
      <c r="L618" s="24">
        <v>871515195</v>
      </c>
      <c r="M618" s="318">
        <v>1</v>
      </c>
      <c r="N618" s="24">
        <v>251474395</v>
      </c>
      <c r="O618" s="318">
        <v>1</v>
      </c>
      <c r="P618" s="24">
        <v>0</v>
      </c>
      <c r="Q618" s="318">
        <v>0</v>
      </c>
      <c r="R618" s="24">
        <v>0</v>
      </c>
      <c r="S618" s="612"/>
      <c r="T618" s="25"/>
      <c r="U618" s="8"/>
      <c r="V618" s="514"/>
      <c r="W618" s="8"/>
      <c r="X618" s="24"/>
      <c r="Y618" s="24">
        <f>SUM(S618+U618)</f>
        <v>0</v>
      </c>
      <c r="Z618" s="24">
        <f t="shared" si="166"/>
        <v>0</v>
      </c>
      <c r="AA618" s="11">
        <f>Y618+M618</f>
        <v>1</v>
      </c>
      <c r="AB618" s="24">
        <f t="shared" si="167"/>
        <v>251474395</v>
      </c>
      <c r="AC618" s="613">
        <f t="shared" si="170"/>
        <v>50</v>
      </c>
      <c r="AD618" s="613">
        <f t="shared" si="170"/>
        <v>28.854849168751439</v>
      </c>
      <c r="AE618" s="627"/>
      <c r="AF618" s="750"/>
    </row>
    <row r="619" spans="1:70" ht="49.5">
      <c r="A619" s="304"/>
      <c r="B619" s="250"/>
      <c r="C619" s="623"/>
      <c r="D619" s="623"/>
      <c r="E619" s="623"/>
      <c r="F619" s="623"/>
      <c r="G619" s="623"/>
      <c r="H619" s="623"/>
      <c r="I619" s="240" t="s">
        <v>953</v>
      </c>
      <c r="J619" s="8" t="s">
        <v>954</v>
      </c>
      <c r="K619" s="318">
        <v>5</v>
      </c>
      <c r="L619" s="24">
        <f>75000000+53217560+75000000+75000000+80000000+850000000</f>
        <v>1208217560</v>
      </c>
      <c r="M619" s="318">
        <v>1</v>
      </c>
      <c r="N619" s="24">
        <v>163336540</v>
      </c>
      <c r="O619" s="318">
        <v>1</v>
      </c>
      <c r="P619" s="24">
        <v>0</v>
      </c>
      <c r="Q619" s="318">
        <v>0</v>
      </c>
      <c r="R619" s="24">
        <v>0</v>
      </c>
      <c r="S619" s="618"/>
      <c r="T619" s="619"/>
      <c r="U619" s="11"/>
      <c r="V619" s="265"/>
      <c r="W619" s="11"/>
      <c r="X619" s="24"/>
      <c r="Y619" s="29">
        <f>Q619+S619+U619+W619</f>
        <v>0</v>
      </c>
      <c r="Z619" s="24">
        <f t="shared" si="166"/>
        <v>0</v>
      </c>
      <c r="AA619" s="11">
        <f>Y619+M619</f>
        <v>1</v>
      </c>
      <c r="AB619" s="24">
        <f t="shared" si="167"/>
        <v>163336540</v>
      </c>
      <c r="AC619" s="613">
        <f t="shared" si="170"/>
        <v>20</v>
      </c>
      <c r="AD619" s="613">
        <f t="shared" si="170"/>
        <v>13.518802027674553</v>
      </c>
      <c r="AE619" s="626"/>
      <c r="AF619" s="750"/>
    </row>
    <row r="620" spans="1:70" s="22" customFormat="1" ht="66">
      <c r="A620" s="303">
        <v>7</v>
      </c>
      <c r="B620" s="134"/>
      <c r="C620" s="534"/>
      <c r="D620" s="534"/>
      <c r="E620" s="534"/>
      <c r="F620" s="534"/>
      <c r="G620" s="534"/>
      <c r="H620" s="534"/>
      <c r="I620" s="134" t="s">
        <v>955</v>
      </c>
      <c r="J620" s="33" t="s">
        <v>2791</v>
      </c>
      <c r="K620" s="609">
        <v>80</v>
      </c>
      <c r="L620" s="159">
        <f>L621</f>
        <v>14199887056</v>
      </c>
      <c r="M620" s="609">
        <v>70</v>
      </c>
      <c r="N620" s="159">
        <f>N621</f>
        <v>3603325478</v>
      </c>
      <c r="O620" s="609">
        <v>10</v>
      </c>
      <c r="P620" s="159">
        <f>P621</f>
        <v>1394241000</v>
      </c>
      <c r="Q620" s="609">
        <v>2</v>
      </c>
      <c r="R620" s="159">
        <f>R621</f>
        <v>300930000</v>
      </c>
      <c r="S620" s="403">
        <v>3</v>
      </c>
      <c r="T620" s="159">
        <f>SUM(T621)</f>
        <v>544113283</v>
      </c>
      <c r="U620" s="33"/>
      <c r="V620" s="223"/>
      <c r="W620" s="33"/>
      <c r="X620" s="223"/>
      <c r="Y620" s="531">
        <f>Q620+S620+U620+W620</f>
        <v>5</v>
      </c>
      <c r="Z620" s="159">
        <f t="shared" si="166"/>
        <v>845043283</v>
      </c>
      <c r="AA620" s="33">
        <f>Y620+M620</f>
        <v>75</v>
      </c>
      <c r="AB620" s="159">
        <f t="shared" si="167"/>
        <v>4448368761</v>
      </c>
      <c r="AC620" s="610">
        <f t="shared" si="170"/>
        <v>93.75</v>
      </c>
      <c r="AD620" s="610">
        <f t="shared" si="170"/>
        <v>31.326789737530998</v>
      </c>
      <c r="AE620" s="369" t="s">
        <v>4117</v>
      </c>
      <c r="AF620" s="750"/>
      <c r="AG620" s="750"/>
      <c r="AH620" s="750"/>
      <c r="AI620" s="750"/>
      <c r="AJ620" s="750"/>
      <c r="AK620" s="750"/>
      <c r="AL620" s="750"/>
      <c r="AM620" s="750"/>
      <c r="AN620" s="750"/>
      <c r="AO620" s="750"/>
      <c r="AP620" s="750"/>
      <c r="AQ620" s="750"/>
      <c r="AR620" s="750"/>
      <c r="AS620" s="750"/>
      <c r="AT620" s="750"/>
      <c r="AU620" s="750"/>
      <c r="AV620" s="750"/>
      <c r="AW620" s="750"/>
      <c r="AX620" s="750"/>
      <c r="AY620" s="750"/>
      <c r="AZ620" s="750"/>
      <c r="BA620" s="750"/>
      <c r="BB620" s="750"/>
      <c r="BC620" s="752"/>
      <c r="BD620" s="752"/>
      <c r="BE620" s="752"/>
      <c r="BF620" s="752"/>
      <c r="BG620" s="752"/>
      <c r="BH620" s="752"/>
      <c r="BI620" s="752"/>
      <c r="BJ620" s="752"/>
      <c r="BK620" s="752"/>
      <c r="BL620" s="752"/>
      <c r="BM620" s="752"/>
      <c r="BN620" s="752"/>
      <c r="BO620" s="752"/>
      <c r="BP620" s="752"/>
      <c r="BQ620" s="752"/>
      <c r="BR620" s="752"/>
    </row>
    <row r="621" spans="1:70" ht="82.5">
      <c r="A621" s="304"/>
      <c r="B621" s="250"/>
      <c r="C621" s="304"/>
      <c r="D621" s="304"/>
      <c r="E621" s="304"/>
      <c r="F621" s="304"/>
      <c r="G621" s="304"/>
      <c r="H621" s="304"/>
      <c r="I621" s="240" t="s">
        <v>956</v>
      </c>
      <c r="J621" s="11" t="s">
        <v>2792</v>
      </c>
      <c r="K621" s="318">
        <v>60</v>
      </c>
      <c r="L621" s="24">
        <f>2099887056+2200000000+2200000000+3300000000+4400000000</f>
        <v>14199887056</v>
      </c>
      <c r="M621" s="318">
        <v>24</v>
      </c>
      <c r="N621" s="24">
        <v>3603325478</v>
      </c>
      <c r="O621" s="318">
        <v>12</v>
      </c>
      <c r="P621" s="24">
        <v>1394241000</v>
      </c>
      <c r="Q621" s="318">
        <v>3</v>
      </c>
      <c r="R621" s="24">
        <v>300930000</v>
      </c>
      <c r="S621" s="11">
        <v>3</v>
      </c>
      <c r="T621" s="2278">
        <f>845043283-R621</f>
        <v>544113283</v>
      </c>
      <c r="U621" s="11"/>
      <c r="V621" s="265"/>
      <c r="W621" s="11"/>
      <c r="X621" s="24"/>
      <c r="Y621" s="528">
        <f>Q621+S621+U621+W621</f>
        <v>6</v>
      </c>
      <c r="Z621" s="24">
        <f t="shared" si="166"/>
        <v>845043283</v>
      </c>
      <c r="AA621" s="11">
        <f>Y621+M621</f>
        <v>30</v>
      </c>
      <c r="AB621" s="24">
        <f t="shared" si="167"/>
        <v>4448368761</v>
      </c>
      <c r="AC621" s="613">
        <f t="shared" si="170"/>
        <v>50</v>
      </c>
      <c r="AD621" s="613">
        <f t="shared" si="170"/>
        <v>31.326789737530998</v>
      </c>
      <c r="AE621" s="626"/>
      <c r="AF621" s="201"/>
    </row>
    <row r="622" spans="1:70" s="1306" customFormat="1" ht="22.5" customHeight="1">
      <c r="A622" s="2750" t="s">
        <v>63</v>
      </c>
      <c r="B622" s="2751"/>
      <c r="C622" s="2751"/>
      <c r="D622" s="2751"/>
      <c r="E622" s="2751"/>
      <c r="F622" s="2751"/>
      <c r="G622" s="2751"/>
      <c r="H622" s="2751"/>
      <c r="I622" s="2751"/>
      <c r="J622" s="2751"/>
      <c r="K622" s="2751"/>
      <c r="L622" s="2751"/>
      <c r="M622" s="2751"/>
      <c r="N622" s="2751"/>
      <c r="O622" s="2751"/>
      <c r="P622" s="2751"/>
      <c r="Q622" s="2751"/>
      <c r="R622" s="2751"/>
      <c r="S622" s="2751"/>
      <c r="T622" s="2751"/>
      <c r="U622" s="2751"/>
      <c r="V622" s="2751"/>
      <c r="W622" s="2751"/>
      <c r="X622" s="2751"/>
      <c r="Y622" s="2751"/>
      <c r="Z622" s="2751"/>
      <c r="AA622" s="2751"/>
      <c r="AB622" s="2752"/>
      <c r="AC622" s="965">
        <f>(AC583+AC598+AC604+AC606+AC610+AC612+AC620)/7</f>
        <v>76.713424330771275</v>
      </c>
      <c r="AD622" s="965">
        <f>(AD583+AD598+AD604+AD606+AD610+AD612+AD620)/7</f>
        <v>38.478788580456815</v>
      </c>
      <c r="AE622" s="2591"/>
      <c r="AF622" s="974"/>
      <c r="AG622" s="974"/>
      <c r="AH622" s="974"/>
      <c r="AI622" s="974"/>
      <c r="AJ622" s="974"/>
      <c r="AK622" s="974"/>
      <c r="AL622" s="974"/>
      <c r="AM622" s="974"/>
      <c r="AN622" s="974"/>
      <c r="AO622" s="974"/>
      <c r="AP622" s="974"/>
      <c r="AQ622" s="974"/>
      <c r="AR622" s="974"/>
      <c r="AS622" s="974"/>
      <c r="AT622" s="974"/>
      <c r="AU622" s="974"/>
      <c r="AV622" s="974"/>
      <c r="AW622" s="974"/>
      <c r="AX622" s="974"/>
      <c r="AY622" s="974"/>
      <c r="AZ622" s="974"/>
      <c r="BA622" s="974"/>
      <c r="BB622" s="974"/>
      <c r="BC622" s="1843"/>
      <c r="BD622" s="1843"/>
      <c r="BE622" s="1843"/>
      <c r="BF622" s="1843"/>
      <c r="BG622" s="1843"/>
      <c r="BH622" s="1843"/>
      <c r="BI622" s="1843"/>
      <c r="BJ622" s="1843"/>
      <c r="BK622" s="1843"/>
      <c r="BL622" s="1843"/>
      <c r="BM622" s="1843"/>
      <c r="BN622" s="1843"/>
      <c r="BO622" s="1843"/>
      <c r="BP622" s="1843"/>
      <c r="BQ622" s="1843"/>
      <c r="BR622" s="1843"/>
    </row>
    <row r="623" spans="1:70" s="1306" customFormat="1" ht="24" customHeight="1">
      <c r="A623" s="2750" t="s">
        <v>64</v>
      </c>
      <c r="B623" s="2751"/>
      <c r="C623" s="2751"/>
      <c r="D623" s="2751"/>
      <c r="E623" s="2751"/>
      <c r="F623" s="2751"/>
      <c r="G623" s="2751"/>
      <c r="H623" s="2751"/>
      <c r="I623" s="2751"/>
      <c r="J623" s="2751"/>
      <c r="K623" s="2751"/>
      <c r="L623" s="2751"/>
      <c r="M623" s="2751"/>
      <c r="N623" s="2751"/>
      <c r="O623" s="2751"/>
      <c r="P623" s="2751"/>
      <c r="Q623" s="2751"/>
      <c r="R623" s="2751"/>
      <c r="S623" s="2751"/>
      <c r="T623" s="2751"/>
      <c r="U623" s="2751"/>
      <c r="V623" s="2751"/>
      <c r="W623" s="2751"/>
      <c r="X623" s="2751"/>
      <c r="Y623" s="2751"/>
      <c r="Z623" s="2751"/>
      <c r="AA623" s="2751"/>
      <c r="AB623" s="2752"/>
      <c r="AC623" s="524" t="str">
        <f>IF(AC622&gt;=91,"ST",IF(AC622&gt;=76,"T",IF(AC622&gt;=66,"S",IF(AC622&gt;=51,"R","SR"))))</f>
        <v>T</v>
      </c>
      <c r="AD623" s="524" t="str">
        <f>IF(AD622&gt;=91,"ST",IF(AD622&gt;=76,"T",IF(AD622&gt;=66,"S",IF(AD622&gt;=51,"R","SR"))))</f>
        <v>SR</v>
      </c>
      <c r="AE623" s="2591"/>
      <c r="AF623" s="974"/>
      <c r="AG623" s="974"/>
      <c r="AH623" s="974"/>
      <c r="AI623" s="974"/>
      <c r="AJ623" s="974"/>
      <c r="AK623" s="974"/>
      <c r="AL623" s="974"/>
      <c r="AM623" s="974"/>
      <c r="AN623" s="974"/>
      <c r="AO623" s="974"/>
      <c r="AP623" s="974"/>
      <c r="AQ623" s="974"/>
      <c r="AR623" s="974"/>
      <c r="AS623" s="974"/>
      <c r="AT623" s="974"/>
      <c r="AU623" s="974"/>
      <c r="AV623" s="974"/>
      <c r="AW623" s="974"/>
      <c r="AX623" s="974"/>
      <c r="AY623" s="974"/>
      <c r="AZ623" s="974"/>
      <c r="BA623" s="974"/>
      <c r="BB623" s="974"/>
      <c r="BC623" s="1843"/>
      <c r="BD623" s="1843"/>
      <c r="BE623" s="1843"/>
      <c r="BF623" s="1843"/>
      <c r="BG623" s="1843"/>
      <c r="BH623" s="1843"/>
      <c r="BI623" s="1843"/>
      <c r="BJ623" s="1843"/>
      <c r="BK623" s="1843"/>
      <c r="BL623" s="1843"/>
      <c r="BM623" s="1843"/>
      <c r="BN623" s="1843"/>
      <c r="BO623" s="1843"/>
      <c r="BP623" s="1843"/>
      <c r="BQ623" s="1843"/>
      <c r="BR623" s="1843"/>
    </row>
    <row r="624" spans="1:70" s="1235" customFormat="1" ht="25.5" customHeight="1">
      <c r="A624" s="865"/>
      <c r="B624" s="864"/>
      <c r="C624" s="865"/>
      <c r="D624" s="865"/>
      <c r="E624" s="865"/>
      <c r="F624" s="865"/>
      <c r="G624" s="865"/>
      <c r="H624" s="865"/>
      <c r="I624" s="2817" t="s">
        <v>92</v>
      </c>
      <c r="J624" s="2818"/>
      <c r="K624" s="1623"/>
      <c r="L624" s="1286">
        <f>SUM(L625+L636+L644+L648+L655+L657+L659+L661+L664)</f>
        <v>6378142970</v>
      </c>
      <c r="M624" s="1623"/>
      <c r="N624" s="1286">
        <f>SUM(N625+N636+N644+N648+N655+N657+N659+N661+N664)</f>
        <v>2966945558</v>
      </c>
      <c r="O624" s="1624"/>
      <c r="P624" s="1286">
        <f>SUM(P625+P636+P644+P648+P655+P657+P659+P661+P664)</f>
        <v>2303939679</v>
      </c>
      <c r="Q624" s="1625"/>
      <c r="R624" s="1286">
        <f>SUM(R625+R636+R644+R648+R655+R657+R659+R661+R664)</f>
        <v>178549474</v>
      </c>
      <c r="S624" s="1626"/>
      <c r="T624" s="1857">
        <f>T625+T636+T644+T648+T655+T659+T661</f>
        <v>518426834</v>
      </c>
      <c r="U624" s="866"/>
      <c r="V624" s="1627"/>
      <c r="W624" s="866"/>
      <c r="X624" s="1628"/>
      <c r="Y624" s="1629"/>
      <c r="Z624" s="1286">
        <f>SUM(Z625+Z636+Z644+Z648+Z655+Z657+Z659+Z661+Z664)</f>
        <v>696976308</v>
      </c>
      <c r="AA624" s="1630"/>
      <c r="AB624" s="1286">
        <f>SUM(AB625+AB636+AB644+AB648+AB655+AB657+AB659+AB661+AB664)</f>
        <v>3663921866</v>
      </c>
      <c r="AC624" s="1630"/>
      <c r="AD624" s="1630"/>
      <c r="AE624" s="1631"/>
      <c r="AF624" s="861"/>
      <c r="AG624" s="861"/>
      <c r="AH624" s="861"/>
      <c r="AI624" s="861"/>
      <c r="AJ624" s="861"/>
      <c r="AK624" s="861"/>
      <c r="AL624" s="861"/>
      <c r="AM624" s="861"/>
      <c r="AN624" s="861"/>
      <c r="AO624" s="861"/>
      <c r="AP624" s="861"/>
      <c r="AQ624" s="861"/>
      <c r="AR624" s="861"/>
      <c r="AS624" s="861"/>
      <c r="AT624" s="861"/>
      <c r="AU624" s="861"/>
      <c r="AV624" s="861"/>
      <c r="AW624" s="861"/>
      <c r="AX624" s="861"/>
      <c r="AY624" s="861"/>
      <c r="AZ624" s="861"/>
      <c r="BA624" s="861"/>
      <c r="BB624" s="861"/>
      <c r="BC624" s="862"/>
      <c r="BD624" s="862"/>
      <c r="BE624" s="862"/>
      <c r="BF624" s="862"/>
      <c r="BG624" s="862"/>
      <c r="BH624" s="862"/>
      <c r="BI624" s="862"/>
      <c r="BJ624" s="862"/>
      <c r="BK624" s="862"/>
      <c r="BL624" s="862"/>
      <c r="BM624" s="862"/>
      <c r="BN624" s="862"/>
      <c r="BO624" s="862"/>
      <c r="BP624" s="862"/>
      <c r="BQ624" s="862"/>
      <c r="BR624" s="862"/>
    </row>
    <row r="625" spans="1:70" s="22" customFormat="1" ht="59.25" customHeight="1">
      <c r="A625" s="2558">
        <v>1</v>
      </c>
      <c r="B625" s="33"/>
      <c r="C625" s="133"/>
      <c r="D625" s="133"/>
      <c r="E625" s="133"/>
      <c r="F625" s="133"/>
      <c r="G625" s="133"/>
      <c r="H625" s="133"/>
      <c r="I625" s="134" t="s">
        <v>957</v>
      </c>
      <c r="J625" s="33" t="s">
        <v>958</v>
      </c>
      <c r="K625" s="135">
        <v>72</v>
      </c>
      <c r="L625" s="544">
        <f t="shared" ref="L625:N625" si="171">SUM(L626:L635)</f>
        <v>1017035864</v>
      </c>
      <c r="M625" s="135">
        <v>36</v>
      </c>
      <c r="N625" s="136">
        <f t="shared" si="171"/>
        <v>504664001</v>
      </c>
      <c r="O625" s="135">
        <v>12</v>
      </c>
      <c r="P625" s="136">
        <f>SUM(P626:P635)</f>
        <v>466169589</v>
      </c>
      <c r="Q625" s="135">
        <v>3</v>
      </c>
      <c r="R625" s="137">
        <f>SUM(R626:R635)</f>
        <v>54860210</v>
      </c>
      <c r="S625" s="138">
        <v>3</v>
      </c>
      <c r="T625" s="139">
        <f>SUM(T626:T635)</f>
        <v>106610534</v>
      </c>
      <c r="U625" s="545"/>
      <c r="V625" s="139"/>
      <c r="W625" s="545"/>
      <c r="X625" s="136"/>
      <c r="Y625" s="140">
        <f t="shared" ref="Y625:Y665" si="172">Q625+S625+U625+W625</f>
        <v>6</v>
      </c>
      <c r="Z625" s="136">
        <f t="shared" ref="Z625:Z665" si="173">R625+T625+V625+X625</f>
        <v>161470744</v>
      </c>
      <c r="AA625" s="135">
        <f t="shared" ref="AA625:AA665" si="174">Y625+M625</f>
        <v>42</v>
      </c>
      <c r="AB625" s="136">
        <f t="shared" ref="AB625:AB665" si="175">Z625+N625</f>
        <v>666134745</v>
      </c>
      <c r="AC625" s="141">
        <f t="shared" ref="AC625:AC665" si="176">AA625/K625*100</f>
        <v>58.333333333333336</v>
      </c>
      <c r="AD625" s="141">
        <f t="shared" ref="AD625:AD665" si="177">AB625/L625*100</f>
        <v>65.497665183614401</v>
      </c>
      <c r="AE625" s="369" t="s">
        <v>4120</v>
      </c>
      <c r="AF625" s="750"/>
      <c r="AG625" s="750"/>
      <c r="AH625" s="750"/>
      <c r="AI625" s="750"/>
      <c r="AJ625" s="750"/>
      <c r="AK625" s="750"/>
      <c r="AL625" s="750"/>
      <c r="AM625" s="750"/>
      <c r="AN625" s="750"/>
      <c r="AO625" s="750"/>
      <c r="AP625" s="750"/>
      <c r="AQ625" s="750"/>
      <c r="AR625" s="750"/>
      <c r="AS625" s="750"/>
      <c r="AT625" s="750"/>
      <c r="AU625" s="750"/>
      <c r="AV625" s="750"/>
      <c r="AW625" s="750"/>
      <c r="AX625" s="750"/>
      <c r="AY625" s="750"/>
      <c r="AZ625" s="750"/>
      <c r="BA625" s="750"/>
      <c r="BB625" s="750"/>
      <c r="BC625" s="752"/>
      <c r="BD625" s="752"/>
      <c r="BE625" s="752"/>
      <c r="BF625" s="752"/>
      <c r="BG625" s="752"/>
      <c r="BH625" s="752"/>
      <c r="BI625" s="752"/>
      <c r="BJ625" s="752"/>
      <c r="BK625" s="752"/>
      <c r="BL625" s="752"/>
      <c r="BM625" s="752"/>
      <c r="BN625" s="752"/>
      <c r="BO625" s="752"/>
      <c r="BP625" s="752"/>
      <c r="BQ625" s="752"/>
      <c r="BR625" s="752"/>
    </row>
    <row r="626" spans="1:70" ht="72" customHeight="1">
      <c r="A626" s="130"/>
      <c r="B626" s="88"/>
      <c r="C626" s="89"/>
      <c r="D626" s="89"/>
      <c r="E626" s="89"/>
      <c r="F626" s="89"/>
      <c r="G626" s="89"/>
      <c r="H626" s="89"/>
      <c r="I626" s="90" t="s">
        <v>67</v>
      </c>
      <c r="J626" s="88" t="s">
        <v>959</v>
      </c>
      <c r="K626" s="91">
        <v>72</v>
      </c>
      <c r="L626" s="92">
        <v>51240000</v>
      </c>
      <c r="M626" s="91">
        <v>36</v>
      </c>
      <c r="N626" s="94">
        <v>21766069</v>
      </c>
      <c r="O626" s="91">
        <v>12</v>
      </c>
      <c r="P626" s="94">
        <v>29400000</v>
      </c>
      <c r="Q626" s="91">
        <v>3</v>
      </c>
      <c r="R626" s="94">
        <v>6989210</v>
      </c>
      <c r="S626" s="95">
        <v>3</v>
      </c>
      <c r="T626" s="96">
        <v>8028034</v>
      </c>
      <c r="U626" s="94"/>
      <c r="V626" s="94"/>
      <c r="W626" s="94"/>
      <c r="X626" s="94"/>
      <c r="Y626" s="97">
        <f t="shared" si="172"/>
        <v>6</v>
      </c>
      <c r="Z626" s="92">
        <f t="shared" si="173"/>
        <v>15017244</v>
      </c>
      <c r="AA626" s="92">
        <f t="shared" si="174"/>
        <v>42</v>
      </c>
      <c r="AB626" s="92">
        <f t="shared" si="175"/>
        <v>36783313</v>
      </c>
      <c r="AC626" s="98">
        <f t="shared" si="176"/>
        <v>58.333333333333336</v>
      </c>
      <c r="AD626" s="98">
        <f t="shared" si="177"/>
        <v>71.786325136612021</v>
      </c>
      <c r="AE626" s="627"/>
      <c r="AF626" s="750"/>
    </row>
    <row r="627" spans="1:70" ht="70.5" customHeight="1">
      <c r="A627" s="130"/>
      <c r="B627" s="88"/>
      <c r="C627" s="89"/>
      <c r="D627" s="89"/>
      <c r="E627" s="89"/>
      <c r="F627" s="89"/>
      <c r="G627" s="89"/>
      <c r="H627" s="89"/>
      <c r="I627" s="90" t="s">
        <v>68</v>
      </c>
      <c r="J627" s="88" t="s">
        <v>960</v>
      </c>
      <c r="K627" s="91">
        <v>72</v>
      </c>
      <c r="L627" s="92">
        <f>2*N627</f>
        <v>114090800</v>
      </c>
      <c r="M627" s="91">
        <v>36</v>
      </c>
      <c r="N627" s="94">
        <v>57045400</v>
      </c>
      <c r="O627" s="91">
        <v>12</v>
      </c>
      <c r="P627" s="92">
        <v>99214970</v>
      </c>
      <c r="Q627" s="91">
        <v>3</v>
      </c>
      <c r="R627" s="94">
        <v>7000000</v>
      </c>
      <c r="S627" s="95">
        <v>3</v>
      </c>
      <c r="T627" s="99">
        <v>19650000</v>
      </c>
      <c r="U627" s="100"/>
      <c r="V627" s="92"/>
      <c r="W627" s="100"/>
      <c r="X627" s="101"/>
      <c r="Y627" s="97">
        <f t="shared" si="172"/>
        <v>6</v>
      </c>
      <c r="Z627" s="92">
        <f t="shared" si="173"/>
        <v>26650000</v>
      </c>
      <c r="AA627" s="92">
        <f t="shared" si="174"/>
        <v>42</v>
      </c>
      <c r="AB627" s="92">
        <f t="shared" si="175"/>
        <v>83695400</v>
      </c>
      <c r="AC627" s="98">
        <f t="shared" si="176"/>
        <v>58.333333333333336</v>
      </c>
      <c r="AD627" s="98">
        <f t="shared" si="177"/>
        <v>73.358588071956717</v>
      </c>
      <c r="AE627" s="627"/>
      <c r="AF627" s="750"/>
    </row>
    <row r="628" spans="1:70" ht="115.5">
      <c r="A628" s="131"/>
      <c r="B628" s="8"/>
      <c r="C628" s="102"/>
      <c r="D628" s="102"/>
      <c r="E628" s="102"/>
      <c r="F628" s="102"/>
      <c r="G628" s="102"/>
      <c r="H628" s="102"/>
      <c r="I628" s="103" t="s">
        <v>69</v>
      </c>
      <c r="J628" s="8" t="s">
        <v>961</v>
      </c>
      <c r="K628" s="104">
        <v>72</v>
      </c>
      <c r="L628" s="105">
        <f t="shared" ref="L628:L635" si="178">2*N628</f>
        <v>287004420</v>
      </c>
      <c r="M628" s="104">
        <v>36</v>
      </c>
      <c r="N628" s="106">
        <v>143502210</v>
      </c>
      <c r="O628" s="104">
        <v>12</v>
      </c>
      <c r="P628" s="92">
        <v>84974028</v>
      </c>
      <c r="Q628" s="104">
        <v>3</v>
      </c>
      <c r="R628" s="106">
        <v>14802000</v>
      </c>
      <c r="S628" s="95">
        <v>3</v>
      </c>
      <c r="T628" s="99">
        <v>28647500</v>
      </c>
      <c r="U628" s="107"/>
      <c r="V628" s="105"/>
      <c r="W628" s="107"/>
      <c r="X628" s="108"/>
      <c r="Y628" s="109">
        <f t="shared" si="172"/>
        <v>6</v>
      </c>
      <c r="Z628" s="92">
        <f t="shared" si="173"/>
        <v>43449500</v>
      </c>
      <c r="AA628" s="105">
        <f t="shared" si="174"/>
        <v>42</v>
      </c>
      <c r="AB628" s="92">
        <f t="shared" si="175"/>
        <v>186951710</v>
      </c>
      <c r="AC628" s="110">
        <f t="shared" si="176"/>
        <v>58.333333333333336</v>
      </c>
      <c r="AD628" s="110">
        <f t="shared" si="177"/>
        <v>65.13896545565396</v>
      </c>
      <c r="AE628" s="627"/>
      <c r="AF628" s="750"/>
    </row>
    <row r="629" spans="1:70" ht="66">
      <c r="A629" s="130"/>
      <c r="B629" s="88"/>
      <c r="C629" s="89"/>
      <c r="D629" s="89"/>
      <c r="E629" s="89"/>
      <c r="F629" s="89"/>
      <c r="G629" s="89"/>
      <c r="H629" s="89"/>
      <c r="I629" s="90" t="s">
        <v>70</v>
      </c>
      <c r="J629" s="88" t="s">
        <v>962</v>
      </c>
      <c r="K629" s="91">
        <v>72</v>
      </c>
      <c r="L629" s="92">
        <f t="shared" si="178"/>
        <v>35764000</v>
      </c>
      <c r="M629" s="91">
        <v>36</v>
      </c>
      <c r="N629" s="94">
        <v>17882000</v>
      </c>
      <c r="O629" s="91">
        <v>12</v>
      </c>
      <c r="P629" s="92">
        <v>39946065</v>
      </c>
      <c r="Q629" s="91">
        <v>3</v>
      </c>
      <c r="R629" s="94">
        <v>6405000</v>
      </c>
      <c r="S629" s="95">
        <v>3</v>
      </c>
      <c r="T629" s="99">
        <v>5721000</v>
      </c>
      <c r="U629" s="100"/>
      <c r="V629" s="92"/>
      <c r="W629" s="100"/>
      <c r="X629" s="101"/>
      <c r="Y629" s="97">
        <f t="shared" si="172"/>
        <v>6</v>
      </c>
      <c r="Z629" s="92">
        <f t="shared" si="173"/>
        <v>12126000</v>
      </c>
      <c r="AA629" s="92">
        <f t="shared" si="174"/>
        <v>42</v>
      </c>
      <c r="AB629" s="92">
        <f t="shared" si="175"/>
        <v>30008000</v>
      </c>
      <c r="AC629" s="98">
        <f t="shared" si="176"/>
        <v>58.333333333333336</v>
      </c>
      <c r="AD629" s="98">
        <f t="shared" si="177"/>
        <v>83.905603400067108</v>
      </c>
      <c r="AE629" s="627"/>
      <c r="AF629" s="750"/>
    </row>
    <row r="630" spans="1:70" ht="82.5">
      <c r="A630" s="130"/>
      <c r="B630" s="88"/>
      <c r="C630" s="89"/>
      <c r="D630" s="89"/>
      <c r="E630" s="89"/>
      <c r="F630" s="89"/>
      <c r="G630" s="89"/>
      <c r="H630" s="89"/>
      <c r="I630" s="90" t="s">
        <v>71</v>
      </c>
      <c r="J630" s="88" t="s">
        <v>963</v>
      </c>
      <c r="K630" s="91">
        <v>72</v>
      </c>
      <c r="L630" s="92">
        <f t="shared" si="178"/>
        <v>42369852</v>
      </c>
      <c r="M630" s="91">
        <v>36</v>
      </c>
      <c r="N630" s="94">
        <v>21184926</v>
      </c>
      <c r="O630" s="91">
        <v>12</v>
      </c>
      <c r="P630" s="92">
        <v>30999895</v>
      </c>
      <c r="Q630" s="91">
        <v>3</v>
      </c>
      <c r="R630" s="94">
        <v>268000</v>
      </c>
      <c r="S630" s="95">
        <v>3</v>
      </c>
      <c r="T630" s="99">
        <v>1128000</v>
      </c>
      <c r="U630" s="100"/>
      <c r="V630" s="92"/>
      <c r="W630" s="100"/>
      <c r="X630" s="101"/>
      <c r="Y630" s="97">
        <f t="shared" si="172"/>
        <v>6</v>
      </c>
      <c r="Z630" s="92">
        <f t="shared" si="173"/>
        <v>1396000</v>
      </c>
      <c r="AA630" s="92">
        <f t="shared" si="174"/>
        <v>42</v>
      </c>
      <c r="AB630" s="92">
        <f t="shared" si="175"/>
        <v>22580926</v>
      </c>
      <c r="AC630" s="98">
        <f t="shared" si="176"/>
        <v>58.333333333333336</v>
      </c>
      <c r="AD630" s="98">
        <f t="shared" si="177"/>
        <v>53.294795554159592</v>
      </c>
      <c r="AE630" s="627"/>
      <c r="AF630" s="750"/>
    </row>
    <row r="631" spans="1:70" ht="66">
      <c r="A631" s="130"/>
      <c r="B631" s="88"/>
      <c r="C631" s="89"/>
      <c r="D631" s="89"/>
      <c r="E631" s="89"/>
      <c r="F631" s="89"/>
      <c r="G631" s="89"/>
      <c r="H631" s="89"/>
      <c r="I631" s="90" t="s">
        <v>72</v>
      </c>
      <c r="J631" s="88" t="s">
        <v>964</v>
      </c>
      <c r="K631" s="91">
        <v>72</v>
      </c>
      <c r="L631" s="92">
        <f t="shared" si="178"/>
        <v>8318000</v>
      </c>
      <c r="M631" s="91">
        <v>36</v>
      </c>
      <c r="N631" s="94">
        <v>4159000</v>
      </c>
      <c r="O631" s="91">
        <v>12</v>
      </c>
      <c r="P631" s="92">
        <v>4499631</v>
      </c>
      <c r="Q631" s="91">
        <v>3</v>
      </c>
      <c r="R631" s="94">
        <v>0</v>
      </c>
      <c r="S631" s="95">
        <v>3</v>
      </c>
      <c r="T631" s="99">
        <v>2755000</v>
      </c>
      <c r="U631" s="100"/>
      <c r="V631" s="92"/>
      <c r="W631" s="100"/>
      <c r="X631" s="101"/>
      <c r="Y631" s="97">
        <f t="shared" si="172"/>
        <v>6</v>
      </c>
      <c r="Z631" s="92">
        <f t="shared" si="173"/>
        <v>2755000</v>
      </c>
      <c r="AA631" s="92">
        <f t="shared" si="174"/>
        <v>42</v>
      </c>
      <c r="AB631" s="92">
        <f t="shared" si="175"/>
        <v>6914000</v>
      </c>
      <c r="AC631" s="98">
        <f t="shared" si="176"/>
        <v>58.333333333333336</v>
      </c>
      <c r="AD631" s="98">
        <f t="shared" si="177"/>
        <v>83.120942534263037</v>
      </c>
      <c r="AE631" s="627"/>
      <c r="AF631" s="750"/>
    </row>
    <row r="632" spans="1:70" ht="66">
      <c r="A632" s="130"/>
      <c r="B632" s="88"/>
      <c r="C632" s="89"/>
      <c r="D632" s="89"/>
      <c r="E632" s="89"/>
      <c r="F632" s="89"/>
      <c r="G632" s="89"/>
      <c r="H632" s="89"/>
      <c r="I632" s="90" t="s">
        <v>73</v>
      </c>
      <c r="J632" s="88" t="s">
        <v>965</v>
      </c>
      <c r="K632" s="91">
        <v>72</v>
      </c>
      <c r="L632" s="92">
        <f t="shared" si="178"/>
        <v>13640000</v>
      </c>
      <c r="M632" s="91">
        <v>36</v>
      </c>
      <c r="N632" s="94">
        <v>6820000</v>
      </c>
      <c r="O632" s="91">
        <v>12</v>
      </c>
      <c r="P632" s="92">
        <v>7680000</v>
      </c>
      <c r="Q632" s="91">
        <v>3</v>
      </c>
      <c r="R632" s="94">
        <v>480000</v>
      </c>
      <c r="S632" s="95">
        <v>3</v>
      </c>
      <c r="T632" s="99">
        <v>1200000</v>
      </c>
      <c r="U632" s="100"/>
      <c r="V632" s="92"/>
      <c r="W632" s="100"/>
      <c r="X632" s="101"/>
      <c r="Y632" s="97">
        <f t="shared" si="172"/>
        <v>6</v>
      </c>
      <c r="Z632" s="92">
        <f t="shared" si="173"/>
        <v>1680000</v>
      </c>
      <c r="AA632" s="98">
        <f t="shared" si="174"/>
        <v>42</v>
      </c>
      <c r="AB632" s="92">
        <f t="shared" si="175"/>
        <v>8500000</v>
      </c>
      <c r="AC632" s="98">
        <f t="shared" si="176"/>
        <v>58.333333333333336</v>
      </c>
      <c r="AD632" s="98">
        <f t="shared" si="177"/>
        <v>62.316715542521997</v>
      </c>
      <c r="AE632" s="627"/>
      <c r="AF632" s="750"/>
    </row>
    <row r="633" spans="1:70" ht="66">
      <c r="A633" s="130"/>
      <c r="B633" s="88"/>
      <c r="C633" s="89"/>
      <c r="D633" s="89"/>
      <c r="E633" s="89"/>
      <c r="F633" s="89"/>
      <c r="G633" s="89"/>
      <c r="H633" s="89"/>
      <c r="I633" s="90" t="s">
        <v>75</v>
      </c>
      <c r="J633" s="88" t="s">
        <v>966</v>
      </c>
      <c r="K633" s="91">
        <v>72</v>
      </c>
      <c r="L633" s="92">
        <f t="shared" si="178"/>
        <v>25929000</v>
      </c>
      <c r="M633" s="91">
        <v>36</v>
      </c>
      <c r="N633" s="94">
        <v>12964500</v>
      </c>
      <c r="O633" s="91">
        <v>12</v>
      </c>
      <c r="P633" s="92">
        <v>36480000</v>
      </c>
      <c r="Q633" s="91">
        <v>3</v>
      </c>
      <c r="R633" s="94">
        <v>3041000</v>
      </c>
      <c r="S633" s="95">
        <v>3</v>
      </c>
      <c r="T633" s="99">
        <v>3071000</v>
      </c>
      <c r="U633" s="100"/>
      <c r="V633" s="92"/>
      <c r="W633" s="100"/>
      <c r="X633" s="101"/>
      <c r="Y633" s="97">
        <f t="shared" si="172"/>
        <v>6</v>
      </c>
      <c r="Z633" s="92">
        <f t="shared" si="173"/>
        <v>6112000</v>
      </c>
      <c r="AA633" s="98">
        <f t="shared" si="174"/>
        <v>42</v>
      </c>
      <c r="AB633" s="92">
        <f t="shared" si="175"/>
        <v>19076500</v>
      </c>
      <c r="AC633" s="98">
        <f t="shared" si="176"/>
        <v>58.333333333333336</v>
      </c>
      <c r="AD633" s="98">
        <f t="shared" si="177"/>
        <v>73.5720621697713</v>
      </c>
      <c r="AE633" s="627"/>
      <c r="AF633" s="750"/>
    </row>
    <row r="634" spans="1:70" ht="66">
      <c r="A634" s="130"/>
      <c r="B634" s="88"/>
      <c r="C634" s="89"/>
      <c r="D634" s="89"/>
      <c r="E634" s="89"/>
      <c r="F634" s="89"/>
      <c r="G634" s="89"/>
      <c r="H634" s="89"/>
      <c r="I634" s="90" t="s">
        <v>76</v>
      </c>
      <c r="J634" s="88" t="s">
        <v>967</v>
      </c>
      <c r="K634" s="91">
        <v>72</v>
      </c>
      <c r="L634" s="92">
        <f t="shared" si="178"/>
        <v>308579792</v>
      </c>
      <c r="M634" s="91">
        <v>36</v>
      </c>
      <c r="N634" s="94">
        <v>154289896</v>
      </c>
      <c r="O634" s="91">
        <v>12</v>
      </c>
      <c r="P634" s="92">
        <v>75600000</v>
      </c>
      <c r="Q634" s="91">
        <v>3</v>
      </c>
      <c r="R634" s="94">
        <v>4400000</v>
      </c>
      <c r="S634" s="95">
        <v>3</v>
      </c>
      <c r="T634" s="99">
        <v>14090000</v>
      </c>
      <c r="U634" s="100"/>
      <c r="V634" s="92"/>
      <c r="W634" s="100"/>
      <c r="X634" s="101"/>
      <c r="Y634" s="97">
        <f t="shared" si="172"/>
        <v>6</v>
      </c>
      <c r="Z634" s="92">
        <f t="shared" si="173"/>
        <v>18490000</v>
      </c>
      <c r="AA634" s="98">
        <f t="shared" si="174"/>
        <v>42</v>
      </c>
      <c r="AB634" s="92">
        <f t="shared" si="175"/>
        <v>172779896</v>
      </c>
      <c r="AC634" s="98">
        <f t="shared" si="176"/>
        <v>58.333333333333336</v>
      </c>
      <c r="AD634" s="98">
        <f t="shared" si="177"/>
        <v>55.991967225125364</v>
      </c>
      <c r="AE634" s="627"/>
      <c r="AF634" s="750"/>
    </row>
    <row r="635" spans="1:70" ht="49.5">
      <c r="A635" s="130"/>
      <c r="B635" s="88"/>
      <c r="C635" s="89"/>
      <c r="D635" s="89"/>
      <c r="E635" s="89"/>
      <c r="F635" s="89"/>
      <c r="G635" s="89"/>
      <c r="H635" s="89"/>
      <c r="I635" s="90" t="s">
        <v>968</v>
      </c>
      <c r="J635" s="88" t="s">
        <v>969</v>
      </c>
      <c r="K635" s="91">
        <v>72</v>
      </c>
      <c r="L635" s="92">
        <f t="shared" si="178"/>
        <v>130100000</v>
      </c>
      <c r="M635" s="91">
        <v>36</v>
      </c>
      <c r="N635" s="94">
        <v>65050000</v>
      </c>
      <c r="O635" s="91">
        <v>12</v>
      </c>
      <c r="P635" s="92">
        <v>57375000</v>
      </c>
      <c r="Q635" s="91">
        <v>3</v>
      </c>
      <c r="R635" s="94">
        <v>11475000</v>
      </c>
      <c r="S635" s="95">
        <v>3</v>
      </c>
      <c r="T635" s="99">
        <v>22320000</v>
      </c>
      <c r="U635" s="100"/>
      <c r="V635" s="92"/>
      <c r="W635" s="100"/>
      <c r="X635" s="101"/>
      <c r="Y635" s="97">
        <f t="shared" si="172"/>
        <v>6</v>
      </c>
      <c r="Z635" s="92">
        <f t="shared" si="173"/>
        <v>33795000</v>
      </c>
      <c r="AA635" s="98">
        <f t="shared" si="174"/>
        <v>42</v>
      </c>
      <c r="AB635" s="92">
        <f t="shared" si="175"/>
        <v>98845000</v>
      </c>
      <c r="AC635" s="98">
        <f t="shared" si="176"/>
        <v>58.333333333333336</v>
      </c>
      <c r="AD635" s="98">
        <f t="shared" si="177"/>
        <v>75.976172175249815</v>
      </c>
      <c r="AE635" s="627"/>
      <c r="AF635" s="750"/>
    </row>
    <row r="636" spans="1:70" s="22" customFormat="1" ht="66">
      <c r="A636" s="2558">
        <v>2</v>
      </c>
      <c r="B636" s="33"/>
      <c r="C636" s="133"/>
      <c r="D636" s="133"/>
      <c r="E636" s="133"/>
      <c r="F636" s="133"/>
      <c r="G636" s="133"/>
      <c r="H636" s="133"/>
      <c r="I636" s="142" t="s">
        <v>2804</v>
      </c>
      <c r="J636" s="33" t="s">
        <v>970</v>
      </c>
      <c r="K636" s="135">
        <v>72</v>
      </c>
      <c r="L636" s="544">
        <f>SUM(L637:L643)</f>
        <v>724971852</v>
      </c>
      <c r="M636" s="135">
        <v>36</v>
      </c>
      <c r="N636" s="137">
        <f>SUM(N637:N643)</f>
        <v>344485926</v>
      </c>
      <c r="O636" s="135">
        <v>12</v>
      </c>
      <c r="P636" s="136">
        <f>SUM(P637:P643)</f>
        <v>358140000</v>
      </c>
      <c r="Q636" s="135">
        <v>3</v>
      </c>
      <c r="R636" s="137">
        <f>SUM(R637:R641)</f>
        <v>55202014</v>
      </c>
      <c r="S636" s="138"/>
      <c r="T636" s="144">
        <f>SUM(T637:T643)</f>
        <v>92103750</v>
      </c>
      <c r="U636" s="545"/>
      <c r="V636" s="144"/>
      <c r="W636" s="545"/>
      <c r="X636" s="545"/>
      <c r="Y636" s="140">
        <f t="shared" si="172"/>
        <v>3</v>
      </c>
      <c r="Z636" s="136">
        <f t="shared" si="173"/>
        <v>147305764</v>
      </c>
      <c r="AA636" s="145">
        <f t="shared" si="174"/>
        <v>39</v>
      </c>
      <c r="AB636" s="136">
        <f t="shared" si="175"/>
        <v>491791690</v>
      </c>
      <c r="AC636" s="145">
        <f t="shared" si="176"/>
        <v>54.166666666666664</v>
      </c>
      <c r="AD636" s="145">
        <f t="shared" si="177"/>
        <v>67.83597027157407</v>
      </c>
      <c r="AE636" s="369" t="s">
        <v>4120</v>
      </c>
      <c r="AF636" s="750"/>
      <c r="AG636" s="750"/>
      <c r="AH636" s="750"/>
      <c r="AI636" s="750"/>
      <c r="AJ636" s="750"/>
      <c r="AK636" s="750"/>
      <c r="AL636" s="750"/>
      <c r="AM636" s="750"/>
      <c r="AN636" s="750"/>
      <c r="AO636" s="750"/>
      <c r="AP636" s="750"/>
      <c r="AQ636" s="750"/>
      <c r="AR636" s="750"/>
      <c r="AS636" s="750"/>
      <c r="AT636" s="750"/>
      <c r="AU636" s="750"/>
      <c r="AV636" s="750"/>
      <c r="AW636" s="750"/>
      <c r="AX636" s="750"/>
      <c r="AY636" s="750"/>
      <c r="AZ636" s="750"/>
      <c r="BA636" s="750"/>
      <c r="BB636" s="750"/>
      <c r="BC636" s="752"/>
      <c r="BD636" s="752"/>
      <c r="BE636" s="752"/>
      <c r="BF636" s="752"/>
      <c r="BG636" s="752"/>
      <c r="BH636" s="752"/>
      <c r="BI636" s="752"/>
      <c r="BJ636" s="752"/>
      <c r="BK636" s="752"/>
      <c r="BL636" s="752"/>
      <c r="BM636" s="752"/>
      <c r="BN636" s="752"/>
      <c r="BO636" s="752"/>
      <c r="BP636" s="752"/>
      <c r="BQ636" s="752"/>
      <c r="BR636" s="752"/>
    </row>
    <row r="637" spans="1:70" ht="66">
      <c r="A637" s="130"/>
      <c r="B637" s="88"/>
      <c r="C637" s="89"/>
      <c r="D637" s="89"/>
      <c r="E637" s="89"/>
      <c r="F637" s="89"/>
      <c r="G637" s="89"/>
      <c r="H637" s="89"/>
      <c r="I637" s="90" t="s">
        <v>82</v>
      </c>
      <c r="J637" s="88" t="s">
        <v>971</v>
      </c>
      <c r="K637" s="91">
        <v>72</v>
      </c>
      <c r="L637" s="92">
        <f>2*N637</f>
        <v>117130092</v>
      </c>
      <c r="M637" s="91">
        <v>36</v>
      </c>
      <c r="N637" s="94">
        <v>58565046</v>
      </c>
      <c r="O637" s="91">
        <v>12</v>
      </c>
      <c r="P637" s="92">
        <v>9350000</v>
      </c>
      <c r="Q637" s="91">
        <v>3</v>
      </c>
      <c r="R637" s="94">
        <v>9024090</v>
      </c>
      <c r="S637" s="95"/>
      <c r="T637" s="99"/>
      <c r="U637" s="100"/>
      <c r="V637" s="92"/>
      <c r="W637" s="100"/>
      <c r="X637" s="101"/>
      <c r="Y637" s="91">
        <f t="shared" si="172"/>
        <v>3</v>
      </c>
      <c r="Z637" s="92">
        <f t="shared" si="173"/>
        <v>9024090</v>
      </c>
      <c r="AA637" s="98">
        <f t="shared" si="174"/>
        <v>39</v>
      </c>
      <c r="AB637" s="92">
        <f t="shared" si="175"/>
        <v>67589136</v>
      </c>
      <c r="AC637" s="98">
        <f t="shared" si="176"/>
        <v>54.166666666666664</v>
      </c>
      <c r="AD637" s="98">
        <f t="shared" si="177"/>
        <v>57.704331010002107</v>
      </c>
      <c r="AE637" s="627"/>
      <c r="AF637" s="750"/>
    </row>
    <row r="638" spans="1:70" ht="66">
      <c r="A638" s="130"/>
      <c r="B638" s="88"/>
      <c r="C638" s="89"/>
      <c r="D638" s="89"/>
      <c r="E638" s="89"/>
      <c r="F638" s="89"/>
      <c r="G638" s="89"/>
      <c r="H638" s="89"/>
      <c r="I638" s="90" t="s">
        <v>83</v>
      </c>
      <c r="J638" s="88" t="s">
        <v>972</v>
      </c>
      <c r="K638" s="91">
        <v>72</v>
      </c>
      <c r="L638" s="92">
        <f t="shared" ref="L638:L643" si="179">2*N638</f>
        <v>20750000</v>
      </c>
      <c r="M638" s="91">
        <v>36</v>
      </c>
      <c r="N638" s="94">
        <v>10375000</v>
      </c>
      <c r="O638" s="91">
        <v>12</v>
      </c>
      <c r="P638" s="92">
        <v>7450000</v>
      </c>
      <c r="Q638" s="91">
        <v>3</v>
      </c>
      <c r="R638" s="94">
        <v>7000000</v>
      </c>
      <c r="S638" s="95">
        <v>3</v>
      </c>
      <c r="T638" s="99">
        <v>0</v>
      </c>
      <c r="U638" s="100"/>
      <c r="V638" s="100"/>
      <c r="W638" s="100"/>
      <c r="X638" s="111"/>
      <c r="Y638" s="91">
        <f t="shared" si="172"/>
        <v>6</v>
      </c>
      <c r="Z638" s="92">
        <f t="shared" si="173"/>
        <v>7000000</v>
      </c>
      <c r="AA638" s="98">
        <f t="shared" si="174"/>
        <v>42</v>
      </c>
      <c r="AB638" s="92">
        <f t="shared" si="175"/>
        <v>17375000</v>
      </c>
      <c r="AC638" s="98">
        <f t="shared" si="176"/>
        <v>58.333333333333336</v>
      </c>
      <c r="AD638" s="98">
        <f t="shared" si="177"/>
        <v>83.734939759036138</v>
      </c>
      <c r="AE638" s="627"/>
      <c r="AF638" s="750"/>
    </row>
    <row r="639" spans="1:70" ht="49.5">
      <c r="A639" s="130"/>
      <c r="B639" s="88"/>
      <c r="C639" s="89"/>
      <c r="D639" s="89"/>
      <c r="E639" s="89"/>
      <c r="F639" s="89"/>
      <c r="G639" s="89"/>
      <c r="H639" s="89"/>
      <c r="I639" s="90" t="s">
        <v>973</v>
      </c>
      <c r="J639" s="88" t="s">
        <v>89</v>
      </c>
      <c r="K639" s="91">
        <v>72</v>
      </c>
      <c r="L639" s="92">
        <f t="shared" si="179"/>
        <v>270870000</v>
      </c>
      <c r="M639" s="91">
        <v>36</v>
      </c>
      <c r="N639" s="94">
        <v>135435000</v>
      </c>
      <c r="O639" s="91">
        <v>12</v>
      </c>
      <c r="P639" s="92">
        <v>40000000</v>
      </c>
      <c r="Q639" s="91">
        <v>3</v>
      </c>
      <c r="R639" s="92">
        <v>0</v>
      </c>
      <c r="S639" s="95">
        <v>3</v>
      </c>
      <c r="T639" s="112">
        <v>0</v>
      </c>
      <c r="U639" s="92"/>
      <c r="V639" s="92"/>
      <c r="W639" s="92"/>
      <c r="X639" s="92"/>
      <c r="Y639" s="113">
        <f t="shared" si="172"/>
        <v>6</v>
      </c>
      <c r="Z639" s="92">
        <f t="shared" si="173"/>
        <v>0</v>
      </c>
      <c r="AA639" s="98">
        <f t="shared" si="174"/>
        <v>42</v>
      </c>
      <c r="AB639" s="92">
        <f t="shared" si="175"/>
        <v>135435000</v>
      </c>
      <c r="AC639" s="98">
        <f t="shared" si="176"/>
        <v>58.333333333333336</v>
      </c>
      <c r="AD639" s="98">
        <f t="shared" si="177"/>
        <v>50</v>
      </c>
      <c r="AE639" s="627"/>
      <c r="AF639" s="750"/>
    </row>
    <row r="640" spans="1:70" ht="49.5">
      <c r="A640" s="130"/>
      <c r="B640" s="88"/>
      <c r="C640" s="89"/>
      <c r="D640" s="89"/>
      <c r="E640" s="89"/>
      <c r="F640" s="89"/>
      <c r="G640" s="89"/>
      <c r="H640" s="89"/>
      <c r="I640" s="90" t="s">
        <v>2806</v>
      </c>
      <c r="J640" s="88" t="s">
        <v>975</v>
      </c>
      <c r="K640" s="91">
        <v>72</v>
      </c>
      <c r="L640" s="92">
        <f t="shared" si="179"/>
        <v>238986160</v>
      </c>
      <c r="M640" s="91">
        <v>36</v>
      </c>
      <c r="N640" s="94">
        <v>119493080</v>
      </c>
      <c r="O640" s="91">
        <v>12</v>
      </c>
      <c r="P640" s="92">
        <v>251340000</v>
      </c>
      <c r="Q640" s="91">
        <v>3</v>
      </c>
      <c r="R640" s="94">
        <v>36977924</v>
      </c>
      <c r="S640" s="95">
        <v>3</v>
      </c>
      <c r="T640" s="99">
        <v>37195000</v>
      </c>
      <c r="U640" s="100"/>
      <c r="V640" s="92"/>
      <c r="W640" s="100"/>
      <c r="X640" s="101"/>
      <c r="Y640" s="91">
        <f t="shared" si="172"/>
        <v>6</v>
      </c>
      <c r="Z640" s="92">
        <f t="shared" si="173"/>
        <v>74172924</v>
      </c>
      <c r="AA640" s="98">
        <f t="shared" si="174"/>
        <v>42</v>
      </c>
      <c r="AB640" s="92">
        <f t="shared" si="175"/>
        <v>193666004</v>
      </c>
      <c r="AC640" s="98">
        <f t="shared" si="176"/>
        <v>58.333333333333336</v>
      </c>
      <c r="AD640" s="98">
        <f t="shared" si="177"/>
        <v>81.036493494016554</v>
      </c>
      <c r="AE640" s="627"/>
      <c r="AF640" s="750"/>
    </row>
    <row r="641" spans="1:70" ht="66">
      <c r="A641" s="130"/>
      <c r="B641" s="88"/>
      <c r="C641" s="89"/>
      <c r="D641" s="89"/>
      <c r="E641" s="89"/>
      <c r="F641" s="89"/>
      <c r="G641" s="89"/>
      <c r="H641" s="89"/>
      <c r="I641" s="90" t="s">
        <v>2807</v>
      </c>
      <c r="J641" s="88" t="s">
        <v>976</v>
      </c>
      <c r="K641" s="91">
        <v>72</v>
      </c>
      <c r="L641" s="92">
        <f t="shared" si="179"/>
        <v>11800000</v>
      </c>
      <c r="M641" s="91">
        <v>36</v>
      </c>
      <c r="N641" s="94">
        <v>5900000</v>
      </c>
      <c r="O641" s="91">
        <v>12</v>
      </c>
      <c r="P641" s="92">
        <v>14000000</v>
      </c>
      <c r="Q641" s="91">
        <v>3</v>
      </c>
      <c r="R641" s="94">
        <v>2200000</v>
      </c>
      <c r="S641" s="95">
        <v>3</v>
      </c>
      <c r="T641" s="99">
        <v>53758750</v>
      </c>
      <c r="U641" s="100"/>
      <c r="V641" s="92"/>
      <c r="W641" s="100"/>
      <c r="X641" s="101"/>
      <c r="Y641" s="91">
        <f t="shared" si="172"/>
        <v>6</v>
      </c>
      <c r="Z641" s="92">
        <f t="shared" si="173"/>
        <v>55958750</v>
      </c>
      <c r="AA641" s="98">
        <f t="shared" si="174"/>
        <v>42</v>
      </c>
      <c r="AB641" s="92">
        <f t="shared" si="175"/>
        <v>61858750</v>
      </c>
      <c r="AC641" s="98">
        <f t="shared" si="176"/>
        <v>58.333333333333336</v>
      </c>
      <c r="AD641" s="98">
        <f t="shared" si="177"/>
        <v>524.22669491525426</v>
      </c>
      <c r="AE641" s="627"/>
      <c r="AF641" s="750"/>
    </row>
    <row r="642" spans="1:70" ht="33">
      <c r="A642" s="130"/>
      <c r="B642" s="88"/>
      <c r="C642" s="89"/>
      <c r="D642" s="89"/>
      <c r="E642" s="89"/>
      <c r="F642" s="89"/>
      <c r="G642" s="89"/>
      <c r="H642" s="89"/>
      <c r="I642" s="90" t="s">
        <v>1019</v>
      </c>
      <c r="J642" s="88" t="s">
        <v>2793</v>
      </c>
      <c r="K642" s="91">
        <v>2</v>
      </c>
      <c r="L642" s="92">
        <f>P642</f>
        <v>36000000</v>
      </c>
      <c r="M642" s="91">
        <v>0</v>
      </c>
      <c r="N642" s="94">
        <v>0</v>
      </c>
      <c r="O642" s="91">
        <v>2</v>
      </c>
      <c r="P642" s="92">
        <v>36000000</v>
      </c>
      <c r="Q642" s="91">
        <v>0</v>
      </c>
      <c r="R642" s="94">
        <v>0</v>
      </c>
      <c r="S642" s="95">
        <v>3</v>
      </c>
      <c r="T642" s="99">
        <v>1150000</v>
      </c>
      <c r="U642" s="100"/>
      <c r="V642" s="92"/>
      <c r="W642" s="100"/>
      <c r="X642" s="101"/>
      <c r="Y642" s="91">
        <f t="shared" si="172"/>
        <v>3</v>
      </c>
      <c r="Z642" s="92">
        <f t="shared" si="173"/>
        <v>1150000</v>
      </c>
      <c r="AA642" s="98">
        <f t="shared" si="174"/>
        <v>3</v>
      </c>
      <c r="AB642" s="92">
        <f t="shared" si="175"/>
        <v>1150000</v>
      </c>
      <c r="AC642" s="98">
        <f t="shared" si="176"/>
        <v>150</v>
      </c>
      <c r="AD642" s="98">
        <f t="shared" si="177"/>
        <v>3.1944444444444442</v>
      </c>
      <c r="AE642" s="627"/>
      <c r="AF642" s="750"/>
    </row>
    <row r="643" spans="1:70" ht="66">
      <c r="A643" s="130"/>
      <c r="B643" s="88"/>
      <c r="C643" s="89"/>
      <c r="D643" s="89"/>
      <c r="E643" s="89"/>
      <c r="F643" s="89"/>
      <c r="G643" s="89"/>
      <c r="H643" s="89"/>
      <c r="I643" s="90" t="s">
        <v>977</v>
      </c>
      <c r="J643" s="88" t="s">
        <v>978</v>
      </c>
      <c r="K643" s="91">
        <v>6</v>
      </c>
      <c r="L643" s="92">
        <f t="shared" si="179"/>
        <v>29435600</v>
      </c>
      <c r="M643" s="91">
        <v>3</v>
      </c>
      <c r="N643" s="94">
        <v>14717800</v>
      </c>
      <c r="O643" s="91">
        <v>0</v>
      </c>
      <c r="P643" s="92">
        <v>0</v>
      </c>
      <c r="Q643" s="91">
        <v>0</v>
      </c>
      <c r="R643" s="94">
        <v>0</v>
      </c>
      <c r="S643" s="95"/>
      <c r="T643" s="88"/>
      <c r="U643" s="100"/>
      <c r="V643" s="100"/>
      <c r="W643" s="100"/>
      <c r="X643" s="100"/>
      <c r="Y643" s="91">
        <f t="shared" si="172"/>
        <v>0</v>
      </c>
      <c r="Z643" s="92">
        <f t="shared" si="173"/>
        <v>0</v>
      </c>
      <c r="AA643" s="98">
        <f t="shared" si="174"/>
        <v>3</v>
      </c>
      <c r="AB643" s="92">
        <f t="shared" si="175"/>
        <v>14717800</v>
      </c>
      <c r="AC643" s="98">
        <f t="shared" si="176"/>
        <v>50</v>
      </c>
      <c r="AD643" s="98">
        <f t="shared" si="177"/>
        <v>50</v>
      </c>
      <c r="AE643" s="627"/>
      <c r="AF643" s="750"/>
    </row>
    <row r="644" spans="1:70" s="22" customFormat="1" ht="70.5" customHeight="1">
      <c r="A644" s="2558">
        <v>3</v>
      </c>
      <c r="B644" s="33"/>
      <c r="C644" s="133"/>
      <c r="D644" s="133"/>
      <c r="E644" s="133"/>
      <c r="F644" s="133"/>
      <c r="G644" s="133"/>
      <c r="H644" s="133"/>
      <c r="I644" s="134" t="s">
        <v>979</v>
      </c>
      <c r="J644" s="1632" t="s">
        <v>2794</v>
      </c>
      <c r="K644" s="146">
        <v>80</v>
      </c>
      <c r="L644" s="147">
        <f>L645+L646+L647</f>
        <v>708056540</v>
      </c>
      <c r="M644" s="146">
        <v>70</v>
      </c>
      <c r="N644" s="510">
        <f t="shared" ref="N644:R644" si="180">N645+N646+N647</f>
        <v>347834220</v>
      </c>
      <c r="O644" s="135">
        <v>5</v>
      </c>
      <c r="P644" s="137">
        <f t="shared" si="180"/>
        <v>271106400</v>
      </c>
      <c r="Q644" s="135">
        <v>0</v>
      </c>
      <c r="R644" s="137">
        <f t="shared" si="180"/>
        <v>20312150</v>
      </c>
      <c r="S644" s="33"/>
      <c r="T644" s="144">
        <f>SUM(T645:T647)</f>
        <v>71574050</v>
      </c>
      <c r="U644" s="545"/>
      <c r="V644" s="144"/>
      <c r="W644" s="545"/>
      <c r="X644" s="545"/>
      <c r="Y644" s="148">
        <f t="shared" si="172"/>
        <v>0</v>
      </c>
      <c r="Z644" s="136">
        <f t="shared" si="173"/>
        <v>91886200</v>
      </c>
      <c r="AA644" s="145">
        <f t="shared" si="174"/>
        <v>70</v>
      </c>
      <c r="AB644" s="136">
        <f t="shared" si="175"/>
        <v>439720420</v>
      </c>
      <c r="AC644" s="145">
        <f t="shared" si="176"/>
        <v>87.5</v>
      </c>
      <c r="AD644" s="145">
        <f t="shared" si="177"/>
        <v>62.102444530771514</v>
      </c>
      <c r="AE644" s="369" t="s">
        <v>4120</v>
      </c>
      <c r="AF644" s="750"/>
      <c r="AG644" s="750"/>
      <c r="AH644" s="750"/>
      <c r="AI644" s="750"/>
      <c r="AJ644" s="750"/>
      <c r="AK644" s="750"/>
      <c r="AL644" s="750"/>
      <c r="AM644" s="750"/>
      <c r="AN644" s="750"/>
      <c r="AO644" s="750"/>
      <c r="AP644" s="750"/>
      <c r="AQ644" s="750"/>
      <c r="AR644" s="750"/>
      <c r="AS644" s="750"/>
      <c r="AT644" s="750"/>
      <c r="AU644" s="750"/>
      <c r="AV644" s="750"/>
      <c r="AW644" s="750"/>
      <c r="AX644" s="750"/>
      <c r="AY644" s="750"/>
      <c r="AZ644" s="750"/>
      <c r="BA644" s="750"/>
      <c r="BB644" s="750"/>
      <c r="BC644" s="752"/>
      <c r="BD644" s="752"/>
      <c r="BE644" s="752"/>
      <c r="BF644" s="752"/>
      <c r="BG644" s="752"/>
      <c r="BH644" s="752"/>
      <c r="BI644" s="752"/>
      <c r="BJ644" s="752"/>
      <c r="BK644" s="752"/>
      <c r="BL644" s="752"/>
      <c r="BM644" s="752"/>
      <c r="BN644" s="752"/>
      <c r="BO644" s="752"/>
      <c r="BP644" s="752"/>
      <c r="BQ644" s="752"/>
      <c r="BR644" s="752"/>
    </row>
    <row r="645" spans="1:70" ht="66">
      <c r="A645" s="130"/>
      <c r="B645" s="88"/>
      <c r="C645" s="89"/>
      <c r="D645" s="89"/>
      <c r="E645" s="89"/>
      <c r="F645" s="89"/>
      <c r="G645" s="89"/>
      <c r="H645" s="89"/>
      <c r="I645" s="114" t="s">
        <v>2795</v>
      </c>
      <c r="J645" s="34" t="s">
        <v>980</v>
      </c>
      <c r="K645" s="115">
        <v>72</v>
      </c>
      <c r="L645" s="116">
        <f>2*N645</f>
        <v>459588040</v>
      </c>
      <c r="M645" s="115">
        <v>36</v>
      </c>
      <c r="N645" s="94">
        <v>229794020</v>
      </c>
      <c r="O645" s="115">
        <v>12</v>
      </c>
      <c r="P645" s="92">
        <v>133200000</v>
      </c>
      <c r="Q645" s="91">
        <v>3</v>
      </c>
      <c r="R645" s="94">
        <v>6558700</v>
      </c>
      <c r="S645" s="95">
        <v>3</v>
      </c>
      <c r="T645" s="99">
        <v>34727500</v>
      </c>
      <c r="U645" s="100"/>
      <c r="V645" s="92"/>
      <c r="W645" s="100"/>
      <c r="X645" s="101"/>
      <c r="Y645" s="117">
        <f t="shared" si="172"/>
        <v>6</v>
      </c>
      <c r="Z645" s="92">
        <f t="shared" si="173"/>
        <v>41286200</v>
      </c>
      <c r="AA645" s="98">
        <f t="shared" si="174"/>
        <v>42</v>
      </c>
      <c r="AB645" s="92">
        <f t="shared" si="175"/>
        <v>271080220</v>
      </c>
      <c r="AC645" s="118">
        <f t="shared" si="176"/>
        <v>58.333333333333336</v>
      </c>
      <c r="AD645" s="98">
        <f t="shared" si="177"/>
        <v>58.983306005961332</v>
      </c>
      <c r="AE645" s="627"/>
      <c r="AF645" s="750"/>
    </row>
    <row r="646" spans="1:70" ht="66">
      <c r="A646" s="130"/>
      <c r="B646" s="88"/>
      <c r="C646" s="89"/>
      <c r="D646" s="89"/>
      <c r="E646" s="89"/>
      <c r="F646" s="89"/>
      <c r="G646" s="89"/>
      <c r="H646" s="89"/>
      <c r="I646" s="114" t="s">
        <v>981</v>
      </c>
      <c r="J646" s="88" t="s">
        <v>982</v>
      </c>
      <c r="K646" s="100">
        <v>16</v>
      </c>
      <c r="L646" s="92">
        <f>2*N646</f>
        <v>128468500</v>
      </c>
      <c r="M646" s="100">
        <v>4</v>
      </c>
      <c r="N646" s="94">
        <v>64234250</v>
      </c>
      <c r="O646" s="100">
        <v>4</v>
      </c>
      <c r="P646" s="92">
        <v>52459600</v>
      </c>
      <c r="Q646" s="100">
        <v>1</v>
      </c>
      <c r="R646" s="94">
        <v>7107000</v>
      </c>
      <c r="S646" s="95">
        <v>0</v>
      </c>
      <c r="T646" s="99">
        <v>26344850</v>
      </c>
      <c r="U646" s="100"/>
      <c r="V646" s="92"/>
      <c r="W646" s="100"/>
      <c r="X646" s="101"/>
      <c r="Y646" s="117">
        <f t="shared" si="172"/>
        <v>1</v>
      </c>
      <c r="Z646" s="92">
        <f t="shared" si="173"/>
        <v>33451850</v>
      </c>
      <c r="AA646" s="98">
        <f t="shared" si="174"/>
        <v>5</v>
      </c>
      <c r="AB646" s="92">
        <f t="shared" si="175"/>
        <v>97686100</v>
      </c>
      <c r="AC646" s="98">
        <f t="shared" si="176"/>
        <v>31.25</v>
      </c>
      <c r="AD646" s="98">
        <f t="shared" si="177"/>
        <v>76.038951182585606</v>
      </c>
      <c r="AE646" s="627"/>
      <c r="AF646" s="750"/>
    </row>
    <row r="647" spans="1:70" ht="49.5">
      <c r="A647" s="130"/>
      <c r="B647" s="88"/>
      <c r="C647" s="89"/>
      <c r="D647" s="89"/>
      <c r="E647" s="89"/>
      <c r="F647" s="89"/>
      <c r="G647" s="89"/>
      <c r="H647" s="89"/>
      <c r="I647" s="90" t="s">
        <v>983</v>
      </c>
      <c r="J647" s="88" t="s">
        <v>984</v>
      </c>
      <c r="K647" s="100">
        <v>12</v>
      </c>
      <c r="L647" s="92">
        <v>120000000</v>
      </c>
      <c r="M647" s="91">
        <v>2</v>
      </c>
      <c r="N647" s="94">
        <v>53805950</v>
      </c>
      <c r="O647" s="91">
        <v>2</v>
      </c>
      <c r="P647" s="92">
        <v>85446800</v>
      </c>
      <c r="Q647" s="91">
        <v>1</v>
      </c>
      <c r="R647" s="94">
        <v>6646450</v>
      </c>
      <c r="S647" s="88">
        <v>0</v>
      </c>
      <c r="T647" s="99">
        <v>10501700</v>
      </c>
      <c r="U647" s="100"/>
      <c r="V647" s="92"/>
      <c r="W647" s="100"/>
      <c r="X647" s="101"/>
      <c r="Y647" s="97">
        <f t="shared" si="172"/>
        <v>1</v>
      </c>
      <c r="Z647" s="92">
        <f t="shared" si="173"/>
        <v>17148150</v>
      </c>
      <c r="AA647" s="117">
        <f t="shared" si="174"/>
        <v>3</v>
      </c>
      <c r="AB647" s="92">
        <f t="shared" si="175"/>
        <v>70954100</v>
      </c>
      <c r="AC647" s="117">
        <f t="shared" si="176"/>
        <v>25</v>
      </c>
      <c r="AD647" s="117">
        <f t="shared" si="177"/>
        <v>59.128416666666674</v>
      </c>
      <c r="AE647" s="627"/>
      <c r="AF647" s="750"/>
    </row>
    <row r="648" spans="1:70" s="22" customFormat="1" ht="99">
      <c r="A648" s="2558">
        <v>4</v>
      </c>
      <c r="B648" s="33"/>
      <c r="C648" s="133"/>
      <c r="D648" s="133"/>
      <c r="E648" s="133"/>
      <c r="F648" s="133"/>
      <c r="G648" s="133"/>
      <c r="H648" s="133"/>
      <c r="I648" s="134" t="s">
        <v>2796</v>
      </c>
      <c r="J648" s="142" t="s">
        <v>2797</v>
      </c>
      <c r="K648" s="222">
        <v>25850</v>
      </c>
      <c r="L648" s="150">
        <f>SUM(L649:L653)</f>
        <v>2724007514</v>
      </c>
      <c r="M648" s="230">
        <v>18950</v>
      </c>
      <c r="N648" s="137">
        <f>SUM(N649:N653)</f>
        <v>1129971943</v>
      </c>
      <c r="O648" s="281">
        <f>20650-M648</f>
        <v>1700</v>
      </c>
      <c r="P648" s="136">
        <f>SUM(P649:P654)</f>
        <v>885042690</v>
      </c>
      <c r="Q648" s="135">
        <v>300</v>
      </c>
      <c r="R648" s="137">
        <f>SUM(R649:R653)</f>
        <v>33554200</v>
      </c>
      <c r="S648" s="151"/>
      <c r="T648" s="144">
        <f>SUM(T649:T654)</f>
        <v>146409050</v>
      </c>
      <c r="U648" s="545"/>
      <c r="V648" s="144"/>
      <c r="W648" s="545"/>
      <c r="X648" s="136"/>
      <c r="Y648" s="148">
        <f t="shared" si="172"/>
        <v>300</v>
      </c>
      <c r="Z648" s="136">
        <f t="shared" si="173"/>
        <v>179963250</v>
      </c>
      <c r="AA648" s="145">
        <f t="shared" si="174"/>
        <v>19250</v>
      </c>
      <c r="AB648" s="152">
        <f t="shared" si="175"/>
        <v>1309935193</v>
      </c>
      <c r="AC648" s="145">
        <f t="shared" si="176"/>
        <v>74.468085106382972</v>
      </c>
      <c r="AD648" s="145">
        <f t="shared" si="177"/>
        <v>48.088530823340456</v>
      </c>
      <c r="AE648" s="369" t="s">
        <v>4120</v>
      </c>
      <c r="AF648" s="750"/>
      <c r="AG648" s="750"/>
      <c r="AH648" s="750"/>
      <c r="AI648" s="750"/>
      <c r="AJ648" s="750"/>
      <c r="AK648" s="750"/>
      <c r="AL648" s="750"/>
      <c r="AM648" s="750"/>
      <c r="AN648" s="750"/>
      <c r="AO648" s="750"/>
      <c r="AP648" s="750"/>
      <c r="AQ648" s="750"/>
      <c r="AR648" s="750"/>
      <c r="AS648" s="750"/>
      <c r="AT648" s="750"/>
      <c r="AU648" s="750"/>
      <c r="AV648" s="750"/>
      <c r="AW648" s="750"/>
      <c r="AX648" s="750"/>
      <c r="AY648" s="750"/>
      <c r="AZ648" s="750"/>
      <c r="BA648" s="750"/>
      <c r="BB648" s="750"/>
      <c r="BC648" s="752"/>
      <c r="BD648" s="752"/>
      <c r="BE648" s="752"/>
      <c r="BF648" s="752"/>
      <c r="BG648" s="752"/>
      <c r="BH648" s="752"/>
      <c r="BI648" s="752"/>
      <c r="BJ648" s="752"/>
      <c r="BK648" s="752"/>
      <c r="BL648" s="752"/>
      <c r="BM648" s="752"/>
      <c r="BN648" s="752"/>
      <c r="BO648" s="752"/>
      <c r="BP648" s="752"/>
      <c r="BQ648" s="752"/>
      <c r="BR648" s="752"/>
    </row>
    <row r="649" spans="1:70" ht="49.5">
      <c r="A649" s="130"/>
      <c r="B649" s="88"/>
      <c r="C649" s="89"/>
      <c r="D649" s="89"/>
      <c r="E649" s="89"/>
      <c r="F649" s="89"/>
      <c r="G649" s="89"/>
      <c r="H649" s="89"/>
      <c r="I649" s="90" t="s">
        <v>985</v>
      </c>
      <c r="J649" s="88" t="s">
        <v>2798</v>
      </c>
      <c r="K649" s="119">
        <v>72</v>
      </c>
      <c r="L649" s="120">
        <f>2*N649</f>
        <v>120446986</v>
      </c>
      <c r="M649" s="91">
        <v>36</v>
      </c>
      <c r="N649" s="94">
        <v>60223493</v>
      </c>
      <c r="O649" s="91">
        <v>12</v>
      </c>
      <c r="P649" s="92">
        <v>72783190</v>
      </c>
      <c r="Q649" s="121">
        <v>3</v>
      </c>
      <c r="R649" s="94">
        <v>23389250</v>
      </c>
      <c r="S649" s="95">
        <v>9.9844481949135755</v>
      </c>
      <c r="T649" s="99">
        <v>14534000</v>
      </c>
      <c r="U649" s="100"/>
      <c r="V649" s="92"/>
      <c r="W649" s="100"/>
      <c r="X649" s="101"/>
      <c r="Y649" s="97">
        <f t="shared" si="172"/>
        <v>12.984448194913575</v>
      </c>
      <c r="Z649" s="92">
        <f t="shared" si="173"/>
        <v>37923250</v>
      </c>
      <c r="AA649" s="117">
        <f t="shared" si="174"/>
        <v>48.984448194913575</v>
      </c>
      <c r="AB649" s="92">
        <f t="shared" si="175"/>
        <v>98146743</v>
      </c>
      <c r="AC649" s="117">
        <f t="shared" si="176"/>
        <v>68.033955826268851</v>
      </c>
      <c r="AD649" s="117">
        <f t="shared" si="177"/>
        <v>81.485428784411425</v>
      </c>
      <c r="AE649" s="627"/>
      <c r="AF649" s="750"/>
    </row>
    <row r="650" spans="1:70" ht="66">
      <c r="A650" s="130"/>
      <c r="B650" s="88"/>
      <c r="C650" s="89"/>
      <c r="D650" s="89"/>
      <c r="E650" s="89"/>
      <c r="F650" s="89"/>
      <c r="G650" s="89"/>
      <c r="H650" s="89"/>
      <c r="I650" s="90" t="s">
        <v>986</v>
      </c>
      <c r="J650" s="88" t="s">
        <v>2799</v>
      </c>
      <c r="K650" s="100">
        <v>30</v>
      </c>
      <c r="L650" s="92">
        <f>2*P650</f>
        <v>300730000</v>
      </c>
      <c r="M650" s="91">
        <v>9</v>
      </c>
      <c r="N650" s="94">
        <v>44922300</v>
      </c>
      <c r="O650" s="91">
        <v>12</v>
      </c>
      <c r="P650" s="92">
        <v>150365000</v>
      </c>
      <c r="Q650" s="91">
        <v>3</v>
      </c>
      <c r="R650" s="94">
        <v>4031700</v>
      </c>
      <c r="S650" s="95">
        <v>3</v>
      </c>
      <c r="T650" s="99">
        <v>12796200</v>
      </c>
      <c r="U650" s="100"/>
      <c r="V650" s="92"/>
      <c r="W650" s="100"/>
      <c r="X650" s="101"/>
      <c r="Y650" s="97">
        <f t="shared" si="172"/>
        <v>6</v>
      </c>
      <c r="Z650" s="92">
        <f t="shared" si="173"/>
        <v>16827900</v>
      </c>
      <c r="AA650" s="117">
        <f t="shared" si="174"/>
        <v>15</v>
      </c>
      <c r="AB650" s="92">
        <f t="shared" si="175"/>
        <v>61750200</v>
      </c>
      <c r="AC650" s="117">
        <f t="shared" si="176"/>
        <v>50</v>
      </c>
      <c r="AD650" s="117">
        <f t="shared" si="177"/>
        <v>20.533435307418614</v>
      </c>
      <c r="AE650" s="627"/>
      <c r="AF650" s="750"/>
    </row>
    <row r="651" spans="1:70" ht="49.5">
      <c r="A651" s="130"/>
      <c r="B651" s="88"/>
      <c r="C651" s="89"/>
      <c r="D651" s="89"/>
      <c r="E651" s="89"/>
      <c r="F651" s="89"/>
      <c r="G651" s="89"/>
      <c r="H651" s="89"/>
      <c r="I651" s="90" t="s">
        <v>987</v>
      </c>
      <c r="J651" s="88" t="s">
        <v>988</v>
      </c>
      <c r="K651" s="91">
        <v>6</v>
      </c>
      <c r="L651" s="92">
        <v>100000000</v>
      </c>
      <c r="M651" s="91">
        <v>3</v>
      </c>
      <c r="N651" s="94">
        <v>4989750</v>
      </c>
      <c r="O651" s="91">
        <v>1</v>
      </c>
      <c r="P651" s="92">
        <v>23812000</v>
      </c>
      <c r="Q651" s="91">
        <v>0</v>
      </c>
      <c r="R651" s="94">
        <v>4670750</v>
      </c>
      <c r="S651" s="95">
        <v>0</v>
      </c>
      <c r="T651" s="99">
        <v>2992250</v>
      </c>
      <c r="U651" s="100"/>
      <c r="V651" s="92"/>
      <c r="W651" s="100"/>
      <c r="X651" s="101"/>
      <c r="Y651" s="97">
        <f t="shared" si="172"/>
        <v>0</v>
      </c>
      <c r="Z651" s="92">
        <f t="shared" si="173"/>
        <v>7663000</v>
      </c>
      <c r="AA651" s="117">
        <f t="shared" si="174"/>
        <v>3</v>
      </c>
      <c r="AB651" s="92">
        <f t="shared" si="175"/>
        <v>12652750</v>
      </c>
      <c r="AC651" s="117">
        <f t="shared" si="176"/>
        <v>50</v>
      </c>
      <c r="AD651" s="117">
        <f t="shared" si="177"/>
        <v>12.652749999999999</v>
      </c>
      <c r="AE651" s="627"/>
      <c r="AF651" s="750"/>
    </row>
    <row r="652" spans="1:70" ht="66">
      <c r="A652" s="130"/>
      <c r="B652" s="88"/>
      <c r="C652" s="89"/>
      <c r="D652" s="89"/>
      <c r="E652" s="89"/>
      <c r="F652" s="89"/>
      <c r="G652" s="89"/>
      <c r="H652" s="89"/>
      <c r="I652" s="90" t="s">
        <v>989</v>
      </c>
      <c r="J652" s="88" t="s">
        <v>2800</v>
      </c>
      <c r="K652" s="100">
        <v>60</v>
      </c>
      <c r="L652" s="92">
        <f>3*N652</f>
        <v>1725210000</v>
      </c>
      <c r="M652" s="100">
        <v>24</v>
      </c>
      <c r="N652" s="94">
        <v>575070000</v>
      </c>
      <c r="O652" s="100">
        <v>12</v>
      </c>
      <c r="P652" s="92">
        <v>575070000</v>
      </c>
      <c r="Q652" s="91">
        <v>3</v>
      </c>
      <c r="R652" s="94">
        <v>1462500</v>
      </c>
      <c r="S652" s="88">
        <v>0</v>
      </c>
      <c r="T652" s="99">
        <v>113744100</v>
      </c>
      <c r="U652" s="100"/>
      <c r="V652" s="92"/>
      <c r="W652" s="100"/>
      <c r="X652" s="101"/>
      <c r="Y652" s="97">
        <f t="shared" si="172"/>
        <v>3</v>
      </c>
      <c r="Z652" s="92">
        <f t="shared" si="173"/>
        <v>115206600</v>
      </c>
      <c r="AA652" s="117">
        <f t="shared" si="174"/>
        <v>27</v>
      </c>
      <c r="AB652" s="92">
        <f t="shared" si="175"/>
        <v>690276600</v>
      </c>
      <c r="AC652" s="117">
        <f t="shared" si="176"/>
        <v>45</v>
      </c>
      <c r="AD652" s="117">
        <f t="shared" si="177"/>
        <v>40.011163858312905</v>
      </c>
      <c r="AE652" s="627"/>
      <c r="AF652" s="750"/>
    </row>
    <row r="653" spans="1:70" ht="49.5">
      <c r="A653" s="130"/>
      <c r="B653" s="88"/>
      <c r="C653" s="89"/>
      <c r="D653" s="89"/>
      <c r="E653" s="89"/>
      <c r="F653" s="89"/>
      <c r="G653" s="89"/>
      <c r="H653" s="89"/>
      <c r="I653" s="90" t="s">
        <v>990</v>
      </c>
      <c r="J653" s="90" t="s">
        <v>2801</v>
      </c>
      <c r="K653" s="100">
        <v>6</v>
      </c>
      <c r="L653" s="92">
        <v>477620528</v>
      </c>
      <c r="M653" s="100">
        <v>3</v>
      </c>
      <c r="N653" s="94">
        <v>444766400</v>
      </c>
      <c r="O653" s="100">
        <v>0</v>
      </c>
      <c r="P653" s="92">
        <v>0</v>
      </c>
      <c r="Q653" s="91">
        <v>0</v>
      </c>
      <c r="R653" s="94">
        <v>0</v>
      </c>
      <c r="S653" s="88"/>
      <c r="T653" s="99"/>
      <c r="U653" s="100"/>
      <c r="V653" s="92"/>
      <c r="W653" s="100"/>
      <c r="X653" s="101"/>
      <c r="Y653" s="97">
        <f t="shared" si="172"/>
        <v>0</v>
      </c>
      <c r="Z653" s="92">
        <f t="shared" si="173"/>
        <v>0</v>
      </c>
      <c r="AA653" s="117">
        <f t="shared" si="174"/>
        <v>3</v>
      </c>
      <c r="AB653" s="92">
        <f t="shared" si="175"/>
        <v>444766400</v>
      </c>
      <c r="AC653" s="117">
        <f t="shared" si="176"/>
        <v>50</v>
      </c>
      <c r="AD653" s="117">
        <f t="shared" si="177"/>
        <v>93.121290632633773</v>
      </c>
      <c r="AE653" s="627"/>
      <c r="AF653" s="750"/>
    </row>
    <row r="654" spans="1:70" ht="49.5">
      <c r="A654" s="130"/>
      <c r="B654" s="88"/>
      <c r="C654" s="89"/>
      <c r="D654" s="89"/>
      <c r="E654" s="89"/>
      <c r="F654" s="89"/>
      <c r="G654" s="89"/>
      <c r="H654" s="89"/>
      <c r="I654" s="90" t="s">
        <v>1020</v>
      </c>
      <c r="J654" s="90" t="s">
        <v>2802</v>
      </c>
      <c r="K654" s="100">
        <v>50</v>
      </c>
      <c r="L654" s="92">
        <f>3*P654</f>
        <v>189037500</v>
      </c>
      <c r="M654" s="100">
        <v>0</v>
      </c>
      <c r="N654" s="94">
        <v>0</v>
      </c>
      <c r="O654" s="100">
        <v>15</v>
      </c>
      <c r="P654" s="92">
        <v>63012500</v>
      </c>
      <c r="Q654" s="91">
        <v>0</v>
      </c>
      <c r="R654" s="94">
        <v>0</v>
      </c>
      <c r="S654" s="88">
        <v>1</v>
      </c>
      <c r="T654" s="99">
        <v>2342500</v>
      </c>
      <c r="U654" s="100"/>
      <c r="V654" s="92"/>
      <c r="W654" s="100"/>
      <c r="X654" s="101"/>
      <c r="Y654" s="97">
        <f t="shared" si="172"/>
        <v>1</v>
      </c>
      <c r="Z654" s="92">
        <f t="shared" si="173"/>
        <v>2342500</v>
      </c>
      <c r="AA654" s="117">
        <f t="shared" si="174"/>
        <v>1</v>
      </c>
      <c r="AB654" s="92">
        <f t="shared" si="175"/>
        <v>2342500</v>
      </c>
      <c r="AC654" s="117">
        <f t="shared" si="176"/>
        <v>2</v>
      </c>
      <c r="AD654" s="117">
        <f t="shared" si="177"/>
        <v>1.2391721219334788</v>
      </c>
      <c r="AE654" s="627"/>
      <c r="AF654" s="750"/>
    </row>
    <row r="655" spans="1:70" s="16" customFormat="1" ht="99">
      <c r="A655" s="2558">
        <v>5</v>
      </c>
      <c r="B655" s="33"/>
      <c r="C655" s="989"/>
      <c r="D655" s="989"/>
      <c r="E655" s="989"/>
      <c r="F655" s="989"/>
      <c r="G655" s="989"/>
      <c r="H655" s="989"/>
      <c r="I655" s="134" t="s">
        <v>2803</v>
      </c>
      <c r="J655" s="1633" t="s">
        <v>2805</v>
      </c>
      <c r="K655" s="545">
        <v>90</v>
      </c>
      <c r="L655" s="157">
        <f>L656</f>
        <v>272580000</v>
      </c>
      <c r="M655" s="135">
        <v>68</v>
      </c>
      <c r="N655" s="137">
        <v>77291400</v>
      </c>
      <c r="O655" s="135">
        <v>86</v>
      </c>
      <c r="P655" s="136">
        <f>P656</f>
        <v>90860000</v>
      </c>
      <c r="Q655" s="545">
        <v>0</v>
      </c>
      <c r="R655" s="137">
        <v>0</v>
      </c>
      <c r="S655" s="33"/>
      <c r="T655" s="144">
        <f>SUM(T656)</f>
        <v>67313550</v>
      </c>
      <c r="U655" s="545"/>
      <c r="V655" s="144"/>
      <c r="W655" s="545"/>
      <c r="X655" s="545"/>
      <c r="Y655" s="148">
        <f t="shared" si="172"/>
        <v>0</v>
      </c>
      <c r="Z655" s="136">
        <f t="shared" si="173"/>
        <v>67313550</v>
      </c>
      <c r="AA655" s="148">
        <f t="shared" si="174"/>
        <v>68</v>
      </c>
      <c r="AB655" s="136">
        <f t="shared" si="175"/>
        <v>144604950</v>
      </c>
      <c r="AC655" s="148">
        <f t="shared" si="176"/>
        <v>75.555555555555557</v>
      </c>
      <c r="AD655" s="148">
        <f t="shared" si="177"/>
        <v>53.050462249614796</v>
      </c>
      <c r="AE655" s="369" t="s">
        <v>4120</v>
      </c>
      <c r="AF655" s="201"/>
      <c r="AG655" s="201"/>
      <c r="AH655" s="201"/>
      <c r="AI655" s="201"/>
      <c r="AJ655" s="201"/>
      <c r="AK655" s="201"/>
      <c r="AL655" s="201"/>
      <c r="AM655" s="201"/>
      <c r="AN655" s="201"/>
      <c r="AO655" s="201"/>
      <c r="AP655" s="201"/>
      <c r="AQ655" s="201"/>
      <c r="AR655" s="201"/>
      <c r="AS655" s="201"/>
      <c r="AT655" s="201"/>
      <c r="AU655" s="201"/>
      <c r="AV655" s="201"/>
      <c r="AW655" s="201"/>
      <c r="AX655" s="201"/>
      <c r="AY655" s="201"/>
      <c r="AZ655" s="201"/>
      <c r="BA655" s="201"/>
      <c r="BB655" s="201"/>
      <c r="BC655" s="20"/>
      <c r="BD655" s="20"/>
      <c r="BE655" s="20"/>
      <c r="BF655" s="20"/>
      <c r="BG655" s="20"/>
      <c r="BH655" s="20"/>
      <c r="BI655" s="20"/>
      <c r="BJ655" s="20"/>
      <c r="BK655" s="20"/>
      <c r="BL655" s="20"/>
      <c r="BM655" s="20"/>
      <c r="BN655" s="20"/>
      <c r="BO655" s="20"/>
      <c r="BP655" s="20"/>
      <c r="BQ655" s="20"/>
      <c r="BR655" s="20"/>
    </row>
    <row r="656" spans="1:70" ht="66">
      <c r="A656" s="130"/>
      <c r="B656" s="88"/>
      <c r="C656" s="89"/>
      <c r="D656" s="89"/>
      <c r="E656" s="89"/>
      <c r="F656" s="89"/>
      <c r="G656" s="89"/>
      <c r="H656" s="89"/>
      <c r="I656" s="90" t="s">
        <v>991</v>
      </c>
      <c r="J656" s="88" t="s">
        <v>992</v>
      </c>
      <c r="K656" s="100">
        <v>250</v>
      </c>
      <c r="L656" s="92">
        <f>3*P656</f>
        <v>272580000</v>
      </c>
      <c r="M656" s="91">
        <v>68</v>
      </c>
      <c r="N656" s="94">
        <v>53884600</v>
      </c>
      <c r="O656" s="91">
        <v>86</v>
      </c>
      <c r="P656" s="92">
        <v>90860000</v>
      </c>
      <c r="Q656" s="100">
        <v>0</v>
      </c>
      <c r="R656" s="94">
        <v>1254500</v>
      </c>
      <c r="S656" s="88">
        <v>18</v>
      </c>
      <c r="T656" s="99">
        <v>67313550</v>
      </c>
      <c r="U656" s="100"/>
      <c r="V656" s="92"/>
      <c r="W656" s="100"/>
      <c r="X656" s="101"/>
      <c r="Y656" s="117">
        <f t="shared" si="172"/>
        <v>18</v>
      </c>
      <c r="Z656" s="92">
        <f t="shared" si="173"/>
        <v>68568050</v>
      </c>
      <c r="AA656" s="117">
        <f t="shared" si="174"/>
        <v>86</v>
      </c>
      <c r="AB656" s="92">
        <f t="shared" si="175"/>
        <v>122452650</v>
      </c>
      <c r="AC656" s="117">
        <f t="shared" si="176"/>
        <v>34.4</v>
      </c>
      <c r="AD656" s="117">
        <f t="shared" si="177"/>
        <v>44.923563724411181</v>
      </c>
      <c r="AE656" s="627"/>
      <c r="AF656" s="750"/>
    </row>
    <row r="657" spans="1:70" s="1315" customFormat="1" ht="82.5">
      <c r="A657" s="132">
        <v>6</v>
      </c>
      <c r="B657" s="33"/>
      <c r="C657" s="989"/>
      <c r="D657" s="989"/>
      <c r="E657" s="989"/>
      <c r="F657" s="989"/>
      <c r="G657" s="989"/>
      <c r="H657" s="989"/>
      <c r="I657" s="134" t="s">
        <v>2808</v>
      </c>
      <c r="J657" s="1633" t="s">
        <v>2809</v>
      </c>
      <c r="K657" s="156">
        <v>180</v>
      </c>
      <c r="L657" s="136">
        <f>N657</f>
        <v>283491200</v>
      </c>
      <c r="M657" s="135">
        <v>180</v>
      </c>
      <c r="N657" s="137">
        <f>N658</f>
        <v>283491200</v>
      </c>
      <c r="O657" s="135">
        <v>0</v>
      </c>
      <c r="P657" s="136">
        <f>SUM(P658)</f>
        <v>0</v>
      </c>
      <c r="Q657" s="135">
        <v>0</v>
      </c>
      <c r="R657" s="137">
        <f>R658</f>
        <v>0</v>
      </c>
      <c r="S657" s="33"/>
      <c r="T657" s="155"/>
      <c r="U657" s="545"/>
      <c r="V657" s="155"/>
      <c r="W657" s="545"/>
      <c r="X657" s="545"/>
      <c r="Y657" s="148">
        <f t="shared" si="172"/>
        <v>0</v>
      </c>
      <c r="Z657" s="136">
        <f t="shared" si="173"/>
        <v>0</v>
      </c>
      <c r="AA657" s="148">
        <f t="shared" si="174"/>
        <v>180</v>
      </c>
      <c r="AB657" s="136">
        <f t="shared" si="175"/>
        <v>283491200</v>
      </c>
      <c r="AC657" s="148">
        <f t="shared" si="176"/>
        <v>100</v>
      </c>
      <c r="AD657" s="148">
        <f t="shared" si="177"/>
        <v>100</v>
      </c>
      <c r="AE657" s="369" t="s">
        <v>4120</v>
      </c>
      <c r="AF657" s="201"/>
      <c r="AG657" s="1345"/>
      <c r="AH657" s="1345"/>
      <c r="AI657" s="1345"/>
      <c r="AJ657" s="1345"/>
      <c r="AK657" s="1345"/>
      <c r="AL657" s="1345"/>
      <c r="AM657" s="1345"/>
      <c r="AN657" s="1345"/>
      <c r="AO657" s="1345"/>
      <c r="AP657" s="1345"/>
      <c r="AQ657" s="1345"/>
      <c r="AR657" s="1345"/>
      <c r="AS657" s="1345"/>
      <c r="AT657" s="1345"/>
      <c r="AU657" s="1345"/>
      <c r="AV657" s="1345"/>
      <c r="AW657" s="1345"/>
      <c r="AX657" s="1345"/>
      <c r="AY657" s="1345"/>
      <c r="AZ657" s="1345"/>
      <c r="BA657" s="1345"/>
      <c r="BB657" s="1345"/>
      <c r="BC657" s="1346"/>
      <c r="BD657" s="1346"/>
      <c r="BE657" s="1346"/>
      <c r="BF657" s="1346"/>
      <c r="BG657" s="1346"/>
      <c r="BH657" s="1346"/>
      <c r="BI657" s="1346"/>
      <c r="BJ657" s="1346"/>
      <c r="BK657" s="1346"/>
      <c r="BL657" s="1346"/>
      <c r="BM657" s="1346"/>
      <c r="BN657" s="1346"/>
      <c r="BO657" s="1346"/>
      <c r="BP657" s="1346"/>
      <c r="BQ657" s="1346"/>
      <c r="BR657" s="1346"/>
    </row>
    <row r="658" spans="1:70" ht="49.5">
      <c r="A658" s="130"/>
      <c r="B658" s="88"/>
      <c r="C658" s="89"/>
      <c r="D658" s="89"/>
      <c r="E658" s="89"/>
      <c r="F658" s="89"/>
      <c r="G658" s="89"/>
      <c r="H658" s="89"/>
      <c r="I658" s="90" t="s">
        <v>993</v>
      </c>
      <c r="J658" s="88" t="s">
        <v>994</v>
      </c>
      <c r="K658" s="122">
        <v>180</v>
      </c>
      <c r="L658" s="92">
        <v>800000000</v>
      </c>
      <c r="M658" s="91">
        <v>180</v>
      </c>
      <c r="N658" s="94">
        <v>283491200</v>
      </c>
      <c r="O658" s="91"/>
      <c r="P658" s="92"/>
      <c r="Q658" s="91"/>
      <c r="R658" s="94"/>
      <c r="S658" s="88"/>
      <c r="T658" s="99"/>
      <c r="U658" s="100"/>
      <c r="V658" s="92"/>
      <c r="W658" s="100"/>
      <c r="X658" s="101"/>
      <c r="Y658" s="117">
        <f t="shared" si="172"/>
        <v>0</v>
      </c>
      <c r="Z658" s="92">
        <f t="shared" si="173"/>
        <v>0</v>
      </c>
      <c r="AA658" s="117">
        <f t="shared" si="174"/>
        <v>180</v>
      </c>
      <c r="AB658" s="92">
        <f t="shared" si="175"/>
        <v>283491200</v>
      </c>
      <c r="AC658" s="117">
        <f t="shared" si="176"/>
        <v>100</v>
      </c>
      <c r="AD658" s="117">
        <f t="shared" si="177"/>
        <v>35.436399999999999</v>
      </c>
      <c r="AE658" s="627"/>
      <c r="AF658" s="750"/>
    </row>
    <row r="659" spans="1:70" ht="82.5">
      <c r="A659" s="132">
        <v>7</v>
      </c>
      <c r="B659" s="33"/>
      <c r="C659" s="133"/>
      <c r="D659" s="133"/>
      <c r="E659" s="133"/>
      <c r="F659" s="133"/>
      <c r="G659" s="133"/>
      <c r="H659" s="133"/>
      <c r="I659" s="134" t="s">
        <v>995</v>
      </c>
      <c r="J659" s="142" t="s">
        <v>2810</v>
      </c>
      <c r="K659" s="135">
        <v>148</v>
      </c>
      <c r="L659" s="136">
        <v>350000000</v>
      </c>
      <c r="M659" s="135">
        <v>133</v>
      </c>
      <c r="N659" s="137">
        <f>N660</f>
        <v>147038368</v>
      </c>
      <c r="O659" s="135">
        <v>5</v>
      </c>
      <c r="P659" s="136">
        <f>P660</f>
        <v>123111800</v>
      </c>
      <c r="Q659" s="135">
        <v>0</v>
      </c>
      <c r="R659" s="137">
        <f>R660</f>
        <v>10777400</v>
      </c>
      <c r="S659" s="151"/>
      <c r="T659" s="144">
        <f>SUM(T660)</f>
        <v>31577150</v>
      </c>
      <c r="U659" s="538"/>
      <c r="V659" s="144"/>
      <c r="W659" s="538"/>
      <c r="X659" s="538"/>
      <c r="Y659" s="148">
        <f t="shared" si="172"/>
        <v>0</v>
      </c>
      <c r="Z659" s="136">
        <f t="shared" si="173"/>
        <v>42354550</v>
      </c>
      <c r="AA659" s="148">
        <f t="shared" si="174"/>
        <v>133</v>
      </c>
      <c r="AB659" s="152">
        <f t="shared" si="175"/>
        <v>189392918</v>
      </c>
      <c r="AC659" s="148">
        <f t="shared" si="176"/>
        <v>89.86486486486487</v>
      </c>
      <c r="AD659" s="148">
        <f t="shared" si="177"/>
        <v>54.112262285714287</v>
      </c>
      <c r="AE659" s="369" t="s">
        <v>4120</v>
      </c>
      <c r="AF659" s="750"/>
    </row>
    <row r="660" spans="1:70" ht="70.5" customHeight="1">
      <c r="A660" s="130"/>
      <c r="B660" s="88"/>
      <c r="C660" s="89"/>
      <c r="D660" s="89"/>
      <c r="E660" s="89"/>
      <c r="F660" s="89"/>
      <c r="G660" s="89"/>
      <c r="H660" s="89"/>
      <c r="I660" s="90" t="s">
        <v>2811</v>
      </c>
      <c r="J660" s="88" t="s">
        <v>2812</v>
      </c>
      <c r="K660" s="91">
        <v>148</v>
      </c>
      <c r="L660" s="92">
        <v>350000000</v>
      </c>
      <c r="M660" s="91">
        <v>94</v>
      </c>
      <c r="N660" s="94">
        <v>147038368</v>
      </c>
      <c r="O660" s="91">
        <v>16</v>
      </c>
      <c r="P660" s="92">
        <v>123111800</v>
      </c>
      <c r="Q660" s="91">
        <v>0</v>
      </c>
      <c r="R660" s="94">
        <v>10777400</v>
      </c>
      <c r="S660" s="123">
        <v>19.236874531929512</v>
      </c>
      <c r="T660" s="99">
        <v>31577150</v>
      </c>
      <c r="U660" s="100"/>
      <c r="V660" s="92"/>
      <c r="W660" s="100"/>
      <c r="X660" s="101"/>
      <c r="Y660" s="117">
        <f t="shared" si="172"/>
        <v>19.236874531929512</v>
      </c>
      <c r="Z660" s="92">
        <f t="shared" si="173"/>
        <v>42354550</v>
      </c>
      <c r="AA660" s="117">
        <f t="shared" si="174"/>
        <v>113.23687453192952</v>
      </c>
      <c r="AB660" s="92">
        <f t="shared" si="175"/>
        <v>189392918</v>
      </c>
      <c r="AC660" s="117">
        <f t="shared" si="176"/>
        <v>76.511401710763181</v>
      </c>
      <c r="AD660" s="117">
        <f t="shared" si="177"/>
        <v>54.112262285714287</v>
      </c>
      <c r="AE660" s="627"/>
      <c r="AF660" s="750"/>
    </row>
    <row r="661" spans="1:70" ht="107.25" customHeight="1">
      <c r="A661" s="132">
        <v>8</v>
      </c>
      <c r="B661" s="33"/>
      <c r="C661" s="133"/>
      <c r="D661" s="133"/>
      <c r="E661" s="133"/>
      <c r="F661" s="133"/>
      <c r="G661" s="133"/>
      <c r="H661" s="133"/>
      <c r="I661" s="134" t="s">
        <v>2813</v>
      </c>
      <c r="J661" s="142" t="s">
        <v>2814</v>
      </c>
      <c r="K661" s="156">
        <v>600</v>
      </c>
      <c r="L661" s="157">
        <f t="shared" ref="L661:N661" si="181">L662+L663</f>
        <v>270000000</v>
      </c>
      <c r="M661" s="135">
        <v>300</v>
      </c>
      <c r="N661" s="137">
        <f t="shared" si="181"/>
        <v>110212000</v>
      </c>
      <c r="O661" s="538">
        <v>100</v>
      </c>
      <c r="P661" s="136">
        <f>SUM(P662:P663)</f>
        <v>109509200</v>
      </c>
      <c r="Q661" s="135">
        <v>0</v>
      </c>
      <c r="R661" s="137">
        <f>R662+R663</f>
        <v>3843500</v>
      </c>
      <c r="S661" s="33"/>
      <c r="T661" s="144">
        <f>SUM(T663)</f>
        <v>2838750</v>
      </c>
      <c r="U661" s="538"/>
      <c r="V661" s="144"/>
      <c r="W661" s="538"/>
      <c r="X661" s="538"/>
      <c r="Y661" s="148">
        <f t="shared" si="172"/>
        <v>0</v>
      </c>
      <c r="Z661" s="136">
        <f t="shared" si="173"/>
        <v>6682250</v>
      </c>
      <c r="AA661" s="148">
        <f t="shared" si="174"/>
        <v>300</v>
      </c>
      <c r="AB661" s="136">
        <f t="shared" si="175"/>
        <v>116894250</v>
      </c>
      <c r="AC661" s="148">
        <f t="shared" si="176"/>
        <v>50</v>
      </c>
      <c r="AD661" s="148">
        <f t="shared" si="177"/>
        <v>43.294166666666669</v>
      </c>
      <c r="AE661" s="369" t="s">
        <v>4120</v>
      </c>
      <c r="AF661" s="750"/>
    </row>
    <row r="662" spans="1:70" ht="49.5">
      <c r="A662" s="130"/>
      <c r="B662" s="88"/>
      <c r="C662" s="89"/>
      <c r="D662" s="89"/>
      <c r="E662" s="89"/>
      <c r="F662" s="89"/>
      <c r="G662" s="89"/>
      <c r="H662" s="89"/>
      <c r="I662" s="90" t="s">
        <v>996</v>
      </c>
      <c r="J662" s="88" t="s">
        <v>997</v>
      </c>
      <c r="K662" s="100">
        <v>600</v>
      </c>
      <c r="L662" s="92">
        <v>120000000</v>
      </c>
      <c r="M662" s="100">
        <v>300</v>
      </c>
      <c r="N662" s="94">
        <v>31673100</v>
      </c>
      <c r="O662" s="100">
        <v>50</v>
      </c>
      <c r="P662" s="92">
        <v>30159800</v>
      </c>
      <c r="Q662" s="100">
        <v>0</v>
      </c>
      <c r="R662" s="94">
        <v>678000</v>
      </c>
      <c r="S662" s="88"/>
      <c r="T662" s="99"/>
      <c r="U662" s="100"/>
      <c r="V662" s="100"/>
      <c r="W662" s="100"/>
      <c r="X662" s="111"/>
      <c r="Y662" s="117">
        <f t="shared" si="172"/>
        <v>0</v>
      </c>
      <c r="Z662" s="92">
        <f t="shared" si="173"/>
        <v>678000</v>
      </c>
      <c r="AA662" s="117">
        <f t="shared" si="174"/>
        <v>300</v>
      </c>
      <c r="AB662" s="92">
        <f t="shared" si="175"/>
        <v>32351100</v>
      </c>
      <c r="AC662" s="117">
        <f t="shared" si="176"/>
        <v>50</v>
      </c>
      <c r="AD662" s="117">
        <f t="shared" si="177"/>
        <v>26.959250000000001</v>
      </c>
      <c r="AE662" s="627"/>
      <c r="AF662" s="750"/>
    </row>
    <row r="663" spans="1:70" ht="99">
      <c r="A663" s="130"/>
      <c r="B663" s="88"/>
      <c r="C663" s="89"/>
      <c r="D663" s="89"/>
      <c r="E663" s="89"/>
      <c r="F663" s="89"/>
      <c r="G663" s="89"/>
      <c r="H663" s="89"/>
      <c r="I663" s="90" t="s">
        <v>2815</v>
      </c>
      <c r="J663" s="88" t="s">
        <v>2816</v>
      </c>
      <c r="K663" s="100">
        <v>72</v>
      </c>
      <c r="L663" s="92">
        <v>150000000</v>
      </c>
      <c r="M663" s="100">
        <v>36</v>
      </c>
      <c r="N663" s="94">
        <v>78538900</v>
      </c>
      <c r="O663" s="100">
        <v>12</v>
      </c>
      <c r="P663" s="92">
        <v>79349400</v>
      </c>
      <c r="Q663" s="91">
        <v>3</v>
      </c>
      <c r="R663" s="94">
        <v>3165500</v>
      </c>
      <c r="S663" s="88">
        <v>1</v>
      </c>
      <c r="T663" s="99">
        <v>2838750</v>
      </c>
      <c r="U663" s="100"/>
      <c r="V663" s="92"/>
      <c r="W663" s="100"/>
      <c r="X663" s="101"/>
      <c r="Y663" s="117">
        <f t="shared" si="172"/>
        <v>4</v>
      </c>
      <c r="Z663" s="92">
        <f t="shared" si="173"/>
        <v>6004250</v>
      </c>
      <c r="AA663" s="117">
        <f t="shared" si="174"/>
        <v>40</v>
      </c>
      <c r="AB663" s="92">
        <f t="shared" si="175"/>
        <v>84543150</v>
      </c>
      <c r="AC663" s="117">
        <f t="shared" si="176"/>
        <v>55.555555555555557</v>
      </c>
      <c r="AD663" s="117">
        <f t="shared" si="177"/>
        <v>56.362100000000005</v>
      </c>
      <c r="AE663" s="627"/>
      <c r="AF663" s="750"/>
    </row>
    <row r="664" spans="1:70" ht="49.5">
      <c r="A664" s="132">
        <v>9</v>
      </c>
      <c r="B664" s="158"/>
      <c r="C664" s="133"/>
      <c r="D664" s="133"/>
      <c r="E664" s="133"/>
      <c r="F664" s="133"/>
      <c r="G664" s="133"/>
      <c r="H664" s="133"/>
      <c r="I664" s="134" t="s">
        <v>93</v>
      </c>
      <c r="J664" s="193" t="s">
        <v>2691</v>
      </c>
      <c r="K664" s="1556">
        <v>6</v>
      </c>
      <c r="L664" s="136">
        <f>L665</f>
        <v>28000000</v>
      </c>
      <c r="M664" s="538">
        <v>3</v>
      </c>
      <c r="N664" s="137">
        <f>N665</f>
        <v>21956500</v>
      </c>
      <c r="O664" s="538">
        <v>0</v>
      </c>
      <c r="P664" s="136">
        <f>P665</f>
        <v>0</v>
      </c>
      <c r="Q664" s="135"/>
      <c r="R664" s="137"/>
      <c r="S664" s="33"/>
      <c r="T664" s="159"/>
      <c r="U664" s="538"/>
      <c r="V664" s="538"/>
      <c r="W664" s="538"/>
      <c r="X664" s="538"/>
      <c r="Y664" s="148">
        <f t="shared" si="172"/>
        <v>0</v>
      </c>
      <c r="Z664" s="136">
        <f t="shared" si="173"/>
        <v>0</v>
      </c>
      <c r="AA664" s="148">
        <f t="shared" si="174"/>
        <v>3</v>
      </c>
      <c r="AB664" s="152">
        <f t="shared" si="175"/>
        <v>21956500</v>
      </c>
      <c r="AC664" s="148">
        <f t="shared" si="176"/>
        <v>50</v>
      </c>
      <c r="AD664" s="148">
        <f t="shared" si="177"/>
        <v>78.416071428571428</v>
      </c>
      <c r="AE664" s="369" t="s">
        <v>4120</v>
      </c>
      <c r="AF664" s="750"/>
    </row>
    <row r="665" spans="1:70" ht="66">
      <c r="A665" s="130"/>
      <c r="B665" s="88"/>
      <c r="C665" s="89"/>
      <c r="D665" s="89"/>
      <c r="E665" s="89"/>
      <c r="F665" s="89"/>
      <c r="G665" s="89"/>
      <c r="H665" s="89"/>
      <c r="I665" s="90" t="s">
        <v>998</v>
      </c>
      <c r="J665" s="60" t="s">
        <v>2817</v>
      </c>
      <c r="K665" s="1553">
        <v>6</v>
      </c>
      <c r="L665" s="92">
        <v>28000000</v>
      </c>
      <c r="M665" s="100">
        <v>3</v>
      </c>
      <c r="N665" s="94">
        <v>21956500</v>
      </c>
      <c r="O665" s="100">
        <v>0</v>
      </c>
      <c r="P665" s="92"/>
      <c r="Q665" s="91"/>
      <c r="R665" s="94"/>
      <c r="S665" s="88"/>
      <c r="T665" s="99"/>
      <c r="U665" s="100"/>
      <c r="V665" s="100"/>
      <c r="W665" s="100"/>
      <c r="X665" s="100"/>
      <c r="Y665" s="117">
        <f t="shared" si="172"/>
        <v>0</v>
      </c>
      <c r="Z665" s="92">
        <f t="shared" si="173"/>
        <v>0</v>
      </c>
      <c r="AA665" s="117">
        <f t="shared" si="174"/>
        <v>3</v>
      </c>
      <c r="AB665" s="92">
        <f t="shared" si="175"/>
        <v>21956500</v>
      </c>
      <c r="AC665" s="117">
        <f t="shared" si="176"/>
        <v>50</v>
      </c>
      <c r="AD665" s="117">
        <f t="shared" si="177"/>
        <v>78.416071428571428</v>
      </c>
      <c r="AE665" s="627"/>
      <c r="AF665" s="750"/>
    </row>
    <row r="666" spans="1:70" s="1235" customFormat="1" ht="20.25" customHeight="1">
      <c r="A666" s="2575"/>
      <c r="B666" s="2800" t="s">
        <v>63</v>
      </c>
      <c r="C666" s="2800"/>
      <c r="D666" s="2800"/>
      <c r="E666" s="2800"/>
      <c r="F666" s="2800"/>
      <c r="G666" s="2800"/>
      <c r="H666" s="2800"/>
      <c r="I666" s="2800"/>
      <c r="J666" s="2800"/>
      <c r="K666" s="2800"/>
      <c r="L666" s="2800"/>
      <c r="M666" s="2800"/>
      <c r="N666" s="2800"/>
      <c r="O666" s="2800"/>
      <c r="P666" s="2800"/>
      <c r="Q666" s="2800"/>
      <c r="R666" s="2800"/>
      <c r="S666" s="2800"/>
      <c r="T666" s="2800"/>
      <c r="U666" s="2800"/>
      <c r="V666" s="2800"/>
      <c r="W666" s="2800"/>
      <c r="X666" s="2800"/>
      <c r="Y666" s="2800"/>
      <c r="Z666" s="2800"/>
      <c r="AA666" s="2800"/>
      <c r="AB666" s="2800"/>
      <c r="AC666" s="552">
        <f>(AC625+AC636+AC644+AC648+AC655+AC657+AC659+AC661+AC664)/9</f>
        <v>71.098722836311495</v>
      </c>
      <c r="AD666" s="552">
        <f>(AD625+AD636+AD644+AD648+AD655+AD657+AD659+AD661+AD664)/9</f>
        <v>63.599730382207518</v>
      </c>
      <c r="AE666" s="2591"/>
      <c r="AF666" s="861"/>
      <c r="AG666" s="861"/>
      <c r="AH666" s="861"/>
      <c r="AI666" s="861"/>
      <c r="AJ666" s="861"/>
      <c r="AK666" s="861"/>
      <c r="AL666" s="861"/>
      <c r="AM666" s="861"/>
      <c r="AN666" s="861"/>
      <c r="AO666" s="861"/>
      <c r="AP666" s="861"/>
      <c r="AQ666" s="861"/>
      <c r="AR666" s="861"/>
      <c r="AS666" s="861"/>
      <c r="AT666" s="861"/>
      <c r="AU666" s="861"/>
      <c r="AV666" s="861"/>
      <c r="AW666" s="861"/>
      <c r="AX666" s="861"/>
      <c r="AY666" s="861"/>
      <c r="AZ666" s="861"/>
      <c r="BA666" s="861"/>
      <c r="BB666" s="861"/>
      <c r="BC666" s="862"/>
      <c r="BD666" s="862"/>
      <c r="BE666" s="862"/>
      <c r="BF666" s="862"/>
      <c r="BG666" s="862"/>
      <c r="BH666" s="862"/>
      <c r="BI666" s="862"/>
      <c r="BJ666" s="862"/>
      <c r="BK666" s="862"/>
      <c r="BL666" s="862"/>
      <c r="BM666" s="862"/>
      <c r="BN666" s="862"/>
      <c r="BO666" s="862"/>
      <c r="BP666" s="862"/>
      <c r="BQ666" s="862"/>
      <c r="BR666" s="862"/>
    </row>
    <row r="667" spans="1:70" s="1235" customFormat="1" ht="22.5" customHeight="1">
      <c r="A667" s="2575"/>
      <c r="B667" s="2800" t="s">
        <v>395</v>
      </c>
      <c r="C667" s="2800"/>
      <c r="D667" s="2800"/>
      <c r="E667" s="2800"/>
      <c r="F667" s="2800"/>
      <c r="G667" s="2800"/>
      <c r="H667" s="2800"/>
      <c r="I667" s="2800"/>
      <c r="J667" s="2800"/>
      <c r="K667" s="2800"/>
      <c r="L667" s="2800"/>
      <c r="M667" s="2800"/>
      <c r="N667" s="2800"/>
      <c r="O667" s="2800"/>
      <c r="P667" s="2800"/>
      <c r="Q667" s="2800"/>
      <c r="R667" s="2800"/>
      <c r="S667" s="2800"/>
      <c r="T667" s="2800"/>
      <c r="U667" s="2800"/>
      <c r="V667" s="2800"/>
      <c r="W667" s="2800"/>
      <c r="X667" s="2800"/>
      <c r="Y667" s="2800"/>
      <c r="Z667" s="2800"/>
      <c r="AA667" s="2800"/>
      <c r="AB667" s="2800"/>
      <c r="AC667" s="604" t="str">
        <f>IF(AC666&gt;=91,"ST",IF(AC666&gt;=76,"T",IF(AC666&gt;=66,"S",IF(AC666&gt;=51,"R","SR"))))</f>
        <v>S</v>
      </c>
      <c r="AD667" s="604" t="str">
        <f>IF(AD666&gt;=91,"ST",IF(AD666&gt;=76,"T",IF(AD666&gt;=66,"S",IF(AD666&gt;=51,"R","SR"))))</f>
        <v>R</v>
      </c>
      <c r="AE667" s="2591"/>
      <c r="AF667" s="861"/>
      <c r="AG667" s="861"/>
      <c r="AH667" s="861"/>
      <c r="AI667" s="861"/>
      <c r="AJ667" s="861"/>
      <c r="AK667" s="861"/>
      <c r="AL667" s="861"/>
      <c r="AM667" s="861"/>
      <c r="AN667" s="861"/>
      <c r="AO667" s="861"/>
      <c r="AP667" s="861"/>
      <c r="AQ667" s="861"/>
      <c r="AR667" s="861"/>
      <c r="AS667" s="861"/>
      <c r="AT667" s="861"/>
      <c r="AU667" s="861"/>
      <c r="AV667" s="861"/>
      <c r="AW667" s="861"/>
      <c r="AX667" s="861"/>
      <c r="AY667" s="861"/>
      <c r="AZ667" s="861"/>
      <c r="BA667" s="861"/>
      <c r="BB667" s="861"/>
      <c r="BC667" s="862"/>
      <c r="BD667" s="862"/>
      <c r="BE667" s="862"/>
      <c r="BF667" s="862"/>
      <c r="BG667" s="862"/>
      <c r="BH667" s="862"/>
      <c r="BI667" s="862"/>
      <c r="BJ667" s="862"/>
      <c r="BK667" s="862"/>
      <c r="BL667" s="862"/>
      <c r="BM667" s="862"/>
      <c r="BN667" s="862"/>
      <c r="BO667" s="862"/>
      <c r="BP667" s="862"/>
      <c r="BQ667" s="862"/>
      <c r="BR667" s="862"/>
    </row>
    <row r="668" spans="1:70" s="862" customFormat="1" ht="33" customHeight="1">
      <c r="A668" s="1638"/>
      <c r="B668" s="1637"/>
      <c r="C668" s="1638"/>
      <c r="D668" s="1638"/>
      <c r="E668" s="1638"/>
      <c r="F668" s="1638"/>
      <c r="G668" s="1638"/>
      <c r="H668" s="1638"/>
      <c r="I668" s="2860" t="s">
        <v>94</v>
      </c>
      <c r="J668" s="2861"/>
      <c r="K668" s="1637"/>
      <c r="L668" s="1637"/>
      <c r="M668" s="1637"/>
      <c r="N668" s="1637"/>
      <c r="O668" s="1639"/>
      <c r="P668" s="1638"/>
      <c r="Q668" s="1640"/>
      <c r="R668" s="1637"/>
      <c r="S668" s="1637"/>
      <c r="T668" s="1637"/>
      <c r="U668" s="1637"/>
      <c r="V668" s="1641"/>
      <c r="W668" s="1637"/>
      <c r="X668" s="1637"/>
      <c r="Y668" s="1640"/>
      <c r="Z668" s="1642"/>
      <c r="AA668" s="1637"/>
      <c r="AB668" s="1642"/>
      <c r="AC668" s="1637"/>
      <c r="AD668" s="1637"/>
      <c r="AE668" s="1643"/>
      <c r="AF668" s="861"/>
      <c r="AG668" s="861"/>
      <c r="AH668" s="861"/>
      <c r="AI668" s="861"/>
      <c r="AJ668" s="861"/>
      <c r="AK668" s="861"/>
      <c r="AL668" s="861"/>
      <c r="AM668" s="861"/>
      <c r="AN668" s="861"/>
      <c r="AO668" s="861"/>
      <c r="AP668" s="861"/>
      <c r="AQ668" s="861"/>
      <c r="AR668" s="861"/>
      <c r="AS668" s="861"/>
      <c r="AT668" s="861"/>
      <c r="AU668" s="861"/>
      <c r="AV668" s="861"/>
      <c r="AW668" s="861"/>
      <c r="AX668" s="861"/>
      <c r="AY668" s="861"/>
      <c r="AZ668" s="861"/>
      <c r="BA668" s="861"/>
      <c r="BB668" s="861"/>
    </row>
    <row r="669" spans="1:70" s="1235" customFormat="1" ht="24.75" customHeight="1">
      <c r="A669" s="863" t="s">
        <v>13</v>
      </c>
      <c r="B669" s="866"/>
      <c r="C669" s="865"/>
      <c r="D669" s="865"/>
      <c r="E669" s="865"/>
      <c r="F669" s="865"/>
      <c r="G669" s="865"/>
      <c r="H669" s="865"/>
      <c r="I669" s="2563" t="s">
        <v>95</v>
      </c>
      <c r="J669" s="2564"/>
      <c r="K669" s="866"/>
      <c r="L669" s="1285">
        <f>L670+L683+L690+L692+L697+L700</f>
        <v>17235005259</v>
      </c>
      <c r="M669" s="866"/>
      <c r="N669" s="1286">
        <f>N670+N683+N690+N692+N697+N700</f>
        <v>5972076260</v>
      </c>
      <c r="O669" s="866"/>
      <c r="P669" s="1286">
        <f>SUM(P670+P683+P692+P697+P700)</f>
        <v>1940399800</v>
      </c>
      <c r="Q669" s="866">
        <f>Q670</f>
        <v>3</v>
      </c>
      <c r="R669" s="1286">
        <f>R670+R683+R690+R692+R697+R700</f>
        <v>45115600</v>
      </c>
      <c r="S669" s="866"/>
      <c r="T669" s="1286">
        <f>T670+T683+T692+T697+T700</f>
        <v>464504720</v>
      </c>
      <c r="U669" s="866"/>
      <c r="V669" s="2565"/>
      <c r="W669" s="866"/>
      <c r="X669" s="2565"/>
      <c r="Y669" s="866">
        <f>Q669+S669+U669+W669</f>
        <v>3</v>
      </c>
      <c r="Z669" s="1286">
        <f>R669+T669</f>
        <v>509620320</v>
      </c>
      <c r="AA669" s="866"/>
      <c r="AB669" s="1286">
        <f>AB670+AB683+AB690+AB692+AB697+AB700</f>
        <v>6414805430</v>
      </c>
      <c r="AC669" s="866"/>
      <c r="AD669" s="866"/>
      <c r="AE669" s="865"/>
      <c r="AF669" s="861"/>
      <c r="AG669" s="861"/>
      <c r="AH669" s="861"/>
      <c r="AI669" s="861"/>
      <c r="AJ669" s="861"/>
      <c r="AK669" s="861"/>
      <c r="AL669" s="861"/>
      <c r="AM669" s="861"/>
      <c r="AN669" s="861"/>
      <c r="AO669" s="861"/>
      <c r="AP669" s="861"/>
      <c r="AQ669" s="861"/>
      <c r="AR669" s="861"/>
      <c r="AS669" s="861"/>
      <c r="AT669" s="861"/>
      <c r="AU669" s="861"/>
      <c r="AV669" s="861"/>
      <c r="AW669" s="861"/>
      <c r="AX669" s="861"/>
      <c r="AY669" s="861"/>
      <c r="AZ669" s="861"/>
      <c r="BA669" s="861"/>
      <c r="BB669" s="861"/>
      <c r="BC669" s="862"/>
      <c r="BD669" s="862"/>
      <c r="BE669" s="862"/>
      <c r="BF669" s="862"/>
      <c r="BG669" s="862"/>
      <c r="BH669" s="862"/>
      <c r="BI669" s="862"/>
      <c r="BJ669" s="862"/>
      <c r="BK669" s="862"/>
      <c r="BL669" s="862"/>
      <c r="BM669" s="862"/>
      <c r="BN669" s="862"/>
      <c r="BO669" s="862"/>
      <c r="BP669" s="862"/>
      <c r="BQ669" s="862"/>
      <c r="BR669" s="862"/>
    </row>
    <row r="670" spans="1:70" ht="82.5">
      <c r="A670" s="303">
        <v>1</v>
      </c>
      <c r="B670" s="142"/>
      <c r="C670" s="534"/>
      <c r="D670" s="534"/>
      <c r="E670" s="534"/>
      <c r="F670" s="534"/>
      <c r="G670" s="534"/>
      <c r="H670" s="534"/>
      <c r="I670" s="134" t="s">
        <v>26</v>
      </c>
      <c r="J670" s="33" t="s">
        <v>2013</v>
      </c>
      <c r="K670" s="511">
        <v>72</v>
      </c>
      <c r="L670" s="975">
        <f>SUM(L671:L682)</f>
        <v>4149928641</v>
      </c>
      <c r="M670" s="154">
        <v>36</v>
      </c>
      <c r="N670" s="510">
        <v>1923715205</v>
      </c>
      <c r="O670" s="135">
        <v>12</v>
      </c>
      <c r="P670" s="510">
        <f>SUM(P671:P682)</f>
        <v>643847800</v>
      </c>
      <c r="Q670" s="545">
        <v>3</v>
      </c>
      <c r="R670" s="137">
        <f>SUM(R671:R682)</f>
        <v>37970600</v>
      </c>
      <c r="S670" s="545"/>
      <c r="T670" s="976">
        <f>SUM(T671:T682)</f>
        <v>214176065</v>
      </c>
      <c r="U670" s="545"/>
      <c r="V670" s="139"/>
      <c r="W670" s="33"/>
      <c r="X670" s="139"/>
      <c r="Y670" s="511">
        <f>Y671</f>
        <v>6</v>
      </c>
      <c r="Z670" s="137">
        <f>SUM(Z671:Z682)</f>
        <v>252146665</v>
      </c>
      <c r="AA670" s="2129">
        <f>Y670+M670</f>
        <v>42</v>
      </c>
      <c r="AB670" s="137">
        <f>Z670+N670</f>
        <v>2175861870</v>
      </c>
      <c r="AC670" s="148">
        <f t="shared" ref="AC670:AC681" si="182">AA670/K670*100</f>
        <v>58.333333333333336</v>
      </c>
      <c r="AD670" s="148">
        <f t="shared" ref="AD670:AD681" si="183">AB670/L670*100</f>
        <v>52.431308059207659</v>
      </c>
      <c r="AE670" s="2558" t="s">
        <v>96</v>
      </c>
      <c r="AF670" s="977"/>
      <c r="AG670" s="201"/>
      <c r="AH670" s="201"/>
      <c r="AI670" s="201"/>
      <c r="AJ670" s="201"/>
      <c r="AK670" s="201"/>
      <c r="AL670" s="201"/>
      <c r="AM670" s="201"/>
      <c r="AN670" s="201"/>
      <c r="AO670" s="201"/>
      <c r="AP670" s="201"/>
      <c r="AQ670" s="201"/>
      <c r="AR670" s="201"/>
      <c r="AS670" s="201"/>
      <c r="AT670" s="201"/>
      <c r="AU670" s="201"/>
      <c r="AV670" s="201"/>
      <c r="AW670" s="201"/>
      <c r="AX670" s="201"/>
      <c r="AY670" s="201"/>
      <c r="AZ670" s="201"/>
      <c r="BA670" s="201"/>
      <c r="BB670" s="201"/>
      <c r="BC670" s="20"/>
      <c r="BD670" s="20"/>
      <c r="BE670" s="20"/>
      <c r="BF670" s="20"/>
      <c r="BG670" s="20"/>
      <c r="BH670" s="20"/>
      <c r="BI670" s="20"/>
      <c r="BJ670" s="20"/>
      <c r="BK670" s="20"/>
      <c r="BL670" s="20"/>
      <c r="BM670" s="20"/>
      <c r="BN670" s="20"/>
      <c r="BO670" s="20"/>
      <c r="BP670" s="20"/>
      <c r="BQ670" s="20"/>
    </row>
    <row r="671" spans="1:70" ht="49.5">
      <c r="A671" s="102"/>
      <c r="B671" s="492"/>
      <c r="C671" s="851"/>
      <c r="D671" s="851"/>
      <c r="E671" s="851"/>
      <c r="F671" s="851"/>
      <c r="G671" s="851"/>
      <c r="H671" s="851"/>
      <c r="I671" s="313" t="s">
        <v>1627</v>
      </c>
      <c r="J671" s="8" t="s">
        <v>2014</v>
      </c>
      <c r="K671" s="104">
        <v>72</v>
      </c>
      <c r="L671" s="493">
        <v>281676000</v>
      </c>
      <c r="M671" s="104">
        <v>36</v>
      </c>
      <c r="N671" s="494">
        <v>146113050</v>
      </c>
      <c r="O671" s="104">
        <v>12</v>
      </c>
      <c r="P671" s="495">
        <v>39600000</v>
      </c>
      <c r="Q671" s="212">
        <v>3</v>
      </c>
      <c r="R671" s="978">
        <v>4975600</v>
      </c>
      <c r="S671" s="8">
        <v>3</v>
      </c>
      <c r="T671" s="496">
        <v>12018570</v>
      </c>
      <c r="U671" s="212"/>
      <c r="V671" s="497"/>
      <c r="W671" s="100"/>
      <c r="X671" s="495"/>
      <c r="Y671" s="498">
        <f t="shared" ref="Y671:Y682" si="184">Q671+S671+U671+W671</f>
        <v>6</v>
      </c>
      <c r="Z671" s="94">
        <f t="shared" ref="Z671:Z682" si="185">R671+T671+V671+X671</f>
        <v>16994170</v>
      </c>
      <c r="AA671" s="104">
        <f t="shared" ref="AA671:AA681" si="186">M671+Y671</f>
        <v>42</v>
      </c>
      <c r="AB671" s="106">
        <f t="shared" ref="AB671:AB681" si="187">N671+Z671</f>
        <v>163107220</v>
      </c>
      <c r="AC671" s="499">
        <f t="shared" si="182"/>
        <v>58.333333333333336</v>
      </c>
      <c r="AD671" s="500">
        <f t="shared" si="183"/>
        <v>57.905969979692983</v>
      </c>
      <c r="AE671" s="102"/>
      <c r="AF671" s="977"/>
      <c r="AG671" s="201"/>
      <c r="AH671" s="201"/>
      <c r="AI671" s="201"/>
      <c r="AJ671" s="201"/>
      <c r="AK671" s="201"/>
      <c r="AL671" s="201"/>
      <c r="AM671" s="201"/>
      <c r="AN671" s="201"/>
      <c r="AO671" s="201"/>
      <c r="AP671" s="201"/>
      <c r="AQ671" s="201"/>
      <c r="AR671" s="201"/>
      <c r="AS671" s="201"/>
      <c r="AT671" s="201"/>
      <c r="AU671" s="201"/>
      <c r="AV671" s="201"/>
      <c r="AW671" s="201"/>
      <c r="AX671" s="201"/>
      <c r="AY671" s="201"/>
      <c r="AZ671" s="201"/>
      <c r="BA671" s="201"/>
      <c r="BB671" s="201"/>
      <c r="BC671" s="20"/>
      <c r="BD671" s="20"/>
      <c r="BE671" s="20"/>
      <c r="BF671" s="20"/>
      <c r="BG671" s="20"/>
      <c r="BH671" s="20"/>
      <c r="BI671" s="20"/>
      <c r="BJ671" s="20"/>
      <c r="BK671" s="20"/>
      <c r="BL671" s="20"/>
      <c r="BM671" s="20"/>
      <c r="BN671" s="20"/>
      <c r="BO671" s="20"/>
      <c r="BP671" s="20"/>
      <c r="BQ671" s="20"/>
    </row>
    <row r="672" spans="1:70" ht="49.5">
      <c r="A672" s="102"/>
      <c r="B672" s="492"/>
      <c r="C672" s="851"/>
      <c r="D672" s="851"/>
      <c r="E672" s="851"/>
      <c r="F672" s="851"/>
      <c r="G672" s="851"/>
      <c r="H672" s="851"/>
      <c r="I672" s="313" t="s">
        <v>614</v>
      </c>
      <c r="J672" s="8" t="s">
        <v>2015</v>
      </c>
      <c r="K672" s="104">
        <v>72</v>
      </c>
      <c r="L672" s="493">
        <v>480168540</v>
      </c>
      <c r="M672" s="104">
        <v>36</v>
      </c>
      <c r="N672" s="495">
        <v>200421100</v>
      </c>
      <c r="O672" s="104">
        <v>12</v>
      </c>
      <c r="P672" s="495">
        <v>149650000</v>
      </c>
      <c r="Q672" s="212">
        <v>3</v>
      </c>
      <c r="R672" s="978">
        <v>16500000</v>
      </c>
      <c r="S672" s="8">
        <v>3</v>
      </c>
      <c r="T672" s="496">
        <v>50500000</v>
      </c>
      <c r="U672" s="212"/>
      <c r="V672" s="497"/>
      <c r="W672" s="100"/>
      <c r="X672" s="979"/>
      <c r="Y672" s="498">
        <f t="shared" si="184"/>
        <v>6</v>
      </c>
      <c r="Z672" s="94">
        <f t="shared" si="185"/>
        <v>67000000</v>
      </c>
      <c r="AA672" s="104">
        <f t="shared" si="186"/>
        <v>42</v>
      </c>
      <c r="AB672" s="106">
        <f t="shared" si="187"/>
        <v>267421100</v>
      </c>
      <c r="AC672" s="499">
        <f t="shared" si="182"/>
        <v>58.333333333333336</v>
      </c>
      <c r="AD672" s="500">
        <f t="shared" si="183"/>
        <v>55.693173900980689</v>
      </c>
      <c r="AE672" s="102"/>
      <c r="AF672" s="977"/>
      <c r="AG672" s="201"/>
      <c r="AH672" s="201"/>
      <c r="AI672" s="201"/>
      <c r="AJ672" s="201"/>
      <c r="AK672" s="201"/>
      <c r="AL672" s="201"/>
      <c r="AM672" s="201"/>
      <c r="AN672" s="201"/>
      <c r="AO672" s="201"/>
      <c r="AP672" s="201"/>
      <c r="AQ672" s="201"/>
      <c r="AR672" s="201"/>
      <c r="AS672" s="201"/>
      <c r="AT672" s="201"/>
      <c r="AU672" s="201"/>
      <c r="AV672" s="201"/>
      <c r="AW672" s="201"/>
      <c r="AX672" s="201"/>
      <c r="AY672" s="201"/>
      <c r="AZ672" s="201"/>
      <c r="BA672" s="201"/>
      <c r="BB672" s="201"/>
      <c r="BC672" s="20"/>
      <c r="BD672" s="20"/>
      <c r="BE672" s="20"/>
      <c r="BF672" s="20"/>
      <c r="BG672" s="20"/>
      <c r="BH672" s="20"/>
      <c r="BI672" s="20"/>
      <c r="BJ672" s="20"/>
      <c r="BK672" s="20"/>
      <c r="BL672" s="20"/>
      <c r="BM672" s="20"/>
      <c r="BN672" s="20"/>
      <c r="BO672" s="20"/>
      <c r="BP672" s="20"/>
      <c r="BQ672" s="20"/>
    </row>
    <row r="673" spans="1:69" ht="66">
      <c r="A673" s="102"/>
      <c r="B673" s="103"/>
      <c r="C673" s="850"/>
      <c r="D673" s="850"/>
      <c r="E673" s="850"/>
      <c r="F673" s="850"/>
      <c r="G673" s="850"/>
      <c r="H673" s="850"/>
      <c r="I673" s="313" t="s">
        <v>616</v>
      </c>
      <c r="J673" s="8" t="s">
        <v>2016</v>
      </c>
      <c r="K673" s="104">
        <v>72</v>
      </c>
      <c r="L673" s="493">
        <v>1024028824</v>
      </c>
      <c r="M673" s="104">
        <v>36</v>
      </c>
      <c r="N673" s="495">
        <v>435042750</v>
      </c>
      <c r="O673" s="104">
        <v>12</v>
      </c>
      <c r="P673" s="495">
        <v>120175700</v>
      </c>
      <c r="Q673" s="212">
        <v>3</v>
      </c>
      <c r="R673" s="978">
        <v>16000000</v>
      </c>
      <c r="S673" s="8">
        <v>3</v>
      </c>
      <c r="T673" s="496">
        <v>39437000</v>
      </c>
      <c r="U673" s="212"/>
      <c r="V673" s="497"/>
      <c r="W673" s="100"/>
      <c r="X673" s="954"/>
      <c r="Y673" s="498">
        <f t="shared" si="184"/>
        <v>6</v>
      </c>
      <c r="Z673" s="94">
        <f t="shared" si="185"/>
        <v>55437000</v>
      </c>
      <c r="AA673" s="104">
        <f t="shared" si="186"/>
        <v>42</v>
      </c>
      <c r="AB673" s="106">
        <f t="shared" si="187"/>
        <v>490479750</v>
      </c>
      <c r="AC673" s="499">
        <f t="shared" si="182"/>
        <v>58.333333333333336</v>
      </c>
      <c r="AD673" s="500">
        <f t="shared" si="183"/>
        <v>47.897064858400903</v>
      </c>
      <c r="AE673" s="102"/>
      <c r="AF673" s="977"/>
      <c r="AG673" s="201"/>
      <c r="AH673" s="201"/>
      <c r="AI673" s="201"/>
      <c r="AJ673" s="201"/>
      <c r="AK673" s="201"/>
      <c r="AL673" s="201"/>
      <c r="AM673" s="201"/>
      <c r="AN673" s="201"/>
      <c r="AO673" s="201"/>
      <c r="AP673" s="201"/>
      <c r="AQ673" s="201"/>
      <c r="AR673" s="201"/>
      <c r="AS673" s="201"/>
      <c r="AT673" s="201"/>
      <c r="AU673" s="201"/>
      <c r="AV673" s="201"/>
      <c r="AW673" s="201"/>
      <c r="AX673" s="201"/>
      <c r="AY673" s="201"/>
      <c r="AZ673" s="201"/>
      <c r="BA673" s="201"/>
      <c r="BB673" s="201"/>
      <c r="BC673" s="20"/>
      <c r="BD673" s="20"/>
      <c r="BE673" s="20"/>
      <c r="BF673" s="20"/>
      <c r="BG673" s="20"/>
      <c r="BH673" s="20"/>
      <c r="BI673" s="20"/>
      <c r="BJ673" s="20"/>
      <c r="BK673" s="20"/>
      <c r="BL673" s="20"/>
      <c r="BM673" s="20"/>
      <c r="BN673" s="20"/>
      <c r="BO673" s="20"/>
      <c r="BP673" s="20"/>
      <c r="BQ673" s="20"/>
    </row>
    <row r="674" spans="1:69" ht="33">
      <c r="A674" s="102"/>
      <c r="B674" s="103"/>
      <c r="C674" s="850"/>
      <c r="D674" s="850"/>
      <c r="E674" s="850"/>
      <c r="F674" s="850"/>
      <c r="G674" s="850"/>
      <c r="H674" s="850"/>
      <c r="I674" s="313" t="s">
        <v>1631</v>
      </c>
      <c r="J674" s="8" t="s">
        <v>2017</v>
      </c>
      <c r="K674" s="104">
        <v>72</v>
      </c>
      <c r="L674" s="493">
        <v>222114913</v>
      </c>
      <c r="M674" s="104">
        <v>36</v>
      </c>
      <c r="N674" s="495">
        <v>104745700</v>
      </c>
      <c r="O674" s="104">
        <v>12</v>
      </c>
      <c r="P674" s="495">
        <v>35443705</v>
      </c>
      <c r="Q674" s="212">
        <v>3</v>
      </c>
      <c r="R674" s="493">
        <v>495000</v>
      </c>
      <c r="S674" s="8">
        <v>3</v>
      </c>
      <c r="T674" s="496">
        <v>14763900</v>
      </c>
      <c r="U674" s="212"/>
      <c r="V674" s="497"/>
      <c r="W674" s="100"/>
      <c r="X674" s="980"/>
      <c r="Y674" s="498">
        <f t="shared" si="184"/>
        <v>6</v>
      </c>
      <c r="Z674" s="94">
        <f t="shared" si="185"/>
        <v>15258900</v>
      </c>
      <c r="AA674" s="104">
        <f t="shared" si="186"/>
        <v>42</v>
      </c>
      <c r="AB674" s="106">
        <f t="shared" si="187"/>
        <v>120004600</v>
      </c>
      <c r="AC674" s="499">
        <f t="shared" si="182"/>
        <v>58.333333333333336</v>
      </c>
      <c r="AD674" s="500">
        <f t="shared" si="183"/>
        <v>54.028159739098655</v>
      </c>
      <c r="AE674" s="102"/>
      <c r="AF674" s="977"/>
      <c r="AG674" s="201"/>
      <c r="AH674" s="201"/>
      <c r="AI674" s="201"/>
      <c r="AJ674" s="201"/>
      <c r="AK674" s="201"/>
      <c r="AL674" s="201"/>
      <c r="AM674" s="201"/>
      <c r="AN674" s="201"/>
      <c r="AO674" s="201"/>
      <c r="AP674" s="201"/>
      <c r="AQ674" s="201"/>
      <c r="AR674" s="201"/>
      <c r="AS674" s="201"/>
      <c r="AT674" s="201"/>
      <c r="AU674" s="201"/>
      <c r="AV674" s="201"/>
      <c r="AW674" s="201"/>
      <c r="AX674" s="201"/>
      <c r="AY674" s="201"/>
      <c r="AZ674" s="201"/>
      <c r="BA674" s="201"/>
      <c r="BB674" s="201"/>
      <c r="BC674" s="20"/>
      <c r="BD674" s="20"/>
      <c r="BE674" s="20"/>
      <c r="BF674" s="20"/>
      <c r="BG674" s="20"/>
      <c r="BH674" s="20"/>
      <c r="BI674" s="20"/>
      <c r="BJ674" s="20"/>
      <c r="BK674" s="20"/>
      <c r="BL674" s="20"/>
      <c r="BM674" s="20"/>
      <c r="BN674" s="20"/>
      <c r="BO674" s="20"/>
      <c r="BP674" s="20"/>
      <c r="BQ674" s="20"/>
    </row>
    <row r="675" spans="1:69" ht="53.25" customHeight="1">
      <c r="A675" s="102"/>
      <c r="B675" s="103"/>
      <c r="C675" s="850"/>
      <c r="D675" s="850"/>
      <c r="E675" s="850"/>
      <c r="F675" s="850"/>
      <c r="G675" s="850"/>
      <c r="H675" s="850"/>
      <c r="I675" s="313" t="s">
        <v>2018</v>
      </c>
      <c r="J675" s="8" t="s">
        <v>2019</v>
      </c>
      <c r="K675" s="104">
        <v>72</v>
      </c>
      <c r="L675" s="493">
        <v>168834688</v>
      </c>
      <c r="M675" s="104">
        <v>36</v>
      </c>
      <c r="N675" s="495">
        <v>85655300</v>
      </c>
      <c r="O675" s="104">
        <v>12</v>
      </c>
      <c r="P675" s="495">
        <v>27192200</v>
      </c>
      <c r="Q675" s="107"/>
      <c r="R675" s="493"/>
      <c r="S675" s="8">
        <v>3</v>
      </c>
      <c r="T675" s="496">
        <v>9990700</v>
      </c>
      <c r="U675" s="212"/>
      <c r="V675" s="497"/>
      <c r="W675" s="100"/>
      <c r="X675" s="981"/>
      <c r="Y675" s="498">
        <f t="shared" si="184"/>
        <v>3</v>
      </c>
      <c r="Z675" s="94">
        <f t="shared" si="185"/>
        <v>9990700</v>
      </c>
      <c r="AA675" s="104">
        <f t="shared" si="186"/>
        <v>39</v>
      </c>
      <c r="AB675" s="106">
        <f t="shared" si="187"/>
        <v>95646000</v>
      </c>
      <c r="AC675" s="499">
        <f t="shared" si="182"/>
        <v>54.166666666666664</v>
      </c>
      <c r="AD675" s="500">
        <f t="shared" si="183"/>
        <v>56.650680694242169</v>
      </c>
      <c r="AE675" s="102"/>
      <c r="AF675" s="977"/>
      <c r="AG675" s="201"/>
      <c r="AH675" s="201"/>
      <c r="AI675" s="201"/>
      <c r="AJ675" s="201"/>
      <c r="AK675" s="201"/>
      <c r="AL675" s="201"/>
      <c r="AM675" s="201"/>
      <c r="AN675" s="201"/>
      <c r="AO675" s="201"/>
      <c r="AP675" s="201"/>
      <c r="AQ675" s="201"/>
      <c r="AR675" s="201"/>
      <c r="AS675" s="201"/>
      <c r="AT675" s="201"/>
      <c r="AU675" s="201"/>
      <c r="AV675" s="201"/>
      <c r="AW675" s="201"/>
      <c r="AX675" s="201"/>
      <c r="AY675" s="201"/>
      <c r="AZ675" s="201"/>
      <c r="BA675" s="201"/>
      <c r="BB675" s="201"/>
      <c r="BC675" s="20"/>
      <c r="BD675" s="20"/>
      <c r="BE675" s="20"/>
      <c r="BF675" s="20"/>
      <c r="BG675" s="20"/>
      <c r="BH675" s="20"/>
      <c r="BI675" s="20"/>
      <c r="BJ675" s="20"/>
      <c r="BK675" s="20"/>
      <c r="BL675" s="20"/>
      <c r="BM675" s="20"/>
      <c r="BN675" s="20"/>
      <c r="BO675" s="20"/>
      <c r="BP675" s="20"/>
      <c r="BQ675" s="20"/>
    </row>
    <row r="676" spans="1:69" ht="99">
      <c r="A676" s="102"/>
      <c r="B676" s="103"/>
      <c r="C676" s="850"/>
      <c r="D676" s="850"/>
      <c r="E676" s="850"/>
      <c r="F676" s="850"/>
      <c r="G676" s="850"/>
      <c r="H676" s="850"/>
      <c r="I676" s="313" t="s">
        <v>2020</v>
      </c>
      <c r="J676" s="8" t="s">
        <v>2021</v>
      </c>
      <c r="K676" s="104">
        <v>72</v>
      </c>
      <c r="L676" s="493">
        <v>101626351</v>
      </c>
      <c r="M676" s="104">
        <v>36</v>
      </c>
      <c r="N676" s="495">
        <v>37580000</v>
      </c>
      <c r="O676" s="104">
        <v>12</v>
      </c>
      <c r="P676" s="495">
        <v>17311000</v>
      </c>
      <c r="Q676" s="107"/>
      <c r="R676" s="493"/>
      <c r="S676" s="8">
        <v>3</v>
      </c>
      <c r="T676" s="496">
        <v>7587500</v>
      </c>
      <c r="U676" s="212"/>
      <c r="V676" s="497"/>
      <c r="W676" s="100"/>
      <c r="X676" s="981"/>
      <c r="Y676" s="498">
        <f t="shared" si="184"/>
        <v>3</v>
      </c>
      <c r="Z676" s="94">
        <f t="shared" si="185"/>
        <v>7587500</v>
      </c>
      <c r="AA676" s="104">
        <f t="shared" si="186"/>
        <v>39</v>
      </c>
      <c r="AB676" s="106">
        <f t="shared" si="187"/>
        <v>45167500</v>
      </c>
      <c r="AC676" s="499">
        <f t="shared" si="182"/>
        <v>54.166666666666664</v>
      </c>
      <c r="AD676" s="500">
        <f t="shared" si="183"/>
        <v>44.444673606356289</v>
      </c>
      <c r="AE676" s="102"/>
      <c r="AF676" s="977"/>
      <c r="AG676" s="201"/>
      <c r="AH676" s="201"/>
      <c r="AI676" s="201"/>
      <c r="AJ676" s="201"/>
      <c r="AK676" s="201"/>
      <c r="AL676" s="201"/>
      <c r="AM676" s="201"/>
      <c r="AN676" s="201"/>
      <c r="AO676" s="201"/>
      <c r="AP676" s="201"/>
      <c r="AQ676" s="201"/>
      <c r="AR676" s="201"/>
      <c r="AS676" s="201"/>
      <c r="AT676" s="201"/>
      <c r="AU676" s="201"/>
      <c r="AV676" s="201"/>
      <c r="AW676" s="201"/>
      <c r="AX676" s="201"/>
      <c r="AY676" s="201"/>
      <c r="AZ676" s="201"/>
      <c r="BA676" s="201"/>
      <c r="BB676" s="201"/>
      <c r="BC676" s="20"/>
      <c r="BD676" s="20"/>
      <c r="BE676" s="20"/>
      <c r="BF676" s="20"/>
      <c r="BG676" s="20"/>
      <c r="BH676" s="20"/>
      <c r="BI676" s="20"/>
      <c r="BJ676" s="20"/>
      <c r="BK676" s="20"/>
      <c r="BL676" s="20"/>
      <c r="BM676" s="20"/>
      <c r="BN676" s="20"/>
      <c r="BO676" s="20"/>
      <c r="BP676" s="20"/>
      <c r="BQ676" s="20"/>
    </row>
    <row r="677" spans="1:69" ht="66">
      <c r="A677" s="102"/>
      <c r="B677" s="103"/>
      <c r="C677" s="850"/>
      <c r="D677" s="850"/>
      <c r="E677" s="850"/>
      <c r="F677" s="850"/>
      <c r="G677" s="850"/>
      <c r="H677" s="850"/>
      <c r="I677" s="103" t="s">
        <v>2022</v>
      </c>
      <c r="J677" s="8" t="s">
        <v>2023</v>
      </c>
      <c r="K677" s="104">
        <v>72</v>
      </c>
      <c r="L677" s="493">
        <v>74939200</v>
      </c>
      <c r="M677" s="104">
        <v>36</v>
      </c>
      <c r="N677" s="494">
        <v>24495000</v>
      </c>
      <c r="O677" s="104">
        <v>12</v>
      </c>
      <c r="P677" s="495">
        <v>12200000</v>
      </c>
      <c r="Q677" s="107"/>
      <c r="R677" s="493"/>
      <c r="S677" s="8">
        <v>3</v>
      </c>
      <c r="T677" s="496">
        <v>6330000</v>
      </c>
      <c r="U677" s="212"/>
      <c r="V677" s="494"/>
      <c r="W677" s="100"/>
      <c r="X677" s="981"/>
      <c r="Y677" s="498">
        <f t="shared" si="184"/>
        <v>3</v>
      </c>
      <c r="Z677" s="94">
        <f t="shared" si="185"/>
        <v>6330000</v>
      </c>
      <c r="AA677" s="104">
        <f t="shared" si="186"/>
        <v>39</v>
      </c>
      <c r="AB677" s="106">
        <f t="shared" si="187"/>
        <v>30825000</v>
      </c>
      <c r="AC677" s="499">
        <f t="shared" si="182"/>
        <v>54.166666666666664</v>
      </c>
      <c r="AD677" s="500">
        <f t="shared" si="183"/>
        <v>41.133345432030232</v>
      </c>
      <c r="AE677" s="102"/>
      <c r="AF677" s="977"/>
      <c r="AG677" s="201"/>
      <c r="AH677" s="201"/>
      <c r="AI677" s="201"/>
      <c r="AJ677" s="201"/>
      <c r="AK677" s="201"/>
      <c r="AL677" s="201"/>
      <c r="AM677" s="201"/>
      <c r="AN677" s="201"/>
      <c r="AO677" s="201"/>
      <c r="AP677" s="201"/>
      <c r="AQ677" s="201"/>
      <c r="AR677" s="201"/>
      <c r="AS677" s="201"/>
      <c r="AT677" s="201"/>
      <c r="AU677" s="201"/>
      <c r="AV677" s="201"/>
      <c r="AW677" s="201"/>
      <c r="AX677" s="201"/>
      <c r="AY677" s="201"/>
      <c r="AZ677" s="201"/>
      <c r="BA677" s="201"/>
      <c r="BB677" s="201"/>
      <c r="BC677" s="20"/>
      <c r="BD677" s="20"/>
      <c r="BE677" s="20"/>
      <c r="BF677" s="20"/>
      <c r="BG677" s="20"/>
      <c r="BH677" s="20"/>
      <c r="BI677" s="20"/>
      <c r="BJ677" s="20"/>
      <c r="BK677" s="20"/>
      <c r="BL677" s="20"/>
      <c r="BM677" s="20"/>
      <c r="BN677" s="20"/>
      <c r="BO677" s="20"/>
      <c r="BP677" s="20"/>
      <c r="BQ677" s="20"/>
    </row>
    <row r="678" spans="1:69" ht="66">
      <c r="A678" s="513"/>
      <c r="B678" s="235"/>
      <c r="C678" s="513"/>
      <c r="D678" s="513"/>
      <c r="E678" s="513"/>
      <c r="F678" s="513"/>
      <c r="G678" s="513"/>
      <c r="H678" s="513"/>
      <c r="I678" s="313" t="s">
        <v>2024</v>
      </c>
      <c r="J678" s="6" t="s">
        <v>2025</v>
      </c>
      <c r="K678" s="104">
        <v>72</v>
      </c>
      <c r="L678" s="493">
        <v>184488800</v>
      </c>
      <c r="M678" s="104">
        <v>36</v>
      </c>
      <c r="N678" s="494">
        <v>68667500</v>
      </c>
      <c r="O678" s="104">
        <v>12</v>
      </c>
      <c r="P678" s="495">
        <v>42300000</v>
      </c>
      <c r="Q678" s="107"/>
      <c r="R678" s="493"/>
      <c r="S678" s="8">
        <v>3</v>
      </c>
      <c r="T678" s="496">
        <v>17572500</v>
      </c>
      <c r="U678" s="212"/>
      <c r="V678" s="497"/>
      <c r="W678" s="100"/>
      <c r="X678" s="981"/>
      <c r="Y678" s="498">
        <f t="shared" si="184"/>
        <v>3</v>
      </c>
      <c r="Z678" s="94">
        <f t="shared" si="185"/>
        <v>17572500</v>
      </c>
      <c r="AA678" s="104">
        <f t="shared" si="186"/>
        <v>39</v>
      </c>
      <c r="AB678" s="106">
        <f t="shared" si="187"/>
        <v>86240000</v>
      </c>
      <c r="AC678" s="499">
        <f t="shared" si="182"/>
        <v>54.166666666666664</v>
      </c>
      <c r="AD678" s="500">
        <f t="shared" si="183"/>
        <v>46.745385085707099</v>
      </c>
      <c r="AE678" s="102"/>
      <c r="AF678" s="977"/>
      <c r="AG678" s="201"/>
      <c r="AH678" s="201"/>
      <c r="AI678" s="201"/>
      <c r="AJ678" s="201"/>
      <c r="AK678" s="201"/>
      <c r="AL678" s="201"/>
      <c r="AM678" s="201"/>
      <c r="AN678" s="201"/>
      <c r="AO678" s="201"/>
      <c r="AP678" s="201"/>
      <c r="AQ678" s="201"/>
      <c r="AR678" s="201"/>
      <c r="AS678" s="201"/>
      <c r="AT678" s="201"/>
      <c r="AU678" s="201"/>
      <c r="AV678" s="201"/>
      <c r="AW678" s="201"/>
      <c r="AX678" s="201"/>
      <c r="AY678" s="201"/>
      <c r="AZ678" s="201"/>
      <c r="BA678" s="201"/>
      <c r="BB678" s="201"/>
      <c r="BC678" s="20"/>
      <c r="BD678" s="20"/>
      <c r="BE678" s="20"/>
      <c r="BF678" s="20"/>
      <c r="BG678" s="20"/>
      <c r="BH678" s="20"/>
      <c r="BI678" s="20"/>
      <c r="BJ678" s="20"/>
      <c r="BK678" s="20"/>
      <c r="BL678" s="20"/>
      <c r="BM678" s="20"/>
      <c r="BN678" s="20"/>
      <c r="BO678" s="20"/>
      <c r="BP678" s="20"/>
      <c r="BQ678" s="20"/>
    </row>
    <row r="679" spans="1:69" ht="99">
      <c r="A679" s="102"/>
      <c r="B679" s="8"/>
      <c r="C679" s="102"/>
      <c r="D679" s="102"/>
      <c r="E679" s="102"/>
      <c r="F679" s="102"/>
      <c r="G679" s="102"/>
      <c r="H679" s="102"/>
      <c r="I679" s="103" t="s">
        <v>2026</v>
      </c>
      <c r="J679" s="8" t="s">
        <v>2027</v>
      </c>
      <c r="K679" s="104">
        <v>72</v>
      </c>
      <c r="L679" s="493">
        <v>748497500</v>
      </c>
      <c r="M679" s="104">
        <v>36</v>
      </c>
      <c r="N679" s="494">
        <v>384634380</v>
      </c>
      <c r="O679" s="104">
        <v>12</v>
      </c>
      <c r="P679" s="495">
        <v>58600000</v>
      </c>
      <c r="Q679" s="107"/>
      <c r="R679" s="493"/>
      <c r="S679" s="8">
        <v>3</v>
      </c>
      <c r="T679" s="496">
        <v>15800000</v>
      </c>
      <c r="U679" s="212"/>
      <c r="V679" s="494"/>
      <c r="W679" s="100"/>
      <c r="X679" s="981"/>
      <c r="Y679" s="498">
        <f t="shared" si="184"/>
        <v>3</v>
      </c>
      <c r="Z679" s="94">
        <f t="shared" si="185"/>
        <v>15800000</v>
      </c>
      <c r="AA679" s="104">
        <f t="shared" si="186"/>
        <v>39</v>
      </c>
      <c r="AB679" s="106">
        <f t="shared" si="187"/>
        <v>400434380</v>
      </c>
      <c r="AC679" s="499">
        <f t="shared" si="182"/>
        <v>54.166666666666664</v>
      </c>
      <c r="AD679" s="500">
        <f t="shared" si="183"/>
        <v>53.498425846445706</v>
      </c>
      <c r="AE679" s="102"/>
      <c r="AF679" s="977"/>
      <c r="AG679" s="201"/>
      <c r="AH679" s="201"/>
      <c r="AI679" s="201"/>
      <c r="AJ679" s="201"/>
      <c r="AK679" s="201"/>
      <c r="AL679" s="201"/>
      <c r="AM679" s="201"/>
      <c r="AN679" s="201"/>
      <c r="AO679" s="201"/>
      <c r="AP679" s="201"/>
      <c r="AQ679" s="201"/>
      <c r="AR679" s="201"/>
      <c r="AS679" s="201"/>
      <c r="AT679" s="201"/>
      <c r="AU679" s="201"/>
      <c r="AV679" s="201"/>
      <c r="AW679" s="201"/>
      <c r="AX679" s="201"/>
      <c r="AY679" s="201"/>
      <c r="AZ679" s="201"/>
      <c r="BA679" s="201"/>
      <c r="BB679" s="201"/>
      <c r="BC679" s="20"/>
      <c r="BD679" s="20"/>
      <c r="BE679" s="20"/>
      <c r="BF679" s="20"/>
      <c r="BG679" s="20"/>
      <c r="BH679" s="20"/>
      <c r="BI679" s="20"/>
      <c r="BJ679" s="20"/>
      <c r="BK679" s="20"/>
      <c r="BL679" s="20"/>
      <c r="BM679" s="20"/>
      <c r="BN679" s="20"/>
      <c r="BO679" s="20"/>
      <c r="BP679" s="20"/>
      <c r="BQ679" s="20"/>
    </row>
    <row r="680" spans="1:69" ht="33">
      <c r="A680" s="102"/>
      <c r="B680" s="8"/>
      <c r="C680" s="102"/>
      <c r="D680" s="102"/>
      <c r="E680" s="102"/>
      <c r="F680" s="102"/>
      <c r="G680" s="102"/>
      <c r="H680" s="102"/>
      <c r="I680" s="313" t="s">
        <v>1084</v>
      </c>
      <c r="J680" s="8" t="s">
        <v>2028</v>
      </c>
      <c r="K680" s="104">
        <v>1</v>
      </c>
      <c r="L680" s="493">
        <v>50873070</v>
      </c>
      <c r="M680" s="104">
        <v>24</v>
      </c>
      <c r="N680" s="495">
        <v>50873070</v>
      </c>
      <c r="O680" s="104">
        <v>0</v>
      </c>
      <c r="P680" s="495">
        <v>0</v>
      </c>
      <c r="Q680" s="107"/>
      <c r="R680" s="493"/>
      <c r="S680" s="8">
        <v>0</v>
      </c>
      <c r="T680" s="501">
        <v>0</v>
      </c>
      <c r="U680" s="100"/>
      <c r="V680" s="494"/>
      <c r="W680" s="100"/>
      <c r="X680" s="497"/>
      <c r="Y680" s="498">
        <f t="shared" si="184"/>
        <v>0</v>
      </c>
      <c r="Z680" s="94">
        <f t="shared" si="185"/>
        <v>0</v>
      </c>
      <c r="AA680" s="104">
        <f t="shared" si="186"/>
        <v>24</v>
      </c>
      <c r="AB680" s="106">
        <f t="shared" si="187"/>
        <v>50873070</v>
      </c>
      <c r="AC680" s="499">
        <f t="shared" si="182"/>
        <v>2400</v>
      </c>
      <c r="AD680" s="500">
        <f t="shared" si="183"/>
        <v>100</v>
      </c>
      <c r="AE680" s="102"/>
      <c r="AF680" s="977"/>
      <c r="AG680" s="201"/>
      <c r="AH680" s="201"/>
      <c r="AI680" s="201"/>
      <c r="AJ680" s="201"/>
      <c r="AK680" s="201"/>
      <c r="AL680" s="201"/>
      <c r="AM680" s="201"/>
      <c r="AN680" s="201"/>
      <c r="AO680" s="201"/>
      <c r="AP680" s="201"/>
      <c r="AQ680" s="201"/>
      <c r="AR680" s="201"/>
      <c r="AS680" s="201"/>
      <c r="AT680" s="201"/>
      <c r="AU680" s="201"/>
      <c r="AV680" s="201"/>
      <c r="AW680" s="201"/>
      <c r="AX680" s="201"/>
      <c r="AY680" s="201"/>
      <c r="AZ680" s="201"/>
      <c r="BA680" s="201"/>
      <c r="BB680" s="201"/>
      <c r="BC680" s="20"/>
      <c r="BD680" s="20"/>
      <c r="BE680" s="20"/>
      <c r="BF680" s="20"/>
      <c r="BG680" s="20"/>
      <c r="BH680" s="20"/>
      <c r="BI680" s="20"/>
      <c r="BJ680" s="20"/>
      <c r="BK680" s="20"/>
      <c r="BL680" s="20"/>
      <c r="BM680" s="20"/>
      <c r="BN680" s="20"/>
      <c r="BO680" s="20"/>
      <c r="BP680" s="20"/>
      <c r="BQ680" s="20"/>
    </row>
    <row r="681" spans="1:69" ht="82.5">
      <c r="A681" s="102"/>
      <c r="B681" s="8"/>
      <c r="C681" s="102"/>
      <c r="D681" s="102"/>
      <c r="E681" s="102"/>
      <c r="F681" s="102"/>
      <c r="G681" s="102"/>
      <c r="H681" s="102"/>
      <c r="I681" s="313" t="s">
        <v>2029</v>
      </c>
      <c r="J681" s="8" t="s">
        <v>2030</v>
      </c>
      <c r="K681" s="104">
        <v>72</v>
      </c>
      <c r="L681" s="493">
        <v>532365000</v>
      </c>
      <c r="M681" s="104">
        <v>36</v>
      </c>
      <c r="N681" s="495">
        <v>260975000</v>
      </c>
      <c r="O681" s="104">
        <v>12</v>
      </c>
      <c r="P681" s="495">
        <v>99975000</v>
      </c>
      <c r="Q681" s="107"/>
      <c r="R681" s="493"/>
      <c r="S681" s="8">
        <v>3</v>
      </c>
      <c r="T681" s="496">
        <v>34250000</v>
      </c>
      <c r="U681" s="212"/>
      <c r="V681" s="494"/>
      <c r="W681" s="100"/>
      <c r="X681" s="24"/>
      <c r="Y681" s="498">
        <f t="shared" si="184"/>
        <v>3</v>
      </c>
      <c r="Z681" s="94">
        <f t="shared" si="185"/>
        <v>34250000</v>
      </c>
      <c r="AA681" s="104">
        <f t="shared" si="186"/>
        <v>39</v>
      </c>
      <c r="AB681" s="106">
        <f t="shared" si="187"/>
        <v>295225000</v>
      </c>
      <c r="AC681" s="499">
        <f t="shared" si="182"/>
        <v>54.166666666666664</v>
      </c>
      <c r="AD681" s="500">
        <f t="shared" si="183"/>
        <v>55.455373662806529</v>
      </c>
      <c r="AE681" s="102"/>
      <c r="AF681" s="977"/>
      <c r="AG681" s="201"/>
      <c r="AH681" s="201"/>
      <c r="AI681" s="201"/>
      <c r="AJ681" s="201"/>
      <c r="AK681" s="201"/>
      <c r="AL681" s="201"/>
      <c r="AM681" s="201"/>
      <c r="AN681" s="201"/>
      <c r="AO681" s="201"/>
      <c r="AP681" s="201"/>
      <c r="AQ681" s="201"/>
      <c r="AR681" s="201"/>
      <c r="AS681" s="201"/>
      <c r="AT681" s="201"/>
      <c r="AU681" s="201"/>
      <c r="AV681" s="201"/>
      <c r="AW681" s="201"/>
      <c r="AX681" s="201"/>
      <c r="AY681" s="201"/>
      <c r="AZ681" s="201"/>
      <c r="BA681" s="201"/>
      <c r="BB681" s="201"/>
      <c r="BC681" s="20"/>
      <c r="BD681" s="20"/>
      <c r="BE681" s="20"/>
      <c r="BF681" s="20"/>
      <c r="BG681" s="20"/>
      <c r="BH681" s="20"/>
      <c r="BI681" s="20"/>
      <c r="BJ681" s="20"/>
      <c r="BK681" s="20"/>
      <c r="BL681" s="20"/>
      <c r="BM681" s="20"/>
      <c r="BN681" s="20"/>
      <c r="BO681" s="20"/>
      <c r="BP681" s="20"/>
      <c r="BQ681" s="20"/>
    </row>
    <row r="682" spans="1:69" ht="49.5">
      <c r="A682" s="102"/>
      <c r="B682" s="8"/>
      <c r="C682" s="102"/>
      <c r="D682" s="102"/>
      <c r="E682" s="102"/>
      <c r="F682" s="102"/>
      <c r="G682" s="102"/>
      <c r="H682" s="102"/>
      <c r="I682" s="313" t="s">
        <v>2031</v>
      </c>
      <c r="J682" s="8" t="s">
        <v>2032</v>
      </c>
      <c r="K682" s="104">
        <v>72</v>
      </c>
      <c r="L682" s="493">
        <v>280315755</v>
      </c>
      <c r="M682" s="104">
        <v>27</v>
      </c>
      <c r="N682" s="495">
        <v>59882445</v>
      </c>
      <c r="O682" s="104">
        <v>12</v>
      </c>
      <c r="P682" s="495">
        <v>41400195</v>
      </c>
      <c r="Q682" s="104"/>
      <c r="R682" s="493"/>
      <c r="S682" s="8">
        <v>3</v>
      </c>
      <c r="T682" s="496">
        <v>5925895</v>
      </c>
      <c r="U682" s="212"/>
      <c r="V682" s="494"/>
      <c r="W682" s="100"/>
      <c r="X682" s="24"/>
      <c r="Y682" s="498">
        <f t="shared" si="184"/>
        <v>3</v>
      </c>
      <c r="Z682" s="94">
        <f t="shared" si="185"/>
        <v>5925895</v>
      </c>
      <c r="AA682" s="104">
        <v>27</v>
      </c>
      <c r="AB682" s="106">
        <v>59882445</v>
      </c>
      <c r="AC682" s="499">
        <v>37.5</v>
      </c>
      <c r="AD682" s="500">
        <v>42.9509241113904</v>
      </c>
      <c r="AE682" s="102"/>
      <c r="AF682" s="977"/>
      <c r="AG682" s="201"/>
      <c r="AH682" s="201"/>
      <c r="AI682" s="201"/>
      <c r="AJ682" s="201"/>
      <c r="AK682" s="201"/>
      <c r="AL682" s="201"/>
      <c r="AM682" s="201"/>
      <c r="AN682" s="201"/>
      <c r="AO682" s="201"/>
      <c r="AP682" s="201"/>
      <c r="AQ682" s="201"/>
      <c r="AR682" s="201"/>
      <c r="AS682" s="201"/>
      <c r="AT682" s="201"/>
      <c r="AU682" s="201"/>
      <c r="AV682" s="201"/>
      <c r="AW682" s="201"/>
      <c r="AX682" s="201"/>
      <c r="AY682" s="201"/>
      <c r="AZ682" s="201"/>
      <c r="BA682" s="201"/>
      <c r="BB682" s="201"/>
      <c r="BC682" s="20"/>
      <c r="BD682" s="20"/>
      <c r="BE682" s="20"/>
      <c r="BF682" s="20"/>
      <c r="BG682" s="20"/>
      <c r="BH682" s="20"/>
      <c r="BI682" s="20"/>
      <c r="BJ682" s="20"/>
      <c r="BK682" s="20"/>
      <c r="BL682" s="20"/>
      <c r="BM682" s="20"/>
      <c r="BN682" s="20"/>
      <c r="BO682" s="20"/>
      <c r="BP682" s="20"/>
      <c r="BQ682" s="20"/>
    </row>
    <row r="683" spans="1:69" ht="66">
      <c r="A683" s="2558">
        <v>2</v>
      </c>
      <c r="B683" s="33"/>
      <c r="C683" s="989"/>
      <c r="D683" s="989"/>
      <c r="E683" s="989"/>
      <c r="F683" s="989"/>
      <c r="G683" s="989"/>
      <c r="H683" s="989"/>
      <c r="I683" s="134" t="s">
        <v>2033</v>
      </c>
      <c r="J683" s="33" t="s">
        <v>2034</v>
      </c>
      <c r="K683" s="135">
        <v>72</v>
      </c>
      <c r="L683" s="137">
        <f>SUM(L684:L689)</f>
        <v>3247183616</v>
      </c>
      <c r="M683" s="154">
        <v>36</v>
      </c>
      <c r="N683" s="1644">
        <v>2052635300</v>
      </c>
      <c r="O683" s="135">
        <v>12</v>
      </c>
      <c r="P683" s="510">
        <f>SUM(P684:P689)</f>
        <v>680540000</v>
      </c>
      <c r="Q683" s="135">
        <v>3</v>
      </c>
      <c r="R683" s="1645">
        <f>SUM(R684:R689)</f>
        <v>1145000</v>
      </c>
      <c r="S683" s="158">
        <v>0</v>
      </c>
      <c r="T683" s="1646">
        <f>SUM(T684:T689)</f>
        <v>146163605</v>
      </c>
      <c r="U683" s="33">
        <v>0</v>
      </c>
      <c r="V683" s="139">
        <f>V684+V685+V686+V687+V688+V689</f>
        <v>0</v>
      </c>
      <c r="W683" s="33">
        <v>0</v>
      </c>
      <c r="X683" s="1645">
        <f>SUM(X684:X689)</f>
        <v>0</v>
      </c>
      <c r="Y683" s="511">
        <f>Y686</f>
        <v>6</v>
      </c>
      <c r="Z683" s="512">
        <f>SUM(Z684:Z689)</f>
        <v>147308605</v>
      </c>
      <c r="AA683" s="135">
        <f>M683+Y683</f>
        <v>42</v>
      </c>
      <c r="AB683" s="139">
        <f>Z683+N683</f>
        <v>2199943905</v>
      </c>
      <c r="AC683" s="148">
        <f t="shared" ref="AC683:AC702" si="188">AA683/K683*100</f>
        <v>58.333333333333336</v>
      </c>
      <c r="AD683" s="148">
        <f t="shared" ref="AD683:AD702" si="189">AB683/L683*100</f>
        <v>67.749291852795551</v>
      </c>
      <c r="AE683" s="2558" t="s">
        <v>96</v>
      </c>
      <c r="AF683" s="977"/>
      <c r="AG683" s="201"/>
      <c r="AH683" s="201"/>
      <c r="AI683" s="201"/>
      <c r="AJ683" s="201"/>
      <c r="AK683" s="201"/>
      <c r="AL683" s="201"/>
      <c r="AM683" s="201"/>
      <c r="AN683" s="201"/>
      <c r="AO683" s="201"/>
      <c r="AP683" s="201"/>
      <c r="AQ683" s="201"/>
      <c r="AR683" s="201"/>
      <c r="AS683" s="201"/>
      <c r="AT683" s="201"/>
      <c r="AU683" s="201"/>
      <c r="AV683" s="201"/>
      <c r="AW683" s="201"/>
      <c r="AX683" s="201"/>
      <c r="AY683" s="201"/>
      <c r="AZ683" s="201"/>
      <c r="BA683" s="201"/>
      <c r="BB683" s="201"/>
      <c r="BC683" s="20"/>
      <c r="BD683" s="20"/>
      <c r="BE683" s="20"/>
      <c r="BF683" s="20"/>
      <c r="BG683" s="20"/>
      <c r="BH683" s="20"/>
      <c r="BI683" s="20"/>
      <c r="BJ683" s="20"/>
      <c r="BK683" s="20"/>
      <c r="BL683" s="20"/>
      <c r="BM683" s="20"/>
      <c r="BN683" s="20"/>
      <c r="BO683" s="20"/>
      <c r="BP683" s="20"/>
      <c r="BQ683" s="20"/>
    </row>
    <row r="684" spans="1:69" ht="82.5">
      <c r="A684" s="102"/>
      <c r="B684" s="8"/>
      <c r="C684" s="102"/>
      <c r="D684" s="102"/>
      <c r="E684" s="102"/>
      <c r="F684" s="102"/>
      <c r="G684" s="102"/>
      <c r="H684" s="102"/>
      <c r="I684" s="6" t="s">
        <v>2818</v>
      </c>
      <c r="J684" s="8" t="s">
        <v>2819</v>
      </c>
      <c r="K684" s="502">
        <v>72</v>
      </c>
      <c r="L684" s="493">
        <v>732991008</v>
      </c>
      <c r="M684" s="104">
        <v>36</v>
      </c>
      <c r="N684" s="495">
        <v>509641800</v>
      </c>
      <c r="O684" s="104">
        <v>12</v>
      </c>
      <c r="P684" s="495">
        <v>128000000</v>
      </c>
      <c r="Q684" s="25">
        <v>3</v>
      </c>
      <c r="R684" s="25">
        <v>0</v>
      </c>
      <c r="S684" s="8">
        <v>3</v>
      </c>
      <c r="T684" s="496">
        <v>60292405</v>
      </c>
      <c r="U684" s="503"/>
      <c r="V684" s="25"/>
      <c r="W684" s="88"/>
      <c r="X684" s="24"/>
      <c r="Y684" s="791">
        <f t="shared" ref="Y684:Z687" si="190">Q684+S684+U684+W684</f>
        <v>6</v>
      </c>
      <c r="Z684" s="96">
        <f t="shared" si="190"/>
        <v>60292405</v>
      </c>
      <c r="AA684" s="788">
        <f>M684+Y684</f>
        <v>42</v>
      </c>
      <c r="AB684" s="508">
        <f t="shared" ref="AB684:AB689" si="191">N684+Z684</f>
        <v>569934205</v>
      </c>
      <c r="AC684" s="827">
        <f t="shared" si="188"/>
        <v>58.333333333333336</v>
      </c>
      <c r="AD684" s="831">
        <f t="shared" si="189"/>
        <v>77.754597093229279</v>
      </c>
      <c r="AE684" s="102"/>
      <c r="AF684" s="977"/>
      <c r="AG684" s="201"/>
      <c r="AH684" s="201"/>
      <c r="AI684" s="201"/>
      <c r="AJ684" s="201"/>
      <c r="AK684" s="201"/>
      <c r="AL684" s="201"/>
      <c r="AM684" s="201"/>
      <c r="AN684" s="201"/>
      <c r="AO684" s="201"/>
      <c r="AP684" s="201"/>
      <c r="AQ684" s="201"/>
      <c r="AR684" s="201"/>
      <c r="AS684" s="201"/>
      <c r="AT684" s="201"/>
      <c r="AU684" s="201"/>
      <c r="AV684" s="201"/>
      <c r="AW684" s="201"/>
      <c r="AX684" s="201"/>
      <c r="AY684" s="201"/>
      <c r="AZ684" s="201"/>
      <c r="BA684" s="201"/>
      <c r="BB684" s="201"/>
      <c r="BC684" s="20"/>
      <c r="BD684" s="20"/>
      <c r="BE684" s="20"/>
      <c r="BF684" s="20"/>
      <c r="BG684" s="20"/>
      <c r="BH684" s="20"/>
      <c r="BI684" s="20"/>
      <c r="BJ684" s="20"/>
      <c r="BK684" s="20"/>
      <c r="BL684" s="20"/>
      <c r="BM684" s="20"/>
      <c r="BN684" s="20"/>
      <c r="BO684" s="20"/>
      <c r="BP684" s="20"/>
      <c r="BQ684" s="20"/>
    </row>
    <row r="685" spans="1:69" ht="49.5">
      <c r="A685" s="102"/>
      <c r="B685" s="8"/>
      <c r="C685" s="102"/>
      <c r="D685" s="102"/>
      <c r="E685" s="102"/>
      <c r="F685" s="102"/>
      <c r="G685" s="102"/>
      <c r="H685" s="102"/>
      <c r="I685" s="6" t="s">
        <v>82</v>
      </c>
      <c r="J685" s="8" t="s">
        <v>97</v>
      </c>
      <c r="K685" s="104">
        <v>72</v>
      </c>
      <c r="L685" s="493">
        <v>732991008</v>
      </c>
      <c r="M685" s="104">
        <v>36</v>
      </c>
      <c r="N685" s="495">
        <v>393139800</v>
      </c>
      <c r="O685" s="104">
        <v>12</v>
      </c>
      <c r="P685" s="495">
        <v>44700000</v>
      </c>
      <c r="Q685" s="25">
        <v>3</v>
      </c>
      <c r="R685" s="25">
        <v>0</v>
      </c>
      <c r="S685" s="8">
        <v>3</v>
      </c>
      <c r="T685" s="496">
        <v>33685000</v>
      </c>
      <c r="U685" s="503"/>
      <c r="V685" s="508"/>
      <c r="W685" s="88"/>
      <c r="X685" s="982"/>
      <c r="Y685" s="791">
        <f t="shared" si="190"/>
        <v>6</v>
      </c>
      <c r="Z685" s="96">
        <f t="shared" si="190"/>
        <v>33685000</v>
      </c>
      <c r="AA685" s="788">
        <f>M685+Y685</f>
        <v>42</v>
      </c>
      <c r="AB685" s="508">
        <f t="shared" si="191"/>
        <v>426824800</v>
      </c>
      <c r="AC685" s="827">
        <f t="shared" si="188"/>
        <v>58.333333333333336</v>
      </c>
      <c r="AD685" s="831">
        <f t="shared" si="189"/>
        <v>58.230564269077632</v>
      </c>
      <c r="AE685" s="102"/>
      <c r="AF685" s="977"/>
      <c r="AG685" s="201"/>
      <c r="AH685" s="201"/>
      <c r="AI685" s="201"/>
      <c r="AJ685" s="201"/>
      <c r="AK685" s="201"/>
      <c r="AL685" s="201"/>
      <c r="AM685" s="201"/>
      <c r="AN685" s="201"/>
      <c r="AO685" s="201"/>
      <c r="AP685" s="201"/>
      <c r="AQ685" s="201"/>
      <c r="AR685" s="201"/>
      <c r="AS685" s="201"/>
      <c r="AT685" s="201"/>
      <c r="AU685" s="201"/>
      <c r="AV685" s="201"/>
      <c r="AW685" s="201"/>
      <c r="AX685" s="201"/>
      <c r="AY685" s="201"/>
      <c r="AZ685" s="201"/>
      <c r="BA685" s="201"/>
      <c r="BB685" s="201"/>
      <c r="BC685" s="20"/>
      <c r="BD685" s="20"/>
      <c r="BE685" s="20"/>
      <c r="BF685" s="20"/>
      <c r="BG685" s="20"/>
      <c r="BH685" s="20"/>
      <c r="BI685" s="20"/>
      <c r="BJ685" s="20"/>
      <c r="BK685" s="20"/>
      <c r="BL685" s="20"/>
      <c r="BM685" s="20"/>
      <c r="BN685" s="20"/>
      <c r="BO685" s="20"/>
      <c r="BP685" s="20"/>
      <c r="BQ685" s="20"/>
    </row>
    <row r="686" spans="1:69" ht="82.5">
      <c r="A686" s="102"/>
      <c r="B686" s="8"/>
      <c r="C686" s="102"/>
      <c r="D686" s="102"/>
      <c r="E686" s="102"/>
      <c r="F686" s="102"/>
      <c r="G686" s="102"/>
      <c r="H686" s="102"/>
      <c r="I686" s="6" t="s">
        <v>2035</v>
      </c>
      <c r="J686" s="8" t="s">
        <v>2036</v>
      </c>
      <c r="K686" s="104">
        <v>72</v>
      </c>
      <c r="L686" s="493">
        <v>136499400</v>
      </c>
      <c r="M686" s="104">
        <v>27</v>
      </c>
      <c r="N686" s="495">
        <v>50760000</v>
      </c>
      <c r="O686" s="104">
        <v>12</v>
      </c>
      <c r="P686" s="495">
        <v>25740000</v>
      </c>
      <c r="Q686" s="8">
        <v>3</v>
      </c>
      <c r="R686" s="504">
        <v>1145000</v>
      </c>
      <c r="S686" s="8">
        <v>3</v>
      </c>
      <c r="T686" s="496">
        <v>12170000</v>
      </c>
      <c r="U686" s="503"/>
      <c r="V686" s="508"/>
      <c r="W686" s="88"/>
      <c r="X686" s="24"/>
      <c r="Y686" s="791">
        <f t="shared" si="190"/>
        <v>6</v>
      </c>
      <c r="Z686" s="96">
        <f t="shared" si="190"/>
        <v>13315000</v>
      </c>
      <c r="AA686" s="788">
        <v>27</v>
      </c>
      <c r="AB686" s="508">
        <f t="shared" si="191"/>
        <v>64075000</v>
      </c>
      <c r="AC686" s="827">
        <f t="shared" si="188"/>
        <v>37.5</v>
      </c>
      <c r="AD686" s="831">
        <f t="shared" si="189"/>
        <v>46.941598278087667</v>
      </c>
      <c r="AE686" s="102"/>
      <c r="AF686" s="977"/>
      <c r="AG686" s="201"/>
      <c r="AH686" s="201"/>
      <c r="AI686" s="201"/>
      <c r="AJ686" s="201"/>
      <c r="AK686" s="201"/>
      <c r="AL686" s="201"/>
      <c r="AM686" s="201"/>
      <c r="AN686" s="201"/>
      <c r="AO686" s="201"/>
      <c r="AP686" s="201"/>
      <c r="AQ686" s="201"/>
      <c r="AR686" s="201"/>
      <c r="AS686" s="201"/>
      <c r="AT686" s="201"/>
      <c r="AU686" s="201"/>
      <c r="AV686" s="201"/>
      <c r="AW686" s="201"/>
      <c r="AX686" s="201"/>
      <c r="AY686" s="201"/>
      <c r="AZ686" s="201"/>
      <c r="BA686" s="201"/>
      <c r="BB686" s="201"/>
      <c r="BC686" s="20"/>
      <c r="BD686" s="20"/>
      <c r="BE686" s="20"/>
      <c r="BF686" s="20"/>
      <c r="BG686" s="20"/>
      <c r="BH686" s="20"/>
      <c r="BI686" s="20"/>
      <c r="BJ686" s="20"/>
      <c r="BK686" s="20"/>
      <c r="BL686" s="20"/>
      <c r="BM686" s="20"/>
      <c r="BN686" s="20"/>
      <c r="BO686" s="20"/>
      <c r="BP686" s="20"/>
      <c r="BQ686" s="20"/>
    </row>
    <row r="687" spans="1:69" ht="49.5">
      <c r="A687" s="513"/>
      <c r="B687" s="235"/>
      <c r="C687" s="513"/>
      <c r="D687" s="513"/>
      <c r="E687" s="513"/>
      <c r="F687" s="513"/>
      <c r="G687" s="513"/>
      <c r="H687" s="513"/>
      <c r="I687" s="6" t="s">
        <v>1461</v>
      </c>
      <c r="J687" s="8" t="s">
        <v>2037</v>
      </c>
      <c r="K687" s="104">
        <v>27</v>
      </c>
      <c r="L687" s="493">
        <v>127105000</v>
      </c>
      <c r="M687" s="104">
        <v>27</v>
      </c>
      <c r="N687" s="495">
        <v>127105000</v>
      </c>
      <c r="O687" s="238">
        <v>0</v>
      </c>
      <c r="P687" s="125">
        <v>0</v>
      </c>
      <c r="Q687" s="25">
        <v>0</v>
      </c>
      <c r="R687" s="25">
        <v>0</v>
      </c>
      <c r="S687" s="9" t="s">
        <v>40</v>
      </c>
      <c r="T687" s="983" t="s">
        <v>40</v>
      </c>
      <c r="U687" s="1647"/>
      <c r="V687" s="508"/>
      <c r="W687" s="983"/>
      <c r="X687" s="504"/>
      <c r="Y687" s="791">
        <f t="shared" si="190"/>
        <v>0</v>
      </c>
      <c r="Z687" s="96">
        <f t="shared" si="190"/>
        <v>0</v>
      </c>
      <c r="AA687" s="788">
        <v>27</v>
      </c>
      <c r="AB687" s="508">
        <f t="shared" si="191"/>
        <v>127105000</v>
      </c>
      <c r="AC687" s="827">
        <f t="shared" si="188"/>
        <v>100</v>
      </c>
      <c r="AD687" s="831">
        <f t="shared" si="189"/>
        <v>100</v>
      </c>
      <c r="AE687" s="102"/>
      <c r="AF687" s="977"/>
      <c r="AG687" s="201"/>
      <c r="AH687" s="201"/>
      <c r="AI687" s="201"/>
      <c r="AJ687" s="201"/>
      <c r="AK687" s="201"/>
      <c r="AL687" s="201"/>
      <c r="AM687" s="201"/>
      <c r="AN687" s="201"/>
      <c r="AO687" s="201"/>
      <c r="AP687" s="201"/>
      <c r="AQ687" s="201"/>
      <c r="AR687" s="201"/>
      <c r="AS687" s="201"/>
      <c r="AT687" s="201"/>
      <c r="AU687" s="201"/>
      <c r="AV687" s="201"/>
      <c r="AW687" s="201"/>
      <c r="AX687" s="201"/>
      <c r="AY687" s="201"/>
      <c r="AZ687" s="201"/>
      <c r="BA687" s="201"/>
      <c r="BB687" s="201"/>
      <c r="BC687" s="20"/>
      <c r="BD687" s="20"/>
      <c r="BE687" s="20"/>
      <c r="BF687" s="20"/>
      <c r="BG687" s="20"/>
      <c r="BH687" s="20"/>
      <c r="BI687" s="20"/>
      <c r="BJ687" s="20"/>
      <c r="BK687" s="20"/>
      <c r="BL687" s="20"/>
      <c r="BM687" s="20"/>
      <c r="BN687" s="20"/>
      <c r="BO687" s="20"/>
      <c r="BP687" s="20"/>
      <c r="BQ687" s="20"/>
    </row>
    <row r="688" spans="1:69" ht="66">
      <c r="A688" s="102"/>
      <c r="B688" s="8"/>
      <c r="C688" s="102"/>
      <c r="D688" s="102"/>
      <c r="E688" s="102"/>
      <c r="F688" s="102"/>
      <c r="G688" s="102"/>
      <c r="H688" s="102"/>
      <c r="I688" s="6" t="s">
        <v>98</v>
      </c>
      <c r="J688" s="8" t="s">
        <v>2038</v>
      </c>
      <c r="K688" s="104">
        <v>72</v>
      </c>
      <c r="L688" s="493">
        <v>796867700</v>
      </c>
      <c r="M688" s="104">
        <v>36</v>
      </c>
      <c r="N688" s="495">
        <v>298629300</v>
      </c>
      <c r="O688" s="104">
        <v>12</v>
      </c>
      <c r="P688" s="495">
        <v>482100000</v>
      </c>
      <c r="Q688" s="25">
        <v>3</v>
      </c>
      <c r="R688" s="25">
        <v>0</v>
      </c>
      <c r="S688" s="8">
        <v>3</v>
      </c>
      <c r="T688" s="209">
        <v>40016200</v>
      </c>
      <c r="U688" s="503"/>
      <c r="V688" s="508"/>
      <c r="W688" s="88"/>
      <c r="X688" s="28"/>
      <c r="Y688" s="791">
        <f t="shared" ref="Y688" si="192">W688</f>
        <v>0</v>
      </c>
      <c r="Z688" s="96">
        <f>R688+T688+V688+X688</f>
        <v>40016200</v>
      </c>
      <c r="AA688" s="788">
        <f t="shared" ref="AA688:AA702" si="193">M688+Y688</f>
        <v>36</v>
      </c>
      <c r="AB688" s="508">
        <f t="shared" si="191"/>
        <v>338645500</v>
      </c>
      <c r="AC688" s="827">
        <f t="shared" si="188"/>
        <v>50</v>
      </c>
      <c r="AD688" s="831">
        <f t="shared" si="189"/>
        <v>42.497079502657719</v>
      </c>
      <c r="AE688" s="102"/>
      <c r="AF688" s="977"/>
      <c r="AG688" s="201"/>
      <c r="AH688" s="201"/>
      <c r="AI688" s="201"/>
      <c r="AJ688" s="201"/>
      <c r="AK688" s="201"/>
      <c r="AL688" s="201"/>
      <c r="AM688" s="201"/>
      <c r="AN688" s="201"/>
      <c r="AO688" s="201"/>
      <c r="AP688" s="201"/>
      <c r="AQ688" s="201"/>
      <c r="AR688" s="201"/>
      <c r="AS688" s="201"/>
      <c r="AT688" s="201"/>
      <c r="AU688" s="201"/>
      <c r="AV688" s="201"/>
      <c r="AW688" s="201"/>
      <c r="AX688" s="201"/>
      <c r="AY688" s="201"/>
      <c r="AZ688" s="201"/>
      <c r="BA688" s="201"/>
      <c r="BB688" s="201"/>
      <c r="BC688" s="20"/>
      <c r="BD688" s="20"/>
      <c r="BE688" s="20"/>
      <c r="BF688" s="20"/>
      <c r="BG688" s="20"/>
      <c r="BH688" s="20"/>
      <c r="BI688" s="20"/>
      <c r="BJ688" s="20"/>
      <c r="BK688" s="20"/>
      <c r="BL688" s="20"/>
      <c r="BM688" s="20"/>
      <c r="BN688" s="20"/>
      <c r="BO688" s="20"/>
      <c r="BP688" s="20"/>
      <c r="BQ688" s="20"/>
    </row>
    <row r="689" spans="1:70" ht="66">
      <c r="A689" s="102"/>
      <c r="B689" s="8"/>
      <c r="C689" s="102"/>
      <c r="D689" s="102"/>
      <c r="E689" s="102"/>
      <c r="F689" s="102"/>
      <c r="G689" s="102"/>
      <c r="H689" s="102"/>
      <c r="I689" s="407" t="s">
        <v>2039</v>
      </c>
      <c r="J689" s="8" t="s">
        <v>2040</v>
      </c>
      <c r="K689" s="104">
        <v>12</v>
      </c>
      <c r="L689" s="493">
        <v>720729500</v>
      </c>
      <c r="M689" s="104">
        <v>24</v>
      </c>
      <c r="N689" s="495">
        <v>673359400</v>
      </c>
      <c r="O689" s="104">
        <v>12</v>
      </c>
      <c r="P689" s="125">
        <v>0</v>
      </c>
      <c r="Q689" s="25">
        <v>3</v>
      </c>
      <c r="R689" s="25">
        <v>0</v>
      </c>
      <c r="S689" s="8"/>
      <c r="T689" s="504">
        <v>0</v>
      </c>
      <c r="U689" s="8"/>
      <c r="V689" s="25"/>
      <c r="W689" s="88"/>
      <c r="X689" s="24"/>
      <c r="Y689" s="791">
        <f>Q689+S689+U689+W689</f>
        <v>3</v>
      </c>
      <c r="Z689" s="96">
        <f>R689+T689+V689+X689</f>
        <v>0</v>
      </c>
      <c r="AA689" s="788">
        <f t="shared" si="193"/>
        <v>27</v>
      </c>
      <c r="AB689" s="508">
        <f t="shared" si="191"/>
        <v>673359400</v>
      </c>
      <c r="AC689" s="827">
        <f t="shared" si="188"/>
        <v>225</v>
      </c>
      <c r="AD689" s="831">
        <f t="shared" si="189"/>
        <v>93.427478686525248</v>
      </c>
      <c r="AE689" s="102"/>
      <c r="AF689" s="977"/>
      <c r="AG689" s="201"/>
      <c r="AH689" s="201"/>
      <c r="AI689" s="201"/>
      <c r="AJ689" s="201"/>
      <c r="AK689" s="201"/>
      <c r="AL689" s="201"/>
      <c r="AM689" s="201"/>
      <c r="AN689" s="201"/>
      <c r="AO689" s="201"/>
      <c r="AP689" s="201"/>
      <c r="AQ689" s="201"/>
      <c r="AR689" s="201"/>
      <c r="AS689" s="201"/>
      <c r="AT689" s="201"/>
      <c r="AU689" s="201"/>
      <c r="AV689" s="201"/>
      <c r="AW689" s="201"/>
      <c r="AX689" s="201"/>
      <c r="AY689" s="201"/>
      <c r="AZ689" s="201"/>
      <c r="BA689" s="201"/>
      <c r="BB689" s="201"/>
      <c r="BC689" s="20"/>
      <c r="BD689" s="20"/>
      <c r="BE689" s="20"/>
      <c r="BF689" s="20"/>
      <c r="BG689" s="20"/>
      <c r="BH689" s="20"/>
      <c r="BI689" s="20"/>
      <c r="BJ689" s="20"/>
      <c r="BK689" s="20"/>
      <c r="BL689" s="20"/>
      <c r="BM689" s="20"/>
      <c r="BN689" s="20"/>
      <c r="BO689" s="20"/>
      <c r="BP689" s="20"/>
      <c r="BQ689" s="20"/>
    </row>
    <row r="690" spans="1:70" ht="66">
      <c r="A690" s="2558">
        <v>3</v>
      </c>
      <c r="B690" s="33"/>
      <c r="C690" s="989"/>
      <c r="D690" s="989"/>
      <c r="E690" s="989"/>
      <c r="F690" s="989"/>
      <c r="G690" s="989"/>
      <c r="H690" s="989"/>
      <c r="I690" s="134" t="s">
        <v>583</v>
      </c>
      <c r="J690" s="33" t="s">
        <v>2041</v>
      </c>
      <c r="K690" s="135">
        <v>100</v>
      </c>
      <c r="L690" s="137">
        <f t="shared" ref="L690:R690" si="194">L691</f>
        <v>260500000</v>
      </c>
      <c r="M690" s="135">
        <v>80</v>
      </c>
      <c r="N690" s="510">
        <v>95000000</v>
      </c>
      <c r="O690" s="230">
        <f t="shared" si="194"/>
        <v>0</v>
      </c>
      <c r="P690" s="230">
        <f t="shared" si="194"/>
        <v>0</v>
      </c>
      <c r="Q690" s="159">
        <f t="shared" si="194"/>
        <v>0</v>
      </c>
      <c r="R690" s="159">
        <f t="shared" si="194"/>
        <v>0</v>
      </c>
      <c r="S690" s="33"/>
      <c r="T690" s="1645"/>
      <c r="U690" s="33"/>
      <c r="V690" s="33"/>
      <c r="W690" s="33"/>
      <c r="X690" s="1645"/>
      <c r="Y690" s="1654">
        <f>Q690+S690+U690+W690</f>
        <v>0</v>
      </c>
      <c r="Z690" s="139">
        <f>X690</f>
        <v>0</v>
      </c>
      <c r="AA690" s="609">
        <f t="shared" si="193"/>
        <v>80</v>
      </c>
      <c r="AB690" s="139">
        <f>Z690+N690</f>
        <v>95000000</v>
      </c>
      <c r="AC690" s="151">
        <f t="shared" si="188"/>
        <v>80</v>
      </c>
      <c r="AD690" s="151">
        <f t="shared" si="189"/>
        <v>36.468330134357011</v>
      </c>
      <c r="AE690" s="2558" t="s">
        <v>96</v>
      </c>
      <c r="AF690" s="977"/>
      <c r="AG690" s="201"/>
      <c r="AH690" s="201"/>
      <c r="AI690" s="201"/>
      <c r="AJ690" s="201"/>
      <c r="AK690" s="201"/>
      <c r="AL690" s="201"/>
      <c r="AM690" s="201"/>
      <c r="AN690" s="201"/>
      <c r="AO690" s="201"/>
      <c r="AP690" s="201"/>
      <c r="AQ690" s="201"/>
      <c r="AR690" s="201"/>
      <c r="AS690" s="201"/>
      <c r="AT690" s="201"/>
      <c r="AU690" s="201"/>
      <c r="AV690" s="201"/>
      <c r="AW690" s="201"/>
      <c r="AX690" s="201"/>
      <c r="AY690" s="201"/>
      <c r="AZ690" s="201"/>
      <c r="BA690" s="201"/>
      <c r="BB690" s="201"/>
      <c r="BC690" s="20"/>
      <c r="BD690" s="20"/>
      <c r="BE690" s="20"/>
      <c r="BF690" s="20"/>
      <c r="BG690" s="20"/>
      <c r="BH690" s="20"/>
      <c r="BI690" s="20"/>
      <c r="BJ690" s="20"/>
      <c r="BK690" s="20"/>
      <c r="BL690" s="20"/>
      <c r="BM690" s="20"/>
      <c r="BN690" s="20"/>
      <c r="BO690" s="20"/>
      <c r="BP690" s="20"/>
      <c r="BQ690" s="20"/>
    </row>
    <row r="691" spans="1:70" ht="49.5">
      <c r="A691" s="102"/>
      <c r="B691" s="8"/>
      <c r="C691" s="102"/>
      <c r="D691" s="102"/>
      <c r="E691" s="102"/>
      <c r="F691" s="102"/>
      <c r="G691" s="102"/>
      <c r="H691" s="102"/>
      <c r="I691" s="6" t="s">
        <v>2042</v>
      </c>
      <c r="J691" s="8" t="s">
        <v>2043</v>
      </c>
      <c r="K691" s="104">
        <v>30</v>
      </c>
      <c r="L691" s="493">
        <v>260500000</v>
      </c>
      <c r="M691" s="104">
        <v>24</v>
      </c>
      <c r="N691" s="495">
        <v>95000000</v>
      </c>
      <c r="O691" s="238">
        <v>0</v>
      </c>
      <c r="P691" s="125">
        <v>0</v>
      </c>
      <c r="Q691" s="25">
        <v>0</v>
      </c>
      <c r="R691" s="25">
        <v>0</v>
      </c>
      <c r="S691" s="8"/>
      <c r="T691" s="501"/>
      <c r="U691" s="8"/>
      <c r="V691" s="8"/>
      <c r="W691" s="1647"/>
      <c r="X691" s="504"/>
      <c r="Y691" s="791">
        <f>Q691+S691+U691+W691</f>
        <v>0</v>
      </c>
      <c r="Z691" s="96">
        <f>R691+T691+V691+X691</f>
        <v>0</v>
      </c>
      <c r="AA691" s="788">
        <f t="shared" si="193"/>
        <v>24</v>
      </c>
      <c r="AB691" s="508">
        <f t="shared" ref="AB691:AB702" si="195">N691+Z691</f>
        <v>95000000</v>
      </c>
      <c r="AC691" s="827">
        <f t="shared" si="188"/>
        <v>80</v>
      </c>
      <c r="AD691" s="831">
        <f t="shared" si="189"/>
        <v>36.468330134357011</v>
      </c>
      <c r="AE691" s="102"/>
      <c r="AF691" s="977"/>
      <c r="AG691" s="201"/>
      <c r="AH691" s="201"/>
      <c r="AI691" s="201"/>
      <c r="AJ691" s="201"/>
      <c r="AK691" s="201"/>
      <c r="AL691" s="201"/>
      <c r="AM691" s="201"/>
      <c r="AN691" s="201"/>
      <c r="AO691" s="201"/>
      <c r="AP691" s="201"/>
      <c r="AQ691" s="201"/>
      <c r="AR691" s="201"/>
      <c r="AS691" s="201"/>
      <c r="AT691" s="201"/>
      <c r="AU691" s="201"/>
      <c r="AV691" s="201"/>
      <c r="AW691" s="201"/>
      <c r="AX691" s="201"/>
      <c r="AY691" s="201"/>
      <c r="AZ691" s="201"/>
      <c r="BA691" s="201"/>
      <c r="BB691" s="201"/>
      <c r="BC691" s="20"/>
      <c r="BD691" s="20"/>
      <c r="BE691" s="20"/>
      <c r="BF691" s="20"/>
      <c r="BG691" s="20"/>
      <c r="BH691" s="20"/>
      <c r="BI691" s="20"/>
      <c r="BJ691" s="20"/>
      <c r="BK691" s="20"/>
      <c r="BL691" s="20"/>
      <c r="BM691" s="20"/>
      <c r="BN691" s="20"/>
      <c r="BO691" s="20"/>
      <c r="BP691" s="20"/>
      <c r="BQ691" s="20"/>
    </row>
    <row r="692" spans="1:70" ht="99">
      <c r="A692" s="2558">
        <v>4</v>
      </c>
      <c r="B692" s="33"/>
      <c r="C692" s="989"/>
      <c r="D692" s="989"/>
      <c r="E692" s="989"/>
      <c r="F692" s="989"/>
      <c r="G692" s="989"/>
      <c r="H692" s="989"/>
      <c r="I692" s="46" t="s">
        <v>2044</v>
      </c>
      <c r="J692" s="46" t="s">
        <v>2822</v>
      </c>
      <c r="K692" s="149">
        <v>9</v>
      </c>
      <c r="L692" s="284">
        <f>SUM(L693:L696)</f>
        <v>8778171317</v>
      </c>
      <c r="M692" s="1655">
        <v>7.5</v>
      </c>
      <c r="N692" s="1175">
        <v>1413846905</v>
      </c>
      <c r="O692" s="1656">
        <v>0.5</v>
      </c>
      <c r="P692" s="1657">
        <f>SUM(P693:P696)</f>
        <v>419212000</v>
      </c>
      <c r="Q692" s="762">
        <v>0</v>
      </c>
      <c r="R692" s="159">
        <f>SUM(R693:R696)</f>
        <v>0</v>
      </c>
      <c r="S692" s="158"/>
      <c r="T692" s="1658">
        <f>SUM(T693:T696)</f>
        <v>66891150</v>
      </c>
      <c r="U692" s="33"/>
      <c r="V692" s="33"/>
      <c r="W692" s="33"/>
      <c r="X692" s="1645"/>
      <c r="Y692" s="1654"/>
      <c r="Z692" s="139">
        <f t="shared" ref="Z692" si="196">X692</f>
        <v>0</v>
      </c>
      <c r="AA692" s="139">
        <f t="shared" si="193"/>
        <v>7.5</v>
      </c>
      <c r="AB692" s="139">
        <f t="shared" si="195"/>
        <v>1413846905</v>
      </c>
      <c r="AC692" s="151">
        <f t="shared" si="188"/>
        <v>83.333333333333343</v>
      </c>
      <c r="AD692" s="1659">
        <f t="shared" si="189"/>
        <v>16.106394531876049</v>
      </c>
      <c r="AE692" s="2558" t="s">
        <v>96</v>
      </c>
      <c r="AF692" s="977"/>
      <c r="AG692" s="201"/>
      <c r="AH692" s="201"/>
      <c r="AI692" s="201"/>
      <c r="AJ692" s="201"/>
      <c r="AK692" s="201"/>
      <c r="AL692" s="201"/>
      <c r="AM692" s="201"/>
      <c r="AN692" s="201"/>
      <c r="AO692" s="201"/>
      <c r="AP692" s="201"/>
      <c r="AQ692" s="201"/>
      <c r="AR692" s="201"/>
      <c r="AS692" s="201"/>
      <c r="AT692" s="201"/>
      <c r="AU692" s="201"/>
      <c r="AV692" s="201"/>
      <c r="AW692" s="201"/>
      <c r="AX692" s="201"/>
      <c r="AY692" s="201"/>
      <c r="AZ692" s="201"/>
      <c r="BA692" s="201"/>
      <c r="BB692" s="201"/>
      <c r="BC692" s="20"/>
      <c r="BD692" s="20"/>
      <c r="BE692" s="20"/>
      <c r="BF692" s="20"/>
      <c r="BG692" s="20"/>
      <c r="BH692" s="20"/>
      <c r="BI692" s="20"/>
      <c r="BJ692" s="20"/>
      <c r="BK692" s="20"/>
      <c r="BL692" s="20"/>
      <c r="BM692" s="20"/>
      <c r="BN692" s="20"/>
      <c r="BO692" s="20"/>
      <c r="BP692" s="20"/>
      <c r="BQ692" s="20"/>
    </row>
    <row r="693" spans="1:70" ht="49.5">
      <c r="A693" s="102"/>
      <c r="B693" s="8"/>
      <c r="C693" s="102"/>
      <c r="D693" s="102"/>
      <c r="E693" s="102"/>
      <c r="F693" s="102"/>
      <c r="G693" s="102"/>
      <c r="H693" s="102"/>
      <c r="I693" s="313" t="s">
        <v>2045</v>
      </c>
      <c r="J693" s="8" t="s">
        <v>2046</v>
      </c>
      <c r="K693" s="104">
        <v>60</v>
      </c>
      <c r="L693" s="493">
        <v>8570504825</v>
      </c>
      <c r="M693" s="104">
        <v>32</v>
      </c>
      <c r="N693" s="495">
        <v>1391375906</v>
      </c>
      <c r="O693" s="104">
        <v>10</v>
      </c>
      <c r="P693" s="495">
        <v>363261700</v>
      </c>
      <c r="Q693" s="8"/>
      <c r="R693" s="504"/>
      <c r="S693" s="8">
        <v>3</v>
      </c>
      <c r="T693" s="496">
        <v>62240850</v>
      </c>
      <c r="U693" s="8"/>
      <c r="V693" s="25"/>
      <c r="W693" s="88"/>
      <c r="X693" s="24"/>
      <c r="Y693" s="791">
        <f t="shared" ref="Y693:Z696" si="197">Q693+S693+U693+W693</f>
        <v>3</v>
      </c>
      <c r="Z693" s="96">
        <f t="shared" si="197"/>
        <v>62240850</v>
      </c>
      <c r="AA693" s="788">
        <f t="shared" si="193"/>
        <v>35</v>
      </c>
      <c r="AB693" s="508">
        <f t="shared" si="195"/>
        <v>1453616756</v>
      </c>
      <c r="AC693" s="827">
        <f t="shared" si="188"/>
        <v>58.333333333333336</v>
      </c>
      <c r="AD693" s="1648">
        <f t="shared" si="189"/>
        <v>16.960690013963092</v>
      </c>
      <c r="AE693" s="102"/>
      <c r="AF693" s="984"/>
      <c r="AG693" s="750"/>
      <c r="AH693" s="750"/>
      <c r="AI693" s="750"/>
      <c r="AJ693" s="750"/>
      <c r="AK693" s="750"/>
      <c r="AL693" s="750"/>
      <c r="AM693" s="750"/>
      <c r="AN693" s="750"/>
      <c r="AO693" s="750"/>
      <c r="AP693" s="750"/>
      <c r="AQ693" s="750"/>
      <c r="AR693" s="750"/>
      <c r="AS693" s="750"/>
      <c r="AT693" s="750"/>
      <c r="AU693" s="750"/>
      <c r="AV693" s="750"/>
      <c r="AW693" s="750"/>
      <c r="AX693" s="750"/>
      <c r="AY693" s="750"/>
      <c r="AZ693" s="750"/>
      <c r="BA693" s="750"/>
      <c r="BB693" s="750"/>
      <c r="BC693" s="752"/>
      <c r="BD693" s="752"/>
      <c r="BE693" s="752"/>
      <c r="BF693" s="752"/>
      <c r="BG693" s="752"/>
      <c r="BH693" s="752"/>
      <c r="BI693" s="752"/>
      <c r="BJ693" s="752"/>
      <c r="BK693" s="752"/>
      <c r="BL693" s="752"/>
      <c r="BM693" s="752"/>
      <c r="BN693" s="752"/>
      <c r="BO693" s="752"/>
      <c r="BP693" s="752"/>
      <c r="BQ693" s="752"/>
    </row>
    <row r="694" spans="1:70" ht="49.5">
      <c r="A694" s="102"/>
      <c r="B694" s="8"/>
      <c r="C694" s="102"/>
      <c r="D694" s="102"/>
      <c r="E694" s="102"/>
      <c r="F694" s="102"/>
      <c r="G694" s="102"/>
      <c r="H694" s="102"/>
      <c r="I694" s="313" t="s">
        <v>2047</v>
      </c>
      <c r="J694" s="8" t="s">
        <v>2048</v>
      </c>
      <c r="K694" s="104">
        <v>54</v>
      </c>
      <c r="L694" s="493">
        <f>N694</f>
        <v>22470999</v>
      </c>
      <c r="M694" s="104">
        <v>54</v>
      </c>
      <c r="N694" s="495">
        <v>22470999</v>
      </c>
      <c r="O694" s="238">
        <v>0</v>
      </c>
      <c r="P694" s="125">
        <v>0</v>
      </c>
      <c r="Q694" s="8"/>
      <c r="R694" s="504"/>
      <c r="S694" s="9">
        <v>0</v>
      </c>
      <c r="T694" s="501">
        <v>0</v>
      </c>
      <c r="U694" s="8"/>
      <c r="V694" s="25"/>
      <c r="W694" s="88"/>
      <c r="X694" s="27"/>
      <c r="Y694" s="791">
        <f t="shared" si="197"/>
        <v>0</v>
      </c>
      <c r="Z694" s="96">
        <f t="shared" si="197"/>
        <v>0</v>
      </c>
      <c r="AA694" s="788">
        <f t="shared" si="193"/>
        <v>54</v>
      </c>
      <c r="AB694" s="508">
        <f t="shared" si="195"/>
        <v>22470999</v>
      </c>
      <c r="AC694" s="827">
        <f t="shared" si="188"/>
        <v>100</v>
      </c>
      <c r="AD694" s="1648">
        <f t="shared" si="189"/>
        <v>100</v>
      </c>
      <c r="AE694" s="102"/>
      <c r="AF694" s="750"/>
      <c r="AG694" s="750"/>
      <c r="AH694" s="750"/>
      <c r="AI694" s="750"/>
      <c r="AJ694" s="750"/>
      <c r="AK694" s="750"/>
      <c r="AL694" s="750"/>
      <c r="AM694" s="750"/>
      <c r="AN694" s="750"/>
      <c r="AO694" s="750"/>
      <c r="AP694" s="750"/>
      <c r="AQ694" s="750"/>
      <c r="AR694" s="750"/>
      <c r="AS694" s="750"/>
      <c r="AT694" s="750"/>
      <c r="AU694" s="750"/>
      <c r="AV694" s="750"/>
      <c r="AW694" s="750"/>
      <c r="AX694" s="750"/>
      <c r="AY694" s="750"/>
      <c r="AZ694" s="750"/>
      <c r="BA694" s="750"/>
      <c r="BB694" s="750"/>
      <c r="BC694" s="752"/>
      <c r="BD694" s="752"/>
      <c r="BE694" s="752"/>
      <c r="BF694" s="752"/>
      <c r="BG694" s="752"/>
      <c r="BH694" s="752"/>
      <c r="BI694" s="752"/>
      <c r="BJ694" s="752"/>
      <c r="BK694" s="752"/>
      <c r="BL694" s="752"/>
      <c r="BM694" s="752"/>
      <c r="BN694" s="752"/>
      <c r="BO694" s="752"/>
      <c r="BP694" s="752"/>
      <c r="BQ694" s="752"/>
    </row>
    <row r="695" spans="1:70" ht="99">
      <c r="A695" s="1119"/>
      <c r="B695" s="41"/>
      <c r="C695" s="1119"/>
      <c r="D695" s="1119"/>
      <c r="E695" s="1119"/>
      <c r="F695" s="1119"/>
      <c r="G695" s="1119"/>
      <c r="H695" s="1119"/>
      <c r="I695" s="45" t="s">
        <v>2049</v>
      </c>
      <c r="J695" s="45" t="s">
        <v>2820</v>
      </c>
      <c r="K695" s="506">
        <v>16</v>
      </c>
      <c r="L695" s="985">
        <v>102445493</v>
      </c>
      <c r="M695" s="238">
        <v>0</v>
      </c>
      <c r="N695" s="238">
        <v>0</v>
      </c>
      <c r="O695" s="91">
        <v>8</v>
      </c>
      <c r="P695" s="986">
        <v>30950300</v>
      </c>
      <c r="Q695" s="88"/>
      <c r="R695" s="1649"/>
      <c r="S695" s="88">
        <v>3</v>
      </c>
      <c r="T695" s="507">
        <v>4650300</v>
      </c>
      <c r="U695" s="88"/>
      <c r="V695" s="96"/>
      <c r="W695" s="88"/>
      <c r="X695" s="1649"/>
      <c r="Y695" s="791">
        <f t="shared" si="197"/>
        <v>3</v>
      </c>
      <c r="Z695" s="96">
        <f t="shared" si="197"/>
        <v>4650300</v>
      </c>
      <c r="AA695" s="788">
        <f t="shared" si="193"/>
        <v>3</v>
      </c>
      <c r="AB695" s="508">
        <f t="shared" si="195"/>
        <v>4650300</v>
      </c>
      <c r="AC695" s="827">
        <f t="shared" si="188"/>
        <v>18.75</v>
      </c>
      <c r="AD695" s="1648">
        <f t="shared" si="189"/>
        <v>4.539291933516294</v>
      </c>
      <c r="AE695" s="89"/>
      <c r="AF695" s="987"/>
      <c r="AG695" s="750"/>
      <c r="AH695" s="750"/>
      <c r="AI695" s="750"/>
      <c r="AJ695" s="750"/>
      <c r="AK695" s="750"/>
      <c r="AL695" s="750"/>
      <c r="AM695" s="750"/>
      <c r="AN695" s="750"/>
      <c r="AO695" s="750"/>
      <c r="AP695" s="750"/>
      <c r="AQ695" s="750"/>
      <c r="AR695" s="750"/>
      <c r="AS695" s="750"/>
      <c r="AT695" s="750"/>
      <c r="AU695" s="750"/>
      <c r="AV695" s="750"/>
      <c r="AW695" s="750"/>
      <c r="AX695" s="750"/>
      <c r="AY695" s="750"/>
      <c r="AZ695" s="750"/>
      <c r="BA695" s="750"/>
      <c r="BB695" s="750"/>
      <c r="BC695" s="752"/>
      <c r="BD695" s="752"/>
      <c r="BE695" s="752"/>
      <c r="BF695" s="752"/>
      <c r="BG695" s="752"/>
      <c r="BH695" s="752"/>
      <c r="BI695" s="752"/>
      <c r="BJ695" s="752"/>
      <c r="BK695" s="752"/>
      <c r="BL695" s="752"/>
      <c r="BM695" s="752"/>
      <c r="BN695" s="752"/>
      <c r="BO695" s="752"/>
      <c r="BP695" s="752"/>
      <c r="BQ695" s="752"/>
    </row>
    <row r="696" spans="1:70" ht="33">
      <c r="A696" s="102"/>
      <c r="B696" s="8"/>
      <c r="C696" s="102"/>
      <c r="D696" s="102"/>
      <c r="E696" s="102"/>
      <c r="F696" s="102"/>
      <c r="G696" s="102"/>
      <c r="H696" s="102"/>
      <c r="I696" s="313" t="s">
        <v>2050</v>
      </c>
      <c r="J696" s="8" t="s">
        <v>2821</v>
      </c>
      <c r="K696" s="104">
        <v>36</v>
      </c>
      <c r="L696" s="493">
        <v>82750000</v>
      </c>
      <c r="M696" s="104">
        <v>0</v>
      </c>
      <c r="N696" s="495">
        <v>0</v>
      </c>
      <c r="O696" s="104">
        <v>12</v>
      </c>
      <c r="P696" s="495">
        <v>25000000</v>
      </c>
      <c r="Q696" s="8">
        <v>3</v>
      </c>
      <c r="R696" s="504">
        <v>0</v>
      </c>
      <c r="S696" s="8"/>
      <c r="T696" s="496">
        <v>0</v>
      </c>
      <c r="U696" s="8"/>
      <c r="V696" s="25"/>
      <c r="W696" s="88"/>
      <c r="X696" s="27"/>
      <c r="Y696" s="791">
        <f t="shared" si="197"/>
        <v>3</v>
      </c>
      <c r="Z696" s="96">
        <f t="shared" si="197"/>
        <v>0</v>
      </c>
      <c r="AA696" s="788">
        <f t="shared" si="193"/>
        <v>3</v>
      </c>
      <c r="AB696" s="508">
        <f t="shared" si="195"/>
        <v>0</v>
      </c>
      <c r="AC696" s="827">
        <f t="shared" si="188"/>
        <v>8.3333333333333321</v>
      </c>
      <c r="AD696" s="1648">
        <f t="shared" si="189"/>
        <v>0</v>
      </c>
      <c r="AE696" s="102"/>
      <c r="AF696" s="984"/>
      <c r="AG696" s="750"/>
      <c r="AH696" s="750"/>
      <c r="AI696" s="750"/>
      <c r="AJ696" s="750"/>
      <c r="AK696" s="750"/>
      <c r="AL696" s="750"/>
      <c r="AM696" s="750"/>
      <c r="AN696" s="750"/>
      <c r="AO696" s="750"/>
      <c r="AP696" s="750"/>
      <c r="AQ696" s="750"/>
      <c r="AR696" s="750"/>
      <c r="AS696" s="750"/>
      <c r="AT696" s="750"/>
      <c r="AU696" s="750"/>
      <c r="AV696" s="750"/>
      <c r="AW696" s="750"/>
      <c r="AX696" s="750"/>
      <c r="AY696" s="750"/>
      <c r="AZ696" s="750"/>
      <c r="BA696" s="750"/>
      <c r="BB696" s="750"/>
      <c r="BC696" s="752"/>
      <c r="BD696" s="752"/>
      <c r="BE696" s="752"/>
      <c r="BF696" s="752"/>
      <c r="BG696" s="752"/>
      <c r="BH696" s="752"/>
      <c r="BI696" s="752"/>
      <c r="BJ696" s="752"/>
      <c r="BK696" s="752"/>
      <c r="BL696" s="752"/>
      <c r="BM696" s="752"/>
      <c r="BN696" s="752"/>
      <c r="BO696" s="752"/>
      <c r="BP696" s="752"/>
      <c r="BQ696" s="752"/>
    </row>
    <row r="697" spans="1:70" ht="66">
      <c r="A697" s="2558">
        <v>5</v>
      </c>
      <c r="B697" s="33"/>
      <c r="C697" s="989"/>
      <c r="D697" s="989"/>
      <c r="E697" s="989"/>
      <c r="F697" s="989"/>
      <c r="G697" s="989"/>
      <c r="H697" s="989"/>
      <c r="I697" s="142" t="s">
        <v>2051</v>
      </c>
      <c r="J697" s="46" t="s">
        <v>2823</v>
      </c>
      <c r="K697" s="146">
        <v>63</v>
      </c>
      <c r="L697" s="1660">
        <f>SUM(L698:L699)</f>
        <v>336322000</v>
      </c>
      <c r="M697" s="539">
        <v>61.41</v>
      </c>
      <c r="N697" s="1175">
        <v>320963350</v>
      </c>
      <c r="O697" s="149">
        <f>62.12</f>
        <v>62.12</v>
      </c>
      <c r="P697" s="1252">
        <f>SUM(P698:P699)</f>
        <v>152900000</v>
      </c>
      <c r="Q697" s="223">
        <f>Q698</f>
        <v>3</v>
      </c>
      <c r="R697" s="1645">
        <f>SUM(R698:R699)</f>
        <v>5000000</v>
      </c>
      <c r="S697" s="293"/>
      <c r="T697" s="1661">
        <f>SUM(T698:T699)</f>
        <v>22692400</v>
      </c>
      <c r="U697" s="33"/>
      <c r="V697" s="139"/>
      <c r="W697" s="33"/>
      <c r="X697" s="1645"/>
      <c r="Y697" s="1662">
        <f>Y698</f>
        <v>6</v>
      </c>
      <c r="Z697" s="139">
        <f>SUM(Z698:Z699)</f>
        <v>27692400</v>
      </c>
      <c r="AA697" s="144">
        <f t="shared" si="193"/>
        <v>67.41</v>
      </c>
      <c r="AB697" s="144">
        <f t="shared" si="195"/>
        <v>348655750</v>
      </c>
      <c r="AC697" s="825">
        <f t="shared" si="188"/>
        <v>106.99999999999999</v>
      </c>
      <c r="AD697" s="1659">
        <f t="shared" si="189"/>
        <v>103.66724448593907</v>
      </c>
      <c r="AE697" s="2558" t="s">
        <v>96</v>
      </c>
      <c r="AF697" s="984"/>
      <c r="AG697" s="750"/>
      <c r="AH697" s="750"/>
      <c r="AI697" s="750"/>
      <c r="AJ697" s="750"/>
      <c r="AK697" s="750"/>
      <c r="AL697" s="750"/>
      <c r="AM697" s="750"/>
      <c r="AN697" s="750"/>
      <c r="AO697" s="750"/>
      <c r="AP697" s="750"/>
      <c r="AQ697" s="750"/>
      <c r="AR697" s="750"/>
      <c r="AS697" s="750"/>
      <c r="AT697" s="750"/>
      <c r="AU697" s="750"/>
      <c r="AV697" s="750"/>
      <c r="AW697" s="750"/>
      <c r="AX697" s="750"/>
      <c r="AY697" s="750"/>
      <c r="AZ697" s="750"/>
      <c r="BA697" s="750"/>
      <c r="BB697" s="750"/>
      <c r="BC697" s="752"/>
      <c r="BD697" s="752"/>
      <c r="BE697" s="752"/>
      <c r="BF697" s="752"/>
      <c r="BG697" s="752"/>
      <c r="BH697" s="752"/>
      <c r="BI697" s="752"/>
      <c r="BJ697" s="752"/>
      <c r="BK697" s="752"/>
      <c r="BL697" s="752"/>
      <c r="BM697" s="752"/>
      <c r="BN697" s="752"/>
      <c r="BO697" s="752"/>
      <c r="BP697" s="752"/>
      <c r="BQ697" s="752"/>
    </row>
    <row r="698" spans="1:70" ht="49.5">
      <c r="A698" s="513"/>
      <c r="B698" s="235"/>
      <c r="C698" s="513"/>
      <c r="D698" s="513"/>
      <c r="E698" s="513"/>
      <c r="F698" s="513"/>
      <c r="G698" s="513"/>
      <c r="H698" s="513"/>
      <c r="I698" s="313" t="s">
        <v>2052</v>
      </c>
      <c r="J698" s="10" t="s">
        <v>2053</v>
      </c>
      <c r="K698" s="104">
        <v>72</v>
      </c>
      <c r="L698" s="493">
        <v>269286900</v>
      </c>
      <c r="M698" s="104">
        <v>36</v>
      </c>
      <c r="N698" s="495">
        <v>253928250</v>
      </c>
      <c r="O698" s="104">
        <v>12</v>
      </c>
      <c r="P698" s="495">
        <v>152900000</v>
      </c>
      <c r="Q698" s="8">
        <v>3</v>
      </c>
      <c r="R698" s="504">
        <v>5000000</v>
      </c>
      <c r="S698" s="8">
        <v>3</v>
      </c>
      <c r="T698" s="793">
        <v>22692400</v>
      </c>
      <c r="U698" s="8"/>
      <c r="V698" s="508"/>
      <c r="W698" s="88"/>
      <c r="X698" s="24"/>
      <c r="Y698" s="791">
        <f>Q698+S698+U698+W698</f>
        <v>6</v>
      </c>
      <c r="Z698" s="96">
        <f>R698+T698+V698+X698</f>
        <v>27692400</v>
      </c>
      <c r="AA698" s="788">
        <f t="shared" si="193"/>
        <v>42</v>
      </c>
      <c r="AB698" s="508">
        <f t="shared" si="195"/>
        <v>281620650</v>
      </c>
      <c r="AC698" s="1650">
        <f t="shared" si="188"/>
        <v>58.333333333333336</v>
      </c>
      <c r="AD698" s="1651">
        <f t="shared" si="189"/>
        <v>104.58015224654449</v>
      </c>
      <c r="AE698" s="102"/>
      <c r="AF698" s="750"/>
      <c r="AG698" s="750"/>
      <c r="AH698" s="750"/>
      <c r="AI698" s="750"/>
      <c r="AJ698" s="750"/>
      <c r="AK698" s="750"/>
      <c r="AL698" s="750"/>
      <c r="AM698" s="750"/>
      <c r="AN698" s="750"/>
      <c r="AO698" s="750"/>
      <c r="AP698" s="750"/>
      <c r="AQ698" s="750"/>
      <c r="AR698" s="750"/>
      <c r="AS698" s="750"/>
      <c r="AT698" s="750"/>
      <c r="AU698" s="750"/>
      <c r="AV698" s="750"/>
      <c r="AW698" s="750"/>
      <c r="AX698" s="750"/>
      <c r="AY698" s="750"/>
      <c r="AZ698" s="750"/>
      <c r="BA698" s="750"/>
      <c r="BB698" s="750"/>
      <c r="BC698" s="752"/>
      <c r="BD698" s="752"/>
      <c r="BE698" s="752"/>
      <c r="BF698" s="752"/>
      <c r="BG698" s="752"/>
      <c r="BH698" s="752"/>
      <c r="BI698" s="752"/>
      <c r="BJ698" s="752"/>
      <c r="BK698" s="752"/>
      <c r="BL698" s="752"/>
      <c r="BM698" s="752"/>
      <c r="BN698" s="752"/>
      <c r="BO698" s="752"/>
      <c r="BP698" s="752"/>
      <c r="BQ698" s="752"/>
    </row>
    <row r="699" spans="1:70" ht="33">
      <c r="A699" s="513"/>
      <c r="B699" s="235"/>
      <c r="C699" s="513"/>
      <c r="D699" s="513"/>
      <c r="E699" s="513"/>
      <c r="F699" s="513"/>
      <c r="G699" s="513"/>
      <c r="H699" s="513"/>
      <c r="I699" s="103" t="s">
        <v>2054</v>
      </c>
      <c r="J699" s="10" t="s">
        <v>2055</v>
      </c>
      <c r="K699" s="104">
        <v>1</v>
      </c>
      <c r="L699" s="493">
        <v>67035100</v>
      </c>
      <c r="M699" s="104">
        <v>1</v>
      </c>
      <c r="N699" s="495">
        <v>67035100</v>
      </c>
      <c r="O699" s="104">
        <v>0</v>
      </c>
      <c r="P699" s="495">
        <v>0</v>
      </c>
      <c r="Q699" s="504">
        <v>0</v>
      </c>
      <c r="R699" s="504">
        <v>0</v>
      </c>
      <c r="S699" s="8">
        <v>0</v>
      </c>
      <c r="T699" s="508">
        <v>0</v>
      </c>
      <c r="U699" s="8"/>
      <c r="V699" s="8"/>
      <c r="W699" s="1647"/>
      <c r="X699" s="504"/>
      <c r="Y699" s="791">
        <f>Q699+S699+U699+W699</f>
        <v>0</v>
      </c>
      <c r="Z699" s="96">
        <f>R699+T699+V699+X699</f>
        <v>0</v>
      </c>
      <c r="AA699" s="788">
        <f t="shared" si="193"/>
        <v>1</v>
      </c>
      <c r="AB699" s="508">
        <f t="shared" si="195"/>
        <v>67035100</v>
      </c>
      <c r="AC699" s="1650">
        <f t="shared" si="188"/>
        <v>100</v>
      </c>
      <c r="AD699" s="1651">
        <f t="shared" si="189"/>
        <v>100</v>
      </c>
      <c r="AE699" s="102"/>
      <c r="AF699" s="750"/>
      <c r="AG699" s="750"/>
      <c r="AH699" s="750"/>
      <c r="AI699" s="750"/>
      <c r="AJ699" s="750"/>
      <c r="AK699" s="750"/>
      <c r="AL699" s="750"/>
      <c r="AM699" s="750"/>
      <c r="AN699" s="750"/>
      <c r="AO699" s="750"/>
      <c r="AP699" s="750"/>
      <c r="AQ699" s="750"/>
      <c r="AR699" s="750"/>
      <c r="AS699" s="750"/>
      <c r="AT699" s="750"/>
      <c r="AU699" s="750"/>
      <c r="AV699" s="750"/>
      <c r="AW699" s="750"/>
      <c r="AX699" s="750"/>
      <c r="AY699" s="750"/>
      <c r="AZ699" s="750"/>
      <c r="BA699" s="750"/>
      <c r="BB699" s="750"/>
      <c r="BC699" s="752"/>
      <c r="BD699" s="752"/>
      <c r="BE699" s="752"/>
      <c r="BF699" s="752"/>
      <c r="BG699" s="752"/>
      <c r="BH699" s="752"/>
      <c r="BI699" s="752"/>
      <c r="BJ699" s="752"/>
      <c r="BK699" s="752"/>
      <c r="BL699" s="752"/>
      <c r="BM699" s="752"/>
      <c r="BN699" s="752"/>
      <c r="BO699" s="752"/>
      <c r="BP699" s="752"/>
      <c r="BQ699" s="752"/>
    </row>
    <row r="700" spans="1:70" ht="66">
      <c r="A700" s="2558">
        <v>6</v>
      </c>
      <c r="B700" s="33"/>
      <c r="C700" s="989"/>
      <c r="D700" s="989"/>
      <c r="E700" s="989"/>
      <c r="F700" s="989"/>
      <c r="G700" s="989"/>
      <c r="H700" s="989"/>
      <c r="I700" s="134" t="s">
        <v>2056</v>
      </c>
      <c r="J700" s="46" t="s">
        <v>2824</v>
      </c>
      <c r="K700" s="149">
        <v>2</v>
      </c>
      <c r="L700" s="1660">
        <f>SUM(L701:L702)</f>
        <v>462899685</v>
      </c>
      <c r="M700" s="135">
        <v>2</v>
      </c>
      <c r="N700" s="1175">
        <v>165915500</v>
      </c>
      <c r="O700" s="135">
        <v>0</v>
      </c>
      <c r="P700" s="1657">
        <f>SUM(P701:P702)</f>
        <v>43900000</v>
      </c>
      <c r="Q700" s="223">
        <v>0</v>
      </c>
      <c r="R700" s="1645">
        <f>SUM(R701:R702)</f>
        <v>1000000</v>
      </c>
      <c r="S700" s="33"/>
      <c r="T700" s="139">
        <f>SUM(T701)</f>
        <v>14581500</v>
      </c>
      <c r="U700" s="33"/>
      <c r="V700" s="139"/>
      <c r="W700" s="33"/>
      <c r="X700" s="1645"/>
      <c r="Y700" s="1662">
        <f>Q700+S700+U700+W700</f>
        <v>0</v>
      </c>
      <c r="Z700" s="139">
        <f>SUM(Z701:Z702)</f>
        <v>15581500</v>
      </c>
      <c r="AA700" s="531">
        <f t="shared" si="193"/>
        <v>2</v>
      </c>
      <c r="AB700" s="139">
        <f t="shared" si="195"/>
        <v>181497000</v>
      </c>
      <c r="AC700" s="1663">
        <f t="shared" si="188"/>
        <v>100</v>
      </c>
      <c r="AD700" s="1663">
        <f t="shared" si="189"/>
        <v>39.20871106231148</v>
      </c>
      <c r="AE700" s="2558" t="s">
        <v>96</v>
      </c>
      <c r="AF700" s="750"/>
      <c r="AG700" s="750"/>
      <c r="AH700" s="750"/>
      <c r="AI700" s="750"/>
      <c r="AJ700" s="750"/>
      <c r="AK700" s="750"/>
      <c r="AL700" s="750"/>
      <c r="AM700" s="750"/>
      <c r="AN700" s="750"/>
      <c r="AO700" s="750"/>
      <c r="AP700" s="750"/>
      <c r="AQ700" s="750"/>
      <c r="AR700" s="750"/>
      <c r="AS700" s="750"/>
      <c r="AT700" s="750"/>
      <c r="AU700" s="750"/>
      <c r="AV700" s="750"/>
      <c r="AW700" s="750"/>
      <c r="AX700" s="750"/>
      <c r="AY700" s="750"/>
      <c r="AZ700" s="750"/>
      <c r="BA700" s="750"/>
      <c r="BB700" s="750"/>
      <c r="BC700" s="752"/>
      <c r="BD700" s="752"/>
      <c r="BE700" s="752"/>
      <c r="BF700" s="752"/>
      <c r="BG700" s="752"/>
      <c r="BH700" s="752"/>
      <c r="BI700" s="752"/>
      <c r="BJ700" s="752"/>
      <c r="BK700" s="752"/>
      <c r="BL700" s="752"/>
      <c r="BM700" s="752"/>
      <c r="BN700" s="752"/>
      <c r="BO700" s="752"/>
      <c r="BP700" s="752"/>
      <c r="BQ700" s="752"/>
    </row>
    <row r="701" spans="1:70" ht="66">
      <c r="A701" s="513"/>
      <c r="B701" s="235"/>
      <c r="C701" s="513"/>
      <c r="D701" s="513"/>
      <c r="E701" s="513"/>
      <c r="F701" s="513"/>
      <c r="G701" s="513"/>
      <c r="H701" s="513"/>
      <c r="I701" s="313" t="s">
        <v>2057</v>
      </c>
      <c r="J701" s="407" t="s">
        <v>2058</v>
      </c>
      <c r="K701" s="104">
        <v>72</v>
      </c>
      <c r="L701" s="493">
        <v>416899685</v>
      </c>
      <c r="M701" s="104">
        <v>36</v>
      </c>
      <c r="N701" s="495">
        <v>119915500</v>
      </c>
      <c r="O701" s="104">
        <v>12</v>
      </c>
      <c r="P701" s="495">
        <v>43900000</v>
      </c>
      <c r="Q701" s="8">
        <v>3</v>
      </c>
      <c r="R701" s="504">
        <v>1000000</v>
      </c>
      <c r="S701" s="8">
        <v>3</v>
      </c>
      <c r="T701" s="793">
        <v>14581500</v>
      </c>
      <c r="U701" s="8"/>
      <c r="V701" s="508"/>
      <c r="W701" s="88"/>
      <c r="X701" s="24"/>
      <c r="Y701" s="791">
        <f>Q701+S701+U701+W701</f>
        <v>6</v>
      </c>
      <c r="Z701" s="96">
        <f>R701+T701+V701+X701</f>
        <v>15581500</v>
      </c>
      <c r="AA701" s="788">
        <f t="shared" si="193"/>
        <v>42</v>
      </c>
      <c r="AB701" s="508">
        <f t="shared" si="195"/>
        <v>135497000</v>
      </c>
      <c r="AC701" s="1652">
        <f t="shared" si="188"/>
        <v>58.333333333333336</v>
      </c>
      <c r="AD701" s="1653">
        <f t="shared" si="189"/>
        <v>32.501103952621122</v>
      </c>
      <c r="AE701" s="102"/>
      <c r="AF701" s="750"/>
      <c r="AG701" s="750"/>
      <c r="AH701" s="750"/>
      <c r="AI701" s="750"/>
      <c r="AJ701" s="750"/>
      <c r="AK701" s="750"/>
      <c r="AL701" s="750"/>
      <c r="AM701" s="750"/>
      <c r="AN701" s="750"/>
      <c r="AO701" s="750"/>
      <c r="AP701" s="750"/>
      <c r="AQ701" s="750"/>
      <c r="AR701" s="750"/>
      <c r="AS701" s="750"/>
      <c r="AT701" s="750"/>
      <c r="AU701" s="750"/>
      <c r="AV701" s="750"/>
      <c r="AW701" s="750"/>
      <c r="AX701" s="750"/>
      <c r="AY701" s="750"/>
      <c r="AZ701" s="750"/>
      <c r="BA701" s="750"/>
      <c r="BB701" s="750"/>
      <c r="BC701" s="752"/>
      <c r="BD701" s="752"/>
      <c r="BE701" s="752"/>
      <c r="BF701" s="752"/>
      <c r="BG701" s="752"/>
      <c r="BH701" s="752"/>
      <c r="BI701" s="752"/>
      <c r="BJ701" s="752"/>
      <c r="BK701" s="752"/>
      <c r="BL701" s="752"/>
      <c r="BM701" s="752"/>
      <c r="BN701" s="752"/>
      <c r="BO701" s="752"/>
      <c r="BP701" s="752"/>
      <c r="BQ701" s="752"/>
    </row>
    <row r="702" spans="1:70" ht="49.5">
      <c r="A702" s="513"/>
      <c r="B702" s="235"/>
      <c r="C702" s="513"/>
      <c r="D702" s="513"/>
      <c r="E702" s="513"/>
      <c r="F702" s="513"/>
      <c r="G702" s="513"/>
      <c r="H702" s="513"/>
      <c r="I702" s="313" t="s">
        <v>2059</v>
      </c>
      <c r="J702" s="407" t="s">
        <v>2060</v>
      </c>
      <c r="K702" s="104">
        <v>72</v>
      </c>
      <c r="L702" s="493">
        <v>46000000</v>
      </c>
      <c r="M702" s="104">
        <v>24</v>
      </c>
      <c r="N702" s="238">
        <v>46000000</v>
      </c>
      <c r="O702" s="238">
        <v>0</v>
      </c>
      <c r="P702" s="238">
        <v>0</v>
      </c>
      <c r="Q702" s="25">
        <v>0</v>
      </c>
      <c r="R702" s="25">
        <v>0</v>
      </c>
      <c r="S702" s="1664"/>
      <c r="T702" s="1664"/>
      <c r="U702" s="25"/>
      <c r="V702" s="25"/>
      <c r="W702" s="8"/>
      <c r="X702" s="504"/>
      <c r="Y702" s="791">
        <f>Q702+S702+U702+W702</f>
        <v>0</v>
      </c>
      <c r="Z702" s="96">
        <f>R702+T702+V702+X702</f>
        <v>0</v>
      </c>
      <c r="AA702" s="788">
        <f t="shared" si="193"/>
        <v>24</v>
      </c>
      <c r="AB702" s="508">
        <f t="shared" si="195"/>
        <v>46000000</v>
      </c>
      <c r="AC702" s="1652">
        <f t="shared" si="188"/>
        <v>33.333333333333329</v>
      </c>
      <c r="AD702" s="1653">
        <f t="shared" si="189"/>
        <v>100</v>
      </c>
      <c r="AE702" s="102"/>
      <c r="AF702" s="201"/>
      <c r="AG702" s="201"/>
      <c r="AH702" s="201"/>
      <c r="AI702" s="201"/>
      <c r="AJ702" s="201"/>
      <c r="AK702" s="201"/>
      <c r="AL702" s="201"/>
      <c r="AM702" s="201"/>
      <c r="AN702" s="201"/>
      <c r="AO702" s="201"/>
      <c r="AP702" s="201"/>
      <c r="AQ702" s="201"/>
      <c r="AR702" s="201"/>
      <c r="AS702" s="201"/>
      <c r="AT702" s="201"/>
      <c r="AU702" s="201"/>
      <c r="AV702" s="201"/>
      <c r="AW702" s="201"/>
      <c r="AX702" s="201"/>
      <c r="AY702" s="201"/>
      <c r="AZ702" s="201"/>
      <c r="BA702" s="201"/>
      <c r="BB702" s="201"/>
      <c r="BC702" s="20"/>
      <c r="BD702" s="20"/>
      <c r="BE702" s="20"/>
      <c r="BF702" s="20"/>
      <c r="BG702" s="20"/>
      <c r="BH702" s="20"/>
      <c r="BI702" s="20"/>
      <c r="BJ702" s="20"/>
      <c r="BK702" s="20"/>
      <c r="BL702" s="20"/>
      <c r="BM702" s="20"/>
      <c r="BN702" s="20"/>
      <c r="BO702" s="20"/>
      <c r="BP702" s="20"/>
      <c r="BQ702" s="20"/>
    </row>
    <row r="703" spans="1:70" s="1235" customFormat="1" ht="19.5" customHeight="1">
      <c r="A703" s="2750" t="s">
        <v>63</v>
      </c>
      <c r="B703" s="2751"/>
      <c r="C703" s="2751"/>
      <c r="D703" s="2751"/>
      <c r="E703" s="2751"/>
      <c r="F703" s="2751"/>
      <c r="G703" s="2751"/>
      <c r="H703" s="2751"/>
      <c r="I703" s="2751"/>
      <c r="J703" s="2751"/>
      <c r="K703" s="2751"/>
      <c r="L703" s="2751"/>
      <c r="M703" s="2751"/>
      <c r="N703" s="2751"/>
      <c r="O703" s="2751"/>
      <c r="P703" s="2751"/>
      <c r="Q703" s="2751"/>
      <c r="R703" s="2751"/>
      <c r="S703" s="2751"/>
      <c r="T703" s="2751"/>
      <c r="U703" s="2751"/>
      <c r="V703" s="2751"/>
      <c r="W703" s="2751"/>
      <c r="X703" s="2751"/>
      <c r="Y703" s="2751"/>
      <c r="Z703" s="2751"/>
      <c r="AA703" s="2751"/>
      <c r="AB703" s="2752"/>
      <c r="AC703" s="965">
        <f>(AC670+AC683+AC690+AC692+AC697+AC700)/6</f>
        <v>81.166666666666671</v>
      </c>
      <c r="AD703" s="965">
        <f>(AD670+AD683+AD690+AD692+AD697+AD700)/6</f>
        <v>52.605213354414467</v>
      </c>
      <c r="AE703" s="131"/>
      <c r="AF703" s="1636"/>
      <c r="AG703" s="861"/>
      <c r="AH703" s="861"/>
      <c r="AI703" s="861"/>
      <c r="AJ703" s="861"/>
      <c r="AK703" s="861"/>
      <c r="AL703" s="861"/>
      <c r="AM703" s="861"/>
      <c r="AN703" s="861"/>
      <c r="AO703" s="861"/>
      <c r="AP703" s="861"/>
      <c r="AQ703" s="861"/>
      <c r="AR703" s="861"/>
      <c r="AS703" s="861"/>
      <c r="AT703" s="861"/>
      <c r="AU703" s="861"/>
      <c r="AV703" s="861"/>
      <c r="AW703" s="861"/>
      <c r="AX703" s="861"/>
      <c r="AY703" s="861"/>
      <c r="AZ703" s="861"/>
      <c r="BA703" s="861"/>
      <c r="BB703" s="861"/>
      <c r="BC703" s="862"/>
      <c r="BD703" s="862"/>
      <c r="BE703" s="862"/>
      <c r="BF703" s="862"/>
      <c r="BG703" s="862"/>
      <c r="BH703" s="862"/>
      <c r="BI703" s="862"/>
      <c r="BJ703" s="862"/>
      <c r="BK703" s="862"/>
      <c r="BL703" s="862"/>
      <c r="BM703" s="862"/>
      <c r="BN703" s="862"/>
      <c r="BO703" s="862"/>
      <c r="BP703" s="862"/>
      <c r="BQ703" s="862"/>
      <c r="BR703" s="862"/>
    </row>
    <row r="704" spans="1:70" s="1235" customFormat="1" ht="20.25" customHeight="1">
      <c r="A704" s="2750" t="s">
        <v>64</v>
      </c>
      <c r="B704" s="2751"/>
      <c r="C704" s="2751"/>
      <c r="D704" s="2751"/>
      <c r="E704" s="2751"/>
      <c r="F704" s="2751"/>
      <c r="G704" s="2751"/>
      <c r="H704" s="2751"/>
      <c r="I704" s="2751"/>
      <c r="J704" s="2751"/>
      <c r="K704" s="2751"/>
      <c r="L704" s="2751"/>
      <c r="M704" s="2751"/>
      <c r="N704" s="2751"/>
      <c r="O704" s="2751"/>
      <c r="P704" s="2751"/>
      <c r="Q704" s="2751"/>
      <c r="R704" s="2751"/>
      <c r="S704" s="2751"/>
      <c r="T704" s="2751"/>
      <c r="U704" s="2751"/>
      <c r="V704" s="2751"/>
      <c r="W704" s="2751"/>
      <c r="X704" s="2751"/>
      <c r="Y704" s="2751"/>
      <c r="Z704" s="2751"/>
      <c r="AA704" s="2751"/>
      <c r="AB704" s="2752"/>
      <c r="AC704" s="604" t="str">
        <f>IF(AC703&gt;=91,"ST",IF(AC703&gt;=76,"T",IF(AC703&gt;=66,"S",IF(AC703&gt;=51,"R","SR"))))</f>
        <v>T</v>
      </c>
      <c r="AD704" s="604" t="str">
        <f>IF(AD703&gt;=91,"ST",IF(AD703&gt;=76,"T",IF(AD703&gt;=66,"S",IF(AD703&gt;=51,"R","SR"))))</f>
        <v>R</v>
      </c>
      <c r="AE704" s="131"/>
      <c r="AF704" s="861"/>
      <c r="AG704" s="861"/>
      <c r="AH704" s="861"/>
      <c r="AI704" s="861"/>
      <c r="AJ704" s="861"/>
      <c r="AK704" s="861"/>
      <c r="AL704" s="861"/>
      <c r="AM704" s="861"/>
      <c r="AN704" s="861"/>
      <c r="AO704" s="861"/>
      <c r="AP704" s="861"/>
      <c r="AQ704" s="861"/>
      <c r="AR704" s="861"/>
      <c r="AS704" s="861"/>
      <c r="AT704" s="861"/>
      <c r="AU704" s="861"/>
      <c r="AV704" s="861"/>
      <c r="AW704" s="861"/>
      <c r="AX704" s="861"/>
      <c r="AY704" s="861"/>
      <c r="AZ704" s="861"/>
      <c r="BA704" s="861"/>
      <c r="BB704" s="861"/>
      <c r="BC704" s="862"/>
      <c r="BD704" s="862"/>
      <c r="BE704" s="862"/>
      <c r="BF704" s="862"/>
      <c r="BG704" s="862"/>
      <c r="BH704" s="862"/>
      <c r="BI704" s="862"/>
      <c r="BJ704" s="862"/>
      <c r="BK704" s="862"/>
      <c r="BL704" s="862"/>
      <c r="BM704" s="862"/>
      <c r="BN704" s="862"/>
      <c r="BO704" s="862"/>
      <c r="BP704" s="862"/>
      <c r="BQ704" s="862"/>
      <c r="BR704" s="862"/>
    </row>
    <row r="705" spans="1:70" s="1315" customFormat="1" ht="34.5" customHeight="1">
      <c r="A705" s="863" t="s">
        <v>14</v>
      </c>
      <c r="B705" s="1618"/>
      <c r="C705" s="863"/>
      <c r="D705" s="863"/>
      <c r="E705" s="863"/>
      <c r="F705" s="863"/>
      <c r="G705" s="863"/>
      <c r="H705" s="863"/>
      <c r="I705" s="2746" t="s">
        <v>999</v>
      </c>
      <c r="J705" s="2747"/>
      <c r="K705" s="1665"/>
      <c r="L705" s="1285">
        <f>SUM(L706+L710+L716+L718)</f>
        <v>2705362523</v>
      </c>
      <c r="M705" s="1665"/>
      <c r="N705" s="1286">
        <f>N706+N710+N716+N718</f>
        <v>500304774</v>
      </c>
      <c r="O705" s="1666"/>
      <c r="P705" s="1517">
        <f>SUM(P706+P710+P716+P718)</f>
        <v>616405108</v>
      </c>
      <c r="Q705" s="1667"/>
      <c r="R705" s="1517">
        <f>R706+R710+R716+R718</f>
        <v>26483300</v>
      </c>
      <c r="S705" s="1618"/>
      <c r="T705" s="1619">
        <f>T706+T710+T716</f>
        <v>146167200</v>
      </c>
      <c r="U705" s="1618"/>
      <c r="V705" s="1668"/>
      <c r="W705" s="1618"/>
      <c r="X705" s="1669"/>
      <c r="Y705" s="1667"/>
      <c r="Z705" s="1517">
        <f>Z706+Z710+Z716+Z718</f>
        <v>172650500</v>
      </c>
      <c r="AA705" s="1665"/>
      <c r="AB705" s="1517">
        <f>AB706+AB710+AB716+AB718</f>
        <v>672955274</v>
      </c>
      <c r="AC705" s="1665"/>
      <c r="AD705" s="1665"/>
      <c r="AE705" s="1631"/>
      <c r="AF705" s="1347"/>
      <c r="AG705" s="1345"/>
      <c r="AH705" s="1345"/>
      <c r="AI705" s="1345"/>
      <c r="AJ705" s="1345"/>
      <c r="AK705" s="1345"/>
      <c r="AL705" s="1345"/>
      <c r="AM705" s="1345"/>
      <c r="AN705" s="1345"/>
      <c r="AO705" s="1345"/>
      <c r="AP705" s="1345"/>
      <c r="AQ705" s="1345"/>
      <c r="AR705" s="1345"/>
      <c r="AS705" s="1345"/>
      <c r="AT705" s="1345"/>
      <c r="AU705" s="1345"/>
      <c r="AV705" s="1345"/>
      <c r="AW705" s="1345"/>
      <c r="AX705" s="1345"/>
      <c r="AY705" s="1345"/>
      <c r="AZ705" s="1345"/>
      <c r="BA705" s="1345"/>
      <c r="BB705" s="1345"/>
      <c r="BC705" s="1346"/>
      <c r="BD705" s="1346"/>
      <c r="BE705" s="1346"/>
      <c r="BF705" s="1346"/>
      <c r="BG705" s="1346"/>
      <c r="BH705" s="1346"/>
      <c r="BI705" s="1346"/>
      <c r="BJ705" s="1346"/>
      <c r="BK705" s="1346"/>
      <c r="BL705" s="1346"/>
      <c r="BM705" s="1346"/>
      <c r="BN705" s="1346"/>
      <c r="BO705" s="1346"/>
      <c r="BP705" s="1346"/>
      <c r="BQ705" s="1346"/>
      <c r="BR705" s="1346"/>
    </row>
    <row r="706" spans="1:70" s="20" customFormat="1" ht="86.25" customHeight="1">
      <c r="A706" s="2558">
        <v>1</v>
      </c>
      <c r="B706" s="33"/>
      <c r="C706" s="989"/>
      <c r="D706" s="989"/>
      <c r="E706" s="989"/>
      <c r="F706" s="989"/>
      <c r="G706" s="989"/>
      <c r="H706" s="989"/>
      <c r="I706" s="163" t="s">
        <v>1000</v>
      </c>
      <c r="J706" s="33" t="s">
        <v>2825</v>
      </c>
      <c r="K706" s="230">
        <v>80</v>
      </c>
      <c r="L706" s="544">
        <f t="shared" ref="L706" si="198">SUM(L707:L709)</f>
        <v>389853741</v>
      </c>
      <c r="M706" s="230">
        <v>60</v>
      </c>
      <c r="N706" s="137">
        <f t="shared" ref="N706" si="199">SUM(N707:N709)</f>
        <v>163064617</v>
      </c>
      <c r="O706" s="230">
        <v>5</v>
      </c>
      <c r="P706" s="136">
        <f>SUM(P707:P709)</f>
        <v>164210200</v>
      </c>
      <c r="Q706" s="230">
        <f>R706/P706</f>
        <v>5.222604929535437E-2</v>
      </c>
      <c r="R706" s="137">
        <f>SUM(R707:R709)</f>
        <v>8576050</v>
      </c>
      <c r="S706" s="545"/>
      <c r="T706" s="160">
        <f>SUM(T707:T709)</f>
        <v>52088700</v>
      </c>
      <c r="U706" s="545"/>
      <c r="V706" s="160"/>
      <c r="W706" s="545"/>
      <c r="X706" s="545"/>
      <c r="Y706" s="162">
        <f t="shared" ref="Y706:Z714" si="200">Q706+S706+U706+W706</f>
        <v>5.222604929535437E-2</v>
      </c>
      <c r="Z706" s="136">
        <f t="shared" si="200"/>
        <v>60664750</v>
      </c>
      <c r="AA706" s="162">
        <f>Y706+M706</f>
        <v>60.052226049295356</v>
      </c>
      <c r="AB706" s="136">
        <f>Z706+N706</f>
        <v>223729367</v>
      </c>
      <c r="AC706" s="148">
        <f t="shared" ref="AC706:AC714" si="201">AA706/K706*100</f>
        <v>75.065282561619199</v>
      </c>
      <c r="AD706" s="148">
        <f t="shared" ref="AD706:AD712" si="202">(AB706/L706)*100</f>
        <v>57.388026193135858</v>
      </c>
      <c r="AE706" s="369" t="s">
        <v>4120</v>
      </c>
      <c r="AF706" s="1670"/>
      <c r="AG706" s="201"/>
      <c r="AH706" s="201"/>
      <c r="AI706" s="201"/>
      <c r="AJ706" s="201"/>
      <c r="AK706" s="201"/>
      <c r="AL706" s="201"/>
      <c r="AM706" s="201"/>
      <c r="AN706" s="201"/>
      <c r="AO706" s="201"/>
      <c r="AP706" s="201"/>
      <c r="AQ706" s="201"/>
      <c r="AR706" s="201"/>
      <c r="AS706" s="201"/>
      <c r="AT706" s="201"/>
      <c r="AU706" s="201"/>
      <c r="AV706" s="201"/>
      <c r="AW706" s="201"/>
      <c r="AX706" s="201"/>
      <c r="AY706" s="201"/>
      <c r="AZ706" s="201"/>
      <c r="BA706" s="201"/>
      <c r="BB706" s="201"/>
    </row>
    <row r="707" spans="1:70" s="1288" customFormat="1" ht="66">
      <c r="A707" s="130"/>
      <c r="B707" s="88"/>
      <c r="C707" s="89"/>
      <c r="D707" s="89"/>
      <c r="E707" s="89"/>
      <c r="F707" s="89"/>
      <c r="G707" s="89"/>
      <c r="H707" s="89"/>
      <c r="I707" s="88" t="s">
        <v>1001</v>
      </c>
      <c r="J707" s="124" t="s">
        <v>1002</v>
      </c>
      <c r="K707" s="100">
        <v>15</v>
      </c>
      <c r="L707" s="92">
        <f>3*P707</f>
        <v>86422800</v>
      </c>
      <c r="M707" s="100">
        <v>2</v>
      </c>
      <c r="N707" s="93">
        <v>61920970</v>
      </c>
      <c r="O707" s="91">
        <v>13</v>
      </c>
      <c r="P707" s="92">
        <f>28807500+100</f>
        <v>28807600</v>
      </c>
      <c r="Q707" s="100">
        <v>0</v>
      </c>
      <c r="R707" s="94">
        <v>847700</v>
      </c>
      <c r="S707" s="2661">
        <v>15</v>
      </c>
      <c r="T707" s="2661">
        <v>12222500</v>
      </c>
      <c r="U707" s="100"/>
      <c r="V707" s="92"/>
      <c r="W707" s="100"/>
      <c r="X707" s="101"/>
      <c r="Y707" s="97">
        <f t="shared" si="200"/>
        <v>15</v>
      </c>
      <c r="Z707" s="92">
        <f t="shared" si="200"/>
        <v>13070200</v>
      </c>
      <c r="AA707" s="97">
        <v>0</v>
      </c>
      <c r="AB707" s="92">
        <f t="shared" ref="AB707:AB712" si="203">Z707+N707</f>
        <v>74991170</v>
      </c>
      <c r="AC707" s="117">
        <f t="shared" si="201"/>
        <v>0</v>
      </c>
      <c r="AD707" s="117">
        <f t="shared" si="202"/>
        <v>86.772437366065432</v>
      </c>
      <c r="AE707" s="481"/>
      <c r="AF707" s="988"/>
      <c r="AG707" s="1287"/>
      <c r="AH707" s="1287"/>
      <c r="AI707" s="1287"/>
      <c r="AJ707" s="1287"/>
      <c r="AK707" s="1287"/>
      <c r="AL707" s="1287"/>
      <c r="AM707" s="1287"/>
      <c r="AN707" s="1287"/>
      <c r="AO707" s="1287"/>
      <c r="AP707" s="1287"/>
      <c r="AQ707" s="1287"/>
      <c r="AR707" s="1287"/>
      <c r="AS707" s="1287"/>
      <c r="AT707" s="1287"/>
      <c r="AU707" s="1287"/>
      <c r="AV707" s="1287"/>
      <c r="AW707" s="1287"/>
      <c r="AX707" s="1287"/>
      <c r="AY707" s="1287"/>
      <c r="AZ707" s="1287"/>
      <c r="BA707" s="1287"/>
      <c r="BB707" s="1287"/>
    </row>
    <row r="708" spans="1:70" s="1288" customFormat="1" ht="50.25" customHeight="1">
      <c r="A708" s="130"/>
      <c r="B708" s="88"/>
      <c r="C708" s="89"/>
      <c r="D708" s="89"/>
      <c r="E708" s="89"/>
      <c r="F708" s="89"/>
      <c r="G708" s="89"/>
      <c r="H708" s="89"/>
      <c r="I708" s="88" t="s">
        <v>1003</v>
      </c>
      <c r="J708" s="88" t="s">
        <v>2826</v>
      </c>
      <c r="K708" s="125">
        <v>100</v>
      </c>
      <c r="L708" s="92">
        <f>3*N708</f>
        <v>233770101</v>
      </c>
      <c r="M708" s="125">
        <v>29</v>
      </c>
      <c r="N708" s="93">
        <v>77923367</v>
      </c>
      <c r="O708" s="125">
        <v>8</v>
      </c>
      <c r="P708" s="92">
        <v>102059500</v>
      </c>
      <c r="Q708" s="125">
        <f>R708/P708</f>
        <v>6.5925758993528288E-2</v>
      </c>
      <c r="R708" s="94">
        <v>6728350</v>
      </c>
      <c r="S708" s="2662">
        <v>14.120131766144487</v>
      </c>
      <c r="T708" s="2663">
        <v>19214600</v>
      </c>
      <c r="U708" s="127"/>
      <c r="V708" s="92"/>
      <c r="W708" s="126"/>
      <c r="X708" s="101"/>
      <c r="Y708" s="128">
        <f t="shared" si="200"/>
        <v>14.186057525138015</v>
      </c>
      <c r="Z708" s="92">
        <f t="shared" si="200"/>
        <v>25942950</v>
      </c>
      <c r="AA708" s="125">
        <f t="shared" ref="AA708:AA714" si="204">Y708+M708</f>
        <v>43.186057525138011</v>
      </c>
      <c r="AB708" s="92">
        <f t="shared" si="203"/>
        <v>103866317</v>
      </c>
      <c r="AC708" s="117">
        <f t="shared" si="201"/>
        <v>43.186057525138011</v>
      </c>
      <c r="AD708" s="117">
        <f t="shared" si="202"/>
        <v>44.430967243325952</v>
      </c>
      <c r="AE708" s="481"/>
      <c r="AF708" s="988"/>
      <c r="AG708" s="1287"/>
      <c r="AH708" s="1287"/>
      <c r="AI708" s="1287"/>
      <c r="AJ708" s="1287"/>
      <c r="AK708" s="1287"/>
      <c r="AL708" s="1287"/>
      <c r="AM708" s="1287"/>
      <c r="AN708" s="1287"/>
      <c r="AO708" s="1287"/>
      <c r="AP708" s="1287"/>
      <c r="AQ708" s="1287"/>
      <c r="AR708" s="1287"/>
      <c r="AS708" s="1287"/>
      <c r="AT708" s="1287"/>
      <c r="AU708" s="1287"/>
      <c r="AV708" s="1287"/>
      <c r="AW708" s="1287"/>
      <c r="AX708" s="1287"/>
      <c r="AY708" s="1287"/>
      <c r="AZ708" s="1287"/>
      <c r="BA708" s="1287"/>
      <c r="BB708" s="1287"/>
    </row>
    <row r="709" spans="1:70" s="1288" customFormat="1" ht="75.75" customHeight="1">
      <c r="A709" s="130"/>
      <c r="B709" s="88"/>
      <c r="C709" s="89"/>
      <c r="D709" s="89"/>
      <c r="E709" s="89"/>
      <c r="F709" s="89"/>
      <c r="G709" s="89"/>
      <c r="H709" s="89"/>
      <c r="I709" s="88" t="s">
        <v>1004</v>
      </c>
      <c r="J709" s="88" t="s">
        <v>1005</v>
      </c>
      <c r="K709" s="100">
        <v>45</v>
      </c>
      <c r="L709" s="92">
        <f>3*N709</f>
        <v>69660840</v>
      </c>
      <c r="M709" s="100">
        <v>20</v>
      </c>
      <c r="N709" s="93">
        <v>23220280</v>
      </c>
      <c r="O709" s="100">
        <v>10</v>
      </c>
      <c r="P709" s="92">
        <v>33343100</v>
      </c>
      <c r="Q709" s="91">
        <v>0</v>
      </c>
      <c r="R709" s="94">
        <v>1000000</v>
      </c>
      <c r="S709" s="2664">
        <v>30</v>
      </c>
      <c r="T709" s="2663">
        <v>20651600</v>
      </c>
      <c r="U709" s="100"/>
      <c r="V709" s="92"/>
      <c r="W709" s="100"/>
      <c r="X709" s="101"/>
      <c r="Y709" s="117">
        <f t="shared" si="200"/>
        <v>30</v>
      </c>
      <c r="Z709" s="92">
        <f t="shared" si="200"/>
        <v>21651600</v>
      </c>
      <c r="AA709" s="117">
        <f t="shared" si="204"/>
        <v>50</v>
      </c>
      <c r="AB709" s="92">
        <f t="shared" si="203"/>
        <v>44871880</v>
      </c>
      <c r="AC709" s="117">
        <f t="shared" si="201"/>
        <v>111.11111111111111</v>
      </c>
      <c r="AD709" s="117">
        <f t="shared" si="202"/>
        <v>64.414784547530573</v>
      </c>
      <c r="AE709" s="481"/>
      <c r="AF709" s="988"/>
      <c r="AG709" s="1287"/>
      <c r="AH709" s="1287"/>
      <c r="AI709" s="1287"/>
      <c r="AJ709" s="1287"/>
      <c r="AK709" s="1287"/>
      <c r="AL709" s="1287"/>
      <c r="AM709" s="1287"/>
      <c r="AN709" s="1287"/>
      <c r="AO709" s="1287"/>
      <c r="AP709" s="1287"/>
      <c r="AQ709" s="1287"/>
      <c r="AR709" s="1287"/>
      <c r="AS709" s="1287"/>
      <c r="AT709" s="1287"/>
      <c r="AU709" s="1287"/>
      <c r="AV709" s="1287"/>
      <c r="AW709" s="1287"/>
      <c r="AX709" s="1287"/>
      <c r="AY709" s="1287"/>
      <c r="AZ709" s="1287"/>
      <c r="BA709" s="1287"/>
      <c r="BB709" s="1287"/>
    </row>
    <row r="710" spans="1:70" s="20" customFormat="1" ht="105.75" customHeight="1">
      <c r="A710" s="2558">
        <v>2</v>
      </c>
      <c r="B710" s="33"/>
      <c r="C710" s="989"/>
      <c r="D710" s="989"/>
      <c r="E710" s="989"/>
      <c r="F710" s="989"/>
      <c r="G710" s="989"/>
      <c r="H710" s="989"/>
      <c r="I710" s="629" t="s">
        <v>1006</v>
      </c>
      <c r="J710" s="33" t="s">
        <v>2827</v>
      </c>
      <c r="K710" s="230">
        <v>100</v>
      </c>
      <c r="L710" s="544">
        <f>SUM(L711:L715)</f>
        <v>1486481200</v>
      </c>
      <c r="M710" s="292">
        <v>16.670000000000002</v>
      </c>
      <c r="N710" s="143">
        <f t="shared" ref="N710" si="205">SUM(N711:N712)</f>
        <v>91428500</v>
      </c>
      <c r="O710" s="292">
        <f>33.33-M710</f>
        <v>16.659999999999997</v>
      </c>
      <c r="P710" s="136">
        <f>SUM(P711:P715)</f>
        <v>310111709</v>
      </c>
      <c r="Q710" s="292">
        <v>7.0699999999999999E-2</v>
      </c>
      <c r="R710" s="136">
        <f>SUM(R711:R712)</f>
        <v>6462150</v>
      </c>
      <c r="S710" s="2665">
        <v>30</v>
      </c>
      <c r="T710" s="2665">
        <f>SUM(T711:T715)</f>
        <v>22099350</v>
      </c>
      <c r="U710" s="545"/>
      <c r="V710" s="160"/>
      <c r="W710" s="545"/>
      <c r="X710" s="545"/>
      <c r="Y710" s="820">
        <f t="shared" si="200"/>
        <v>30.070699999999999</v>
      </c>
      <c r="Z710" s="136">
        <f t="shared" si="200"/>
        <v>28561500</v>
      </c>
      <c r="AA710" s="820">
        <f t="shared" si="204"/>
        <v>46.740700000000004</v>
      </c>
      <c r="AB710" s="136">
        <f t="shared" si="203"/>
        <v>119990000</v>
      </c>
      <c r="AC710" s="148">
        <f t="shared" si="201"/>
        <v>46.740700000000004</v>
      </c>
      <c r="AD710" s="148">
        <f t="shared" si="202"/>
        <v>8.0720832527178938</v>
      </c>
      <c r="AE710" s="369" t="s">
        <v>4120</v>
      </c>
      <c r="AF710" s="1671"/>
      <c r="AG710" s="201"/>
      <c r="AH710" s="201"/>
      <c r="AI710" s="201"/>
      <c r="AJ710" s="201"/>
      <c r="AK710" s="201"/>
      <c r="AL710" s="201"/>
      <c r="AM710" s="201"/>
      <c r="AN710" s="201"/>
      <c r="AO710" s="201"/>
      <c r="AP710" s="201"/>
      <c r="AQ710" s="201"/>
      <c r="AR710" s="201"/>
      <c r="AS710" s="201"/>
      <c r="AT710" s="201"/>
      <c r="AU710" s="201"/>
      <c r="AV710" s="201"/>
      <c r="AW710" s="201"/>
      <c r="AX710" s="201"/>
      <c r="AY710" s="201"/>
      <c r="AZ710" s="201"/>
      <c r="BA710" s="201"/>
      <c r="BB710" s="201"/>
    </row>
    <row r="711" spans="1:70" s="1288" customFormat="1" ht="84" customHeight="1">
      <c r="A711" s="130"/>
      <c r="B711" s="88"/>
      <c r="C711" s="89"/>
      <c r="D711" s="89"/>
      <c r="E711" s="89"/>
      <c r="F711" s="89"/>
      <c r="G711" s="89"/>
      <c r="H711" s="89"/>
      <c r="I711" s="114" t="s">
        <v>1007</v>
      </c>
      <c r="J711" s="88" t="s">
        <v>2833</v>
      </c>
      <c r="K711" s="100">
        <v>72</v>
      </c>
      <c r="L711" s="92">
        <v>275000000</v>
      </c>
      <c r="M711" s="91">
        <v>36</v>
      </c>
      <c r="N711" s="129">
        <v>60803500</v>
      </c>
      <c r="O711" s="91">
        <v>12</v>
      </c>
      <c r="P711" s="92">
        <v>107310000</v>
      </c>
      <c r="Q711" s="91">
        <v>3</v>
      </c>
      <c r="R711" s="94">
        <v>4689450</v>
      </c>
      <c r="S711" s="100">
        <v>3</v>
      </c>
      <c r="T711" s="125">
        <v>5719900</v>
      </c>
      <c r="U711" s="100"/>
      <c r="V711" s="92"/>
      <c r="W711" s="100"/>
      <c r="X711" s="101"/>
      <c r="Y711" s="117">
        <f t="shared" si="200"/>
        <v>6</v>
      </c>
      <c r="Z711" s="92">
        <f t="shared" si="200"/>
        <v>10409350</v>
      </c>
      <c r="AA711" s="117">
        <f t="shared" si="204"/>
        <v>42</v>
      </c>
      <c r="AB711" s="92">
        <f t="shared" si="203"/>
        <v>71212850</v>
      </c>
      <c r="AC711" s="117">
        <f t="shared" si="201"/>
        <v>58.333333333333336</v>
      </c>
      <c r="AD711" s="117">
        <f t="shared" si="202"/>
        <v>25.895581818181817</v>
      </c>
      <c r="AE711" s="481"/>
      <c r="AF711" s="988"/>
      <c r="AG711" s="1287"/>
      <c r="AH711" s="1287"/>
      <c r="AI711" s="1287"/>
      <c r="AJ711" s="1287"/>
      <c r="AK711" s="1287"/>
      <c r="AL711" s="1287"/>
      <c r="AM711" s="1287"/>
      <c r="AN711" s="1287"/>
      <c r="AO711" s="1287"/>
      <c r="AP711" s="1287"/>
      <c r="AQ711" s="1287"/>
      <c r="AR711" s="1287"/>
      <c r="AS711" s="1287"/>
      <c r="AT711" s="1287"/>
      <c r="AU711" s="1287"/>
      <c r="AV711" s="1287"/>
      <c r="AW711" s="1287"/>
      <c r="AX711" s="1287"/>
      <c r="AY711" s="1287"/>
      <c r="AZ711" s="1287"/>
      <c r="BA711" s="1287"/>
      <c r="BB711" s="1287"/>
    </row>
    <row r="712" spans="1:70" s="1288" customFormat="1" ht="42.75" customHeight="1">
      <c r="A712" s="130"/>
      <c r="B712" s="88"/>
      <c r="C712" s="89"/>
      <c r="D712" s="89"/>
      <c r="E712" s="89"/>
      <c r="F712" s="89"/>
      <c r="G712" s="89"/>
      <c r="H712" s="89"/>
      <c r="I712" s="88" t="s">
        <v>1008</v>
      </c>
      <c r="J712" s="124" t="s">
        <v>1009</v>
      </c>
      <c r="K712" s="100">
        <v>4</v>
      </c>
      <c r="L712" s="92">
        <v>192500000</v>
      </c>
      <c r="M712" s="94">
        <v>1</v>
      </c>
      <c r="N712" s="92">
        <v>30625000</v>
      </c>
      <c r="O712" s="100">
        <v>1</v>
      </c>
      <c r="P712" s="92">
        <v>32971509</v>
      </c>
      <c r="Q712" s="91">
        <v>0</v>
      </c>
      <c r="R712" s="94">
        <v>1772700</v>
      </c>
      <c r="S712" s="100"/>
      <c r="T712" s="125">
        <v>8679450</v>
      </c>
      <c r="U712" s="100"/>
      <c r="V712" s="92"/>
      <c r="W712" s="100"/>
      <c r="X712" s="101"/>
      <c r="Y712" s="117">
        <f t="shared" si="200"/>
        <v>0</v>
      </c>
      <c r="Z712" s="92">
        <f t="shared" si="200"/>
        <v>10452150</v>
      </c>
      <c r="AA712" s="117">
        <f t="shared" si="204"/>
        <v>1</v>
      </c>
      <c r="AB712" s="92">
        <f t="shared" si="203"/>
        <v>41077150</v>
      </c>
      <c r="AC712" s="117">
        <f t="shared" si="201"/>
        <v>25</v>
      </c>
      <c r="AD712" s="117">
        <f t="shared" si="202"/>
        <v>21.338779220779223</v>
      </c>
      <c r="AE712" s="481"/>
      <c r="AF712" s="988"/>
      <c r="AG712" s="1287"/>
      <c r="AH712" s="1287"/>
      <c r="AI712" s="1287"/>
      <c r="AJ712" s="1287"/>
      <c r="AK712" s="1287"/>
      <c r="AL712" s="1287"/>
      <c r="AM712" s="1287"/>
      <c r="AN712" s="1287"/>
      <c r="AO712" s="1287"/>
      <c r="AP712" s="1287"/>
      <c r="AQ712" s="1287"/>
      <c r="AR712" s="1287"/>
      <c r="AS712" s="1287"/>
      <c r="AT712" s="1287"/>
      <c r="AU712" s="1287"/>
      <c r="AV712" s="1287"/>
      <c r="AW712" s="1287"/>
      <c r="AX712" s="1287"/>
      <c r="AY712" s="1287"/>
      <c r="AZ712" s="1287"/>
      <c r="BA712" s="1287"/>
      <c r="BB712" s="1287"/>
    </row>
    <row r="713" spans="1:70" s="1288" customFormat="1" ht="57.75" customHeight="1">
      <c r="A713" s="130"/>
      <c r="B713" s="88"/>
      <c r="C713" s="89"/>
      <c r="D713" s="89"/>
      <c r="E713" s="89"/>
      <c r="F713" s="89"/>
      <c r="G713" s="89"/>
      <c r="H713" s="89"/>
      <c r="I713" s="88" t="s">
        <v>1015</v>
      </c>
      <c r="J713" s="124" t="s">
        <v>2828</v>
      </c>
      <c r="K713" s="100">
        <v>72</v>
      </c>
      <c r="L713" s="92">
        <f>P713*6</f>
        <v>323445600</v>
      </c>
      <c r="M713" s="94">
        <v>36</v>
      </c>
      <c r="N713" s="92">
        <f>P713*3</f>
        <v>161722800</v>
      </c>
      <c r="O713" s="100">
        <v>12</v>
      </c>
      <c r="P713" s="92">
        <v>53907600</v>
      </c>
      <c r="Q713" s="91">
        <v>3</v>
      </c>
      <c r="R713" s="125">
        <v>1425000</v>
      </c>
      <c r="S713" s="100">
        <v>2</v>
      </c>
      <c r="T713" s="125">
        <v>4950000</v>
      </c>
      <c r="U713" s="100"/>
      <c r="V713" s="92"/>
      <c r="W713" s="100"/>
      <c r="X713" s="101"/>
      <c r="Y713" s="117">
        <f t="shared" si="200"/>
        <v>5</v>
      </c>
      <c r="Z713" s="92">
        <f t="shared" si="200"/>
        <v>6375000</v>
      </c>
      <c r="AA713" s="117">
        <f t="shared" si="204"/>
        <v>41</v>
      </c>
      <c r="AB713" s="92"/>
      <c r="AC713" s="117">
        <f t="shared" si="201"/>
        <v>56.944444444444443</v>
      </c>
      <c r="AD713" s="117"/>
      <c r="AE713" s="481"/>
      <c r="AF713" s="988"/>
      <c r="AG713" s="1287"/>
      <c r="AH713" s="1287"/>
      <c r="AI713" s="1287"/>
      <c r="AJ713" s="1287"/>
      <c r="AK713" s="1287"/>
      <c r="AL713" s="1287"/>
      <c r="AM713" s="1287"/>
      <c r="AN713" s="1287"/>
      <c r="AO713" s="1287"/>
      <c r="AP713" s="1287"/>
      <c r="AQ713" s="1287"/>
      <c r="AR713" s="1287"/>
      <c r="AS713" s="1287"/>
      <c r="AT713" s="1287"/>
      <c r="AU713" s="1287"/>
      <c r="AV713" s="1287"/>
      <c r="AW713" s="1287"/>
      <c r="AX713" s="1287"/>
      <c r="AY713" s="1287"/>
      <c r="AZ713" s="1287"/>
      <c r="BA713" s="1287"/>
      <c r="BB713" s="1287"/>
    </row>
    <row r="714" spans="1:70" s="1288" customFormat="1" ht="68.25" customHeight="1">
      <c r="A714" s="130"/>
      <c r="B714" s="88"/>
      <c r="C714" s="89"/>
      <c r="D714" s="89"/>
      <c r="E714" s="89"/>
      <c r="F714" s="89"/>
      <c r="G714" s="89"/>
      <c r="H714" s="89"/>
      <c r="I714" s="88" t="s">
        <v>1016</v>
      </c>
      <c r="J714" s="124" t="s">
        <v>2829</v>
      </c>
      <c r="K714" s="100">
        <v>72</v>
      </c>
      <c r="L714" s="92">
        <f>P714*6</f>
        <v>365385600</v>
      </c>
      <c r="M714" s="94">
        <v>36</v>
      </c>
      <c r="N714" s="92">
        <f>P714*3</f>
        <v>182692800</v>
      </c>
      <c r="O714" s="100">
        <v>12</v>
      </c>
      <c r="P714" s="92">
        <v>60897600</v>
      </c>
      <c r="Q714" s="91">
        <v>3</v>
      </c>
      <c r="R714" s="125">
        <v>1750000</v>
      </c>
      <c r="S714" s="100">
        <v>2</v>
      </c>
      <c r="T714" s="125">
        <v>2250000</v>
      </c>
      <c r="U714" s="100"/>
      <c r="V714" s="92"/>
      <c r="W714" s="100"/>
      <c r="X714" s="101"/>
      <c r="Y714" s="117">
        <f t="shared" si="200"/>
        <v>5</v>
      </c>
      <c r="Z714" s="92">
        <f t="shared" ref="Z714:Z719" si="206">R714+T714+V714+X714</f>
        <v>4000000</v>
      </c>
      <c r="AA714" s="117">
        <f t="shared" si="204"/>
        <v>41</v>
      </c>
      <c r="AB714" s="92"/>
      <c r="AC714" s="117">
        <f t="shared" si="201"/>
        <v>56.944444444444443</v>
      </c>
      <c r="AD714" s="117"/>
      <c r="AE714" s="481"/>
      <c r="AF714" s="988"/>
      <c r="AG714" s="1287"/>
      <c r="AH714" s="1287"/>
      <c r="AI714" s="1287"/>
      <c r="AJ714" s="1287"/>
      <c r="AK714" s="1287"/>
      <c r="AL714" s="1287"/>
      <c r="AM714" s="1287"/>
      <c r="AN714" s="1287"/>
      <c r="AO714" s="1287"/>
      <c r="AP714" s="1287"/>
      <c r="AQ714" s="1287"/>
      <c r="AR714" s="1287"/>
      <c r="AS714" s="1287"/>
      <c r="AT714" s="1287"/>
      <c r="AU714" s="1287"/>
      <c r="AV714" s="1287"/>
      <c r="AW714" s="1287"/>
      <c r="AX714" s="1287"/>
      <c r="AY714" s="1287"/>
      <c r="AZ714" s="1287"/>
      <c r="BA714" s="1287"/>
      <c r="BB714" s="1287"/>
    </row>
    <row r="715" spans="1:70" s="1288" customFormat="1" ht="68.25" customHeight="1">
      <c r="A715" s="130"/>
      <c r="B715" s="88"/>
      <c r="C715" s="89"/>
      <c r="D715" s="89"/>
      <c r="E715" s="89"/>
      <c r="F715" s="89"/>
      <c r="G715" s="89"/>
      <c r="H715" s="89"/>
      <c r="I715" s="88" t="s">
        <v>1017</v>
      </c>
      <c r="J715" s="124" t="s">
        <v>2830</v>
      </c>
      <c r="K715" s="100">
        <v>72</v>
      </c>
      <c r="L715" s="92">
        <f>P715*6</f>
        <v>330150000</v>
      </c>
      <c r="M715" s="94">
        <v>36</v>
      </c>
      <c r="N715" s="92">
        <f>P715*3</f>
        <v>165075000</v>
      </c>
      <c r="O715" s="100">
        <v>12</v>
      </c>
      <c r="P715" s="92">
        <v>55025000</v>
      </c>
      <c r="Q715" s="91">
        <v>2</v>
      </c>
      <c r="R715" s="125">
        <v>1450000</v>
      </c>
      <c r="S715" s="100"/>
      <c r="T715" s="125">
        <v>500000</v>
      </c>
      <c r="U715" s="100"/>
      <c r="V715" s="92"/>
      <c r="W715" s="100"/>
      <c r="X715" s="101"/>
      <c r="Y715" s="117"/>
      <c r="Z715" s="92">
        <f t="shared" si="206"/>
        <v>1950000</v>
      </c>
      <c r="AA715" s="117"/>
      <c r="AB715" s="92"/>
      <c r="AC715" s="117"/>
      <c r="AD715" s="117"/>
      <c r="AE715" s="481"/>
      <c r="AF715" s="988"/>
      <c r="AG715" s="1287"/>
      <c r="AH715" s="1287"/>
      <c r="AI715" s="1287"/>
      <c r="AJ715" s="1287"/>
      <c r="AK715" s="1287"/>
      <c r="AL715" s="1287"/>
      <c r="AM715" s="1287"/>
      <c r="AN715" s="1287"/>
      <c r="AO715" s="1287"/>
      <c r="AP715" s="1287"/>
      <c r="AQ715" s="1287"/>
      <c r="AR715" s="1287"/>
      <c r="AS715" s="1287"/>
      <c r="AT715" s="1287"/>
      <c r="AU715" s="1287"/>
      <c r="AV715" s="1287"/>
      <c r="AW715" s="1287"/>
      <c r="AX715" s="1287"/>
      <c r="AY715" s="1287"/>
      <c r="AZ715" s="1287"/>
      <c r="BA715" s="1287"/>
      <c r="BB715" s="1287"/>
    </row>
    <row r="716" spans="1:70" s="20" customFormat="1" ht="83.25" customHeight="1">
      <c r="A716" s="2558">
        <v>3</v>
      </c>
      <c r="B716" s="33"/>
      <c r="C716" s="989"/>
      <c r="D716" s="989"/>
      <c r="E716" s="989"/>
      <c r="F716" s="989"/>
      <c r="G716" s="989"/>
      <c r="H716" s="989"/>
      <c r="I716" s="629" t="s">
        <v>2831</v>
      </c>
      <c r="J716" s="33" t="s">
        <v>2832</v>
      </c>
      <c r="K716" s="545">
        <v>15</v>
      </c>
      <c r="L716" s="136">
        <v>250000000</v>
      </c>
      <c r="M716" s="135">
        <v>10</v>
      </c>
      <c r="N716" s="143">
        <v>149307060</v>
      </c>
      <c r="O716" s="135">
        <v>2</v>
      </c>
      <c r="P716" s="136">
        <f>SUM(P717)</f>
        <v>109915000</v>
      </c>
      <c r="Q716" s="135">
        <v>0</v>
      </c>
      <c r="R716" s="222">
        <v>11445100</v>
      </c>
      <c r="S716" s="545"/>
      <c r="T716" s="160">
        <f>SUM(T717)</f>
        <v>71979150</v>
      </c>
      <c r="U716" s="545"/>
      <c r="V716" s="160"/>
      <c r="W716" s="545"/>
      <c r="X716" s="160"/>
      <c r="Y716" s="148">
        <f>Q716+S716+U716+W716</f>
        <v>0</v>
      </c>
      <c r="Z716" s="136">
        <f t="shared" si="206"/>
        <v>83424250</v>
      </c>
      <c r="AA716" s="148">
        <f>M716-O716</f>
        <v>8</v>
      </c>
      <c r="AB716" s="136">
        <f>Z716+N716</f>
        <v>232731310</v>
      </c>
      <c r="AC716" s="148">
        <f>AA716/K716*100</f>
        <v>53.333333333333336</v>
      </c>
      <c r="AD716" s="148">
        <f>(AB716/L716)*100</f>
        <v>93.092523999999997</v>
      </c>
      <c r="AE716" s="369" t="s">
        <v>4120</v>
      </c>
      <c r="AF716" s="1671"/>
      <c r="AG716" s="201"/>
      <c r="AH716" s="201"/>
      <c r="AI716" s="201"/>
      <c r="AJ716" s="201"/>
      <c r="AK716" s="201"/>
      <c r="AL716" s="201"/>
      <c r="AM716" s="201"/>
      <c r="AN716" s="201"/>
      <c r="AO716" s="201"/>
      <c r="AP716" s="201"/>
      <c r="AQ716" s="201"/>
      <c r="AR716" s="201"/>
      <c r="AS716" s="201"/>
      <c r="AT716" s="201"/>
      <c r="AU716" s="201"/>
      <c r="AV716" s="201"/>
      <c r="AW716" s="201"/>
      <c r="AX716" s="201"/>
      <c r="AY716" s="201"/>
      <c r="AZ716" s="201"/>
      <c r="BA716" s="201"/>
      <c r="BB716" s="201"/>
    </row>
    <row r="717" spans="1:70" s="1288" customFormat="1" ht="68.25" customHeight="1">
      <c r="A717" s="130"/>
      <c r="B717" s="88"/>
      <c r="C717" s="89"/>
      <c r="D717" s="89"/>
      <c r="E717" s="89"/>
      <c r="F717" s="89"/>
      <c r="G717" s="89"/>
      <c r="H717" s="89"/>
      <c r="I717" s="88" t="s">
        <v>1011</v>
      </c>
      <c r="J717" s="88" t="s">
        <v>1010</v>
      </c>
      <c r="K717" s="100">
        <v>15</v>
      </c>
      <c r="L717" s="92">
        <v>250000000</v>
      </c>
      <c r="M717" s="91">
        <v>3</v>
      </c>
      <c r="N717" s="93">
        <v>71779492</v>
      </c>
      <c r="O717" s="91">
        <v>3</v>
      </c>
      <c r="P717" s="92">
        <v>109915000</v>
      </c>
      <c r="Q717" s="91">
        <v>0</v>
      </c>
      <c r="R717" s="94">
        <v>5156250</v>
      </c>
      <c r="S717" s="100">
        <v>3</v>
      </c>
      <c r="T717" s="125">
        <v>71979150</v>
      </c>
      <c r="U717" s="100"/>
      <c r="V717" s="92"/>
      <c r="W717" s="100"/>
      <c r="X717" s="100"/>
      <c r="Y717" s="117">
        <f>Q717+S717+U717+W717</f>
        <v>3</v>
      </c>
      <c r="Z717" s="92">
        <f t="shared" si="206"/>
        <v>77135400</v>
      </c>
      <c r="AA717" s="117">
        <f>Y717+M717</f>
        <v>6</v>
      </c>
      <c r="AB717" s="92">
        <f>Z717+N717</f>
        <v>148914892</v>
      </c>
      <c r="AC717" s="117">
        <f>AA717/K717*100</f>
        <v>40</v>
      </c>
      <c r="AD717" s="117">
        <f>(AB717/L717)*100</f>
        <v>59.565956799999995</v>
      </c>
      <c r="AE717" s="481"/>
      <c r="AF717" s="988"/>
      <c r="AG717" s="1287"/>
      <c r="AH717" s="1287"/>
      <c r="AI717" s="1287"/>
      <c r="AJ717" s="1287"/>
      <c r="AK717" s="1287"/>
      <c r="AL717" s="1287"/>
      <c r="AM717" s="1287"/>
      <c r="AN717" s="1287"/>
      <c r="AO717" s="1287"/>
      <c r="AP717" s="1287"/>
      <c r="AQ717" s="1287"/>
      <c r="AR717" s="1287"/>
      <c r="AS717" s="1287"/>
      <c r="AT717" s="1287"/>
      <c r="AU717" s="1287"/>
      <c r="AV717" s="1287"/>
      <c r="AW717" s="1287"/>
      <c r="AX717" s="1287"/>
      <c r="AY717" s="1287"/>
      <c r="AZ717" s="1287"/>
      <c r="BA717" s="1287"/>
      <c r="BB717" s="1287"/>
    </row>
    <row r="718" spans="1:70" s="1288" customFormat="1" ht="99">
      <c r="A718" s="132">
        <v>4</v>
      </c>
      <c r="B718" s="33"/>
      <c r="C718" s="161"/>
      <c r="D718" s="161"/>
      <c r="E718" s="161"/>
      <c r="F718" s="161"/>
      <c r="G718" s="161"/>
      <c r="H718" s="161"/>
      <c r="I718" s="2659" t="s">
        <v>4127</v>
      </c>
      <c r="J718" s="33" t="s">
        <v>2834</v>
      </c>
      <c r="K718" s="230">
        <v>100</v>
      </c>
      <c r="L718" s="136">
        <f>SUM(L719:L719)</f>
        <v>579027582</v>
      </c>
      <c r="M718" s="230">
        <v>75</v>
      </c>
      <c r="N718" s="137">
        <f>SUM(N719:N719)</f>
        <v>96504597</v>
      </c>
      <c r="O718" s="230">
        <v>15</v>
      </c>
      <c r="P718" s="136">
        <f>SUM(P719:P719)</f>
        <v>32168199</v>
      </c>
      <c r="Q718" s="230">
        <v>0</v>
      </c>
      <c r="R718" s="137">
        <f>SUM(R719:R719)</f>
        <v>0</v>
      </c>
      <c r="S718" s="538"/>
      <c r="T718" s="137"/>
      <c r="U718" s="538"/>
      <c r="V718" s="137"/>
      <c r="W718" s="538"/>
      <c r="X718" s="538"/>
      <c r="Y718" s="162">
        <f>Q718+S718+U718+W718</f>
        <v>0</v>
      </c>
      <c r="Z718" s="136">
        <f t="shared" si="206"/>
        <v>0</v>
      </c>
      <c r="AA718" s="162">
        <f>Y718+M718</f>
        <v>75</v>
      </c>
      <c r="AB718" s="136">
        <f>Z718+N718</f>
        <v>96504597</v>
      </c>
      <c r="AC718" s="148">
        <f>AA718/K718*100</f>
        <v>75</v>
      </c>
      <c r="AD718" s="148">
        <f>(AB718/L718)*100</f>
        <v>16.666666666666664</v>
      </c>
      <c r="AE718" s="369" t="s">
        <v>4120</v>
      </c>
      <c r="AF718" s="988"/>
      <c r="AG718" s="1287"/>
      <c r="AH718" s="1287"/>
      <c r="AI718" s="1287"/>
      <c r="AJ718" s="1287"/>
      <c r="AK718" s="1287"/>
      <c r="AL718" s="1287"/>
      <c r="AM718" s="1287"/>
      <c r="AN718" s="1287"/>
      <c r="AO718" s="1287"/>
      <c r="AP718" s="1287"/>
      <c r="AQ718" s="1287"/>
      <c r="AR718" s="1287"/>
      <c r="AS718" s="1287"/>
      <c r="AT718" s="1287"/>
      <c r="AU718" s="1287"/>
      <c r="AV718" s="1287"/>
      <c r="AW718" s="1287"/>
      <c r="AX718" s="1287"/>
      <c r="AY718" s="1287"/>
      <c r="AZ718" s="1287"/>
      <c r="BA718" s="1287"/>
      <c r="BB718" s="1287"/>
    </row>
    <row r="719" spans="1:70" ht="33">
      <c r="A719" s="89"/>
      <c r="B719" s="88"/>
      <c r="C719" s="89"/>
      <c r="D719" s="89"/>
      <c r="E719" s="89"/>
      <c r="F719" s="89"/>
      <c r="G719" s="89"/>
      <c r="H719" s="89"/>
      <c r="I719" s="88" t="s">
        <v>1018</v>
      </c>
      <c r="J719" s="88" t="s">
        <v>2835</v>
      </c>
      <c r="K719" s="100">
        <v>12</v>
      </c>
      <c r="L719" s="92">
        <f>N719*6</f>
        <v>579027582</v>
      </c>
      <c r="M719" s="100">
        <v>2</v>
      </c>
      <c r="N719" s="94">
        <f>P719*3</f>
        <v>96504597</v>
      </c>
      <c r="O719" s="100">
        <v>1</v>
      </c>
      <c r="P719" s="92">
        <v>32168199</v>
      </c>
      <c r="Q719" s="91">
        <v>0</v>
      </c>
      <c r="R719" s="94">
        <v>0</v>
      </c>
      <c r="S719" s="100"/>
      <c r="T719" s="92"/>
      <c r="U719" s="100"/>
      <c r="V719" s="92"/>
      <c r="W719" s="100"/>
      <c r="X719" s="101"/>
      <c r="Y719" s="117">
        <f>Q719+S719+U719+W719</f>
        <v>0</v>
      </c>
      <c r="Z719" s="92">
        <f t="shared" si="206"/>
        <v>0</v>
      </c>
      <c r="AA719" s="117">
        <f>Y719+M719</f>
        <v>2</v>
      </c>
      <c r="AB719" s="92">
        <f>Z719+N719</f>
        <v>96504597</v>
      </c>
      <c r="AC719" s="117">
        <f>AA719/K719*100</f>
        <v>16.666666666666664</v>
      </c>
      <c r="AD719" s="117">
        <f>(AB719/L719)*100</f>
        <v>16.666666666666664</v>
      </c>
      <c r="AE719" s="481"/>
      <c r="AF719" s="750"/>
    </row>
    <row r="720" spans="1:70" ht="21" customHeight="1">
      <c r="A720" s="2717" t="s">
        <v>64</v>
      </c>
      <c r="B720" s="2717"/>
      <c r="C720" s="2780"/>
      <c r="D720" s="2780"/>
      <c r="E720" s="2780"/>
      <c r="F720" s="2780"/>
      <c r="G720" s="2780"/>
      <c r="H720" s="2780"/>
      <c r="I720" s="2780"/>
      <c r="J720" s="2780"/>
      <c r="K720" s="2780"/>
      <c r="L720" s="2780"/>
      <c r="M720" s="2780"/>
      <c r="N720" s="2780"/>
      <c r="O720" s="2780"/>
      <c r="P720" s="2780"/>
      <c r="Q720" s="2780"/>
      <c r="R720" s="2780"/>
      <c r="S720" s="2780"/>
      <c r="T720" s="2780"/>
      <c r="U720" s="2780"/>
      <c r="V720" s="2780"/>
      <c r="W720" s="2780"/>
      <c r="X720" s="2780"/>
      <c r="Y720" s="2780"/>
      <c r="Z720" s="2780"/>
      <c r="AA720" s="2780"/>
      <c r="AB720" s="2780"/>
      <c r="AC720" s="905">
        <f>(AC706+AC710+AC716+AC718)/4</f>
        <v>62.534828973738136</v>
      </c>
      <c r="AD720" s="905">
        <f>(AD706+AD710+AD716+AD718)/4</f>
        <v>43.804825028130104</v>
      </c>
      <c r="AE720" s="745"/>
      <c r="AF720" s="750"/>
    </row>
    <row r="721" spans="1:69" ht="19.5" customHeight="1">
      <c r="A721" s="2717" t="s">
        <v>63</v>
      </c>
      <c r="B721" s="2717"/>
      <c r="C721" s="2780"/>
      <c r="D721" s="2780"/>
      <c r="E721" s="2780"/>
      <c r="F721" s="2780"/>
      <c r="G721" s="2780"/>
      <c r="H721" s="2780"/>
      <c r="I721" s="2780"/>
      <c r="J721" s="2780"/>
      <c r="K721" s="2780"/>
      <c r="L721" s="2780"/>
      <c r="M721" s="2780"/>
      <c r="N721" s="2780"/>
      <c r="O721" s="2780"/>
      <c r="P721" s="2780"/>
      <c r="Q721" s="2780"/>
      <c r="R721" s="2780"/>
      <c r="S721" s="2780"/>
      <c r="T721" s="2780"/>
      <c r="U721" s="2780"/>
      <c r="V721" s="2780"/>
      <c r="W721" s="2780"/>
      <c r="X721" s="2780"/>
      <c r="Y721" s="2780"/>
      <c r="Z721" s="2780"/>
      <c r="AA721" s="2780"/>
      <c r="AB721" s="2780"/>
      <c r="AC721" s="524" t="str">
        <f>IF(AC720&gt;=91,"ST",IF(AC720&gt;=76,"T",IF(AC720&gt;=66,"S",IF(AC720&gt;=51,"R","SR"))))</f>
        <v>R</v>
      </c>
      <c r="AD721" s="524" t="str">
        <f>IF(AD720&gt;=91,"ST",IF(AD720&gt;=76,"T",IF(AD720&gt;=66,"S",IF(AD720&gt;=51,"R","SR"))))</f>
        <v>SR</v>
      </c>
      <c r="AE721" s="745"/>
      <c r="AF721" s="750"/>
      <c r="AG721" s="750"/>
      <c r="AH721" s="750"/>
      <c r="AI721" s="750"/>
      <c r="AJ721" s="750"/>
      <c r="AK721" s="750"/>
      <c r="AL721" s="750"/>
      <c r="AM721" s="750"/>
      <c r="AN721" s="750"/>
      <c r="AO721" s="750"/>
      <c r="AP721" s="750"/>
      <c r="AQ721" s="750"/>
      <c r="AR721" s="750"/>
      <c r="AS721" s="750"/>
      <c r="AT721" s="750"/>
      <c r="AU721" s="750"/>
      <c r="AV721" s="750"/>
      <c r="AW721" s="750"/>
      <c r="AX721" s="750"/>
      <c r="AY721" s="750"/>
      <c r="AZ721" s="750"/>
      <c r="BA721" s="750"/>
      <c r="BB721" s="750"/>
      <c r="BC721" s="752"/>
      <c r="BD721" s="752"/>
      <c r="BE721" s="752"/>
      <c r="BF721" s="752"/>
      <c r="BG721" s="752"/>
      <c r="BH721" s="752"/>
      <c r="BI721" s="752"/>
      <c r="BJ721" s="752"/>
      <c r="BK721" s="752"/>
      <c r="BL721" s="752"/>
      <c r="BM721" s="752"/>
      <c r="BN721" s="752"/>
      <c r="BO721" s="752"/>
      <c r="BP721" s="752"/>
      <c r="BQ721" s="752"/>
    </row>
    <row r="722" spans="1:69" ht="26.25" customHeight="1">
      <c r="A722" s="863" t="s">
        <v>15</v>
      </c>
      <c r="B722" s="1618"/>
      <c r="C722" s="863"/>
      <c r="D722" s="863"/>
      <c r="E722" s="863"/>
      <c r="F722" s="863"/>
      <c r="G722" s="863"/>
      <c r="H722" s="863"/>
      <c r="I722" s="1618" t="s">
        <v>100</v>
      </c>
      <c r="J722" s="1618"/>
      <c r="K722" s="1665"/>
      <c r="L722" s="1672">
        <f>L723+L735+L741+L757</f>
        <v>9774151040</v>
      </c>
      <c r="M722" s="1665"/>
      <c r="N722" s="1286">
        <f>N723+N735+N741+N757</f>
        <v>3718420784</v>
      </c>
      <c r="O722" s="1665"/>
      <c r="P722" s="1286">
        <f>P723+P735+P741+P757</f>
        <v>2350139503</v>
      </c>
      <c r="Q722" s="1665"/>
      <c r="R722" s="1320">
        <f>R723+R735+R741+R757</f>
        <v>231913451</v>
      </c>
      <c r="S722" s="1618"/>
      <c r="T722" s="1320">
        <f>T723+T735+T741+T757</f>
        <v>663904793</v>
      </c>
      <c r="U722" s="1618"/>
      <c r="V722" s="1320">
        <f>V723+V735+V741+V757</f>
        <v>0</v>
      </c>
      <c r="W722" s="1618"/>
      <c r="X722" s="1320">
        <f>X723+X735+X741+X757</f>
        <v>0</v>
      </c>
      <c r="Y722" s="1673"/>
      <c r="Z722" s="1674">
        <f>Z723+Z735+Z741+Z757</f>
        <v>895818244</v>
      </c>
      <c r="AA722" s="1673"/>
      <c r="AB722" s="1674">
        <f>AB723+AB735+AB741+AB757</f>
        <v>4614239028</v>
      </c>
      <c r="AC722" s="1673"/>
      <c r="AD722" s="1673"/>
      <c r="AE722" s="1631"/>
      <c r="AF722" s="861"/>
      <c r="AG722" s="861"/>
      <c r="AH722" s="861"/>
      <c r="AI722" s="861"/>
      <c r="AJ722" s="861"/>
      <c r="AK722" s="861"/>
      <c r="AL722" s="861"/>
      <c r="AM722" s="861"/>
      <c r="AN722" s="861"/>
      <c r="AO722" s="861"/>
      <c r="AP722" s="861"/>
      <c r="AQ722" s="861"/>
      <c r="AR722" s="861"/>
      <c r="AS722" s="861"/>
      <c r="AT722" s="861"/>
      <c r="AU722" s="861"/>
      <c r="AV722" s="861"/>
      <c r="AW722" s="861"/>
      <c r="AX722" s="861"/>
      <c r="AY722" s="861"/>
      <c r="AZ722" s="861"/>
      <c r="BA722" s="861"/>
      <c r="BB722" s="861"/>
      <c r="BC722" s="862"/>
      <c r="BD722" s="862"/>
      <c r="BE722" s="862"/>
      <c r="BF722" s="862"/>
      <c r="BG722" s="862"/>
      <c r="BH722" s="862"/>
      <c r="BI722" s="862"/>
      <c r="BJ722" s="862"/>
      <c r="BK722" s="862"/>
      <c r="BL722" s="862"/>
      <c r="BM722" s="862"/>
      <c r="BN722" s="862"/>
      <c r="BO722" s="862"/>
      <c r="BP722" s="862"/>
      <c r="BQ722" s="862"/>
    </row>
    <row r="723" spans="1:69" s="1288" customFormat="1" ht="82.5">
      <c r="A723" s="2558">
        <v>1</v>
      </c>
      <c r="B723" s="40"/>
      <c r="C723" s="303">
        <v>1</v>
      </c>
      <c r="D723" s="303" t="s">
        <v>28</v>
      </c>
      <c r="E723" s="303" t="s">
        <v>39</v>
      </c>
      <c r="F723" s="303" t="s">
        <v>25</v>
      </c>
      <c r="G723" s="303" t="s">
        <v>25</v>
      </c>
      <c r="H723" s="161"/>
      <c r="I723" s="33" t="s">
        <v>26</v>
      </c>
      <c r="J723" s="33" t="s">
        <v>2836</v>
      </c>
      <c r="K723" s="538">
        <v>72</v>
      </c>
      <c r="L723" s="230">
        <f>SUM(L724:L733)</f>
        <v>720000000</v>
      </c>
      <c r="M723" s="538">
        <v>36</v>
      </c>
      <c r="N723" s="230">
        <f>SUM(N724:N733)</f>
        <v>451143502</v>
      </c>
      <c r="O723" s="230">
        <v>12</v>
      </c>
      <c r="P723" s="230">
        <f>SUM(P724:P734)</f>
        <v>488961876</v>
      </c>
      <c r="Q723" s="538">
        <v>3</v>
      </c>
      <c r="R723" s="230">
        <f>SUM(R724:R734)</f>
        <v>87246527</v>
      </c>
      <c r="S723" s="33">
        <v>3</v>
      </c>
      <c r="T723" s="144">
        <f>SUM(T724:T734)</f>
        <v>113262052</v>
      </c>
      <c r="U723" s="33">
        <v>0</v>
      </c>
      <c r="V723" s="144">
        <f>SUM(V724:V733)</f>
        <v>0</v>
      </c>
      <c r="W723" s="33">
        <v>0</v>
      </c>
      <c r="X723" s="144">
        <f>SUM(X724:X733)</f>
        <v>0</v>
      </c>
      <c r="Y723" s="538">
        <f t="shared" ref="Y723:Y733" si="207">Q723+S723+U723+W723</f>
        <v>6</v>
      </c>
      <c r="Z723" s="223">
        <f t="shared" ref="Z723:Z733" si="208">R723+T723+V723+X723</f>
        <v>200508579</v>
      </c>
      <c r="AA723" s="538">
        <f>Y723+M723</f>
        <v>42</v>
      </c>
      <c r="AB723" s="223">
        <f t="shared" ref="AB723:AB736" si="209">N723+Z723</f>
        <v>651652081</v>
      </c>
      <c r="AC723" s="148">
        <v>25</v>
      </c>
      <c r="AD723" s="148">
        <f t="shared" ref="AD723:AD736" si="210">AB723/L723*100</f>
        <v>90.507233472222225</v>
      </c>
      <c r="AE723" s="480" t="s">
        <v>101</v>
      </c>
      <c r="AF723" s="861"/>
      <c r="AG723" s="861"/>
      <c r="AH723" s="861"/>
      <c r="AI723" s="861"/>
      <c r="AJ723" s="861"/>
      <c r="AK723" s="861"/>
      <c r="AL723" s="861"/>
      <c r="AM723" s="861"/>
      <c r="AN723" s="861"/>
      <c r="AO723" s="861"/>
      <c r="AP723" s="861"/>
      <c r="AQ723" s="861"/>
      <c r="AR723" s="861"/>
      <c r="AS723" s="861"/>
      <c r="AT723" s="861"/>
      <c r="AU723" s="861"/>
      <c r="AV723" s="861"/>
      <c r="AW723" s="861"/>
      <c r="AX723" s="861"/>
      <c r="AY723" s="861"/>
      <c r="AZ723" s="861"/>
      <c r="BA723" s="861"/>
      <c r="BB723" s="861"/>
      <c r="BC723" s="862"/>
      <c r="BD723" s="862"/>
      <c r="BE723" s="862"/>
      <c r="BF723" s="862"/>
      <c r="BG723" s="862"/>
      <c r="BH723" s="862"/>
      <c r="BI723" s="862"/>
      <c r="BJ723" s="862"/>
      <c r="BK723" s="862"/>
      <c r="BL723" s="862"/>
      <c r="BM723" s="862"/>
      <c r="BN723" s="862"/>
      <c r="BO723" s="862"/>
      <c r="BP723" s="862"/>
      <c r="BQ723" s="862"/>
    </row>
    <row r="724" spans="1:69" s="1288" customFormat="1" ht="82.5">
      <c r="A724" s="102"/>
      <c r="B724" s="10"/>
      <c r="C724" s="628" t="s">
        <v>41</v>
      </c>
      <c r="D724" s="628" t="s">
        <v>28</v>
      </c>
      <c r="E724" s="628" t="s">
        <v>39</v>
      </c>
      <c r="F724" s="628" t="s">
        <v>25</v>
      </c>
      <c r="G724" s="628" t="s">
        <v>25</v>
      </c>
      <c r="H724" s="628" t="s">
        <v>28</v>
      </c>
      <c r="I724" s="10" t="s">
        <v>613</v>
      </c>
      <c r="J724" s="8" t="s">
        <v>1021</v>
      </c>
      <c r="K724" s="107">
        <v>72</v>
      </c>
      <c r="L724" s="238">
        <v>90000000</v>
      </c>
      <c r="M724" s="107">
        <v>36</v>
      </c>
      <c r="N724" s="238">
        <v>58509350</v>
      </c>
      <c r="O724" s="107">
        <v>12</v>
      </c>
      <c r="P724" s="238">
        <v>49920000</v>
      </c>
      <c r="Q724" s="107">
        <v>3</v>
      </c>
      <c r="R724" s="632">
        <v>10750327</v>
      </c>
      <c r="S724" s="88">
        <v>3</v>
      </c>
      <c r="T724" s="202">
        <v>12540002</v>
      </c>
      <c r="U724" s="8">
        <v>0</v>
      </c>
      <c r="V724" s="25">
        <v>0</v>
      </c>
      <c r="W724" s="8">
        <v>0</v>
      </c>
      <c r="X724" s="25">
        <v>0</v>
      </c>
      <c r="Y724" s="107">
        <f t="shared" si="207"/>
        <v>6</v>
      </c>
      <c r="Z724" s="514">
        <f t="shared" si="208"/>
        <v>23290329</v>
      </c>
      <c r="AA724" s="107">
        <f t="shared" ref="AA724:AA733" si="211">M724+Y724</f>
        <v>42</v>
      </c>
      <c r="AB724" s="514">
        <f t="shared" si="209"/>
        <v>81799679</v>
      </c>
      <c r="AC724" s="499">
        <f t="shared" ref="AC724:AC736" si="212">AA724/K724*100</f>
        <v>58.333333333333336</v>
      </c>
      <c r="AD724" s="499">
        <f t="shared" si="210"/>
        <v>90.888532222222224</v>
      </c>
      <c r="AE724" s="481"/>
      <c r="AF724" s="861"/>
      <c r="AG724" s="861"/>
      <c r="AH724" s="861"/>
      <c r="AI724" s="861"/>
      <c r="AJ724" s="861"/>
      <c r="AK724" s="861"/>
      <c r="AL724" s="861"/>
      <c r="AM724" s="861"/>
      <c r="AN724" s="861"/>
      <c r="AO724" s="861"/>
      <c r="AP724" s="861"/>
      <c r="AQ724" s="861"/>
      <c r="AR724" s="861"/>
      <c r="AS724" s="861"/>
      <c r="AT724" s="861"/>
      <c r="AU724" s="861"/>
      <c r="AV724" s="861"/>
      <c r="AW724" s="861"/>
      <c r="AX724" s="861"/>
      <c r="AY724" s="861"/>
      <c r="AZ724" s="861"/>
      <c r="BA724" s="861"/>
      <c r="BB724" s="861"/>
      <c r="BC724" s="862"/>
      <c r="BD724" s="862"/>
      <c r="BE724" s="862"/>
      <c r="BF724" s="862"/>
      <c r="BG724" s="862"/>
      <c r="BH724" s="862"/>
      <c r="BI724" s="862"/>
      <c r="BJ724" s="862"/>
      <c r="BK724" s="862"/>
      <c r="BL724" s="862"/>
      <c r="BM724" s="862"/>
      <c r="BN724" s="862"/>
      <c r="BO724" s="862"/>
      <c r="BP724" s="862"/>
      <c r="BQ724" s="862"/>
    </row>
    <row r="725" spans="1:69" s="1288" customFormat="1" ht="99">
      <c r="A725" s="102"/>
      <c r="B725" s="10"/>
      <c r="C725" s="628" t="s">
        <v>41</v>
      </c>
      <c r="D725" s="628" t="s">
        <v>28</v>
      </c>
      <c r="E725" s="628" t="s">
        <v>39</v>
      </c>
      <c r="F725" s="628" t="s">
        <v>25</v>
      </c>
      <c r="G725" s="628" t="s">
        <v>25</v>
      </c>
      <c r="H725" s="628" t="s">
        <v>29</v>
      </c>
      <c r="I725" s="10" t="s">
        <v>102</v>
      </c>
      <c r="J725" s="8" t="s">
        <v>1022</v>
      </c>
      <c r="K725" s="107">
        <v>72</v>
      </c>
      <c r="L725" s="238">
        <v>80000000</v>
      </c>
      <c r="M725" s="107">
        <v>36</v>
      </c>
      <c r="N725" s="238">
        <v>51500000</v>
      </c>
      <c r="O725" s="107">
        <v>12</v>
      </c>
      <c r="P725" s="238">
        <v>174050000</v>
      </c>
      <c r="Q725" s="107">
        <v>3</v>
      </c>
      <c r="R725" s="632">
        <v>24600000</v>
      </c>
      <c r="S725" s="88">
        <v>3</v>
      </c>
      <c r="T725" s="202">
        <v>39550000</v>
      </c>
      <c r="U725" s="8">
        <v>0</v>
      </c>
      <c r="V725" s="25">
        <v>0</v>
      </c>
      <c r="W725" s="8">
        <v>0</v>
      </c>
      <c r="X725" s="25">
        <v>0</v>
      </c>
      <c r="Y725" s="107">
        <f t="shared" si="207"/>
        <v>6</v>
      </c>
      <c r="Z725" s="514">
        <f t="shared" si="208"/>
        <v>64150000</v>
      </c>
      <c r="AA725" s="107">
        <f t="shared" si="211"/>
        <v>42</v>
      </c>
      <c r="AB725" s="514">
        <f t="shared" si="209"/>
        <v>115650000</v>
      </c>
      <c r="AC725" s="499">
        <f t="shared" si="212"/>
        <v>58.333333333333336</v>
      </c>
      <c r="AD725" s="499">
        <f t="shared" si="210"/>
        <v>144.5625</v>
      </c>
      <c r="AE725" s="481"/>
      <c r="AF725" s="861"/>
      <c r="AG725" s="861"/>
      <c r="AH725" s="861"/>
      <c r="AI725" s="861"/>
      <c r="AJ725" s="861"/>
      <c r="AK725" s="861"/>
      <c r="AL725" s="861"/>
      <c r="AM725" s="861"/>
      <c r="AN725" s="861"/>
      <c r="AO725" s="861"/>
      <c r="AP725" s="861"/>
      <c r="AQ725" s="861"/>
      <c r="AR725" s="861"/>
      <c r="AS725" s="861"/>
      <c r="AT725" s="861"/>
      <c r="AU725" s="861"/>
      <c r="AV725" s="861"/>
      <c r="AW725" s="861"/>
      <c r="AX725" s="861"/>
      <c r="AY725" s="861"/>
      <c r="AZ725" s="861"/>
      <c r="BA725" s="861"/>
      <c r="BB725" s="861"/>
      <c r="BC725" s="862"/>
      <c r="BD725" s="862"/>
      <c r="BE725" s="862"/>
      <c r="BF725" s="862"/>
      <c r="BG725" s="862"/>
      <c r="BH725" s="862"/>
      <c r="BI725" s="862"/>
      <c r="BJ725" s="862"/>
      <c r="BK725" s="862"/>
      <c r="BL725" s="862"/>
      <c r="BM725" s="862"/>
      <c r="BN725" s="862"/>
      <c r="BO725" s="862"/>
      <c r="BP725" s="862"/>
      <c r="BQ725" s="862"/>
    </row>
    <row r="726" spans="1:69" s="1288" customFormat="1" ht="49.5">
      <c r="A726" s="102"/>
      <c r="B726" s="10"/>
      <c r="C726" s="628" t="s">
        <v>41</v>
      </c>
      <c r="D726" s="628" t="s">
        <v>28</v>
      </c>
      <c r="E726" s="628" t="s">
        <v>39</v>
      </c>
      <c r="F726" s="628" t="s">
        <v>25</v>
      </c>
      <c r="G726" s="628" t="s">
        <v>25</v>
      </c>
      <c r="H726" s="628" t="s">
        <v>31</v>
      </c>
      <c r="I726" s="10" t="s">
        <v>32</v>
      </c>
      <c r="J726" s="10" t="s">
        <v>103</v>
      </c>
      <c r="K726" s="107">
        <v>72</v>
      </c>
      <c r="L726" s="238">
        <v>50000000</v>
      </c>
      <c r="M726" s="107">
        <v>36</v>
      </c>
      <c r="N726" s="238">
        <v>36563000</v>
      </c>
      <c r="O726" s="107">
        <v>12</v>
      </c>
      <c r="P726" s="238">
        <v>42134118</v>
      </c>
      <c r="Q726" s="107">
        <v>3</v>
      </c>
      <c r="R726" s="632">
        <v>17798500</v>
      </c>
      <c r="S726" s="88">
        <v>3</v>
      </c>
      <c r="T726" s="233">
        <v>2455000</v>
      </c>
      <c r="U726" s="8">
        <v>0</v>
      </c>
      <c r="V726" s="25">
        <v>0</v>
      </c>
      <c r="W726" s="8">
        <v>0</v>
      </c>
      <c r="X726" s="25">
        <v>0</v>
      </c>
      <c r="Y726" s="107">
        <f t="shared" si="207"/>
        <v>6</v>
      </c>
      <c r="Z726" s="514">
        <f t="shared" si="208"/>
        <v>20253500</v>
      </c>
      <c r="AA726" s="107">
        <f t="shared" si="211"/>
        <v>42</v>
      </c>
      <c r="AB726" s="514">
        <f t="shared" si="209"/>
        <v>56816500</v>
      </c>
      <c r="AC726" s="499">
        <f t="shared" si="212"/>
        <v>58.333333333333336</v>
      </c>
      <c r="AD726" s="499">
        <f t="shared" si="210"/>
        <v>113.63300000000001</v>
      </c>
      <c r="AE726" s="481"/>
      <c r="AF726" s="861"/>
      <c r="AG726" s="861"/>
      <c r="AH726" s="861"/>
      <c r="AI726" s="861"/>
      <c r="AJ726" s="861"/>
      <c r="AK726" s="861"/>
      <c r="AL726" s="861"/>
      <c r="AM726" s="861"/>
      <c r="AN726" s="861"/>
      <c r="AO726" s="861"/>
      <c r="AP726" s="861"/>
      <c r="AQ726" s="861"/>
      <c r="AR726" s="861"/>
      <c r="AS726" s="861"/>
      <c r="AT726" s="861"/>
      <c r="AU726" s="861"/>
      <c r="AV726" s="861"/>
      <c r="AW726" s="861"/>
      <c r="AX726" s="861"/>
      <c r="AY726" s="861"/>
      <c r="AZ726" s="861"/>
      <c r="BA726" s="861"/>
      <c r="BB726" s="861"/>
      <c r="BC726" s="862"/>
      <c r="BD726" s="862"/>
      <c r="BE726" s="862"/>
      <c r="BF726" s="862"/>
      <c r="BG726" s="862"/>
      <c r="BH726" s="862"/>
      <c r="BI726" s="862"/>
      <c r="BJ726" s="862"/>
      <c r="BK726" s="862"/>
      <c r="BL726" s="862"/>
      <c r="BM726" s="862"/>
      <c r="BN726" s="862"/>
      <c r="BO726" s="862"/>
      <c r="BP726" s="862"/>
      <c r="BQ726" s="862"/>
    </row>
    <row r="727" spans="1:69" s="1288" customFormat="1" ht="82.5">
      <c r="A727" s="102"/>
      <c r="B727" s="10"/>
      <c r="C727" s="628" t="s">
        <v>41</v>
      </c>
      <c r="D727" s="628" t="s">
        <v>28</v>
      </c>
      <c r="E727" s="628" t="s">
        <v>39</v>
      </c>
      <c r="F727" s="628" t="s">
        <v>25</v>
      </c>
      <c r="G727" s="628" t="s">
        <v>25</v>
      </c>
      <c r="H727" s="628" t="s">
        <v>62</v>
      </c>
      <c r="I727" s="10" t="s">
        <v>617</v>
      </c>
      <c r="J727" s="10" t="s">
        <v>1023</v>
      </c>
      <c r="K727" s="107">
        <v>72</v>
      </c>
      <c r="L727" s="238">
        <v>60000000</v>
      </c>
      <c r="M727" s="107">
        <v>36</v>
      </c>
      <c r="N727" s="238">
        <v>30392000</v>
      </c>
      <c r="O727" s="107">
        <v>12</v>
      </c>
      <c r="P727" s="238">
        <v>31552500</v>
      </c>
      <c r="Q727" s="107">
        <v>3</v>
      </c>
      <c r="R727" s="632">
        <v>6044800</v>
      </c>
      <c r="S727" s="88">
        <v>3</v>
      </c>
      <c r="T727" s="233">
        <v>5600000</v>
      </c>
      <c r="U727" s="8">
        <v>0</v>
      </c>
      <c r="V727" s="25">
        <v>0</v>
      </c>
      <c r="W727" s="8">
        <v>0</v>
      </c>
      <c r="X727" s="25">
        <v>0</v>
      </c>
      <c r="Y727" s="107">
        <f t="shared" si="207"/>
        <v>6</v>
      </c>
      <c r="Z727" s="514">
        <f t="shared" si="208"/>
        <v>11644800</v>
      </c>
      <c r="AA727" s="107">
        <f t="shared" si="211"/>
        <v>42</v>
      </c>
      <c r="AB727" s="514">
        <f t="shared" si="209"/>
        <v>42036800</v>
      </c>
      <c r="AC727" s="499">
        <f t="shared" si="212"/>
        <v>58.333333333333336</v>
      </c>
      <c r="AD727" s="499">
        <f t="shared" si="210"/>
        <v>70.061333333333337</v>
      </c>
      <c r="AE727" s="481"/>
      <c r="AF727" s="861"/>
      <c r="AG727" s="861"/>
      <c r="AH727" s="861"/>
      <c r="AI727" s="861"/>
      <c r="AJ727" s="861"/>
      <c r="AK727" s="861"/>
      <c r="AL727" s="861"/>
      <c r="AM727" s="861"/>
      <c r="AN727" s="861"/>
      <c r="AO727" s="861"/>
      <c r="AP727" s="861"/>
      <c r="AQ727" s="861"/>
      <c r="AR727" s="861"/>
      <c r="AS727" s="861"/>
      <c r="AT727" s="861"/>
      <c r="AU727" s="861"/>
      <c r="AV727" s="861"/>
      <c r="AW727" s="861"/>
      <c r="AX727" s="861"/>
      <c r="AY727" s="861"/>
      <c r="AZ727" s="861"/>
      <c r="BA727" s="861"/>
      <c r="BB727" s="861"/>
      <c r="BC727" s="862"/>
      <c r="BD727" s="862"/>
      <c r="BE727" s="862"/>
      <c r="BF727" s="862"/>
      <c r="BG727" s="862"/>
      <c r="BH727" s="862"/>
      <c r="BI727" s="862"/>
      <c r="BJ727" s="862"/>
      <c r="BK727" s="862"/>
      <c r="BL727" s="862"/>
      <c r="BM727" s="862"/>
      <c r="BN727" s="862"/>
      <c r="BO727" s="862"/>
      <c r="BP727" s="862"/>
      <c r="BQ727" s="862"/>
    </row>
    <row r="728" spans="1:69" s="1288" customFormat="1" ht="82.5">
      <c r="A728" s="102"/>
      <c r="B728" s="10"/>
      <c r="C728" s="628" t="s">
        <v>41</v>
      </c>
      <c r="D728" s="628" t="s">
        <v>28</v>
      </c>
      <c r="E728" s="628" t="s">
        <v>39</v>
      </c>
      <c r="F728" s="628" t="s">
        <v>25</v>
      </c>
      <c r="G728" s="628" t="s">
        <v>25</v>
      </c>
      <c r="H728" s="628" t="s">
        <v>52</v>
      </c>
      <c r="I728" s="10" t="s">
        <v>618</v>
      </c>
      <c r="J728" s="10" t="s">
        <v>1024</v>
      </c>
      <c r="K728" s="107">
        <v>72</v>
      </c>
      <c r="L728" s="238">
        <v>10000000</v>
      </c>
      <c r="M728" s="107">
        <v>36</v>
      </c>
      <c r="N728" s="238">
        <v>3112500</v>
      </c>
      <c r="O728" s="107">
        <v>12</v>
      </c>
      <c r="P728" s="238">
        <v>5999278</v>
      </c>
      <c r="Q728" s="107">
        <v>3</v>
      </c>
      <c r="R728" s="632">
        <v>1788000</v>
      </c>
      <c r="S728" s="88">
        <v>3</v>
      </c>
      <c r="T728" s="202">
        <v>1050000</v>
      </c>
      <c r="U728" s="8">
        <v>0</v>
      </c>
      <c r="V728" s="25">
        <v>0</v>
      </c>
      <c r="W728" s="8">
        <v>0</v>
      </c>
      <c r="X728" s="632">
        <v>0</v>
      </c>
      <c r="Y728" s="107">
        <f t="shared" si="207"/>
        <v>6</v>
      </c>
      <c r="Z728" s="514">
        <f t="shared" si="208"/>
        <v>2838000</v>
      </c>
      <c r="AA728" s="107">
        <f t="shared" si="211"/>
        <v>42</v>
      </c>
      <c r="AB728" s="514">
        <f t="shared" si="209"/>
        <v>5950500</v>
      </c>
      <c r="AC728" s="499">
        <f t="shared" si="212"/>
        <v>58.333333333333336</v>
      </c>
      <c r="AD728" s="499">
        <f t="shared" si="210"/>
        <v>59.504999999999995</v>
      </c>
      <c r="AE728" s="481"/>
      <c r="AF728" s="861"/>
      <c r="AG728" s="861"/>
      <c r="AH728" s="861"/>
      <c r="AI728" s="861"/>
      <c r="AJ728" s="861"/>
      <c r="AK728" s="861"/>
      <c r="AL728" s="861"/>
      <c r="AM728" s="861"/>
      <c r="AN728" s="861"/>
      <c r="AO728" s="861"/>
      <c r="AP728" s="861"/>
      <c r="AQ728" s="861"/>
      <c r="AR728" s="861"/>
      <c r="AS728" s="861"/>
      <c r="AT728" s="861"/>
      <c r="AU728" s="861"/>
      <c r="AV728" s="861"/>
      <c r="AW728" s="861"/>
      <c r="AX728" s="861"/>
      <c r="AY728" s="861"/>
      <c r="AZ728" s="861"/>
      <c r="BA728" s="861"/>
      <c r="BB728" s="861"/>
      <c r="BC728" s="862"/>
      <c r="BD728" s="862"/>
      <c r="BE728" s="862"/>
      <c r="BF728" s="862"/>
      <c r="BG728" s="862"/>
      <c r="BH728" s="862"/>
      <c r="BI728" s="862"/>
      <c r="BJ728" s="862"/>
      <c r="BK728" s="862"/>
      <c r="BL728" s="862"/>
      <c r="BM728" s="862"/>
      <c r="BN728" s="862"/>
      <c r="BO728" s="862"/>
      <c r="BP728" s="862"/>
      <c r="BQ728" s="862"/>
    </row>
    <row r="729" spans="1:69" s="1288" customFormat="1" ht="66">
      <c r="A729" s="102"/>
      <c r="B729" s="10"/>
      <c r="C729" s="628" t="s">
        <v>41</v>
      </c>
      <c r="D729" s="628" t="s">
        <v>28</v>
      </c>
      <c r="E729" s="628" t="s">
        <v>39</v>
      </c>
      <c r="F729" s="628" t="s">
        <v>25</v>
      </c>
      <c r="G729" s="628" t="s">
        <v>25</v>
      </c>
      <c r="H729" s="628" t="s">
        <v>57</v>
      </c>
      <c r="I729" s="10" t="s">
        <v>616</v>
      </c>
      <c r="J729" s="10" t="s">
        <v>1025</v>
      </c>
      <c r="K729" s="107">
        <v>72</v>
      </c>
      <c r="L729" s="238">
        <v>80000000</v>
      </c>
      <c r="M729" s="107">
        <v>36</v>
      </c>
      <c r="N729" s="238">
        <v>43175500</v>
      </c>
      <c r="O729" s="107">
        <v>12</v>
      </c>
      <c r="P729" s="238">
        <v>17995980</v>
      </c>
      <c r="Q729" s="107">
        <v>3</v>
      </c>
      <c r="R729" s="632">
        <v>4609500</v>
      </c>
      <c r="S729" s="88">
        <v>3</v>
      </c>
      <c r="T729" s="202">
        <v>5435500</v>
      </c>
      <c r="U729" s="8">
        <v>0</v>
      </c>
      <c r="V729" s="25">
        <v>0</v>
      </c>
      <c r="W729" s="8">
        <v>0</v>
      </c>
      <c r="X729" s="632">
        <v>0</v>
      </c>
      <c r="Y729" s="107">
        <f t="shared" si="207"/>
        <v>6</v>
      </c>
      <c r="Z729" s="514">
        <f t="shared" si="208"/>
        <v>10045000</v>
      </c>
      <c r="AA729" s="107">
        <f t="shared" si="211"/>
        <v>42</v>
      </c>
      <c r="AB729" s="514">
        <f t="shared" si="209"/>
        <v>53220500</v>
      </c>
      <c r="AC729" s="499">
        <f t="shared" si="212"/>
        <v>58.333333333333336</v>
      </c>
      <c r="AD729" s="499">
        <f t="shared" si="210"/>
        <v>66.525625000000005</v>
      </c>
      <c r="AE729" s="481"/>
      <c r="AF729" s="861"/>
      <c r="AG729" s="861"/>
      <c r="AH729" s="861"/>
      <c r="AI729" s="861"/>
      <c r="AJ729" s="861"/>
      <c r="AK729" s="861"/>
      <c r="AL729" s="861"/>
      <c r="AM729" s="861"/>
      <c r="AN729" s="861"/>
      <c r="AO729" s="861"/>
      <c r="AP729" s="861"/>
      <c r="AQ729" s="861"/>
      <c r="AR729" s="861"/>
      <c r="AS729" s="861"/>
      <c r="AT729" s="861"/>
      <c r="AU729" s="861"/>
      <c r="AV729" s="861"/>
      <c r="AW729" s="861"/>
      <c r="AX729" s="861"/>
      <c r="AY729" s="861"/>
      <c r="AZ729" s="861"/>
      <c r="BA729" s="861"/>
      <c r="BB729" s="861"/>
      <c r="BC729" s="862"/>
      <c r="BD729" s="862"/>
      <c r="BE729" s="862"/>
      <c r="BF729" s="862"/>
      <c r="BG729" s="862"/>
      <c r="BH729" s="862"/>
      <c r="BI729" s="862"/>
      <c r="BJ729" s="862"/>
      <c r="BK729" s="862"/>
      <c r="BL729" s="862"/>
      <c r="BM729" s="862"/>
      <c r="BN729" s="862"/>
      <c r="BO729" s="862"/>
      <c r="BP729" s="862"/>
      <c r="BQ729" s="862"/>
    </row>
    <row r="730" spans="1:69" s="1288" customFormat="1" ht="82.5">
      <c r="A730" s="102"/>
      <c r="B730" s="10"/>
      <c r="C730" s="628" t="s">
        <v>41</v>
      </c>
      <c r="D730" s="628" t="s">
        <v>28</v>
      </c>
      <c r="E730" s="628" t="s">
        <v>39</v>
      </c>
      <c r="F730" s="628" t="s">
        <v>25</v>
      </c>
      <c r="G730" s="628" t="s">
        <v>25</v>
      </c>
      <c r="H730" s="628" t="s">
        <v>45</v>
      </c>
      <c r="I730" s="10" t="s">
        <v>619</v>
      </c>
      <c r="J730" s="10" t="s">
        <v>1026</v>
      </c>
      <c r="K730" s="107">
        <v>72</v>
      </c>
      <c r="L730" s="238">
        <v>10000000</v>
      </c>
      <c r="M730" s="107">
        <v>36</v>
      </c>
      <c r="N730" s="238">
        <v>8435000</v>
      </c>
      <c r="O730" s="107">
        <v>12</v>
      </c>
      <c r="P730" s="238">
        <v>4500000</v>
      </c>
      <c r="Q730" s="107">
        <v>3</v>
      </c>
      <c r="R730" s="632">
        <v>0</v>
      </c>
      <c r="S730" s="88">
        <v>3</v>
      </c>
      <c r="T730" s="202">
        <v>1150000</v>
      </c>
      <c r="U730" s="8">
        <v>0</v>
      </c>
      <c r="V730" s="25">
        <v>0</v>
      </c>
      <c r="W730" s="8">
        <v>0</v>
      </c>
      <c r="X730" s="632">
        <v>0</v>
      </c>
      <c r="Y730" s="107">
        <f t="shared" si="207"/>
        <v>6</v>
      </c>
      <c r="Z730" s="514">
        <f t="shared" si="208"/>
        <v>1150000</v>
      </c>
      <c r="AA730" s="107">
        <f t="shared" si="211"/>
        <v>42</v>
      </c>
      <c r="AB730" s="514">
        <f t="shared" si="209"/>
        <v>9585000</v>
      </c>
      <c r="AC730" s="499">
        <f t="shared" si="212"/>
        <v>58.333333333333336</v>
      </c>
      <c r="AD730" s="499">
        <f t="shared" si="210"/>
        <v>95.850000000000009</v>
      </c>
      <c r="AE730" s="481"/>
      <c r="AF730" s="861"/>
      <c r="AG730" s="861"/>
      <c r="AH730" s="861"/>
      <c r="AI730" s="861"/>
      <c r="AJ730" s="861"/>
      <c r="AK730" s="861"/>
      <c r="AL730" s="861"/>
      <c r="AM730" s="861"/>
      <c r="AN730" s="861"/>
      <c r="AO730" s="861"/>
      <c r="AP730" s="861"/>
      <c r="AQ730" s="861"/>
      <c r="AR730" s="861"/>
      <c r="AS730" s="861"/>
      <c r="AT730" s="861"/>
      <c r="AU730" s="861"/>
      <c r="AV730" s="861"/>
      <c r="AW730" s="861"/>
      <c r="AX730" s="861"/>
      <c r="AY730" s="861"/>
      <c r="AZ730" s="861"/>
      <c r="BA730" s="861"/>
      <c r="BB730" s="861"/>
      <c r="BC730" s="862"/>
      <c r="BD730" s="862"/>
      <c r="BE730" s="862"/>
      <c r="BF730" s="862"/>
      <c r="BG730" s="862"/>
      <c r="BH730" s="862"/>
      <c r="BI730" s="862"/>
      <c r="BJ730" s="862"/>
      <c r="BK730" s="862"/>
      <c r="BL730" s="862"/>
      <c r="BM730" s="862"/>
      <c r="BN730" s="862"/>
      <c r="BO730" s="862"/>
      <c r="BP730" s="862"/>
      <c r="BQ730" s="862"/>
    </row>
    <row r="731" spans="1:69" s="1288" customFormat="1" ht="49.5">
      <c r="A731" s="102"/>
      <c r="B731" s="10"/>
      <c r="C731" s="628" t="s">
        <v>41</v>
      </c>
      <c r="D731" s="628" t="s">
        <v>28</v>
      </c>
      <c r="E731" s="628" t="s">
        <v>39</v>
      </c>
      <c r="F731" s="628" t="s">
        <v>25</v>
      </c>
      <c r="G731" s="628" t="s">
        <v>25</v>
      </c>
      <c r="H731" s="628" t="s">
        <v>74</v>
      </c>
      <c r="I731" s="10" t="s">
        <v>620</v>
      </c>
      <c r="J731" s="10" t="s">
        <v>1027</v>
      </c>
      <c r="K731" s="107">
        <v>72</v>
      </c>
      <c r="L731" s="238">
        <v>25000000</v>
      </c>
      <c r="M731" s="107">
        <v>36</v>
      </c>
      <c r="N731" s="238">
        <v>19387500</v>
      </c>
      <c r="O731" s="107">
        <v>12</v>
      </c>
      <c r="P731" s="238">
        <v>15510000</v>
      </c>
      <c r="Q731" s="107">
        <v>3</v>
      </c>
      <c r="R731" s="632">
        <v>3205400</v>
      </c>
      <c r="S731" s="88">
        <v>3</v>
      </c>
      <c r="T731" s="233">
        <v>6336550</v>
      </c>
      <c r="U731" s="8">
        <v>0</v>
      </c>
      <c r="V731" s="25">
        <v>0</v>
      </c>
      <c r="W731" s="8">
        <v>0</v>
      </c>
      <c r="X731" s="632">
        <v>0</v>
      </c>
      <c r="Y731" s="107">
        <f t="shared" si="207"/>
        <v>6</v>
      </c>
      <c r="Z731" s="514">
        <f t="shared" si="208"/>
        <v>9541950</v>
      </c>
      <c r="AA731" s="107">
        <f t="shared" si="211"/>
        <v>42</v>
      </c>
      <c r="AB731" s="514">
        <f t="shared" si="209"/>
        <v>28929450</v>
      </c>
      <c r="AC731" s="499">
        <f t="shared" si="212"/>
        <v>58.333333333333336</v>
      </c>
      <c r="AD731" s="499">
        <f t="shared" si="210"/>
        <v>115.71780000000001</v>
      </c>
      <c r="AE731" s="481"/>
      <c r="AF731" s="861"/>
      <c r="AG731" s="861"/>
      <c r="AH731" s="861"/>
      <c r="AI731" s="861"/>
      <c r="AJ731" s="861"/>
      <c r="AK731" s="861"/>
      <c r="AL731" s="861"/>
      <c r="AM731" s="861"/>
      <c r="AN731" s="861"/>
      <c r="AO731" s="861"/>
      <c r="AP731" s="861"/>
      <c r="AQ731" s="861"/>
      <c r="AR731" s="861"/>
      <c r="AS731" s="861"/>
      <c r="AT731" s="861"/>
      <c r="AU731" s="861"/>
      <c r="AV731" s="861"/>
      <c r="AW731" s="861"/>
      <c r="AX731" s="861"/>
      <c r="AY731" s="861"/>
      <c r="AZ731" s="861"/>
      <c r="BA731" s="861"/>
      <c r="BB731" s="861"/>
      <c r="BC731" s="862"/>
      <c r="BD731" s="862"/>
      <c r="BE731" s="862"/>
      <c r="BF731" s="862"/>
      <c r="BG731" s="862"/>
      <c r="BH731" s="862"/>
      <c r="BI731" s="862"/>
      <c r="BJ731" s="862"/>
      <c r="BK731" s="862"/>
      <c r="BL731" s="862"/>
      <c r="BM731" s="862"/>
      <c r="BN731" s="862"/>
      <c r="BO731" s="862"/>
      <c r="BP731" s="862"/>
      <c r="BQ731" s="862"/>
    </row>
    <row r="732" spans="1:69" s="1288" customFormat="1" ht="99">
      <c r="A732" s="102"/>
      <c r="B732" s="10"/>
      <c r="C732" s="628" t="s">
        <v>41</v>
      </c>
      <c r="D732" s="628" t="s">
        <v>28</v>
      </c>
      <c r="E732" s="628" t="s">
        <v>39</v>
      </c>
      <c r="F732" s="628" t="s">
        <v>25</v>
      </c>
      <c r="G732" s="628" t="s">
        <v>25</v>
      </c>
      <c r="H732" s="628" t="s">
        <v>44</v>
      </c>
      <c r="I732" s="10" t="s">
        <v>621</v>
      </c>
      <c r="J732" s="10" t="s">
        <v>1028</v>
      </c>
      <c r="K732" s="107">
        <v>72</v>
      </c>
      <c r="L732" s="238">
        <v>180000000</v>
      </c>
      <c r="M732" s="107">
        <v>36</v>
      </c>
      <c r="N732" s="238">
        <v>124083652</v>
      </c>
      <c r="O732" s="107">
        <v>12</v>
      </c>
      <c r="P732" s="238">
        <v>69350000</v>
      </c>
      <c r="Q732" s="107">
        <v>3</v>
      </c>
      <c r="R732" s="632">
        <v>5175000</v>
      </c>
      <c r="S732" s="88">
        <v>3</v>
      </c>
      <c r="T732" s="233">
        <v>9360000</v>
      </c>
      <c r="U732" s="8">
        <v>0</v>
      </c>
      <c r="V732" s="25">
        <v>0</v>
      </c>
      <c r="W732" s="8">
        <v>0</v>
      </c>
      <c r="X732" s="632">
        <v>0</v>
      </c>
      <c r="Y732" s="107">
        <f t="shared" si="207"/>
        <v>6</v>
      </c>
      <c r="Z732" s="514">
        <f t="shared" si="208"/>
        <v>14535000</v>
      </c>
      <c r="AA732" s="107">
        <f t="shared" si="211"/>
        <v>42</v>
      </c>
      <c r="AB732" s="514">
        <f t="shared" si="209"/>
        <v>138618652</v>
      </c>
      <c r="AC732" s="499">
        <f t="shared" si="212"/>
        <v>58.333333333333336</v>
      </c>
      <c r="AD732" s="499">
        <f t="shared" si="210"/>
        <v>77.010362222222213</v>
      </c>
      <c r="AE732" s="481"/>
      <c r="AF732" s="861"/>
      <c r="AG732" s="861"/>
      <c r="AH732" s="861"/>
      <c r="AI732" s="861"/>
      <c r="AJ732" s="861"/>
      <c r="AK732" s="861"/>
      <c r="AL732" s="861"/>
      <c r="AM732" s="861"/>
      <c r="AN732" s="861"/>
      <c r="AO732" s="861"/>
      <c r="AP732" s="861"/>
      <c r="AQ732" s="861"/>
      <c r="AR732" s="861"/>
      <c r="AS732" s="861"/>
      <c r="AT732" s="861"/>
      <c r="AU732" s="861"/>
      <c r="AV732" s="861"/>
      <c r="AW732" s="861"/>
      <c r="AX732" s="861"/>
      <c r="AY732" s="861"/>
      <c r="AZ732" s="861"/>
      <c r="BA732" s="861"/>
      <c r="BB732" s="861"/>
      <c r="BC732" s="862"/>
      <c r="BD732" s="862"/>
      <c r="BE732" s="862"/>
      <c r="BF732" s="862"/>
      <c r="BG732" s="862"/>
      <c r="BH732" s="862"/>
      <c r="BI732" s="862"/>
      <c r="BJ732" s="862"/>
      <c r="BK732" s="862"/>
      <c r="BL732" s="862"/>
      <c r="BM732" s="862"/>
      <c r="BN732" s="862"/>
      <c r="BO732" s="862"/>
      <c r="BP732" s="862"/>
      <c r="BQ732" s="862"/>
    </row>
    <row r="733" spans="1:69" s="1288" customFormat="1" ht="82.5">
      <c r="A733" s="102"/>
      <c r="B733" s="10"/>
      <c r="C733" s="628" t="s">
        <v>41</v>
      </c>
      <c r="D733" s="628" t="s">
        <v>28</v>
      </c>
      <c r="E733" s="628" t="s">
        <v>39</v>
      </c>
      <c r="F733" s="628" t="s">
        <v>25</v>
      </c>
      <c r="G733" s="628" t="s">
        <v>25</v>
      </c>
      <c r="H733" s="628" t="s">
        <v>54</v>
      </c>
      <c r="I733" s="10" t="s">
        <v>81</v>
      </c>
      <c r="J733" s="10" t="s">
        <v>1029</v>
      </c>
      <c r="K733" s="107">
        <v>72</v>
      </c>
      <c r="L733" s="238">
        <v>135000000</v>
      </c>
      <c r="M733" s="107">
        <v>36</v>
      </c>
      <c r="N733" s="238">
        <v>75985000</v>
      </c>
      <c r="O733" s="107">
        <v>12</v>
      </c>
      <c r="P733" s="238">
        <v>64950000</v>
      </c>
      <c r="Q733" s="107">
        <v>3</v>
      </c>
      <c r="R733" s="632">
        <v>11275000</v>
      </c>
      <c r="S733" s="88">
        <v>3</v>
      </c>
      <c r="T733" s="233">
        <v>24785000</v>
      </c>
      <c r="U733" s="8">
        <v>0</v>
      </c>
      <c r="V733" s="25">
        <v>0</v>
      </c>
      <c r="W733" s="8">
        <v>0</v>
      </c>
      <c r="X733" s="632">
        <v>0</v>
      </c>
      <c r="Y733" s="107">
        <f t="shared" si="207"/>
        <v>6</v>
      </c>
      <c r="Z733" s="514">
        <f t="shared" si="208"/>
        <v>36060000</v>
      </c>
      <c r="AA733" s="107">
        <f t="shared" si="211"/>
        <v>42</v>
      </c>
      <c r="AB733" s="514">
        <f t="shared" si="209"/>
        <v>112045000</v>
      </c>
      <c r="AC733" s="499">
        <f t="shared" si="212"/>
        <v>58.333333333333336</v>
      </c>
      <c r="AD733" s="499">
        <f t="shared" si="210"/>
        <v>82.996296296296308</v>
      </c>
      <c r="AE733" s="481"/>
      <c r="AF733" s="861"/>
      <c r="AG733" s="861"/>
      <c r="AH733" s="861"/>
      <c r="AI733" s="861"/>
      <c r="AJ733" s="861"/>
      <c r="AK733" s="861"/>
      <c r="AL733" s="861"/>
      <c r="AM733" s="861"/>
      <c r="AN733" s="861"/>
      <c r="AO733" s="861"/>
      <c r="AP733" s="861"/>
      <c r="AQ733" s="861"/>
      <c r="AR733" s="861"/>
      <c r="AS733" s="861"/>
      <c r="AT733" s="861"/>
      <c r="AU733" s="861"/>
      <c r="AV733" s="861"/>
      <c r="AW733" s="861"/>
      <c r="AX733" s="861"/>
      <c r="AY733" s="861"/>
      <c r="AZ733" s="861"/>
      <c r="BA733" s="861"/>
      <c r="BB733" s="861"/>
      <c r="BC733" s="862"/>
      <c r="BD733" s="862"/>
      <c r="BE733" s="862"/>
      <c r="BF733" s="862"/>
      <c r="BG733" s="862"/>
      <c r="BH733" s="862"/>
      <c r="BI733" s="862"/>
      <c r="BJ733" s="862"/>
      <c r="BK733" s="862"/>
      <c r="BL733" s="862"/>
      <c r="BM733" s="862"/>
      <c r="BN733" s="862"/>
      <c r="BO733" s="862"/>
      <c r="BP733" s="862"/>
      <c r="BQ733" s="862"/>
    </row>
    <row r="734" spans="1:69" s="1288" customFormat="1" ht="49.5">
      <c r="A734" s="102"/>
      <c r="B734" s="10"/>
      <c r="C734" s="628" t="s">
        <v>41</v>
      </c>
      <c r="D734" s="628" t="s">
        <v>28</v>
      </c>
      <c r="E734" s="628" t="s">
        <v>39</v>
      </c>
      <c r="F734" s="628" t="s">
        <v>25</v>
      </c>
      <c r="G734" s="628" t="s">
        <v>25</v>
      </c>
      <c r="H734" s="628" t="s">
        <v>35</v>
      </c>
      <c r="I734" s="10" t="s">
        <v>925</v>
      </c>
      <c r="J734" s="10" t="s">
        <v>1030</v>
      </c>
      <c r="K734" s="107">
        <v>72</v>
      </c>
      <c r="L734" s="238">
        <f>13000000*6</f>
        <v>78000000</v>
      </c>
      <c r="M734" s="107">
        <v>0</v>
      </c>
      <c r="N734" s="238">
        <v>0</v>
      </c>
      <c r="O734" s="107">
        <v>12</v>
      </c>
      <c r="P734" s="238">
        <v>13000000</v>
      </c>
      <c r="Q734" s="107">
        <v>3</v>
      </c>
      <c r="R734" s="632">
        <v>2000000</v>
      </c>
      <c r="S734" s="88">
        <v>3</v>
      </c>
      <c r="T734" s="233">
        <v>5000000</v>
      </c>
      <c r="U734" s="8">
        <v>0</v>
      </c>
      <c r="V734" s="25"/>
      <c r="W734" s="8"/>
      <c r="X734" s="632"/>
      <c r="Y734" s="107"/>
      <c r="Z734" s="514">
        <f t="shared" ref="Z734:Z755" si="213">R734+T734+V734+X734</f>
        <v>7000000</v>
      </c>
      <c r="AA734" s="107"/>
      <c r="AB734" s="514">
        <f t="shared" si="209"/>
        <v>7000000</v>
      </c>
      <c r="AC734" s="499">
        <f t="shared" si="212"/>
        <v>0</v>
      </c>
      <c r="AD734" s="499">
        <f t="shared" si="210"/>
        <v>8.9743589743589745</v>
      </c>
      <c r="AE734" s="481"/>
      <c r="AF734" s="861"/>
      <c r="AG734" s="861"/>
      <c r="AH734" s="861"/>
      <c r="AI734" s="861"/>
      <c r="AJ734" s="861"/>
      <c r="AK734" s="861"/>
      <c r="AL734" s="861"/>
      <c r="AM734" s="861"/>
      <c r="AN734" s="861"/>
      <c r="AO734" s="861"/>
      <c r="AP734" s="861"/>
      <c r="AQ734" s="861"/>
      <c r="AR734" s="861"/>
      <c r="AS734" s="861"/>
      <c r="AT734" s="861"/>
      <c r="AU734" s="861"/>
      <c r="AV734" s="861"/>
      <c r="AW734" s="861"/>
      <c r="AX734" s="861"/>
      <c r="AY734" s="861"/>
      <c r="AZ734" s="861"/>
      <c r="BA734" s="861"/>
      <c r="BB734" s="861"/>
      <c r="BC734" s="862"/>
      <c r="BD734" s="862"/>
      <c r="BE734" s="862"/>
      <c r="BF734" s="862"/>
      <c r="BG734" s="862"/>
      <c r="BH734" s="862"/>
      <c r="BI734" s="862"/>
      <c r="BJ734" s="862"/>
      <c r="BK734" s="862"/>
      <c r="BL734" s="862"/>
      <c r="BM734" s="862"/>
      <c r="BN734" s="862"/>
      <c r="BO734" s="862"/>
      <c r="BP734" s="862"/>
      <c r="BQ734" s="862"/>
    </row>
    <row r="735" spans="1:69" s="1288" customFormat="1" ht="82.5">
      <c r="A735" s="2558">
        <v>2</v>
      </c>
      <c r="B735" s="40"/>
      <c r="C735" s="303" t="s">
        <v>41</v>
      </c>
      <c r="D735" s="303" t="s">
        <v>28</v>
      </c>
      <c r="E735" s="303" t="s">
        <v>39</v>
      </c>
      <c r="F735" s="303" t="s">
        <v>25</v>
      </c>
      <c r="G735" s="303" t="s">
        <v>28</v>
      </c>
      <c r="H735" s="303"/>
      <c r="I735" s="40" t="s">
        <v>36</v>
      </c>
      <c r="J735" s="629" t="s">
        <v>2837</v>
      </c>
      <c r="K735" s="538">
        <v>72</v>
      </c>
      <c r="L735" s="230">
        <f>SUM(L736:L740)</f>
        <v>2130100000</v>
      </c>
      <c r="M735" s="538">
        <v>36</v>
      </c>
      <c r="N735" s="230">
        <f>SUM(N736:N740)</f>
        <v>319770750</v>
      </c>
      <c r="O735" s="538">
        <v>12</v>
      </c>
      <c r="P735" s="230">
        <f>SUM(P736:P740)</f>
        <v>206314612</v>
      </c>
      <c r="Q735" s="230">
        <v>3</v>
      </c>
      <c r="R735" s="159">
        <f>SUM(R738+R737+R739+R740+R736)</f>
        <v>44738751</v>
      </c>
      <c r="S735" s="33">
        <v>3</v>
      </c>
      <c r="T735" s="144">
        <f>SUM(T736:T740)</f>
        <v>72702291</v>
      </c>
      <c r="U735" s="33">
        <v>0</v>
      </c>
      <c r="V735" s="144">
        <f>SUM(V736:V740)</f>
        <v>0</v>
      </c>
      <c r="W735" s="33">
        <v>0</v>
      </c>
      <c r="X735" s="144">
        <f>SUM(X736:X740)</f>
        <v>0</v>
      </c>
      <c r="Y735" s="538">
        <f>Q735+S735+U735+W735</f>
        <v>6</v>
      </c>
      <c r="Z735" s="223">
        <f t="shared" si="213"/>
        <v>117441042</v>
      </c>
      <c r="AA735" s="538">
        <f>M735+Y735</f>
        <v>42</v>
      </c>
      <c r="AB735" s="223">
        <f t="shared" si="209"/>
        <v>437211792</v>
      </c>
      <c r="AC735" s="148">
        <f t="shared" si="212"/>
        <v>58.333333333333336</v>
      </c>
      <c r="AD735" s="148">
        <f t="shared" si="210"/>
        <v>20.525411576921272</v>
      </c>
      <c r="AE735" s="369" t="s">
        <v>101</v>
      </c>
      <c r="AF735" s="861"/>
      <c r="AG735" s="861"/>
      <c r="AH735" s="861"/>
      <c r="AI735" s="861"/>
      <c r="AJ735" s="861"/>
      <c r="AK735" s="861"/>
      <c r="AL735" s="861"/>
      <c r="AM735" s="861"/>
      <c r="AN735" s="861"/>
      <c r="AO735" s="861"/>
      <c r="AP735" s="861"/>
      <c r="AQ735" s="861"/>
      <c r="AR735" s="861"/>
      <c r="AS735" s="861"/>
      <c r="AT735" s="861"/>
      <c r="AU735" s="861"/>
      <c r="AV735" s="861"/>
      <c r="AW735" s="861"/>
      <c r="AX735" s="861"/>
      <c r="AY735" s="861"/>
      <c r="AZ735" s="861"/>
      <c r="BA735" s="861"/>
      <c r="BB735" s="861"/>
      <c r="BC735" s="862"/>
      <c r="BD735" s="862"/>
      <c r="BE735" s="862"/>
      <c r="BF735" s="862"/>
      <c r="BG735" s="862"/>
      <c r="BH735" s="862"/>
      <c r="BI735" s="862"/>
      <c r="BJ735" s="862"/>
      <c r="BK735" s="862"/>
      <c r="BL735" s="862"/>
      <c r="BM735" s="862"/>
      <c r="BN735" s="862"/>
      <c r="BO735" s="862"/>
      <c r="BP735" s="862"/>
      <c r="BQ735" s="862"/>
    </row>
    <row r="736" spans="1:69" s="1288" customFormat="1" ht="33">
      <c r="A736" s="102"/>
      <c r="B736" s="10"/>
      <c r="C736" s="628" t="s">
        <v>41</v>
      </c>
      <c r="D736" s="628" t="s">
        <v>28</v>
      </c>
      <c r="E736" s="628" t="s">
        <v>39</v>
      </c>
      <c r="F736" s="628" t="s">
        <v>25</v>
      </c>
      <c r="G736" s="628" t="s">
        <v>28</v>
      </c>
      <c r="H736" s="628" t="s">
        <v>43</v>
      </c>
      <c r="I736" s="10" t="s">
        <v>82</v>
      </c>
      <c r="J736" s="780" t="s">
        <v>2838</v>
      </c>
      <c r="K736" s="107">
        <v>35</v>
      </c>
      <c r="L736" s="238">
        <f>300000000*6</f>
        <v>1800000000</v>
      </c>
      <c r="M736" s="107">
        <v>26</v>
      </c>
      <c r="N736" s="238">
        <v>136827000</v>
      </c>
      <c r="O736" s="107">
        <v>2</v>
      </c>
      <c r="P736" s="238">
        <v>10100000</v>
      </c>
      <c r="Q736" s="107">
        <v>1</v>
      </c>
      <c r="R736" s="632">
        <v>5870475</v>
      </c>
      <c r="S736" s="88">
        <v>1</v>
      </c>
      <c r="T736" s="233">
        <v>4100000</v>
      </c>
      <c r="U736" s="8">
        <v>0</v>
      </c>
      <c r="V736" s="8">
        <v>0</v>
      </c>
      <c r="W736" s="8">
        <v>0</v>
      </c>
      <c r="X736" s="25">
        <v>0</v>
      </c>
      <c r="Y736" s="107">
        <f>Q736+S736+U736+W736</f>
        <v>2</v>
      </c>
      <c r="Z736" s="514">
        <f t="shared" si="213"/>
        <v>9970475</v>
      </c>
      <c r="AA736" s="107">
        <f>M736+Y736</f>
        <v>28</v>
      </c>
      <c r="AB736" s="514">
        <f t="shared" si="209"/>
        <v>146797475</v>
      </c>
      <c r="AC736" s="499">
        <f t="shared" si="212"/>
        <v>80</v>
      </c>
      <c r="AD736" s="499">
        <f t="shared" si="210"/>
        <v>8.1554152777777773</v>
      </c>
      <c r="AE736" s="481"/>
      <c r="AF736" s="861"/>
      <c r="AG736" s="861"/>
      <c r="AH736" s="861"/>
      <c r="AI736" s="861"/>
      <c r="AJ736" s="861"/>
      <c r="AK736" s="861"/>
      <c r="AL736" s="861"/>
      <c r="AM736" s="861"/>
      <c r="AN736" s="861"/>
      <c r="AO736" s="861"/>
      <c r="AP736" s="861"/>
      <c r="AQ736" s="861"/>
      <c r="AR736" s="861"/>
      <c r="AS736" s="861"/>
      <c r="AT736" s="861"/>
      <c r="AU736" s="861"/>
      <c r="AV736" s="861"/>
      <c r="AW736" s="861"/>
      <c r="AX736" s="861"/>
      <c r="AY736" s="861"/>
      <c r="AZ736" s="861"/>
      <c r="BA736" s="861"/>
      <c r="BB736" s="861"/>
      <c r="BC736" s="862"/>
      <c r="BD736" s="862"/>
      <c r="BE736" s="862"/>
      <c r="BF736" s="862"/>
      <c r="BG736" s="862"/>
      <c r="BH736" s="862"/>
      <c r="BI736" s="862"/>
      <c r="BJ736" s="862"/>
      <c r="BK736" s="862"/>
      <c r="BL736" s="862"/>
      <c r="BM736" s="862"/>
      <c r="BN736" s="862"/>
      <c r="BO736" s="862"/>
      <c r="BP736" s="862"/>
      <c r="BQ736" s="862"/>
    </row>
    <row r="737" spans="1:69" s="1288" customFormat="1" ht="33">
      <c r="A737" s="102"/>
      <c r="B737" s="10"/>
      <c r="C737" s="628" t="s">
        <v>41</v>
      </c>
      <c r="D737" s="628" t="s">
        <v>28</v>
      </c>
      <c r="E737" s="628" t="s">
        <v>39</v>
      </c>
      <c r="F737" s="628" t="s">
        <v>25</v>
      </c>
      <c r="G737" s="628" t="s">
        <v>28</v>
      </c>
      <c r="H737" s="628" t="s">
        <v>31</v>
      </c>
      <c r="I737" s="10" t="s">
        <v>83</v>
      </c>
      <c r="J737" s="780" t="s">
        <v>2779</v>
      </c>
      <c r="K737" s="107">
        <v>6</v>
      </c>
      <c r="L737" s="238">
        <f>P736</f>
        <v>10100000</v>
      </c>
      <c r="M737" s="107">
        <v>0</v>
      </c>
      <c r="N737" s="238"/>
      <c r="O737" s="107">
        <v>6</v>
      </c>
      <c r="P737" s="238">
        <v>24705000</v>
      </c>
      <c r="Q737" s="107">
        <v>4</v>
      </c>
      <c r="R737" s="632">
        <v>8750000</v>
      </c>
      <c r="S737" s="88">
        <v>1</v>
      </c>
      <c r="T737" s="233">
        <v>10600000</v>
      </c>
      <c r="U737" s="8">
        <v>0</v>
      </c>
      <c r="V737" s="8">
        <v>0</v>
      </c>
      <c r="W737" s="8">
        <v>0</v>
      </c>
      <c r="X737" s="25">
        <v>0</v>
      </c>
      <c r="Y737" s="107"/>
      <c r="Z737" s="514">
        <f t="shared" si="213"/>
        <v>19350000</v>
      </c>
      <c r="AA737" s="107"/>
      <c r="AB737" s="514"/>
      <c r="AC737" s="499"/>
      <c r="AD737" s="499"/>
      <c r="AE737" s="481"/>
      <c r="AF737" s="861"/>
      <c r="AG737" s="861"/>
      <c r="AH737" s="861"/>
      <c r="AI737" s="861"/>
      <c r="AJ737" s="861"/>
      <c r="AK737" s="861"/>
      <c r="AL737" s="861"/>
      <c r="AM737" s="861"/>
      <c r="AN737" s="861"/>
      <c r="AO737" s="861"/>
      <c r="AP737" s="861"/>
      <c r="AQ737" s="861"/>
      <c r="AR737" s="861"/>
      <c r="AS737" s="861"/>
      <c r="AT737" s="861"/>
      <c r="AU737" s="861"/>
      <c r="AV737" s="861"/>
      <c r="AW737" s="861"/>
      <c r="AX737" s="861"/>
      <c r="AY737" s="861"/>
      <c r="AZ737" s="861"/>
      <c r="BA737" s="861"/>
      <c r="BB737" s="861"/>
      <c r="BC737" s="862"/>
      <c r="BD737" s="862"/>
      <c r="BE737" s="862"/>
      <c r="BF737" s="862"/>
      <c r="BG737" s="862"/>
      <c r="BH737" s="862"/>
      <c r="BI737" s="862"/>
      <c r="BJ737" s="862"/>
      <c r="BK737" s="862"/>
      <c r="BL737" s="862"/>
      <c r="BM737" s="862"/>
      <c r="BN737" s="862"/>
      <c r="BO737" s="862"/>
      <c r="BP737" s="862"/>
      <c r="BQ737" s="862"/>
    </row>
    <row r="738" spans="1:69" s="1288" customFormat="1" ht="49.5">
      <c r="A738" s="102"/>
      <c r="B738" s="10"/>
      <c r="C738" s="628" t="s">
        <v>41</v>
      </c>
      <c r="D738" s="628" t="s">
        <v>28</v>
      </c>
      <c r="E738" s="628" t="s">
        <v>39</v>
      </c>
      <c r="F738" s="628" t="s">
        <v>25</v>
      </c>
      <c r="G738" s="628" t="s">
        <v>28</v>
      </c>
      <c r="H738" s="628" t="s">
        <v>61</v>
      </c>
      <c r="I738" s="10" t="s">
        <v>37</v>
      </c>
      <c r="J738" s="10" t="s">
        <v>1032</v>
      </c>
      <c r="K738" s="107">
        <v>72</v>
      </c>
      <c r="L738" s="238">
        <v>150000000</v>
      </c>
      <c r="M738" s="107">
        <v>48</v>
      </c>
      <c r="N738" s="238">
        <v>63955000</v>
      </c>
      <c r="O738" s="107">
        <v>12</v>
      </c>
      <c r="P738" s="238">
        <v>25000000</v>
      </c>
      <c r="Q738" s="107">
        <v>3</v>
      </c>
      <c r="R738" s="632">
        <v>470000</v>
      </c>
      <c r="S738" s="88">
        <v>3</v>
      </c>
      <c r="T738" s="233">
        <v>11338000</v>
      </c>
      <c r="U738" s="8">
        <v>0</v>
      </c>
      <c r="V738" s="25">
        <v>0</v>
      </c>
      <c r="W738" s="8">
        <v>0</v>
      </c>
      <c r="X738" s="632">
        <v>0</v>
      </c>
      <c r="Y738" s="107">
        <f t="shared" ref="Y738:Y744" si="214">Q738+S738+U738+W738</f>
        <v>6</v>
      </c>
      <c r="Z738" s="514">
        <f t="shared" si="213"/>
        <v>11808000</v>
      </c>
      <c r="AA738" s="107">
        <f t="shared" ref="AA738:AB740" si="215">M738+Y738</f>
        <v>54</v>
      </c>
      <c r="AB738" s="514">
        <f t="shared" si="215"/>
        <v>75763000</v>
      </c>
      <c r="AC738" s="499">
        <f t="shared" ref="AC738:AD741" si="216">AA738/K738*100</f>
        <v>75</v>
      </c>
      <c r="AD738" s="499">
        <f t="shared" si="216"/>
        <v>50.50866666666667</v>
      </c>
      <c r="AE738" s="481"/>
      <c r="AF738" s="861"/>
      <c r="AG738" s="861"/>
      <c r="AH738" s="861"/>
      <c r="AI738" s="861"/>
      <c r="AJ738" s="861"/>
      <c r="AK738" s="861"/>
      <c r="AL738" s="861"/>
      <c r="AM738" s="861"/>
      <c r="AN738" s="861"/>
      <c r="AO738" s="861"/>
      <c r="AP738" s="861"/>
      <c r="AQ738" s="861"/>
      <c r="AR738" s="861"/>
      <c r="AS738" s="861"/>
      <c r="AT738" s="861"/>
      <c r="AU738" s="861"/>
      <c r="AV738" s="861"/>
      <c r="AW738" s="861"/>
      <c r="AX738" s="861"/>
      <c r="AY738" s="861"/>
      <c r="AZ738" s="861"/>
      <c r="BA738" s="861"/>
      <c r="BB738" s="861"/>
      <c r="BC738" s="862"/>
      <c r="BD738" s="862"/>
      <c r="BE738" s="862"/>
      <c r="BF738" s="862"/>
      <c r="BG738" s="862"/>
      <c r="BH738" s="862"/>
      <c r="BI738" s="862"/>
      <c r="BJ738" s="862"/>
      <c r="BK738" s="862"/>
      <c r="BL738" s="862"/>
      <c r="BM738" s="862"/>
      <c r="BN738" s="862"/>
      <c r="BO738" s="862"/>
      <c r="BP738" s="862"/>
      <c r="BQ738" s="862"/>
    </row>
    <row r="739" spans="1:69" s="1288" customFormat="1" ht="66">
      <c r="A739" s="102"/>
      <c r="B739" s="10"/>
      <c r="C739" s="628" t="s">
        <v>41</v>
      </c>
      <c r="D739" s="628" t="s">
        <v>28</v>
      </c>
      <c r="E739" s="628" t="s">
        <v>39</v>
      </c>
      <c r="F739" s="628" t="s">
        <v>25</v>
      </c>
      <c r="G739" s="628" t="s">
        <v>28</v>
      </c>
      <c r="H739" s="628" t="s">
        <v>84</v>
      </c>
      <c r="I739" s="10" t="s">
        <v>1033</v>
      </c>
      <c r="J739" s="780" t="s">
        <v>2839</v>
      </c>
      <c r="K739" s="107">
        <v>72</v>
      </c>
      <c r="L739" s="238">
        <v>150000000</v>
      </c>
      <c r="M739" s="107">
        <v>36</v>
      </c>
      <c r="N739" s="238">
        <v>100788750</v>
      </c>
      <c r="O739" s="107">
        <v>12</v>
      </c>
      <c r="P739" s="238">
        <v>135509612</v>
      </c>
      <c r="Q739" s="107">
        <v>3</v>
      </c>
      <c r="R739" s="25">
        <v>21348276</v>
      </c>
      <c r="S739" s="88">
        <v>3</v>
      </c>
      <c r="T739" s="233">
        <v>43964291</v>
      </c>
      <c r="U739" s="8">
        <v>0</v>
      </c>
      <c r="V739" s="25">
        <v>0</v>
      </c>
      <c r="W739" s="8">
        <v>0</v>
      </c>
      <c r="X739" s="632">
        <v>0</v>
      </c>
      <c r="Y739" s="107">
        <f t="shared" si="214"/>
        <v>6</v>
      </c>
      <c r="Z739" s="514">
        <f t="shared" si="213"/>
        <v>65312567</v>
      </c>
      <c r="AA739" s="107">
        <f t="shared" si="215"/>
        <v>42</v>
      </c>
      <c r="AB739" s="514">
        <f t="shared" si="215"/>
        <v>166101317</v>
      </c>
      <c r="AC739" s="499">
        <f t="shared" si="216"/>
        <v>58.333333333333336</v>
      </c>
      <c r="AD739" s="499">
        <f t="shared" si="216"/>
        <v>110.73421133333335</v>
      </c>
      <c r="AE739" s="481"/>
      <c r="AF739" s="861"/>
      <c r="AG739" s="861"/>
      <c r="AH739" s="861"/>
      <c r="AI739" s="861"/>
      <c r="AJ739" s="861"/>
      <c r="AK739" s="861"/>
      <c r="AL739" s="861"/>
      <c r="AM739" s="861"/>
      <c r="AN739" s="861"/>
      <c r="AO739" s="861"/>
      <c r="AP739" s="861"/>
      <c r="AQ739" s="861"/>
      <c r="AR739" s="861"/>
      <c r="AS739" s="861"/>
      <c r="AT739" s="861"/>
      <c r="AU739" s="861"/>
      <c r="AV739" s="861"/>
      <c r="AW739" s="861"/>
      <c r="AX739" s="861"/>
      <c r="AY739" s="861"/>
      <c r="AZ739" s="861"/>
      <c r="BA739" s="861"/>
      <c r="BB739" s="861"/>
      <c r="BC739" s="862"/>
      <c r="BD739" s="862"/>
      <c r="BE739" s="862"/>
      <c r="BF739" s="862"/>
      <c r="BG739" s="862"/>
      <c r="BH739" s="862"/>
      <c r="BI739" s="862"/>
      <c r="BJ739" s="862"/>
      <c r="BK739" s="862"/>
      <c r="BL739" s="862"/>
      <c r="BM739" s="862"/>
      <c r="BN739" s="862"/>
      <c r="BO739" s="862"/>
      <c r="BP739" s="862"/>
      <c r="BQ739" s="862"/>
    </row>
    <row r="740" spans="1:69" s="1288" customFormat="1" ht="49.5">
      <c r="A740" s="102"/>
      <c r="B740" s="10"/>
      <c r="C740" s="628" t="s">
        <v>41</v>
      </c>
      <c r="D740" s="628" t="s">
        <v>28</v>
      </c>
      <c r="E740" s="628" t="s">
        <v>39</v>
      </c>
      <c r="F740" s="628" t="s">
        <v>25</v>
      </c>
      <c r="G740" s="628" t="s">
        <v>28</v>
      </c>
      <c r="H740" s="628" t="s">
        <v>542</v>
      </c>
      <c r="I740" s="10" t="s">
        <v>1035</v>
      </c>
      <c r="J740" s="10" t="s">
        <v>1036</v>
      </c>
      <c r="K740" s="107">
        <v>72</v>
      </c>
      <c r="L740" s="238">
        <v>20000000</v>
      </c>
      <c r="M740" s="107">
        <v>36</v>
      </c>
      <c r="N740" s="238">
        <v>18200000</v>
      </c>
      <c r="O740" s="107">
        <v>12</v>
      </c>
      <c r="P740" s="238">
        <v>11000000</v>
      </c>
      <c r="Q740" s="107">
        <v>3</v>
      </c>
      <c r="R740" s="632">
        <v>8300000</v>
      </c>
      <c r="S740" s="88">
        <v>3</v>
      </c>
      <c r="T740" s="202">
        <v>2700000</v>
      </c>
      <c r="U740" s="8">
        <v>0</v>
      </c>
      <c r="V740" s="25">
        <v>0</v>
      </c>
      <c r="W740" s="8">
        <v>0</v>
      </c>
      <c r="X740" s="632">
        <v>0</v>
      </c>
      <c r="Y740" s="107">
        <f t="shared" si="214"/>
        <v>6</v>
      </c>
      <c r="Z740" s="514">
        <f t="shared" si="213"/>
        <v>11000000</v>
      </c>
      <c r="AA740" s="107">
        <f t="shared" si="215"/>
        <v>42</v>
      </c>
      <c r="AB740" s="514">
        <f t="shared" si="215"/>
        <v>29200000</v>
      </c>
      <c r="AC740" s="499">
        <f t="shared" si="216"/>
        <v>58.333333333333336</v>
      </c>
      <c r="AD740" s="499">
        <f t="shared" si="216"/>
        <v>146</v>
      </c>
      <c r="AE740" s="481"/>
      <c r="AF740" s="861"/>
      <c r="AG740" s="861"/>
      <c r="AH740" s="861"/>
      <c r="AI740" s="861"/>
      <c r="AJ740" s="861"/>
      <c r="AK740" s="861"/>
      <c r="AL740" s="861"/>
      <c r="AM740" s="861"/>
      <c r="AN740" s="861"/>
      <c r="AO740" s="861"/>
      <c r="AP740" s="861"/>
      <c r="AQ740" s="861"/>
      <c r="AR740" s="861"/>
      <c r="AS740" s="861"/>
      <c r="AT740" s="861"/>
      <c r="AU740" s="861"/>
      <c r="AV740" s="861"/>
      <c r="AW740" s="861"/>
      <c r="AX740" s="861"/>
      <c r="AY740" s="861"/>
      <c r="AZ740" s="861"/>
      <c r="BA740" s="861"/>
      <c r="BB740" s="861"/>
      <c r="BC740" s="862"/>
      <c r="BD740" s="862"/>
      <c r="BE740" s="862"/>
      <c r="BF740" s="862"/>
      <c r="BG740" s="862"/>
      <c r="BH740" s="862"/>
      <c r="BI740" s="862"/>
      <c r="BJ740" s="862"/>
      <c r="BK740" s="862"/>
      <c r="BL740" s="862"/>
      <c r="BM740" s="862"/>
      <c r="BN740" s="862"/>
      <c r="BO740" s="862"/>
      <c r="BP740" s="862"/>
      <c r="BQ740" s="862"/>
    </row>
    <row r="741" spans="1:69" s="1288" customFormat="1" ht="49.5">
      <c r="A741" s="2819">
        <v>3</v>
      </c>
      <c r="B741" s="2820"/>
      <c r="C741" s="990" t="s">
        <v>41</v>
      </c>
      <c r="D741" s="990" t="s">
        <v>28</v>
      </c>
      <c r="E741" s="990" t="s">
        <v>39</v>
      </c>
      <c r="F741" s="990" t="s">
        <v>25</v>
      </c>
      <c r="G741" s="990" t="s">
        <v>42</v>
      </c>
      <c r="H741" s="990"/>
      <c r="I741" s="2879" t="s">
        <v>1037</v>
      </c>
      <c r="J741" s="381" t="s">
        <v>1038</v>
      </c>
      <c r="K741" s="631">
        <v>3754</v>
      </c>
      <c r="L741" s="991">
        <f>SUM(L743:L755)</f>
        <v>3561952000</v>
      </c>
      <c r="M741" s="631">
        <v>3955</v>
      </c>
      <c r="N741" s="992">
        <f>SUM(N743:N755)</f>
        <v>856026159</v>
      </c>
      <c r="O741" s="631">
        <v>0</v>
      </c>
      <c r="P741" s="993">
        <f>SUM(P743:P756)</f>
        <v>963973115</v>
      </c>
      <c r="Q741" s="994">
        <v>0</v>
      </c>
      <c r="R741" s="995">
        <f>R743+R745+R744+R746+R747+R748+R750+R751+R753+R752+R754+R755+R756</f>
        <v>26789650</v>
      </c>
      <c r="S741" s="381"/>
      <c r="T741" s="995">
        <f>SUM(T743:T756)</f>
        <v>372598500</v>
      </c>
      <c r="U741" s="381">
        <v>0</v>
      </c>
      <c r="V741" s="995">
        <f>V743+V744+V746+V747+V748+V750+V751+V753+V752+V754+V755</f>
        <v>0</v>
      </c>
      <c r="W741" s="381"/>
      <c r="X741" s="995">
        <f>X743+X744+X746+X747+X748+X750+X751+X753+X752+X754+X755</f>
        <v>0</v>
      </c>
      <c r="Y741" s="631">
        <f t="shared" si="214"/>
        <v>0</v>
      </c>
      <c r="Z741" s="996">
        <f t="shared" si="213"/>
        <v>399388150</v>
      </c>
      <c r="AA741" s="631">
        <v>3954</v>
      </c>
      <c r="AB741" s="996">
        <f>N741+Z741</f>
        <v>1255414309</v>
      </c>
      <c r="AC741" s="997">
        <f t="shared" si="216"/>
        <v>105.3276505061268</v>
      </c>
      <c r="AD741" s="997">
        <f t="shared" si="216"/>
        <v>35.245121467105676</v>
      </c>
      <c r="AE741" s="1675"/>
      <c r="AF741" s="861"/>
      <c r="AG741" s="861"/>
      <c r="AH741" s="861"/>
      <c r="AI741" s="861"/>
      <c r="AJ741" s="861"/>
      <c r="AK741" s="861"/>
      <c r="AL741" s="861"/>
      <c r="AM741" s="861"/>
      <c r="AN741" s="861"/>
      <c r="AO741" s="861"/>
      <c r="AP741" s="861"/>
      <c r="AQ741" s="861"/>
      <c r="AR741" s="861"/>
      <c r="AS741" s="861"/>
      <c r="AT741" s="861"/>
      <c r="AU741" s="861"/>
      <c r="AV741" s="861"/>
      <c r="AW741" s="861"/>
      <c r="AX741" s="861"/>
      <c r="AY741" s="861"/>
      <c r="AZ741" s="861"/>
      <c r="BA741" s="861"/>
      <c r="BB741" s="861"/>
      <c r="BC741" s="862"/>
      <c r="BD741" s="862"/>
      <c r="BE741" s="862"/>
      <c r="BF741" s="862"/>
      <c r="BG741" s="862"/>
      <c r="BH741" s="862"/>
      <c r="BI741" s="862"/>
      <c r="BJ741" s="862"/>
      <c r="BK741" s="862"/>
      <c r="BL741" s="862"/>
      <c r="BM741" s="862"/>
      <c r="BN741" s="862"/>
      <c r="BO741" s="862"/>
      <c r="BP741" s="862"/>
      <c r="BQ741" s="862"/>
    </row>
    <row r="742" spans="1:69" s="1288" customFormat="1" ht="49.5">
      <c r="A742" s="2819"/>
      <c r="B742" s="2820"/>
      <c r="C742" s="998"/>
      <c r="D742" s="998"/>
      <c r="E742" s="998"/>
      <c r="F742" s="998"/>
      <c r="G742" s="998"/>
      <c r="H742" s="998"/>
      <c r="I742" s="2880"/>
      <c r="J742" s="33" t="s">
        <v>1039</v>
      </c>
      <c r="K742" s="545">
        <v>83.73</v>
      </c>
      <c r="L742" s="230"/>
      <c r="M742" s="545">
        <v>63</v>
      </c>
      <c r="N742" s="1676"/>
      <c r="O742" s="545">
        <v>14</v>
      </c>
      <c r="P742" s="160"/>
      <c r="Q742" s="1117">
        <v>0</v>
      </c>
      <c r="R742" s="762"/>
      <c r="S742" s="33"/>
      <c r="T742" s="144">
        <v>0</v>
      </c>
      <c r="U742" s="33">
        <v>0</v>
      </c>
      <c r="V742" s="33">
        <v>0</v>
      </c>
      <c r="W742" s="33"/>
      <c r="X742" s="33"/>
      <c r="Y742" s="545">
        <f t="shared" si="214"/>
        <v>0</v>
      </c>
      <c r="Z742" s="223">
        <f t="shared" si="213"/>
        <v>0</v>
      </c>
      <c r="AA742" s="545">
        <v>77.150000000000006</v>
      </c>
      <c r="AB742" s="223">
        <f>N742+Z742</f>
        <v>0</v>
      </c>
      <c r="AC742" s="148">
        <f>AA742/K742*100</f>
        <v>92.141406903141061</v>
      </c>
      <c r="AD742" s="148"/>
      <c r="AE742" s="480"/>
      <c r="AF742" s="861"/>
      <c r="AG742" s="861"/>
      <c r="AH742" s="861"/>
      <c r="AI742" s="861"/>
      <c r="AJ742" s="861"/>
      <c r="AK742" s="861"/>
      <c r="AL742" s="861"/>
      <c r="AM742" s="861"/>
      <c r="AN742" s="861"/>
      <c r="AO742" s="861"/>
      <c r="AP742" s="861"/>
      <c r="AQ742" s="861"/>
      <c r="AR742" s="861"/>
      <c r="AS742" s="861"/>
      <c r="AT742" s="861"/>
      <c r="AU742" s="861"/>
      <c r="AV742" s="861"/>
      <c r="AW742" s="861"/>
      <c r="AX742" s="861"/>
      <c r="AY742" s="861"/>
      <c r="AZ742" s="861"/>
      <c r="BA742" s="861"/>
      <c r="BB742" s="861"/>
      <c r="BC742" s="862"/>
      <c r="BD742" s="862"/>
      <c r="BE742" s="862"/>
      <c r="BF742" s="862"/>
      <c r="BG742" s="862"/>
      <c r="BH742" s="862"/>
      <c r="BI742" s="862"/>
      <c r="BJ742" s="862"/>
      <c r="BK742" s="862"/>
      <c r="BL742" s="862"/>
      <c r="BM742" s="862"/>
      <c r="BN742" s="862"/>
      <c r="BO742" s="862"/>
      <c r="BP742" s="862"/>
      <c r="BQ742" s="862"/>
    </row>
    <row r="743" spans="1:69" s="1288" customFormat="1" ht="82.5">
      <c r="A743" s="102"/>
      <c r="B743" s="8"/>
      <c r="C743" s="628" t="s">
        <v>41</v>
      </c>
      <c r="D743" s="628" t="s">
        <v>28</v>
      </c>
      <c r="E743" s="628" t="s">
        <v>39</v>
      </c>
      <c r="F743" s="628" t="s">
        <v>25</v>
      </c>
      <c r="G743" s="628" t="s">
        <v>42</v>
      </c>
      <c r="H743" s="628" t="s">
        <v>25</v>
      </c>
      <c r="I743" s="10" t="s">
        <v>1040</v>
      </c>
      <c r="J743" s="10" t="s">
        <v>1041</v>
      </c>
      <c r="K743" s="107">
        <v>60</v>
      </c>
      <c r="L743" s="238">
        <f>50000000*6</f>
        <v>300000000</v>
      </c>
      <c r="M743" s="107">
        <v>24</v>
      </c>
      <c r="N743" s="1001">
        <v>56158920</v>
      </c>
      <c r="O743" s="107">
        <v>10</v>
      </c>
      <c r="P743" s="204">
        <v>39927000</v>
      </c>
      <c r="Q743" s="505">
        <v>0</v>
      </c>
      <c r="R743" s="828">
        <v>0</v>
      </c>
      <c r="S743" s="88">
        <v>0</v>
      </c>
      <c r="T743" s="202"/>
      <c r="U743" s="8">
        <v>0</v>
      </c>
      <c r="V743" s="25">
        <v>0</v>
      </c>
      <c r="W743" s="8">
        <v>0</v>
      </c>
      <c r="X743" s="632">
        <v>0</v>
      </c>
      <c r="Y743" s="107">
        <f t="shared" si="214"/>
        <v>0</v>
      </c>
      <c r="Z743" s="514">
        <f t="shared" si="213"/>
        <v>0</v>
      </c>
      <c r="AA743" s="107">
        <f>M743+Y743</f>
        <v>24</v>
      </c>
      <c r="AB743" s="514">
        <f>N743+Z743</f>
        <v>56158920</v>
      </c>
      <c r="AC743" s="499">
        <f>AA743/K743*100</f>
        <v>40</v>
      </c>
      <c r="AD743" s="499">
        <f>AB743/L743*100</f>
        <v>18.719640000000002</v>
      </c>
      <c r="AE743" s="481"/>
      <c r="AF743" s="861"/>
      <c r="AG743" s="861"/>
      <c r="AH743" s="861"/>
      <c r="AI743" s="861"/>
      <c r="AJ743" s="861"/>
      <c r="AK743" s="861"/>
      <c r="AL743" s="861"/>
      <c r="AM743" s="861"/>
      <c r="AN743" s="861"/>
      <c r="AO743" s="861"/>
      <c r="AP743" s="861"/>
      <c r="AQ743" s="861"/>
      <c r="AR743" s="861"/>
      <c r="AS743" s="861"/>
      <c r="AT743" s="861"/>
      <c r="AU743" s="861"/>
      <c r="AV743" s="861"/>
      <c r="AW743" s="861"/>
      <c r="AX743" s="861"/>
      <c r="AY743" s="861"/>
      <c r="AZ743" s="861"/>
      <c r="BA743" s="861"/>
      <c r="BB743" s="861"/>
      <c r="BC743" s="862"/>
      <c r="BD743" s="862"/>
      <c r="BE743" s="862"/>
      <c r="BF743" s="862"/>
      <c r="BG743" s="862"/>
      <c r="BH743" s="862"/>
      <c r="BI743" s="862"/>
      <c r="BJ743" s="862"/>
      <c r="BK743" s="862"/>
      <c r="BL743" s="862"/>
      <c r="BM743" s="862"/>
      <c r="BN743" s="862"/>
      <c r="BO743" s="862"/>
      <c r="BP743" s="862"/>
      <c r="BQ743" s="862"/>
    </row>
    <row r="744" spans="1:69" s="1288" customFormat="1" ht="66">
      <c r="A744" s="102"/>
      <c r="B744" s="8"/>
      <c r="C744" s="628" t="s">
        <v>41</v>
      </c>
      <c r="D744" s="628" t="s">
        <v>28</v>
      </c>
      <c r="E744" s="628" t="s">
        <v>39</v>
      </c>
      <c r="F744" s="628" t="s">
        <v>25</v>
      </c>
      <c r="G744" s="628" t="s">
        <v>42</v>
      </c>
      <c r="H744" s="628" t="s">
        <v>58</v>
      </c>
      <c r="I744" s="10" t="s">
        <v>1042</v>
      </c>
      <c r="J744" s="780" t="s">
        <v>2840</v>
      </c>
      <c r="K744" s="107">
        <f>48</f>
        <v>48</v>
      </c>
      <c r="L744" s="238">
        <v>160000000</v>
      </c>
      <c r="M744" s="107">
        <v>28</v>
      </c>
      <c r="N744" s="1001">
        <v>80271360</v>
      </c>
      <c r="O744" s="107">
        <v>14</v>
      </c>
      <c r="P744" s="204">
        <v>14050000</v>
      </c>
      <c r="Q744" s="505">
        <v>0</v>
      </c>
      <c r="R744" s="828">
        <v>2025000</v>
      </c>
      <c r="S744" s="88">
        <v>7</v>
      </c>
      <c r="T744" s="233">
        <v>2421000</v>
      </c>
      <c r="U744" s="8">
        <v>0</v>
      </c>
      <c r="V744" s="25">
        <v>0</v>
      </c>
      <c r="W744" s="8">
        <v>0</v>
      </c>
      <c r="X744" s="632">
        <v>0</v>
      </c>
      <c r="Y744" s="107">
        <f t="shared" si="214"/>
        <v>7</v>
      </c>
      <c r="Z744" s="514">
        <f t="shared" si="213"/>
        <v>4446000</v>
      </c>
      <c r="AA744" s="107">
        <f>M744+Y744</f>
        <v>35</v>
      </c>
      <c r="AB744" s="514">
        <f>N744+Z744</f>
        <v>84717360</v>
      </c>
      <c r="AC744" s="499">
        <f>AA744/K744*100</f>
        <v>72.916666666666657</v>
      </c>
      <c r="AD744" s="499">
        <f>AB744/L744*100</f>
        <v>52.948349999999998</v>
      </c>
      <c r="AE744" s="481"/>
      <c r="AF744" s="861"/>
      <c r="AG744" s="861"/>
      <c r="AH744" s="861"/>
      <c r="AI744" s="861"/>
      <c r="AJ744" s="861"/>
      <c r="AK744" s="861"/>
      <c r="AL744" s="861"/>
      <c r="AM744" s="861"/>
      <c r="AN744" s="861"/>
      <c r="AO744" s="861"/>
      <c r="AP744" s="861"/>
      <c r="AQ744" s="861"/>
      <c r="AR744" s="861"/>
      <c r="AS744" s="861"/>
      <c r="AT744" s="861"/>
      <c r="AU744" s="861"/>
      <c r="AV744" s="861"/>
      <c r="AW744" s="861"/>
      <c r="AX744" s="861"/>
      <c r="AY744" s="861"/>
      <c r="AZ744" s="861"/>
      <c r="BA744" s="861"/>
      <c r="BB744" s="861"/>
      <c r="BC744" s="862"/>
      <c r="BD744" s="862"/>
      <c r="BE744" s="862"/>
      <c r="BF744" s="862"/>
      <c r="BG744" s="862"/>
      <c r="BH744" s="862"/>
      <c r="BI744" s="862"/>
      <c r="BJ744" s="862"/>
      <c r="BK744" s="862"/>
      <c r="BL744" s="862"/>
      <c r="BM744" s="862"/>
      <c r="BN744" s="862"/>
      <c r="BO744" s="862"/>
      <c r="BP744" s="862"/>
      <c r="BQ744" s="862"/>
    </row>
    <row r="745" spans="1:69" s="1288" customFormat="1" ht="99">
      <c r="A745" s="102"/>
      <c r="B745" s="8"/>
      <c r="C745" s="628" t="s">
        <v>41</v>
      </c>
      <c r="D745" s="628" t="s">
        <v>28</v>
      </c>
      <c r="E745" s="628" t="s">
        <v>39</v>
      </c>
      <c r="F745" s="628" t="s">
        <v>25</v>
      </c>
      <c r="G745" s="628" t="s">
        <v>42</v>
      </c>
      <c r="H745" s="628" t="s">
        <v>60</v>
      </c>
      <c r="I745" s="10" t="s">
        <v>1043</v>
      </c>
      <c r="J745" s="780" t="s">
        <v>2841</v>
      </c>
      <c r="K745" s="107">
        <v>3</v>
      </c>
      <c r="L745" s="238">
        <v>1500000000</v>
      </c>
      <c r="M745" s="107">
        <v>0</v>
      </c>
      <c r="N745" s="1001">
        <v>0</v>
      </c>
      <c r="O745" s="107">
        <v>1</v>
      </c>
      <c r="P745" s="204">
        <v>500000000</v>
      </c>
      <c r="Q745" s="505">
        <v>0</v>
      </c>
      <c r="R745" s="828">
        <v>1021250</v>
      </c>
      <c r="S745" s="88">
        <v>0</v>
      </c>
      <c r="T745" s="233">
        <v>234275750</v>
      </c>
      <c r="U745" s="8"/>
      <c r="V745" s="25">
        <v>0</v>
      </c>
      <c r="W745" s="8">
        <v>0</v>
      </c>
      <c r="X745" s="632">
        <v>0</v>
      </c>
      <c r="Y745" s="107"/>
      <c r="Z745" s="514">
        <f t="shared" si="213"/>
        <v>235297000</v>
      </c>
      <c r="AA745" s="107"/>
      <c r="AB745" s="514"/>
      <c r="AC745" s="499"/>
      <c r="AD745" s="499"/>
      <c r="AE745" s="481"/>
      <c r="AF745" s="861"/>
      <c r="AG745" s="861"/>
      <c r="AH745" s="861"/>
      <c r="AI745" s="861"/>
      <c r="AJ745" s="861"/>
      <c r="AK745" s="861"/>
      <c r="AL745" s="861"/>
      <c r="AM745" s="861"/>
      <c r="AN745" s="861"/>
      <c r="AO745" s="861"/>
      <c r="AP745" s="861"/>
      <c r="AQ745" s="861"/>
      <c r="AR745" s="861"/>
      <c r="AS745" s="861"/>
      <c r="AT745" s="861"/>
      <c r="AU745" s="861"/>
      <c r="AV745" s="861"/>
      <c r="AW745" s="861"/>
      <c r="AX745" s="861"/>
      <c r="AY745" s="861"/>
      <c r="AZ745" s="861"/>
      <c r="BA745" s="861"/>
      <c r="BB745" s="861"/>
      <c r="BC745" s="862"/>
      <c r="BD745" s="862"/>
      <c r="BE745" s="862"/>
      <c r="BF745" s="862"/>
      <c r="BG745" s="862"/>
      <c r="BH745" s="862"/>
      <c r="BI745" s="862"/>
      <c r="BJ745" s="862"/>
      <c r="BK745" s="862"/>
      <c r="BL745" s="862"/>
      <c r="BM745" s="862"/>
      <c r="BN745" s="862"/>
      <c r="BO745" s="862"/>
      <c r="BP745" s="862"/>
      <c r="BQ745" s="862"/>
    </row>
    <row r="746" spans="1:69" s="1288" customFormat="1" ht="66">
      <c r="A746" s="102"/>
      <c r="B746" s="8"/>
      <c r="C746" s="628" t="s">
        <v>41</v>
      </c>
      <c r="D746" s="628" t="s">
        <v>28</v>
      </c>
      <c r="E746" s="628" t="s">
        <v>39</v>
      </c>
      <c r="F746" s="628" t="s">
        <v>25</v>
      </c>
      <c r="G746" s="628" t="s">
        <v>42</v>
      </c>
      <c r="H746" s="628" t="s">
        <v>589</v>
      </c>
      <c r="I746" s="10" t="s">
        <v>1044</v>
      </c>
      <c r="J746" s="10" t="s">
        <v>1045</v>
      </c>
      <c r="K746" s="107">
        <v>92</v>
      </c>
      <c r="L746" s="238">
        <v>130000000</v>
      </c>
      <c r="M746" s="107">
        <v>46</v>
      </c>
      <c r="N746" s="1001">
        <v>54679850</v>
      </c>
      <c r="O746" s="107">
        <v>23</v>
      </c>
      <c r="P746" s="204">
        <v>49891900</v>
      </c>
      <c r="Q746" s="505">
        <v>0</v>
      </c>
      <c r="R746" s="828">
        <v>7607400</v>
      </c>
      <c r="S746" s="88">
        <v>6</v>
      </c>
      <c r="T746" s="233">
        <v>10924250</v>
      </c>
      <c r="U746" s="8">
        <v>0</v>
      </c>
      <c r="V746" s="25">
        <v>0</v>
      </c>
      <c r="W746" s="8">
        <v>0</v>
      </c>
      <c r="X746" s="632">
        <v>0</v>
      </c>
      <c r="Y746" s="107">
        <f t="shared" ref="Y746:Y755" si="217">Q746+S746+U746+W746</f>
        <v>6</v>
      </c>
      <c r="Z746" s="514">
        <f t="shared" si="213"/>
        <v>18531650</v>
      </c>
      <c r="AA746" s="107">
        <f t="shared" ref="AA746:AB752" si="218">M746+Y746</f>
        <v>52</v>
      </c>
      <c r="AB746" s="514">
        <f t="shared" si="218"/>
        <v>73211500</v>
      </c>
      <c r="AC746" s="499">
        <f t="shared" ref="AC746:AD748" si="219">AA746/K746*100</f>
        <v>56.521739130434781</v>
      </c>
      <c r="AD746" s="499">
        <f t="shared" si="219"/>
        <v>56.316538461538457</v>
      </c>
      <c r="AE746" s="481"/>
      <c r="AF746" s="861"/>
      <c r="AG746" s="861"/>
      <c r="AH746" s="861"/>
      <c r="AI746" s="861"/>
      <c r="AJ746" s="861"/>
      <c r="AK746" s="861"/>
      <c r="AL746" s="861"/>
      <c r="AM746" s="861"/>
      <c r="AN746" s="861"/>
      <c r="AO746" s="861"/>
      <c r="AP746" s="861"/>
      <c r="AQ746" s="861"/>
      <c r="AR746" s="861"/>
      <c r="AS746" s="861"/>
      <c r="AT746" s="861"/>
      <c r="AU746" s="861"/>
      <c r="AV746" s="861"/>
      <c r="AW746" s="861"/>
      <c r="AX746" s="861"/>
      <c r="AY746" s="861"/>
      <c r="AZ746" s="861"/>
      <c r="BA746" s="861"/>
      <c r="BB746" s="861"/>
      <c r="BC746" s="862"/>
      <c r="BD746" s="862"/>
      <c r="BE746" s="862"/>
      <c r="BF746" s="862"/>
      <c r="BG746" s="862"/>
      <c r="BH746" s="862"/>
      <c r="BI746" s="862"/>
      <c r="BJ746" s="862"/>
      <c r="BK746" s="862"/>
      <c r="BL746" s="862"/>
      <c r="BM746" s="862"/>
      <c r="BN746" s="862"/>
      <c r="BO746" s="862"/>
      <c r="BP746" s="862"/>
      <c r="BQ746" s="862"/>
    </row>
    <row r="747" spans="1:69" s="1288" customFormat="1" ht="132">
      <c r="A747" s="102"/>
      <c r="B747" s="8"/>
      <c r="C747" s="628" t="s">
        <v>41</v>
      </c>
      <c r="D747" s="628" t="s">
        <v>28</v>
      </c>
      <c r="E747" s="628" t="s">
        <v>39</v>
      </c>
      <c r="F747" s="628" t="s">
        <v>25</v>
      </c>
      <c r="G747" s="628" t="s">
        <v>42</v>
      </c>
      <c r="H747" s="628" t="s">
        <v>1046</v>
      </c>
      <c r="I747" s="10" t="s">
        <v>1047</v>
      </c>
      <c r="J747" s="10" t="s">
        <v>1048</v>
      </c>
      <c r="K747" s="107">
        <v>72</v>
      </c>
      <c r="L747" s="238">
        <v>80000000</v>
      </c>
      <c r="M747" s="107">
        <v>36</v>
      </c>
      <c r="N747" s="1001">
        <v>45334790</v>
      </c>
      <c r="O747" s="107">
        <v>12</v>
      </c>
      <c r="P747" s="204">
        <v>53945815</v>
      </c>
      <c r="Q747" s="505">
        <v>3</v>
      </c>
      <c r="R747" s="828">
        <v>3475000</v>
      </c>
      <c r="S747" s="88">
        <v>6</v>
      </c>
      <c r="T747" s="233">
        <v>17455500</v>
      </c>
      <c r="U747" s="8">
        <v>0</v>
      </c>
      <c r="V747" s="25">
        <v>0</v>
      </c>
      <c r="W747" s="8">
        <v>0</v>
      </c>
      <c r="X747" s="632">
        <v>0</v>
      </c>
      <c r="Y747" s="107">
        <f t="shared" si="217"/>
        <v>9</v>
      </c>
      <c r="Z747" s="514">
        <f t="shared" si="213"/>
        <v>20930500</v>
      </c>
      <c r="AA747" s="107">
        <f t="shared" si="218"/>
        <v>45</v>
      </c>
      <c r="AB747" s="514">
        <f t="shared" si="218"/>
        <v>66265290</v>
      </c>
      <c r="AC747" s="499">
        <f t="shared" si="219"/>
        <v>62.5</v>
      </c>
      <c r="AD747" s="499">
        <f t="shared" si="219"/>
        <v>82.831612499999991</v>
      </c>
      <c r="AE747" s="481"/>
      <c r="AF747" s="861"/>
      <c r="AG747" s="861"/>
      <c r="AH747" s="861"/>
      <c r="AI747" s="861"/>
      <c r="AJ747" s="861"/>
      <c r="AK747" s="861"/>
      <c r="AL747" s="861"/>
      <c r="AM747" s="861"/>
      <c r="AN747" s="861"/>
      <c r="AO747" s="861"/>
      <c r="AP747" s="861"/>
      <c r="AQ747" s="861"/>
      <c r="AR747" s="861"/>
      <c r="AS747" s="861"/>
      <c r="AT747" s="861"/>
      <c r="AU747" s="861"/>
      <c r="AV747" s="861"/>
      <c r="AW747" s="861"/>
      <c r="AX747" s="861"/>
      <c r="AY747" s="861"/>
      <c r="AZ747" s="861"/>
      <c r="BA747" s="861"/>
      <c r="BB747" s="861"/>
      <c r="BC747" s="862"/>
      <c r="BD747" s="862"/>
      <c r="BE747" s="862"/>
      <c r="BF747" s="862"/>
      <c r="BG747" s="862"/>
      <c r="BH747" s="862"/>
      <c r="BI747" s="862"/>
      <c r="BJ747" s="862"/>
      <c r="BK747" s="862"/>
      <c r="BL747" s="862"/>
      <c r="BM747" s="862"/>
      <c r="BN747" s="862"/>
      <c r="BO747" s="862"/>
      <c r="BP747" s="862"/>
      <c r="BQ747" s="862"/>
    </row>
    <row r="748" spans="1:69" s="1288" customFormat="1" ht="66">
      <c r="A748" s="102"/>
      <c r="B748" s="8"/>
      <c r="C748" s="628" t="s">
        <v>41</v>
      </c>
      <c r="D748" s="628" t="s">
        <v>28</v>
      </c>
      <c r="E748" s="628" t="s">
        <v>39</v>
      </c>
      <c r="F748" s="628" t="s">
        <v>25</v>
      </c>
      <c r="G748" s="628" t="s">
        <v>42</v>
      </c>
      <c r="H748" s="628" t="s">
        <v>1049</v>
      </c>
      <c r="I748" s="10" t="s">
        <v>1050</v>
      </c>
      <c r="J748" s="780" t="s">
        <v>2842</v>
      </c>
      <c r="K748" s="107">
        <v>100</v>
      </c>
      <c r="L748" s="238">
        <v>250000000</v>
      </c>
      <c r="M748" s="107">
        <v>45.75</v>
      </c>
      <c r="N748" s="1001">
        <v>84791480</v>
      </c>
      <c r="O748" s="107">
        <v>5</v>
      </c>
      <c r="P748" s="204">
        <v>76164000</v>
      </c>
      <c r="Q748" s="505">
        <v>0</v>
      </c>
      <c r="R748" s="828">
        <v>675000</v>
      </c>
      <c r="S748" s="88">
        <v>5</v>
      </c>
      <c r="T748" s="233">
        <v>59860200</v>
      </c>
      <c r="U748" s="8">
        <v>0</v>
      </c>
      <c r="V748" s="25">
        <v>0</v>
      </c>
      <c r="W748" s="8">
        <v>0</v>
      </c>
      <c r="X748" s="632">
        <v>0</v>
      </c>
      <c r="Y748" s="107">
        <f t="shared" si="217"/>
        <v>5</v>
      </c>
      <c r="Z748" s="514">
        <f t="shared" si="213"/>
        <v>60535200</v>
      </c>
      <c r="AA748" s="107">
        <f t="shared" si="218"/>
        <v>50.75</v>
      </c>
      <c r="AB748" s="514">
        <f t="shared" si="218"/>
        <v>145326680</v>
      </c>
      <c r="AC748" s="499">
        <f t="shared" si="219"/>
        <v>50.749999999999993</v>
      </c>
      <c r="AD748" s="499">
        <f t="shared" si="219"/>
        <v>58.130672000000004</v>
      </c>
      <c r="AE748" s="481"/>
      <c r="AF748" s="861"/>
      <c r="AG748" s="861"/>
      <c r="AH748" s="861"/>
      <c r="AI748" s="861"/>
      <c r="AJ748" s="861"/>
      <c r="AK748" s="861"/>
      <c r="AL748" s="861"/>
      <c r="AM748" s="861"/>
      <c r="AN748" s="861"/>
      <c r="AO748" s="861"/>
      <c r="AP748" s="861"/>
      <c r="AQ748" s="861"/>
      <c r="AR748" s="861"/>
      <c r="AS748" s="861"/>
      <c r="AT748" s="861"/>
      <c r="AU748" s="861"/>
      <c r="AV748" s="861"/>
      <c r="AW748" s="861"/>
      <c r="AX748" s="861"/>
      <c r="AY748" s="861"/>
      <c r="AZ748" s="861"/>
      <c r="BA748" s="861"/>
      <c r="BB748" s="861"/>
      <c r="BC748" s="862"/>
      <c r="BD748" s="862"/>
      <c r="BE748" s="862"/>
      <c r="BF748" s="862"/>
      <c r="BG748" s="862"/>
      <c r="BH748" s="862"/>
      <c r="BI748" s="862"/>
      <c r="BJ748" s="862"/>
      <c r="BK748" s="862"/>
      <c r="BL748" s="862"/>
      <c r="BM748" s="862"/>
      <c r="BN748" s="862"/>
      <c r="BO748" s="862"/>
      <c r="BP748" s="862"/>
      <c r="BQ748" s="862"/>
    </row>
    <row r="749" spans="1:69" s="1288" customFormat="1" ht="82.5">
      <c r="A749" s="102"/>
      <c r="B749" s="8"/>
      <c r="C749" s="628" t="s">
        <v>41</v>
      </c>
      <c r="D749" s="628" t="s">
        <v>28</v>
      </c>
      <c r="E749" s="628" t="s">
        <v>39</v>
      </c>
      <c r="F749" s="628" t="s">
        <v>25</v>
      </c>
      <c r="G749" s="628" t="s">
        <v>42</v>
      </c>
      <c r="H749" s="628">
        <v>52</v>
      </c>
      <c r="I749" s="780" t="s">
        <v>2845</v>
      </c>
      <c r="J749" s="780" t="s">
        <v>2844</v>
      </c>
      <c r="K749" s="107">
        <v>3</v>
      </c>
      <c r="L749" s="238">
        <f>3*P749</f>
        <v>56952000</v>
      </c>
      <c r="M749" s="107">
        <v>0</v>
      </c>
      <c r="N749" s="1001">
        <v>0</v>
      </c>
      <c r="O749" s="107">
        <v>1</v>
      </c>
      <c r="P749" s="204">
        <v>18984000</v>
      </c>
      <c r="Q749" s="505">
        <v>0</v>
      </c>
      <c r="R749" s="828">
        <v>0</v>
      </c>
      <c r="S749" s="88">
        <v>0</v>
      </c>
      <c r="T749" s="233"/>
      <c r="U749" s="8">
        <v>0</v>
      </c>
      <c r="V749" s="25">
        <v>0</v>
      </c>
      <c r="W749" s="8">
        <v>0</v>
      </c>
      <c r="X749" s="632">
        <v>0</v>
      </c>
      <c r="Y749" s="107">
        <f t="shared" si="217"/>
        <v>0</v>
      </c>
      <c r="Z749" s="514">
        <f t="shared" si="213"/>
        <v>0</v>
      </c>
      <c r="AA749" s="107">
        <f t="shared" si="218"/>
        <v>0</v>
      </c>
      <c r="AB749" s="514">
        <f t="shared" si="218"/>
        <v>0</v>
      </c>
      <c r="AC749" s="499">
        <f t="shared" ref="AC749:AC755" si="220">AA749/K749*100</f>
        <v>0</v>
      </c>
      <c r="AD749" s="499"/>
      <c r="AE749" s="481"/>
      <c r="AF749" s="861"/>
      <c r="AG749" s="861"/>
      <c r="AH749" s="861"/>
      <c r="AI749" s="861"/>
      <c r="AJ749" s="861"/>
      <c r="AK749" s="861"/>
      <c r="AL749" s="861"/>
      <c r="AM749" s="861"/>
      <c r="AN749" s="861"/>
      <c r="AO749" s="861"/>
      <c r="AP749" s="861"/>
      <c r="AQ749" s="861"/>
      <c r="AR749" s="861"/>
      <c r="AS749" s="861"/>
      <c r="AT749" s="861"/>
      <c r="AU749" s="861"/>
      <c r="AV749" s="861"/>
      <c r="AW749" s="861"/>
      <c r="AX749" s="861"/>
      <c r="AY749" s="861"/>
      <c r="AZ749" s="861"/>
      <c r="BA749" s="861"/>
      <c r="BB749" s="861"/>
      <c r="BC749" s="862"/>
      <c r="BD749" s="862"/>
      <c r="BE749" s="862"/>
      <c r="BF749" s="862"/>
      <c r="BG749" s="862"/>
      <c r="BH749" s="862"/>
      <c r="BI749" s="862"/>
      <c r="BJ749" s="862"/>
      <c r="BK749" s="862"/>
      <c r="BL749" s="862"/>
      <c r="BM749" s="862"/>
      <c r="BN749" s="862"/>
      <c r="BO749" s="862"/>
      <c r="BP749" s="862"/>
      <c r="BQ749" s="862"/>
    </row>
    <row r="750" spans="1:69" s="1288" customFormat="1" ht="49.5">
      <c r="A750" s="102"/>
      <c r="B750" s="8"/>
      <c r="C750" s="628" t="s">
        <v>41</v>
      </c>
      <c r="D750" s="628" t="s">
        <v>28</v>
      </c>
      <c r="E750" s="628" t="s">
        <v>39</v>
      </c>
      <c r="F750" s="628" t="s">
        <v>25</v>
      </c>
      <c r="G750" s="628" t="s">
        <v>42</v>
      </c>
      <c r="H750" s="628">
        <v>53</v>
      </c>
      <c r="I750" s="10" t="s">
        <v>1051</v>
      </c>
      <c r="J750" s="10" t="s">
        <v>1052</v>
      </c>
      <c r="K750" s="107">
        <v>18</v>
      </c>
      <c r="L750" s="238">
        <v>75000000</v>
      </c>
      <c r="M750" s="107">
        <v>12</v>
      </c>
      <c r="N750" s="1001">
        <v>36549200</v>
      </c>
      <c r="O750" s="107">
        <v>6</v>
      </c>
      <c r="P750" s="204">
        <v>32301200</v>
      </c>
      <c r="Q750" s="505">
        <v>0</v>
      </c>
      <c r="R750" s="828">
        <v>1375000</v>
      </c>
      <c r="S750" s="88">
        <v>3</v>
      </c>
      <c r="T750" s="233">
        <v>5835000</v>
      </c>
      <c r="U750" s="8">
        <v>0</v>
      </c>
      <c r="V750" s="25">
        <v>0</v>
      </c>
      <c r="W750" s="8">
        <v>0</v>
      </c>
      <c r="X750" s="632">
        <v>0</v>
      </c>
      <c r="Y750" s="107">
        <f t="shared" si="217"/>
        <v>3</v>
      </c>
      <c r="Z750" s="514">
        <f t="shared" si="213"/>
        <v>7210000</v>
      </c>
      <c r="AA750" s="107">
        <f t="shared" si="218"/>
        <v>15</v>
      </c>
      <c r="AB750" s="514">
        <f t="shared" si="218"/>
        <v>43759200</v>
      </c>
      <c r="AC750" s="499">
        <f t="shared" si="220"/>
        <v>83.333333333333343</v>
      </c>
      <c r="AD750" s="499">
        <f t="shared" ref="AD750:AD755" si="221">AB750/L750*100</f>
        <v>58.345599999999997</v>
      </c>
      <c r="AE750" s="481"/>
      <c r="AF750" s="861"/>
      <c r="AG750" s="861"/>
      <c r="AH750" s="861"/>
      <c r="AI750" s="861"/>
      <c r="AJ750" s="861"/>
      <c r="AK750" s="861"/>
      <c r="AL750" s="861"/>
      <c r="AM750" s="861"/>
      <c r="AN750" s="861"/>
      <c r="AO750" s="861"/>
      <c r="AP750" s="861"/>
      <c r="AQ750" s="861"/>
      <c r="AR750" s="861"/>
      <c r="AS750" s="861"/>
      <c r="AT750" s="861"/>
      <c r="AU750" s="861"/>
      <c r="AV750" s="861"/>
      <c r="AW750" s="861"/>
      <c r="AX750" s="861"/>
      <c r="AY750" s="861"/>
      <c r="AZ750" s="861"/>
      <c r="BA750" s="861"/>
      <c r="BB750" s="861"/>
      <c r="BC750" s="862"/>
      <c r="BD750" s="862"/>
      <c r="BE750" s="862"/>
      <c r="BF750" s="862"/>
      <c r="BG750" s="862"/>
      <c r="BH750" s="862"/>
      <c r="BI750" s="862"/>
      <c r="BJ750" s="862"/>
      <c r="BK750" s="862"/>
      <c r="BL750" s="862"/>
      <c r="BM750" s="862"/>
      <c r="BN750" s="862"/>
      <c r="BO750" s="862"/>
      <c r="BP750" s="862"/>
      <c r="BQ750" s="862"/>
    </row>
    <row r="751" spans="1:69" s="1288" customFormat="1" ht="49.5">
      <c r="A751" s="102"/>
      <c r="B751" s="8"/>
      <c r="C751" s="628" t="s">
        <v>41</v>
      </c>
      <c r="D751" s="628" t="s">
        <v>28</v>
      </c>
      <c r="E751" s="628" t="s">
        <v>39</v>
      </c>
      <c r="F751" s="628" t="s">
        <v>25</v>
      </c>
      <c r="G751" s="628" t="s">
        <v>42</v>
      </c>
      <c r="H751" s="628" t="s">
        <v>104</v>
      </c>
      <c r="I751" s="10" t="s">
        <v>1053</v>
      </c>
      <c r="J751" s="10" t="s">
        <v>1054</v>
      </c>
      <c r="K751" s="107">
        <v>12</v>
      </c>
      <c r="L751" s="238">
        <v>300000000</v>
      </c>
      <c r="M751" s="107">
        <v>4</v>
      </c>
      <c r="N751" s="1001">
        <v>36549200</v>
      </c>
      <c r="O751" s="107">
        <v>2</v>
      </c>
      <c r="P751" s="204">
        <v>46700400</v>
      </c>
      <c r="Q751" s="505">
        <v>0</v>
      </c>
      <c r="R751" s="828">
        <v>1025000</v>
      </c>
      <c r="S751" s="88">
        <v>2</v>
      </c>
      <c r="T751" s="233">
        <v>24550000</v>
      </c>
      <c r="U751" s="8">
        <v>0</v>
      </c>
      <c r="V751" s="25">
        <v>0</v>
      </c>
      <c r="W751" s="8">
        <v>0</v>
      </c>
      <c r="X751" s="632">
        <v>0</v>
      </c>
      <c r="Y751" s="107">
        <f t="shared" si="217"/>
        <v>2</v>
      </c>
      <c r="Z751" s="514">
        <f t="shared" si="213"/>
        <v>25575000</v>
      </c>
      <c r="AA751" s="107">
        <f t="shared" si="218"/>
        <v>6</v>
      </c>
      <c r="AB751" s="514">
        <f t="shared" si="218"/>
        <v>62124200</v>
      </c>
      <c r="AC751" s="499">
        <f t="shared" si="220"/>
        <v>50</v>
      </c>
      <c r="AD751" s="499">
        <f t="shared" si="221"/>
        <v>20.708066666666667</v>
      </c>
      <c r="AE751" s="481"/>
      <c r="AF751" s="861"/>
      <c r="AG751" s="861"/>
      <c r="AH751" s="861"/>
      <c r="AI751" s="861"/>
      <c r="AJ751" s="861"/>
      <c r="AK751" s="861"/>
      <c r="AL751" s="861"/>
      <c r="AM751" s="861"/>
      <c r="AN751" s="861"/>
      <c r="AO751" s="861"/>
      <c r="AP751" s="861"/>
      <c r="AQ751" s="861"/>
      <c r="AR751" s="861"/>
      <c r="AS751" s="861"/>
      <c r="AT751" s="861"/>
      <c r="AU751" s="861"/>
      <c r="AV751" s="861"/>
      <c r="AW751" s="861"/>
      <c r="AX751" s="861"/>
      <c r="AY751" s="861"/>
      <c r="AZ751" s="861"/>
      <c r="BA751" s="861"/>
      <c r="BB751" s="861"/>
      <c r="BC751" s="862"/>
      <c r="BD751" s="862"/>
      <c r="BE751" s="862"/>
      <c r="BF751" s="862"/>
      <c r="BG751" s="862"/>
      <c r="BH751" s="862"/>
      <c r="BI751" s="862"/>
      <c r="BJ751" s="862"/>
      <c r="BK751" s="862"/>
      <c r="BL751" s="862"/>
      <c r="BM751" s="862"/>
      <c r="BN751" s="862"/>
      <c r="BO751" s="862"/>
      <c r="BP751" s="862"/>
      <c r="BQ751" s="862"/>
    </row>
    <row r="752" spans="1:69" s="1288" customFormat="1" ht="82.5">
      <c r="A752" s="102"/>
      <c r="B752" s="8"/>
      <c r="C752" s="628" t="s">
        <v>41</v>
      </c>
      <c r="D752" s="628" t="s">
        <v>28</v>
      </c>
      <c r="E752" s="628" t="s">
        <v>39</v>
      </c>
      <c r="F752" s="628" t="s">
        <v>25</v>
      </c>
      <c r="G752" s="628" t="s">
        <v>42</v>
      </c>
      <c r="H752" s="628" t="s">
        <v>105</v>
      </c>
      <c r="I752" s="10" t="s">
        <v>1055</v>
      </c>
      <c r="J752" s="780" t="s">
        <v>2843</v>
      </c>
      <c r="K752" s="107">
        <v>5</v>
      </c>
      <c r="L752" s="238">
        <v>75000000</v>
      </c>
      <c r="M752" s="107">
        <v>1</v>
      </c>
      <c r="N752" s="1001">
        <v>23672700</v>
      </c>
      <c r="O752" s="107">
        <v>1</v>
      </c>
      <c r="P752" s="204">
        <v>23913000</v>
      </c>
      <c r="Q752" s="505">
        <v>0</v>
      </c>
      <c r="R752" s="828">
        <v>4147000</v>
      </c>
      <c r="S752" s="88">
        <v>0</v>
      </c>
      <c r="T752" s="233">
        <v>1540000</v>
      </c>
      <c r="U752" s="8">
        <v>0</v>
      </c>
      <c r="V752" s="25">
        <v>0</v>
      </c>
      <c r="W752" s="8">
        <v>0</v>
      </c>
      <c r="X752" s="1002">
        <v>0</v>
      </c>
      <c r="Y752" s="107">
        <f t="shared" si="217"/>
        <v>0</v>
      </c>
      <c r="Z752" s="514">
        <f t="shared" si="213"/>
        <v>5687000</v>
      </c>
      <c r="AA752" s="107">
        <f t="shared" si="218"/>
        <v>1</v>
      </c>
      <c r="AB752" s="514">
        <f t="shared" si="218"/>
        <v>29359700</v>
      </c>
      <c r="AC752" s="499">
        <f t="shared" si="220"/>
        <v>20</v>
      </c>
      <c r="AD752" s="499">
        <f t="shared" si="221"/>
        <v>39.146266666666669</v>
      </c>
      <c r="AE752" s="481"/>
      <c r="AF752" s="861"/>
      <c r="AG752" s="861"/>
      <c r="AH752" s="861"/>
      <c r="AI752" s="861"/>
      <c r="AJ752" s="861"/>
      <c r="AK752" s="861"/>
      <c r="AL752" s="861"/>
      <c r="AM752" s="861"/>
      <c r="AN752" s="861"/>
      <c r="AO752" s="861"/>
      <c r="AP752" s="861"/>
      <c r="AQ752" s="861"/>
      <c r="AR752" s="861"/>
      <c r="AS752" s="861"/>
      <c r="AT752" s="861"/>
      <c r="AU752" s="861"/>
      <c r="AV752" s="861"/>
      <c r="AW752" s="861"/>
      <c r="AX752" s="861"/>
      <c r="AY752" s="861"/>
      <c r="AZ752" s="861"/>
      <c r="BA752" s="861"/>
      <c r="BB752" s="861"/>
      <c r="BC752" s="862"/>
      <c r="BD752" s="862"/>
      <c r="BE752" s="862"/>
      <c r="BF752" s="862"/>
      <c r="BG752" s="862"/>
      <c r="BH752" s="862"/>
      <c r="BI752" s="862"/>
      <c r="BJ752" s="862"/>
      <c r="BK752" s="862"/>
      <c r="BL752" s="862"/>
      <c r="BM752" s="862"/>
      <c r="BN752" s="862"/>
      <c r="BO752" s="862"/>
      <c r="BP752" s="862"/>
      <c r="BQ752" s="862"/>
    </row>
    <row r="753" spans="1:69" s="1288" customFormat="1" ht="82.5">
      <c r="A753" s="102"/>
      <c r="B753" s="8"/>
      <c r="C753" s="628" t="s">
        <v>41</v>
      </c>
      <c r="D753" s="628" t="s">
        <v>28</v>
      </c>
      <c r="E753" s="628" t="s">
        <v>39</v>
      </c>
      <c r="F753" s="628" t="s">
        <v>25</v>
      </c>
      <c r="G753" s="628" t="s">
        <v>42</v>
      </c>
      <c r="H753" s="628" t="s">
        <v>1056</v>
      </c>
      <c r="I753" s="10" t="s">
        <v>1057</v>
      </c>
      <c r="J753" s="10" t="s">
        <v>1058</v>
      </c>
      <c r="K753" s="107">
        <v>20</v>
      </c>
      <c r="L753" s="238">
        <v>200000000</v>
      </c>
      <c r="M753" s="107">
        <v>5</v>
      </c>
      <c r="N753" s="1001">
        <v>54215139</v>
      </c>
      <c r="O753" s="107">
        <v>5</v>
      </c>
      <c r="P753" s="204">
        <v>24934000</v>
      </c>
      <c r="Q753" s="505">
        <v>1</v>
      </c>
      <c r="R753" s="828">
        <v>4189000</v>
      </c>
      <c r="S753" s="88">
        <v>2</v>
      </c>
      <c r="T753" s="233">
        <v>3529000</v>
      </c>
      <c r="U753" s="8">
        <v>0</v>
      </c>
      <c r="V753" s="25">
        <v>0</v>
      </c>
      <c r="W753" s="8">
        <v>0</v>
      </c>
      <c r="X753" s="632">
        <v>0</v>
      </c>
      <c r="Y753" s="107">
        <f t="shared" si="217"/>
        <v>3</v>
      </c>
      <c r="Z753" s="514">
        <f t="shared" si="213"/>
        <v>7718000</v>
      </c>
      <c r="AA753" s="107">
        <v>5</v>
      </c>
      <c r="AB753" s="514">
        <f>N753+Z753</f>
        <v>61933139</v>
      </c>
      <c r="AC753" s="499">
        <f t="shared" si="220"/>
        <v>25</v>
      </c>
      <c r="AD753" s="499">
        <f t="shared" si="221"/>
        <v>30.966569500000002</v>
      </c>
      <c r="AE753" s="481"/>
      <c r="AF753" s="861"/>
      <c r="AG753" s="861"/>
      <c r="AH753" s="861"/>
      <c r="AI753" s="861"/>
      <c r="AJ753" s="861"/>
      <c r="AK753" s="861"/>
      <c r="AL753" s="861"/>
      <c r="AM753" s="861"/>
      <c r="AN753" s="861"/>
      <c r="AO753" s="861"/>
      <c r="AP753" s="861"/>
      <c r="AQ753" s="861"/>
      <c r="AR753" s="861"/>
      <c r="AS753" s="861"/>
      <c r="AT753" s="861"/>
      <c r="AU753" s="861"/>
      <c r="AV753" s="861"/>
      <c r="AW753" s="861"/>
      <c r="AX753" s="861"/>
      <c r="AY753" s="861"/>
      <c r="AZ753" s="861"/>
      <c r="BA753" s="861"/>
      <c r="BB753" s="861"/>
      <c r="BC753" s="862"/>
      <c r="BD753" s="862"/>
      <c r="BE753" s="862"/>
      <c r="BF753" s="862"/>
      <c r="BG753" s="862"/>
      <c r="BH753" s="862"/>
      <c r="BI753" s="862"/>
      <c r="BJ753" s="862"/>
      <c r="BK753" s="862"/>
      <c r="BL753" s="862"/>
      <c r="BM753" s="862"/>
      <c r="BN753" s="862"/>
      <c r="BO753" s="862"/>
      <c r="BP753" s="862"/>
      <c r="BQ753" s="862"/>
    </row>
    <row r="754" spans="1:69" s="1288" customFormat="1" ht="82.5">
      <c r="A754" s="102"/>
      <c r="B754" s="8"/>
      <c r="C754" s="628">
        <v>1</v>
      </c>
      <c r="D754" s="628" t="s">
        <v>28</v>
      </c>
      <c r="E754" s="628" t="s">
        <v>39</v>
      </c>
      <c r="F754" s="628" t="s">
        <v>25</v>
      </c>
      <c r="G754" s="628" t="s">
        <v>42</v>
      </c>
      <c r="H754" s="628" t="s">
        <v>598</v>
      </c>
      <c r="I754" s="10" t="s">
        <v>1059</v>
      </c>
      <c r="J754" s="10" t="s">
        <v>1060</v>
      </c>
      <c r="K754" s="107">
        <v>6</v>
      </c>
      <c r="L754" s="238">
        <v>250000000</v>
      </c>
      <c r="M754" s="107">
        <v>2</v>
      </c>
      <c r="N754" s="238">
        <v>198811800</v>
      </c>
      <c r="O754" s="107">
        <v>4</v>
      </c>
      <c r="P754" s="238">
        <v>29049000</v>
      </c>
      <c r="Q754" s="107">
        <v>0</v>
      </c>
      <c r="R754" s="25">
        <v>0</v>
      </c>
      <c r="S754" s="88">
        <v>0</v>
      </c>
      <c r="T754" s="233">
        <v>8222300</v>
      </c>
      <c r="U754" s="8">
        <v>0</v>
      </c>
      <c r="V754" s="25">
        <v>0</v>
      </c>
      <c r="W754" s="8">
        <v>0</v>
      </c>
      <c r="X754" s="632">
        <v>0</v>
      </c>
      <c r="Y754" s="107">
        <f t="shared" si="217"/>
        <v>0</v>
      </c>
      <c r="Z754" s="514">
        <f t="shared" si="213"/>
        <v>8222300</v>
      </c>
      <c r="AA754" s="107">
        <f>M754+Y754</f>
        <v>2</v>
      </c>
      <c r="AB754" s="514">
        <f>N754+Z754</f>
        <v>207034100</v>
      </c>
      <c r="AC754" s="499">
        <f t="shared" si="220"/>
        <v>33.333333333333329</v>
      </c>
      <c r="AD754" s="499">
        <f t="shared" si="221"/>
        <v>82.813639999999992</v>
      </c>
      <c r="AE754" s="481"/>
      <c r="AF754" s="861"/>
      <c r="AG754" s="861"/>
      <c r="AH754" s="861"/>
      <c r="AI754" s="861"/>
      <c r="AJ754" s="861"/>
      <c r="AK754" s="861"/>
      <c r="AL754" s="861"/>
      <c r="AM754" s="861"/>
      <c r="AN754" s="861"/>
      <c r="AO754" s="861"/>
      <c r="AP754" s="861"/>
      <c r="AQ754" s="861"/>
      <c r="AR754" s="861"/>
      <c r="AS754" s="861"/>
      <c r="AT754" s="861"/>
      <c r="AU754" s="861"/>
      <c r="AV754" s="861"/>
      <c r="AW754" s="861"/>
      <c r="AX754" s="861"/>
      <c r="AY754" s="861"/>
      <c r="AZ754" s="861"/>
      <c r="BA754" s="861"/>
      <c r="BB754" s="861"/>
      <c r="BC754" s="862"/>
      <c r="BD754" s="862"/>
      <c r="BE754" s="862"/>
      <c r="BF754" s="862"/>
      <c r="BG754" s="862"/>
      <c r="BH754" s="862"/>
      <c r="BI754" s="862"/>
      <c r="BJ754" s="862"/>
      <c r="BK754" s="862"/>
      <c r="BL754" s="862"/>
      <c r="BM754" s="862"/>
      <c r="BN754" s="862"/>
      <c r="BO754" s="862"/>
      <c r="BP754" s="862"/>
      <c r="BQ754" s="862"/>
    </row>
    <row r="755" spans="1:69" s="1288" customFormat="1" ht="66">
      <c r="A755" s="102"/>
      <c r="B755" s="8"/>
      <c r="C755" s="628" t="s">
        <v>41</v>
      </c>
      <c r="D755" s="628" t="s">
        <v>28</v>
      </c>
      <c r="E755" s="628" t="s">
        <v>39</v>
      </c>
      <c r="F755" s="628" t="s">
        <v>25</v>
      </c>
      <c r="G755" s="628" t="s">
        <v>42</v>
      </c>
      <c r="H755" s="628" t="s">
        <v>1061</v>
      </c>
      <c r="I755" s="10" t="s">
        <v>1062</v>
      </c>
      <c r="J755" s="10" t="s">
        <v>1063</v>
      </c>
      <c r="K755" s="107">
        <v>72</v>
      </c>
      <c r="L755" s="238">
        <v>185000000</v>
      </c>
      <c r="M755" s="107">
        <v>36</v>
      </c>
      <c r="N755" s="238">
        <v>184991720</v>
      </c>
      <c r="O755" s="107">
        <v>12</v>
      </c>
      <c r="P755" s="238">
        <v>24934000</v>
      </c>
      <c r="Q755" s="107">
        <v>3</v>
      </c>
      <c r="R755" s="25">
        <v>1250000</v>
      </c>
      <c r="S755" s="11">
        <v>3</v>
      </c>
      <c r="T755" s="611">
        <v>1700000</v>
      </c>
      <c r="U755" s="8">
        <v>0</v>
      </c>
      <c r="V755" s="25">
        <v>0</v>
      </c>
      <c r="W755" s="8">
        <v>0</v>
      </c>
      <c r="X755" s="632">
        <v>0</v>
      </c>
      <c r="Y755" s="107">
        <f t="shared" si="217"/>
        <v>6</v>
      </c>
      <c r="Z755" s="514">
        <f t="shared" si="213"/>
        <v>2950000</v>
      </c>
      <c r="AA755" s="107">
        <f>M755+Y755</f>
        <v>42</v>
      </c>
      <c r="AB755" s="514">
        <f>N755+Z755</f>
        <v>187941720</v>
      </c>
      <c r="AC755" s="499">
        <f t="shared" si="220"/>
        <v>58.333333333333336</v>
      </c>
      <c r="AD755" s="499">
        <f t="shared" si="221"/>
        <v>101.59011891891892</v>
      </c>
      <c r="AE755" s="627" t="s">
        <v>101</v>
      </c>
      <c r="AF755" s="1003"/>
      <c r="AG755" s="870"/>
      <c r="AH755" s="870"/>
      <c r="AI755" s="870"/>
      <c r="AJ755" s="870"/>
      <c r="AK755" s="870"/>
      <c r="AL755" s="870"/>
      <c r="AM755" s="870"/>
      <c r="AN755" s="870"/>
      <c r="AO755" s="870"/>
      <c r="AP755" s="870"/>
      <c r="AQ755" s="870"/>
      <c r="AR755" s="870"/>
      <c r="AS755" s="870"/>
      <c r="AT755" s="870"/>
      <c r="AU755" s="870"/>
      <c r="AV755" s="870"/>
      <c r="AW755" s="870"/>
      <c r="AX755" s="870"/>
      <c r="AY755" s="870"/>
      <c r="AZ755" s="870"/>
      <c r="BA755" s="870"/>
      <c r="BB755" s="870"/>
      <c r="BC755" s="871"/>
      <c r="BD755" s="871"/>
      <c r="BE755" s="871"/>
      <c r="BF755" s="871"/>
      <c r="BG755" s="871"/>
      <c r="BH755" s="871"/>
      <c r="BI755" s="871"/>
      <c r="BJ755" s="871"/>
      <c r="BK755" s="871"/>
      <c r="BL755" s="871"/>
      <c r="BM755" s="871"/>
      <c r="BN755" s="871"/>
      <c r="BO755" s="871"/>
      <c r="BP755" s="871"/>
      <c r="BQ755" s="871"/>
    </row>
    <row r="756" spans="1:69" s="1288" customFormat="1" ht="49.5">
      <c r="A756" s="102"/>
      <c r="B756" s="8"/>
      <c r="C756" s="628" t="s">
        <v>41</v>
      </c>
      <c r="D756" s="628" t="s">
        <v>28</v>
      </c>
      <c r="E756" s="628" t="s">
        <v>39</v>
      </c>
      <c r="F756" s="628" t="s">
        <v>25</v>
      </c>
      <c r="G756" s="628" t="s">
        <v>42</v>
      </c>
      <c r="H756" s="628" t="s">
        <v>1064</v>
      </c>
      <c r="I756" s="10" t="s">
        <v>1065</v>
      </c>
      <c r="J756" s="10" t="s">
        <v>1066</v>
      </c>
      <c r="K756" s="107">
        <v>36</v>
      </c>
      <c r="L756" s="238">
        <v>90000000</v>
      </c>
      <c r="M756" s="107"/>
      <c r="N756" s="238"/>
      <c r="O756" s="107">
        <v>12</v>
      </c>
      <c r="P756" s="238">
        <v>29178800</v>
      </c>
      <c r="Q756" s="107">
        <v>0</v>
      </c>
      <c r="R756" s="25">
        <v>0</v>
      </c>
      <c r="S756" s="11"/>
      <c r="T756" s="611">
        <v>2285500</v>
      </c>
      <c r="U756" s="8">
        <v>0</v>
      </c>
      <c r="V756" s="25">
        <v>0</v>
      </c>
      <c r="W756" s="8">
        <v>0</v>
      </c>
      <c r="X756" s="632"/>
      <c r="Y756" s="107"/>
      <c r="Z756" s="514"/>
      <c r="AA756" s="107"/>
      <c r="AB756" s="514"/>
      <c r="AC756" s="499"/>
      <c r="AD756" s="499"/>
      <c r="AE756" s="745"/>
      <c r="AF756" s="569"/>
      <c r="AG756" s="569"/>
      <c r="AH756" s="569"/>
      <c r="AI756" s="569"/>
      <c r="AJ756" s="569"/>
      <c r="AK756" s="569"/>
      <c r="AL756" s="569"/>
      <c r="AM756" s="569"/>
      <c r="AN756" s="569"/>
      <c r="AO756" s="569"/>
      <c r="AP756" s="569"/>
      <c r="AQ756" s="569"/>
      <c r="AR756" s="569"/>
      <c r="AS756" s="569"/>
      <c r="AT756" s="569"/>
      <c r="AU756" s="569"/>
      <c r="AV756" s="569"/>
      <c r="AW756" s="569"/>
      <c r="AX756" s="569"/>
      <c r="AY756" s="569"/>
      <c r="AZ756" s="569"/>
      <c r="BA756" s="569"/>
      <c r="BB756" s="569"/>
      <c r="BC756" s="570"/>
      <c r="BD756" s="570"/>
      <c r="BE756" s="570"/>
      <c r="BF756" s="570"/>
      <c r="BG756" s="570"/>
      <c r="BH756" s="570"/>
      <c r="BI756" s="570"/>
      <c r="BJ756" s="570"/>
      <c r="BK756" s="570"/>
      <c r="BL756" s="570"/>
      <c r="BM756" s="570"/>
      <c r="BN756" s="570"/>
      <c r="BO756" s="570"/>
      <c r="BP756" s="570"/>
      <c r="BQ756" s="570"/>
    </row>
    <row r="757" spans="1:69" s="1346" customFormat="1" ht="49.5" customHeight="1">
      <c r="A757" s="2539" t="s">
        <v>1067</v>
      </c>
      <c r="B757" s="381"/>
      <c r="C757" s="990" t="s">
        <v>41</v>
      </c>
      <c r="D757" s="990" t="s">
        <v>28</v>
      </c>
      <c r="E757" s="990" t="s">
        <v>39</v>
      </c>
      <c r="F757" s="990" t="s">
        <v>25</v>
      </c>
      <c r="G757" s="990" t="s">
        <v>74</v>
      </c>
      <c r="H757" s="990"/>
      <c r="I757" s="2879" t="s">
        <v>1068</v>
      </c>
      <c r="J757" s="629" t="s">
        <v>2846</v>
      </c>
      <c r="K757" s="545">
        <v>2150</v>
      </c>
      <c r="L757" s="230">
        <f>SUM(L758:L768)</f>
        <v>3362099040</v>
      </c>
      <c r="M757" s="545">
        <v>2150</v>
      </c>
      <c r="N757" s="230">
        <f>SUM(N759:N768)</f>
        <v>2091480373</v>
      </c>
      <c r="O757" s="545">
        <v>0</v>
      </c>
      <c r="P757" s="230">
        <f>SUM(P759:P768)</f>
        <v>690889900</v>
      </c>
      <c r="Q757" s="230">
        <v>0</v>
      </c>
      <c r="R757" s="159">
        <f>SUM(R759:R768)</f>
        <v>73138523</v>
      </c>
      <c r="S757" s="151">
        <v>0</v>
      </c>
      <c r="T757" s="144">
        <f>SUM(T759:T768)</f>
        <v>105341950</v>
      </c>
      <c r="U757" s="33"/>
      <c r="V757" s="144">
        <f>SUM(V759:V768)</f>
        <v>0</v>
      </c>
      <c r="W757" s="33"/>
      <c r="X757" s="144">
        <f>SUM(X759:X768)</f>
        <v>0</v>
      </c>
      <c r="Y757" s="545">
        <f t="shared" ref="Y757:Y768" si="222">Q757+S757+U757+W757</f>
        <v>0</v>
      </c>
      <c r="Z757" s="223">
        <f t="shared" ref="Z757:Z768" si="223">R757+T757+V757+X757</f>
        <v>178480473</v>
      </c>
      <c r="AA757" s="545">
        <v>2291</v>
      </c>
      <c r="AB757" s="223">
        <f t="shared" ref="AB757:AB768" si="224">N757+Z757</f>
        <v>2269960846</v>
      </c>
      <c r="AC757" s="148">
        <f>AA757/K757*100</f>
        <v>106.55813953488371</v>
      </c>
      <c r="AD757" s="148">
        <f>AB757/L757*100</f>
        <v>67.516180189623441</v>
      </c>
      <c r="AE757" s="369" t="s">
        <v>101</v>
      </c>
      <c r="AF757" s="870"/>
      <c r="AG757" s="870"/>
      <c r="AH757" s="870"/>
      <c r="AI757" s="870"/>
      <c r="AJ757" s="870"/>
      <c r="AK757" s="870"/>
      <c r="AL757" s="870"/>
      <c r="AM757" s="870"/>
      <c r="AN757" s="870"/>
      <c r="AO757" s="870"/>
      <c r="AP757" s="870"/>
      <c r="AQ757" s="870"/>
      <c r="AR757" s="870"/>
      <c r="AS757" s="870"/>
      <c r="AT757" s="870"/>
      <c r="AU757" s="870"/>
      <c r="AV757" s="870"/>
      <c r="AW757" s="870"/>
      <c r="AX757" s="870"/>
      <c r="AY757" s="870"/>
      <c r="AZ757" s="870"/>
      <c r="BA757" s="870"/>
      <c r="BB757" s="870"/>
      <c r="BC757" s="871"/>
      <c r="BD757" s="871"/>
      <c r="BE757" s="871"/>
      <c r="BF757" s="871"/>
      <c r="BG757" s="871"/>
      <c r="BH757" s="871"/>
      <c r="BI757" s="871"/>
      <c r="BJ757" s="871"/>
      <c r="BK757" s="871"/>
      <c r="BL757" s="871"/>
      <c r="BM757" s="871"/>
      <c r="BN757" s="871"/>
      <c r="BO757" s="871"/>
      <c r="BP757" s="871"/>
      <c r="BQ757" s="871"/>
    </row>
    <row r="758" spans="1:69" s="1346" customFormat="1" ht="66">
      <c r="A758" s="2540"/>
      <c r="B758" s="364"/>
      <c r="C758" s="998"/>
      <c r="D758" s="998"/>
      <c r="E758" s="998"/>
      <c r="F758" s="998"/>
      <c r="G758" s="998"/>
      <c r="H758" s="998"/>
      <c r="I758" s="2880"/>
      <c r="J758" s="629" t="s">
        <v>2847</v>
      </c>
      <c r="K758" s="545">
        <v>57</v>
      </c>
      <c r="L758" s="230"/>
      <c r="M758" s="545">
        <v>57</v>
      </c>
      <c r="N758" s="230"/>
      <c r="O758" s="545">
        <v>0</v>
      </c>
      <c r="P758" s="230"/>
      <c r="Q758" s="545"/>
      <c r="R758" s="159"/>
      <c r="S758" s="293">
        <v>0</v>
      </c>
      <c r="T758" s="144"/>
      <c r="U758" s="33"/>
      <c r="V758" s="33"/>
      <c r="W758" s="33"/>
      <c r="X758" s="33"/>
      <c r="Y758" s="160">
        <f t="shared" si="222"/>
        <v>0</v>
      </c>
      <c r="Z758" s="223">
        <f t="shared" si="223"/>
        <v>0</v>
      </c>
      <c r="AA758" s="545">
        <v>82.4</v>
      </c>
      <c r="AB758" s="223">
        <f t="shared" si="224"/>
        <v>0</v>
      </c>
      <c r="AC758" s="148">
        <f t="shared" ref="AC758:AC768" si="225">AA758/K758*100</f>
        <v>144.56140350877195</v>
      </c>
      <c r="AD758" s="148"/>
      <c r="AE758" s="369"/>
      <c r="AF758" s="870"/>
      <c r="AG758" s="870"/>
      <c r="AH758" s="870"/>
      <c r="AI758" s="870"/>
      <c r="AJ758" s="870"/>
      <c r="AK758" s="870"/>
      <c r="AL758" s="870"/>
      <c r="AM758" s="870"/>
      <c r="AN758" s="870"/>
      <c r="AO758" s="870"/>
      <c r="AP758" s="870"/>
      <c r="AQ758" s="870"/>
      <c r="AR758" s="870"/>
      <c r="AS758" s="870"/>
      <c r="AT758" s="870"/>
      <c r="AU758" s="870"/>
      <c r="AV758" s="870"/>
      <c r="AW758" s="870"/>
      <c r="AX758" s="870"/>
      <c r="AY758" s="870"/>
      <c r="AZ758" s="870"/>
      <c r="BA758" s="870"/>
      <c r="BB758" s="870"/>
      <c r="BC758" s="871"/>
      <c r="BD758" s="871"/>
      <c r="BE758" s="871"/>
      <c r="BF758" s="871"/>
      <c r="BG758" s="871"/>
      <c r="BH758" s="871"/>
      <c r="BI758" s="871"/>
      <c r="BJ758" s="871"/>
      <c r="BK758" s="871"/>
      <c r="BL758" s="871"/>
      <c r="BM758" s="871"/>
      <c r="BN758" s="871"/>
      <c r="BO758" s="871"/>
      <c r="BP758" s="871"/>
      <c r="BQ758" s="871"/>
    </row>
    <row r="759" spans="1:69" s="1288" customFormat="1" ht="66">
      <c r="A759" s="102"/>
      <c r="B759" s="8"/>
      <c r="C759" s="628" t="s">
        <v>41</v>
      </c>
      <c r="D759" s="628" t="s">
        <v>28</v>
      </c>
      <c r="E759" s="628" t="s">
        <v>39</v>
      </c>
      <c r="F759" s="628" t="s">
        <v>25</v>
      </c>
      <c r="G759" s="628" t="s">
        <v>74</v>
      </c>
      <c r="H759" s="628" t="s">
        <v>38</v>
      </c>
      <c r="I759" s="10" t="s">
        <v>1069</v>
      </c>
      <c r="J759" s="780" t="s">
        <v>2848</v>
      </c>
      <c r="K759" s="107">
        <v>18</v>
      </c>
      <c r="L759" s="238">
        <f>1000000000</f>
        <v>1000000000</v>
      </c>
      <c r="M759" s="107">
        <v>6</v>
      </c>
      <c r="N759" s="238">
        <v>613517864</v>
      </c>
      <c r="O759" s="107">
        <v>3</v>
      </c>
      <c r="P759" s="238">
        <v>208929000</v>
      </c>
      <c r="Q759" s="107">
        <v>0</v>
      </c>
      <c r="R759" s="25">
        <v>955000</v>
      </c>
      <c r="S759" s="11">
        <v>0</v>
      </c>
      <c r="T759" s="611">
        <v>10952750</v>
      </c>
      <c r="U759" s="8">
        <v>0</v>
      </c>
      <c r="V759" s="25">
        <v>0</v>
      </c>
      <c r="W759" s="8">
        <v>0</v>
      </c>
      <c r="X759" s="632">
        <v>0</v>
      </c>
      <c r="Y759" s="107">
        <f t="shared" si="222"/>
        <v>0</v>
      </c>
      <c r="Z759" s="514">
        <f t="shared" si="223"/>
        <v>11907750</v>
      </c>
      <c r="AA759" s="107">
        <f t="shared" ref="AA759:AA767" si="226">M759+Y759</f>
        <v>6</v>
      </c>
      <c r="AB759" s="514">
        <f t="shared" si="224"/>
        <v>625425614</v>
      </c>
      <c r="AC759" s="499">
        <f t="shared" si="225"/>
        <v>33.333333333333329</v>
      </c>
      <c r="AD759" s="499">
        <f t="shared" ref="AD759:AD768" si="227">AB759/L759*100</f>
        <v>62.542561399999997</v>
      </c>
      <c r="AE759" s="745"/>
      <c r="AF759" s="569"/>
      <c r="AG759" s="569"/>
      <c r="AH759" s="569"/>
      <c r="AI759" s="569"/>
      <c r="AJ759" s="569"/>
      <c r="AK759" s="569"/>
      <c r="AL759" s="569"/>
      <c r="AM759" s="569"/>
      <c r="AN759" s="569"/>
      <c r="AO759" s="569"/>
      <c r="AP759" s="569"/>
      <c r="AQ759" s="569"/>
      <c r="AR759" s="569"/>
      <c r="AS759" s="569"/>
      <c r="AT759" s="569"/>
      <c r="AU759" s="569"/>
      <c r="AV759" s="569"/>
      <c r="AW759" s="569"/>
      <c r="AX759" s="569"/>
      <c r="AY759" s="569"/>
      <c r="AZ759" s="569"/>
      <c r="BA759" s="569"/>
      <c r="BB759" s="569"/>
      <c r="BC759" s="570"/>
      <c r="BD759" s="570"/>
      <c r="BE759" s="570"/>
      <c r="BF759" s="570"/>
      <c r="BG759" s="570"/>
      <c r="BH759" s="570"/>
      <c r="BI759" s="570"/>
      <c r="BJ759" s="570"/>
      <c r="BK759" s="570"/>
      <c r="BL759" s="570"/>
      <c r="BM759" s="570"/>
      <c r="BN759" s="570"/>
      <c r="BO759" s="570"/>
      <c r="BP759" s="570"/>
      <c r="BQ759" s="570"/>
    </row>
    <row r="760" spans="1:69" s="1288" customFormat="1" ht="99">
      <c r="A760" s="102"/>
      <c r="B760" s="8"/>
      <c r="C760" s="628" t="s">
        <v>41</v>
      </c>
      <c r="D760" s="628" t="s">
        <v>28</v>
      </c>
      <c r="E760" s="628" t="s">
        <v>39</v>
      </c>
      <c r="F760" s="628" t="s">
        <v>25</v>
      </c>
      <c r="G760" s="628" t="s">
        <v>74</v>
      </c>
      <c r="H760" s="628" t="s">
        <v>56</v>
      </c>
      <c r="I760" s="10" t="s">
        <v>1070</v>
      </c>
      <c r="J760" s="10" t="s">
        <v>1071</v>
      </c>
      <c r="K760" s="107">
        <v>60</v>
      </c>
      <c r="L760" s="238">
        <v>250000000</v>
      </c>
      <c r="M760" s="107">
        <v>25</v>
      </c>
      <c r="N760" s="238">
        <v>99584900</v>
      </c>
      <c r="O760" s="107">
        <v>9</v>
      </c>
      <c r="P760" s="238">
        <v>62839000</v>
      </c>
      <c r="Q760" s="107">
        <v>0</v>
      </c>
      <c r="R760" s="25">
        <v>20890000</v>
      </c>
      <c r="S760" s="11">
        <v>0</v>
      </c>
      <c r="T760" s="611">
        <v>14247400</v>
      </c>
      <c r="U760" s="8">
        <v>0</v>
      </c>
      <c r="V760" s="25">
        <v>0</v>
      </c>
      <c r="W760" s="8">
        <v>0</v>
      </c>
      <c r="X760" s="632">
        <v>0</v>
      </c>
      <c r="Y760" s="107">
        <f t="shared" si="222"/>
        <v>0</v>
      </c>
      <c r="Z760" s="514">
        <f t="shared" si="223"/>
        <v>35137400</v>
      </c>
      <c r="AA760" s="107">
        <f t="shared" si="226"/>
        <v>25</v>
      </c>
      <c r="AB760" s="514">
        <f t="shared" si="224"/>
        <v>134722300</v>
      </c>
      <c r="AC760" s="499">
        <f t="shared" si="225"/>
        <v>41.666666666666671</v>
      </c>
      <c r="AD760" s="499">
        <f t="shared" si="227"/>
        <v>53.888919999999999</v>
      </c>
      <c r="AE760" s="745"/>
      <c r="AF760" s="569"/>
      <c r="AG760" s="569"/>
      <c r="AH760" s="569"/>
      <c r="AI760" s="569"/>
      <c r="AJ760" s="569"/>
      <c r="AK760" s="569"/>
      <c r="AL760" s="569"/>
      <c r="AM760" s="569"/>
      <c r="AN760" s="569"/>
      <c r="AO760" s="569"/>
      <c r="AP760" s="569"/>
      <c r="AQ760" s="569"/>
      <c r="AR760" s="569"/>
      <c r="AS760" s="569"/>
      <c r="AT760" s="569"/>
      <c r="AU760" s="569"/>
      <c r="AV760" s="569"/>
      <c r="AW760" s="569"/>
      <c r="AX760" s="569"/>
      <c r="AY760" s="569"/>
      <c r="AZ760" s="569"/>
      <c r="BA760" s="569"/>
      <c r="BB760" s="569"/>
      <c r="BC760" s="570"/>
      <c r="BD760" s="570"/>
      <c r="BE760" s="570"/>
      <c r="BF760" s="570"/>
      <c r="BG760" s="570"/>
      <c r="BH760" s="570"/>
      <c r="BI760" s="570"/>
      <c r="BJ760" s="570"/>
      <c r="BK760" s="570"/>
      <c r="BL760" s="570"/>
      <c r="BM760" s="570"/>
      <c r="BN760" s="570"/>
      <c r="BO760" s="570"/>
      <c r="BP760" s="570"/>
      <c r="BQ760" s="570"/>
    </row>
    <row r="761" spans="1:69" s="1288" customFormat="1" ht="99">
      <c r="A761" s="102"/>
      <c r="B761" s="8"/>
      <c r="C761" s="628" t="s">
        <v>41</v>
      </c>
      <c r="D761" s="628" t="s">
        <v>28</v>
      </c>
      <c r="E761" s="628" t="s">
        <v>39</v>
      </c>
      <c r="F761" s="628" t="s">
        <v>25</v>
      </c>
      <c r="G761" s="628" t="s">
        <v>74</v>
      </c>
      <c r="H761" s="628" t="s">
        <v>29</v>
      </c>
      <c r="I761" s="10" t="s">
        <v>1072</v>
      </c>
      <c r="J761" s="10" t="s">
        <v>1073</v>
      </c>
      <c r="K761" s="107">
        <v>34</v>
      </c>
      <c r="L761" s="238">
        <f>2*N761</f>
        <v>262099040</v>
      </c>
      <c r="M761" s="107">
        <v>17</v>
      </c>
      <c r="N761" s="238">
        <v>131049520</v>
      </c>
      <c r="O761" s="107">
        <v>3</v>
      </c>
      <c r="P761" s="238">
        <v>59698000</v>
      </c>
      <c r="Q761" s="107">
        <v>0</v>
      </c>
      <c r="R761" s="25">
        <v>6409250</v>
      </c>
      <c r="S761" s="11">
        <v>3</v>
      </c>
      <c r="T761" s="611">
        <v>32948950</v>
      </c>
      <c r="U761" s="8">
        <v>0</v>
      </c>
      <c r="V761" s="25">
        <v>0</v>
      </c>
      <c r="W761" s="8">
        <v>0</v>
      </c>
      <c r="X761" s="632">
        <v>0</v>
      </c>
      <c r="Y761" s="107">
        <f t="shared" si="222"/>
        <v>3</v>
      </c>
      <c r="Z761" s="514">
        <f t="shared" si="223"/>
        <v>39358200</v>
      </c>
      <c r="AA761" s="107">
        <f t="shared" si="226"/>
        <v>20</v>
      </c>
      <c r="AB761" s="514">
        <f t="shared" si="224"/>
        <v>170407720</v>
      </c>
      <c r="AC761" s="499">
        <f t="shared" si="225"/>
        <v>58.82352941176471</v>
      </c>
      <c r="AD761" s="499">
        <f t="shared" si="227"/>
        <v>65.01653726011358</v>
      </c>
      <c r="AE761" s="745"/>
      <c r="AF761" s="750"/>
      <c r="AG761" s="750"/>
      <c r="AH761" s="750"/>
      <c r="AI761" s="750"/>
      <c r="AJ761" s="750"/>
      <c r="AK761" s="750"/>
      <c r="AL761" s="750"/>
      <c r="AM761" s="750"/>
      <c r="AN761" s="750"/>
      <c r="AO761" s="750"/>
      <c r="AP761" s="750"/>
      <c r="AQ761" s="750"/>
      <c r="AR761" s="750"/>
      <c r="AS761" s="750"/>
      <c r="AT761" s="750"/>
      <c r="AU761" s="750"/>
      <c r="AV761" s="750"/>
      <c r="AW761" s="750"/>
      <c r="AX761" s="750"/>
      <c r="AY761" s="750"/>
      <c r="AZ761" s="750"/>
      <c r="BA761" s="750"/>
      <c r="BB761" s="750"/>
      <c r="BC761" s="752"/>
      <c r="BD761" s="752"/>
      <c r="BE761" s="752"/>
      <c r="BF761" s="752"/>
      <c r="BG761" s="752"/>
      <c r="BH761" s="752"/>
      <c r="BI761" s="752"/>
      <c r="BJ761" s="752"/>
      <c r="BK761" s="752"/>
      <c r="BL761" s="752"/>
      <c r="BM761" s="752"/>
      <c r="BN761" s="752"/>
      <c r="BO761" s="752"/>
      <c r="BP761" s="752"/>
      <c r="BQ761" s="752"/>
    </row>
    <row r="762" spans="1:69" s="1288" customFormat="1" ht="82.5">
      <c r="A762" s="102"/>
      <c r="B762" s="8"/>
      <c r="C762" s="628" t="s">
        <v>41</v>
      </c>
      <c r="D762" s="628" t="s">
        <v>28</v>
      </c>
      <c r="E762" s="628" t="s">
        <v>39</v>
      </c>
      <c r="F762" s="628" t="s">
        <v>25</v>
      </c>
      <c r="G762" s="628" t="s">
        <v>74</v>
      </c>
      <c r="H762" s="628" t="s">
        <v>30</v>
      </c>
      <c r="I762" s="10" t="s">
        <v>1074</v>
      </c>
      <c r="J762" s="10" t="s">
        <v>1075</v>
      </c>
      <c r="K762" s="107">
        <v>6</v>
      </c>
      <c r="L762" s="238">
        <v>100000000</v>
      </c>
      <c r="M762" s="107">
        <v>2</v>
      </c>
      <c r="N762" s="238">
        <v>54935342</v>
      </c>
      <c r="O762" s="107">
        <v>1</v>
      </c>
      <c r="P762" s="238">
        <v>14695900</v>
      </c>
      <c r="Q762" s="107">
        <v>0</v>
      </c>
      <c r="R762" s="25">
        <v>0</v>
      </c>
      <c r="S762" s="11">
        <v>0</v>
      </c>
      <c r="T762" s="30">
        <v>1075000</v>
      </c>
      <c r="U762" s="8">
        <v>0</v>
      </c>
      <c r="V762" s="25">
        <v>0</v>
      </c>
      <c r="W762" s="8">
        <v>0</v>
      </c>
      <c r="X762" s="632">
        <v>0</v>
      </c>
      <c r="Y762" s="107">
        <f t="shared" si="222"/>
        <v>0</v>
      </c>
      <c r="Z762" s="514">
        <f t="shared" si="223"/>
        <v>1075000</v>
      </c>
      <c r="AA762" s="107">
        <f t="shared" si="226"/>
        <v>2</v>
      </c>
      <c r="AB762" s="514">
        <f t="shared" si="224"/>
        <v>56010342</v>
      </c>
      <c r="AC762" s="499">
        <f t="shared" si="225"/>
        <v>33.333333333333329</v>
      </c>
      <c r="AD762" s="499">
        <f t="shared" si="227"/>
        <v>56.010342000000001</v>
      </c>
      <c r="AE762" s="745"/>
      <c r="AF762" s="750"/>
      <c r="AG762" s="750"/>
      <c r="AH762" s="750"/>
      <c r="AI762" s="750"/>
      <c r="AJ762" s="750"/>
      <c r="AK762" s="750"/>
      <c r="AL762" s="750"/>
      <c r="AM762" s="750"/>
      <c r="AN762" s="750"/>
      <c r="AO762" s="750"/>
      <c r="AP762" s="750"/>
      <c r="AQ762" s="750"/>
      <c r="AR762" s="750"/>
      <c r="AS762" s="750"/>
      <c r="AT762" s="750"/>
      <c r="AU762" s="750"/>
      <c r="AV762" s="750"/>
      <c r="AW762" s="750"/>
      <c r="AX762" s="750"/>
      <c r="AY762" s="750"/>
      <c r="AZ762" s="750"/>
      <c r="BA762" s="750"/>
      <c r="BB762" s="750"/>
      <c r="BC762" s="752"/>
      <c r="BD762" s="752"/>
      <c r="BE762" s="752"/>
      <c r="BF762" s="752"/>
      <c r="BG762" s="752"/>
      <c r="BH762" s="752"/>
      <c r="BI762" s="752"/>
      <c r="BJ762" s="752"/>
      <c r="BK762" s="752"/>
      <c r="BL762" s="752"/>
      <c r="BM762" s="752"/>
      <c r="BN762" s="752"/>
      <c r="BO762" s="752"/>
      <c r="BP762" s="752"/>
      <c r="BQ762" s="752"/>
    </row>
    <row r="763" spans="1:69" s="1288" customFormat="1" ht="66">
      <c r="A763" s="102"/>
      <c r="B763" s="8"/>
      <c r="C763" s="628" t="s">
        <v>41</v>
      </c>
      <c r="D763" s="628" t="s">
        <v>28</v>
      </c>
      <c r="E763" s="628" t="s">
        <v>39</v>
      </c>
      <c r="F763" s="628" t="s">
        <v>25</v>
      </c>
      <c r="G763" s="628" t="s">
        <v>74</v>
      </c>
      <c r="H763" s="628" t="s">
        <v>74</v>
      </c>
      <c r="I763" s="10" t="s">
        <v>1076</v>
      </c>
      <c r="J763" s="780" t="s">
        <v>2849</v>
      </c>
      <c r="K763" s="107">
        <v>72</v>
      </c>
      <c r="L763" s="238">
        <v>150000000</v>
      </c>
      <c r="M763" s="107">
        <v>36</v>
      </c>
      <c r="N763" s="238">
        <v>292088321</v>
      </c>
      <c r="O763" s="107">
        <v>12</v>
      </c>
      <c r="P763" s="238">
        <v>67945000</v>
      </c>
      <c r="Q763" s="107">
        <v>3</v>
      </c>
      <c r="R763" s="25">
        <v>925000</v>
      </c>
      <c r="S763" s="11">
        <v>0</v>
      </c>
      <c r="T763" s="611">
        <v>16035500</v>
      </c>
      <c r="U763" s="8">
        <v>0</v>
      </c>
      <c r="V763" s="25">
        <v>0</v>
      </c>
      <c r="W763" s="8">
        <v>0</v>
      </c>
      <c r="X763" s="632">
        <v>0</v>
      </c>
      <c r="Y763" s="107">
        <f t="shared" si="222"/>
        <v>3</v>
      </c>
      <c r="Z763" s="514">
        <f t="shared" si="223"/>
        <v>16960500</v>
      </c>
      <c r="AA763" s="107">
        <f t="shared" si="226"/>
        <v>39</v>
      </c>
      <c r="AB763" s="514">
        <f t="shared" si="224"/>
        <v>309048821</v>
      </c>
      <c r="AC763" s="499">
        <f t="shared" si="225"/>
        <v>54.166666666666664</v>
      </c>
      <c r="AD763" s="499">
        <f t="shared" si="227"/>
        <v>206.03254733333333</v>
      </c>
      <c r="AE763" s="745"/>
      <c r="AF763" s="569"/>
      <c r="AG763" s="569"/>
      <c r="AH763" s="569"/>
      <c r="AI763" s="569"/>
      <c r="AJ763" s="569"/>
      <c r="AK763" s="569"/>
      <c r="AL763" s="569"/>
      <c r="AM763" s="569"/>
      <c r="AN763" s="569"/>
      <c r="AO763" s="569"/>
      <c r="AP763" s="569"/>
      <c r="AQ763" s="569"/>
      <c r="AR763" s="569"/>
      <c r="AS763" s="569"/>
      <c r="AT763" s="569"/>
      <c r="AU763" s="569"/>
      <c r="AV763" s="569"/>
      <c r="AW763" s="569"/>
      <c r="AX763" s="569"/>
      <c r="AY763" s="569"/>
      <c r="AZ763" s="569"/>
      <c r="BA763" s="569"/>
      <c r="BB763" s="569"/>
      <c r="BC763" s="570"/>
      <c r="BD763" s="570"/>
      <c r="BE763" s="570"/>
      <c r="BF763" s="570"/>
      <c r="BG763" s="570"/>
      <c r="BH763" s="570"/>
      <c r="BI763" s="570"/>
      <c r="BJ763" s="570"/>
      <c r="BK763" s="570"/>
      <c r="BL763" s="570"/>
      <c r="BM763" s="570"/>
      <c r="BN763" s="570"/>
      <c r="BO763" s="570"/>
      <c r="BP763" s="570"/>
      <c r="BQ763" s="570"/>
    </row>
    <row r="764" spans="1:69" s="1288" customFormat="1" ht="66">
      <c r="A764" s="102"/>
      <c r="B764" s="8"/>
      <c r="C764" s="628" t="s">
        <v>41</v>
      </c>
      <c r="D764" s="628" t="s">
        <v>28</v>
      </c>
      <c r="E764" s="628" t="s">
        <v>39</v>
      </c>
      <c r="F764" s="628" t="s">
        <v>25</v>
      </c>
      <c r="G764" s="628" t="s">
        <v>74</v>
      </c>
      <c r="H764" s="628" t="s">
        <v>61</v>
      </c>
      <c r="I764" s="10" t="s">
        <v>1077</v>
      </c>
      <c r="J764" s="780" t="s">
        <v>2850</v>
      </c>
      <c r="K764" s="107">
        <v>12</v>
      </c>
      <c r="L764" s="238">
        <v>350000000</v>
      </c>
      <c r="M764" s="107">
        <v>4</v>
      </c>
      <c r="N764" s="238">
        <v>91110840</v>
      </c>
      <c r="O764" s="107">
        <v>2</v>
      </c>
      <c r="P764" s="238">
        <v>74610000</v>
      </c>
      <c r="Q764" s="107">
        <v>0</v>
      </c>
      <c r="R764" s="25">
        <v>9609000</v>
      </c>
      <c r="S764" s="11">
        <v>1</v>
      </c>
      <c r="T764" s="611">
        <v>6709850</v>
      </c>
      <c r="U764" s="8">
        <v>0</v>
      </c>
      <c r="V764" s="25">
        <v>0</v>
      </c>
      <c r="W764" s="8">
        <v>0</v>
      </c>
      <c r="X764" s="632">
        <v>0</v>
      </c>
      <c r="Y764" s="107">
        <f t="shared" si="222"/>
        <v>1</v>
      </c>
      <c r="Z764" s="514">
        <f t="shared" si="223"/>
        <v>16318850</v>
      </c>
      <c r="AA764" s="107">
        <f t="shared" si="226"/>
        <v>5</v>
      </c>
      <c r="AB764" s="514">
        <f t="shared" si="224"/>
        <v>107429690</v>
      </c>
      <c r="AC764" s="499">
        <f t="shared" si="225"/>
        <v>41.666666666666671</v>
      </c>
      <c r="AD764" s="499">
        <f t="shared" si="227"/>
        <v>30.694197142857142</v>
      </c>
      <c r="AE764" s="745"/>
      <c r="AF764" s="569"/>
      <c r="AG764" s="569"/>
      <c r="AH764" s="569"/>
      <c r="AI764" s="569"/>
      <c r="AJ764" s="569"/>
      <c r="AK764" s="569"/>
      <c r="AL764" s="569"/>
      <c r="AM764" s="569"/>
      <c r="AN764" s="569"/>
      <c r="AO764" s="569"/>
      <c r="AP764" s="569"/>
      <c r="AQ764" s="569"/>
      <c r="AR764" s="569"/>
      <c r="AS764" s="569"/>
      <c r="AT764" s="569"/>
      <c r="AU764" s="569"/>
      <c r="AV764" s="569"/>
      <c r="AW764" s="569"/>
      <c r="AX764" s="569"/>
      <c r="AY764" s="569"/>
      <c r="AZ764" s="569"/>
      <c r="BA764" s="569"/>
      <c r="BB764" s="569"/>
      <c r="BC764" s="570"/>
      <c r="BD764" s="570"/>
      <c r="BE764" s="570"/>
      <c r="BF764" s="570"/>
      <c r="BG764" s="570"/>
      <c r="BH764" s="570"/>
      <c r="BI764" s="570"/>
      <c r="BJ764" s="570"/>
      <c r="BK764" s="570"/>
      <c r="BL764" s="570"/>
      <c r="BM764" s="570"/>
      <c r="BN764" s="570"/>
      <c r="BO764" s="570"/>
      <c r="BP764" s="570"/>
      <c r="BQ764" s="570"/>
    </row>
    <row r="765" spans="1:69" s="1288" customFormat="1" ht="49.5">
      <c r="A765" s="102"/>
      <c r="B765" s="8"/>
      <c r="C765" s="628" t="s">
        <v>41</v>
      </c>
      <c r="D765" s="628" t="s">
        <v>28</v>
      </c>
      <c r="E765" s="628" t="s">
        <v>39</v>
      </c>
      <c r="F765" s="628" t="s">
        <v>25</v>
      </c>
      <c r="G765" s="628" t="s">
        <v>74</v>
      </c>
      <c r="H765" s="628" t="s">
        <v>48</v>
      </c>
      <c r="I765" s="10" t="s">
        <v>1078</v>
      </c>
      <c r="J765" s="780" t="s">
        <v>2851</v>
      </c>
      <c r="K765" s="107">
        <v>140</v>
      </c>
      <c r="L765" s="238">
        <v>100000000</v>
      </c>
      <c r="M765" s="107">
        <v>120</v>
      </c>
      <c r="N765" s="238">
        <v>58747020</v>
      </c>
      <c r="O765" s="107">
        <v>20</v>
      </c>
      <c r="P765" s="238">
        <v>34705000</v>
      </c>
      <c r="Q765" s="107">
        <v>0</v>
      </c>
      <c r="R765" s="25">
        <v>1727750</v>
      </c>
      <c r="S765" s="11">
        <v>25</v>
      </c>
      <c r="T765" s="30">
        <v>4700500</v>
      </c>
      <c r="U765" s="8">
        <v>0</v>
      </c>
      <c r="V765" s="25">
        <v>0</v>
      </c>
      <c r="W765" s="8">
        <v>0</v>
      </c>
      <c r="X765" s="632">
        <v>0</v>
      </c>
      <c r="Y765" s="107">
        <f t="shared" si="222"/>
        <v>25</v>
      </c>
      <c r="Z765" s="514">
        <f t="shared" si="223"/>
        <v>6428250</v>
      </c>
      <c r="AA765" s="107">
        <f t="shared" si="226"/>
        <v>145</v>
      </c>
      <c r="AB765" s="514">
        <f t="shared" si="224"/>
        <v>65175270</v>
      </c>
      <c r="AC765" s="499">
        <f t="shared" si="225"/>
        <v>103.57142857142858</v>
      </c>
      <c r="AD765" s="499">
        <f t="shared" si="227"/>
        <v>65.175269999999998</v>
      </c>
      <c r="AE765" s="745"/>
      <c r="AF765" s="569"/>
      <c r="AG765" s="569"/>
      <c r="AH765" s="569"/>
      <c r="AI765" s="569"/>
      <c r="AJ765" s="569"/>
      <c r="AK765" s="569"/>
      <c r="AL765" s="569"/>
      <c r="AM765" s="569"/>
      <c r="AN765" s="569"/>
      <c r="AO765" s="569"/>
      <c r="AP765" s="569"/>
      <c r="AQ765" s="569"/>
      <c r="AR765" s="569"/>
      <c r="AS765" s="569"/>
      <c r="AT765" s="569"/>
      <c r="AU765" s="569"/>
      <c r="AV765" s="569"/>
      <c r="AW765" s="569"/>
      <c r="AX765" s="569"/>
      <c r="AY765" s="569"/>
      <c r="AZ765" s="569"/>
      <c r="BA765" s="569"/>
      <c r="BB765" s="569"/>
      <c r="BC765" s="570"/>
      <c r="BD765" s="570"/>
      <c r="BE765" s="570"/>
      <c r="BF765" s="570"/>
      <c r="BG765" s="570"/>
      <c r="BH765" s="570"/>
      <c r="BI765" s="570"/>
      <c r="BJ765" s="570"/>
      <c r="BK765" s="570"/>
      <c r="BL765" s="570"/>
      <c r="BM765" s="570"/>
      <c r="BN765" s="570"/>
      <c r="BO765" s="570"/>
      <c r="BP765" s="570"/>
      <c r="BQ765" s="570"/>
    </row>
    <row r="766" spans="1:69" s="1288" customFormat="1" ht="49.5">
      <c r="A766" s="102"/>
      <c r="B766" s="8"/>
      <c r="C766" s="628" t="s">
        <v>41</v>
      </c>
      <c r="D766" s="628" t="s">
        <v>28</v>
      </c>
      <c r="E766" s="628" t="s">
        <v>39</v>
      </c>
      <c r="F766" s="628" t="s">
        <v>25</v>
      </c>
      <c r="G766" s="628" t="s">
        <v>74</v>
      </c>
      <c r="H766" s="628" t="s">
        <v>84</v>
      </c>
      <c r="I766" s="10" t="s">
        <v>1079</v>
      </c>
      <c r="J766" s="10" t="s">
        <v>1080</v>
      </c>
      <c r="K766" s="107">
        <v>18</v>
      </c>
      <c r="L766" s="238">
        <v>700000000</v>
      </c>
      <c r="M766" s="107">
        <v>6</v>
      </c>
      <c r="N766" s="238">
        <v>442532428</v>
      </c>
      <c r="O766" s="107">
        <v>3</v>
      </c>
      <c r="P766" s="238">
        <v>81711000</v>
      </c>
      <c r="Q766" s="107">
        <v>0</v>
      </c>
      <c r="R766" s="25">
        <v>0</v>
      </c>
      <c r="S766" s="11">
        <v>1</v>
      </c>
      <c r="T766" s="611">
        <v>1197700</v>
      </c>
      <c r="U766" s="8">
        <v>0</v>
      </c>
      <c r="V766" s="25">
        <v>0</v>
      </c>
      <c r="W766" s="8">
        <v>0</v>
      </c>
      <c r="X766" s="632">
        <v>0</v>
      </c>
      <c r="Y766" s="107">
        <f t="shared" si="222"/>
        <v>1</v>
      </c>
      <c r="Z766" s="514">
        <f t="shared" si="223"/>
        <v>1197700</v>
      </c>
      <c r="AA766" s="107">
        <f t="shared" si="226"/>
        <v>7</v>
      </c>
      <c r="AB766" s="514">
        <f t="shared" si="224"/>
        <v>443730128</v>
      </c>
      <c r="AC766" s="499">
        <f t="shared" si="225"/>
        <v>38.888888888888893</v>
      </c>
      <c r="AD766" s="499">
        <f t="shared" si="227"/>
        <v>63.390018285714291</v>
      </c>
      <c r="AE766" s="627"/>
      <c r="AF766" s="870"/>
      <c r="AG766" s="870"/>
      <c r="AH766" s="870"/>
      <c r="AI766" s="870"/>
      <c r="AJ766" s="870"/>
      <c r="AK766" s="870"/>
      <c r="AL766" s="870"/>
      <c r="AM766" s="870"/>
      <c r="AN766" s="870"/>
      <c r="AO766" s="870"/>
      <c r="AP766" s="870"/>
      <c r="AQ766" s="870"/>
      <c r="AR766" s="870"/>
      <c r="AS766" s="870"/>
      <c r="AT766" s="870"/>
      <c r="AU766" s="870"/>
      <c r="AV766" s="870"/>
      <c r="AW766" s="870"/>
      <c r="AX766" s="870"/>
      <c r="AY766" s="870"/>
      <c r="AZ766" s="870"/>
      <c r="BA766" s="870"/>
      <c r="BB766" s="870"/>
      <c r="BC766" s="871"/>
      <c r="BD766" s="871"/>
      <c r="BE766" s="871"/>
      <c r="BF766" s="871"/>
      <c r="BG766" s="871"/>
      <c r="BH766" s="871"/>
      <c r="BI766" s="871"/>
      <c r="BJ766" s="871"/>
      <c r="BK766" s="871"/>
      <c r="BL766" s="871"/>
      <c r="BM766" s="871"/>
      <c r="BN766" s="871"/>
      <c r="BO766" s="871"/>
      <c r="BP766" s="871"/>
      <c r="BQ766" s="871"/>
    </row>
    <row r="767" spans="1:69" s="1288" customFormat="1" ht="66">
      <c r="A767" s="102"/>
      <c r="B767" s="8"/>
      <c r="C767" s="628" t="s">
        <v>41</v>
      </c>
      <c r="D767" s="628" t="s">
        <v>28</v>
      </c>
      <c r="E767" s="628" t="s">
        <v>39</v>
      </c>
      <c r="F767" s="628" t="s">
        <v>25</v>
      </c>
      <c r="G767" s="628" t="s">
        <v>74</v>
      </c>
      <c r="H767" s="628" t="s">
        <v>474</v>
      </c>
      <c r="I767" s="10" t="s">
        <v>1081</v>
      </c>
      <c r="J767" s="780" t="s">
        <v>2852</v>
      </c>
      <c r="K767" s="107">
        <v>72</v>
      </c>
      <c r="L767" s="238">
        <v>300000000</v>
      </c>
      <c r="M767" s="107">
        <v>36</v>
      </c>
      <c r="N767" s="238">
        <v>218002818</v>
      </c>
      <c r="O767" s="107">
        <v>12</v>
      </c>
      <c r="P767" s="238">
        <v>70285000</v>
      </c>
      <c r="Q767" s="107">
        <v>3</v>
      </c>
      <c r="R767" s="25">
        <v>21872650</v>
      </c>
      <c r="S767" s="11">
        <v>0</v>
      </c>
      <c r="T767" s="611">
        <v>16799300</v>
      </c>
      <c r="U767" s="8">
        <v>0</v>
      </c>
      <c r="V767" s="25">
        <v>0</v>
      </c>
      <c r="W767" s="8">
        <v>0</v>
      </c>
      <c r="X767" s="632">
        <v>0</v>
      </c>
      <c r="Y767" s="107">
        <f t="shared" si="222"/>
        <v>3</v>
      </c>
      <c r="Z767" s="514">
        <f t="shared" si="223"/>
        <v>38671950</v>
      </c>
      <c r="AA767" s="107">
        <f t="shared" si="226"/>
        <v>39</v>
      </c>
      <c r="AB767" s="514">
        <f t="shared" si="224"/>
        <v>256674768</v>
      </c>
      <c r="AC767" s="499">
        <f t="shared" si="225"/>
        <v>54.166666666666664</v>
      </c>
      <c r="AD767" s="499">
        <f t="shared" si="227"/>
        <v>85.558256</v>
      </c>
      <c r="AE767" s="745"/>
      <c r="AF767" s="569"/>
      <c r="AG767" s="569"/>
      <c r="AH767" s="569"/>
      <c r="AI767" s="569"/>
      <c r="AJ767" s="569"/>
      <c r="AK767" s="569"/>
      <c r="AL767" s="569"/>
      <c r="AM767" s="569"/>
      <c r="AN767" s="569"/>
      <c r="AO767" s="569"/>
      <c r="AP767" s="569"/>
      <c r="AQ767" s="569"/>
      <c r="AR767" s="569"/>
      <c r="AS767" s="569"/>
      <c r="AT767" s="569"/>
      <c r="AU767" s="569"/>
      <c r="AV767" s="569"/>
      <c r="AW767" s="569"/>
      <c r="AX767" s="569"/>
      <c r="AY767" s="569"/>
      <c r="AZ767" s="569"/>
      <c r="BA767" s="569"/>
      <c r="BB767" s="569"/>
      <c r="BC767" s="570"/>
      <c r="BD767" s="570"/>
      <c r="BE767" s="570"/>
      <c r="BF767" s="570"/>
      <c r="BG767" s="570"/>
      <c r="BH767" s="570"/>
      <c r="BI767" s="570"/>
      <c r="BJ767" s="570"/>
      <c r="BK767" s="570"/>
      <c r="BL767" s="570"/>
      <c r="BM767" s="570"/>
      <c r="BN767" s="570"/>
      <c r="BO767" s="570"/>
      <c r="BP767" s="570"/>
      <c r="BQ767" s="570"/>
    </row>
    <row r="768" spans="1:69" ht="66">
      <c r="A768" s="102"/>
      <c r="B768" s="8"/>
      <c r="C768" s="628" t="s">
        <v>41</v>
      </c>
      <c r="D768" s="628" t="s">
        <v>28</v>
      </c>
      <c r="E768" s="628" t="s">
        <v>39</v>
      </c>
      <c r="F768" s="628" t="s">
        <v>25</v>
      </c>
      <c r="G768" s="628" t="s">
        <v>74</v>
      </c>
      <c r="H768" s="628" t="s">
        <v>50</v>
      </c>
      <c r="I768" s="10" t="s">
        <v>1082</v>
      </c>
      <c r="J768" s="780" t="s">
        <v>2853</v>
      </c>
      <c r="K768" s="107">
        <v>1</v>
      </c>
      <c r="L768" s="238">
        <v>150000000</v>
      </c>
      <c r="M768" s="107">
        <v>0</v>
      </c>
      <c r="N768" s="238">
        <v>89911320</v>
      </c>
      <c r="O768" s="107">
        <v>1</v>
      </c>
      <c r="P768" s="238">
        <v>15472000</v>
      </c>
      <c r="Q768" s="107">
        <v>0</v>
      </c>
      <c r="R768" s="25">
        <v>10749873</v>
      </c>
      <c r="S768" s="11">
        <v>0</v>
      </c>
      <c r="T768" s="30">
        <v>675000</v>
      </c>
      <c r="U768" s="8">
        <v>0</v>
      </c>
      <c r="V768" s="25">
        <v>0</v>
      </c>
      <c r="W768" s="8">
        <v>0</v>
      </c>
      <c r="X768" s="25">
        <v>0</v>
      </c>
      <c r="Y768" s="107">
        <f t="shared" si="222"/>
        <v>0</v>
      </c>
      <c r="Z768" s="514">
        <f t="shared" si="223"/>
        <v>11424873</v>
      </c>
      <c r="AA768" s="107">
        <v>2</v>
      </c>
      <c r="AB768" s="514">
        <f t="shared" si="224"/>
        <v>101336193</v>
      </c>
      <c r="AC768" s="499">
        <f t="shared" si="225"/>
        <v>200</v>
      </c>
      <c r="AD768" s="499">
        <f t="shared" si="227"/>
        <v>67.557462000000001</v>
      </c>
      <c r="AE768" s="745"/>
      <c r="AF768" s="569"/>
      <c r="AG768" s="569"/>
      <c r="AH768" s="569"/>
      <c r="AI768" s="569"/>
      <c r="AJ768" s="569"/>
      <c r="AK768" s="569"/>
      <c r="AL768" s="569"/>
      <c r="AM768" s="569"/>
      <c r="AN768" s="569"/>
      <c r="AO768" s="569"/>
      <c r="AP768" s="569"/>
      <c r="AQ768" s="569"/>
      <c r="AR768" s="569"/>
      <c r="AS768" s="569"/>
      <c r="AT768" s="569"/>
      <c r="AU768" s="569"/>
      <c r="AV768" s="569"/>
      <c r="AW768" s="569"/>
      <c r="AX768" s="569"/>
      <c r="AY768" s="569"/>
      <c r="AZ768" s="569"/>
      <c r="BA768" s="569"/>
      <c r="BB768" s="569"/>
      <c r="BC768" s="570"/>
      <c r="BD768" s="570"/>
      <c r="BE768" s="570"/>
      <c r="BF768" s="570"/>
      <c r="BG768" s="570"/>
      <c r="BH768" s="570"/>
      <c r="BI768" s="570"/>
      <c r="BJ768" s="570"/>
      <c r="BK768" s="570"/>
      <c r="BL768" s="570"/>
      <c r="BM768" s="570"/>
      <c r="BN768" s="570"/>
      <c r="BO768" s="570"/>
      <c r="BP768" s="570"/>
      <c r="BQ768" s="570"/>
    </row>
    <row r="769" spans="1:70" s="1235" customFormat="1" ht="21" customHeight="1">
      <c r="A769" s="2737" t="s">
        <v>63</v>
      </c>
      <c r="B769" s="2737"/>
      <c r="C769" s="2741"/>
      <c r="D769" s="2741"/>
      <c r="E769" s="2741"/>
      <c r="F769" s="2741"/>
      <c r="G769" s="2741"/>
      <c r="H769" s="2741"/>
      <c r="I769" s="2741"/>
      <c r="J769" s="2741"/>
      <c r="K769" s="2741"/>
      <c r="L769" s="2741"/>
      <c r="M769" s="2741"/>
      <c r="N769" s="2741"/>
      <c r="O769" s="2741"/>
      <c r="P769" s="2741"/>
      <c r="Q769" s="2741"/>
      <c r="R769" s="2741"/>
      <c r="S769" s="2741"/>
      <c r="T769" s="2741"/>
      <c r="U769" s="2741"/>
      <c r="V769" s="2741"/>
      <c r="W769" s="2741"/>
      <c r="X769" s="2741"/>
      <c r="Y769" s="2741"/>
      <c r="Z769" s="2741"/>
      <c r="AA769" s="2741"/>
      <c r="AB769" s="2741"/>
      <c r="AC769" s="965">
        <f>(AC723+AC735+AC741+AC742+AC757+AC758)/6</f>
        <v>88.65365563104281</v>
      </c>
      <c r="AD769" s="965">
        <f>(AD741+AD735+AD723+AD757)/4</f>
        <v>53.448486676468157</v>
      </c>
      <c r="AE769" s="603"/>
      <c r="AF769" s="861"/>
      <c r="AG769" s="861"/>
      <c r="AH769" s="861"/>
      <c r="AI769" s="861"/>
      <c r="AJ769" s="861"/>
      <c r="AK769" s="861"/>
      <c r="AL769" s="861"/>
      <c r="AM769" s="861"/>
      <c r="AN769" s="861"/>
      <c r="AO769" s="861"/>
      <c r="AP769" s="861"/>
      <c r="AQ769" s="861"/>
      <c r="AR769" s="861"/>
      <c r="AS769" s="861"/>
      <c r="AT769" s="861"/>
      <c r="AU769" s="861"/>
      <c r="AV769" s="861"/>
      <c r="AW769" s="861"/>
      <c r="AX769" s="861"/>
      <c r="AY769" s="861"/>
      <c r="AZ769" s="861"/>
      <c r="BA769" s="861"/>
      <c r="BB769" s="861"/>
      <c r="BC769" s="862"/>
      <c r="BD769" s="862"/>
      <c r="BE769" s="862"/>
      <c r="BF769" s="862"/>
      <c r="BG769" s="862"/>
      <c r="BH769" s="862"/>
      <c r="BI769" s="862"/>
      <c r="BJ769" s="862"/>
      <c r="BK769" s="862"/>
      <c r="BL769" s="862"/>
      <c r="BM769" s="862"/>
      <c r="BN769" s="862"/>
      <c r="BO769" s="862"/>
      <c r="BP769" s="862"/>
      <c r="BQ769" s="862"/>
      <c r="BR769" s="862"/>
    </row>
    <row r="770" spans="1:70" s="1235" customFormat="1" ht="23.25" customHeight="1">
      <c r="A770" s="2737" t="s">
        <v>64</v>
      </c>
      <c r="B770" s="2737"/>
      <c r="C770" s="2741"/>
      <c r="D770" s="2741"/>
      <c r="E770" s="2741"/>
      <c r="F770" s="2741"/>
      <c r="G770" s="2741"/>
      <c r="H770" s="2741"/>
      <c r="I770" s="2741"/>
      <c r="J770" s="2741"/>
      <c r="K770" s="2741"/>
      <c r="L770" s="2741"/>
      <c r="M770" s="2741"/>
      <c r="N770" s="2741"/>
      <c r="O770" s="2741"/>
      <c r="P770" s="2741"/>
      <c r="Q770" s="2741"/>
      <c r="R770" s="2741"/>
      <c r="S770" s="2741"/>
      <c r="T770" s="2741"/>
      <c r="U770" s="2741"/>
      <c r="V770" s="2741"/>
      <c r="W770" s="2741"/>
      <c r="X770" s="2741"/>
      <c r="Y770" s="2741"/>
      <c r="Z770" s="2741"/>
      <c r="AA770" s="2741"/>
      <c r="AB770" s="2741"/>
      <c r="AC770" s="604" t="str">
        <f>IF(AC769&gt;=91,"ST",IF(AC769&gt;=76,"T",IF(AC769&gt;=66,"S",IF(AC769&gt;=51,"R","SR"))))</f>
        <v>T</v>
      </c>
      <c r="AD770" s="604" t="str">
        <f>IF(AD769&gt;=91,"ST",IF(AD769&gt;=76,"T",IF(AD769&gt;=66,"S",IF(AD769&gt;=51,"R","SR"))))</f>
        <v>R</v>
      </c>
      <c r="AE770" s="603"/>
      <c r="AF770" s="861"/>
      <c r="AG770" s="861"/>
      <c r="AH770" s="861"/>
      <c r="AI770" s="861"/>
      <c r="AJ770" s="861"/>
      <c r="AK770" s="861"/>
      <c r="AL770" s="861"/>
      <c r="AM770" s="861"/>
      <c r="AN770" s="861"/>
      <c r="AO770" s="861"/>
      <c r="AP770" s="861"/>
      <c r="AQ770" s="861"/>
      <c r="AR770" s="861"/>
      <c r="AS770" s="861"/>
      <c r="AT770" s="861"/>
      <c r="AU770" s="861"/>
      <c r="AV770" s="861"/>
      <c r="AW770" s="861"/>
      <c r="AX770" s="861"/>
      <c r="AY770" s="861"/>
      <c r="AZ770" s="861"/>
      <c r="BA770" s="861"/>
      <c r="BB770" s="861"/>
      <c r="BC770" s="862"/>
      <c r="BD770" s="862"/>
      <c r="BE770" s="862"/>
      <c r="BF770" s="862"/>
      <c r="BG770" s="862"/>
      <c r="BH770" s="862"/>
      <c r="BI770" s="862"/>
      <c r="BJ770" s="862"/>
      <c r="BK770" s="862"/>
      <c r="BL770" s="862"/>
      <c r="BM770" s="862"/>
      <c r="BN770" s="862"/>
      <c r="BO770" s="862"/>
      <c r="BP770" s="862"/>
      <c r="BQ770" s="862"/>
      <c r="BR770" s="862"/>
    </row>
    <row r="771" spans="1:70" ht="31.5" customHeight="1">
      <c r="A771" s="863" t="s">
        <v>16</v>
      </c>
      <c r="B771" s="1618"/>
      <c r="C771" s="863"/>
      <c r="D771" s="863"/>
      <c r="E771" s="863"/>
      <c r="F771" s="863"/>
      <c r="G771" s="863"/>
      <c r="H771" s="863"/>
      <c r="I771" s="2746" t="s">
        <v>106</v>
      </c>
      <c r="J771" s="2747"/>
      <c r="K771" s="1665"/>
      <c r="L771" s="1672"/>
      <c r="M771" s="1665"/>
      <c r="N771" s="1286">
        <f>N772+N781+N785</f>
        <v>6276972040</v>
      </c>
      <c r="O771" s="1665"/>
      <c r="P771" s="1517">
        <f>P772+P781+P783+P785</f>
        <v>11246958790</v>
      </c>
      <c r="Q771" s="1665"/>
      <c r="R771" s="1320">
        <f>R772+R781</f>
        <v>51982900</v>
      </c>
      <c r="S771" s="1618"/>
      <c r="T771" s="1320">
        <f>T772+T781</f>
        <v>1853792505</v>
      </c>
      <c r="U771" s="1618"/>
      <c r="V771" s="1678"/>
      <c r="W771" s="1618"/>
      <c r="X771" s="1618"/>
      <c r="Y771" s="1665"/>
      <c r="Z771" s="1320">
        <f>Z772+Z781</f>
        <v>1905775405</v>
      </c>
      <c r="AA771" s="1665"/>
      <c r="AB771" s="1320">
        <f>AB772+AB781</f>
        <v>456873927</v>
      </c>
      <c r="AC771" s="1665"/>
      <c r="AD771" s="1665"/>
      <c r="AE771" s="1631"/>
      <c r="AF771" s="200"/>
      <c r="AG771" s="200"/>
      <c r="AH771" s="200"/>
      <c r="AI771" s="200"/>
      <c r="AJ771" s="200"/>
      <c r="AK771" s="200"/>
      <c r="AL771" s="200"/>
      <c r="AM771" s="200"/>
      <c r="AN771" s="200"/>
      <c r="AO771" s="200"/>
      <c r="AP771" s="200"/>
      <c r="AQ771" s="200"/>
      <c r="AR771" s="200"/>
      <c r="AS771" s="200"/>
      <c r="AT771" s="200"/>
      <c r="AU771" s="200"/>
      <c r="AV771" s="200"/>
      <c r="AW771" s="200"/>
      <c r="AX771" s="200"/>
      <c r="AY771" s="200"/>
      <c r="AZ771" s="200"/>
      <c r="BA771" s="200"/>
      <c r="BB771" s="200"/>
      <c r="BC771" s="970"/>
      <c r="BD771" s="970"/>
      <c r="BE771" s="970"/>
      <c r="BF771" s="970"/>
      <c r="BG771" s="970"/>
      <c r="BH771" s="970"/>
      <c r="BI771" s="970"/>
      <c r="BJ771" s="970"/>
      <c r="BK771" s="970"/>
      <c r="BL771" s="970"/>
      <c r="BM771" s="970"/>
      <c r="BN771" s="970"/>
      <c r="BO771" s="970"/>
      <c r="BP771" s="970"/>
      <c r="BQ771" s="970"/>
    </row>
    <row r="772" spans="1:70" s="16" customFormat="1" ht="74.25" customHeight="1">
      <c r="A772" s="2554">
        <v>1</v>
      </c>
      <c r="B772" s="44"/>
      <c r="C772" s="753" t="s">
        <v>41</v>
      </c>
      <c r="D772" s="753" t="s">
        <v>28</v>
      </c>
      <c r="E772" s="753" t="s">
        <v>78</v>
      </c>
      <c r="F772" s="753" t="s">
        <v>25</v>
      </c>
      <c r="G772" s="753" t="s">
        <v>42</v>
      </c>
      <c r="H772" s="753"/>
      <c r="I772" s="44" t="s">
        <v>558</v>
      </c>
      <c r="J772" s="44" t="s">
        <v>2855</v>
      </c>
      <c r="K772" s="146">
        <v>62</v>
      </c>
      <c r="L772" s="879">
        <f>SUM(L773:L774)</f>
        <v>1269267150</v>
      </c>
      <c r="M772" s="146">
        <v>49</v>
      </c>
      <c r="N772" s="879">
        <f>SUM(N773:N780)</f>
        <v>6081610240</v>
      </c>
      <c r="O772" s="146">
        <v>4</v>
      </c>
      <c r="P772" s="879">
        <f>SUM(P773:P780)</f>
        <v>10892648412</v>
      </c>
      <c r="Q772" s="880">
        <v>0</v>
      </c>
      <c r="R772" s="879">
        <f>SUM(R773:R780)</f>
        <v>51982900</v>
      </c>
      <c r="S772" s="44"/>
      <c r="T772" s="221">
        <f>SUM(T773:T780)</f>
        <v>1821067505</v>
      </c>
      <c r="U772" s="44"/>
      <c r="V772" s="44"/>
      <c r="W772" s="44"/>
      <c r="X772" s="44"/>
      <c r="Y772" s="146">
        <f t="shared" ref="Y772:Y786" si="228">Q772+S772+U772+W772</f>
        <v>0</v>
      </c>
      <c r="Z772" s="867">
        <f>SUM(Z773:Z780)</f>
        <v>1873050405</v>
      </c>
      <c r="AA772" s="146">
        <f t="shared" ref="AA772:AA786" si="229">M772+Y772</f>
        <v>49</v>
      </c>
      <c r="AB772" s="867">
        <f>SUM(AB773:AB774)</f>
        <v>274267127</v>
      </c>
      <c r="AC772" s="868">
        <f t="shared" ref="AC772:AC786" si="230">(AA772/K772)*100</f>
        <v>79.032258064516128</v>
      </c>
      <c r="AD772" s="868">
        <f t="shared" ref="AD772:AD786" si="231">(AB772/L772)*100</f>
        <v>21.608305784956304</v>
      </c>
      <c r="AE772" s="482" t="s">
        <v>2854</v>
      </c>
      <c r="AF772" s="869"/>
      <c r="AG772" s="870"/>
      <c r="AH772" s="870"/>
      <c r="AI772" s="870"/>
      <c r="AJ772" s="870"/>
      <c r="AK772" s="870"/>
      <c r="AL772" s="870"/>
      <c r="AM772" s="870"/>
      <c r="AN772" s="870"/>
      <c r="AO772" s="870"/>
      <c r="AP772" s="870"/>
      <c r="AQ772" s="870"/>
      <c r="AR772" s="870"/>
      <c r="AS772" s="870"/>
      <c r="AT772" s="870"/>
      <c r="AU772" s="870"/>
      <c r="AV772" s="870"/>
      <c r="AW772" s="870"/>
      <c r="AX772" s="870"/>
      <c r="AY772" s="870"/>
      <c r="AZ772" s="870"/>
      <c r="BA772" s="870"/>
      <c r="BB772" s="870"/>
      <c r="BC772" s="870"/>
      <c r="BD772" s="870"/>
      <c r="BE772" s="870"/>
      <c r="BF772" s="870"/>
      <c r="BG772" s="870"/>
      <c r="BH772" s="870"/>
      <c r="BI772" s="870"/>
      <c r="BJ772" s="870"/>
      <c r="BK772" s="870"/>
      <c r="BL772" s="870"/>
      <c r="BM772" s="870"/>
      <c r="BN772" s="870"/>
      <c r="BO772" s="870"/>
      <c r="BP772" s="870"/>
      <c r="BQ772" s="870"/>
      <c r="BR772" s="20"/>
    </row>
    <row r="773" spans="1:70" ht="56.25" customHeight="1">
      <c r="A773" s="1004"/>
      <c r="B773" s="34"/>
      <c r="C773" s="967" t="s">
        <v>41</v>
      </c>
      <c r="D773" s="967" t="s">
        <v>28</v>
      </c>
      <c r="E773" s="967" t="s">
        <v>78</v>
      </c>
      <c r="F773" s="967" t="s">
        <v>25</v>
      </c>
      <c r="G773" s="967" t="s">
        <v>42</v>
      </c>
      <c r="H773" s="967" t="s">
        <v>78</v>
      </c>
      <c r="I773" s="34" t="s">
        <v>559</v>
      </c>
      <c r="J773" s="34" t="s">
        <v>2856</v>
      </c>
      <c r="K773" s="506">
        <v>200</v>
      </c>
      <c r="L773" s="558">
        <f>3*P773</f>
        <v>760147500</v>
      </c>
      <c r="M773" s="506">
        <v>5</v>
      </c>
      <c r="N773" s="36">
        <v>25121260</v>
      </c>
      <c r="O773" s="506">
        <v>50</v>
      </c>
      <c r="P773" s="36">
        <v>253382500</v>
      </c>
      <c r="Q773" s="882">
        <v>3</v>
      </c>
      <c r="R773" s="558">
        <v>17335750</v>
      </c>
      <c r="S773" s="34"/>
      <c r="T773" s="232">
        <v>33437200</v>
      </c>
      <c r="U773" s="34"/>
      <c r="V773" s="34"/>
      <c r="W773" s="34"/>
      <c r="X773" s="34"/>
      <c r="Y773" s="115">
        <f t="shared" si="228"/>
        <v>3</v>
      </c>
      <c r="Z773" s="873">
        <f t="shared" ref="Z773:Z780" si="232">R773+T773+V773+X773</f>
        <v>50772950</v>
      </c>
      <c r="AA773" s="115">
        <f t="shared" si="229"/>
        <v>8</v>
      </c>
      <c r="AB773" s="873">
        <f t="shared" ref="AB773:AB780" si="233">N773+Z773</f>
        <v>75894210</v>
      </c>
      <c r="AC773" s="874">
        <f t="shared" si="230"/>
        <v>4</v>
      </c>
      <c r="AD773" s="874">
        <f t="shared" si="231"/>
        <v>9.984142551281165</v>
      </c>
      <c r="AE773" s="490"/>
      <c r="AF773" s="569"/>
      <c r="AG773" s="569"/>
      <c r="AH773" s="569"/>
      <c r="AI773" s="569"/>
      <c r="AJ773" s="569"/>
      <c r="AK773" s="569"/>
      <c r="AL773" s="569"/>
      <c r="AM773" s="569"/>
      <c r="AN773" s="569"/>
      <c r="AO773" s="569"/>
      <c r="AP773" s="569"/>
      <c r="AQ773" s="569"/>
      <c r="AR773" s="569"/>
      <c r="AS773" s="569"/>
      <c r="AT773" s="569"/>
      <c r="AU773" s="569"/>
      <c r="AV773" s="569"/>
      <c r="AW773" s="569"/>
      <c r="AX773" s="569"/>
      <c r="AY773" s="569"/>
      <c r="AZ773" s="569"/>
      <c r="BA773" s="569"/>
      <c r="BB773" s="569"/>
      <c r="BC773" s="569"/>
      <c r="BD773" s="569"/>
      <c r="BE773" s="569"/>
      <c r="BF773" s="569"/>
      <c r="BG773" s="569"/>
      <c r="BH773" s="569"/>
      <c r="BI773" s="569"/>
      <c r="BJ773" s="569"/>
      <c r="BK773" s="569"/>
      <c r="BL773" s="569"/>
      <c r="BM773" s="569"/>
      <c r="BN773" s="569"/>
      <c r="BO773" s="569"/>
      <c r="BP773" s="569"/>
      <c r="BQ773" s="569"/>
    </row>
    <row r="774" spans="1:70" ht="66">
      <c r="A774" s="1004"/>
      <c r="B774" s="34"/>
      <c r="C774" s="967" t="s">
        <v>41</v>
      </c>
      <c r="D774" s="967" t="s">
        <v>28</v>
      </c>
      <c r="E774" s="967" t="s">
        <v>78</v>
      </c>
      <c r="F774" s="967" t="s">
        <v>25</v>
      </c>
      <c r="G774" s="967" t="s">
        <v>42</v>
      </c>
      <c r="H774" s="967" t="s">
        <v>38</v>
      </c>
      <c r="I774" s="34" t="s">
        <v>560</v>
      </c>
      <c r="J774" s="34" t="s">
        <v>2857</v>
      </c>
      <c r="K774" s="506">
        <v>4</v>
      </c>
      <c r="L774" s="558">
        <f>3*N774</f>
        <v>509119650</v>
      </c>
      <c r="M774" s="506">
        <v>1</v>
      </c>
      <c r="N774" s="36">
        <v>169706550</v>
      </c>
      <c r="O774" s="506">
        <v>1</v>
      </c>
      <c r="P774" s="36">
        <v>115211137</v>
      </c>
      <c r="Q774" s="1679">
        <v>0</v>
      </c>
      <c r="R774" s="203">
        <v>0</v>
      </c>
      <c r="S774" s="34"/>
      <c r="T774" s="232">
        <v>28666367</v>
      </c>
      <c r="U774" s="34"/>
      <c r="V774" s="34"/>
      <c r="W774" s="34"/>
      <c r="X774" s="34"/>
      <c r="Y774" s="115">
        <f t="shared" si="228"/>
        <v>0</v>
      </c>
      <c r="Z774" s="873">
        <f t="shared" si="232"/>
        <v>28666367</v>
      </c>
      <c r="AA774" s="115">
        <f t="shared" si="229"/>
        <v>1</v>
      </c>
      <c r="AB774" s="873">
        <f t="shared" si="233"/>
        <v>198372917</v>
      </c>
      <c r="AC774" s="874">
        <f t="shared" si="230"/>
        <v>25</v>
      </c>
      <c r="AD774" s="874">
        <f t="shared" si="231"/>
        <v>38.9639089750317</v>
      </c>
      <c r="AE774" s="490"/>
      <c r="AF774" s="569"/>
      <c r="AG774" s="569"/>
      <c r="AH774" s="569"/>
      <c r="AI774" s="569"/>
      <c r="AJ774" s="569"/>
      <c r="AK774" s="569"/>
      <c r="AL774" s="569"/>
      <c r="AM774" s="569"/>
      <c r="AN774" s="569"/>
      <c r="AO774" s="569"/>
      <c r="AP774" s="569"/>
      <c r="AQ774" s="569"/>
      <c r="AR774" s="569"/>
      <c r="AS774" s="569"/>
      <c r="AT774" s="569"/>
      <c r="AU774" s="569"/>
      <c r="AV774" s="569"/>
      <c r="AW774" s="569"/>
      <c r="AX774" s="569"/>
      <c r="AY774" s="569"/>
      <c r="AZ774" s="569"/>
      <c r="BA774" s="569"/>
      <c r="BB774" s="569"/>
      <c r="BC774" s="569"/>
      <c r="BD774" s="569"/>
      <c r="BE774" s="569"/>
      <c r="BF774" s="569"/>
      <c r="BG774" s="569"/>
      <c r="BH774" s="569"/>
      <c r="BI774" s="569"/>
      <c r="BJ774" s="569"/>
      <c r="BK774" s="569"/>
      <c r="BL774" s="569"/>
      <c r="BM774" s="569"/>
      <c r="BN774" s="569"/>
      <c r="BO774" s="569"/>
      <c r="BP774" s="569"/>
      <c r="BQ774" s="569"/>
    </row>
    <row r="775" spans="1:70" ht="82.5">
      <c r="A775" s="1004"/>
      <c r="B775" s="34"/>
      <c r="C775" s="967" t="s">
        <v>41</v>
      </c>
      <c r="D775" s="967" t="s">
        <v>28</v>
      </c>
      <c r="E775" s="967" t="s">
        <v>78</v>
      </c>
      <c r="F775" s="967" t="s">
        <v>25</v>
      </c>
      <c r="G775" s="967" t="s">
        <v>42</v>
      </c>
      <c r="H775" s="967" t="s">
        <v>56</v>
      </c>
      <c r="I775" s="34" t="s">
        <v>561</v>
      </c>
      <c r="J775" s="34" t="s">
        <v>2858</v>
      </c>
      <c r="K775" s="506">
        <v>48</v>
      </c>
      <c r="L775" s="558">
        <f>3*N775</f>
        <v>399597450</v>
      </c>
      <c r="M775" s="506">
        <v>12</v>
      </c>
      <c r="N775" s="36">
        <v>133199150</v>
      </c>
      <c r="O775" s="506">
        <v>12</v>
      </c>
      <c r="P775" s="36">
        <v>100027628</v>
      </c>
      <c r="Q775" s="1679">
        <v>0</v>
      </c>
      <c r="R775" s="558">
        <v>0</v>
      </c>
      <c r="S775" s="34"/>
      <c r="T775" s="232">
        <v>1394750</v>
      </c>
      <c r="U775" s="34"/>
      <c r="V775" s="34"/>
      <c r="W775" s="34"/>
      <c r="X775" s="34"/>
      <c r="Y775" s="115">
        <f t="shared" si="228"/>
        <v>0</v>
      </c>
      <c r="Z775" s="873">
        <f t="shared" si="232"/>
        <v>1394750</v>
      </c>
      <c r="AA775" s="115">
        <f t="shared" si="229"/>
        <v>12</v>
      </c>
      <c r="AB775" s="873">
        <f t="shared" si="233"/>
        <v>134593900</v>
      </c>
      <c r="AC775" s="874">
        <f t="shared" si="230"/>
        <v>25</v>
      </c>
      <c r="AD775" s="874">
        <f t="shared" si="231"/>
        <v>33.682372097219336</v>
      </c>
      <c r="AE775" s="490"/>
      <c r="AF775" s="569"/>
      <c r="AG775" s="569"/>
      <c r="AH775" s="569"/>
      <c r="AI775" s="569"/>
      <c r="AJ775" s="569"/>
      <c r="AK775" s="569"/>
      <c r="AL775" s="569"/>
      <c r="AM775" s="569"/>
      <c r="AN775" s="569"/>
      <c r="AO775" s="569"/>
      <c r="AP775" s="569"/>
      <c r="AQ775" s="569"/>
      <c r="AR775" s="569"/>
      <c r="AS775" s="569"/>
      <c r="AT775" s="569"/>
      <c r="AU775" s="569"/>
      <c r="AV775" s="569"/>
      <c r="AW775" s="569"/>
      <c r="AX775" s="569"/>
      <c r="AY775" s="569"/>
      <c r="AZ775" s="569"/>
      <c r="BA775" s="569"/>
      <c r="BB775" s="569"/>
      <c r="BC775" s="569"/>
      <c r="BD775" s="569"/>
      <c r="BE775" s="569"/>
      <c r="BF775" s="569"/>
      <c r="BG775" s="569"/>
      <c r="BH775" s="569"/>
      <c r="BI775" s="569"/>
      <c r="BJ775" s="569"/>
      <c r="BK775" s="569"/>
      <c r="BL775" s="569"/>
      <c r="BM775" s="569"/>
      <c r="BN775" s="569"/>
      <c r="BO775" s="569"/>
      <c r="BP775" s="569"/>
      <c r="BQ775" s="569"/>
    </row>
    <row r="776" spans="1:70" ht="37.5" customHeight="1">
      <c r="A776" s="1004"/>
      <c r="B776" s="34"/>
      <c r="C776" s="967" t="s">
        <v>41</v>
      </c>
      <c r="D776" s="967" t="s">
        <v>28</v>
      </c>
      <c r="E776" s="967" t="s">
        <v>78</v>
      </c>
      <c r="F776" s="967" t="s">
        <v>25</v>
      </c>
      <c r="G776" s="967" t="s">
        <v>42</v>
      </c>
      <c r="H776" s="967" t="s">
        <v>29</v>
      </c>
      <c r="I776" s="34" t="s">
        <v>562</v>
      </c>
      <c r="J776" s="34" t="s">
        <v>2859</v>
      </c>
      <c r="K776" s="506">
        <v>25</v>
      </c>
      <c r="L776" s="558">
        <f>3*P776</f>
        <v>30000000000</v>
      </c>
      <c r="M776" s="506">
        <v>11</v>
      </c>
      <c r="N776" s="36">
        <v>5505122200</v>
      </c>
      <c r="O776" s="506">
        <v>10</v>
      </c>
      <c r="P776" s="36">
        <v>10000000000</v>
      </c>
      <c r="Q776" s="1679">
        <v>0</v>
      </c>
      <c r="R776" s="558">
        <v>10193500</v>
      </c>
      <c r="S776" s="34">
        <v>2</v>
      </c>
      <c r="T776" s="232">
        <v>1690371888</v>
      </c>
      <c r="U776" s="34"/>
      <c r="V776" s="34"/>
      <c r="W776" s="34"/>
      <c r="X776" s="34"/>
      <c r="Y776" s="115">
        <f t="shared" si="228"/>
        <v>2</v>
      </c>
      <c r="Z776" s="873">
        <f t="shared" si="232"/>
        <v>1700565388</v>
      </c>
      <c r="AA776" s="115">
        <f t="shared" si="229"/>
        <v>13</v>
      </c>
      <c r="AB776" s="873">
        <f t="shared" si="233"/>
        <v>7205687588</v>
      </c>
      <c r="AC776" s="874">
        <f t="shared" si="230"/>
        <v>52</v>
      </c>
      <c r="AD776" s="874">
        <f t="shared" si="231"/>
        <v>24.018958626666667</v>
      </c>
      <c r="AE776" s="490"/>
      <c r="AF776" s="569"/>
      <c r="AG776" s="569"/>
      <c r="AH776" s="569"/>
      <c r="AI776" s="569"/>
      <c r="AJ776" s="569"/>
      <c r="AK776" s="569"/>
      <c r="AL776" s="569"/>
      <c r="AM776" s="569"/>
      <c r="AN776" s="569"/>
      <c r="AO776" s="569"/>
      <c r="AP776" s="569"/>
      <c r="AQ776" s="569"/>
      <c r="AR776" s="569"/>
      <c r="AS776" s="569"/>
      <c r="AT776" s="569"/>
      <c r="AU776" s="569"/>
      <c r="AV776" s="569"/>
      <c r="AW776" s="569"/>
      <c r="AX776" s="569"/>
      <c r="AY776" s="569"/>
      <c r="AZ776" s="569"/>
      <c r="BA776" s="569"/>
      <c r="BB776" s="569"/>
      <c r="BC776" s="569"/>
      <c r="BD776" s="569"/>
      <c r="BE776" s="569"/>
      <c r="BF776" s="569"/>
      <c r="BG776" s="569"/>
      <c r="BH776" s="569"/>
      <c r="BI776" s="569"/>
      <c r="BJ776" s="569"/>
      <c r="BK776" s="569"/>
      <c r="BL776" s="569"/>
      <c r="BM776" s="569"/>
      <c r="BN776" s="569"/>
      <c r="BO776" s="569"/>
      <c r="BP776" s="569"/>
      <c r="BQ776" s="569"/>
    </row>
    <row r="777" spans="1:70" ht="82.5">
      <c r="A777" s="1004"/>
      <c r="B777" s="34"/>
      <c r="C777" s="967" t="s">
        <v>41</v>
      </c>
      <c r="D777" s="967" t="s">
        <v>28</v>
      </c>
      <c r="E777" s="967" t="s">
        <v>78</v>
      </c>
      <c r="F777" s="967" t="s">
        <v>25</v>
      </c>
      <c r="G777" s="967" t="s">
        <v>42</v>
      </c>
      <c r="H777" s="967" t="s">
        <v>30</v>
      </c>
      <c r="I777" s="34" t="s">
        <v>563</v>
      </c>
      <c r="J777" s="34" t="s">
        <v>2860</v>
      </c>
      <c r="K777" s="506">
        <v>25</v>
      </c>
      <c r="L777" s="558">
        <f>3*P777</f>
        <v>315000000</v>
      </c>
      <c r="M777" s="506">
        <v>4</v>
      </c>
      <c r="N777" s="36">
        <v>10288580</v>
      </c>
      <c r="O777" s="506">
        <v>17</v>
      </c>
      <c r="P777" s="36">
        <v>105000000</v>
      </c>
      <c r="Q777" s="1679">
        <v>0</v>
      </c>
      <c r="R777" s="558">
        <v>0</v>
      </c>
      <c r="S777" s="34"/>
      <c r="T777" s="232">
        <v>295000</v>
      </c>
      <c r="U777" s="34"/>
      <c r="V777" s="34"/>
      <c r="W777" s="34"/>
      <c r="X777" s="34"/>
      <c r="Y777" s="115">
        <f t="shared" si="228"/>
        <v>0</v>
      </c>
      <c r="Z777" s="873">
        <f t="shared" si="232"/>
        <v>295000</v>
      </c>
      <c r="AA777" s="115">
        <f t="shared" si="229"/>
        <v>4</v>
      </c>
      <c r="AB777" s="873">
        <f t="shared" si="233"/>
        <v>10583580</v>
      </c>
      <c r="AC777" s="874">
        <f t="shared" si="230"/>
        <v>16</v>
      </c>
      <c r="AD777" s="874">
        <f t="shared" si="231"/>
        <v>3.3598666666666666</v>
      </c>
      <c r="AE777" s="490"/>
      <c r="AF777" s="569"/>
      <c r="AG777" s="569"/>
      <c r="AH777" s="569"/>
      <c r="AI777" s="569"/>
      <c r="AJ777" s="569"/>
      <c r="AK777" s="569"/>
      <c r="AL777" s="569"/>
      <c r="AM777" s="569"/>
      <c r="AN777" s="569"/>
      <c r="AO777" s="569"/>
      <c r="AP777" s="569"/>
      <c r="AQ777" s="569"/>
      <c r="AR777" s="569"/>
      <c r="AS777" s="569"/>
      <c r="AT777" s="569"/>
      <c r="AU777" s="569"/>
      <c r="AV777" s="569"/>
      <c r="AW777" s="569"/>
      <c r="AX777" s="569"/>
      <c r="AY777" s="569"/>
      <c r="AZ777" s="569"/>
      <c r="BA777" s="569"/>
      <c r="BB777" s="569"/>
      <c r="BC777" s="569"/>
      <c r="BD777" s="569"/>
      <c r="BE777" s="569"/>
      <c r="BF777" s="569"/>
      <c r="BG777" s="569"/>
      <c r="BH777" s="569"/>
      <c r="BI777" s="569"/>
      <c r="BJ777" s="569"/>
      <c r="BK777" s="569"/>
      <c r="BL777" s="569"/>
      <c r="BM777" s="569"/>
      <c r="BN777" s="569"/>
      <c r="BO777" s="569"/>
      <c r="BP777" s="569"/>
      <c r="BQ777" s="569"/>
    </row>
    <row r="778" spans="1:70" ht="66">
      <c r="A778" s="1004"/>
      <c r="B778" s="34"/>
      <c r="C778" s="967" t="s">
        <v>41</v>
      </c>
      <c r="D778" s="967" t="s">
        <v>28</v>
      </c>
      <c r="E778" s="967" t="s">
        <v>78</v>
      </c>
      <c r="F778" s="967" t="s">
        <v>25</v>
      </c>
      <c r="G778" s="967" t="s">
        <v>42</v>
      </c>
      <c r="H778" s="967" t="s">
        <v>31</v>
      </c>
      <c r="I778" s="34" t="s">
        <v>564</v>
      </c>
      <c r="J778" s="34" t="s">
        <v>2861</v>
      </c>
      <c r="K778" s="506">
        <v>24</v>
      </c>
      <c r="L778" s="558">
        <v>1094600000</v>
      </c>
      <c r="M778" s="506">
        <v>5</v>
      </c>
      <c r="N778" s="36">
        <v>45896150</v>
      </c>
      <c r="O778" s="506">
        <v>5</v>
      </c>
      <c r="P778" s="36">
        <v>88462500</v>
      </c>
      <c r="Q778" s="882"/>
      <c r="R778" s="558">
        <v>7498900</v>
      </c>
      <c r="S778" s="34">
        <v>4</v>
      </c>
      <c r="T778" s="232">
        <v>27457050</v>
      </c>
      <c r="U778" s="34"/>
      <c r="V778" s="34"/>
      <c r="W778" s="34"/>
      <c r="X778" s="34"/>
      <c r="Y778" s="115">
        <f t="shared" si="228"/>
        <v>4</v>
      </c>
      <c r="Z778" s="873">
        <f t="shared" si="232"/>
        <v>34955950</v>
      </c>
      <c r="AA778" s="115">
        <f t="shared" si="229"/>
        <v>9</v>
      </c>
      <c r="AB778" s="873">
        <f t="shared" si="233"/>
        <v>80852100</v>
      </c>
      <c r="AC778" s="874">
        <f t="shared" si="230"/>
        <v>37.5</v>
      </c>
      <c r="AD778" s="874">
        <f t="shared" si="231"/>
        <v>7.3864516718435951</v>
      </c>
      <c r="AE778" s="490"/>
      <c r="AF778" s="569"/>
      <c r="AG778" s="569"/>
      <c r="AH778" s="569"/>
      <c r="AI778" s="569"/>
      <c r="AJ778" s="569"/>
      <c r="AK778" s="569"/>
      <c r="AL778" s="569"/>
      <c r="AM778" s="569"/>
      <c r="AN778" s="569"/>
      <c r="AO778" s="569"/>
      <c r="AP778" s="569"/>
      <c r="AQ778" s="569"/>
      <c r="AR778" s="569"/>
      <c r="AS778" s="569"/>
      <c r="AT778" s="569"/>
      <c r="AU778" s="569"/>
      <c r="AV778" s="569"/>
      <c r="AW778" s="569"/>
      <c r="AX778" s="569"/>
      <c r="AY778" s="569"/>
      <c r="AZ778" s="569"/>
      <c r="BA778" s="569"/>
      <c r="BB778" s="569"/>
      <c r="BC778" s="569"/>
      <c r="BD778" s="569"/>
      <c r="BE778" s="569"/>
      <c r="BF778" s="569"/>
      <c r="BG778" s="569"/>
      <c r="BH778" s="569"/>
      <c r="BI778" s="569"/>
      <c r="BJ778" s="569"/>
      <c r="BK778" s="569"/>
      <c r="BL778" s="569"/>
      <c r="BM778" s="569"/>
      <c r="BN778" s="569"/>
      <c r="BO778" s="569"/>
      <c r="BP778" s="569"/>
      <c r="BQ778" s="569"/>
    </row>
    <row r="779" spans="1:70" ht="66">
      <c r="A779" s="1004"/>
      <c r="B779" s="34"/>
      <c r="C779" s="967" t="s">
        <v>41</v>
      </c>
      <c r="D779" s="967" t="s">
        <v>28</v>
      </c>
      <c r="E779" s="967" t="s">
        <v>78</v>
      </c>
      <c r="F779" s="967" t="s">
        <v>25</v>
      </c>
      <c r="G779" s="967" t="s">
        <v>42</v>
      </c>
      <c r="H779" s="967" t="s">
        <v>62</v>
      </c>
      <c r="I779" s="34" t="s">
        <v>565</v>
      </c>
      <c r="J779" s="34" t="s">
        <v>2862</v>
      </c>
      <c r="K779" s="506">
        <v>200</v>
      </c>
      <c r="L779" s="558">
        <f>3*P779</f>
        <v>183508566</v>
      </c>
      <c r="M779" s="506">
        <v>0</v>
      </c>
      <c r="N779" s="36">
        <v>0</v>
      </c>
      <c r="O779" s="506">
        <v>100</v>
      </c>
      <c r="P779" s="36">
        <v>61169522</v>
      </c>
      <c r="Q779" s="1679">
        <v>0</v>
      </c>
      <c r="R779" s="203">
        <v>0</v>
      </c>
      <c r="S779" s="34"/>
      <c r="T779" s="232"/>
      <c r="U779" s="34"/>
      <c r="V779" s="34"/>
      <c r="W779" s="34"/>
      <c r="X779" s="34"/>
      <c r="Y779" s="115">
        <f t="shared" si="228"/>
        <v>0</v>
      </c>
      <c r="Z779" s="873">
        <f t="shared" si="232"/>
        <v>0</v>
      </c>
      <c r="AA779" s="115">
        <f t="shared" si="229"/>
        <v>0</v>
      </c>
      <c r="AB779" s="873">
        <f t="shared" si="233"/>
        <v>0</v>
      </c>
      <c r="AC779" s="874">
        <f t="shared" si="230"/>
        <v>0</v>
      </c>
      <c r="AD779" s="874">
        <f t="shared" si="231"/>
        <v>0</v>
      </c>
      <c r="AE779" s="490"/>
      <c r="AF779" s="569"/>
      <c r="AG779" s="569"/>
      <c r="AH779" s="569"/>
      <c r="AI779" s="569"/>
      <c r="AJ779" s="569"/>
      <c r="AK779" s="569"/>
      <c r="AL779" s="569"/>
      <c r="AM779" s="569"/>
      <c r="AN779" s="569"/>
      <c r="AO779" s="569"/>
      <c r="AP779" s="569"/>
      <c r="AQ779" s="569"/>
      <c r="AR779" s="569"/>
      <c r="AS779" s="569"/>
      <c r="AT779" s="569"/>
      <c r="AU779" s="569"/>
      <c r="AV779" s="569"/>
      <c r="AW779" s="569"/>
      <c r="AX779" s="569"/>
      <c r="AY779" s="569"/>
      <c r="AZ779" s="569"/>
      <c r="BA779" s="569"/>
      <c r="BB779" s="569"/>
      <c r="BC779" s="569"/>
      <c r="BD779" s="569"/>
      <c r="BE779" s="569"/>
      <c r="BF779" s="569"/>
      <c r="BG779" s="569"/>
      <c r="BH779" s="569"/>
      <c r="BI779" s="569"/>
      <c r="BJ779" s="569"/>
      <c r="BK779" s="569"/>
      <c r="BL779" s="569"/>
      <c r="BM779" s="569"/>
      <c r="BN779" s="569"/>
      <c r="BO779" s="569"/>
      <c r="BP779" s="569"/>
      <c r="BQ779" s="569"/>
    </row>
    <row r="780" spans="1:70" ht="33">
      <c r="A780" s="1004"/>
      <c r="B780" s="34"/>
      <c r="C780" s="967" t="s">
        <v>41</v>
      </c>
      <c r="D780" s="967" t="s">
        <v>28</v>
      </c>
      <c r="E780" s="967" t="s">
        <v>78</v>
      </c>
      <c r="F780" s="967" t="s">
        <v>25</v>
      </c>
      <c r="G780" s="967" t="s">
        <v>42</v>
      </c>
      <c r="H780" s="967" t="s">
        <v>58</v>
      </c>
      <c r="I780" s="34" t="s">
        <v>566</v>
      </c>
      <c r="J780" s="34"/>
      <c r="K780" s="506">
        <v>35</v>
      </c>
      <c r="L780" s="558">
        <v>877500000</v>
      </c>
      <c r="M780" s="506">
        <v>16</v>
      </c>
      <c r="N780" s="36">
        <v>192276350</v>
      </c>
      <c r="O780" s="506">
        <v>28</v>
      </c>
      <c r="P780" s="36">
        <v>169395125</v>
      </c>
      <c r="Q780" s="1679">
        <v>0</v>
      </c>
      <c r="R780" s="558">
        <v>16954750</v>
      </c>
      <c r="S780" s="34"/>
      <c r="T780" s="232">
        <v>39445250</v>
      </c>
      <c r="U780" s="34"/>
      <c r="V780" s="34"/>
      <c r="W780" s="34"/>
      <c r="X780" s="34"/>
      <c r="Y780" s="115">
        <f t="shared" si="228"/>
        <v>0</v>
      </c>
      <c r="Z780" s="873">
        <f t="shared" si="232"/>
        <v>56400000</v>
      </c>
      <c r="AA780" s="115">
        <f t="shared" si="229"/>
        <v>16</v>
      </c>
      <c r="AB780" s="873">
        <f t="shared" si="233"/>
        <v>248676350</v>
      </c>
      <c r="AC780" s="874">
        <f t="shared" si="230"/>
        <v>45.714285714285715</v>
      </c>
      <c r="AD780" s="874">
        <f t="shared" si="231"/>
        <v>28.339185185185183</v>
      </c>
      <c r="AE780" s="490"/>
      <c r="AF780" s="750"/>
      <c r="AG780" s="750"/>
      <c r="AH780" s="750"/>
      <c r="AI780" s="750"/>
      <c r="AJ780" s="750"/>
      <c r="AK780" s="750"/>
      <c r="AL780" s="750"/>
      <c r="AM780" s="750"/>
      <c r="AN780" s="750"/>
      <c r="AO780" s="750"/>
      <c r="AP780" s="750"/>
      <c r="AQ780" s="750"/>
      <c r="AR780" s="750"/>
      <c r="AS780" s="750"/>
      <c r="AT780" s="750"/>
      <c r="AU780" s="750"/>
      <c r="AV780" s="750"/>
      <c r="AW780" s="750"/>
      <c r="AX780" s="750"/>
      <c r="AY780" s="750"/>
      <c r="AZ780" s="750"/>
      <c r="BA780" s="750"/>
      <c r="BB780" s="750"/>
      <c r="BC780" s="750"/>
      <c r="BD780" s="750"/>
      <c r="BE780" s="750"/>
      <c r="BF780" s="750"/>
      <c r="BG780" s="750"/>
      <c r="BH780" s="750"/>
      <c r="BI780" s="750"/>
      <c r="BJ780" s="750"/>
      <c r="BK780" s="750"/>
      <c r="BL780" s="750"/>
      <c r="BM780" s="750"/>
      <c r="BN780" s="750"/>
      <c r="BO780" s="750"/>
      <c r="BP780" s="750"/>
      <c r="BQ780" s="750"/>
    </row>
    <row r="781" spans="1:70" s="22" customFormat="1" ht="66">
      <c r="A781" s="2554">
        <v>2</v>
      </c>
      <c r="B781" s="44"/>
      <c r="C781" s="753" t="s">
        <v>41</v>
      </c>
      <c r="D781" s="753" t="s">
        <v>28</v>
      </c>
      <c r="E781" s="753" t="s">
        <v>78</v>
      </c>
      <c r="F781" s="753" t="s">
        <v>25</v>
      </c>
      <c r="G781" s="753" t="s">
        <v>74</v>
      </c>
      <c r="H781" s="753"/>
      <c r="I781" s="44" t="s">
        <v>567</v>
      </c>
      <c r="J781" s="44" t="s">
        <v>2863</v>
      </c>
      <c r="K781" s="146">
        <v>10</v>
      </c>
      <c r="L781" s="879">
        <f t="shared" ref="L781:P781" si="234">L782</f>
        <v>449645400</v>
      </c>
      <c r="M781" s="146">
        <v>8</v>
      </c>
      <c r="N781" s="879">
        <f t="shared" si="234"/>
        <v>149881800</v>
      </c>
      <c r="O781" s="146">
        <v>2</v>
      </c>
      <c r="P781" s="879">
        <f t="shared" si="234"/>
        <v>94120000</v>
      </c>
      <c r="Q781" s="880">
        <v>0</v>
      </c>
      <c r="R781" s="281">
        <f>SUM(R782)</f>
        <v>0</v>
      </c>
      <c r="S781" s="44"/>
      <c r="T781" s="2667">
        <f>SUM(T782)</f>
        <v>32725000</v>
      </c>
      <c r="U781" s="44"/>
      <c r="V781" s="44"/>
      <c r="W781" s="44"/>
      <c r="X781" s="44"/>
      <c r="Y781" s="146">
        <f t="shared" si="228"/>
        <v>0</v>
      </c>
      <c r="Z781" s="879">
        <f>Z782</f>
        <v>32725000</v>
      </c>
      <c r="AA781" s="146">
        <f t="shared" si="229"/>
        <v>8</v>
      </c>
      <c r="AB781" s="879">
        <f>AB782</f>
        <v>182606800</v>
      </c>
      <c r="AC781" s="868">
        <f t="shared" si="230"/>
        <v>80</v>
      </c>
      <c r="AD781" s="868">
        <f t="shared" si="231"/>
        <v>40.611290585870556</v>
      </c>
      <c r="AE781" s="482" t="s">
        <v>2854</v>
      </c>
      <c r="AF781" s="750"/>
      <c r="AG781" s="750"/>
      <c r="AH781" s="750"/>
      <c r="AI781" s="750"/>
      <c r="AJ781" s="750"/>
      <c r="AK781" s="750"/>
      <c r="AL781" s="750"/>
      <c r="AM781" s="750"/>
      <c r="AN781" s="750"/>
      <c r="AO781" s="750"/>
      <c r="AP781" s="750"/>
      <c r="AQ781" s="750"/>
      <c r="AR781" s="750"/>
      <c r="AS781" s="750"/>
      <c r="AT781" s="750"/>
      <c r="AU781" s="750"/>
      <c r="AV781" s="750"/>
      <c r="AW781" s="750"/>
      <c r="AX781" s="750"/>
      <c r="AY781" s="750"/>
      <c r="AZ781" s="750"/>
      <c r="BA781" s="750"/>
      <c r="BB781" s="750"/>
      <c r="BC781" s="750"/>
      <c r="BD781" s="750"/>
      <c r="BE781" s="750"/>
      <c r="BF781" s="750"/>
      <c r="BG781" s="750"/>
      <c r="BH781" s="750"/>
      <c r="BI781" s="750"/>
      <c r="BJ781" s="750"/>
      <c r="BK781" s="750"/>
      <c r="BL781" s="750"/>
      <c r="BM781" s="750"/>
      <c r="BN781" s="750"/>
      <c r="BO781" s="750"/>
      <c r="BP781" s="750"/>
      <c r="BQ781" s="750"/>
      <c r="BR781" s="752"/>
    </row>
    <row r="782" spans="1:70" ht="82.5">
      <c r="A782" s="1004"/>
      <c r="B782" s="34"/>
      <c r="C782" s="967" t="s">
        <v>41</v>
      </c>
      <c r="D782" s="967" t="s">
        <v>28</v>
      </c>
      <c r="E782" s="967" t="s">
        <v>78</v>
      </c>
      <c r="F782" s="967" t="s">
        <v>25</v>
      </c>
      <c r="G782" s="967" t="s">
        <v>74</v>
      </c>
      <c r="H782" s="967" t="s">
        <v>25</v>
      </c>
      <c r="I782" s="34" t="s">
        <v>568</v>
      </c>
      <c r="J782" s="45" t="s">
        <v>569</v>
      </c>
      <c r="K782" s="506">
        <v>50</v>
      </c>
      <c r="L782" s="558">
        <f>3*N782</f>
        <v>449645400</v>
      </c>
      <c r="M782" s="506">
        <v>18</v>
      </c>
      <c r="N782" s="36">
        <v>149881800</v>
      </c>
      <c r="O782" s="506">
        <v>11</v>
      </c>
      <c r="P782" s="36">
        <v>94120000</v>
      </c>
      <c r="Q782" s="882">
        <v>0</v>
      </c>
      <c r="R782" s="558"/>
      <c r="S782" s="34">
        <v>2</v>
      </c>
      <c r="T782" s="2666">
        <v>32725000</v>
      </c>
      <c r="U782" s="34"/>
      <c r="V782" s="34"/>
      <c r="W782" s="34"/>
      <c r="X782" s="34"/>
      <c r="Y782" s="115">
        <f t="shared" si="228"/>
        <v>2</v>
      </c>
      <c r="Z782" s="873">
        <f>R782+T782+V782+X782</f>
        <v>32725000</v>
      </c>
      <c r="AA782" s="115">
        <f t="shared" si="229"/>
        <v>20</v>
      </c>
      <c r="AB782" s="873">
        <f>N782+Z782</f>
        <v>182606800</v>
      </c>
      <c r="AC782" s="874">
        <f t="shared" si="230"/>
        <v>40</v>
      </c>
      <c r="AD782" s="874">
        <f t="shared" si="231"/>
        <v>40.611290585870556</v>
      </c>
      <c r="AE782" s="490"/>
      <c r="AF782" s="750"/>
      <c r="AG782" s="750"/>
      <c r="AH782" s="750"/>
      <c r="AI782" s="750"/>
      <c r="AJ782" s="750"/>
      <c r="AK782" s="750"/>
      <c r="AL782" s="750"/>
      <c r="AM782" s="750"/>
      <c r="AN782" s="750"/>
      <c r="AO782" s="750"/>
      <c r="AP782" s="750"/>
      <c r="AQ782" s="750"/>
      <c r="AR782" s="750"/>
      <c r="AS782" s="750"/>
      <c r="AT782" s="750"/>
      <c r="AU782" s="750"/>
      <c r="AV782" s="750"/>
      <c r="AW782" s="750"/>
      <c r="AX782" s="750"/>
      <c r="AY782" s="750"/>
      <c r="AZ782" s="750"/>
      <c r="BA782" s="750"/>
      <c r="BB782" s="750"/>
      <c r="BC782" s="750"/>
      <c r="BD782" s="750"/>
      <c r="BE782" s="750"/>
      <c r="BF782" s="750"/>
      <c r="BG782" s="750"/>
      <c r="BH782" s="750"/>
      <c r="BI782" s="750"/>
      <c r="BJ782" s="750"/>
      <c r="BK782" s="750"/>
      <c r="BL782" s="750"/>
      <c r="BM782" s="750"/>
      <c r="BN782" s="750"/>
      <c r="BO782" s="750"/>
      <c r="BP782" s="750"/>
      <c r="BQ782" s="750"/>
    </row>
    <row r="783" spans="1:70" s="22" customFormat="1" ht="66">
      <c r="A783" s="2554">
        <v>3</v>
      </c>
      <c r="B783" s="44"/>
      <c r="C783" s="753" t="s">
        <v>41</v>
      </c>
      <c r="D783" s="753" t="s">
        <v>25</v>
      </c>
      <c r="E783" s="753" t="s">
        <v>78</v>
      </c>
      <c r="F783" s="753" t="s">
        <v>25</v>
      </c>
      <c r="G783" s="753" t="s">
        <v>45</v>
      </c>
      <c r="H783" s="753"/>
      <c r="I783" s="44" t="s">
        <v>570</v>
      </c>
      <c r="J783" s="46" t="s">
        <v>2864</v>
      </c>
      <c r="K783" s="146">
        <v>100</v>
      </c>
      <c r="L783" s="879">
        <f>L784</f>
        <v>500000000</v>
      </c>
      <c r="M783" s="146">
        <v>0</v>
      </c>
      <c r="N783" s="879">
        <f>N784</f>
        <v>0</v>
      </c>
      <c r="O783" s="146">
        <v>50</v>
      </c>
      <c r="P783" s="879">
        <f>P784</f>
        <v>220190378</v>
      </c>
      <c r="Q783" s="880"/>
      <c r="R783" s="879">
        <f>R784</f>
        <v>0</v>
      </c>
      <c r="S783" s="44"/>
      <c r="T783" s="44"/>
      <c r="U783" s="44"/>
      <c r="V783" s="44"/>
      <c r="W783" s="44"/>
      <c r="X783" s="44"/>
      <c r="Y783" s="146">
        <f t="shared" si="228"/>
        <v>0</v>
      </c>
      <c r="Z783" s="879">
        <f>Z784</f>
        <v>0</v>
      </c>
      <c r="AA783" s="146">
        <f t="shared" si="229"/>
        <v>0</v>
      </c>
      <c r="AB783" s="879">
        <f>AB784</f>
        <v>0</v>
      </c>
      <c r="AC783" s="868">
        <f t="shared" si="230"/>
        <v>0</v>
      </c>
      <c r="AD783" s="868">
        <f t="shared" si="231"/>
        <v>0</v>
      </c>
      <c r="AE783" s="482" t="s">
        <v>2854</v>
      </c>
      <c r="AF783" s="750"/>
      <c r="AG783" s="750"/>
      <c r="AH783" s="750"/>
      <c r="AI783" s="750"/>
      <c r="AJ783" s="750"/>
      <c r="AK783" s="750"/>
      <c r="AL783" s="750"/>
      <c r="AM783" s="750"/>
      <c r="AN783" s="750"/>
      <c r="AO783" s="750"/>
      <c r="AP783" s="750"/>
      <c r="AQ783" s="750"/>
      <c r="AR783" s="750"/>
      <c r="AS783" s="750"/>
      <c r="AT783" s="750"/>
      <c r="AU783" s="750"/>
      <c r="AV783" s="750"/>
      <c r="AW783" s="750"/>
      <c r="AX783" s="750"/>
      <c r="AY783" s="750"/>
      <c r="AZ783" s="750"/>
      <c r="BA783" s="750"/>
      <c r="BB783" s="750"/>
      <c r="BC783" s="750"/>
      <c r="BD783" s="750"/>
      <c r="BE783" s="750"/>
      <c r="BF783" s="750"/>
      <c r="BG783" s="750"/>
      <c r="BH783" s="750"/>
      <c r="BI783" s="750"/>
      <c r="BJ783" s="750"/>
      <c r="BK783" s="750"/>
      <c r="BL783" s="750"/>
      <c r="BM783" s="750"/>
      <c r="BN783" s="750"/>
      <c r="BO783" s="750"/>
      <c r="BP783" s="750"/>
      <c r="BQ783" s="750"/>
      <c r="BR783" s="752"/>
    </row>
    <row r="784" spans="1:70" ht="66">
      <c r="A784" s="1004"/>
      <c r="B784" s="34"/>
      <c r="C784" s="577" t="s">
        <v>25</v>
      </c>
      <c r="D784" s="577" t="s">
        <v>25</v>
      </c>
      <c r="E784" s="577" t="s">
        <v>25</v>
      </c>
      <c r="F784" s="577" t="s">
        <v>25</v>
      </c>
      <c r="G784" s="577" t="s">
        <v>28</v>
      </c>
      <c r="H784" s="577">
        <v>22</v>
      </c>
      <c r="I784" s="34" t="s">
        <v>571</v>
      </c>
      <c r="J784" s="45" t="s">
        <v>572</v>
      </c>
      <c r="K784" s="506">
        <v>4</v>
      </c>
      <c r="L784" s="558">
        <v>500000000</v>
      </c>
      <c r="M784" s="506">
        <v>0</v>
      </c>
      <c r="N784" s="36">
        <v>0</v>
      </c>
      <c r="O784" s="506">
        <v>1</v>
      </c>
      <c r="P784" s="36">
        <v>220190378</v>
      </c>
      <c r="Q784" s="882"/>
      <c r="R784" s="558"/>
      <c r="S784" s="34"/>
      <c r="T784" s="34"/>
      <c r="U784" s="34"/>
      <c r="V784" s="34"/>
      <c r="W784" s="34"/>
      <c r="X784" s="34"/>
      <c r="Y784" s="115">
        <f t="shared" si="228"/>
        <v>0</v>
      </c>
      <c r="Z784" s="873">
        <f>R784+T784+V784+X784</f>
        <v>0</v>
      </c>
      <c r="AA784" s="115">
        <f t="shared" si="229"/>
        <v>0</v>
      </c>
      <c r="AB784" s="873">
        <f>N784+Z784</f>
        <v>0</v>
      </c>
      <c r="AC784" s="874">
        <f t="shared" si="230"/>
        <v>0</v>
      </c>
      <c r="AD784" s="874">
        <f t="shared" si="231"/>
        <v>0</v>
      </c>
      <c r="AE784" s="490"/>
      <c r="AF784" s="750"/>
      <c r="AG784" s="750"/>
      <c r="AH784" s="750"/>
      <c r="AI784" s="750"/>
      <c r="AJ784" s="750"/>
      <c r="AK784" s="750"/>
      <c r="AL784" s="750"/>
      <c r="AM784" s="750"/>
      <c r="AN784" s="750"/>
      <c r="AO784" s="750"/>
      <c r="AP784" s="750"/>
      <c r="AQ784" s="750"/>
      <c r="AR784" s="750"/>
      <c r="AS784" s="750"/>
      <c r="AT784" s="750"/>
      <c r="AU784" s="750"/>
      <c r="AV784" s="750"/>
      <c r="AW784" s="750"/>
      <c r="AX784" s="750"/>
      <c r="AY784" s="750"/>
      <c r="AZ784" s="750"/>
      <c r="BA784" s="750"/>
      <c r="BB784" s="750"/>
      <c r="BC784" s="752"/>
      <c r="BD784" s="752"/>
      <c r="BE784" s="752"/>
      <c r="BF784" s="752"/>
      <c r="BG784" s="752"/>
      <c r="BH784" s="752"/>
      <c r="BI784" s="752"/>
      <c r="BJ784" s="752"/>
      <c r="BK784" s="752"/>
      <c r="BL784" s="752"/>
      <c r="BM784" s="752"/>
      <c r="BN784" s="752"/>
      <c r="BO784" s="752"/>
      <c r="BP784" s="752"/>
      <c r="BQ784" s="752"/>
    </row>
    <row r="785" spans="1:70" s="22" customFormat="1" ht="49.5">
      <c r="A785" s="2554">
        <v>4</v>
      </c>
      <c r="B785" s="44"/>
      <c r="C785" s="753" t="s">
        <v>41</v>
      </c>
      <c r="D785" s="753" t="s">
        <v>25</v>
      </c>
      <c r="E785" s="753" t="s">
        <v>78</v>
      </c>
      <c r="F785" s="753" t="s">
        <v>25</v>
      </c>
      <c r="G785" s="753" t="s">
        <v>45</v>
      </c>
      <c r="H785" s="753"/>
      <c r="I785" s="44" t="s">
        <v>93</v>
      </c>
      <c r="J785" s="193" t="s">
        <v>2691</v>
      </c>
      <c r="K785" s="1556">
        <v>6</v>
      </c>
      <c r="L785" s="879">
        <f t="shared" ref="L785:P785" si="235">L786</f>
        <v>190000000</v>
      </c>
      <c r="M785" s="146">
        <v>2</v>
      </c>
      <c r="N785" s="879">
        <f t="shared" si="235"/>
        <v>45480000</v>
      </c>
      <c r="O785" s="146">
        <v>1</v>
      </c>
      <c r="P785" s="879">
        <f t="shared" si="235"/>
        <v>40000000</v>
      </c>
      <c r="Q785" s="222">
        <v>0</v>
      </c>
      <c r="R785" s="222">
        <v>0</v>
      </c>
      <c r="S785" s="44"/>
      <c r="T785" s="44"/>
      <c r="U785" s="44"/>
      <c r="V785" s="44"/>
      <c r="W785" s="44"/>
      <c r="X785" s="44"/>
      <c r="Y785" s="146">
        <f t="shared" si="228"/>
        <v>0</v>
      </c>
      <c r="Z785" s="879">
        <f>Z786</f>
        <v>0</v>
      </c>
      <c r="AA785" s="146">
        <f t="shared" si="229"/>
        <v>2</v>
      </c>
      <c r="AB785" s="879">
        <f>AB786</f>
        <v>45480000</v>
      </c>
      <c r="AC785" s="868">
        <f t="shared" si="230"/>
        <v>33.333333333333329</v>
      </c>
      <c r="AD785" s="868">
        <f t="shared" si="231"/>
        <v>23.93684210526316</v>
      </c>
      <c r="AE785" s="482" t="s">
        <v>2854</v>
      </c>
      <c r="AF785" s="750"/>
      <c r="AG785" s="750"/>
      <c r="AH785" s="750"/>
      <c r="AI785" s="750"/>
      <c r="AJ785" s="750"/>
      <c r="AK785" s="750"/>
      <c r="AL785" s="750"/>
      <c r="AM785" s="750"/>
      <c r="AN785" s="750"/>
      <c r="AO785" s="750"/>
      <c r="AP785" s="750"/>
      <c r="AQ785" s="750"/>
      <c r="AR785" s="750"/>
      <c r="AS785" s="750"/>
      <c r="AT785" s="750"/>
      <c r="AU785" s="750"/>
      <c r="AV785" s="750"/>
      <c r="AW785" s="750"/>
      <c r="AX785" s="750"/>
      <c r="AY785" s="750"/>
      <c r="AZ785" s="750"/>
      <c r="BA785" s="750"/>
      <c r="BB785" s="750"/>
      <c r="BC785" s="752"/>
      <c r="BD785" s="752"/>
      <c r="BE785" s="752"/>
      <c r="BF785" s="752"/>
      <c r="BG785" s="752"/>
      <c r="BH785" s="752"/>
      <c r="BI785" s="752"/>
      <c r="BJ785" s="752"/>
      <c r="BK785" s="752"/>
      <c r="BL785" s="752"/>
      <c r="BM785" s="752"/>
      <c r="BN785" s="752"/>
      <c r="BO785" s="752"/>
      <c r="BP785" s="752"/>
      <c r="BQ785" s="752"/>
      <c r="BR785" s="752"/>
    </row>
    <row r="786" spans="1:70" ht="66">
      <c r="A786" s="1004"/>
      <c r="B786" s="34"/>
      <c r="C786" s="577" t="s">
        <v>25</v>
      </c>
      <c r="D786" s="577" t="s">
        <v>25</v>
      </c>
      <c r="E786" s="577" t="s">
        <v>25</v>
      </c>
      <c r="F786" s="577" t="s">
        <v>25</v>
      </c>
      <c r="G786" s="577" t="s">
        <v>28</v>
      </c>
      <c r="H786" s="577">
        <v>22</v>
      </c>
      <c r="I786" s="34" t="s">
        <v>573</v>
      </c>
      <c r="J786" s="60" t="s">
        <v>2817</v>
      </c>
      <c r="K786" s="1553">
        <v>6</v>
      </c>
      <c r="L786" s="558">
        <v>190000000</v>
      </c>
      <c r="M786" s="506">
        <v>2</v>
      </c>
      <c r="N786" s="36">
        <v>45480000</v>
      </c>
      <c r="O786" s="506">
        <v>1</v>
      </c>
      <c r="P786" s="36">
        <v>40000000</v>
      </c>
      <c r="Q786" s="1679">
        <v>0</v>
      </c>
      <c r="R786" s="203">
        <v>0</v>
      </c>
      <c r="S786" s="34"/>
      <c r="T786" s="34"/>
      <c r="U786" s="34"/>
      <c r="V786" s="34"/>
      <c r="W786" s="34"/>
      <c r="X786" s="34"/>
      <c r="Y786" s="115">
        <f t="shared" si="228"/>
        <v>0</v>
      </c>
      <c r="Z786" s="873">
        <f>R786+T786+V786+X786</f>
        <v>0</v>
      </c>
      <c r="AA786" s="115">
        <f t="shared" si="229"/>
        <v>2</v>
      </c>
      <c r="AB786" s="873">
        <f>N786+Z786</f>
        <v>45480000</v>
      </c>
      <c r="AC786" s="874">
        <f t="shared" si="230"/>
        <v>33.333333333333329</v>
      </c>
      <c r="AD786" s="874">
        <f t="shared" si="231"/>
        <v>23.93684210526316</v>
      </c>
      <c r="AE786" s="49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970"/>
      <c r="BD786" s="970"/>
      <c r="BE786" s="970"/>
      <c r="BF786" s="970"/>
      <c r="BG786" s="970"/>
      <c r="BH786" s="970"/>
      <c r="BI786" s="970"/>
      <c r="BJ786" s="970"/>
      <c r="BK786" s="970"/>
      <c r="BL786" s="970"/>
      <c r="BM786" s="970"/>
      <c r="BN786" s="970"/>
      <c r="BO786" s="970"/>
      <c r="BP786" s="970"/>
      <c r="BQ786" s="970"/>
    </row>
    <row r="787" spans="1:70" ht="19.5" customHeight="1">
      <c r="A787" s="2802" t="s">
        <v>610</v>
      </c>
      <c r="B787" s="2802"/>
      <c r="C787" s="2802"/>
      <c r="D787" s="2802"/>
      <c r="E787" s="2802"/>
      <c r="F787" s="2802"/>
      <c r="G787" s="2802"/>
      <c r="H787" s="2802"/>
      <c r="I787" s="2802"/>
      <c r="J787" s="2802"/>
      <c r="K787" s="2802"/>
      <c r="L787" s="2802"/>
      <c r="M787" s="2802"/>
      <c r="N787" s="2802"/>
      <c r="O787" s="2802"/>
      <c r="P787" s="2802"/>
      <c r="Q787" s="2802"/>
      <c r="R787" s="2802"/>
      <c r="S787" s="2802"/>
      <c r="T787" s="2802"/>
      <c r="U787" s="2802"/>
      <c r="V787" s="2802"/>
      <c r="W787" s="2802"/>
      <c r="X787" s="2802"/>
      <c r="Y787" s="2802"/>
      <c r="Z787" s="2802"/>
      <c r="AA787" s="2802"/>
      <c r="AB787" s="2802"/>
      <c r="AC787" s="905">
        <f>(AC772+AC781+AC783+AC785)/4</f>
        <v>48.091397849462368</v>
      </c>
      <c r="AD787" s="905">
        <f>(AD772+AD781+AD783+AD785)/4</f>
        <v>21.539109619022504</v>
      </c>
      <c r="AE787" s="490"/>
      <c r="AF787" s="1005"/>
      <c r="AG787" s="798"/>
      <c r="AH787" s="798"/>
      <c r="AI787" s="798"/>
      <c r="AJ787" s="798"/>
      <c r="AK787" s="798"/>
      <c r="AL787" s="798"/>
      <c r="AM787" s="798"/>
      <c r="AN787" s="798"/>
      <c r="AO787" s="798"/>
      <c r="AP787" s="798"/>
      <c r="AQ787" s="798"/>
      <c r="AR787" s="798"/>
      <c r="AS787" s="798"/>
      <c r="AT787" s="798"/>
      <c r="AU787" s="798"/>
      <c r="AV787" s="798"/>
      <c r="AW787" s="798"/>
      <c r="AX787" s="798"/>
      <c r="AY787" s="798"/>
      <c r="AZ787" s="798"/>
      <c r="BA787" s="798"/>
      <c r="BB787" s="798"/>
      <c r="BC787" s="799"/>
      <c r="BD787" s="799"/>
      <c r="BE787" s="799"/>
      <c r="BF787" s="799"/>
      <c r="BG787" s="799"/>
      <c r="BH787" s="799"/>
      <c r="BI787" s="799"/>
      <c r="BJ787" s="799"/>
      <c r="BK787" s="799"/>
      <c r="BL787" s="799"/>
      <c r="BM787" s="799"/>
      <c r="BN787" s="799"/>
      <c r="BO787" s="799"/>
      <c r="BP787" s="799"/>
      <c r="BQ787" s="799"/>
    </row>
    <row r="788" spans="1:70" ht="21.75" customHeight="1">
      <c r="A788" s="2802" t="s">
        <v>611</v>
      </c>
      <c r="B788" s="2802"/>
      <c r="C788" s="2802"/>
      <c r="D788" s="2802"/>
      <c r="E788" s="2802"/>
      <c r="F788" s="2802"/>
      <c r="G788" s="2802"/>
      <c r="H788" s="2802"/>
      <c r="I788" s="2802"/>
      <c r="J788" s="2802"/>
      <c r="K788" s="2802"/>
      <c r="L788" s="2802"/>
      <c r="M788" s="2802"/>
      <c r="N788" s="2802"/>
      <c r="O788" s="2802"/>
      <c r="P788" s="2802"/>
      <c r="Q788" s="2802"/>
      <c r="R788" s="2802"/>
      <c r="S788" s="2802"/>
      <c r="T788" s="2802"/>
      <c r="U788" s="2802"/>
      <c r="V788" s="2802"/>
      <c r="W788" s="2802"/>
      <c r="X788" s="2802"/>
      <c r="Y788" s="2802"/>
      <c r="Z788" s="2802"/>
      <c r="AA788" s="2802"/>
      <c r="AB788" s="2802"/>
      <c r="AC788" s="524" t="str">
        <f>IF(AC787&gt;=91,"ST",IF(AC787&gt;=76,"T",IF(AC787&gt;=66,"S",IF(AC787&gt;=51,"R","SR"))))</f>
        <v>SR</v>
      </c>
      <c r="AD788" s="524" t="str">
        <f>IF(AD787&gt;=91,"ST",IF(AD787&gt;=76,"T",IF(AD787&gt;=66,"S",IF(AD787&gt;=51,"R","SR"))))</f>
        <v>SR</v>
      </c>
      <c r="AE788" s="490"/>
      <c r="AF788" s="1005"/>
      <c r="AG788" s="798"/>
      <c r="AH788" s="798"/>
      <c r="AI788" s="798"/>
      <c r="AJ788" s="798"/>
      <c r="AK788" s="798"/>
      <c r="AL788" s="798"/>
      <c r="AM788" s="798"/>
      <c r="AN788" s="798"/>
      <c r="AO788" s="798"/>
      <c r="AP788" s="798"/>
      <c r="AQ788" s="798"/>
      <c r="AR788" s="798"/>
      <c r="AS788" s="798"/>
      <c r="AT788" s="798"/>
      <c r="AU788" s="798"/>
      <c r="AV788" s="798"/>
      <c r="AW788" s="798"/>
      <c r="AX788" s="798"/>
      <c r="AY788" s="798"/>
      <c r="AZ788" s="798"/>
      <c r="BA788" s="798"/>
      <c r="BB788" s="798"/>
      <c r="BC788" s="799"/>
      <c r="BD788" s="799"/>
      <c r="BE788" s="799"/>
      <c r="BF788" s="799"/>
      <c r="BG788" s="799"/>
      <c r="BH788" s="799"/>
      <c r="BI788" s="799"/>
      <c r="BJ788" s="799"/>
      <c r="BK788" s="799"/>
      <c r="BL788" s="799"/>
      <c r="BM788" s="799"/>
      <c r="BN788" s="799"/>
      <c r="BO788" s="799"/>
      <c r="BP788" s="799"/>
      <c r="BQ788" s="799"/>
    </row>
    <row r="789" spans="1:70" ht="27.75" customHeight="1">
      <c r="A789" s="863" t="s">
        <v>86</v>
      </c>
      <c r="B789" s="1618"/>
      <c r="C789" s="863"/>
      <c r="D789" s="863"/>
      <c r="E789" s="863"/>
      <c r="F789" s="863"/>
      <c r="G789" s="863"/>
      <c r="H789" s="863"/>
      <c r="I789" s="2746" t="s">
        <v>1083</v>
      </c>
      <c r="J789" s="2747"/>
      <c r="K789" s="1665"/>
      <c r="L789" s="1672">
        <v>12818295318</v>
      </c>
      <c r="M789" s="1665"/>
      <c r="N789" s="1320">
        <f>N790+N804+N810+N812+N815+N818+N829+N838+N841+N843</f>
        <v>7289646420</v>
      </c>
      <c r="O789" s="1666"/>
      <c r="P789" s="1320">
        <f>P790+P804+P810+P812+P815+P818+P829+P838</f>
        <v>3168792964</v>
      </c>
      <c r="Q789" s="1667"/>
      <c r="R789" s="1320">
        <f>R790+R804+R810+R812+R815+R818+R829+R838</f>
        <v>300917232</v>
      </c>
      <c r="S789" s="1618"/>
      <c r="T789" s="1320">
        <f>T790+T804+T810+T812+T815+T818+T829+T838</f>
        <v>669440812</v>
      </c>
      <c r="U789" s="1618"/>
      <c r="V789" s="1680"/>
      <c r="W789" s="1618"/>
      <c r="X789" s="1619"/>
      <c r="Y789" s="1667"/>
      <c r="Z789" s="1320">
        <f>Z790+Z804+Z810+Z812+Z815+Z818+Z829+Z838</f>
        <v>970358044</v>
      </c>
      <c r="AA789" s="1665"/>
      <c r="AB789" s="1320">
        <v>6901375657</v>
      </c>
      <c r="AC789" s="1665"/>
      <c r="AD789" s="1665"/>
      <c r="AE789" s="1681"/>
      <c r="AF789" s="798"/>
      <c r="AG789" s="798"/>
      <c r="AH789" s="798"/>
      <c r="AI789" s="798"/>
      <c r="AJ789" s="798"/>
      <c r="AK789" s="798"/>
      <c r="AL789" s="798"/>
      <c r="AM789" s="798"/>
      <c r="AN789" s="798"/>
      <c r="AO789" s="798"/>
      <c r="AP789" s="798"/>
      <c r="AQ789" s="798"/>
      <c r="AR789" s="798"/>
      <c r="AS789" s="798"/>
      <c r="AT789" s="798"/>
      <c r="AU789" s="798"/>
      <c r="AV789" s="798"/>
      <c r="AW789" s="798"/>
      <c r="AX789" s="798"/>
      <c r="AY789" s="798"/>
      <c r="AZ789" s="798"/>
      <c r="BA789" s="798"/>
      <c r="BB789" s="798"/>
      <c r="BC789" s="799"/>
      <c r="BD789" s="799"/>
      <c r="BE789" s="799"/>
      <c r="BF789" s="799"/>
      <c r="BG789" s="799"/>
      <c r="BH789" s="799"/>
      <c r="BI789" s="799"/>
      <c r="BJ789" s="799"/>
      <c r="BK789" s="799"/>
      <c r="BL789" s="799"/>
      <c r="BM789" s="799"/>
      <c r="BN789" s="799"/>
      <c r="BO789" s="799"/>
      <c r="BP789" s="799"/>
      <c r="BQ789" s="799"/>
    </row>
    <row r="790" spans="1:70" s="1315" customFormat="1" ht="82.5">
      <c r="A790" s="420">
        <v>1</v>
      </c>
      <c r="B790" s="43"/>
      <c r="C790" s="633" t="s">
        <v>41</v>
      </c>
      <c r="D790" s="633" t="s">
        <v>28</v>
      </c>
      <c r="E790" s="633" t="s">
        <v>25</v>
      </c>
      <c r="F790" s="633"/>
      <c r="G790" s="633"/>
      <c r="H790" s="420"/>
      <c r="I790" s="43" t="s">
        <v>108</v>
      </c>
      <c r="J790" s="634" t="s">
        <v>2457</v>
      </c>
      <c r="K790" s="419">
        <v>72</v>
      </c>
      <c r="L790" s="635">
        <v>2000000000</v>
      </c>
      <c r="M790" s="419">
        <v>36</v>
      </c>
      <c r="N790" s="636">
        <v>493417763</v>
      </c>
      <c r="O790" s="637">
        <v>12</v>
      </c>
      <c r="P790" s="638">
        <f>P791+P792+P794+P793+P795+P796+P798+P799+P800+P801+P802+P803</f>
        <v>448826417</v>
      </c>
      <c r="Q790" s="639">
        <v>3</v>
      </c>
      <c r="R790" s="638">
        <f>SUM(R791:R803)</f>
        <v>70236936</v>
      </c>
      <c r="S790" s="640"/>
      <c r="T790" s="641">
        <f>SUM(T791:T803)</f>
        <v>115943466</v>
      </c>
      <c r="U790" s="1682"/>
      <c r="V790" s="642"/>
      <c r="W790" s="420"/>
      <c r="X790" s="641"/>
      <c r="Y790" s="639">
        <f t="shared" ref="Y790:Y817" si="236">Q790+S790+U790+W790</f>
        <v>3</v>
      </c>
      <c r="Z790" s="638">
        <f t="shared" ref="Z790:Z817" si="237">R790+T790+V790+X790</f>
        <v>186180402</v>
      </c>
      <c r="AA790" s="419">
        <f t="shared" ref="AA790:AA817" si="238">M790+Y790</f>
        <v>39</v>
      </c>
      <c r="AB790" s="636">
        <f t="shared" ref="AB790:AB817" si="239">N790+Z790</f>
        <v>679598165</v>
      </c>
      <c r="AC790" s="643">
        <f t="shared" ref="AC790:AC817" si="240">(AA790/K790)*100</f>
        <v>54.166666666666664</v>
      </c>
      <c r="AD790" s="643">
        <f t="shared" ref="AD790:AD817" si="241">(AB790/L790)*100</f>
        <v>33.979908250000001</v>
      </c>
      <c r="AE790" s="1683" t="s">
        <v>2865</v>
      </c>
      <c r="AF790" s="796"/>
      <c r="AG790" s="796"/>
      <c r="AH790" s="796"/>
      <c r="AI790" s="796"/>
      <c r="AJ790" s="796"/>
      <c r="AK790" s="796"/>
      <c r="AL790" s="796"/>
      <c r="AM790" s="796"/>
      <c r="AN790" s="796"/>
      <c r="AO790" s="796"/>
      <c r="AP790" s="796"/>
      <c r="AQ790" s="796"/>
      <c r="AR790" s="796"/>
      <c r="AS790" s="796"/>
      <c r="AT790" s="796"/>
      <c r="AU790" s="796"/>
      <c r="AV790" s="796"/>
      <c r="AW790" s="796"/>
      <c r="AX790" s="796"/>
      <c r="AY790" s="796"/>
      <c r="AZ790" s="796"/>
      <c r="BA790" s="796"/>
      <c r="BB790" s="796"/>
      <c r="BC790" s="797"/>
      <c r="BD790" s="797"/>
      <c r="BE790" s="797"/>
      <c r="BF790" s="797"/>
      <c r="BG790" s="797"/>
      <c r="BH790" s="797"/>
      <c r="BI790" s="797"/>
      <c r="BJ790" s="797"/>
      <c r="BK790" s="797"/>
      <c r="BL790" s="797"/>
      <c r="BM790" s="797"/>
      <c r="BN790" s="797"/>
      <c r="BO790" s="797"/>
      <c r="BP790" s="797"/>
      <c r="BQ790" s="797"/>
      <c r="BR790" s="1346"/>
    </row>
    <row r="791" spans="1:70" ht="49.5">
      <c r="A791" s="645"/>
      <c r="B791" s="4"/>
      <c r="C791" s="644" t="s">
        <v>41</v>
      </c>
      <c r="D791" s="644" t="s">
        <v>28</v>
      </c>
      <c r="E791" s="644" t="s">
        <v>25</v>
      </c>
      <c r="F791" s="644" t="s">
        <v>28</v>
      </c>
      <c r="G791" s="644"/>
      <c r="H791" s="645"/>
      <c r="I791" s="4" t="s">
        <v>109</v>
      </c>
      <c r="J791" s="5" t="s">
        <v>2867</v>
      </c>
      <c r="K791" s="646">
        <v>72</v>
      </c>
      <c r="L791" s="647">
        <v>390000000</v>
      </c>
      <c r="M791" s="648">
        <v>36</v>
      </c>
      <c r="N791" s="649">
        <v>146525400</v>
      </c>
      <c r="O791" s="674">
        <v>12</v>
      </c>
      <c r="P791" s="650">
        <v>33000000</v>
      </c>
      <c r="Q791" s="651">
        <v>3</v>
      </c>
      <c r="R791" s="652">
        <v>8135236</v>
      </c>
      <c r="S791" s="647">
        <v>3</v>
      </c>
      <c r="T791" s="658">
        <v>8544853</v>
      </c>
      <c r="U791" s="653"/>
      <c r="V791" s="670"/>
      <c r="W791" s="654"/>
      <c r="X791" s="658"/>
      <c r="Y791" s="651">
        <f t="shared" si="236"/>
        <v>6</v>
      </c>
      <c r="Z791" s="652">
        <f t="shared" si="237"/>
        <v>16680089</v>
      </c>
      <c r="AA791" s="648">
        <f t="shared" si="238"/>
        <v>42</v>
      </c>
      <c r="AB791" s="649">
        <f t="shared" si="239"/>
        <v>163205489</v>
      </c>
      <c r="AC791" s="648">
        <f t="shared" si="240"/>
        <v>58.333333333333336</v>
      </c>
      <c r="AD791" s="655">
        <f t="shared" si="241"/>
        <v>41.847561282051281</v>
      </c>
      <c r="AE791" s="656"/>
      <c r="AF791" s="798"/>
      <c r="AG791" s="798"/>
      <c r="AH791" s="798"/>
      <c r="AI791" s="798"/>
      <c r="AJ791" s="798"/>
      <c r="AK791" s="798"/>
      <c r="AL791" s="798"/>
      <c r="AM791" s="798"/>
      <c r="AN791" s="798"/>
      <c r="AO791" s="798"/>
      <c r="AP791" s="798"/>
      <c r="AQ791" s="798"/>
      <c r="AR791" s="798"/>
      <c r="AS791" s="798"/>
      <c r="AT791" s="798"/>
      <c r="AU791" s="798"/>
      <c r="AV791" s="798"/>
      <c r="AW791" s="798"/>
      <c r="AX791" s="798"/>
      <c r="AY791" s="798"/>
      <c r="AZ791" s="798"/>
      <c r="BA791" s="798"/>
      <c r="BB791" s="798"/>
      <c r="BC791" s="799"/>
      <c r="BD791" s="799"/>
      <c r="BE791" s="799"/>
      <c r="BF791" s="799"/>
      <c r="BG791" s="799"/>
      <c r="BH791" s="799"/>
      <c r="BI791" s="799"/>
      <c r="BJ791" s="799"/>
      <c r="BK791" s="799"/>
      <c r="BL791" s="799"/>
      <c r="BM791" s="799"/>
      <c r="BN791" s="799"/>
      <c r="BO791" s="799"/>
      <c r="BP791" s="799"/>
      <c r="BQ791" s="799"/>
    </row>
    <row r="792" spans="1:70" ht="49.5">
      <c r="A792" s="645"/>
      <c r="B792" s="4"/>
      <c r="C792" s="644" t="s">
        <v>41</v>
      </c>
      <c r="D792" s="644" t="s">
        <v>28</v>
      </c>
      <c r="E792" s="644" t="s">
        <v>25</v>
      </c>
      <c r="F792" s="644" t="s">
        <v>29</v>
      </c>
      <c r="G792" s="644"/>
      <c r="H792" s="645"/>
      <c r="I792" s="4" t="s">
        <v>102</v>
      </c>
      <c r="J792" s="5" t="s">
        <v>2868</v>
      </c>
      <c r="K792" s="646">
        <v>72</v>
      </c>
      <c r="L792" s="647">
        <v>390000000</v>
      </c>
      <c r="M792" s="648">
        <v>36</v>
      </c>
      <c r="N792" s="649">
        <v>192293000</v>
      </c>
      <c r="O792" s="674">
        <v>12</v>
      </c>
      <c r="P792" s="650">
        <v>79650000</v>
      </c>
      <c r="Q792" s="651">
        <v>3</v>
      </c>
      <c r="R792" s="652">
        <v>10100000</v>
      </c>
      <c r="S792" s="647">
        <v>3</v>
      </c>
      <c r="T792" s="658">
        <v>14550000</v>
      </c>
      <c r="U792" s="653"/>
      <c r="V792" s="670"/>
      <c r="W792" s="654"/>
      <c r="X792" s="658"/>
      <c r="Y792" s="651">
        <f t="shared" si="236"/>
        <v>6</v>
      </c>
      <c r="Z792" s="652">
        <f t="shared" si="237"/>
        <v>24650000</v>
      </c>
      <c r="AA792" s="648">
        <f t="shared" si="238"/>
        <v>42</v>
      </c>
      <c r="AB792" s="649">
        <f t="shared" si="239"/>
        <v>216943000</v>
      </c>
      <c r="AC792" s="648">
        <f t="shared" si="240"/>
        <v>58.333333333333336</v>
      </c>
      <c r="AD792" s="655">
        <f t="shared" si="241"/>
        <v>55.626410256410253</v>
      </c>
      <c r="AE792" s="656"/>
      <c r="AF792" s="798"/>
      <c r="AG792" s="798"/>
      <c r="AH792" s="798"/>
      <c r="AI792" s="798"/>
      <c r="AJ792" s="798"/>
      <c r="AK792" s="798"/>
      <c r="AL792" s="798"/>
      <c r="AM792" s="798"/>
      <c r="AN792" s="798"/>
      <c r="AO792" s="798"/>
      <c r="AP792" s="798"/>
      <c r="AQ792" s="798"/>
      <c r="AR792" s="798"/>
      <c r="AS792" s="798"/>
      <c r="AT792" s="798"/>
      <c r="AU792" s="798"/>
      <c r="AV792" s="798"/>
      <c r="AW792" s="798"/>
      <c r="AX792" s="798"/>
      <c r="AY792" s="798"/>
      <c r="AZ792" s="798"/>
      <c r="BA792" s="798"/>
      <c r="BB792" s="798"/>
      <c r="BC792" s="799"/>
      <c r="BD792" s="799"/>
      <c r="BE792" s="799"/>
      <c r="BF792" s="799"/>
      <c r="BG792" s="799"/>
      <c r="BH792" s="799"/>
      <c r="BI792" s="799"/>
      <c r="BJ792" s="799"/>
      <c r="BK792" s="799"/>
      <c r="BL792" s="799"/>
      <c r="BM792" s="799"/>
      <c r="BN792" s="799"/>
      <c r="BO792" s="799"/>
      <c r="BP792" s="799"/>
      <c r="BQ792" s="799"/>
    </row>
    <row r="793" spans="1:70" ht="66">
      <c r="A793" s="645"/>
      <c r="B793" s="4"/>
      <c r="C793" s="644" t="s">
        <v>41</v>
      </c>
      <c r="D793" s="644" t="s">
        <v>28</v>
      </c>
      <c r="E793" s="644" t="s">
        <v>25</v>
      </c>
      <c r="F793" s="644" t="s">
        <v>30</v>
      </c>
      <c r="G793" s="644"/>
      <c r="H793" s="645"/>
      <c r="I793" s="4" t="s">
        <v>110</v>
      </c>
      <c r="J793" s="5" t="s">
        <v>2869</v>
      </c>
      <c r="K793" s="646">
        <v>72</v>
      </c>
      <c r="L793" s="647">
        <v>300000000</v>
      </c>
      <c r="M793" s="648">
        <v>36</v>
      </c>
      <c r="N793" s="649">
        <v>87911000</v>
      </c>
      <c r="O793" s="674">
        <v>12</v>
      </c>
      <c r="P793" s="650">
        <v>67945200</v>
      </c>
      <c r="Q793" s="651">
        <v>3</v>
      </c>
      <c r="R793" s="652">
        <v>10621000</v>
      </c>
      <c r="S793" s="647">
        <v>3</v>
      </c>
      <c r="T793" s="658">
        <v>20530000</v>
      </c>
      <c r="U793" s="653"/>
      <c r="V793" s="670"/>
      <c r="W793" s="654"/>
      <c r="X793" s="658"/>
      <c r="Y793" s="651">
        <f t="shared" si="236"/>
        <v>6</v>
      </c>
      <c r="Z793" s="652">
        <f t="shared" si="237"/>
        <v>31151000</v>
      </c>
      <c r="AA793" s="648">
        <f t="shared" si="238"/>
        <v>42</v>
      </c>
      <c r="AB793" s="649">
        <f t="shared" si="239"/>
        <v>119062000</v>
      </c>
      <c r="AC793" s="648">
        <f t="shared" si="240"/>
        <v>58.333333333333336</v>
      </c>
      <c r="AD793" s="655">
        <f t="shared" si="241"/>
        <v>39.687333333333335</v>
      </c>
      <c r="AE793" s="656"/>
      <c r="AF793" s="798"/>
      <c r="AG793" s="798"/>
      <c r="AH793" s="798"/>
      <c r="AI793" s="798"/>
      <c r="AJ793" s="798"/>
      <c r="AK793" s="798"/>
      <c r="AL793" s="798"/>
      <c r="AM793" s="798"/>
      <c r="AN793" s="798"/>
      <c r="AO793" s="798"/>
      <c r="AP793" s="798"/>
      <c r="AQ793" s="798"/>
      <c r="AR793" s="798"/>
      <c r="AS793" s="798"/>
      <c r="AT793" s="798"/>
      <c r="AU793" s="798"/>
      <c r="AV793" s="798"/>
      <c r="AW793" s="798"/>
      <c r="AX793" s="798"/>
      <c r="AY793" s="798"/>
      <c r="AZ793" s="798"/>
      <c r="BA793" s="798"/>
      <c r="BB793" s="798"/>
      <c r="BC793" s="799"/>
      <c r="BD793" s="799"/>
      <c r="BE793" s="799"/>
      <c r="BF793" s="799"/>
      <c r="BG793" s="799"/>
      <c r="BH793" s="799"/>
      <c r="BI793" s="799"/>
      <c r="BJ793" s="799"/>
      <c r="BK793" s="799"/>
      <c r="BL793" s="799"/>
      <c r="BM793" s="799"/>
      <c r="BN793" s="799"/>
      <c r="BO793" s="799"/>
      <c r="BP793" s="799"/>
      <c r="BQ793" s="799"/>
    </row>
    <row r="794" spans="1:70" ht="66">
      <c r="A794" s="645"/>
      <c r="B794" s="4"/>
      <c r="C794" s="644" t="s">
        <v>41</v>
      </c>
      <c r="D794" s="644" t="s">
        <v>28</v>
      </c>
      <c r="E794" s="644" t="s">
        <v>25</v>
      </c>
      <c r="F794" s="644" t="s">
        <v>43</v>
      </c>
      <c r="G794" s="644"/>
      <c r="H794" s="645"/>
      <c r="I794" s="4" t="s">
        <v>917</v>
      </c>
      <c r="J794" s="5" t="s">
        <v>2870</v>
      </c>
      <c r="K794" s="646">
        <v>72</v>
      </c>
      <c r="L794" s="647">
        <v>10000000</v>
      </c>
      <c r="M794" s="648">
        <v>36</v>
      </c>
      <c r="N794" s="649">
        <v>60081680</v>
      </c>
      <c r="O794" s="674">
        <v>12</v>
      </c>
      <c r="P794" s="650">
        <v>5050000</v>
      </c>
      <c r="Q794" s="651">
        <v>3</v>
      </c>
      <c r="R794" s="652">
        <v>1335000</v>
      </c>
      <c r="S794" s="647">
        <v>3</v>
      </c>
      <c r="T794" s="658">
        <v>205000</v>
      </c>
      <c r="U794" s="653"/>
      <c r="V794" s="670"/>
      <c r="W794" s="654"/>
      <c r="X794" s="658"/>
      <c r="Y794" s="651">
        <f t="shared" si="236"/>
        <v>6</v>
      </c>
      <c r="Z794" s="652">
        <f t="shared" si="237"/>
        <v>1540000</v>
      </c>
      <c r="AA794" s="648">
        <f t="shared" si="238"/>
        <v>42</v>
      </c>
      <c r="AB794" s="649">
        <f t="shared" si="239"/>
        <v>61621680</v>
      </c>
      <c r="AC794" s="648">
        <f t="shared" si="240"/>
        <v>58.333333333333336</v>
      </c>
      <c r="AD794" s="655">
        <f t="shared" si="241"/>
        <v>616.21680000000003</v>
      </c>
      <c r="AE794" s="656"/>
      <c r="AF794" s="798"/>
      <c r="AG794" s="798"/>
      <c r="AH794" s="798"/>
      <c r="AI794" s="798"/>
      <c r="AJ794" s="798"/>
      <c r="AK794" s="798"/>
      <c r="AL794" s="798"/>
      <c r="AM794" s="798"/>
      <c r="AN794" s="798"/>
      <c r="AO794" s="798"/>
      <c r="AP794" s="798"/>
      <c r="AQ794" s="798"/>
      <c r="AR794" s="798"/>
      <c r="AS794" s="798"/>
      <c r="AT794" s="798"/>
      <c r="AU794" s="798"/>
      <c r="AV794" s="798"/>
      <c r="AW794" s="798"/>
      <c r="AX794" s="798"/>
      <c r="AY794" s="798"/>
      <c r="AZ794" s="798"/>
      <c r="BA794" s="798"/>
      <c r="BB794" s="798"/>
      <c r="BC794" s="799"/>
      <c r="BD794" s="799"/>
      <c r="BE794" s="799"/>
      <c r="BF794" s="799"/>
      <c r="BG794" s="799"/>
      <c r="BH794" s="799"/>
      <c r="BI794" s="799"/>
      <c r="BJ794" s="799"/>
      <c r="BK794" s="799"/>
      <c r="BL794" s="799"/>
      <c r="BM794" s="799"/>
      <c r="BN794" s="799"/>
      <c r="BO794" s="799"/>
      <c r="BP794" s="799"/>
      <c r="BQ794" s="799"/>
    </row>
    <row r="795" spans="1:70" ht="49.5">
      <c r="A795" s="645"/>
      <c r="B795" s="4"/>
      <c r="C795" s="644" t="s">
        <v>41</v>
      </c>
      <c r="D795" s="644" t="s">
        <v>28</v>
      </c>
      <c r="E795" s="644" t="s">
        <v>25</v>
      </c>
      <c r="F795" s="644" t="s">
        <v>31</v>
      </c>
      <c r="G795" s="644"/>
      <c r="H795" s="645"/>
      <c r="I795" s="4" t="s">
        <v>70</v>
      </c>
      <c r="J795" s="657" t="s">
        <v>2872</v>
      </c>
      <c r="K795" s="646">
        <v>72</v>
      </c>
      <c r="L795" s="647">
        <v>100000000</v>
      </c>
      <c r="M795" s="648">
        <v>36</v>
      </c>
      <c r="N795" s="649">
        <v>73438414</v>
      </c>
      <c r="O795" s="674">
        <v>12</v>
      </c>
      <c r="P795" s="650">
        <v>62334817</v>
      </c>
      <c r="Q795" s="651">
        <v>3</v>
      </c>
      <c r="R795" s="652">
        <v>7337000</v>
      </c>
      <c r="S795" s="647">
        <v>3</v>
      </c>
      <c r="T795" s="658">
        <v>14840500</v>
      </c>
      <c r="U795" s="653"/>
      <c r="V795" s="1006"/>
      <c r="W795" s="654"/>
      <c r="X795" s="658"/>
      <c r="Y795" s="651">
        <f t="shared" si="236"/>
        <v>6</v>
      </c>
      <c r="Z795" s="652">
        <f t="shared" si="237"/>
        <v>22177500</v>
      </c>
      <c r="AA795" s="648">
        <f t="shared" si="238"/>
        <v>42</v>
      </c>
      <c r="AB795" s="649">
        <f t="shared" si="239"/>
        <v>95615914</v>
      </c>
      <c r="AC795" s="648">
        <f t="shared" si="240"/>
        <v>58.333333333333336</v>
      </c>
      <c r="AD795" s="655">
        <f t="shared" si="241"/>
        <v>95.615914000000004</v>
      </c>
      <c r="AE795" s="656"/>
      <c r="AF795" s="798"/>
      <c r="AG795" s="798"/>
      <c r="AH795" s="798"/>
      <c r="AI795" s="798"/>
      <c r="AJ795" s="798"/>
      <c r="AK795" s="798"/>
      <c r="AL795" s="798"/>
      <c r="AM795" s="798"/>
      <c r="AN795" s="798"/>
      <c r="AO795" s="798"/>
      <c r="AP795" s="798"/>
      <c r="AQ795" s="798"/>
      <c r="AR795" s="798"/>
      <c r="AS795" s="798"/>
      <c r="AT795" s="798"/>
      <c r="AU795" s="798"/>
      <c r="AV795" s="798"/>
      <c r="AW795" s="798"/>
      <c r="AX795" s="798"/>
      <c r="AY795" s="798"/>
      <c r="AZ795" s="798"/>
      <c r="BA795" s="798"/>
      <c r="BB795" s="798"/>
      <c r="BC795" s="799"/>
      <c r="BD795" s="799"/>
      <c r="BE795" s="799"/>
      <c r="BF795" s="799"/>
      <c r="BG795" s="799"/>
      <c r="BH795" s="799"/>
      <c r="BI795" s="799"/>
      <c r="BJ795" s="799"/>
      <c r="BK795" s="799"/>
      <c r="BL795" s="799"/>
      <c r="BM795" s="799"/>
      <c r="BN795" s="799"/>
      <c r="BO795" s="799"/>
      <c r="BP795" s="799"/>
      <c r="BQ795" s="799"/>
    </row>
    <row r="796" spans="1:70" ht="82.5">
      <c r="A796" s="645"/>
      <c r="B796" s="4"/>
      <c r="C796" s="644" t="s">
        <v>41</v>
      </c>
      <c r="D796" s="644" t="s">
        <v>28</v>
      </c>
      <c r="E796" s="644" t="s">
        <v>25</v>
      </c>
      <c r="F796" s="644" t="s">
        <v>62</v>
      </c>
      <c r="G796" s="644"/>
      <c r="H796" s="645"/>
      <c r="I796" s="4" t="s">
        <v>2871</v>
      </c>
      <c r="J796" s="657" t="s">
        <v>2873</v>
      </c>
      <c r="K796" s="646">
        <v>72</v>
      </c>
      <c r="L796" s="647">
        <v>100000000</v>
      </c>
      <c r="M796" s="648">
        <v>36</v>
      </c>
      <c r="N796" s="649">
        <v>75031200</v>
      </c>
      <c r="O796" s="674">
        <v>12</v>
      </c>
      <c r="P796" s="650">
        <v>21722000</v>
      </c>
      <c r="Q796" s="651">
        <v>3</v>
      </c>
      <c r="R796" s="652">
        <v>1500000</v>
      </c>
      <c r="S796" s="647">
        <v>3</v>
      </c>
      <c r="T796" s="658">
        <v>3653000</v>
      </c>
      <c r="U796" s="653"/>
      <c r="V796" s="670"/>
      <c r="W796" s="654"/>
      <c r="X796" s="658"/>
      <c r="Y796" s="651">
        <f t="shared" si="236"/>
        <v>6</v>
      </c>
      <c r="Z796" s="652">
        <f t="shared" si="237"/>
        <v>5153000</v>
      </c>
      <c r="AA796" s="648">
        <f t="shared" si="238"/>
        <v>42</v>
      </c>
      <c r="AB796" s="649">
        <f t="shared" si="239"/>
        <v>80184200</v>
      </c>
      <c r="AC796" s="648">
        <f t="shared" si="240"/>
        <v>58.333333333333336</v>
      </c>
      <c r="AD796" s="655">
        <f t="shared" si="241"/>
        <v>80.184200000000004</v>
      </c>
      <c r="AE796" s="656"/>
      <c r="AF796" s="798"/>
      <c r="AG796" s="798"/>
      <c r="AH796" s="798"/>
      <c r="AI796" s="798"/>
      <c r="AJ796" s="798"/>
      <c r="AK796" s="798"/>
      <c r="AL796" s="798"/>
      <c r="AM796" s="798"/>
      <c r="AN796" s="798"/>
      <c r="AO796" s="798"/>
      <c r="AP796" s="798"/>
      <c r="AQ796" s="798"/>
      <c r="AR796" s="798"/>
      <c r="AS796" s="798"/>
      <c r="AT796" s="798"/>
      <c r="AU796" s="798"/>
      <c r="AV796" s="798"/>
      <c r="AW796" s="798"/>
      <c r="AX796" s="798"/>
      <c r="AY796" s="798"/>
      <c r="AZ796" s="798"/>
      <c r="BA796" s="798"/>
      <c r="BB796" s="798"/>
      <c r="BC796" s="799"/>
      <c r="BD796" s="799"/>
      <c r="BE796" s="799"/>
      <c r="BF796" s="799"/>
      <c r="BG796" s="799"/>
      <c r="BH796" s="799"/>
      <c r="BI796" s="799"/>
      <c r="BJ796" s="799"/>
      <c r="BK796" s="799"/>
      <c r="BL796" s="799"/>
      <c r="BM796" s="799"/>
      <c r="BN796" s="799"/>
      <c r="BO796" s="799"/>
      <c r="BP796" s="799"/>
      <c r="BQ796" s="799"/>
    </row>
    <row r="797" spans="1:70" ht="66">
      <c r="A797" s="645"/>
      <c r="B797" s="4"/>
      <c r="C797" s="644" t="s">
        <v>41</v>
      </c>
      <c r="D797" s="644" t="s">
        <v>28</v>
      </c>
      <c r="E797" s="644" t="s">
        <v>25</v>
      </c>
      <c r="F797" s="644" t="s">
        <v>62</v>
      </c>
      <c r="G797" s="644"/>
      <c r="H797" s="645"/>
      <c r="I797" s="4" t="s">
        <v>1084</v>
      </c>
      <c r="J797" s="657" t="s">
        <v>2866</v>
      </c>
      <c r="K797" s="646">
        <v>1</v>
      </c>
      <c r="L797" s="647">
        <f>N797</f>
        <v>17882050</v>
      </c>
      <c r="M797" s="648">
        <v>1</v>
      </c>
      <c r="N797" s="649">
        <v>17882050</v>
      </c>
      <c r="O797" s="1007">
        <v>0</v>
      </c>
      <c r="P797" s="650">
        <v>0</v>
      </c>
      <c r="Q797" s="651">
        <v>0</v>
      </c>
      <c r="R797" s="652">
        <v>0</v>
      </c>
      <c r="S797" s="647">
        <v>3</v>
      </c>
      <c r="T797" s="658"/>
      <c r="U797" s="658"/>
      <c r="V797" s="670"/>
      <c r="W797" s="654"/>
      <c r="X797" s="658"/>
      <c r="Y797" s="651">
        <f t="shared" si="236"/>
        <v>3</v>
      </c>
      <c r="Z797" s="652">
        <f t="shared" si="237"/>
        <v>0</v>
      </c>
      <c r="AA797" s="648">
        <f t="shared" si="238"/>
        <v>4</v>
      </c>
      <c r="AB797" s="649">
        <f t="shared" si="239"/>
        <v>17882050</v>
      </c>
      <c r="AC797" s="648">
        <f t="shared" si="240"/>
        <v>400</v>
      </c>
      <c r="AD797" s="655">
        <f t="shared" si="241"/>
        <v>100</v>
      </c>
      <c r="AE797" s="656"/>
      <c r="AF797" s="798"/>
      <c r="AG797" s="798"/>
      <c r="AH797" s="798"/>
      <c r="AI797" s="798"/>
      <c r="AJ797" s="798"/>
      <c r="AK797" s="798"/>
      <c r="AL797" s="798"/>
      <c r="AM797" s="798"/>
      <c r="AN797" s="798"/>
      <c r="AO797" s="798"/>
      <c r="AP797" s="798"/>
      <c r="AQ797" s="798"/>
      <c r="AR797" s="798"/>
      <c r="AS797" s="798"/>
      <c r="AT797" s="798"/>
      <c r="AU797" s="798"/>
      <c r="AV797" s="798"/>
      <c r="AW797" s="798"/>
      <c r="AX797" s="798"/>
      <c r="AY797" s="798"/>
      <c r="AZ797" s="798"/>
      <c r="BA797" s="798"/>
      <c r="BB797" s="798"/>
      <c r="BC797" s="799"/>
      <c r="BD797" s="799"/>
      <c r="BE797" s="799"/>
      <c r="BF797" s="799"/>
      <c r="BG797" s="799"/>
      <c r="BH797" s="799"/>
      <c r="BI797" s="799"/>
      <c r="BJ797" s="799"/>
      <c r="BK797" s="799"/>
      <c r="BL797" s="799"/>
      <c r="BM797" s="799"/>
      <c r="BN797" s="799"/>
      <c r="BO797" s="799"/>
      <c r="BP797" s="799"/>
      <c r="BQ797" s="799"/>
    </row>
    <row r="798" spans="1:70" ht="82.5">
      <c r="A798" s="645"/>
      <c r="B798" s="4"/>
      <c r="C798" s="644" t="s">
        <v>41</v>
      </c>
      <c r="D798" s="644" t="s">
        <v>28</v>
      </c>
      <c r="E798" s="644" t="s">
        <v>25</v>
      </c>
      <c r="F798" s="644" t="s">
        <v>52</v>
      </c>
      <c r="G798" s="644"/>
      <c r="H798" s="645"/>
      <c r="I798" s="4" t="s">
        <v>2874</v>
      </c>
      <c r="J798" s="657" t="s">
        <v>2875</v>
      </c>
      <c r="K798" s="646">
        <v>72</v>
      </c>
      <c r="L798" s="647">
        <v>100000000</v>
      </c>
      <c r="M798" s="648">
        <v>36</v>
      </c>
      <c r="N798" s="649">
        <v>18128300</v>
      </c>
      <c r="O798" s="1007">
        <v>12</v>
      </c>
      <c r="P798" s="650">
        <v>8129400</v>
      </c>
      <c r="Q798" s="651">
        <v>3</v>
      </c>
      <c r="R798" s="652">
        <v>1350000</v>
      </c>
      <c r="S798" s="647">
        <v>3</v>
      </c>
      <c r="T798" s="658">
        <v>1747500</v>
      </c>
      <c r="U798" s="653"/>
      <c r="V798" s="670"/>
      <c r="W798" s="654"/>
      <c r="X798" s="658"/>
      <c r="Y798" s="651">
        <f t="shared" si="236"/>
        <v>6</v>
      </c>
      <c r="Z798" s="652">
        <f t="shared" si="237"/>
        <v>3097500</v>
      </c>
      <c r="AA798" s="648">
        <f t="shared" si="238"/>
        <v>42</v>
      </c>
      <c r="AB798" s="649">
        <f t="shared" si="239"/>
        <v>21225800</v>
      </c>
      <c r="AC798" s="648">
        <f t="shared" si="240"/>
        <v>58.333333333333336</v>
      </c>
      <c r="AD798" s="655">
        <f t="shared" si="241"/>
        <v>21.2258</v>
      </c>
      <c r="AE798" s="656"/>
      <c r="AF798" s="798"/>
      <c r="AG798" s="798"/>
      <c r="AH798" s="798"/>
      <c r="AI798" s="798"/>
      <c r="AJ798" s="798"/>
      <c r="AK798" s="798"/>
      <c r="AL798" s="798"/>
      <c r="AM798" s="798"/>
      <c r="AN798" s="798"/>
      <c r="AO798" s="798"/>
      <c r="AP798" s="798"/>
      <c r="AQ798" s="798"/>
      <c r="AR798" s="798"/>
      <c r="AS798" s="798"/>
      <c r="AT798" s="798"/>
      <c r="AU798" s="798"/>
      <c r="AV798" s="798"/>
      <c r="AW798" s="798"/>
      <c r="AX798" s="798"/>
      <c r="AY798" s="798"/>
      <c r="AZ798" s="798"/>
      <c r="BA798" s="798"/>
      <c r="BB798" s="798"/>
      <c r="BC798" s="799"/>
      <c r="BD798" s="799"/>
      <c r="BE798" s="799"/>
      <c r="BF798" s="799"/>
      <c r="BG798" s="799"/>
      <c r="BH798" s="799"/>
      <c r="BI798" s="799"/>
      <c r="BJ798" s="799"/>
      <c r="BK798" s="799"/>
      <c r="BL798" s="799"/>
      <c r="BM798" s="799"/>
      <c r="BN798" s="799"/>
      <c r="BO798" s="799"/>
      <c r="BP798" s="799"/>
      <c r="BQ798" s="799"/>
    </row>
    <row r="799" spans="1:70" ht="49.5">
      <c r="A799" s="645"/>
      <c r="B799" s="4"/>
      <c r="C799" s="644" t="s">
        <v>41</v>
      </c>
      <c r="D799" s="644" t="s">
        <v>28</v>
      </c>
      <c r="E799" s="644" t="s">
        <v>25</v>
      </c>
      <c r="F799" s="644" t="s">
        <v>45</v>
      </c>
      <c r="G799" s="644"/>
      <c r="H799" s="645"/>
      <c r="I799" s="4" t="s">
        <v>2876</v>
      </c>
      <c r="J799" s="657" t="s">
        <v>2877</v>
      </c>
      <c r="K799" s="646">
        <v>72</v>
      </c>
      <c r="L799" s="647">
        <v>100000000</v>
      </c>
      <c r="M799" s="648">
        <v>36</v>
      </c>
      <c r="N799" s="649">
        <v>52587700</v>
      </c>
      <c r="O799" s="674">
        <v>12</v>
      </c>
      <c r="P799" s="650">
        <v>17430000</v>
      </c>
      <c r="Q799" s="651">
        <v>3</v>
      </c>
      <c r="R799" s="652">
        <v>1970000</v>
      </c>
      <c r="S799" s="647">
        <v>3</v>
      </c>
      <c r="T799" s="658">
        <v>3070000</v>
      </c>
      <c r="U799" s="653"/>
      <c r="V799" s="670"/>
      <c r="W799" s="654"/>
      <c r="X799" s="658"/>
      <c r="Y799" s="651">
        <f t="shared" si="236"/>
        <v>6</v>
      </c>
      <c r="Z799" s="652">
        <f t="shared" si="237"/>
        <v>5040000</v>
      </c>
      <c r="AA799" s="648">
        <f t="shared" si="238"/>
        <v>42</v>
      </c>
      <c r="AB799" s="649">
        <f t="shared" si="239"/>
        <v>57627700</v>
      </c>
      <c r="AC799" s="648">
        <f t="shared" si="240"/>
        <v>58.333333333333336</v>
      </c>
      <c r="AD799" s="655">
        <f t="shared" si="241"/>
        <v>57.627700000000004</v>
      </c>
      <c r="AE799" s="656"/>
      <c r="AF799" s="798"/>
      <c r="AG799" s="798"/>
      <c r="AH799" s="798"/>
      <c r="AI799" s="798"/>
      <c r="AJ799" s="798"/>
      <c r="AK799" s="798"/>
      <c r="AL799" s="798"/>
      <c r="AM799" s="798"/>
      <c r="AN799" s="798"/>
      <c r="AO799" s="798"/>
      <c r="AP799" s="798"/>
      <c r="AQ799" s="798"/>
      <c r="AR799" s="798"/>
      <c r="AS799" s="798"/>
      <c r="AT799" s="798"/>
      <c r="AU799" s="798"/>
      <c r="AV799" s="798"/>
      <c r="AW799" s="798"/>
      <c r="AX799" s="798"/>
      <c r="AY799" s="798"/>
      <c r="AZ799" s="798"/>
      <c r="BA799" s="798"/>
      <c r="BB799" s="798"/>
      <c r="BC799" s="799"/>
      <c r="BD799" s="799"/>
      <c r="BE799" s="799"/>
      <c r="BF799" s="799"/>
      <c r="BG799" s="799"/>
      <c r="BH799" s="799"/>
      <c r="BI799" s="799"/>
      <c r="BJ799" s="799"/>
      <c r="BK799" s="799"/>
      <c r="BL799" s="799"/>
      <c r="BM799" s="799"/>
      <c r="BN799" s="799"/>
      <c r="BO799" s="799"/>
      <c r="BP799" s="799"/>
      <c r="BQ799" s="799"/>
    </row>
    <row r="800" spans="1:70" ht="49.5">
      <c r="A800" s="645"/>
      <c r="B800" s="4"/>
      <c r="C800" s="644" t="s">
        <v>41</v>
      </c>
      <c r="D800" s="644" t="s">
        <v>28</v>
      </c>
      <c r="E800" s="644" t="s">
        <v>25</v>
      </c>
      <c r="F800" s="644" t="s">
        <v>74</v>
      </c>
      <c r="G800" s="644"/>
      <c r="H800" s="645"/>
      <c r="I800" s="4" t="s">
        <v>75</v>
      </c>
      <c r="J800" s="657" t="s">
        <v>2878</v>
      </c>
      <c r="K800" s="646">
        <v>72</v>
      </c>
      <c r="L800" s="647">
        <v>100000000</v>
      </c>
      <c r="M800" s="648">
        <v>36</v>
      </c>
      <c r="N800" s="649">
        <v>280315031</v>
      </c>
      <c r="O800" s="674">
        <v>12</v>
      </c>
      <c r="P800" s="650">
        <v>18565000</v>
      </c>
      <c r="Q800" s="651">
        <v>0</v>
      </c>
      <c r="R800" s="652">
        <v>5455000</v>
      </c>
      <c r="S800" s="659">
        <v>3</v>
      </c>
      <c r="T800" s="658">
        <v>2862500</v>
      </c>
      <c r="U800" s="658"/>
      <c r="V800" s="670"/>
      <c r="W800" s="654"/>
      <c r="X800" s="670"/>
      <c r="Y800" s="651">
        <f t="shared" si="236"/>
        <v>3</v>
      </c>
      <c r="Z800" s="652">
        <f t="shared" si="237"/>
        <v>8317500</v>
      </c>
      <c r="AA800" s="648">
        <f t="shared" si="238"/>
        <v>39</v>
      </c>
      <c r="AB800" s="649">
        <f t="shared" si="239"/>
        <v>288632531</v>
      </c>
      <c r="AC800" s="648">
        <f t="shared" si="240"/>
        <v>54.166666666666664</v>
      </c>
      <c r="AD800" s="655">
        <f t="shared" si="241"/>
        <v>288.63253100000003</v>
      </c>
      <c r="AE800" s="656"/>
      <c r="AF800" s="798"/>
      <c r="AG800" s="798"/>
      <c r="AH800" s="798"/>
      <c r="AI800" s="798"/>
      <c r="AJ800" s="798"/>
      <c r="AK800" s="798"/>
      <c r="AL800" s="798"/>
      <c r="AM800" s="798"/>
      <c r="AN800" s="798"/>
      <c r="AO800" s="798"/>
      <c r="AP800" s="798"/>
      <c r="AQ800" s="798"/>
      <c r="AR800" s="798"/>
      <c r="AS800" s="798"/>
      <c r="AT800" s="798"/>
      <c r="AU800" s="798"/>
      <c r="AV800" s="798"/>
      <c r="AW800" s="798"/>
      <c r="AX800" s="798"/>
      <c r="AY800" s="798"/>
      <c r="AZ800" s="798"/>
      <c r="BA800" s="798"/>
      <c r="BB800" s="798"/>
      <c r="BC800" s="799"/>
      <c r="BD800" s="799"/>
      <c r="BE800" s="799"/>
      <c r="BF800" s="799"/>
      <c r="BG800" s="799"/>
      <c r="BH800" s="799"/>
      <c r="BI800" s="799"/>
      <c r="BJ800" s="799"/>
      <c r="BK800" s="799"/>
      <c r="BL800" s="799"/>
      <c r="BM800" s="799"/>
      <c r="BN800" s="799"/>
      <c r="BO800" s="799"/>
      <c r="BP800" s="799"/>
      <c r="BQ800" s="799"/>
    </row>
    <row r="801" spans="1:70" ht="82.5">
      <c r="A801" s="645"/>
      <c r="B801" s="4"/>
      <c r="C801" s="644" t="s">
        <v>41</v>
      </c>
      <c r="D801" s="644" t="s">
        <v>28</v>
      </c>
      <c r="E801" s="644" t="s">
        <v>25</v>
      </c>
      <c r="F801" s="644" t="s">
        <v>44</v>
      </c>
      <c r="G801" s="644"/>
      <c r="H801" s="645"/>
      <c r="I801" s="4" t="s">
        <v>76</v>
      </c>
      <c r="J801" s="657" t="s">
        <v>2879</v>
      </c>
      <c r="K801" s="646">
        <v>72</v>
      </c>
      <c r="L801" s="647">
        <f>3*N801</f>
        <v>591934284</v>
      </c>
      <c r="M801" s="648">
        <v>36</v>
      </c>
      <c r="N801" s="649">
        <v>197311428</v>
      </c>
      <c r="O801" s="674">
        <v>12</v>
      </c>
      <c r="P801" s="650">
        <v>56000000</v>
      </c>
      <c r="Q801" s="651">
        <v>3</v>
      </c>
      <c r="R801" s="652">
        <v>9089700</v>
      </c>
      <c r="S801" s="660">
        <v>3</v>
      </c>
      <c r="T801" s="658">
        <v>11803113</v>
      </c>
      <c r="U801" s="653"/>
      <c r="V801" s="670"/>
      <c r="W801" s="654"/>
      <c r="X801" s="658"/>
      <c r="Y801" s="651">
        <f t="shared" si="236"/>
        <v>6</v>
      </c>
      <c r="Z801" s="652">
        <f t="shared" si="237"/>
        <v>20892813</v>
      </c>
      <c r="AA801" s="648">
        <f t="shared" si="238"/>
        <v>42</v>
      </c>
      <c r="AB801" s="649">
        <f t="shared" si="239"/>
        <v>218204241</v>
      </c>
      <c r="AC801" s="648">
        <f t="shared" si="240"/>
        <v>58.333333333333336</v>
      </c>
      <c r="AD801" s="655">
        <f t="shared" si="241"/>
        <v>36.8629165260514</v>
      </c>
      <c r="AE801" s="656"/>
      <c r="AF801" s="798"/>
      <c r="AG801" s="798"/>
      <c r="AH801" s="798"/>
      <c r="AI801" s="798"/>
      <c r="AJ801" s="798"/>
      <c r="AK801" s="798"/>
      <c r="AL801" s="798"/>
      <c r="AM801" s="798"/>
      <c r="AN801" s="798"/>
      <c r="AO801" s="798"/>
      <c r="AP801" s="798"/>
      <c r="AQ801" s="798"/>
      <c r="AR801" s="798"/>
      <c r="AS801" s="798"/>
      <c r="AT801" s="798"/>
      <c r="AU801" s="798"/>
      <c r="AV801" s="798"/>
      <c r="AW801" s="798"/>
      <c r="AX801" s="798"/>
      <c r="AY801" s="798"/>
      <c r="AZ801" s="798"/>
      <c r="BA801" s="798"/>
      <c r="BB801" s="798"/>
      <c r="BC801" s="799"/>
      <c r="BD801" s="799"/>
      <c r="BE801" s="799"/>
      <c r="BF801" s="799"/>
      <c r="BG801" s="799"/>
      <c r="BH801" s="799"/>
      <c r="BI801" s="799"/>
      <c r="BJ801" s="799"/>
      <c r="BK801" s="799"/>
      <c r="BL801" s="799"/>
      <c r="BM801" s="799"/>
      <c r="BN801" s="799"/>
      <c r="BO801" s="799"/>
      <c r="BP801" s="799"/>
      <c r="BQ801" s="799"/>
    </row>
    <row r="802" spans="1:70" ht="82.5">
      <c r="A802" s="645"/>
      <c r="B802" s="4"/>
      <c r="C802" s="644" t="s">
        <v>41</v>
      </c>
      <c r="D802" s="644" t="s">
        <v>28</v>
      </c>
      <c r="E802" s="644" t="s">
        <v>25</v>
      </c>
      <c r="F802" s="644" t="s">
        <v>54</v>
      </c>
      <c r="G802" s="644"/>
      <c r="H802" s="645"/>
      <c r="I802" s="4" t="s">
        <v>77</v>
      </c>
      <c r="J802" s="657" t="s">
        <v>2880</v>
      </c>
      <c r="K802" s="646">
        <v>72</v>
      </c>
      <c r="L802" s="647">
        <f t="shared" ref="L802:L803" si="242">3*N802</f>
        <v>408518850</v>
      </c>
      <c r="M802" s="648">
        <v>36</v>
      </c>
      <c r="N802" s="649">
        <v>136172950</v>
      </c>
      <c r="O802" s="661">
        <v>12</v>
      </c>
      <c r="P802" s="650">
        <v>49000000</v>
      </c>
      <c r="Q802" s="651">
        <v>3</v>
      </c>
      <c r="R802" s="652">
        <v>11050000</v>
      </c>
      <c r="S802" s="660">
        <v>3</v>
      </c>
      <c r="T802" s="658">
        <v>20850000</v>
      </c>
      <c r="U802" s="653"/>
      <c r="V802" s="670"/>
      <c r="W802" s="654"/>
      <c r="X802" s="658"/>
      <c r="Y802" s="651">
        <f t="shared" si="236"/>
        <v>6</v>
      </c>
      <c r="Z802" s="652">
        <f t="shared" si="237"/>
        <v>31900000</v>
      </c>
      <c r="AA802" s="648">
        <f t="shared" si="238"/>
        <v>42</v>
      </c>
      <c r="AB802" s="649">
        <f t="shared" si="239"/>
        <v>168072950</v>
      </c>
      <c r="AC802" s="648">
        <f t="shared" si="240"/>
        <v>58.333333333333336</v>
      </c>
      <c r="AD802" s="655">
        <f t="shared" si="241"/>
        <v>41.142030532985196</v>
      </c>
      <c r="AE802" s="656"/>
      <c r="AF802" s="798"/>
      <c r="AG802" s="798"/>
      <c r="AH802" s="798"/>
      <c r="AI802" s="798"/>
      <c r="AJ802" s="798"/>
      <c r="AK802" s="798"/>
      <c r="AL802" s="798"/>
      <c r="AM802" s="798"/>
      <c r="AN802" s="798"/>
      <c r="AO802" s="798"/>
      <c r="AP802" s="798"/>
      <c r="AQ802" s="798"/>
      <c r="AR802" s="798"/>
      <c r="AS802" s="798"/>
      <c r="AT802" s="798"/>
      <c r="AU802" s="798"/>
      <c r="AV802" s="798"/>
      <c r="AW802" s="798"/>
      <c r="AX802" s="798"/>
      <c r="AY802" s="798"/>
      <c r="AZ802" s="798"/>
      <c r="BA802" s="798"/>
      <c r="BB802" s="798"/>
      <c r="BC802" s="799"/>
      <c r="BD802" s="799"/>
      <c r="BE802" s="799"/>
      <c r="BF802" s="799"/>
      <c r="BG802" s="799"/>
      <c r="BH802" s="799"/>
      <c r="BI802" s="799"/>
      <c r="BJ802" s="799"/>
      <c r="BK802" s="799"/>
      <c r="BL802" s="799"/>
      <c r="BM802" s="799"/>
      <c r="BN802" s="799"/>
      <c r="BO802" s="799"/>
      <c r="BP802" s="799"/>
      <c r="BQ802" s="799"/>
    </row>
    <row r="803" spans="1:70" ht="66">
      <c r="A803" s="645"/>
      <c r="B803" s="4"/>
      <c r="C803" s="644" t="s">
        <v>41</v>
      </c>
      <c r="D803" s="644" t="s">
        <v>28</v>
      </c>
      <c r="E803" s="644" t="s">
        <v>25</v>
      </c>
      <c r="F803" s="644" t="s">
        <v>61</v>
      </c>
      <c r="G803" s="644"/>
      <c r="H803" s="645"/>
      <c r="I803" s="4" t="s">
        <v>1085</v>
      </c>
      <c r="J803" s="657" t="s">
        <v>2881</v>
      </c>
      <c r="K803" s="646">
        <v>48</v>
      </c>
      <c r="L803" s="647">
        <f t="shared" si="242"/>
        <v>116362500</v>
      </c>
      <c r="M803" s="648">
        <v>24</v>
      </c>
      <c r="N803" s="649">
        <v>38787500</v>
      </c>
      <c r="O803" s="661">
        <v>4</v>
      </c>
      <c r="P803" s="650">
        <v>30000000</v>
      </c>
      <c r="Q803" s="651">
        <v>4</v>
      </c>
      <c r="R803" s="652">
        <v>2294000</v>
      </c>
      <c r="S803" s="662">
        <v>0.03</v>
      </c>
      <c r="T803" s="658">
        <v>13287000</v>
      </c>
      <c r="U803" s="663"/>
      <c r="V803" s="670"/>
      <c r="W803" s="654"/>
      <c r="X803" s="658"/>
      <c r="Y803" s="651">
        <f t="shared" si="236"/>
        <v>4.03</v>
      </c>
      <c r="Z803" s="652">
        <f t="shared" si="237"/>
        <v>15581000</v>
      </c>
      <c r="AA803" s="648">
        <f t="shared" si="238"/>
        <v>28.03</v>
      </c>
      <c r="AB803" s="649">
        <f t="shared" si="239"/>
        <v>54368500</v>
      </c>
      <c r="AC803" s="648">
        <f t="shared" si="240"/>
        <v>58.395833333333336</v>
      </c>
      <c r="AD803" s="655">
        <f t="shared" si="241"/>
        <v>46.72338597056612</v>
      </c>
      <c r="AE803" s="656"/>
      <c r="AF803" s="798"/>
      <c r="AG803" s="798"/>
      <c r="AH803" s="798"/>
      <c r="AI803" s="798"/>
      <c r="AJ803" s="798"/>
      <c r="AK803" s="798"/>
      <c r="AL803" s="798"/>
      <c r="AM803" s="798"/>
      <c r="AN803" s="798"/>
      <c r="AO803" s="798"/>
      <c r="AP803" s="798"/>
      <c r="AQ803" s="798"/>
      <c r="AR803" s="798"/>
      <c r="AS803" s="798"/>
      <c r="AT803" s="798"/>
      <c r="AU803" s="798"/>
      <c r="AV803" s="798"/>
      <c r="AW803" s="798"/>
      <c r="AX803" s="798"/>
      <c r="AY803" s="798"/>
      <c r="AZ803" s="798"/>
      <c r="BA803" s="798"/>
      <c r="BB803" s="798"/>
      <c r="BC803" s="799"/>
      <c r="BD803" s="799"/>
      <c r="BE803" s="799"/>
      <c r="BF803" s="799"/>
      <c r="BG803" s="799"/>
      <c r="BH803" s="799"/>
      <c r="BI803" s="799"/>
      <c r="BJ803" s="799"/>
      <c r="BK803" s="799"/>
      <c r="BL803" s="799"/>
      <c r="BM803" s="799"/>
      <c r="BN803" s="799"/>
      <c r="BO803" s="799"/>
      <c r="BP803" s="799"/>
      <c r="BQ803" s="799"/>
    </row>
    <row r="804" spans="1:70" s="22" customFormat="1" ht="66">
      <c r="A804" s="420">
        <v>2</v>
      </c>
      <c r="B804" s="43"/>
      <c r="C804" s="633" t="s">
        <v>41</v>
      </c>
      <c r="D804" s="633" t="s">
        <v>28</v>
      </c>
      <c r="E804" s="633" t="s">
        <v>28</v>
      </c>
      <c r="F804" s="420"/>
      <c r="G804" s="420"/>
      <c r="H804" s="420"/>
      <c r="I804" s="43" t="s">
        <v>2804</v>
      </c>
      <c r="J804" s="634" t="s">
        <v>2882</v>
      </c>
      <c r="K804" s="419">
        <v>72</v>
      </c>
      <c r="L804" s="635">
        <v>1382728850</v>
      </c>
      <c r="M804" s="1685">
        <v>36</v>
      </c>
      <c r="N804" s="636">
        <v>682838188</v>
      </c>
      <c r="O804" s="637">
        <v>12</v>
      </c>
      <c r="P804" s="638">
        <f>SUM(P805:P809)</f>
        <v>248142200</v>
      </c>
      <c r="Q804" s="639">
        <v>3</v>
      </c>
      <c r="R804" s="638">
        <f>SUM(R805:R809)</f>
        <v>20740500</v>
      </c>
      <c r="S804" s="665">
        <v>0.03</v>
      </c>
      <c r="T804" s="641">
        <f>SUM(T805)</f>
        <v>30687827</v>
      </c>
      <c r="U804" s="665"/>
      <c r="V804" s="666"/>
      <c r="W804" s="638"/>
      <c r="X804" s="641"/>
      <c r="Y804" s="639">
        <f t="shared" si="236"/>
        <v>3.03</v>
      </c>
      <c r="Z804" s="638">
        <f t="shared" si="237"/>
        <v>51428327</v>
      </c>
      <c r="AA804" s="643">
        <f t="shared" si="238"/>
        <v>39.03</v>
      </c>
      <c r="AB804" s="636">
        <f t="shared" si="239"/>
        <v>734266515</v>
      </c>
      <c r="AC804" s="643">
        <f t="shared" si="240"/>
        <v>54.208333333333336</v>
      </c>
      <c r="AD804" s="667">
        <f t="shared" si="241"/>
        <v>53.102711713869276</v>
      </c>
      <c r="AE804" s="1683" t="s">
        <v>2865</v>
      </c>
      <c r="AF804" s="798"/>
      <c r="AG804" s="798"/>
      <c r="AH804" s="798"/>
      <c r="AI804" s="798"/>
      <c r="AJ804" s="798"/>
      <c r="AK804" s="798"/>
      <c r="AL804" s="798"/>
      <c r="AM804" s="798"/>
      <c r="AN804" s="798"/>
      <c r="AO804" s="798"/>
      <c r="AP804" s="798"/>
      <c r="AQ804" s="798"/>
      <c r="AR804" s="798"/>
      <c r="AS804" s="798"/>
      <c r="AT804" s="798"/>
      <c r="AU804" s="798"/>
      <c r="AV804" s="798"/>
      <c r="AW804" s="798"/>
      <c r="AX804" s="798"/>
      <c r="AY804" s="798"/>
      <c r="AZ804" s="798"/>
      <c r="BA804" s="798"/>
      <c r="BB804" s="798"/>
      <c r="BC804" s="799"/>
      <c r="BD804" s="799"/>
      <c r="BE804" s="799"/>
      <c r="BF804" s="799"/>
      <c r="BG804" s="799"/>
      <c r="BH804" s="799"/>
      <c r="BI804" s="799"/>
      <c r="BJ804" s="799"/>
      <c r="BK804" s="799"/>
      <c r="BL804" s="799"/>
      <c r="BM804" s="799"/>
      <c r="BN804" s="799"/>
      <c r="BO804" s="799"/>
      <c r="BP804" s="799"/>
      <c r="BQ804" s="799"/>
      <c r="BR804" s="752"/>
    </row>
    <row r="805" spans="1:70" ht="66">
      <c r="A805" s="645"/>
      <c r="B805" s="4"/>
      <c r="C805" s="644" t="s">
        <v>41</v>
      </c>
      <c r="D805" s="644" t="s">
        <v>28</v>
      </c>
      <c r="E805" s="644" t="s">
        <v>28</v>
      </c>
      <c r="F805" s="644" t="s">
        <v>38</v>
      </c>
      <c r="G805" s="645"/>
      <c r="H805" s="645"/>
      <c r="I805" s="4" t="s">
        <v>2883</v>
      </c>
      <c r="J805" s="5" t="s">
        <v>2884</v>
      </c>
      <c r="K805" s="646">
        <v>72</v>
      </c>
      <c r="L805" s="647">
        <v>1182728850</v>
      </c>
      <c r="M805" s="646">
        <v>36</v>
      </c>
      <c r="N805" s="649">
        <v>481000927</v>
      </c>
      <c r="O805" s="661">
        <v>12</v>
      </c>
      <c r="P805" s="650">
        <v>81997200</v>
      </c>
      <c r="Q805" s="651">
        <v>3</v>
      </c>
      <c r="R805" s="652">
        <v>6768000</v>
      </c>
      <c r="S805" s="668"/>
      <c r="T805" s="2669">
        <f>37455827-R805</f>
        <v>30687827</v>
      </c>
      <c r="U805" s="669"/>
      <c r="V805" s="670"/>
      <c r="W805" s="669"/>
      <c r="X805" s="658"/>
      <c r="Y805" s="651">
        <f t="shared" si="236"/>
        <v>3</v>
      </c>
      <c r="Z805" s="652">
        <f t="shared" si="237"/>
        <v>37455827</v>
      </c>
      <c r="AA805" s="646">
        <f t="shared" si="238"/>
        <v>39</v>
      </c>
      <c r="AB805" s="649">
        <f t="shared" si="239"/>
        <v>518456754</v>
      </c>
      <c r="AC805" s="671">
        <f t="shared" si="240"/>
        <v>54.166666666666664</v>
      </c>
      <c r="AD805" s="672">
        <f t="shared" si="241"/>
        <v>43.835639419804465</v>
      </c>
      <c r="AE805" s="656"/>
      <c r="AF805" s="798"/>
      <c r="AG805" s="798"/>
      <c r="AH805" s="798"/>
      <c r="AI805" s="798"/>
      <c r="AJ805" s="798"/>
      <c r="AK805" s="798"/>
      <c r="AL805" s="798"/>
      <c r="AM805" s="798"/>
      <c r="AN805" s="798"/>
      <c r="AO805" s="798"/>
      <c r="AP805" s="798"/>
      <c r="AQ805" s="798"/>
      <c r="AR805" s="798"/>
      <c r="AS805" s="798"/>
      <c r="AT805" s="798"/>
      <c r="AU805" s="798"/>
      <c r="AV805" s="798"/>
      <c r="AW805" s="798"/>
      <c r="AX805" s="798"/>
      <c r="AY805" s="798"/>
      <c r="AZ805" s="798"/>
      <c r="BA805" s="798"/>
      <c r="BB805" s="798"/>
      <c r="BC805" s="799"/>
      <c r="BD805" s="799"/>
      <c r="BE805" s="799"/>
      <c r="BF805" s="799"/>
      <c r="BG805" s="799"/>
      <c r="BH805" s="799"/>
      <c r="BI805" s="799"/>
      <c r="BJ805" s="799"/>
      <c r="BK805" s="799"/>
      <c r="BL805" s="799"/>
      <c r="BM805" s="799"/>
      <c r="BN805" s="799"/>
      <c r="BO805" s="799"/>
      <c r="BP805" s="799"/>
      <c r="BQ805" s="799"/>
    </row>
    <row r="806" spans="1:70" ht="33">
      <c r="A806" s="645"/>
      <c r="B806" s="4"/>
      <c r="C806" s="644" t="s">
        <v>41</v>
      </c>
      <c r="D806" s="644" t="s">
        <v>28</v>
      </c>
      <c r="E806" s="644" t="s">
        <v>28</v>
      </c>
      <c r="F806" s="644" t="s">
        <v>43</v>
      </c>
      <c r="G806" s="645"/>
      <c r="H806" s="645"/>
      <c r="I806" s="4" t="s">
        <v>1086</v>
      </c>
      <c r="J806" s="5" t="s">
        <v>2885</v>
      </c>
      <c r="K806" s="646">
        <v>4</v>
      </c>
      <c r="L806" s="647">
        <v>100000000</v>
      </c>
      <c r="M806" s="673">
        <v>1</v>
      </c>
      <c r="N806" s="649">
        <v>166283113</v>
      </c>
      <c r="O806" s="674">
        <v>1</v>
      </c>
      <c r="P806" s="650">
        <v>65733000</v>
      </c>
      <c r="Q806" s="651">
        <v>0</v>
      </c>
      <c r="R806" s="652">
        <v>13972500</v>
      </c>
      <c r="S806" s="668"/>
      <c r="T806" s="675"/>
      <c r="U806" s="669"/>
      <c r="V806" s="676"/>
      <c r="W806" s="669"/>
      <c r="X806" s="660"/>
      <c r="Y806" s="651">
        <f t="shared" si="236"/>
        <v>0</v>
      </c>
      <c r="Z806" s="652">
        <f t="shared" si="237"/>
        <v>13972500</v>
      </c>
      <c r="AA806" s="673">
        <f t="shared" si="238"/>
        <v>1</v>
      </c>
      <c r="AB806" s="649">
        <f t="shared" si="239"/>
        <v>180255613</v>
      </c>
      <c r="AC806" s="671">
        <f t="shared" si="240"/>
        <v>25</v>
      </c>
      <c r="AD806" s="672">
        <f t="shared" si="241"/>
        <v>180.25561299999998</v>
      </c>
      <c r="AE806" s="656"/>
      <c r="AF806" s="798"/>
      <c r="AG806" s="798"/>
      <c r="AH806" s="798"/>
      <c r="AI806" s="798"/>
      <c r="AJ806" s="798"/>
      <c r="AK806" s="798"/>
      <c r="AL806" s="798"/>
      <c r="AM806" s="798"/>
      <c r="AN806" s="798"/>
      <c r="AO806" s="798"/>
      <c r="AP806" s="798"/>
      <c r="AQ806" s="798"/>
      <c r="AR806" s="798"/>
      <c r="AS806" s="798"/>
      <c r="AT806" s="798"/>
      <c r="AU806" s="798"/>
      <c r="AV806" s="798"/>
      <c r="AW806" s="798"/>
      <c r="AX806" s="798"/>
      <c r="AY806" s="798"/>
      <c r="AZ806" s="798"/>
      <c r="BA806" s="798"/>
      <c r="BB806" s="798"/>
      <c r="BC806" s="799"/>
      <c r="BD806" s="799"/>
      <c r="BE806" s="799"/>
      <c r="BF806" s="799"/>
      <c r="BG806" s="799"/>
      <c r="BH806" s="799"/>
      <c r="BI806" s="799"/>
      <c r="BJ806" s="799"/>
      <c r="BK806" s="799"/>
      <c r="BL806" s="799"/>
      <c r="BM806" s="799"/>
      <c r="BN806" s="799"/>
      <c r="BO806" s="799"/>
      <c r="BP806" s="799"/>
      <c r="BQ806" s="799"/>
    </row>
    <row r="807" spans="1:70" ht="49.5">
      <c r="A807" s="678"/>
      <c r="B807" s="3"/>
      <c r="C807" s="677" t="s">
        <v>41</v>
      </c>
      <c r="D807" s="677" t="s">
        <v>28</v>
      </c>
      <c r="E807" s="677" t="s">
        <v>28</v>
      </c>
      <c r="F807" s="677" t="s">
        <v>99</v>
      </c>
      <c r="G807" s="678"/>
      <c r="H807" s="678"/>
      <c r="I807" s="3" t="s">
        <v>2886</v>
      </c>
      <c r="J807" s="2" t="s">
        <v>2887</v>
      </c>
      <c r="K807" s="412">
        <v>3</v>
      </c>
      <c r="L807" s="679">
        <v>100000000</v>
      </c>
      <c r="M807" s="680">
        <v>1</v>
      </c>
      <c r="N807" s="681">
        <v>35554148</v>
      </c>
      <c r="O807" s="682">
        <v>0</v>
      </c>
      <c r="P807" s="683">
        <v>0</v>
      </c>
      <c r="Q807" s="1686">
        <v>0</v>
      </c>
      <c r="R807" s="687">
        <v>0</v>
      </c>
      <c r="S807" s="668"/>
      <c r="T807" s="685"/>
      <c r="U807" s="669"/>
      <c r="V807" s="686"/>
      <c r="W807" s="669"/>
      <c r="X807" s="687"/>
      <c r="Y807" s="651">
        <f t="shared" si="236"/>
        <v>0</v>
      </c>
      <c r="Z807" s="684">
        <f t="shared" si="237"/>
        <v>0</v>
      </c>
      <c r="AA807" s="680">
        <f t="shared" si="238"/>
        <v>1</v>
      </c>
      <c r="AB807" s="649">
        <f t="shared" si="239"/>
        <v>35554148</v>
      </c>
      <c r="AC807" s="688">
        <f t="shared" si="240"/>
        <v>33.333333333333329</v>
      </c>
      <c r="AD807" s="689">
        <f t="shared" si="241"/>
        <v>35.554148000000005</v>
      </c>
      <c r="AE807" s="656"/>
      <c r="AF807" s="798"/>
      <c r="AG807" s="798"/>
      <c r="AH807" s="798"/>
      <c r="AI807" s="798"/>
      <c r="AJ807" s="798"/>
      <c r="AK807" s="798"/>
      <c r="AL807" s="798"/>
      <c r="AM807" s="798"/>
      <c r="AN807" s="798"/>
      <c r="AO807" s="798"/>
      <c r="AP807" s="798"/>
      <c r="AQ807" s="798"/>
      <c r="AR807" s="798"/>
      <c r="AS807" s="798"/>
      <c r="AT807" s="798"/>
      <c r="AU807" s="798"/>
      <c r="AV807" s="798"/>
      <c r="AW807" s="798"/>
      <c r="AX807" s="798"/>
      <c r="AY807" s="798"/>
      <c r="AZ807" s="798"/>
      <c r="BA807" s="798"/>
      <c r="BB807" s="798"/>
      <c r="BC807" s="799"/>
      <c r="BD807" s="799"/>
      <c r="BE807" s="799"/>
      <c r="BF807" s="799"/>
      <c r="BG807" s="799"/>
      <c r="BH807" s="799"/>
      <c r="BI807" s="799"/>
      <c r="BJ807" s="799"/>
      <c r="BK807" s="799"/>
      <c r="BL807" s="799"/>
      <c r="BM807" s="799"/>
      <c r="BN807" s="799"/>
      <c r="BO807" s="799"/>
      <c r="BP807" s="799"/>
      <c r="BQ807" s="799"/>
    </row>
    <row r="808" spans="1:70" ht="49.5">
      <c r="A808" s="678"/>
      <c r="B808" s="3"/>
      <c r="C808" s="677"/>
      <c r="D808" s="677"/>
      <c r="E808" s="677"/>
      <c r="F808" s="677"/>
      <c r="G808" s="678"/>
      <c r="H808" s="678"/>
      <c r="I808" s="3" t="s">
        <v>1087</v>
      </c>
      <c r="J808" s="2" t="s">
        <v>2888</v>
      </c>
      <c r="K808" s="412">
        <v>2</v>
      </c>
      <c r="L808" s="679">
        <f>P808</f>
        <v>50412000</v>
      </c>
      <c r="M808" s="680">
        <v>0</v>
      </c>
      <c r="N808" s="681">
        <v>0</v>
      </c>
      <c r="O808" s="682">
        <v>1</v>
      </c>
      <c r="P808" s="683">
        <v>50412000</v>
      </c>
      <c r="Q808" s="1686">
        <v>0</v>
      </c>
      <c r="R808" s="687">
        <v>0</v>
      </c>
      <c r="S808" s="668"/>
      <c r="T808" s="685"/>
      <c r="U808" s="669"/>
      <c r="V808" s="686"/>
      <c r="W808" s="669"/>
      <c r="X808" s="687"/>
      <c r="Y808" s="651">
        <f t="shared" si="236"/>
        <v>0</v>
      </c>
      <c r="Z808" s="684">
        <f t="shared" si="237"/>
        <v>0</v>
      </c>
      <c r="AA808" s="680">
        <f t="shared" si="238"/>
        <v>0</v>
      </c>
      <c r="AB808" s="649">
        <f t="shared" si="239"/>
        <v>0</v>
      </c>
      <c r="AC808" s="688">
        <f t="shared" si="240"/>
        <v>0</v>
      </c>
      <c r="AD808" s="689">
        <f t="shared" si="241"/>
        <v>0</v>
      </c>
      <c r="AE808" s="656"/>
      <c r="AF808" s="798"/>
      <c r="AG808" s="798"/>
      <c r="AH808" s="798"/>
      <c r="AI808" s="798"/>
      <c r="AJ808" s="798"/>
      <c r="AK808" s="798"/>
      <c r="AL808" s="798"/>
      <c r="AM808" s="798"/>
      <c r="AN808" s="798"/>
      <c r="AO808" s="798"/>
      <c r="AP808" s="798"/>
      <c r="AQ808" s="798"/>
      <c r="AR808" s="798"/>
      <c r="AS808" s="798"/>
      <c r="AT808" s="798"/>
      <c r="AU808" s="798"/>
      <c r="AV808" s="798"/>
      <c r="AW808" s="798"/>
      <c r="AX808" s="798"/>
      <c r="AY808" s="798"/>
      <c r="AZ808" s="798"/>
      <c r="BA808" s="798"/>
      <c r="BB808" s="798"/>
      <c r="BC808" s="799"/>
      <c r="BD808" s="799"/>
      <c r="BE808" s="799"/>
      <c r="BF808" s="799"/>
      <c r="BG808" s="799"/>
      <c r="BH808" s="799"/>
      <c r="BI808" s="799"/>
      <c r="BJ808" s="799"/>
      <c r="BK808" s="799"/>
      <c r="BL808" s="799"/>
      <c r="BM808" s="799"/>
      <c r="BN808" s="799"/>
      <c r="BO808" s="799"/>
      <c r="BP808" s="799"/>
      <c r="BQ808" s="799"/>
    </row>
    <row r="809" spans="1:70" ht="33">
      <c r="A809" s="678"/>
      <c r="B809" s="3"/>
      <c r="C809" s="677"/>
      <c r="D809" s="677"/>
      <c r="E809" s="677"/>
      <c r="F809" s="677"/>
      <c r="G809" s="678"/>
      <c r="H809" s="678"/>
      <c r="I809" s="3" t="s">
        <v>83</v>
      </c>
      <c r="J809" s="2" t="s">
        <v>2779</v>
      </c>
      <c r="K809" s="412">
        <v>2</v>
      </c>
      <c r="L809" s="679">
        <v>100000000</v>
      </c>
      <c r="M809" s="680">
        <v>0</v>
      </c>
      <c r="N809" s="681">
        <v>0</v>
      </c>
      <c r="O809" s="682">
        <v>1</v>
      </c>
      <c r="P809" s="683">
        <v>50000000</v>
      </c>
      <c r="Q809" s="1686">
        <v>0</v>
      </c>
      <c r="R809" s="687">
        <v>0</v>
      </c>
      <c r="S809" s="668"/>
      <c r="T809" s="685"/>
      <c r="U809" s="669"/>
      <c r="V809" s="686"/>
      <c r="W809" s="669"/>
      <c r="X809" s="687"/>
      <c r="Y809" s="651">
        <f t="shared" si="236"/>
        <v>0</v>
      </c>
      <c r="Z809" s="684">
        <f t="shared" si="237"/>
        <v>0</v>
      </c>
      <c r="AA809" s="680">
        <f t="shared" si="238"/>
        <v>0</v>
      </c>
      <c r="AB809" s="649">
        <f t="shared" si="239"/>
        <v>0</v>
      </c>
      <c r="AC809" s="688">
        <f t="shared" si="240"/>
        <v>0</v>
      </c>
      <c r="AD809" s="689">
        <f t="shared" si="241"/>
        <v>0</v>
      </c>
      <c r="AE809" s="656"/>
      <c r="AF809" s="798"/>
      <c r="AG809" s="798"/>
      <c r="AH809" s="798"/>
      <c r="AI809" s="798"/>
      <c r="AJ809" s="798"/>
      <c r="AK809" s="798"/>
      <c r="AL809" s="798"/>
      <c r="AM809" s="798"/>
      <c r="AN809" s="798"/>
      <c r="AO809" s="798"/>
      <c r="AP809" s="798"/>
      <c r="AQ809" s="798"/>
      <c r="AR809" s="798"/>
      <c r="AS809" s="798"/>
      <c r="AT809" s="798"/>
      <c r="AU809" s="798"/>
      <c r="AV809" s="798"/>
      <c r="AW809" s="798"/>
      <c r="AX809" s="798"/>
      <c r="AY809" s="798"/>
      <c r="AZ809" s="798"/>
      <c r="BA809" s="798"/>
      <c r="BB809" s="798"/>
      <c r="BC809" s="799"/>
      <c r="BD809" s="799"/>
      <c r="BE809" s="799"/>
      <c r="BF809" s="799"/>
      <c r="BG809" s="799"/>
      <c r="BH809" s="799"/>
      <c r="BI809" s="799"/>
      <c r="BJ809" s="799"/>
      <c r="BK809" s="799"/>
      <c r="BL809" s="799"/>
      <c r="BM809" s="799"/>
      <c r="BN809" s="799"/>
      <c r="BO809" s="799"/>
      <c r="BP809" s="799"/>
      <c r="BQ809" s="799"/>
    </row>
    <row r="810" spans="1:70" s="16" customFormat="1" ht="66">
      <c r="A810" s="420">
        <v>3</v>
      </c>
      <c r="B810" s="43"/>
      <c r="C810" s="633" t="s">
        <v>41</v>
      </c>
      <c r="D810" s="633" t="s">
        <v>28</v>
      </c>
      <c r="E810" s="633" t="s">
        <v>56</v>
      </c>
      <c r="F810" s="420"/>
      <c r="G810" s="420"/>
      <c r="H810" s="420"/>
      <c r="I810" s="43" t="s">
        <v>1088</v>
      </c>
      <c r="J810" s="634" t="s">
        <v>1089</v>
      </c>
      <c r="K810" s="419">
        <v>100</v>
      </c>
      <c r="L810" s="635">
        <v>80000000</v>
      </c>
      <c r="M810" s="643">
        <v>84</v>
      </c>
      <c r="N810" s="636">
        <v>71851150</v>
      </c>
      <c r="O810" s="637">
        <v>5</v>
      </c>
      <c r="P810" s="638">
        <f>P811</f>
        <v>40000000</v>
      </c>
      <c r="Q810" s="639">
        <v>1</v>
      </c>
      <c r="R810" s="692">
        <f>R811</f>
        <v>9000000</v>
      </c>
      <c r="S810" s="43"/>
      <c r="T810" s="1008">
        <f>SUM(T811)</f>
        <v>3600000</v>
      </c>
      <c r="U810" s="1687"/>
      <c r="V810" s="642"/>
      <c r="W810" s="638"/>
      <c r="X810" s="641"/>
      <c r="Y810" s="639">
        <f t="shared" si="236"/>
        <v>1</v>
      </c>
      <c r="Z810" s="692">
        <f t="shared" si="237"/>
        <v>12600000</v>
      </c>
      <c r="AA810" s="643">
        <f t="shared" si="238"/>
        <v>85</v>
      </c>
      <c r="AB810" s="636">
        <f t="shared" si="239"/>
        <v>84451150</v>
      </c>
      <c r="AC810" s="643">
        <f t="shared" si="240"/>
        <v>85</v>
      </c>
      <c r="AD810" s="667">
        <f t="shared" si="241"/>
        <v>105.56393749999999</v>
      </c>
      <c r="AE810" s="1683" t="s">
        <v>2865</v>
      </c>
      <c r="AF810" s="796"/>
      <c r="AG810" s="796"/>
      <c r="AH810" s="796"/>
      <c r="AI810" s="796"/>
      <c r="AJ810" s="796"/>
      <c r="AK810" s="796"/>
      <c r="AL810" s="796"/>
      <c r="AM810" s="796"/>
      <c r="AN810" s="796"/>
      <c r="AO810" s="796"/>
      <c r="AP810" s="796"/>
      <c r="AQ810" s="796"/>
      <c r="AR810" s="796"/>
      <c r="AS810" s="796"/>
      <c r="AT810" s="796"/>
      <c r="AU810" s="796"/>
      <c r="AV810" s="796"/>
      <c r="AW810" s="796"/>
      <c r="AX810" s="796"/>
      <c r="AY810" s="796"/>
      <c r="AZ810" s="796"/>
      <c r="BA810" s="796"/>
      <c r="BB810" s="796"/>
      <c r="BC810" s="797"/>
      <c r="BD810" s="797"/>
      <c r="BE810" s="797"/>
      <c r="BF810" s="797"/>
      <c r="BG810" s="797"/>
      <c r="BH810" s="797"/>
      <c r="BI810" s="797"/>
      <c r="BJ810" s="797"/>
      <c r="BK810" s="797"/>
      <c r="BL810" s="797"/>
      <c r="BM810" s="797"/>
      <c r="BN810" s="797"/>
      <c r="BO810" s="797"/>
      <c r="BP810" s="797"/>
      <c r="BQ810" s="797"/>
      <c r="BR810" s="20"/>
    </row>
    <row r="811" spans="1:70" ht="33">
      <c r="A811" s="645"/>
      <c r="B811" s="4"/>
      <c r="C811" s="644" t="s">
        <v>41</v>
      </c>
      <c r="D811" s="644" t="s">
        <v>28</v>
      </c>
      <c r="E811" s="644" t="s">
        <v>56</v>
      </c>
      <c r="F811" s="644" t="s">
        <v>25</v>
      </c>
      <c r="G811" s="645"/>
      <c r="H811" s="645"/>
      <c r="I811" s="4" t="s">
        <v>628</v>
      </c>
      <c r="J811" s="5" t="s">
        <v>2889</v>
      </c>
      <c r="K811" s="646">
        <v>15</v>
      </c>
      <c r="L811" s="647">
        <v>80000000</v>
      </c>
      <c r="M811" s="646">
        <v>4</v>
      </c>
      <c r="N811" s="649">
        <v>18326700</v>
      </c>
      <c r="O811" s="661">
        <v>6</v>
      </c>
      <c r="P811" s="650">
        <v>40000000</v>
      </c>
      <c r="Q811" s="651">
        <v>3</v>
      </c>
      <c r="R811" s="652">
        <v>9000000</v>
      </c>
      <c r="S811" s="662"/>
      <c r="T811" s="2668">
        <f>12600000-R811</f>
        <v>3600000</v>
      </c>
      <c r="U811" s="653"/>
      <c r="V811" s="670"/>
      <c r="W811" s="697"/>
      <c r="X811" s="650"/>
      <c r="Y811" s="651">
        <f t="shared" si="236"/>
        <v>3</v>
      </c>
      <c r="Z811" s="652">
        <f t="shared" si="237"/>
        <v>12600000</v>
      </c>
      <c r="AA811" s="646">
        <f t="shared" si="238"/>
        <v>7</v>
      </c>
      <c r="AB811" s="649">
        <f t="shared" si="239"/>
        <v>30926700</v>
      </c>
      <c r="AC811" s="671">
        <f t="shared" si="240"/>
        <v>46.666666666666664</v>
      </c>
      <c r="AD811" s="672">
        <f t="shared" si="241"/>
        <v>38.658374999999999</v>
      </c>
      <c r="AE811" s="656"/>
      <c r="AF811" s="798"/>
      <c r="AG811" s="798"/>
      <c r="AH811" s="798"/>
      <c r="AI811" s="798"/>
      <c r="AJ811" s="798"/>
      <c r="AK811" s="798"/>
      <c r="AL811" s="798"/>
      <c r="AM811" s="798"/>
      <c r="AN811" s="798"/>
      <c r="AO811" s="798"/>
      <c r="AP811" s="798"/>
      <c r="AQ811" s="798"/>
      <c r="AR811" s="798"/>
      <c r="AS811" s="798"/>
      <c r="AT811" s="798"/>
      <c r="AU811" s="798"/>
      <c r="AV811" s="798"/>
      <c r="AW811" s="798"/>
      <c r="AX811" s="798"/>
      <c r="AY811" s="798"/>
      <c r="AZ811" s="798"/>
      <c r="BA811" s="798"/>
      <c r="BB811" s="798"/>
      <c r="BC811" s="799"/>
      <c r="BD811" s="799"/>
      <c r="BE811" s="799"/>
      <c r="BF811" s="799"/>
      <c r="BG811" s="799"/>
      <c r="BH811" s="799"/>
      <c r="BI811" s="799"/>
      <c r="BJ811" s="799"/>
      <c r="BK811" s="799"/>
      <c r="BL811" s="799"/>
      <c r="BM811" s="799"/>
      <c r="BN811" s="799"/>
      <c r="BO811" s="799"/>
      <c r="BP811" s="799"/>
      <c r="BQ811" s="799"/>
    </row>
    <row r="812" spans="1:70" s="22" customFormat="1" ht="82.5">
      <c r="A812" s="420">
        <v>4</v>
      </c>
      <c r="B812" s="43"/>
      <c r="C812" s="690" t="s">
        <v>41</v>
      </c>
      <c r="D812" s="690" t="s">
        <v>28</v>
      </c>
      <c r="E812" s="690" t="s">
        <v>56</v>
      </c>
      <c r="F812" s="691"/>
      <c r="G812" s="691"/>
      <c r="H812" s="691"/>
      <c r="I812" s="43" t="s">
        <v>1091</v>
      </c>
      <c r="J812" s="634" t="s">
        <v>1092</v>
      </c>
      <c r="K812" s="419">
        <v>100</v>
      </c>
      <c r="L812" s="635">
        <v>80000000</v>
      </c>
      <c r="M812" s="643">
        <v>84</v>
      </c>
      <c r="N812" s="636">
        <v>71851150</v>
      </c>
      <c r="O812" s="637">
        <v>2</v>
      </c>
      <c r="P812" s="638">
        <f>P814</f>
        <v>31470000</v>
      </c>
      <c r="Q812" s="639">
        <v>3</v>
      </c>
      <c r="R812" s="692">
        <f>R814</f>
        <v>0</v>
      </c>
      <c r="S812" s="693"/>
      <c r="T812" s="1008"/>
      <c r="U812" s="694"/>
      <c r="V812" s="642"/>
      <c r="W812" s="695"/>
      <c r="X812" s="641"/>
      <c r="Y812" s="639">
        <f t="shared" si="236"/>
        <v>3</v>
      </c>
      <c r="Z812" s="692">
        <f t="shared" si="237"/>
        <v>0</v>
      </c>
      <c r="AA812" s="643">
        <f t="shared" si="238"/>
        <v>87</v>
      </c>
      <c r="AB812" s="636">
        <f t="shared" si="239"/>
        <v>71851150</v>
      </c>
      <c r="AC812" s="643">
        <f t="shared" si="240"/>
        <v>87</v>
      </c>
      <c r="AD812" s="696">
        <f t="shared" si="241"/>
        <v>89.813937499999994</v>
      </c>
      <c r="AE812" s="1683" t="s">
        <v>2865</v>
      </c>
      <c r="AF812" s="798"/>
      <c r="AG812" s="798"/>
      <c r="AH812" s="798"/>
      <c r="AI812" s="798"/>
      <c r="AJ812" s="798"/>
      <c r="AK812" s="798"/>
      <c r="AL812" s="798"/>
      <c r="AM812" s="798"/>
      <c r="AN812" s="798"/>
      <c r="AO812" s="798"/>
      <c r="AP812" s="798"/>
      <c r="AQ812" s="798"/>
      <c r="AR812" s="798"/>
      <c r="AS812" s="798"/>
      <c r="AT812" s="798"/>
      <c r="AU812" s="798"/>
      <c r="AV812" s="798"/>
      <c r="AW812" s="798"/>
      <c r="AX812" s="798"/>
      <c r="AY812" s="798"/>
      <c r="AZ812" s="798"/>
      <c r="BA812" s="798"/>
      <c r="BB812" s="798"/>
      <c r="BC812" s="799"/>
      <c r="BD812" s="799"/>
      <c r="BE812" s="799"/>
      <c r="BF812" s="799"/>
      <c r="BG812" s="799"/>
      <c r="BH812" s="799"/>
      <c r="BI812" s="799"/>
      <c r="BJ812" s="799"/>
      <c r="BK812" s="799"/>
      <c r="BL812" s="799"/>
      <c r="BM812" s="799"/>
      <c r="BN812" s="799"/>
      <c r="BO812" s="799"/>
      <c r="BP812" s="799"/>
      <c r="BQ812" s="799"/>
      <c r="BR812" s="752"/>
    </row>
    <row r="813" spans="1:70" ht="66">
      <c r="A813" s="645"/>
      <c r="B813" s="4"/>
      <c r="C813" s="644" t="s">
        <v>41</v>
      </c>
      <c r="D813" s="644" t="s">
        <v>28</v>
      </c>
      <c r="E813" s="644" t="s">
        <v>56</v>
      </c>
      <c r="F813" s="644" t="s">
        <v>25</v>
      </c>
      <c r="G813" s="645"/>
      <c r="H813" s="645"/>
      <c r="I813" s="4" t="s">
        <v>1093</v>
      </c>
      <c r="J813" s="5" t="s">
        <v>1090</v>
      </c>
      <c r="K813" s="646">
        <v>20</v>
      </c>
      <c r="L813" s="647">
        <f>N813</f>
        <v>18326700</v>
      </c>
      <c r="M813" s="646">
        <v>20</v>
      </c>
      <c r="N813" s="649">
        <v>18326700</v>
      </c>
      <c r="O813" s="661"/>
      <c r="P813" s="650"/>
      <c r="Q813" s="651"/>
      <c r="R813" s="652"/>
      <c r="S813" s="662"/>
      <c r="T813" s="658"/>
      <c r="U813" s="653"/>
      <c r="V813" s="670"/>
      <c r="W813" s="697"/>
      <c r="X813" s="650"/>
      <c r="Y813" s="651">
        <f t="shared" si="236"/>
        <v>0</v>
      </c>
      <c r="Z813" s="652">
        <f t="shared" si="237"/>
        <v>0</v>
      </c>
      <c r="AA813" s="646">
        <f t="shared" si="238"/>
        <v>20</v>
      </c>
      <c r="AB813" s="649">
        <f t="shared" si="239"/>
        <v>18326700</v>
      </c>
      <c r="AC813" s="671">
        <f t="shared" si="240"/>
        <v>100</v>
      </c>
      <c r="AD813" s="672">
        <f t="shared" si="241"/>
        <v>100</v>
      </c>
      <c r="AE813" s="656"/>
      <c r="AF813" s="798"/>
      <c r="AG813" s="798"/>
      <c r="AH813" s="798"/>
      <c r="AI813" s="798"/>
      <c r="AJ813" s="798"/>
      <c r="AK813" s="798"/>
      <c r="AL813" s="798"/>
      <c r="AM813" s="798"/>
      <c r="AN813" s="798"/>
      <c r="AO813" s="798"/>
      <c r="AP813" s="798"/>
      <c r="AQ813" s="798"/>
      <c r="AR813" s="798"/>
      <c r="AS813" s="798"/>
      <c r="AT813" s="798"/>
      <c r="AU813" s="798"/>
      <c r="AV813" s="798"/>
      <c r="AW813" s="798"/>
      <c r="AX813" s="798"/>
      <c r="AY813" s="798"/>
      <c r="AZ813" s="798"/>
      <c r="BA813" s="798"/>
      <c r="BB813" s="798"/>
      <c r="BC813" s="799"/>
      <c r="BD813" s="799"/>
      <c r="BE813" s="799"/>
      <c r="BF813" s="799"/>
      <c r="BG813" s="799"/>
      <c r="BH813" s="799"/>
      <c r="BI813" s="799"/>
      <c r="BJ813" s="799"/>
      <c r="BK813" s="799"/>
      <c r="BL813" s="799"/>
      <c r="BM813" s="799"/>
      <c r="BN813" s="799"/>
      <c r="BO813" s="799"/>
      <c r="BP813" s="799"/>
      <c r="BQ813" s="799"/>
    </row>
    <row r="814" spans="1:70" ht="66">
      <c r="A814" s="645"/>
      <c r="B814" s="4"/>
      <c r="C814" s="644"/>
      <c r="D814" s="644"/>
      <c r="E814" s="644"/>
      <c r="F814" s="644"/>
      <c r="G814" s="645"/>
      <c r="H814" s="645"/>
      <c r="I814" s="4" t="s">
        <v>1094</v>
      </c>
      <c r="J814" s="5" t="s">
        <v>2890</v>
      </c>
      <c r="K814" s="646">
        <v>12</v>
      </c>
      <c r="L814" s="647">
        <f>3*P814</f>
        <v>94410000</v>
      </c>
      <c r="M814" s="646">
        <v>0</v>
      </c>
      <c r="N814" s="649">
        <v>0</v>
      </c>
      <c r="O814" s="661">
        <v>4</v>
      </c>
      <c r="P814" s="650">
        <v>31470000</v>
      </c>
      <c r="Q814" s="651">
        <v>1</v>
      </c>
      <c r="R814" s="652">
        <v>0</v>
      </c>
      <c r="S814" s="662"/>
      <c r="T814" s="658"/>
      <c r="U814" s="653"/>
      <c r="V814" s="670"/>
      <c r="W814" s="697"/>
      <c r="X814" s="650"/>
      <c r="Y814" s="651">
        <f t="shared" si="236"/>
        <v>1</v>
      </c>
      <c r="Z814" s="652">
        <f t="shared" si="237"/>
        <v>0</v>
      </c>
      <c r="AA814" s="646">
        <f t="shared" si="238"/>
        <v>1</v>
      </c>
      <c r="AB814" s="649">
        <f t="shared" si="239"/>
        <v>0</v>
      </c>
      <c r="AC814" s="671">
        <f t="shared" si="240"/>
        <v>8.3333333333333321</v>
      </c>
      <c r="AD814" s="672">
        <f t="shared" si="241"/>
        <v>0</v>
      </c>
      <c r="AE814" s="656"/>
      <c r="AF814" s="798"/>
      <c r="AG814" s="798"/>
      <c r="AH814" s="798"/>
      <c r="AI814" s="798"/>
      <c r="AJ814" s="798"/>
      <c r="AK814" s="798"/>
      <c r="AL814" s="798"/>
      <c r="AM814" s="798"/>
      <c r="AN814" s="798"/>
      <c r="AO814" s="798"/>
      <c r="AP814" s="798"/>
      <c r="AQ814" s="798"/>
      <c r="AR814" s="798"/>
      <c r="AS814" s="798"/>
      <c r="AT814" s="798"/>
      <c r="AU814" s="798"/>
      <c r="AV814" s="798"/>
      <c r="AW814" s="798"/>
      <c r="AX814" s="798"/>
      <c r="AY814" s="798"/>
      <c r="AZ814" s="798"/>
      <c r="BA814" s="798"/>
      <c r="BB814" s="798"/>
      <c r="BC814" s="799"/>
      <c r="BD814" s="799"/>
      <c r="BE814" s="799"/>
      <c r="BF814" s="799"/>
      <c r="BG814" s="799"/>
      <c r="BH814" s="799"/>
      <c r="BI814" s="799"/>
      <c r="BJ814" s="799"/>
      <c r="BK814" s="799"/>
      <c r="BL814" s="799"/>
      <c r="BM814" s="799"/>
      <c r="BN814" s="799"/>
      <c r="BO814" s="799"/>
      <c r="BP814" s="799"/>
      <c r="BQ814" s="799"/>
    </row>
    <row r="815" spans="1:70" s="22" customFormat="1" ht="99">
      <c r="A815" s="420">
        <v>5</v>
      </c>
      <c r="B815" s="698"/>
      <c r="C815" s="690" t="s">
        <v>41</v>
      </c>
      <c r="D815" s="690" t="s">
        <v>28</v>
      </c>
      <c r="E815" s="690" t="s">
        <v>38</v>
      </c>
      <c r="F815" s="690" t="s">
        <v>45</v>
      </c>
      <c r="G815" s="691"/>
      <c r="H815" s="691"/>
      <c r="I815" s="43" t="s">
        <v>1095</v>
      </c>
      <c r="J815" s="698" t="s">
        <v>1096</v>
      </c>
      <c r="K815" s="1009">
        <v>100</v>
      </c>
      <c r="L815" s="635">
        <v>450000000</v>
      </c>
      <c r="M815" s="643">
        <v>80</v>
      </c>
      <c r="N815" s="636">
        <v>235684051</v>
      </c>
      <c r="O815" s="1010">
        <v>20</v>
      </c>
      <c r="P815" s="638">
        <f>P816+P817</f>
        <v>105172500</v>
      </c>
      <c r="Q815" s="639">
        <v>5</v>
      </c>
      <c r="R815" s="692">
        <f>R816+R817</f>
        <v>7160250</v>
      </c>
      <c r="S815" s="43"/>
      <c r="T815" s="641">
        <f>SUM(T816:T817)</f>
        <v>20645929</v>
      </c>
      <c r="U815" s="699"/>
      <c r="V815" s="666"/>
      <c r="W815" s="420"/>
      <c r="X815" s="641"/>
      <c r="Y815" s="639">
        <f t="shared" si="236"/>
        <v>5</v>
      </c>
      <c r="Z815" s="692">
        <f t="shared" si="237"/>
        <v>27806179</v>
      </c>
      <c r="AA815" s="643">
        <f t="shared" si="238"/>
        <v>85</v>
      </c>
      <c r="AB815" s="636">
        <f t="shared" si="239"/>
        <v>263490230</v>
      </c>
      <c r="AC815" s="643">
        <f t="shared" si="240"/>
        <v>85</v>
      </c>
      <c r="AD815" s="667">
        <f t="shared" si="241"/>
        <v>58.553384444444447</v>
      </c>
      <c r="AE815" s="1683" t="s">
        <v>2865</v>
      </c>
      <c r="AF815" s="798"/>
      <c r="AG815" s="798"/>
      <c r="AH815" s="798"/>
      <c r="AI815" s="798"/>
      <c r="AJ815" s="798"/>
      <c r="AK815" s="798"/>
      <c r="AL815" s="798"/>
      <c r="AM815" s="798"/>
      <c r="AN815" s="798"/>
      <c r="AO815" s="798"/>
      <c r="AP815" s="798"/>
      <c r="AQ815" s="798"/>
      <c r="AR815" s="798"/>
      <c r="AS815" s="798"/>
      <c r="AT815" s="798"/>
      <c r="AU815" s="798"/>
      <c r="AV815" s="798"/>
      <c r="AW815" s="798"/>
      <c r="AX815" s="798"/>
      <c r="AY815" s="798"/>
      <c r="AZ815" s="798"/>
      <c r="BA815" s="798"/>
      <c r="BB815" s="798"/>
      <c r="BC815" s="799"/>
      <c r="BD815" s="799"/>
      <c r="BE815" s="799"/>
      <c r="BF815" s="799"/>
      <c r="BG815" s="799"/>
      <c r="BH815" s="799"/>
      <c r="BI815" s="799"/>
      <c r="BJ815" s="799"/>
      <c r="BK815" s="799"/>
      <c r="BL815" s="799"/>
      <c r="BM815" s="799"/>
      <c r="BN815" s="799"/>
      <c r="BO815" s="799"/>
      <c r="BP815" s="799"/>
      <c r="BQ815" s="799"/>
      <c r="BR815" s="752"/>
    </row>
    <row r="816" spans="1:70" ht="49.5">
      <c r="A816" s="645"/>
      <c r="B816" s="4"/>
      <c r="C816" s="644" t="s">
        <v>41</v>
      </c>
      <c r="D816" s="644" t="s">
        <v>28</v>
      </c>
      <c r="E816" s="644" t="s">
        <v>38</v>
      </c>
      <c r="F816" s="644" t="s">
        <v>48</v>
      </c>
      <c r="G816" s="645"/>
      <c r="H816" s="645"/>
      <c r="I816" s="700" t="s">
        <v>1097</v>
      </c>
      <c r="J816" s="5" t="s">
        <v>2891</v>
      </c>
      <c r="K816" s="646">
        <v>24</v>
      </c>
      <c r="L816" s="647">
        <v>150000000</v>
      </c>
      <c r="M816" s="646">
        <v>12</v>
      </c>
      <c r="N816" s="649">
        <v>150829201</v>
      </c>
      <c r="O816" s="661">
        <v>4</v>
      </c>
      <c r="P816" s="650">
        <v>59320000</v>
      </c>
      <c r="Q816" s="701">
        <v>1</v>
      </c>
      <c r="R816" s="702">
        <v>4000000</v>
      </c>
      <c r="S816" s="662"/>
      <c r="T816" s="658">
        <v>12150129</v>
      </c>
      <c r="U816" s="703"/>
      <c r="V816" s="670"/>
      <c r="W816" s="704"/>
      <c r="X816" s="658"/>
      <c r="Y816" s="701">
        <f t="shared" si="236"/>
        <v>1</v>
      </c>
      <c r="Z816" s="702">
        <f t="shared" si="237"/>
        <v>16150129</v>
      </c>
      <c r="AA816" s="646">
        <f t="shared" si="238"/>
        <v>13</v>
      </c>
      <c r="AB816" s="649">
        <f t="shared" si="239"/>
        <v>166979330</v>
      </c>
      <c r="AC816" s="671">
        <f t="shared" si="240"/>
        <v>54.166666666666664</v>
      </c>
      <c r="AD816" s="672">
        <f t="shared" si="241"/>
        <v>111.31955333333335</v>
      </c>
      <c r="AE816" s="656"/>
      <c r="AF816" s="798"/>
      <c r="AG816" s="798"/>
      <c r="AH816" s="798"/>
      <c r="AI816" s="798"/>
      <c r="AJ816" s="798"/>
      <c r="AK816" s="798"/>
      <c r="AL816" s="798"/>
      <c r="AM816" s="798"/>
      <c r="AN816" s="798"/>
      <c r="AO816" s="798"/>
      <c r="AP816" s="798"/>
      <c r="AQ816" s="798"/>
      <c r="AR816" s="798"/>
      <c r="AS816" s="798"/>
      <c r="AT816" s="798"/>
      <c r="AU816" s="798"/>
      <c r="AV816" s="798"/>
      <c r="AW816" s="798"/>
      <c r="AX816" s="798"/>
      <c r="AY816" s="798"/>
      <c r="AZ816" s="798"/>
      <c r="BA816" s="798"/>
      <c r="BB816" s="798"/>
      <c r="BC816" s="799"/>
      <c r="BD816" s="799"/>
      <c r="BE816" s="799"/>
      <c r="BF816" s="799"/>
      <c r="BG816" s="799"/>
      <c r="BH816" s="799"/>
      <c r="BI816" s="799"/>
      <c r="BJ816" s="799"/>
      <c r="BK816" s="799"/>
      <c r="BL816" s="799"/>
      <c r="BM816" s="799"/>
      <c r="BN816" s="799"/>
      <c r="BO816" s="799"/>
      <c r="BP816" s="799"/>
      <c r="BQ816" s="799"/>
    </row>
    <row r="817" spans="1:70" ht="66">
      <c r="A817" s="645"/>
      <c r="B817" s="4"/>
      <c r="C817" s="644" t="s">
        <v>41</v>
      </c>
      <c r="D817" s="644" t="s">
        <v>28</v>
      </c>
      <c r="E817" s="644" t="s">
        <v>38</v>
      </c>
      <c r="F817" s="644" t="s">
        <v>48</v>
      </c>
      <c r="G817" s="645"/>
      <c r="H817" s="645"/>
      <c r="I817" s="4" t="s">
        <v>1098</v>
      </c>
      <c r="J817" s="5" t="s">
        <v>2862</v>
      </c>
      <c r="K817" s="646">
        <v>300</v>
      </c>
      <c r="L817" s="647">
        <f>3*P817</f>
        <v>137557500</v>
      </c>
      <c r="M817" s="646">
        <v>0</v>
      </c>
      <c r="N817" s="649">
        <v>0</v>
      </c>
      <c r="O817" s="661">
        <v>100</v>
      </c>
      <c r="P817" s="650">
        <v>45852500</v>
      </c>
      <c r="Q817" s="707">
        <v>0</v>
      </c>
      <c r="R817" s="702">
        <v>3160250</v>
      </c>
      <c r="S817" s="671"/>
      <c r="T817" s="2669">
        <f>11656050-R817</f>
        <v>8495800</v>
      </c>
      <c r="U817" s="705"/>
      <c r="V817" s="670"/>
      <c r="W817" s="706"/>
      <c r="X817" s="658"/>
      <c r="Y817" s="707">
        <f t="shared" si="236"/>
        <v>0</v>
      </c>
      <c r="Z817" s="702">
        <f t="shared" si="237"/>
        <v>11656050</v>
      </c>
      <c r="AA817" s="646">
        <f t="shared" si="238"/>
        <v>0</v>
      </c>
      <c r="AB817" s="649">
        <f t="shared" si="239"/>
        <v>11656050</v>
      </c>
      <c r="AC817" s="671">
        <f t="shared" si="240"/>
        <v>0</v>
      </c>
      <c r="AD817" s="672">
        <f t="shared" si="241"/>
        <v>8.4735837740581221</v>
      </c>
      <c r="AE817" s="656"/>
      <c r="AF817" s="798"/>
      <c r="AG817" s="798"/>
      <c r="AH817" s="798"/>
      <c r="AI817" s="798"/>
      <c r="AJ817" s="798"/>
      <c r="AK817" s="798"/>
      <c r="AL817" s="798"/>
      <c r="AM817" s="798"/>
      <c r="AN817" s="798"/>
      <c r="AO817" s="798"/>
      <c r="AP817" s="798"/>
      <c r="AQ817" s="798"/>
      <c r="AR817" s="798"/>
      <c r="AS817" s="798"/>
      <c r="AT817" s="798"/>
      <c r="AU817" s="798"/>
      <c r="AV817" s="798"/>
      <c r="AW817" s="798"/>
      <c r="AX817" s="798"/>
      <c r="AY817" s="798"/>
      <c r="AZ817" s="798"/>
      <c r="BA817" s="798"/>
      <c r="BB817" s="798"/>
      <c r="BC817" s="799"/>
      <c r="BD817" s="799"/>
      <c r="BE817" s="799"/>
      <c r="BF817" s="799"/>
      <c r="BG817" s="799"/>
      <c r="BH817" s="799"/>
      <c r="BI817" s="799"/>
      <c r="BJ817" s="799"/>
      <c r="BK817" s="799"/>
      <c r="BL817" s="799"/>
      <c r="BM817" s="799"/>
      <c r="BN817" s="799"/>
      <c r="BO817" s="799"/>
      <c r="BP817" s="799"/>
      <c r="BQ817" s="799"/>
    </row>
    <row r="818" spans="1:70" s="22" customFormat="1" ht="49.5">
      <c r="A818" s="1688">
        <v>6</v>
      </c>
      <c r="B818" s="1689"/>
      <c r="C818" s="1690" t="s">
        <v>41</v>
      </c>
      <c r="D818" s="1690" t="s">
        <v>28</v>
      </c>
      <c r="E818" s="1690" t="s">
        <v>38</v>
      </c>
      <c r="F818" s="1690" t="s">
        <v>42</v>
      </c>
      <c r="G818" s="1688"/>
      <c r="H818" s="1688"/>
      <c r="I818" s="2900" t="s">
        <v>2892</v>
      </c>
      <c r="J818" s="634" t="s">
        <v>2688</v>
      </c>
      <c r="K818" s="708" t="s">
        <v>2689</v>
      </c>
      <c r="L818" s="635">
        <v>4374855280</v>
      </c>
      <c r="M818" s="708" t="s">
        <v>2689</v>
      </c>
      <c r="N818" s="636">
        <v>3252591328</v>
      </c>
      <c r="O818" s="708" t="s">
        <v>2689</v>
      </c>
      <c r="P818" s="638">
        <f>P820+P821+P823+P824+P825+P826+P827+P828</f>
        <v>858744100</v>
      </c>
      <c r="Q818" s="708" t="s">
        <v>2689</v>
      </c>
      <c r="R818" s="638">
        <f>R820+R821+R823+R824+R825+R826+R827+R828</f>
        <v>122698596</v>
      </c>
      <c r="S818" s="709"/>
      <c r="T818" s="641">
        <f>SUM(T820:T828)</f>
        <v>330013827</v>
      </c>
      <c r="U818" s="710"/>
      <c r="V818" s="666"/>
      <c r="W818" s="420"/>
      <c r="X818" s="641"/>
      <c r="Y818" s="708" t="s">
        <v>2689</v>
      </c>
      <c r="Z818" s="638">
        <f>Z820+Z821+Z823+Z824+Z825+Z826+Z827+Z828</f>
        <v>452712423</v>
      </c>
      <c r="AA818" s="708" t="s">
        <v>2689</v>
      </c>
      <c r="AB818" s="636">
        <f>Z818+N818</f>
        <v>3705303751</v>
      </c>
      <c r="AC818" s="1685">
        <v>100</v>
      </c>
      <c r="AD818" s="667">
        <v>74.347403967154762</v>
      </c>
      <c r="AE818" s="1683" t="s">
        <v>2865</v>
      </c>
      <c r="AF818" s="798"/>
      <c r="AG818" s="798"/>
      <c r="AH818" s="798"/>
      <c r="AI818" s="798"/>
      <c r="AJ818" s="798"/>
      <c r="AK818" s="798"/>
      <c r="AL818" s="798"/>
      <c r="AM818" s="798"/>
      <c r="AN818" s="798"/>
      <c r="AO818" s="798"/>
      <c r="AP818" s="798"/>
      <c r="AQ818" s="798"/>
      <c r="AR818" s="798"/>
      <c r="AS818" s="798"/>
      <c r="AT818" s="798"/>
      <c r="AU818" s="798"/>
      <c r="AV818" s="798"/>
      <c r="AW818" s="798"/>
      <c r="AX818" s="798"/>
      <c r="AY818" s="798"/>
      <c r="AZ818" s="798"/>
      <c r="BA818" s="798"/>
      <c r="BB818" s="798"/>
      <c r="BC818" s="799"/>
      <c r="BD818" s="799"/>
      <c r="BE818" s="799"/>
      <c r="BF818" s="799"/>
      <c r="BG818" s="799"/>
      <c r="BH818" s="799"/>
      <c r="BI818" s="799"/>
      <c r="BJ818" s="799"/>
      <c r="BK818" s="799"/>
      <c r="BL818" s="799"/>
      <c r="BM818" s="799"/>
      <c r="BN818" s="799"/>
      <c r="BO818" s="799"/>
      <c r="BP818" s="799"/>
      <c r="BQ818" s="799"/>
      <c r="BR818" s="752"/>
    </row>
    <row r="819" spans="1:70" s="22" customFormat="1" ht="54" customHeight="1">
      <c r="A819" s="1692"/>
      <c r="B819" s="1693"/>
      <c r="C819" s="1694"/>
      <c r="D819" s="1694"/>
      <c r="E819" s="1694"/>
      <c r="F819" s="1694"/>
      <c r="G819" s="1692"/>
      <c r="H819" s="1692"/>
      <c r="I819" s="2901"/>
      <c r="J819" s="634" t="s">
        <v>2893</v>
      </c>
      <c r="K819" s="708" t="s">
        <v>2894</v>
      </c>
      <c r="L819" s="635"/>
      <c r="M819" s="708" t="s">
        <v>2894</v>
      </c>
      <c r="N819" s="636"/>
      <c r="O819" s="708" t="s">
        <v>2894</v>
      </c>
      <c r="P819" s="638"/>
      <c r="Q819" s="708" t="s">
        <v>2894</v>
      </c>
      <c r="R819" s="638"/>
      <c r="S819" s="709"/>
      <c r="T819" s="641"/>
      <c r="U819" s="710"/>
      <c r="V819" s="666"/>
      <c r="W819" s="420"/>
      <c r="X819" s="641"/>
      <c r="Y819" s="708" t="s">
        <v>2894</v>
      </c>
      <c r="Z819" s="638"/>
      <c r="AA819" s="708" t="s">
        <v>2894</v>
      </c>
      <c r="AB819" s="636"/>
      <c r="AC819" s="1685">
        <v>100</v>
      </c>
      <c r="AD819" s="667"/>
      <c r="AE819" s="1683"/>
      <c r="AF819" s="798"/>
      <c r="AG819" s="798"/>
      <c r="AH819" s="798"/>
      <c r="AI819" s="798"/>
      <c r="AJ819" s="798"/>
      <c r="AK819" s="798"/>
      <c r="AL819" s="798"/>
      <c r="AM819" s="798"/>
      <c r="AN819" s="798"/>
      <c r="AO819" s="798"/>
      <c r="AP819" s="798"/>
      <c r="AQ819" s="798"/>
      <c r="AR819" s="798"/>
      <c r="AS819" s="798"/>
      <c r="AT819" s="798"/>
      <c r="AU819" s="798"/>
      <c r="AV819" s="798"/>
      <c r="AW819" s="798"/>
      <c r="AX819" s="798"/>
      <c r="AY819" s="798"/>
      <c r="AZ819" s="798"/>
      <c r="BA819" s="798"/>
      <c r="BB819" s="798"/>
      <c r="BC819" s="799"/>
      <c r="BD819" s="799"/>
      <c r="BE819" s="799"/>
      <c r="BF819" s="799"/>
      <c r="BG819" s="799"/>
      <c r="BH819" s="799"/>
      <c r="BI819" s="799"/>
      <c r="BJ819" s="799"/>
      <c r="BK819" s="799"/>
      <c r="BL819" s="799"/>
      <c r="BM819" s="799"/>
      <c r="BN819" s="799"/>
      <c r="BO819" s="799"/>
      <c r="BP819" s="799"/>
      <c r="BQ819" s="799"/>
      <c r="BR819" s="752"/>
    </row>
    <row r="820" spans="1:70" ht="82.5">
      <c r="A820" s="678"/>
      <c r="B820" s="3"/>
      <c r="C820" s="677" t="s">
        <v>41</v>
      </c>
      <c r="D820" s="677" t="s">
        <v>28</v>
      </c>
      <c r="E820" s="677" t="s">
        <v>38</v>
      </c>
      <c r="F820" s="677" t="s">
        <v>42</v>
      </c>
      <c r="G820" s="677" t="s">
        <v>25</v>
      </c>
      <c r="H820" s="678"/>
      <c r="I820" s="3" t="s">
        <v>2895</v>
      </c>
      <c r="J820" s="2" t="s">
        <v>2896</v>
      </c>
      <c r="K820" s="412">
        <v>6</v>
      </c>
      <c r="L820" s="679">
        <v>500000000</v>
      </c>
      <c r="M820" s="412">
        <v>3</v>
      </c>
      <c r="N820" s="681">
        <v>701970134</v>
      </c>
      <c r="O820" s="682">
        <v>1</v>
      </c>
      <c r="P820" s="683">
        <v>62655000</v>
      </c>
      <c r="Q820" s="711">
        <v>0</v>
      </c>
      <c r="R820" s="684">
        <v>8089112</v>
      </c>
      <c r="S820" s="662"/>
      <c r="T820" s="658">
        <v>9969650</v>
      </c>
      <c r="U820" s="712"/>
      <c r="V820" s="686"/>
      <c r="W820" s="706"/>
      <c r="X820" s="685"/>
      <c r="Y820" s="711">
        <f t="shared" ref="Y820:Y828" si="243">Q820+S820+U820+W820</f>
        <v>0</v>
      </c>
      <c r="Z820" s="684">
        <f t="shared" ref="Z820:Z828" si="244">R820+T820+V820+X820</f>
        <v>18058762</v>
      </c>
      <c r="AA820" s="412">
        <f t="shared" ref="AA820:AA828" si="245">M820+Y820</f>
        <v>3</v>
      </c>
      <c r="AB820" s="649">
        <f t="shared" ref="AB820:AB828" si="246">N820+Z820</f>
        <v>720028896</v>
      </c>
      <c r="AC820" s="688">
        <f t="shared" ref="AC820:AC828" si="247">(AA820/K820)*100</f>
        <v>50</v>
      </c>
      <c r="AD820" s="689">
        <f t="shared" ref="AD820:AD828" si="248">(AB820/L820)*100</f>
        <v>144.00577920000001</v>
      </c>
      <c r="AE820" s="656"/>
      <c r="AF820" s="798"/>
      <c r="AG820" s="798"/>
      <c r="AH820" s="798"/>
      <c r="AI820" s="798"/>
      <c r="AJ820" s="798"/>
      <c r="AK820" s="798"/>
      <c r="AL820" s="798"/>
      <c r="AM820" s="798"/>
      <c r="AN820" s="798"/>
      <c r="AO820" s="798"/>
      <c r="AP820" s="798"/>
      <c r="AQ820" s="798"/>
      <c r="AR820" s="798"/>
      <c r="AS820" s="798"/>
      <c r="AT820" s="798"/>
      <c r="AU820" s="798"/>
      <c r="AV820" s="798"/>
      <c r="AW820" s="798"/>
      <c r="AX820" s="798"/>
      <c r="AY820" s="798"/>
      <c r="AZ820" s="798"/>
      <c r="BA820" s="798"/>
      <c r="BB820" s="798"/>
      <c r="BC820" s="799"/>
      <c r="BD820" s="799"/>
      <c r="BE820" s="799"/>
      <c r="BF820" s="799"/>
      <c r="BG820" s="799"/>
      <c r="BH820" s="799"/>
      <c r="BI820" s="799"/>
      <c r="BJ820" s="799"/>
      <c r="BK820" s="799"/>
      <c r="BL820" s="799"/>
      <c r="BM820" s="799"/>
      <c r="BN820" s="799"/>
      <c r="BO820" s="799"/>
      <c r="BP820" s="799"/>
      <c r="BQ820" s="799"/>
    </row>
    <row r="821" spans="1:70" ht="49.5">
      <c r="A821" s="645"/>
      <c r="B821" s="4"/>
      <c r="C821" s="644" t="s">
        <v>41</v>
      </c>
      <c r="D821" s="644" t="s">
        <v>28</v>
      </c>
      <c r="E821" s="644" t="s">
        <v>38</v>
      </c>
      <c r="F821" s="644" t="s">
        <v>42</v>
      </c>
      <c r="G821" s="644" t="s">
        <v>78</v>
      </c>
      <c r="H821" s="645"/>
      <c r="I821" s="4" t="s">
        <v>1099</v>
      </c>
      <c r="J821" s="5" t="s">
        <v>1100</v>
      </c>
      <c r="K821" s="646">
        <v>6</v>
      </c>
      <c r="L821" s="647">
        <v>250000000</v>
      </c>
      <c r="M821" s="648">
        <v>3</v>
      </c>
      <c r="N821" s="649">
        <v>237589696</v>
      </c>
      <c r="O821" s="661">
        <v>1</v>
      </c>
      <c r="P821" s="650">
        <v>96192400</v>
      </c>
      <c r="Q821" s="701">
        <v>0</v>
      </c>
      <c r="R821" s="652">
        <v>2062484</v>
      </c>
      <c r="S821" s="703"/>
      <c r="T821" s="658">
        <v>52144200</v>
      </c>
      <c r="U821" s="703"/>
      <c r="V821" s="670"/>
      <c r="W821" s="706"/>
      <c r="X821" s="658"/>
      <c r="Y821" s="701">
        <f t="shared" si="243"/>
        <v>0</v>
      </c>
      <c r="Z821" s="652">
        <f t="shared" si="244"/>
        <v>54206684</v>
      </c>
      <c r="AA821" s="648">
        <f t="shared" si="245"/>
        <v>3</v>
      </c>
      <c r="AB821" s="649">
        <f t="shared" si="246"/>
        <v>291796380</v>
      </c>
      <c r="AC821" s="671">
        <f t="shared" si="247"/>
        <v>50</v>
      </c>
      <c r="AD821" s="672">
        <f t="shared" si="248"/>
        <v>116.718552</v>
      </c>
      <c r="AE821" s="656"/>
      <c r="AF821" s="798"/>
      <c r="AG821" s="798"/>
      <c r="AH821" s="798"/>
      <c r="AI821" s="798"/>
      <c r="AJ821" s="798"/>
      <c r="AK821" s="798"/>
      <c r="AL821" s="798"/>
      <c r="AM821" s="798"/>
      <c r="AN821" s="798"/>
      <c r="AO821" s="798"/>
      <c r="AP821" s="798"/>
      <c r="AQ821" s="798"/>
      <c r="AR821" s="798"/>
      <c r="AS821" s="798"/>
      <c r="AT821" s="798"/>
      <c r="AU821" s="798"/>
      <c r="AV821" s="798"/>
      <c r="AW821" s="798"/>
      <c r="AX821" s="798"/>
      <c r="AY821" s="798"/>
      <c r="AZ821" s="798"/>
      <c r="BA821" s="798"/>
      <c r="BB821" s="798"/>
      <c r="BC821" s="799"/>
      <c r="BD821" s="799"/>
      <c r="BE821" s="799"/>
      <c r="BF821" s="799"/>
      <c r="BG821" s="799"/>
      <c r="BH821" s="799"/>
      <c r="BI821" s="799"/>
      <c r="BJ821" s="799"/>
      <c r="BK821" s="799"/>
      <c r="BL821" s="799"/>
      <c r="BM821" s="799"/>
      <c r="BN821" s="799"/>
      <c r="BO821" s="799"/>
      <c r="BP821" s="799"/>
      <c r="BQ821" s="799"/>
    </row>
    <row r="822" spans="1:70" ht="57.75" customHeight="1">
      <c r="A822" s="645"/>
      <c r="B822" s="4"/>
      <c r="C822" s="644" t="s">
        <v>41</v>
      </c>
      <c r="D822" s="644" t="s">
        <v>28</v>
      </c>
      <c r="E822" s="644" t="s">
        <v>38</v>
      </c>
      <c r="F822" s="644" t="s">
        <v>42</v>
      </c>
      <c r="G822" s="644" t="s">
        <v>61</v>
      </c>
      <c r="H822" s="645"/>
      <c r="I822" s="4" t="s">
        <v>1101</v>
      </c>
      <c r="J822" s="5" t="s">
        <v>2897</v>
      </c>
      <c r="K822" s="646">
        <v>1</v>
      </c>
      <c r="L822" s="647">
        <v>150000000</v>
      </c>
      <c r="M822" s="647">
        <v>1</v>
      </c>
      <c r="N822" s="649">
        <v>110960700</v>
      </c>
      <c r="O822" s="1696">
        <v>0</v>
      </c>
      <c r="P822" s="697">
        <v>0</v>
      </c>
      <c r="Q822" s="1686">
        <v>0</v>
      </c>
      <c r="R822" s="1697">
        <v>0</v>
      </c>
      <c r="S822" s="662"/>
      <c r="T822" s="713"/>
      <c r="U822" s="703"/>
      <c r="V822" s="670"/>
      <c r="W822" s="706"/>
      <c r="X822" s="658"/>
      <c r="Y822" s="651">
        <f t="shared" si="243"/>
        <v>0</v>
      </c>
      <c r="Z822" s="702">
        <f t="shared" si="244"/>
        <v>0</v>
      </c>
      <c r="AA822" s="647">
        <f t="shared" si="245"/>
        <v>1</v>
      </c>
      <c r="AB822" s="649">
        <f t="shared" si="246"/>
        <v>110960700</v>
      </c>
      <c r="AC822" s="671">
        <f t="shared" si="247"/>
        <v>100</v>
      </c>
      <c r="AD822" s="672">
        <f t="shared" si="248"/>
        <v>73.973799999999997</v>
      </c>
      <c r="AE822" s="656"/>
      <c r="AF822" s="798"/>
      <c r="AG822" s="798"/>
      <c r="AH822" s="798"/>
      <c r="AI822" s="798"/>
      <c r="AJ822" s="798"/>
      <c r="AK822" s="798"/>
      <c r="AL822" s="798"/>
      <c r="AM822" s="798"/>
      <c r="AN822" s="798"/>
      <c r="AO822" s="798"/>
      <c r="AP822" s="798"/>
      <c r="AQ822" s="798"/>
      <c r="AR822" s="798"/>
      <c r="AS822" s="798"/>
      <c r="AT822" s="798"/>
      <c r="AU822" s="798"/>
      <c r="AV822" s="798"/>
      <c r="AW822" s="798"/>
      <c r="AX822" s="798"/>
      <c r="AY822" s="798"/>
      <c r="AZ822" s="798"/>
      <c r="BA822" s="798"/>
      <c r="BB822" s="798"/>
      <c r="BC822" s="799"/>
      <c r="BD822" s="799"/>
      <c r="BE822" s="799"/>
      <c r="BF822" s="799"/>
      <c r="BG822" s="799"/>
      <c r="BH822" s="799"/>
      <c r="BI822" s="799"/>
      <c r="BJ822" s="799"/>
      <c r="BK822" s="799"/>
      <c r="BL822" s="799"/>
      <c r="BM822" s="799"/>
      <c r="BN822" s="799"/>
      <c r="BO822" s="799"/>
      <c r="BP822" s="799"/>
      <c r="BQ822" s="799"/>
    </row>
    <row r="823" spans="1:70" ht="49.5">
      <c r="A823" s="645"/>
      <c r="B823" s="4"/>
      <c r="C823" s="644" t="s">
        <v>41</v>
      </c>
      <c r="D823" s="644" t="s">
        <v>28</v>
      </c>
      <c r="E823" s="644" t="s">
        <v>38</v>
      </c>
      <c r="F823" s="644" t="s">
        <v>42</v>
      </c>
      <c r="G823" s="644" t="s">
        <v>84</v>
      </c>
      <c r="H823" s="645"/>
      <c r="I823" s="4" t="s">
        <v>1102</v>
      </c>
      <c r="J823" s="5" t="s">
        <v>2898</v>
      </c>
      <c r="K823" s="646">
        <v>1</v>
      </c>
      <c r="L823" s="647">
        <f>P823</f>
        <v>13314000</v>
      </c>
      <c r="M823" s="647">
        <v>0</v>
      </c>
      <c r="N823" s="649">
        <v>0</v>
      </c>
      <c r="O823" s="661">
        <v>1</v>
      </c>
      <c r="P823" s="650">
        <v>13314000</v>
      </c>
      <c r="Q823" s="651">
        <v>0</v>
      </c>
      <c r="R823" s="702">
        <v>3097050</v>
      </c>
      <c r="S823" s="662"/>
      <c r="T823" s="713">
        <v>5517000</v>
      </c>
      <c r="U823" s="703"/>
      <c r="V823" s="670"/>
      <c r="W823" s="706"/>
      <c r="X823" s="658"/>
      <c r="Y823" s="651">
        <f t="shared" si="243"/>
        <v>0</v>
      </c>
      <c r="Z823" s="702">
        <f t="shared" si="244"/>
        <v>8614050</v>
      </c>
      <c r="AA823" s="647">
        <f t="shared" si="245"/>
        <v>0</v>
      </c>
      <c r="AB823" s="649">
        <f t="shared" si="246"/>
        <v>8614050</v>
      </c>
      <c r="AC823" s="671">
        <f t="shared" si="247"/>
        <v>0</v>
      </c>
      <c r="AD823" s="672">
        <f t="shared" si="248"/>
        <v>64.699188823794501</v>
      </c>
      <c r="AE823" s="656"/>
      <c r="AF823" s="798"/>
      <c r="AG823" s="798"/>
      <c r="AH823" s="798"/>
      <c r="AI823" s="798"/>
      <c r="AJ823" s="798"/>
      <c r="AK823" s="798"/>
      <c r="AL823" s="798"/>
      <c r="AM823" s="798"/>
      <c r="AN823" s="798"/>
      <c r="AO823" s="798"/>
      <c r="AP823" s="798"/>
      <c r="AQ823" s="798"/>
      <c r="AR823" s="798"/>
      <c r="AS823" s="798"/>
      <c r="AT823" s="798"/>
      <c r="AU823" s="798"/>
      <c r="AV823" s="798"/>
      <c r="AW823" s="798"/>
      <c r="AX823" s="798"/>
      <c r="AY823" s="798"/>
      <c r="AZ823" s="798"/>
      <c r="BA823" s="798"/>
      <c r="BB823" s="798"/>
      <c r="BC823" s="799"/>
      <c r="BD823" s="799"/>
      <c r="BE823" s="799"/>
      <c r="BF823" s="799"/>
      <c r="BG823" s="799"/>
      <c r="BH823" s="799"/>
      <c r="BI823" s="799"/>
      <c r="BJ823" s="799"/>
      <c r="BK823" s="799"/>
      <c r="BL823" s="799"/>
      <c r="BM823" s="799"/>
      <c r="BN823" s="799"/>
      <c r="BO823" s="799"/>
      <c r="BP823" s="799"/>
      <c r="BQ823" s="799"/>
    </row>
    <row r="824" spans="1:70" ht="49.5">
      <c r="A824" s="645"/>
      <c r="B824" s="4"/>
      <c r="C824" s="644" t="s">
        <v>41</v>
      </c>
      <c r="D824" s="644" t="s">
        <v>28</v>
      </c>
      <c r="E824" s="644" t="s">
        <v>38</v>
      </c>
      <c r="F824" s="644" t="s">
        <v>42</v>
      </c>
      <c r="G824" s="644" t="s">
        <v>48</v>
      </c>
      <c r="H824" s="645"/>
      <c r="I824" s="4" t="s">
        <v>1103</v>
      </c>
      <c r="J824" s="5" t="s">
        <v>2899</v>
      </c>
      <c r="K824" s="646">
        <v>6</v>
      </c>
      <c r="L824" s="647">
        <v>200000000</v>
      </c>
      <c r="M824" s="646">
        <v>3</v>
      </c>
      <c r="N824" s="649">
        <v>135116000</v>
      </c>
      <c r="O824" s="661">
        <v>1</v>
      </c>
      <c r="P824" s="650">
        <v>82020000</v>
      </c>
      <c r="Q824" s="701">
        <v>0</v>
      </c>
      <c r="R824" s="702">
        <v>12200000</v>
      </c>
      <c r="S824" s="703"/>
      <c r="T824" s="658">
        <v>38652000</v>
      </c>
      <c r="U824" s="703"/>
      <c r="V824" s="670"/>
      <c r="W824" s="706"/>
      <c r="X824" s="658"/>
      <c r="Y824" s="701">
        <f t="shared" si="243"/>
        <v>0</v>
      </c>
      <c r="Z824" s="702">
        <f t="shared" si="244"/>
        <v>50852000</v>
      </c>
      <c r="AA824" s="646">
        <f t="shared" si="245"/>
        <v>3</v>
      </c>
      <c r="AB824" s="649">
        <f t="shared" si="246"/>
        <v>185968000</v>
      </c>
      <c r="AC824" s="671">
        <f t="shared" si="247"/>
        <v>50</v>
      </c>
      <c r="AD824" s="672">
        <f t="shared" si="248"/>
        <v>92.983999999999995</v>
      </c>
      <c r="AE824" s="656"/>
      <c r="AF824" s="798"/>
      <c r="AG824" s="798"/>
      <c r="AH824" s="798"/>
      <c r="AI824" s="798"/>
      <c r="AJ824" s="798"/>
      <c r="AK824" s="798"/>
      <c r="AL824" s="798"/>
      <c r="AM824" s="798"/>
      <c r="AN824" s="798"/>
      <c r="AO824" s="798"/>
      <c r="AP824" s="798"/>
      <c r="AQ824" s="798"/>
      <c r="AR824" s="798"/>
      <c r="AS824" s="798"/>
      <c r="AT824" s="798"/>
      <c r="AU824" s="798"/>
      <c r="AV824" s="798"/>
      <c r="AW824" s="798"/>
      <c r="AX824" s="798"/>
      <c r="AY824" s="798"/>
      <c r="AZ824" s="798"/>
      <c r="BA824" s="798"/>
      <c r="BB824" s="798"/>
      <c r="BC824" s="799"/>
      <c r="BD824" s="799"/>
      <c r="BE824" s="799"/>
      <c r="BF824" s="799"/>
      <c r="BG824" s="799"/>
      <c r="BH824" s="799"/>
      <c r="BI824" s="799"/>
      <c r="BJ824" s="799"/>
      <c r="BK824" s="799"/>
      <c r="BL824" s="799"/>
      <c r="BM824" s="799"/>
      <c r="BN824" s="799"/>
      <c r="BO824" s="799"/>
      <c r="BP824" s="799"/>
      <c r="BQ824" s="799"/>
    </row>
    <row r="825" spans="1:70" ht="82.5">
      <c r="A825" s="645"/>
      <c r="B825" s="4"/>
      <c r="C825" s="644" t="s">
        <v>41</v>
      </c>
      <c r="D825" s="644" t="s">
        <v>28</v>
      </c>
      <c r="E825" s="644" t="s">
        <v>38</v>
      </c>
      <c r="F825" s="644" t="s">
        <v>42</v>
      </c>
      <c r="G825" s="644" t="s">
        <v>50</v>
      </c>
      <c r="H825" s="645"/>
      <c r="I825" s="4" t="s">
        <v>1104</v>
      </c>
      <c r="J825" s="5" t="s">
        <v>2900</v>
      </c>
      <c r="K825" s="646">
        <v>60</v>
      </c>
      <c r="L825" s="647">
        <f>2*N825</f>
        <v>729566112</v>
      </c>
      <c r="M825" s="646">
        <v>24</v>
      </c>
      <c r="N825" s="649">
        <v>364783056</v>
      </c>
      <c r="O825" s="661">
        <v>12</v>
      </c>
      <c r="P825" s="650">
        <v>383930500</v>
      </c>
      <c r="Q825" s="701">
        <v>3</v>
      </c>
      <c r="R825" s="652">
        <v>64888000</v>
      </c>
      <c r="S825" s="4"/>
      <c r="T825" s="660">
        <v>179484877</v>
      </c>
      <c r="U825" s="703"/>
      <c r="V825" s="676"/>
      <c r="W825" s="706"/>
      <c r="X825" s="660"/>
      <c r="Y825" s="701">
        <f t="shared" si="243"/>
        <v>3</v>
      </c>
      <c r="Z825" s="652">
        <f t="shared" si="244"/>
        <v>244372877</v>
      </c>
      <c r="AA825" s="646">
        <f t="shared" si="245"/>
        <v>27</v>
      </c>
      <c r="AB825" s="649">
        <f t="shared" si="246"/>
        <v>609155933</v>
      </c>
      <c r="AC825" s="671">
        <f t="shared" si="247"/>
        <v>45</v>
      </c>
      <c r="AD825" s="672">
        <f t="shared" si="248"/>
        <v>83.495645285673575</v>
      </c>
      <c r="AE825" s="656"/>
      <c r="AF825" s="798"/>
      <c r="AG825" s="798"/>
      <c r="AH825" s="798"/>
      <c r="AI825" s="798"/>
      <c r="AJ825" s="798"/>
      <c r="AK825" s="798"/>
      <c r="AL825" s="798"/>
      <c r="AM825" s="798"/>
      <c r="AN825" s="798"/>
      <c r="AO825" s="798"/>
      <c r="AP825" s="798"/>
      <c r="AQ825" s="798"/>
      <c r="AR825" s="798"/>
      <c r="AS825" s="798"/>
      <c r="AT825" s="798"/>
      <c r="AU825" s="798"/>
      <c r="AV825" s="798"/>
      <c r="AW825" s="798"/>
      <c r="AX825" s="798"/>
      <c r="AY825" s="798"/>
      <c r="AZ825" s="798"/>
      <c r="BA825" s="798"/>
      <c r="BB825" s="798"/>
      <c r="BC825" s="799"/>
      <c r="BD825" s="799"/>
      <c r="BE825" s="799"/>
      <c r="BF825" s="799"/>
      <c r="BG825" s="799"/>
      <c r="BH825" s="799"/>
      <c r="BI825" s="799"/>
      <c r="BJ825" s="799"/>
      <c r="BK825" s="799"/>
      <c r="BL825" s="799"/>
      <c r="BM825" s="799"/>
      <c r="BN825" s="799"/>
      <c r="BO825" s="799"/>
      <c r="BP825" s="799"/>
      <c r="BQ825" s="799"/>
    </row>
    <row r="826" spans="1:70" ht="49.5">
      <c r="A826" s="645"/>
      <c r="B826" s="4"/>
      <c r="C826" s="644" t="s">
        <v>41</v>
      </c>
      <c r="D826" s="644" t="s">
        <v>28</v>
      </c>
      <c r="E826" s="644" t="s">
        <v>38</v>
      </c>
      <c r="F826" s="644" t="s">
        <v>42</v>
      </c>
      <c r="G826" s="644" t="s">
        <v>59</v>
      </c>
      <c r="H826" s="645"/>
      <c r="I826" s="4" t="s">
        <v>1105</v>
      </c>
      <c r="J826" s="5" t="s">
        <v>1106</v>
      </c>
      <c r="K826" s="646">
        <v>6</v>
      </c>
      <c r="L826" s="647">
        <v>200000000</v>
      </c>
      <c r="M826" s="646">
        <v>47.69628699044064</v>
      </c>
      <c r="N826" s="649">
        <v>223010946</v>
      </c>
      <c r="O826" s="661">
        <v>1</v>
      </c>
      <c r="P826" s="650">
        <v>53871200</v>
      </c>
      <c r="Q826" s="701">
        <v>0</v>
      </c>
      <c r="R826" s="652">
        <v>13109100</v>
      </c>
      <c r="S826" s="703"/>
      <c r="T826" s="660">
        <v>12420000</v>
      </c>
      <c r="U826" s="662"/>
      <c r="V826" s="676"/>
      <c r="W826" s="706"/>
      <c r="X826" s="660"/>
      <c r="Y826" s="701">
        <f t="shared" si="243"/>
        <v>0</v>
      </c>
      <c r="Z826" s="652">
        <f t="shared" si="244"/>
        <v>25529100</v>
      </c>
      <c r="AA826" s="646">
        <f t="shared" si="245"/>
        <v>47.69628699044064</v>
      </c>
      <c r="AB826" s="649">
        <f t="shared" si="246"/>
        <v>248540046</v>
      </c>
      <c r="AC826" s="671">
        <f t="shared" si="247"/>
        <v>794.93811650734403</v>
      </c>
      <c r="AD826" s="672">
        <f t="shared" si="248"/>
        <v>124.27002300000001</v>
      </c>
      <c r="AE826" s="656"/>
      <c r="AF826" s="798"/>
      <c r="AG826" s="798"/>
      <c r="AH826" s="798"/>
      <c r="AI826" s="798"/>
      <c r="AJ826" s="798"/>
      <c r="AK826" s="798"/>
      <c r="AL826" s="798"/>
      <c r="AM826" s="798"/>
      <c r="AN826" s="798"/>
      <c r="AO826" s="798"/>
      <c r="AP826" s="798"/>
      <c r="AQ826" s="798"/>
      <c r="AR826" s="798"/>
      <c r="AS826" s="798"/>
      <c r="AT826" s="798"/>
      <c r="AU826" s="798"/>
      <c r="AV826" s="798"/>
      <c r="AW826" s="798"/>
      <c r="AX826" s="798"/>
      <c r="AY826" s="798"/>
      <c r="AZ826" s="798"/>
      <c r="BA826" s="798"/>
      <c r="BB826" s="798"/>
      <c r="BC826" s="799"/>
      <c r="BD826" s="799"/>
      <c r="BE826" s="799"/>
      <c r="BF826" s="799"/>
      <c r="BG826" s="799"/>
      <c r="BH826" s="799"/>
      <c r="BI826" s="799"/>
      <c r="BJ826" s="799"/>
      <c r="BK826" s="799"/>
      <c r="BL826" s="799"/>
      <c r="BM826" s="799"/>
      <c r="BN826" s="799"/>
      <c r="BO826" s="799"/>
      <c r="BP826" s="799"/>
      <c r="BQ826" s="799"/>
    </row>
    <row r="827" spans="1:70" ht="49.5">
      <c r="A827" s="645"/>
      <c r="B827" s="4"/>
      <c r="C827" s="644"/>
      <c r="D827" s="644"/>
      <c r="E827" s="644"/>
      <c r="F827" s="644"/>
      <c r="G827" s="644"/>
      <c r="H827" s="645"/>
      <c r="I827" s="4" t="s">
        <v>1107</v>
      </c>
      <c r="J827" s="5" t="s">
        <v>1108</v>
      </c>
      <c r="K827" s="646">
        <v>36</v>
      </c>
      <c r="L827" s="647">
        <v>418966000</v>
      </c>
      <c r="M827" s="646">
        <v>12</v>
      </c>
      <c r="N827" s="649">
        <v>82277040</v>
      </c>
      <c r="O827" s="661">
        <v>6</v>
      </c>
      <c r="P827" s="650">
        <v>41775000</v>
      </c>
      <c r="Q827" s="651">
        <v>4</v>
      </c>
      <c r="R827" s="652">
        <v>8338150</v>
      </c>
      <c r="S827" s="703"/>
      <c r="T827" s="660">
        <v>16148950</v>
      </c>
      <c r="U827" s="4"/>
      <c r="V827" s="670"/>
      <c r="W827" s="706"/>
      <c r="X827" s="658"/>
      <c r="Y827" s="651">
        <f t="shared" si="243"/>
        <v>4</v>
      </c>
      <c r="Z827" s="652">
        <f t="shared" si="244"/>
        <v>24487100</v>
      </c>
      <c r="AA827" s="646">
        <f t="shared" si="245"/>
        <v>16</v>
      </c>
      <c r="AB827" s="649">
        <f t="shared" si="246"/>
        <v>106764140</v>
      </c>
      <c r="AC827" s="671">
        <f t="shared" si="247"/>
        <v>44.444444444444443</v>
      </c>
      <c r="AD827" s="672">
        <f t="shared" si="248"/>
        <v>25.482769484874666</v>
      </c>
      <c r="AE827" s="656"/>
      <c r="AF827" s="798"/>
      <c r="AG827" s="798"/>
      <c r="AH827" s="798"/>
      <c r="AI827" s="798"/>
      <c r="AJ827" s="798"/>
      <c r="AK827" s="798"/>
      <c r="AL827" s="798"/>
      <c r="AM827" s="798"/>
      <c r="AN827" s="798"/>
      <c r="AO827" s="798"/>
      <c r="AP827" s="798"/>
      <c r="AQ827" s="798"/>
      <c r="AR827" s="798"/>
      <c r="AS827" s="798"/>
      <c r="AT827" s="798"/>
      <c r="AU827" s="798"/>
      <c r="AV827" s="798"/>
      <c r="AW827" s="798"/>
      <c r="AX827" s="798"/>
      <c r="AY827" s="798"/>
      <c r="AZ827" s="798"/>
      <c r="BA827" s="798"/>
      <c r="BB827" s="798"/>
      <c r="BC827" s="799"/>
      <c r="BD827" s="799"/>
      <c r="BE827" s="799"/>
      <c r="BF827" s="799"/>
      <c r="BG827" s="799"/>
      <c r="BH827" s="799"/>
      <c r="BI827" s="799"/>
      <c r="BJ827" s="799"/>
      <c r="BK827" s="799"/>
      <c r="BL827" s="799"/>
      <c r="BM827" s="799"/>
      <c r="BN827" s="799"/>
      <c r="BO827" s="799"/>
      <c r="BP827" s="799"/>
      <c r="BQ827" s="799"/>
    </row>
    <row r="828" spans="1:70" ht="49.5">
      <c r="A828" s="645"/>
      <c r="B828" s="4"/>
      <c r="C828" s="644"/>
      <c r="D828" s="644"/>
      <c r="E828" s="644"/>
      <c r="F828" s="644"/>
      <c r="G828" s="644"/>
      <c r="H828" s="645"/>
      <c r="I828" s="4" t="s">
        <v>2901</v>
      </c>
      <c r="J828" s="5" t="s">
        <v>2902</v>
      </c>
      <c r="K828" s="646">
        <v>125</v>
      </c>
      <c r="L828" s="647">
        <v>1155889280</v>
      </c>
      <c r="M828" s="646">
        <v>50</v>
      </c>
      <c r="N828" s="649">
        <v>225428306</v>
      </c>
      <c r="O828" s="661">
        <v>25</v>
      </c>
      <c r="P828" s="650">
        <v>124986000</v>
      </c>
      <c r="Q828" s="651"/>
      <c r="R828" s="652">
        <v>10914700</v>
      </c>
      <c r="S828" s="4"/>
      <c r="T828" s="658">
        <v>15677150</v>
      </c>
      <c r="U828" s="4"/>
      <c r="V828" s="670"/>
      <c r="W828" s="706"/>
      <c r="X828" s="658"/>
      <c r="Y828" s="651">
        <f t="shared" si="243"/>
        <v>0</v>
      </c>
      <c r="Z828" s="652">
        <f t="shared" si="244"/>
        <v>26591850</v>
      </c>
      <c r="AA828" s="646">
        <f t="shared" si="245"/>
        <v>50</v>
      </c>
      <c r="AB828" s="649">
        <f t="shared" si="246"/>
        <v>252020156</v>
      </c>
      <c r="AC828" s="671">
        <f t="shared" si="247"/>
        <v>40</v>
      </c>
      <c r="AD828" s="672">
        <f t="shared" si="248"/>
        <v>21.803139830140132</v>
      </c>
      <c r="AE828" s="656"/>
      <c r="AF828" s="798"/>
      <c r="AG828" s="798"/>
      <c r="AH828" s="798"/>
      <c r="AI828" s="798"/>
      <c r="AJ828" s="798"/>
      <c r="AK828" s="798"/>
      <c r="AL828" s="798"/>
      <c r="AM828" s="798"/>
      <c r="AN828" s="798"/>
      <c r="AO828" s="798"/>
      <c r="AP828" s="798"/>
      <c r="AQ828" s="798"/>
      <c r="AR828" s="798"/>
      <c r="AS828" s="798"/>
      <c r="AT828" s="798"/>
      <c r="AU828" s="798"/>
      <c r="AV828" s="798"/>
      <c r="AW828" s="798"/>
      <c r="AX828" s="798"/>
      <c r="AY828" s="798"/>
      <c r="AZ828" s="798"/>
      <c r="BA828" s="798"/>
      <c r="BB828" s="798"/>
      <c r="BC828" s="799"/>
      <c r="BD828" s="799"/>
      <c r="BE828" s="799"/>
      <c r="BF828" s="799"/>
      <c r="BG828" s="799"/>
      <c r="BH828" s="799"/>
      <c r="BI828" s="799"/>
      <c r="BJ828" s="799"/>
      <c r="BK828" s="799"/>
      <c r="BL828" s="799"/>
      <c r="BM828" s="799"/>
      <c r="BN828" s="799"/>
      <c r="BO828" s="799"/>
      <c r="BP828" s="799"/>
      <c r="BQ828" s="799"/>
    </row>
    <row r="829" spans="1:70" s="22" customFormat="1" ht="66">
      <c r="A829" s="420">
        <v>7</v>
      </c>
      <c r="B829" s="634"/>
      <c r="C829" s="633" t="s">
        <v>41</v>
      </c>
      <c r="D829" s="633" t="s">
        <v>28</v>
      </c>
      <c r="E829" s="633" t="s">
        <v>38</v>
      </c>
      <c r="F829" s="633" t="s">
        <v>47</v>
      </c>
      <c r="G829" s="420"/>
      <c r="H829" s="420"/>
      <c r="I829" s="634" t="s">
        <v>1109</v>
      </c>
      <c r="J829" s="634" t="s">
        <v>2688</v>
      </c>
      <c r="K829" s="708" t="s">
        <v>2689</v>
      </c>
      <c r="L829" s="714">
        <v>4113711188</v>
      </c>
      <c r="M829" s="708" t="s">
        <v>2689</v>
      </c>
      <c r="N829" s="636">
        <v>1936431001</v>
      </c>
      <c r="O829" s="708" t="s">
        <v>2689</v>
      </c>
      <c r="P829" s="715">
        <f>P831+P832+P833+P834+P836+P837</f>
        <v>471886747</v>
      </c>
      <c r="Q829" s="708" t="s">
        <v>2689</v>
      </c>
      <c r="R829" s="715">
        <f>R831+R832+R833+R834+R836+R837</f>
        <v>57322400</v>
      </c>
      <c r="S829" s="716"/>
      <c r="T829" s="717">
        <f>SUM(T831:T837)</f>
        <v>118409013</v>
      </c>
      <c r="U829" s="43"/>
      <c r="V829" s="718"/>
      <c r="W829" s="420"/>
      <c r="X829" s="717"/>
      <c r="Y829" s="708" t="s">
        <v>2689</v>
      </c>
      <c r="Z829" s="715">
        <f>Z831+Z832+Z833+Z834+Z836+Z837</f>
        <v>175731413</v>
      </c>
      <c r="AA829" s="708" t="s">
        <v>2689</v>
      </c>
      <c r="AB829" s="636">
        <f>Z829+N829</f>
        <v>2112162414</v>
      </c>
      <c r="AC829" s="643">
        <v>100</v>
      </c>
      <c r="AD829" s="667">
        <v>47.072604577801002</v>
      </c>
      <c r="AE829" s="1683" t="s">
        <v>2865</v>
      </c>
      <c r="AF829" s="798"/>
      <c r="AG829" s="798"/>
      <c r="AH829" s="798"/>
      <c r="AI829" s="798"/>
      <c r="AJ829" s="798"/>
      <c r="AK829" s="798"/>
      <c r="AL829" s="798"/>
      <c r="AM829" s="798"/>
      <c r="AN829" s="798"/>
      <c r="AO829" s="798"/>
      <c r="AP829" s="798"/>
      <c r="AQ829" s="798"/>
      <c r="AR829" s="798"/>
      <c r="AS829" s="798"/>
      <c r="AT829" s="798"/>
      <c r="AU829" s="798"/>
      <c r="AV829" s="798"/>
      <c r="AW829" s="798"/>
      <c r="AX829" s="798"/>
      <c r="AY829" s="798"/>
      <c r="AZ829" s="798"/>
      <c r="BA829" s="798"/>
      <c r="BB829" s="798"/>
      <c r="BC829" s="799"/>
      <c r="BD829" s="799"/>
      <c r="BE829" s="799"/>
      <c r="BF829" s="799"/>
      <c r="BG829" s="799"/>
      <c r="BH829" s="799"/>
      <c r="BI829" s="799"/>
      <c r="BJ829" s="799"/>
      <c r="BK829" s="799"/>
      <c r="BL829" s="799"/>
      <c r="BM829" s="799"/>
      <c r="BN829" s="799"/>
      <c r="BO829" s="799"/>
      <c r="BP829" s="799"/>
      <c r="BQ829" s="799"/>
      <c r="BR829" s="752"/>
    </row>
    <row r="830" spans="1:70" s="22" customFormat="1" ht="66">
      <c r="A830" s="420"/>
      <c r="B830" s="634"/>
      <c r="C830" s="633"/>
      <c r="D830" s="633"/>
      <c r="E830" s="633"/>
      <c r="F830" s="633"/>
      <c r="G830" s="420"/>
      <c r="H830" s="420"/>
      <c r="I830" s="634"/>
      <c r="J830" s="634" t="s">
        <v>2893</v>
      </c>
      <c r="K830" s="708" t="s">
        <v>2894</v>
      </c>
      <c r="L830" s="714"/>
      <c r="M830" s="708" t="s">
        <v>2894</v>
      </c>
      <c r="N830" s="636"/>
      <c r="O830" s="708" t="s">
        <v>2894</v>
      </c>
      <c r="P830" s="715"/>
      <c r="Q830" s="708" t="s">
        <v>2894</v>
      </c>
      <c r="R830" s="715"/>
      <c r="S830" s="716"/>
      <c r="T830" s="717"/>
      <c r="U830" s="43"/>
      <c r="V830" s="718"/>
      <c r="W830" s="420"/>
      <c r="X830" s="717"/>
      <c r="Y830" s="708" t="s">
        <v>2894</v>
      </c>
      <c r="Z830" s="715"/>
      <c r="AA830" s="708" t="s">
        <v>2894</v>
      </c>
      <c r="AB830" s="636"/>
      <c r="AC830" s="643">
        <v>100</v>
      </c>
      <c r="AD830" s="667"/>
      <c r="AE830" s="1683"/>
      <c r="AF830" s="798"/>
      <c r="AG830" s="798"/>
      <c r="AH830" s="798"/>
      <c r="AI830" s="798"/>
      <c r="AJ830" s="798"/>
      <c r="AK830" s="798"/>
      <c r="AL830" s="798"/>
      <c r="AM830" s="798"/>
      <c r="AN830" s="798"/>
      <c r="AO830" s="798"/>
      <c r="AP830" s="798"/>
      <c r="AQ830" s="798"/>
      <c r="AR830" s="798"/>
      <c r="AS830" s="798"/>
      <c r="AT830" s="798"/>
      <c r="AU830" s="798"/>
      <c r="AV830" s="798"/>
      <c r="AW830" s="798"/>
      <c r="AX830" s="798"/>
      <c r="AY830" s="798"/>
      <c r="AZ830" s="798"/>
      <c r="BA830" s="798"/>
      <c r="BB830" s="798"/>
      <c r="BC830" s="799"/>
      <c r="BD830" s="799"/>
      <c r="BE830" s="799"/>
      <c r="BF830" s="799"/>
      <c r="BG830" s="799"/>
      <c r="BH830" s="799"/>
      <c r="BI830" s="799"/>
      <c r="BJ830" s="799"/>
      <c r="BK830" s="799"/>
      <c r="BL830" s="799"/>
      <c r="BM830" s="799"/>
      <c r="BN830" s="799"/>
      <c r="BO830" s="799"/>
      <c r="BP830" s="799"/>
      <c r="BQ830" s="799"/>
      <c r="BR830" s="752"/>
    </row>
    <row r="831" spans="1:70" ht="49.5">
      <c r="A831" s="645"/>
      <c r="B831" s="4"/>
      <c r="C831" s="645">
        <v>1</v>
      </c>
      <c r="D831" s="644" t="s">
        <v>28</v>
      </c>
      <c r="E831" s="644" t="s">
        <v>38</v>
      </c>
      <c r="F831" s="644" t="s">
        <v>47</v>
      </c>
      <c r="G831" s="644" t="s">
        <v>29</v>
      </c>
      <c r="H831" s="645"/>
      <c r="I831" s="4" t="s">
        <v>1110</v>
      </c>
      <c r="J831" s="5" t="s">
        <v>2903</v>
      </c>
      <c r="K831" s="646">
        <v>6</v>
      </c>
      <c r="L831" s="647">
        <v>300000000</v>
      </c>
      <c r="M831" s="648">
        <v>3</v>
      </c>
      <c r="N831" s="649">
        <v>380031181</v>
      </c>
      <c r="O831" s="661">
        <v>1</v>
      </c>
      <c r="P831" s="650">
        <v>98110000</v>
      </c>
      <c r="Q831" s="719">
        <v>0</v>
      </c>
      <c r="R831" s="652">
        <v>1372700</v>
      </c>
      <c r="S831" s="662"/>
      <c r="T831" s="658">
        <v>53595200</v>
      </c>
      <c r="U831" s="703"/>
      <c r="V831" s="670"/>
      <c r="W831" s="704"/>
      <c r="X831" s="720"/>
      <c r="Y831" s="719">
        <f t="shared" ref="Y831:Z837" si="249">Q831+S831+U831+W831</f>
        <v>0</v>
      </c>
      <c r="Z831" s="652">
        <f t="shared" si="249"/>
        <v>54967900</v>
      </c>
      <c r="AA831" s="648">
        <f t="shared" ref="AA831:AB837" si="250">M831+Y831</f>
        <v>3</v>
      </c>
      <c r="AB831" s="649">
        <f t="shared" si="250"/>
        <v>434999081</v>
      </c>
      <c r="AC831" s="671">
        <f t="shared" ref="AC831:AD837" si="251">(AA831/K831)*100</f>
        <v>50</v>
      </c>
      <c r="AD831" s="672">
        <f t="shared" si="251"/>
        <v>144.99969366666667</v>
      </c>
      <c r="AE831" s="656"/>
      <c r="AF831" s="798"/>
      <c r="AG831" s="798"/>
      <c r="AH831" s="798"/>
      <c r="AI831" s="798"/>
      <c r="AJ831" s="798"/>
      <c r="AK831" s="798"/>
      <c r="AL831" s="798"/>
      <c r="AM831" s="798"/>
      <c r="AN831" s="798"/>
      <c r="AO831" s="798"/>
      <c r="AP831" s="798"/>
      <c r="AQ831" s="798"/>
      <c r="AR831" s="798"/>
      <c r="AS831" s="798"/>
      <c r="AT831" s="798"/>
      <c r="AU831" s="798"/>
      <c r="AV831" s="798"/>
      <c r="AW831" s="798"/>
      <c r="AX831" s="798"/>
      <c r="AY831" s="798"/>
      <c r="AZ831" s="798"/>
      <c r="BA831" s="798"/>
      <c r="BB831" s="798"/>
      <c r="BC831" s="799"/>
      <c r="BD831" s="799"/>
      <c r="BE831" s="799"/>
      <c r="BF831" s="799"/>
      <c r="BG831" s="799"/>
      <c r="BH831" s="799"/>
      <c r="BI831" s="799"/>
      <c r="BJ831" s="799"/>
      <c r="BK831" s="799"/>
      <c r="BL831" s="799"/>
      <c r="BM831" s="799"/>
      <c r="BN831" s="799"/>
      <c r="BO831" s="799"/>
      <c r="BP831" s="799"/>
      <c r="BQ831" s="799"/>
    </row>
    <row r="832" spans="1:70" ht="66">
      <c r="A832" s="645"/>
      <c r="B832" s="4"/>
      <c r="C832" s="644" t="s">
        <v>41</v>
      </c>
      <c r="D832" s="644" t="s">
        <v>28</v>
      </c>
      <c r="E832" s="644" t="s">
        <v>38</v>
      </c>
      <c r="F832" s="644" t="s">
        <v>47</v>
      </c>
      <c r="G832" s="644" t="s">
        <v>58</v>
      </c>
      <c r="H832" s="645"/>
      <c r="I832" s="4" t="s">
        <v>1111</v>
      </c>
      <c r="J832" s="5" t="s">
        <v>2904</v>
      </c>
      <c r="K832" s="646">
        <v>150</v>
      </c>
      <c r="L832" s="647">
        <f>2*N832</f>
        <v>655110708</v>
      </c>
      <c r="M832" s="648">
        <v>85</v>
      </c>
      <c r="N832" s="649">
        <v>327555354</v>
      </c>
      <c r="O832" s="661">
        <v>30</v>
      </c>
      <c r="P832" s="650">
        <v>113700000</v>
      </c>
      <c r="Q832" s="719">
        <v>5</v>
      </c>
      <c r="R832" s="652">
        <v>21253700</v>
      </c>
      <c r="S832" s="720"/>
      <c r="T832" s="658">
        <v>29601813</v>
      </c>
      <c r="U832" s="703"/>
      <c r="V832" s="670"/>
      <c r="W832" s="704"/>
      <c r="X832" s="720"/>
      <c r="Y832" s="719">
        <f t="shared" si="249"/>
        <v>5</v>
      </c>
      <c r="Z832" s="652">
        <f t="shared" si="249"/>
        <v>50855513</v>
      </c>
      <c r="AA832" s="648">
        <f t="shared" si="250"/>
        <v>90</v>
      </c>
      <c r="AB832" s="649">
        <f t="shared" si="250"/>
        <v>378410867</v>
      </c>
      <c r="AC832" s="671">
        <f t="shared" si="251"/>
        <v>60</v>
      </c>
      <c r="AD832" s="672">
        <f t="shared" si="251"/>
        <v>57.762888375807165</v>
      </c>
      <c r="AE832" s="656"/>
      <c r="AF832" s="798"/>
      <c r="AG832" s="798"/>
      <c r="AH832" s="798"/>
      <c r="AI832" s="798"/>
      <c r="AJ832" s="798"/>
      <c r="AK832" s="798"/>
      <c r="AL832" s="798"/>
      <c r="AM832" s="798"/>
      <c r="AN832" s="798"/>
      <c r="AO832" s="798"/>
      <c r="AP832" s="798"/>
      <c r="AQ832" s="798"/>
      <c r="AR832" s="798"/>
      <c r="AS832" s="798"/>
      <c r="AT832" s="798"/>
      <c r="AU832" s="798"/>
      <c r="AV832" s="798"/>
      <c r="AW832" s="798"/>
      <c r="AX832" s="798"/>
      <c r="AY832" s="798"/>
      <c r="AZ832" s="798"/>
      <c r="BA832" s="798"/>
      <c r="BB832" s="798"/>
      <c r="BC832" s="799"/>
      <c r="BD832" s="799"/>
      <c r="BE832" s="799"/>
      <c r="BF832" s="799"/>
      <c r="BG832" s="799"/>
      <c r="BH832" s="799"/>
      <c r="BI832" s="799"/>
      <c r="BJ832" s="799"/>
      <c r="BK832" s="799"/>
      <c r="BL832" s="799"/>
      <c r="BM832" s="799"/>
      <c r="BN832" s="799"/>
      <c r="BO832" s="799"/>
      <c r="BP832" s="799"/>
      <c r="BQ832" s="799"/>
    </row>
    <row r="833" spans="1:70" ht="52.5" customHeight="1">
      <c r="A833" s="645"/>
      <c r="B833" s="4"/>
      <c r="C833" s="644" t="s">
        <v>41</v>
      </c>
      <c r="D833" s="644" t="s">
        <v>28</v>
      </c>
      <c r="E833" s="644" t="s">
        <v>38</v>
      </c>
      <c r="F833" s="644" t="s">
        <v>47</v>
      </c>
      <c r="G833" s="644" t="s">
        <v>74</v>
      </c>
      <c r="H833" s="645"/>
      <c r="I833" s="4" t="s">
        <v>1112</v>
      </c>
      <c r="J833" s="5" t="s">
        <v>2905</v>
      </c>
      <c r="K833" s="646">
        <v>40</v>
      </c>
      <c r="L833" s="647">
        <f>2*N833</f>
        <v>587648808</v>
      </c>
      <c r="M833" s="648">
        <v>13</v>
      </c>
      <c r="N833" s="649">
        <v>293824404</v>
      </c>
      <c r="O833" s="661">
        <v>8</v>
      </c>
      <c r="P833" s="650">
        <v>55403547</v>
      </c>
      <c r="Q833" s="719">
        <v>3</v>
      </c>
      <c r="R833" s="652">
        <v>12048250</v>
      </c>
      <c r="S833" s="662"/>
      <c r="T833" s="658">
        <v>0</v>
      </c>
      <c r="U833" s="703"/>
      <c r="V833" s="670"/>
      <c r="W833" s="704"/>
      <c r="X833" s="720"/>
      <c r="Y833" s="719">
        <f t="shared" si="249"/>
        <v>3</v>
      </c>
      <c r="Z833" s="652">
        <f t="shared" si="249"/>
        <v>12048250</v>
      </c>
      <c r="AA833" s="648">
        <f t="shared" si="250"/>
        <v>16</v>
      </c>
      <c r="AB833" s="649">
        <f t="shared" si="250"/>
        <v>305872654</v>
      </c>
      <c r="AC833" s="671">
        <f t="shared" si="251"/>
        <v>40</v>
      </c>
      <c r="AD833" s="672">
        <f t="shared" si="251"/>
        <v>52.050246650036605</v>
      </c>
      <c r="AE833" s="656"/>
      <c r="AF833" s="798"/>
      <c r="AG833" s="798"/>
      <c r="AH833" s="798"/>
      <c r="AI833" s="798"/>
      <c r="AJ833" s="798"/>
      <c r="AK833" s="798"/>
      <c r="AL833" s="798"/>
      <c r="AM833" s="798"/>
      <c r="AN833" s="798"/>
      <c r="AO833" s="798"/>
      <c r="AP833" s="798"/>
      <c r="AQ833" s="798"/>
      <c r="AR833" s="798"/>
      <c r="AS833" s="798"/>
      <c r="AT833" s="798"/>
      <c r="AU833" s="798"/>
      <c r="AV833" s="798"/>
      <c r="AW833" s="798"/>
      <c r="AX833" s="798"/>
      <c r="AY833" s="798"/>
      <c r="AZ833" s="798"/>
      <c r="BA833" s="798"/>
      <c r="BB833" s="798"/>
      <c r="BC833" s="799"/>
      <c r="BD833" s="799"/>
      <c r="BE833" s="799"/>
      <c r="BF833" s="799"/>
      <c r="BG833" s="799"/>
      <c r="BH833" s="799"/>
      <c r="BI833" s="799"/>
      <c r="BJ833" s="799"/>
      <c r="BK833" s="799"/>
      <c r="BL833" s="799"/>
      <c r="BM833" s="799"/>
      <c r="BN833" s="799"/>
      <c r="BO833" s="799"/>
      <c r="BP833" s="799"/>
      <c r="BQ833" s="799"/>
    </row>
    <row r="834" spans="1:70" ht="33">
      <c r="A834" s="645"/>
      <c r="B834" s="4"/>
      <c r="C834" s="644" t="s">
        <v>41</v>
      </c>
      <c r="D834" s="644" t="s">
        <v>28</v>
      </c>
      <c r="E834" s="644" t="s">
        <v>38</v>
      </c>
      <c r="F834" s="644" t="s">
        <v>47</v>
      </c>
      <c r="G834" s="644" t="s">
        <v>1113</v>
      </c>
      <c r="H834" s="645"/>
      <c r="I834" s="4" t="s">
        <v>2906</v>
      </c>
      <c r="J834" s="5" t="s">
        <v>2907</v>
      </c>
      <c r="K834" s="646">
        <v>1</v>
      </c>
      <c r="L834" s="647">
        <v>140000000</v>
      </c>
      <c r="M834" s="646">
        <v>0</v>
      </c>
      <c r="N834" s="649">
        <v>0</v>
      </c>
      <c r="O834" s="661">
        <v>1</v>
      </c>
      <c r="P834" s="713">
        <v>139824800</v>
      </c>
      <c r="Q834" s="1686">
        <v>0</v>
      </c>
      <c r="R834" s="1697">
        <v>0</v>
      </c>
      <c r="S834" s="4"/>
      <c r="T834" s="713">
        <v>23859250</v>
      </c>
      <c r="U834" s="4"/>
      <c r="V834" s="722"/>
      <c r="W834" s="645"/>
      <c r="X834" s="720"/>
      <c r="Y834" s="721">
        <f t="shared" si="249"/>
        <v>0</v>
      </c>
      <c r="Z834" s="713">
        <f t="shared" si="249"/>
        <v>23859250</v>
      </c>
      <c r="AA834" s="646">
        <f t="shared" si="250"/>
        <v>0</v>
      </c>
      <c r="AB834" s="649">
        <f t="shared" si="250"/>
        <v>23859250</v>
      </c>
      <c r="AC834" s="671">
        <f t="shared" si="251"/>
        <v>0</v>
      </c>
      <c r="AD834" s="672">
        <f t="shared" si="251"/>
        <v>17.042321428571427</v>
      </c>
      <c r="AE834" s="656"/>
      <c r="AF834" s="798"/>
      <c r="AG834" s="798"/>
      <c r="AH834" s="798"/>
      <c r="AI834" s="798"/>
      <c r="AJ834" s="798"/>
      <c r="AK834" s="798"/>
      <c r="AL834" s="798"/>
      <c r="AM834" s="798"/>
      <c r="AN834" s="798"/>
      <c r="AO834" s="798"/>
      <c r="AP834" s="798"/>
      <c r="AQ834" s="798"/>
      <c r="AR834" s="798"/>
      <c r="AS834" s="798"/>
      <c r="AT834" s="798"/>
      <c r="AU834" s="798"/>
      <c r="AV834" s="798"/>
      <c r="AW834" s="798"/>
      <c r="AX834" s="798"/>
      <c r="AY834" s="798"/>
      <c r="AZ834" s="798"/>
      <c r="BA834" s="798"/>
      <c r="BB834" s="798"/>
      <c r="BC834" s="799"/>
      <c r="BD834" s="799"/>
      <c r="BE834" s="799"/>
      <c r="BF834" s="799"/>
      <c r="BG834" s="799"/>
      <c r="BH834" s="799"/>
      <c r="BI834" s="799"/>
      <c r="BJ834" s="799"/>
      <c r="BK834" s="799"/>
      <c r="BL834" s="799"/>
      <c r="BM834" s="799"/>
      <c r="BN834" s="799"/>
      <c r="BO834" s="799"/>
      <c r="BP834" s="799"/>
      <c r="BQ834" s="799"/>
    </row>
    <row r="835" spans="1:70" ht="33">
      <c r="A835" s="645"/>
      <c r="B835" s="4"/>
      <c r="C835" s="644" t="s">
        <v>41</v>
      </c>
      <c r="D835" s="644" t="s">
        <v>28</v>
      </c>
      <c r="E835" s="644" t="s">
        <v>38</v>
      </c>
      <c r="F835" s="644" t="s">
        <v>47</v>
      </c>
      <c r="G835" s="644" t="s">
        <v>1113</v>
      </c>
      <c r="H835" s="645"/>
      <c r="I835" s="4" t="s">
        <v>1114</v>
      </c>
      <c r="J835" s="5" t="s">
        <v>2908</v>
      </c>
      <c r="K835" s="646">
        <v>4</v>
      </c>
      <c r="L835" s="647">
        <v>1368711188</v>
      </c>
      <c r="M835" s="646">
        <v>1</v>
      </c>
      <c r="N835" s="649">
        <v>257813659</v>
      </c>
      <c r="O835" s="1696">
        <v>0</v>
      </c>
      <c r="P835" s="1697">
        <v>0</v>
      </c>
      <c r="Q835" s="1686">
        <v>0</v>
      </c>
      <c r="R835" s="1697">
        <v>0</v>
      </c>
      <c r="S835" s="4"/>
      <c r="T835" s="713"/>
      <c r="U835" s="4"/>
      <c r="V835" s="722"/>
      <c r="W835" s="645"/>
      <c r="X835" s="720"/>
      <c r="Y835" s="721">
        <f t="shared" si="249"/>
        <v>0</v>
      </c>
      <c r="Z835" s="702">
        <f t="shared" si="249"/>
        <v>0</v>
      </c>
      <c r="AA835" s="646">
        <f t="shared" si="250"/>
        <v>1</v>
      </c>
      <c r="AB835" s="649">
        <f t="shared" si="250"/>
        <v>257813659</v>
      </c>
      <c r="AC835" s="671">
        <f t="shared" si="251"/>
        <v>25</v>
      </c>
      <c r="AD835" s="672">
        <f t="shared" si="251"/>
        <v>18.836235230657003</v>
      </c>
      <c r="AE835" s="656"/>
      <c r="AF835" s="798"/>
      <c r="AG835" s="798"/>
      <c r="AH835" s="798"/>
      <c r="AI835" s="798"/>
      <c r="AJ835" s="798"/>
      <c r="AK835" s="798"/>
      <c r="AL835" s="798"/>
      <c r="AM835" s="798"/>
      <c r="AN835" s="798"/>
      <c r="AO835" s="798"/>
      <c r="AP835" s="798"/>
      <c r="AQ835" s="798"/>
      <c r="AR835" s="798"/>
      <c r="AS835" s="798"/>
      <c r="AT835" s="798"/>
      <c r="AU835" s="798"/>
      <c r="AV835" s="798"/>
      <c r="AW835" s="798"/>
      <c r="AX835" s="798"/>
      <c r="AY835" s="798"/>
      <c r="AZ835" s="798"/>
      <c r="BA835" s="798"/>
      <c r="BB835" s="798"/>
      <c r="BC835" s="799"/>
      <c r="BD835" s="799"/>
      <c r="BE835" s="799"/>
      <c r="BF835" s="799"/>
      <c r="BG835" s="799"/>
      <c r="BH835" s="799"/>
      <c r="BI835" s="799"/>
      <c r="BJ835" s="799"/>
      <c r="BK835" s="799"/>
      <c r="BL835" s="799"/>
      <c r="BM835" s="799"/>
      <c r="BN835" s="799"/>
      <c r="BO835" s="799"/>
      <c r="BP835" s="799"/>
      <c r="BQ835" s="799"/>
    </row>
    <row r="836" spans="1:70" ht="49.5">
      <c r="A836" s="645"/>
      <c r="B836" s="4"/>
      <c r="C836" s="644" t="s">
        <v>41</v>
      </c>
      <c r="D836" s="644" t="s">
        <v>28</v>
      </c>
      <c r="E836" s="644" t="s">
        <v>38</v>
      </c>
      <c r="F836" s="644" t="s">
        <v>47</v>
      </c>
      <c r="G836" s="644" t="s">
        <v>1115</v>
      </c>
      <c r="H836" s="645"/>
      <c r="I836" s="4" t="s">
        <v>1116</v>
      </c>
      <c r="J836" s="5" t="s">
        <v>2909</v>
      </c>
      <c r="K836" s="646">
        <v>5</v>
      </c>
      <c r="L836" s="647">
        <v>75000000</v>
      </c>
      <c r="M836" s="646">
        <v>1</v>
      </c>
      <c r="N836" s="649">
        <v>63780204</v>
      </c>
      <c r="O836" s="661">
        <v>1</v>
      </c>
      <c r="P836" s="650">
        <v>30960000</v>
      </c>
      <c r="Q836" s="719">
        <v>0</v>
      </c>
      <c r="R836" s="652">
        <v>992750</v>
      </c>
      <c r="S836" s="703"/>
      <c r="T836" s="658">
        <v>5571000</v>
      </c>
      <c r="U836" s="662"/>
      <c r="V836" s="670"/>
      <c r="W836" s="704"/>
      <c r="X836" s="658"/>
      <c r="Y836" s="719">
        <f t="shared" si="249"/>
        <v>0</v>
      </c>
      <c r="Z836" s="652">
        <f t="shared" si="249"/>
        <v>6563750</v>
      </c>
      <c r="AA836" s="646">
        <f t="shared" si="250"/>
        <v>1</v>
      </c>
      <c r="AB836" s="649">
        <f t="shared" si="250"/>
        <v>70343954</v>
      </c>
      <c r="AC836" s="671">
        <f t="shared" si="251"/>
        <v>20</v>
      </c>
      <c r="AD836" s="672">
        <f t="shared" si="251"/>
        <v>93.791938666666667</v>
      </c>
      <c r="AE836" s="656"/>
      <c r="AF836" s="798"/>
      <c r="AG836" s="798"/>
      <c r="AH836" s="798"/>
      <c r="AI836" s="798"/>
      <c r="AJ836" s="798"/>
      <c r="AK836" s="798"/>
      <c r="AL836" s="798"/>
      <c r="AM836" s="798"/>
      <c r="AN836" s="798"/>
      <c r="AO836" s="798"/>
      <c r="AP836" s="798"/>
      <c r="AQ836" s="798"/>
      <c r="AR836" s="798"/>
      <c r="AS836" s="798"/>
      <c r="AT836" s="798"/>
      <c r="AU836" s="798"/>
      <c r="AV836" s="798"/>
      <c r="AW836" s="798"/>
      <c r="AX836" s="798"/>
      <c r="AY836" s="798"/>
      <c r="AZ836" s="798"/>
      <c r="BA836" s="798"/>
      <c r="BB836" s="798"/>
      <c r="BC836" s="799"/>
      <c r="BD836" s="799"/>
      <c r="BE836" s="799"/>
      <c r="BF836" s="799"/>
      <c r="BG836" s="799"/>
      <c r="BH836" s="799"/>
      <c r="BI836" s="799"/>
      <c r="BJ836" s="799"/>
      <c r="BK836" s="799"/>
      <c r="BL836" s="799"/>
      <c r="BM836" s="799"/>
      <c r="BN836" s="799"/>
      <c r="BO836" s="799"/>
      <c r="BP836" s="799"/>
      <c r="BQ836" s="799"/>
    </row>
    <row r="837" spans="1:70" ht="66">
      <c r="A837" s="645"/>
      <c r="B837" s="4"/>
      <c r="C837" s="644" t="s">
        <v>41</v>
      </c>
      <c r="D837" s="644" t="s">
        <v>28</v>
      </c>
      <c r="E837" s="644" t="s">
        <v>38</v>
      </c>
      <c r="F837" s="644" t="s">
        <v>47</v>
      </c>
      <c r="G837" s="644" t="s">
        <v>341</v>
      </c>
      <c r="H837" s="645"/>
      <c r="I837" s="4" t="s">
        <v>1117</v>
      </c>
      <c r="J837" s="5" t="s">
        <v>2862</v>
      </c>
      <c r="K837" s="646">
        <v>60</v>
      </c>
      <c r="L837" s="647">
        <f>2*P837</f>
        <v>67776800</v>
      </c>
      <c r="M837" s="42">
        <v>0</v>
      </c>
      <c r="N837" s="649">
        <v>0</v>
      </c>
      <c r="O837" s="661">
        <v>50</v>
      </c>
      <c r="P837" s="650">
        <v>33888400</v>
      </c>
      <c r="Q837" s="719">
        <v>0</v>
      </c>
      <c r="R837" s="652">
        <v>21655000</v>
      </c>
      <c r="S837" s="703"/>
      <c r="T837" s="658">
        <v>5781750</v>
      </c>
      <c r="U837" s="662"/>
      <c r="V837" s="670"/>
      <c r="W837" s="704"/>
      <c r="X837" s="658"/>
      <c r="Y837" s="719">
        <f t="shared" si="249"/>
        <v>0</v>
      </c>
      <c r="Z837" s="652">
        <f t="shared" si="249"/>
        <v>27436750</v>
      </c>
      <c r="AA837" s="646">
        <f t="shared" si="250"/>
        <v>0</v>
      </c>
      <c r="AB837" s="649">
        <f t="shared" si="250"/>
        <v>27436750</v>
      </c>
      <c r="AC837" s="671">
        <f t="shared" si="251"/>
        <v>0</v>
      </c>
      <c r="AD837" s="672">
        <f t="shared" si="251"/>
        <v>40.481034808371007</v>
      </c>
      <c r="AE837" s="656"/>
      <c r="AF837" s="798"/>
      <c r="AG837" s="798"/>
      <c r="AH837" s="798"/>
      <c r="AI837" s="798"/>
      <c r="AJ837" s="798"/>
      <c r="AK837" s="798"/>
      <c r="AL837" s="798"/>
      <c r="AM837" s="798"/>
      <c r="AN837" s="798"/>
      <c r="AO837" s="798"/>
      <c r="AP837" s="798"/>
      <c r="AQ837" s="798"/>
      <c r="AR837" s="798"/>
      <c r="AS837" s="798"/>
      <c r="AT837" s="798"/>
      <c r="AU837" s="798"/>
      <c r="AV837" s="798"/>
      <c r="AW837" s="798"/>
      <c r="AX837" s="798"/>
      <c r="AY837" s="798"/>
      <c r="AZ837" s="798"/>
      <c r="BA837" s="798"/>
      <c r="BB837" s="798"/>
      <c r="BC837" s="799"/>
      <c r="BD837" s="799"/>
      <c r="BE837" s="799"/>
      <c r="BF837" s="799"/>
      <c r="BG837" s="799"/>
      <c r="BH837" s="799"/>
      <c r="BI837" s="799"/>
      <c r="BJ837" s="799"/>
      <c r="BK837" s="799"/>
      <c r="BL837" s="799"/>
      <c r="BM837" s="799"/>
      <c r="BN837" s="799"/>
      <c r="BO837" s="799"/>
      <c r="BP837" s="799"/>
      <c r="BQ837" s="799"/>
    </row>
    <row r="838" spans="1:70" s="22" customFormat="1" ht="49.5">
      <c r="A838" s="420">
        <v>8</v>
      </c>
      <c r="B838" s="634"/>
      <c r="C838" s="633" t="s">
        <v>41</v>
      </c>
      <c r="D838" s="633" t="s">
        <v>28</v>
      </c>
      <c r="E838" s="633" t="s">
        <v>38</v>
      </c>
      <c r="F838" s="633" t="s">
        <v>54</v>
      </c>
      <c r="G838" s="420"/>
      <c r="H838" s="420"/>
      <c r="I838" s="43" t="s">
        <v>1118</v>
      </c>
      <c r="J838" s="634" t="s">
        <v>2910</v>
      </c>
      <c r="K838" s="419" t="s">
        <v>2911</v>
      </c>
      <c r="L838" s="635">
        <f>SUM(L839:L840)</f>
        <v>2962395000</v>
      </c>
      <c r="M838" s="419" t="s">
        <v>2911</v>
      </c>
      <c r="N838" s="636">
        <f>SUM(N839:N840)</f>
        <v>68455026</v>
      </c>
      <c r="O838" s="419" t="s">
        <v>2911</v>
      </c>
      <c r="P838" s="638">
        <f>SUM(P839:P840)</f>
        <v>964551000</v>
      </c>
      <c r="Q838" s="419" t="s">
        <v>2911</v>
      </c>
      <c r="R838" s="692">
        <f>SUM(R839:R840)</f>
        <v>13758550</v>
      </c>
      <c r="S838" s="699"/>
      <c r="T838" s="641">
        <f>SUM(T839:T840)</f>
        <v>50140750</v>
      </c>
      <c r="U838" s="43"/>
      <c r="V838" s="723">
        <f>SUM(V839:V840)</f>
        <v>0</v>
      </c>
      <c r="W838" s="420"/>
      <c r="X838" s="641">
        <f>SUM(X839:X840)</f>
        <v>0</v>
      </c>
      <c r="Y838" s="419" t="s">
        <v>2911</v>
      </c>
      <c r="Z838" s="692">
        <f>Z839</f>
        <v>63899300</v>
      </c>
      <c r="AA838" s="419" t="s">
        <v>2911</v>
      </c>
      <c r="AB838" s="636">
        <f>Z838+N838</f>
        <v>132354326</v>
      </c>
      <c r="AC838" s="643">
        <v>100</v>
      </c>
      <c r="AD838" s="667">
        <v>54.81107338129496</v>
      </c>
      <c r="AE838" s="1683" t="s">
        <v>2865</v>
      </c>
      <c r="AF838" s="798"/>
      <c r="AG838" s="798"/>
      <c r="AH838" s="798"/>
      <c r="AI838" s="798"/>
      <c r="AJ838" s="798"/>
      <c r="AK838" s="798"/>
      <c r="AL838" s="798"/>
      <c r="AM838" s="798"/>
      <c r="AN838" s="798"/>
      <c r="AO838" s="798"/>
      <c r="AP838" s="798"/>
      <c r="AQ838" s="798"/>
      <c r="AR838" s="798"/>
      <c r="AS838" s="798"/>
      <c r="AT838" s="798"/>
      <c r="AU838" s="798"/>
      <c r="AV838" s="798"/>
      <c r="AW838" s="798"/>
      <c r="AX838" s="798"/>
      <c r="AY838" s="798"/>
      <c r="AZ838" s="798"/>
      <c r="BA838" s="798"/>
      <c r="BB838" s="798"/>
      <c r="BC838" s="799"/>
      <c r="BD838" s="799"/>
      <c r="BE838" s="799"/>
      <c r="BF838" s="799"/>
      <c r="BG838" s="799"/>
      <c r="BH838" s="799"/>
      <c r="BI838" s="799"/>
      <c r="BJ838" s="799"/>
      <c r="BK838" s="799"/>
      <c r="BL838" s="799"/>
      <c r="BM838" s="799"/>
      <c r="BN838" s="799"/>
      <c r="BO838" s="799"/>
      <c r="BP838" s="799"/>
      <c r="BQ838" s="799"/>
      <c r="BR838" s="752"/>
    </row>
    <row r="839" spans="1:70" ht="33">
      <c r="A839" s="678"/>
      <c r="B839" s="3"/>
      <c r="C839" s="677" t="s">
        <v>41</v>
      </c>
      <c r="D839" s="677" t="s">
        <v>28</v>
      </c>
      <c r="E839" s="677" t="s">
        <v>38</v>
      </c>
      <c r="F839" s="677" t="s">
        <v>54</v>
      </c>
      <c r="G839" s="677" t="s">
        <v>31</v>
      </c>
      <c r="H839" s="678"/>
      <c r="I839" s="3" t="s">
        <v>1119</v>
      </c>
      <c r="J839" s="2" t="s">
        <v>1120</v>
      </c>
      <c r="K839" s="412">
        <v>5</v>
      </c>
      <c r="L839" s="679">
        <v>417000000</v>
      </c>
      <c r="M839" s="412">
        <v>1</v>
      </c>
      <c r="N839" s="681">
        <v>68455026</v>
      </c>
      <c r="O839" s="682">
        <v>1</v>
      </c>
      <c r="P839" s="683">
        <v>116086000</v>
      </c>
      <c r="Q839" s="724">
        <v>0</v>
      </c>
      <c r="R839" s="684">
        <v>13758550</v>
      </c>
      <c r="S839" s="712"/>
      <c r="T839" s="685">
        <v>50140750</v>
      </c>
      <c r="U839" s="712"/>
      <c r="V839" s="725"/>
      <c r="W839" s="726"/>
      <c r="X839" s="727"/>
      <c r="Y839" s="724">
        <f>Q839+S839+U839+W839</f>
        <v>0</v>
      </c>
      <c r="Z839" s="684">
        <f>R839+T839+V839+X839</f>
        <v>63899300</v>
      </c>
      <c r="AA839" s="412">
        <f>M839+Y839</f>
        <v>1</v>
      </c>
      <c r="AB839" s="649">
        <f>N839+Z839</f>
        <v>132354326</v>
      </c>
      <c r="AC839" s="688">
        <f>(AA839/K839)*100</f>
        <v>20</v>
      </c>
      <c r="AD839" s="689">
        <f>(AB839/L839)*100</f>
        <v>31.739646522781772</v>
      </c>
      <c r="AE839" s="656"/>
      <c r="AF839" s="798"/>
      <c r="AG839" s="798"/>
      <c r="AH839" s="798"/>
      <c r="AI839" s="798"/>
      <c r="AJ839" s="798"/>
      <c r="AK839" s="798"/>
      <c r="AL839" s="798"/>
      <c r="AM839" s="798"/>
      <c r="AN839" s="798"/>
      <c r="AO839" s="798"/>
      <c r="AP839" s="798"/>
      <c r="AQ839" s="798"/>
      <c r="AR839" s="798"/>
      <c r="AS839" s="798"/>
      <c r="AT839" s="798"/>
      <c r="AU839" s="798"/>
      <c r="AV839" s="798"/>
      <c r="AW839" s="798"/>
      <c r="AX839" s="798"/>
      <c r="AY839" s="798"/>
      <c r="AZ839" s="798"/>
      <c r="BA839" s="798"/>
      <c r="BB839" s="798"/>
      <c r="BC839" s="799"/>
      <c r="BD839" s="799"/>
      <c r="BE839" s="799"/>
      <c r="BF839" s="799"/>
      <c r="BG839" s="799"/>
      <c r="BH839" s="799"/>
      <c r="BI839" s="799"/>
      <c r="BJ839" s="799"/>
      <c r="BK839" s="799"/>
      <c r="BL839" s="799"/>
      <c r="BM839" s="799"/>
      <c r="BN839" s="799"/>
      <c r="BO839" s="799"/>
      <c r="BP839" s="799"/>
      <c r="BQ839" s="799"/>
    </row>
    <row r="840" spans="1:70" ht="66">
      <c r="A840" s="678"/>
      <c r="B840" s="3"/>
      <c r="C840" s="677" t="s">
        <v>41</v>
      </c>
      <c r="D840" s="677" t="s">
        <v>28</v>
      </c>
      <c r="E840" s="677" t="s">
        <v>38</v>
      </c>
      <c r="F840" s="677" t="s">
        <v>54</v>
      </c>
      <c r="G840" s="677" t="s">
        <v>62</v>
      </c>
      <c r="H840" s="678"/>
      <c r="I840" s="3" t="s">
        <v>1121</v>
      </c>
      <c r="J840" s="2" t="s">
        <v>2912</v>
      </c>
      <c r="K840" s="412">
        <v>3</v>
      </c>
      <c r="L840" s="679">
        <f>3*P840</f>
        <v>2545395000</v>
      </c>
      <c r="M840" s="1073">
        <v>0</v>
      </c>
      <c r="N840" s="681">
        <v>0</v>
      </c>
      <c r="O840" s="682">
        <v>1</v>
      </c>
      <c r="P840" s="683">
        <v>848465000</v>
      </c>
      <c r="Q840" s="724">
        <v>0</v>
      </c>
      <c r="R840" s="684">
        <v>0</v>
      </c>
      <c r="S840" s="712"/>
      <c r="T840" s="685">
        <v>0</v>
      </c>
      <c r="U840" s="712"/>
      <c r="V840" s="725"/>
      <c r="W840" s="726"/>
      <c r="X840" s="727"/>
      <c r="Y840" s="724">
        <f>Q840+S840+U840+W840</f>
        <v>0</v>
      </c>
      <c r="Z840" s="684">
        <f>R840+T840+V840+X840</f>
        <v>0</v>
      </c>
      <c r="AA840" s="412">
        <f>M840+Y840</f>
        <v>0</v>
      </c>
      <c r="AB840" s="649">
        <f>N840+Z840</f>
        <v>0</v>
      </c>
      <c r="AC840" s="688">
        <f>(AA840/K840)*100</f>
        <v>0</v>
      </c>
      <c r="AD840" s="689">
        <f>(AB840/L840)*100</f>
        <v>0</v>
      </c>
      <c r="AE840" s="656"/>
      <c r="AF840" s="798"/>
      <c r="AG840" s="798"/>
      <c r="AH840" s="798"/>
      <c r="AI840" s="798"/>
      <c r="AJ840" s="798"/>
      <c r="AK840" s="798"/>
      <c r="AL840" s="798"/>
      <c r="AM840" s="798"/>
      <c r="AN840" s="798"/>
      <c r="AO840" s="798"/>
      <c r="AP840" s="798"/>
      <c r="AQ840" s="798"/>
      <c r="AR840" s="798"/>
      <c r="AS840" s="798"/>
      <c r="AT840" s="798"/>
      <c r="AU840" s="798"/>
      <c r="AV840" s="798"/>
      <c r="AW840" s="798"/>
      <c r="AX840" s="798"/>
      <c r="AY840" s="798"/>
      <c r="AZ840" s="798"/>
      <c r="BA840" s="798"/>
      <c r="BB840" s="798"/>
      <c r="BC840" s="799"/>
      <c r="BD840" s="799"/>
      <c r="BE840" s="799"/>
      <c r="BF840" s="799"/>
      <c r="BG840" s="799"/>
      <c r="BH840" s="799"/>
      <c r="BI840" s="799"/>
      <c r="BJ840" s="799"/>
      <c r="BK840" s="799"/>
      <c r="BL840" s="799"/>
      <c r="BM840" s="799"/>
      <c r="BN840" s="799"/>
      <c r="BO840" s="799"/>
      <c r="BP840" s="799"/>
      <c r="BQ840" s="799"/>
    </row>
    <row r="841" spans="1:70" s="22" customFormat="1" ht="66">
      <c r="A841" s="420">
        <v>9</v>
      </c>
      <c r="B841" s="43"/>
      <c r="C841" s="633" t="s">
        <v>41</v>
      </c>
      <c r="D841" s="633" t="s">
        <v>28</v>
      </c>
      <c r="E841" s="633" t="s">
        <v>38</v>
      </c>
      <c r="F841" s="633" t="s">
        <v>35</v>
      </c>
      <c r="G841" s="420"/>
      <c r="H841" s="420"/>
      <c r="I841" s="43" t="s">
        <v>1122</v>
      </c>
      <c r="J841" s="634" t="s">
        <v>2893</v>
      </c>
      <c r="K841" s="708" t="s">
        <v>2894</v>
      </c>
      <c r="L841" s="635">
        <v>208633080</v>
      </c>
      <c r="M841" s="708" t="s">
        <v>2894</v>
      </c>
      <c r="N841" s="636">
        <v>395518142</v>
      </c>
      <c r="O841" s="708" t="s">
        <v>2894</v>
      </c>
      <c r="P841" s="638">
        <v>0</v>
      </c>
      <c r="Q841" s="708" t="s">
        <v>2894</v>
      </c>
      <c r="R841" s="692">
        <v>0</v>
      </c>
      <c r="S841" s="699"/>
      <c r="T841" s="641"/>
      <c r="U841" s="699"/>
      <c r="V841" s="728"/>
      <c r="W841" s="729"/>
      <c r="X841" s="641"/>
      <c r="Y841" s="708" t="s">
        <v>2894</v>
      </c>
      <c r="Z841" s="692">
        <f>R841+T841+V841+X841</f>
        <v>0</v>
      </c>
      <c r="AA841" s="708" t="s">
        <v>2894</v>
      </c>
      <c r="AB841" s="636">
        <f>N841+Z841</f>
        <v>395518142</v>
      </c>
      <c r="AC841" s="643">
        <v>100</v>
      </c>
      <c r="AD841" s="667">
        <f>(AB841/L841)*100</f>
        <v>189.5759493173374</v>
      </c>
      <c r="AE841" s="1683" t="s">
        <v>2865</v>
      </c>
      <c r="AF841" s="798"/>
      <c r="AG841" s="798"/>
      <c r="AH841" s="798"/>
      <c r="AI841" s="798"/>
      <c r="AJ841" s="798"/>
      <c r="AK841" s="798"/>
      <c r="AL841" s="798"/>
      <c r="AM841" s="798"/>
      <c r="AN841" s="798"/>
      <c r="AO841" s="798"/>
      <c r="AP841" s="798"/>
      <c r="AQ841" s="798"/>
      <c r="AR841" s="798"/>
      <c r="AS841" s="798"/>
      <c r="AT841" s="798"/>
      <c r="AU841" s="798"/>
      <c r="AV841" s="798"/>
      <c r="AW841" s="798"/>
      <c r="AX841" s="798"/>
      <c r="AY841" s="798"/>
      <c r="AZ841" s="798"/>
      <c r="BA841" s="798"/>
      <c r="BB841" s="798"/>
      <c r="BC841" s="799"/>
      <c r="BD841" s="799"/>
      <c r="BE841" s="799"/>
      <c r="BF841" s="799"/>
      <c r="BG841" s="799"/>
      <c r="BH841" s="799"/>
      <c r="BI841" s="799"/>
      <c r="BJ841" s="799"/>
      <c r="BK841" s="799"/>
      <c r="BL841" s="799"/>
      <c r="BM841" s="799"/>
      <c r="BN841" s="799"/>
      <c r="BO841" s="799"/>
      <c r="BP841" s="799"/>
      <c r="BQ841" s="799"/>
      <c r="BR841" s="752"/>
    </row>
    <row r="842" spans="1:70" ht="69" customHeight="1">
      <c r="A842" s="678"/>
      <c r="B842" s="3"/>
      <c r="C842" s="677" t="s">
        <v>41</v>
      </c>
      <c r="D842" s="677" t="s">
        <v>28</v>
      </c>
      <c r="E842" s="677" t="s">
        <v>38</v>
      </c>
      <c r="F842" s="677" t="s">
        <v>35</v>
      </c>
      <c r="G842" s="677" t="s">
        <v>25</v>
      </c>
      <c r="H842" s="678"/>
      <c r="I842" s="3" t="s">
        <v>1123</v>
      </c>
      <c r="J842" s="2" t="s">
        <v>2862</v>
      </c>
      <c r="K842" s="412">
        <v>80</v>
      </c>
      <c r="L842" s="679">
        <v>208633080</v>
      </c>
      <c r="M842" s="688">
        <v>80</v>
      </c>
      <c r="N842" s="681">
        <v>186885062</v>
      </c>
      <c r="O842" s="1698">
        <v>0</v>
      </c>
      <c r="P842" s="1699">
        <v>0</v>
      </c>
      <c r="Q842" s="1700">
        <v>0</v>
      </c>
      <c r="R842" s="687">
        <v>0</v>
      </c>
      <c r="S842" s="731"/>
      <c r="T842" s="685"/>
      <c r="U842" s="731"/>
      <c r="V842" s="725"/>
      <c r="W842" s="726"/>
      <c r="X842" s="685"/>
      <c r="Y842" s="730">
        <f>Q842+S842+U842+W842</f>
        <v>0</v>
      </c>
      <c r="Z842" s="684">
        <f>R842+T842+V842+X842</f>
        <v>0</v>
      </c>
      <c r="AA842" s="688">
        <f>M842+Y842</f>
        <v>80</v>
      </c>
      <c r="AB842" s="649">
        <f>N842+Z842</f>
        <v>186885062</v>
      </c>
      <c r="AC842" s="688">
        <f>(AA842/K842)*100</f>
        <v>100</v>
      </c>
      <c r="AD842" s="689">
        <f>(AB842/L842)*100</f>
        <v>89.575949317337404</v>
      </c>
      <c r="AE842" s="656"/>
      <c r="AF842" s="798"/>
      <c r="AG842" s="798"/>
      <c r="AH842" s="798"/>
      <c r="AI842" s="798"/>
      <c r="AJ842" s="798"/>
      <c r="AK842" s="798"/>
      <c r="AL842" s="798"/>
      <c r="AM842" s="798"/>
      <c r="AN842" s="798"/>
      <c r="AO842" s="798"/>
      <c r="AP842" s="798"/>
      <c r="AQ842" s="798"/>
      <c r="AR842" s="798"/>
      <c r="AS842" s="798"/>
      <c r="AT842" s="798"/>
      <c r="AU842" s="798"/>
      <c r="AV842" s="798"/>
      <c r="AW842" s="798"/>
      <c r="AX842" s="798"/>
      <c r="AY842" s="798"/>
      <c r="AZ842" s="798"/>
      <c r="BA842" s="798"/>
      <c r="BB842" s="798"/>
      <c r="BC842" s="799"/>
      <c r="BD842" s="799"/>
      <c r="BE842" s="799"/>
      <c r="BF842" s="799"/>
      <c r="BG842" s="799"/>
      <c r="BH842" s="799"/>
      <c r="BI842" s="799"/>
      <c r="BJ842" s="799"/>
      <c r="BK842" s="799"/>
      <c r="BL842" s="799"/>
      <c r="BM842" s="799"/>
      <c r="BN842" s="799"/>
      <c r="BO842" s="799"/>
      <c r="BP842" s="799"/>
      <c r="BQ842" s="799"/>
    </row>
    <row r="843" spans="1:70" ht="66">
      <c r="A843" s="664">
        <v>10</v>
      </c>
      <c r="B843" s="43"/>
      <c r="C843" s="633" t="s">
        <v>41</v>
      </c>
      <c r="D843" s="633" t="s">
        <v>28</v>
      </c>
      <c r="E843" s="633" t="s">
        <v>38</v>
      </c>
      <c r="F843" s="633" t="s">
        <v>35</v>
      </c>
      <c r="G843" s="420"/>
      <c r="H843" s="420"/>
      <c r="I843" s="43" t="s">
        <v>1124</v>
      </c>
      <c r="J843" s="634" t="s">
        <v>1125</v>
      </c>
      <c r="K843" s="419">
        <v>50</v>
      </c>
      <c r="L843" s="635">
        <f>L844</f>
        <v>81008621</v>
      </c>
      <c r="M843" s="419">
        <v>50</v>
      </c>
      <c r="N843" s="636">
        <f>N844</f>
        <v>81008621</v>
      </c>
      <c r="O843" s="637">
        <v>10</v>
      </c>
      <c r="P843" s="638">
        <f>P844</f>
        <v>0</v>
      </c>
      <c r="Q843" s="732">
        <v>0</v>
      </c>
      <c r="R843" s="692">
        <f>R844</f>
        <v>0</v>
      </c>
      <c r="S843" s="733"/>
      <c r="T843" s="641">
        <f>T844</f>
        <v>0</v>
      </c>
      <c r="U843" s="734"/>
      <c r="V843" s="728">
        <f>V844</f>
        <v>0</v>
      </c>
      <c r="W843" s="735"/>
      <c r="X843" s="641">
        <f>X844</f>
        <v>0</v>
      </c>
      <c r="Y843" s="732">
        <f>Q843+S843+U843+W843</f>
        <v>0</v>
      </c>
      <c r="Z843" s="692">
        <f>R843+T843+V843+X843</f>
        <v>0</v>
      </c>
      <c r="AA843" s="419">
        <f>M843+Y843</f>
        <v>50</v>
      </c>
      <c r="AB843" s="636">
        <f>N843+Z843</f>
        <v>81008621</v>
      </c>
      <c r="AC843" s="643">
        <f>(AA843/K843)*100</f>
        <v>100</v>
      </c>
      <c r="AD843" s="667">
        <f>(AB843/L843)*100</f>
        <v>100</v>
      </c>
      <c r="AE843" s="1683" t="s">
        <v>2865</v>
      </c>
      <c r="AF843" s="798"/>
      <c r="AG843" s="798"/>
      <c r="AH843" s="798"/>
      <c r="AI843" s="798"/>
      <c r="AJ843" s="798"/>
      <c r="AK843" s="798"/>
      <c r="AL843" s="798"/>
      <c r="AM843" s="798"/>
      <c r="AN843" s="798"/>
      <c r="AO843" s="798"/>
      <c r="AP843" s="798"/>
      <c r="AQ843" s="798"/>
      <c r="AR843" s="798"/>
      <c r="AS843" s="798"/>
      <c r="AT843" s="798"/>
      <c r="AU843" s="798"/>
      <c r="AV843" s="798"/>
      <c r="AW843" s="798"/>
      <c r="AX843" s="798"/>
      <c r="AY843" s="798"/>
      <c r="AZ843" s="798"/>
      <c r="BA843" s="798"/>
      <c r="BB843" s="798"/>
      <c r="BC843" s="799"/>
      <c r="BD843" s="799"/>
      <c r="BE843" s="799"/>
      <c r="BF843" s="799"/>
      <c r="BG843" s="799"/>
      <c r="BH843" s="799"/>
      <c r="BI843" s="799"/>
      <c r="BJ843" s="799"/>
      <c r="BK843" s="799"/>
      <c r="BL843" s="799"/>
      <c r="BM843" s="799"/>
      <c r="BN843" s="799"/>
      <c r="BO843" s="799"/>
      <c r="BP843" s="799"/>
      <c r="BQ843" s="799"/>
    </row>
    <row r="844" spans="1:70" ht="33">
      <c r="A844" s="678"/>
      <c r="B844" s="3"/>
      <c r="C844" s="677" t="s">
        <v>41</v>
      </c>
      <c r="D844" s="677" t="s">
        <v>28</v>
      </c>
      <c r="E844" s="677" t="s">
        <v>38</v>
      </c>
      <c r="F844" s="677" t="s">
        <v>54</v>
      </c>
      <c r="G844" s="677" t="s">
        <v>41</v>
      </c>
      <c r="H844" s="678"/>
      <c r="I844" s="3" t="s">
        <v>1126</v>
      </c>
      <c r="J844" s="2" t="s">
        <v>1127</v>
      </c>
      <c r="K844" s="412">
        <v>1</v>
      </c>
      <c r="L844" s="679">
        <f>N844</f>
        <v>81008621</v>
      </c>
      <c r="M844" s="412">
        <v>1</v>
      </c>
      <c r="N844" s="681">
        <v>81008621</v>
      </c>
      <c r="O844" s="682">
        <v>0</v>
      </c>
      <c r="P844" s="683">
        <v>0</v>
      </c>
      <c r="Q844" s="724">
        <v>0</v>
      </c>
      <c r="R844" s="684">
        <v>0</v>
      </c>
      <c r="S844" s="687"/>
      <c r="T844" s="685"/>
      <c r="U844" s="687"/>
      <c r="V844" s="725"/>
      <c r="W844" s="706"/>
      <c r="X844" s="685"/>
      <c r="Y844" s="724">
        <f>Q844+S844+U844+W844</f>
        <v>0</v>
      </c>
      <c r="Z844" s="684">
        <f>R844+T844+V844+X844</f>
        <v>0</v>
      </c>
      <c r="AA844" s="412">
        <f>M844+Y844</f>
        <v>1</v>
      </c>
      <c r="AB844" s="649">
        <f>N844+Z844</f>
        <v>81008621</v>
      </c>
      <c r="AC844" s="688">
        <f>(AA844/K844)*100</f>
        <v>100</v>
      </c>
      <c r="AD844" s="689">
        <f>(AB844/L844)*100</f>
        <v>100</v>
      </c>
      <c r="AE844" s="656"/>
      <c r="AF844" s="798"/>
      <c r="AG844" s="798"/>
      <c r="AH844" s="798"/>
      <c r="AI844" s="798"/>
      <c r="AJ844" s="798"/>
      <c r="AK844" s="798"/>
      <c r="AL844" s="798"/>
      <c r="AM844" s="798"/>
      <c r="AN844" s="798"/>
      <c r="AO844" s="798"/>
      <c r="AP844" s="798"/>
      <c r="AQ844" s="798"/>
      <c r="AR844" s="798"/>
      <c r="AS844" s="798"/>
      <c r="AT844" s="798"/>
      <c r="AU844" s="798"/>
      <c r="AV844" s="798"/>
      <c r="AW844" s="798"/>
      <c r="AX844" s="798"/>
      <c r="AY844" s="798"/>
      <c r="AZ844" s="798"/>
      <c r="BA844" s="798"/>
      <c r="BB844" s="798"/>
      <c r="BC844" s="799"/>
      <c r="BD844" s="799"/>
      <c r="BE844" s="799"/>
      <c r="BF844" s="799"/>
      <c r="BG844" s="799"/>
      <c r="BH844" s="799"/>
      <c r="BI844" s="799"/>
      <c r="BJ844" s="799"/>
      <c r="BK844" s="799"/>
      <c r="BL844" s="799"/>
      <c r="BM844" s="799"/>
      <c r="BN844" s="799"/>
      <c r="BO844" s="799"/>
      <c r="BP844" s="799"/>
      <c r="BQ844" s="799"/>
    </row>
    <row r="845" spans="1:70" s="1235" customFormat="1" ht="21.75" customHeight="1">
      <c r="A845" s="2737" t="s">
        <v>63</v>
      </c>
      <c r="B845" s="2737"/>
      <c r="C845" s="2741"/>
      <c r="D845" s="2741"/>
      <c r="E845" s="2741"/>
      <c r="F845" s="2741"/>
      <c r="G845" s="2741"/>
      <c r="H845" s="2741"/>
      <c r="I845" s="2741"/>
      <c r="J845" s="2741"/>
      <c r="K845" s="2741"/>
      <c r="L845" s="2741"/>
      <c r="M845" s="2741"/>
      <c r="N845" s="2741"/>
      <c r="O845" s="2741"/>
      <c r="P845" s="2741"/>
      <c r="Q845" s="2741"/>
      <c r="R845" s="2741"/>
      <c r="S845" s="2741"/>
      <c r="T845" s="2741"/>
      <c r="U845" s="2741"/>
      <c r="V845" s="2741"/>
      <c r="W845" s="2741"/>
      <c r="X845" s="2741"/>
      <c r="Y845" s="2741"/>
      <c r="Z845" s="2741"/>
      <c r="AA845" s="2741"/>
      <c r="AB845" s="2741"/>
      <c r="AC845" s="965">
        <f>(AC790+AC804+AC810+AC812+AC815+AC818+AC829+AC838+AC841+AC843)/10</f>
        <v>86.537499999999994</v>
      </c>
      <c r="AD845" s="965">
        <f>(AD790+AD804+AD810+AD812+AD815+AD818+AD829+AD838+AD841+AD843)/10</f>
        <v>80.682091065190178</v>
      </c>
      <c r="AE845" s="1701"/>
      <c r="AF845" s="1207"/>
      <c r="AG845" s="1207"/>
      <c r="AH845" s="1207"/>
      <c r="AI845" s="1207"/>
      <c r="AJ845" s="1207"/>
      <c r="AK845" s="1207"/>
      <c r="AL845" s="1207"/>
      <c r="AM845" s="1207"/>
      <c r="AN845" s="1207"/>
      <c r="AO845" s="1207"/>
      <c r="AP845" s="1207"/>
      <c r="AQ845" s="1207"/>
      <c r="AR845" s="1207"/>
      <c r="AS845" s="1207"/>
      <c r="AT845" s="1207"/>
      <c r="AU845" s="1207"/>
      <c r="AV845" s="1207"/>
      <c r="AW845" s="1207"/>
      <c r="AX845" s="1207"/>
      <c r="AY845" s="1207"/>
      <c r="AZ845" s="1207"/>
      <c r="BA845" s="1207"/>
      <c r="BB845" s="1207"/>
      <c r="BC845" s="1702"/>
      <c r="BD845" s="1702"/>
      <c r="BE845" s="1702"/>
      <c r="BF845" s="1702"/>
      <c r="BG845" s="1702"/>
      <c r="BH845" s="1702"/>
      <c r="BI845" s="1702"/>
      <c r="BJ845" s="1702"/>
      <c r="BK845" s="1702"/>
      <c r="BL845" s="1702"/>
      <c r="BM845" s="1702"/>
      <c r="BN845" s="1702"/>
      <c r="BO845" s="1702"/>
      <c r="BP845" s="1702"/>
      <c r="BQ845" s="1702"/>
      <c r="BR845" s="862"/>
    </row>
    <row r="846" spans="1:70" s="1235" customFormat="1" ht="24.75" customHeight="1">
      <c r="A846" s="2737" t="s">
        <v>64</v>
      </c>
      <c r="B846" s="2737"/>
      <c r="C846" s="2741"/>
      <c r="D846" s="2741"/>
      <c r="E846" s="2741"/>
      <c r="F846" s="2741"/>
      <c r="G846" s="2741"/>
      <c r="H846" s="2741"/>
      <c r="I846" s="2741"/>
      <c r="J846" s="2741"/>
      <c r="K846" s="2741"/>
      <c r="L846" s="2741"/>
      <c r="M846" s="2741"/>
      <c r="N846" s="2741"/>
      <c r="O846" s="2741"/>
      <c r="P846" s="2741"/>
      <c r="Q846" s="2741"/>
      <c r="R846" s="2741"/>
      <c r="S846" s="2741"/>
      <c r="T846" s="2741"/>
      <c r="U846" s="2741"/>
      <c r="V846" s="2741"/>
      <c r="W846" s="2741"/>
      <c r="X846" s="2741"/>
      <c r="Y846" s="2741"/>
      <c r="Z846" s="2741"/>
      <c r="AA846" s="2741"/>
      <c r="AB846" s="2741"/>
      <c r="AC846" s="604" t="str">
        <f>IF(AC845&gt;=91,"ST",IF(AC845&gt;=76,"T",IF(AC845&gt;=66,"S",IF(AC845&gt;=51,"R","SR"))))</f>
        <v>T</v>
      </c>
      <c r="AD846" s="604" t="str">
        <f>IF(AD845&gt;=91,"ST",IF(AD845&gt;=76,"T",IF(AD845&gt;=66,"S",IF(AD845&gt;=51,"R","SR"))))</f>
        <v>T</v>
      </c>
      <c r="AE846" s="1701"/>
      <c r="AF846" s="1703"/>
      <c r="AG846" s="1703"/>
      <c r="AH846" s="1703"/>
      <c r="AI846" s="1703"/>
      <c r="AJ846" s="1703"/>
      <c r="AK846" s="1703"/>
      <c r="AL846" s="1703"/>
      <c r="AM846" s="1703"/>
      <c r="AN846" s="1703"/>
      <c r="AO846" s="1703"/>
      <c r="AP846" s="1703"/>
      <c r="AQ846" s="1703"/>
      <c r="AR846" s="1703"/>
      <c r="AS846" s="1703"/>
      <c r="AT846" s="1703"/>
      <c r="AU846" s="1703"/>
      <c r="AV846" s="1703"/>
      <c r="AW846" s="1703"/>
      <c r="AX846" s="1703"/>
      <c r="AY846" s="1703"/>
      <c r="AZ846" s="1703"/>
      <c r="BA846" s="1703"/>
      <c r="BB846" s="1703"/>
      <c r="BC846" s="1704"/>
      <c r="BD846" s="1704"/>
      <c r="BE846" s="1704"/>
      <c r="BF846" s="1704"/>
      <c r="BG846" s="1704"/>
      <c r="BH846" s="1704"/>
      <c r="BI846" s="1704"/>
      <c r="BJ846" s="1704"/>
      <c r="BK846" s="1704"/>
      <c r="BL846" s="1704"/>
      <c r="BM846" s="1704"/>
      <c r="BN846" s="1704"/>
      <c r="BO846" s="1704"/>
      <c r="BP846" s="1704"/>
      <c r="BQ846" s="1704"/>
      <c r="BR846" s="862"/>
    </row>
    <row r="847" spans="1:70" s="1235" customFormat="1" ht="36" customHeight="1">
      <c r="A847" s="863" t="s">
        <v>91</v>
      </c>
      <c r="B847" s="1618"/>
      <c r="C847" s="863"/>
      <c r="D847" s="863"/>
      <c r="E847" s="863"/>
      <c r="F847" s="863"/>
      <c r="G847" s="863"/>
      <c r="H847" s="863"/>
      <c r="I847" s="2746" t="s">
        <v>112</v>
      </c>
      <c r="J847" s="2747"/>
      <c r="K847" s="1665"/>
      <c r="L847" s="1672">
        <f>SUM(L848+L861+L865+L867)</f>
        <v>27707500000</v>
      </c>
      <c r="M847" s="1665"/>
      <c r="N847" s="1672">
        <f>SUM(N848+N861+N865+N867)</f>
        <v>10805999000</v>
      </c>
      <c r="O847" s="1666"/>
      <c r="P847" s="1672">
        <f>SUM(P848+P861+P865+P867)</f>
        <v>5227214250</v>
      </c>
      <c r="Q847" s="1667"/>
      <c r="R847" s="1672">
        <f>SUM(R848+R861+R865+R867)</f>
        <v>1004896720</v>
      </c>
      <c r="S847" s="1618"/>
      <c r="T847" s="1320">
        <f>T848+T861+T865+T867</f>
        <v>2193338850</v>
      </c>
      <c r="U847" s="1618"/>
      <c r="V847" s="1680"/>
      <c r="W847" s="1618"/>
      <c r="X847" s="1320"/>
      <c r="Y847" s="1665"/>
      <c r="Z847" s="1672">
        <f>SUM(Z848+Z861+Z865+Z867)</f>
        <v>3198235570</v>
      </c>
      <c r="AA847" s="1665"/>
      <c r="AB847" s="1672">
        <f>SUM(AB848+AB861+AB865+AB867)</f>
        <v>14004234570</v>
      </c>
      <c r="AC847" s="1665"/>
      <c r="AD847" s="1665"/>
      <c r="AE847" s="1631"/>
      <c r="AF847" s="962"/>
      <c r="AG847" s="962"/>
      <c r="AH847" s="962"/>
      <c r="AI847" s="962"/>
      <c r="AJ847" s="962"/>
      <c r="AK847" s="962"/>
      <c r="AL847" s="962"/>
      <c r="AM847" s="962"/>
      <c r="AN847" s="962"/>
      <c r="AO847" s="962"/>
      <c r="AP847" s="962"/>
      <c r="AQ847" s="962"/>
      <c r="AR847" s="962"/>
      <c r="AS847" s="962"/>
      <c r="AT847" s="962"/>
      <c r="AU847" s="962"/>
      <c r="AV847" s="962"/>
      <c r="AW847" s="962"/>
      <c r="AX847" s="962"/>
      <c r="AY847" s="962"/>
      <c r="AZ847" s="962"/>
      <c r="BA847" s="962"/>
      <c r="BB847" s="962"/>
      <c r="BC847" s="963"/>
      <c r="BD847" s="963"/>
      <c r="BE847" s="963"/>
      <c r="BF847" s="963"/>
      <c r="BG847" s="963"/>
      <c r="BH847" s="963"/>
      <c r="BI847" s="963"/>
      <c r="BJ847" s="963"/>
      <c r="BK847" s="963"/>
      <c r="BL847" s="963"/>
      <c r="BM847" s="963"/>
      <c r="BN847" s="963"/>
      <c r="BO847" s="963"/>
      <c r="BP847" s="963"/>
      <c r="BQ847" s="963"/>
      <c r="BR847" s="862"/>
    </row>
    <row r="848" spans="1:70" s="752" customFormat="1" ht="82.5">
      <c r="A848" s="1012">
        <v>1</v>
      </c>
      <c r="B848" s="168"/>
      <c r="C848" s="1011">
        <v>3</v>
      </c>
      <c r="D848" s="1011" t="s">
        <v>34</v>
      </c>
      <c r="E848" s="1011" t="s">
        <v>28</v>
      </c>
      <c r="F848" s="1011" t="s">
        <v>25</v>
      </c>
      <c r="G848" s="1011">
        <v>26</v>
      </c>
      <c r="H848" s="1012"/>
      <c r="I848" s="169" t="s">
        <v>26</v>
      </c>
      <c r="J848" s="170" t="s">
        <v>2013</v>
      </c>
      <c r="K848" s="169">
        <v>72</v>
      </c>
      <c r="L848" s="1712">
        <f>SUM(L849:L860)</f>
        <v>4990000000</v>
      </c>
      <c r="M848" s="1013">
        <v>36</v>
      </c>
      <c r="N848" s="1715">
        <f>SUM(N849:N860)</f>
        <v>1202763000</v>
      </c>
      <c r="O848" s="776">
        <v>12</v>
      </c>
      <c r="P848" s="1712">
        <f>SUM(P849:P860)</f>
        <v>465308150</v>
      </c>
      <c r="Q848" s="1014">
        <v>3</v>
      </c>
      <c r="R848" s="1015">
        <f>SUM(R849:R860)</f>
        <v>141803870</v>
      </c>
      <c r="S848" s="966"/>
      <c r="T848" s="283">
        <f>SUM(T849:T860)</f>
        <v>118281660</v>
      </c>
      <c r="U848" s="169"/>
      <c r="V848" s="221">
        <f>SUM(V849:V860)</f>
        <v>0</v>
      </c>
      <c r="W848" s="169"/>
      <c r="X848" s="1015">
        <f>SUM(X849:X860)</f>
        <v>0</v>
      </c>
      <c r="Y848" s="1015">
        <f t="shared" ref="Y848:Y893" si="252">Q848+S848+U848+W848</f>
        <v>3</v>
      </c>
      <c r="Z848" s="1716">
        <f t="shared" ref="Z848:Z893" si="253">R848+T848+V848+X848</f>
        <v>260085530</v>
      </c>
      <c r="AA848" s="966">
        <f t="shared" ref="AA848:AA864" si="254">M848+Y848</f>
        <v>39</v>
      </c>
      <c r="AB848" s="1712">
        <f t="shared" ref="AB848:AB864" si="255">N848+Z848</f>
        <v>1462848530</v>
      </c>
      <c r="AC848" s="1016">
        <f t="shared" ref="AC848:AC863" si="256">(AA848/K848)*100</f>
        <v>54.166666666666664</v>
      </c>
      <c r="AD848" s="1017">
        <f t="shared" ref="AD848:AD863" si="257">(AB848/L848)*100</f>
        <v>29.315601803607215</v>
      </c>
      <c r="AE848" s="369" t="s">
        <v>4118</v>
      </c>
      <c r="AF848" s="870"/>
      <c r="AG848" s="870"/>
      <c r="AH848" s="870"/>
      <c r="AI848" s="870"/>
      <c r="AJ848" s="870"/>
      <c r="AK848" s="870"/>
      <c r="AL848" s="870"/>
      <c r="AM848" s="870"/>
      <c r="AN848" s="870"/>
      <c r="AO848" s="870"/>
      <c r="AP848" s="870"/>
      <c r="AQ848" s="870"/>
      <c r="AR848" s="870"/>
      <c r="AS848" s="870"/>
      <c r="AT848" s="870"/>
      <c r="AU848" s="870"/>
      <c r="AV848" s="870"/>
      <c r="AW848" s="870"/>
      <c r="AX848" s="870"/>
      <c r="AY848" s="870"/>
      <c r="AZ848" s="870"/>
      <c r="BA848" s="870"/>
      <c r="BB848" s="870"/>
      <c r="BC848" s="871"/>
      <c r="BD848" s="871"/>
      <c r="BE848" s="871"/>
      <c r="BF848" s="871"/>
      <c r="BG848" s="871"/>
      <c r="BH848" s="871"/>
      <c r="BI848" s="871"/>
      <c r="BJ848" s="871"/>
      <c r="BK848" s="871"/>
      <c r="BL848" s="871"/>
      <c r="BM848" s="871"/>
      <c r="BN848" s="871"/>
      <c r="BO848" s="871"/>
      <c r="BP848" s="871"/>
      <c r="BQ848" s="871"/>
    </row>
    <row r="849" spans="1:69" s="1288" customFormat="1" ht="66">
      <c r="A849" s="1018"/>
      <c r="B849" s="1019"/>
      <c r="C849" s="1020"/>
      <c r="D849" s="1020"/>
      <c r="E849" s="1021"/>
      <c r="F849" s="1020"/>
      <c r="G849" s="1020"/>
      <c r="H849" s="1022"/>
      <c r="I849" s="164" t="s">
        <v>613</v>
      </c>
      <c r="J849" s="165" t="s">
        <v>1280</v>
      </c>
      <c r="K849" s="164">
        <v>72</v>
      </c>
      <c r="L849" s="1714">
        <v>350000000</v>
      </c>
      <c r="M849" s="173">
        <v>36</v>
      </c>
      <c r="N849" s="181">
        <v>127549000</v>
      </c>
      <c r="O849" s="1032">
        <v>12</v>
      </c>
      <c r="P849" s="1714">
        <v>79800000</v>
      </c>
      <c r="Q849" s="164">
        <v>3</v>
      </c>
      <c r="R849" s="1033">
        <v>14430700</v>
      </c>
      <c r="S849" s="1023">
        <v>3</v>
      </c>
      <c r="T849" s="2680">
        <v>13274160</v>
      </c>
      <c r="U849" s="164"/>
      <c r="V849" s="1024"/>
      <c r="W849" s="1023"/>
      <c r="X849" s="1023"/>
      <c r="Y849" s="881">
        <f t="shared" si="252"/>
        <v>6</v>
      </c>
      <c r="Z849" s="1717">
        <f t="shared" si="253"/>
        <v>27704860</v>
      </c>
      <c r="AA849" s="1025">
        <f t="shared" si="254"/>
        <v>42</v>
      </c>
      <c r="AB849" s="1710">
        <f t="shared" si="255"/>
        <v>155253860</v>
      </c>
      <c r="AC849" s="1026">
        <f t="shared" si="256"/>
        <v>58.333333333333336</v>
      </c>
      <c r="AD849" s="1027">
        <f t="shared" si="257"/>
        <v>44.358245714285715</v>
      </c>
      <c r="AE849" s="481"/>
      <c r="AF849" s="962"/>
      <c r="AG849" s="962"/>
      <c r="AH849" s="962"/>
      <c r="AI849" s="962"/>
      <c r="AJ849" s="962"/>
      <c r="AK849" s="962"/>
      <c r="AL849" s="962"/>
      <c r="AM849" s="962"/>
      <c r="AN849" s="962"/>
      <c r="AO849" s="962"/>
      <c r="AP849" s="962"/>
      <c r="AQ849" s="962"/>
      <c r="AR849" s="962"/>
      <c r="AS849" s="962"/>
      <c r="AT849" s="962"/>
      <c r="AU849" s="962"/>
      <c r="AV849" s="962"/>
      <c r="AW849" s="962"/>
      <c r="AX849" s="962"/>
      <c r="AY849" s="962"/>
      <c r="AZ849" s="962"/>
      <c r="BA849" s="962"/>
      <c r="BB849" s="962"/>
      <c r="BC849" s="963"/>
      <c r="BD849" s="963"/>
      <c r="BE849" s="963"/>
      <c r="BF849" s="963"/>
      <c r="BG849" s="963"/>
      <c r="BH849" s="963"/>
      <c r="BI849" s="963"/>
      <c r="BJ849" s="963"/>
      <c r="BK849" s="963"/>
      <c r="BL849" s="963"/>
      <c r="BM849" s="963"/>
      <c r="BN849" s="963"/>
      <c r="BO849" s="963"/>
      <c r="BP849" s="963"/>
      <c r="BQ849" s="963"/>
    </row>
    <row r="850" spans="1:69" s="1288" customFormat="1" ht="66">
      <c r="A850" s="1018"/>
      <c r="B850" s="1028"/>
      <c r="C850" s="1020"/>
      <c r="D850" s="1020"/>
      <c r="E850" s="1021"/>
      <c r="F850" s="1020"/>
      <c r="G850" s="1020"/>
      <c r="H850" s="1022"/>
      <c r="I850" s="164" t="s">
        <v>614</v>
      </c>
      <c r="J850" s="165" t="s">
        <v>1281</v>
      </c>
      <c r="K850" s="164">
        <v>72</v>
      </c>
      <c r="L850" s="1714">
        <v>750000000</v>
      </c>
      <c r="M850" s="173">
        <v>36</v>
      </c>
      <c r="N850" s="181">
        <v>181741000</v>
      </c>
      <c r="O850" s="1032">
        <v>12</v>
      </c>
      <c r="P850" s="1714">
        <v>148350000</v>
      </c>
      <c r="Q850" s="164">
        <v>3</v>
      </c>
      <c r="R850" s="1033">
        <v>34950000</v>
      </c>
      <c r="S850" s="1023">
        <v>3</v>
      </c>
      <c r="T850" s="2680">
        <v>38950000</v>
      </c>
      <c r="U850" s="164"/>
      <c r="V850" s="1024"/>
      <c r="W850" s="1023"/>
      <c r="X850" s="1023"/>
      <c r="Y850" s="881">
        <f t="shared" si="252"/>
        <v>6</v>
      </c>
      <c r="Z850" s="1717">
        <f t="shared" si="253"/>
        <v>73900000</v>
      </c>
      <c r="AA850" s="1025">
        <f t="shared" si="254"/>
        <v>42</v>
      </c>
      <c r="AB850" s="1710">
        <f t="shared" si="255"/>
        <v>255641000</v>
      </c>
      <c r="AC850" s="1026">
        <f t="shared" si="256"/>
        <v>58.333333333333336</v>
      </c>
      <c r="AD850" s="1027">
        <f t="shared" si="257"/>
        <v>34.085466666666662</v>
      </c>
      <c r="AE850" s="481"/>
      <c r="AF850" s="962"/>
      <c r="AG850" s="962"/>
      <c r="AH850" s="962"/>
      <c r="AI850" s="962"/>
      <c r="AJ850" s="962"/>
      <c r="AK850" s="962"/>
      <c r="AL850" s="962"/>
      <c r="AM850" s="962"/>
      <c r="AN850" s="962"/>
      <c r="AO850" s="962"/>
      <c r="AP850" s="962"/>
      <c r="AQ850" s="962"/>
      <c r="AR850" s="962"/>
      <c r="AS850" s="962"/>
      <c r="AT850" s="962"/>
      <c r="AU850" s="962"/>
      <c r="AV850" s="962"/>
      <c r="AW850" s="962"/>
      <c r="AX850" s="962"/>
      <c r="AY850" s="962"/>
      <c r="AZ850" s="962"/>
      <c r="BA850" s="962"/>
      <c r="BB850" s="962"/>
      <c r="BC850" s="963"/>
      <c r="BD850" s="963"/>
      <c r="BE850" s="963"/>
      <c r="BF850" s="963"/>
      <c r="BG850" s="963"/>
      <c r="BH850" s="963"/>
      <c r="BI850" s="963"/>
      <c r="BJ850" s="963"/>
      <c r="BK850" s="963"/>
      <c r="BL850" s="963"/>
      <c r="BM850" s="963"/>
      <c r="BN850" s="963"/>
      <c r="BO850" s="963"/>
      <c r="BP850" s="963"/>
      <c r="BQ850" s="963"/>
    </row>
    <row r="851" spans="1:69" s="1288" customFormat="1" ht="66">
      <c r="A851" s="1018"/>
      <c r="B851" s="1028"/>
      <c r="C851" s="1020"/>
      <c r="D851" s="1020"/>
      <c r="E851" s="1021"/>
      <c r="F851" s="1020"/>
      <c r="G851" s="1020"/>
      <c r="H851" s="1022"/>
      <c r="I851" s="164" t="s">
        <v>616</v>
      </c>
      <c r="J851" s="165" t="s">
        <v>2913</v>
      </c>
      <c r="K851" s="164">
        <v>72</v>
      </c>
      <c r="L851" s="1714">
        <v>225000000</v>
      </c>
      <c r="M851" s="173">
        <v>36</v>
      </c>
      <c r="N851" s="181">
        <v>41368000</v>
      </c>
      <c r="O851" s="1032">
        <v>12</v>
      </c>
      <c r="P851" s="1714">
        <v>18426200</v>
      </c>
      <c r="Q851" s="164">
        <v>3</v>
      </c>
      <c r="R851" s="1033">
        <v>5297700</v>
      </c>
      <c r="S851" s="1023">
        <v>3</v>
      </c>
      <c r="T851" s="2678">
        <v>4000000</v>
      </c>
      <c r="U851" s="164"/>
      <c r="V851" s="1024"/>
      <c r="W851" s="1023"/>
      <c r="X851" s="1023"/>
      <c r="Y851" s="881">
        <f t="shared" si="252"/>
        <v>6</v>
      </c>
      <c r="Z851" s="1717">
        <f t="shared" si="253"/>
        <v>9297700</v>
      </c>
      <c r="AA851" s="1025">
        <f t="shared" si="254"/>
        <v>42</v>
      </c>
      <c r="AB851" s="1710">
        <f t="shared" si="255"/>
        <v>50665700</v>
      </c>
      <c r="AC851" s="1026">
        <f t="shared" si="256"/>
        <v>58.333333333333336</v>
      </c>
      <c r="AD851" s="1027">
        <f t="shared" si="257"/>
        <v>22.51808888888889</v>
      </c>
      <c r="AE851" s="481"/>
      <c r="AF851" s="962"/>
      <c r="AG851" s="962"/>
      <c r="AH851" s="962"/>
      <c r="AI851" s="962"/>
      <c r="AJ851" s="962"/>
      <c r="AK851" s="962"/>
      <c r="AL851" s="962"/>
      <c r="AM851" s="962"/>
      <c r="AN851" s="962"/>
      <c r="AO851" s="962"/>
      <c r="AP851" s="962"/>
      <c r="AQ851" s="962"/>
      <c r="AR851" s="962"/>
      <c r="AS851" s="962"/>
      <c r="AT851" s="962"/>
      <c r="AU851" s="962"/>
      <c r="AV851" s="962"/>
      <c r="AW851" s="962"/>
      <c r="AX851" s="962"/>
      <c r="AY851" s="962"/>
      <c r="AZ851" s="962"/>
      <c r="BA851" s="962"/>
      <c r="BB851" s="962"/>
      <c r="BC851" s="963"/>
      <c r="BD851" s="963"/>
      <c r="BE851" s="963"/>
      <c r="BF851" s="963"/>
      <c r="BG851" s="963"/>
      <c r="BH851" s="963"/>
      <c r="BI851" s="963"/>
      <c r="BJ851" s="963"/>
      <c r="BK851" s="963"/>
      <c r="BL851" s="963"/>
      <c r="BM851" s="963"/>
      <c r="BN851" s="963"/>
      <c r="BO851" s="963"/>
      <c r="BP851" s="963"/>
      <c r="BQ851" s="963"/>
    </row>
    <row r="852" spans="1:69" s="1288" customFormat="1" ht="66">
      <c r="A852" s="1029"/>
      <c r="B852" s="1028"/>
      <c r="C852" s="1021"/>
      <c r="D852" s="1021"/>
      <c r="E852" s="1021"/>
      <c r="F852" s="1021"/>
      <c r="G852" s="1021"/>
      <c r="H852" s="1028"/>
      <c r="I852" s="166" t="s">
        <v>420</v>
      </c>
      <c r="J852" s="167" t="s">
        <v>2914</v>
      </c>
      <c r="K852" s="166">
        <v>72</v>
      </c>
      <c r="L852" s="1713">
        <v>125000000</v>
      </c>
      <c r="M852" s="173">
        <v>36</v>
      </c>
      <c r="N852" s="181">
        <v>24266000</v>
      </c>
      <c r="O852" s="1307">
        <v>12</v>
      </c>
      <c r="P852" s="1713">
        <v>10375000</v>
      </c>
      <c r="Q852" s="166">
        <v>3</v>
      </c>
      <c r="R852" s="881">
        <v>1710000</v>
      </c>
      <c r="S852" s="1030">
        <v>3</v>
      </c>
      <c r="T852" s="2679">
        <v>4433500</v>
      </c>
      <c r="U852" s="166"/>
      <c r="V852" s="1031"/>
      <c r="W852" s="1030"/>
      <c r="X852" s="1030"/>
      <c r="Y852" s="881">
        <f t="shared" si="252"/>
        <v>6</v>
      </c>
      <c r="Z852" s="1717">
        <f t="shared" si="253"/>
        <v>6143500</v>
      </c>
      <c r="AA852" s="1025">
        <f t="shared" si="254"/>
        <v>42</v>
      </c>
      <c r="AB852" s="1710">
        <f t="shared" si="255"/>
        <v>30409500</v>
      </c>
      <c r="AC852" s="1026">
        <f t="shared" si="256"/>
        <v>58.333333333333336</v>
      </c>
      <c r="AD852" s="1027">
        <f t="shared" si="257"/>
        <v>24.3276</v>
      </c>
      <c r="AE852" s="481"/>
      <c r="AF852" s="962"/>
      <c r="AG852" s="962"/>
      <c r="AH852" s="962"/>
      <c r="AI852" s="962"/>
      <c r="AJ852" s="962"/>
      <c r="AK852" s="962"/>
      <c r="AL852" s="962"/>
      <c r="AM852" s="962"/>
      <c r="AN852" s="962"/>
      <c r="AO852" s="962"/>
      <c r="AP852" s="962"/>
      <c r="AQ852" s="962"/>
      <c r="AR852" s="962"/>
      <c r="AS852" s="962"/>
      <c r="AT852" s="962"/>
      <c r="AU852" s="962"/>
      <c r="AV852" s="962"/>
      <c r="AW852" s="962"/>
      <c r="AX852" s="962"/>
      <c r="AY852" s="962"/>
      <c r="AZ852" s="962"/>
      <c r="BA852" s="962"/>
      <c r="BB852" s="962"/>
      <c r="BC852" s="963"/>
      <c r="BD852" s="963"/>
      <c r="BE852" s="963"/>
      <c r="BF852" s="963"/>
      <c r="BG852" s="963"/>
      <c r="BH852" s="963"/>
      <c r="BI852" s="963"/>
      <c r="BJ852" s="963"/>
      <c r="BK852" s="963"/>
      <c r="BL852" s="963"/>
      <c r="BM852" s="963"/>
      <c r="BN852" s="963"/>
      <c r="BO852" s="963"/>
      <c r="BP852" s="963"/>
      <c r="BQ852" s="963"/>
    </row>
    <row r="853" spans="1:69" s="1288" customFormat="1" ht="49.5">
      <c r="A853" s="1018"/>
      <c r="B853" s="1028"/>
      <c r="C853" s="1020"/>
      <c r="D853" s="1020"/>
      <c r="E853" s="1021"/>
      <c r="F853" s="1020"/>
      <c r="G853" s="1020"/>
      <c r="H853" s="1022"/>
      <c r="I853" s="164" t="s">
        <v>32</v>
      </c>
      <c r="J853" s="165" t="s">
        <v>2915</v>
      </c>
      <c r="K853" s="164">
        <v>72</v>
      </c>
      <c r="L853" s="1714">
        <v>220000000</v>
      </c>
      <c r="M853" s="173">
        <v>36</v>
      </c>
      <c r="N853" s="181">
        <v>63732000</v>
      </c>
      <c r="O853" s="1032">
        <v>12</v>
      </c>
      <c r="P853" s="1714">
        <v>58565600</v>
      </c>
      <c r="Q853" s="164">
        <v>3</v>
      </c>
      <c r="R853" s="1033">
        <v>32906000</v>
      </c>
      <c r="S853" s="1023">
        <v>3</v>
      </c>
      <c r="T853" s="2678">
        <v>11139000</v>
      </c>
      <c r="U853" s="1023"/>
      <c r="V853" s="1024"/>
      <c r="W853" s="1023"/>
      <c r="X853" s="1023"/>
      <c r="Y853" s="881">
        <f t="shared" si="252"/>
        <v>6</v>
      </c>
      <c r="Z853" s="1717">
        <f t="shared" si="253"/>
        <v>44045000</v>
      </c>
      <c r="AA853" s="1025">
        <f t="shared" si="254"/>
        <v>42</v>
      </c>
      <c r="AB853" s="1710">
        <f t="shared" si="255"/>
        <v>107777000</v>
      </c>
      <c r="AC853" s="1026">
        <f t="shared" si="256"/>
        <v>58.333333333333336</v>
      </c>
      <c r="AD853" s="1027">
        <f t="shared" si="257"/>
        <v>48.98954545454545</v>
      </c>
      <c r="AE853" s="481"/>
      <c r="AF853" s="962"/>
      <c r="AG853" s="962"/>
      <c r="AH853" s="962"/>
      <c r="AI853" s="962"/>
      <c r="AJ853" s="962"/>
      <c r="AK853" s="962"/>
      <c r="AL853" s="962"/>
      <c r="AM853" s="962"/>
      <c r="AN853" s="962"/>
      <c r="AO853" s="962"/>
      <c r="AP853" s="962"/>
      <c r="AQ853" s="962"/>
      <c r="AR853" s="962"/>
      <c r="AS853" s="962"/>
      <c r="AT853" s="962"/>
      <c r="AU853" s="962"/>
      <c r="AV853" s="962"/>
      <c r="AW853" s="962"/>
      <c r="AX853" s="962"/>
      <c r="AY853" s="962"/>
      <c r="AZ853" s="962"/>
      <c r="BA853" s="962"/>
      <c r="BB853" s="962"/>
      <c r="BC853" s="963"/>
      <c r="BD853" s="963"/>
      <c r="BE853" s="963"/>
      <c r="BF853" s="963"/>
      <c r="BG853" s="963"/>
      <c r="BH853" s="963"/>
      <c r="BI853" s="963"/>
      <c r="BJ853" s="963"/>
      <c r="BK853" s="963"/>
      <c r="BL853" s="963"/>
      <c r="BM853" s="963"/>
      <c r="BN853" s="963"/>
      <c r="BO853" s="963"/>
      <c r="BP853" s="963"/>
      <c r="BQ853" s="963"/>
    </row>
    <row r="854" spans="1:69" s="1288" customFormat="1" ht="82.5">
      <c r="A854" s="1018"/>
      <c r="B854" s="1028"/>
      <c r="C854" s="1020"/>
      <c r="D854" s="1020"/>
      <c r="E854" s="1021"/>
      <c r="F854" s="1020"/>
      <c r="G854" s="1020"/>
      <c r="H854" s="1022"/>
      <c r="I854" s="164" t="s">
        <v>617</v>
      </c>
      <c r="J854" s="165" t="s">
        <v>2916</v>
      </c>
      <c r="K854" s="164">
        <v>72</v>
      </c>
      <c r="L854" s="1714">
        <v>120000000</v>
      </c>
      <c r="M854" s="173">
        <v>36</v>
      </c>
      <c r="N854" s="181">
        <v>36038000</v>
      </c>
      <c r="O854" s="1032">
        <v>12</v>
      </c>
      <c r="P854" s="1714">
        <v>24256200</v>
      </c>
      <c r="Q854" s="164">
        <v>3</v>
      </c>
      <c r="R854" s="1033">
        <v>6280000</v>
      </c>
      <c r="S854" s="1023">
        <v>3</v>
      </c>
      <c r="T854" s="2678">
        <v>1410000</v>
      </c>
      <c r="U854" s="1023"/>
      <c r="V854" s="1024"/>
      <c r="W854" s="1023"/>
      <c r="X854" s="1023"/>
      <c r="Y854" s="881">
        <f t="shared" si="252"/>
        <v>6</v>
      </c>
      <c r="Z854" s="1717">
        <f t="shared" si="253"/>
        <v>7690000</v>
      </c>
      <c r="AA854" s="1025">
        <f t="shared" si="254"/>
        <v>42</v>
      </c>
      <c r="AB854" s="1710">
        <f t="shared" si="255"/>
        <v>43728000</v>
      </c>
      <c r="AC854" s="1026">
        <f t="shared" si="256"/>
        <v>58.333333333333336</v>
      </c>
      <c r="AD854" s="1027">
        <f t="shared" si="257"/>
        <v>36.44</v>
      </c>
      <c r="AE854" s="481"/>
      <c r="AF854" s="962"/>
      <c r="AG854" s="962"/>
      <c r="AH854" s="962"/>
      <c r="AI854" s="962"/>
      <c r="AJ854" s="962"/>
      <c r="AK854" s="962"/>
      <c r="AL854" s="962"/>
      <c r="AM854" s="962"/>
      <c r="AN854" s="962"/>
      <c r="AO854" s="962"/>
      <c r="AP854" s="962"/>
      <c r="AQ854" s="962"/>
      <c r="AR854" s="962"/>
      <c r="AS854" s="962"/>
      <c r="AT854" s="962"/>
      <c r="AU854" s="962"/>
      <c r="AV854" s="962"/>
      <c r="AW854" s="962"/>
      <c r="AX854" s="962"/>
      <c r="AY854" s="962"/>
      <c r="AZ854" s="962"/>
      <c r="BA854" s="962"/>
      <c r="BB854" s="962"/>
      <c r="BC854" s="963"/>
      <c r="BD854" s="963"/>
      <c r="BE854" s="963"/>
      <c r="BF854" s="963"/>
      <c r="BG854" s="963"/>
      <c r="BH854" s="963"/>
      <c r="BI854" s="963"/>
      <c r="BJ854" s="963"/>
      <c r="BK854" s="963"/>
      <c r="BL854" s="963"/>
      <c r="BM854" s="963"/>
      <c r="BN854" s="963"/>
      <c r="BO854" s="963"/>
      <c r="BP854" s="963"/>
      <c r="BQ854" s="963"/>
    </row>
    <row r="855" spans="1:69" s="1288" customFormat="1" ht="66">
      <c r="A855" s="1018"/>
      <c r="B855" s="1028"/>
      <c r="C855" s="1020"/>
      <c r="D855" s="1020"/>
      <c r="E855" s="1021"/>
      <c r="F855" s="1020"/>
      <c r="G855" s="1020"/>
      <c r="H855" s="1022"/>
      <c r="I855" s="164" t="s">
        <v>618</v>
      </c>
      <c r="J855" s="165" t="s">
        <v>2917</v>
      </c>
      <c r="K855" s="164">
        <v>72</v>
      </c>
      <c r="L855" s="1714">
        <v>100000000</v>
      </c>
      <c r="M855" s="173">
        <v>36</v>
      </c>
      <c r="N855" s="181">
        <v>24049000</v>
      </c>
      <c r="O855" s="1032">
        <v>12</v>
      </c>
      <c r="P855" s="1714">
        <v>6910150</v>
      </c>
      <c r="Q855" s="164">
        <v>3</v>
      </c>
      <c r="R855" s="1033">
        <v>1502000</v>
      </c>
      <c r="S855" s="1023">
        <v>3</v>
      </c>
      <c r="T855" s="2678">
        <v>1949000</v>
      </c>
      <c r="U855" s="1023"/>
      <c r="V855" s="1024"/>
      <c r="W855" s="1023"/>
      <c r="X855" s="1023"/>
      <c r="Y855" s="881">
        <f t="shared" si="252"/>
        <v>6</v>
      </c>
      <c r="Z855" s="1717">
        <f t="shared" si="253"/>
        <v>3451000</v>
      </c>
      <c r="AA855" s="1025">
        <f t="shared" si="254"/>
        <v>42</v>
      </c>
      <c r="AB855" s="1710">
        <f t="shared" si="255"/>
        <v>27500000</v>
      </c>
      <c r="AC855" s="1026">
        <f t="shared" si="256"/>
        <v>58.333333333333336</v>
      </c>
      <c r="AD855" s="1027">
        <f t="shared" si="257"/>
        <v>27.500000000000004</v>
      </c>
      <c r="AE855" s="481"/>
      <c r="AF855" s="962"/>
      <c r="AG855" s="962"/>
      <c r="AH855" s="962"/>
      <c r="AI855" s="962"/>
      <c r="AJ855" s="962"/>
      <c r="AK855" s="962"/>
      <c r="AL855" s="962"/>
      <c r="AM855" s="962"/>
      <c r="AN855" s="962"/>
      <c r="AO855" s="962"/>
      <c r="AP855" s="962"/>
      <c r="AQ855" s="962"/>
      <c r="AR855" s="962"/>
      <c r="AS855" s="962"/>
      <c r="AT855" s="962"/>
      <c r="AU855" s="962"/>
      <c r="AV855" s="962"/>
      <c r="AW855" s="962"/>
      <c r="AX855" s="962"/>
      <c r="AY855" s="962"/>
      <c r="AZ855" s="962"/>
      <c r="BA855" s="962"/>
      <c r="BB855" s="962"/>
      <c r="BC855" s="963"/>
      <c r="BD855" s="963"/>
      <c r="BE855" s="963"/>
      <c r="BF855" s="963"/>
      <c r="BG855" s="963"/>
      <c r="BH855" s="963"/>
      <c r="BI855" s="963"/>
      <c r="BJ855" s="963"/>
      <c r="BK855" s="963"/>
      <c r="BL855" s="963"/>
      <c r="BM855" s="963"/>
      <c r="BN855" s="963"/>
      <c r="BO855" s="963"/>
      <c r="BP855" s="963"/>
      <c r="BQ855" s="963"/>
    </row>
    <row r="856" spans="1:69" s="1288" customFormat="1" ht="49.5">
      <c r="A856" s="1018"/>
      <c r="B856" s="1028"/>
      <c r="C856" s="1020"/>
      <c r="D856" s="1020"/>
      <c r="E856" s="1021"/>
      <c r="F856" s="1020"/>
      <c r="G856" s="1020"/>
      <c r="H856" s="1022"/>
      <c r="I856" s="164" t="s">
        <v>33</v>
      </c>
      <c r="J856" s="165" t="s">
        <v>1282</v>
      </c>
      <c r="K856" s="164">
        <v>80</v>
      </c>
      <c r="L856" s="1714">
        <v>750000000</v>
      </c>
      <c r="M856" s="173">
        <v>36</v>
      </c>
      <c r="N856" s="181">
        <v>225603000</v>
      </c>
      <c r="O856" s="1032">
        <v>0</v>
      </c>
      <c r="P856" s="1714">
        <v>0</v>
      </c>
      <c r="Q856" s="164">
        <v>0</v>
      </c>
      <c r="R856" s="1033">
        <v>0</v>
      </c>
      <c r="S856" s="1023">
        <v>3</v>
      </c>
      <c r="T856" s="2678">
        <v>0</v>
      </c>
      <c r="U856" s="1023"/>
      <c r="V856" s="1024"/>
      <c r="W856" s="1023"/>
      <c r="X856" s="1023"/>
      <c r="Y856" s="881">
        <f t="shared" si="252"/>
        <v>3</v>
      </c>
      <c r="Z856" s="1717">
        <f t="shared" si="253"/>
        <v>0</v>
      </c>
      <c r="AA856" s="1025">
        <f t="shared" si="254"/>
        <v>39</v>
      </c>
      <c r="AB856" s="1710">
        <f t="shared" si="255"/>
        <v>225603000</v>
      </c>
      <c r="AC856" s="1026">
        <f t="shared" si="256"/>
        <v>48.75</v>
      </c>
      <c r="AD856" s="1027">
        <f t="shared" si="257"/>
        <v>30.080400000000001</v>
      </c>
      <c r="AE856" s="481"/>
      <c r="AF856" s="962"/>
      <c r="AG856" s="962"/>
      <c r="AH856" s="962"/>
      <c r="AI856" s="962"/>
      <c r="AJ856" s="962"/>
      <c r="AK856" s="962"/>
      <c r="AL856" s="962"/>
      <c r="AM856" s="962"/>
      <c r="AN856" s="962"/>
      <c r="AO856" s="962"/>
      <c r="AP856" s="962"/>
      <c r="AQ856" s="962"/>
      <c r="AR856" s="962"/>
      <c r="AS856" s="962"/>
      <c r="AT856" s="962"/>
      <c r="AU856" s="962"/>
      <c r="AV856" s="962"/>
      <c r="AW856" s="962"/>
      <c r="AX856" s="962"/>
      <c r="AY856" s="962"/>
      <c r="AZ856" s="962"/>
      <c r="BA856" s="962"/>
      <c r="BB856" s="962"/>
      <c r="BC856" s="963"/>
      <c r="BD856" s="963"/>
      <c r="BE856" s="963"/>
      <c r="BF856" s="963"/>
      <c r="BG856" s="963"/>
      <c r="BH856" s="963"/>
      <c r="BI856" s="963"/>
      <c r="BJ856" s="963"/>
      <c r="BK856" s="963"/>
      <c r="BL856" s="963"/>
      <c r="BM856" s="963"/>
      <c r="BN856" s="963"/>
      <c r="BO856" s="963"/>
      <c r="BP856" s="963"/>
      <c r="BQ856" s="963"/>
    </row>
    <row r="857" spans="1:69" s="1288" customFormat="1" ht="49.5">
      <c r="A857" s="1018"/>
      <c r="B857" s="1028"/>
      <c r="C857" s="1020"/>
      <c r="D857" s="1020"/>
      <c r="E857" s="1021"/>
      <c r="F857" s="1020"/>
      <c r="G857" s="1020"/>
      <c r="H857" s="1022"/>
      <c r="I857" s="164" t="s">
        <v>1283</v>
      </c>
      <c r="J857" s="165" t="s">
        <v>2918</v>
      </c>
      <c r="K857" s="164">
        <v>72</v>
      </c>
      <c r="L857" s="1714">
        <v>75000000</v>
      </c>
      <c r="M857" s="173">
        <v>36</v>
      </c>
      <c r="N857" s="181">
        <v>16340000</v>
      </c>
      <c r="O857" s="1032">
        <v>12</v>
      </c>
      <c r="P857" s="1714">
        <v>8900000</v>
      </c>
      <c r="Q857" s="164">
        <v>3</v>
      </c>
      <c r="R857" s="1033">
        <v>5170000</v>
      </c>
      <c r="S857" s="1023">
        <v>3</v>
      </c>
      <c r="T857" s="2680">
        <v>1420000</v>
      </c>
      <c r="U857" s="1023"/>
      <c r="V857" s="1024"/>
      <c r="W857" s="1023"/>
      <c r="X857" s="1023"/>
      <c r="Y857" s="881">
        <f t="shared" si="252"/>
        <v>6</v>
      </c>
      <c r="Z857" s="1717">
        <f t="shared" si="253"/>
        <v>6590000</v>
      </c>
      <c r="AA857" s="1025">
        <f t="shared" si="254"/>
        <v>42</v>
      </c>
      <c r="AB857" s="1710">
        <f t="shared" si="255"/>
        <v>22930000</v>
      </c>
      <c r="AC857" s="1026">
        <f t="shared" si="256"/>
        <v>58.333333333333336</v>
      </c>
      <c r="AD857" s="1027">
        <f t="shared" si="257"/>
        <v>30.573333333333334</v>
      </c>
      <c r="AE857" s="481"/>
      <c r="AF857" s="962"/>
      <c r="AG857" s="962"/>
      <c r="AH857" s="962"/>
      <c r="AI857" s="962"/>
      <c r="AJ857" s="962"/>
      <c r="AK857" s="962"/>
      <c r="AL857" s="962"/>
      <c r="AM857" s="962"/>
      <c r="AN857" s="962"/>
      <c r="AO857" s="962"/>
      <c r="AP857" s="962"/>
      <c r="AQ857" s="962"/>
      <c r="AR857" s="962"/>
      <c r="AS857" s="962"/>
      <c r="AT857" s="962"/>
      <c r="AU857" s="962"/>
      <c r="AV857" s="962"/>
      <c r="AW857" s="962"/>
      <c r="AX857" s="962"/>
      <c r="AY857" s="962"/>
      <c r="AZ857" s="962"/>
      <c r="BA857" s="962"/>
      <c r="BB857" s="962"/>
      <c r="BC857" s="963"/>
      <c r="BD857" s="963"/>
      <c r="BE857" s="963"/>
      <c r="BF857" s="963"/>
      <c r="BG857" s="963"/>
      <c r="BH857" s="963"/>
      <c r="BI857" s="963"/>
      <c r="BJ857" s="963"/>
      <c r="BK857" s="963"/>
      <c r="BL857" s="963"/>
      <c r="BM857" s="963"/>
      <c r="BN857" s="963"/>
      <c r="BO857" s="963"/>
      <c r="BP857" s="963"/>
      <c r="BQ857" s="963"/>
    </row>
    <row r="858" spans="1:69" s="1288" customFormat="1" ht="49.5">
      <c r="A858" s="1018"/>
      <c r="B858" s="1028"/>
      <c r="C858" s="1020"/>
      <c r="D858" s="1020"/>
      <c r="E858" s="1021"/>
      <c r="F858" s="1020"/>
      <c r="G858" s="1020"/>
      <c r="H858" s="1022"/>
      <c r="I858" s="164" t="s">
        <v>620</v>
      </c>
      <c r="J858" s="165" t="s">
        <v>1284</v>
      </c>
      <c r="K858" s="164">
        <v>60</v>
      </c>
      <c r="L858" s="1714">
        <v>125000000</v>
      </c>
      <c r="M858" s="173">
        <v>36</v>
      </c>
      <c r="N858" s="181">
        <v>26137000</v>
      </c>
      <c r="O858" s="1032">
        <v>12</v>
      </c>
      <c r="P858" s="1714">
        <v>19800000</v>
      </c>
      <c r="Q858" s="164">
        <v>3</v>
      </c>
      <c r="R858" s="1033">
        <v>4185000</v>
      </c>
      <c r="S858" s="1023">
        <v>3</v>
      </c>
      <c r="T858" s="2680">
        <v>3376000</v>
      </c>
      <c r="U858" s="1023"/>
      <c r="V858" s="1024"/>
      <c r="W858" s="1023"/>
      <c r="X858" s="1023"/>
      <c r="Y858" s="881">
        <f t="shared" si="252"/>
        <v>6</v>
      </c>
      <c r="Z858" s="1717">
        <f t="shared" si="253"/>
        <v>7561000</v>
      </c>
      <c r="AA858" s="1025">
        <f t="shared" si="254"/>
        <v>42</v>
      </c>
      <c r="AB858" s="1710">
        <f t="shared" si="255"/>
        <v>33698000</v>
      </c>
      <c r="AC858" s="1026">
        <f t="shared" si="256"/>
        <v>70</v>
      </c>
      <c r="AD858" s="1027">
        <f t="shared" si="257"/>
        <v>26.958399999999997</v>
      </c>
      <c r="AE858" s="481"/>
      <c r="AF858" s="962"/>
      <c r="AG858" s="962"/>
      <c r="AH858" s="962"/>
      <c r="AI858" s="962"/>
      <c r="AJ858" s="962"/>
      <c r="AK858" s="962"/>
      <c r="AL858" s="962"/>
      <c r="AM858" s="962"/>
      <c r="AN858" s="962"/>
      <c r="AO858" s="962"/>
      <c r="AP858" s="962"/>
      <c r="AQ858" s="962"/>
      <c r="AR858" s="962"/>
      <c r="AS858" s="962"/>
      <c r="AT858" s="962"/>
      <c r="AU858" s="962"/>
      <c r="AV858" s="962"/>
      <c r="AW858" s="962"/>
      <c r="AX858" s="962"/>
      <c r="AY858" s="962"/>
      <c r="AZ858" s="962"/>
      <c r="BA858" s="962"/>
      <c r="BB858" s="962"/>
      <c r="BC858" s="963"/>
      <c r="BD858" s="963"/>
      <c r="BE858" s="963"/>
      <c r="BF858" s="963"/>
      <c r="BG858" s="963"/>
      <c r="BH858" s="963"/>
      <c r="BI858" s="963"/>
      <c r="BJ858" s="963"/>
      <c r="BK858" s="963"/>
      <c r="BL858" s="963"/>
      <c r="BM858" s="963"/>
      <c r="BN858" s="963"/>
      <c r="BO858" s="963"/>
      <c r="BP858" s="963"/>
      <c r="BQ858" s="963"/>
    </row>
    <row r="859" spans="1:69" s="1288" customFormat="1" ht="49.5">
      <c r="A859" s="1018"/>
      <c r="B859" s="1028"/>
      <c r="C859" s="1020"/>
      <c r="D859" s="1020"/>
      <c r="E859" s="1021"/>
      <c r="F859" s="1020"/>
      <c r="G859" s="1020"/>
      <c r="H859" s="1022"/>
      <c r="I859" s="164" t="s">
        <v>1285</v>
      </c>
      <c r="J859" s="165" t="s">
        <v>2919</v>
      </c>
      <c r="K859" s="164">
        <v>72</v>
      </c>
      <c r="L859" s="1714">
        <v>1250000000</v>
      </c>
      <c r="M859" s="173">
        <v>36</v>
      </c>
      <c r="N859" s="181">
        <v>296589000</v>
      </c>
      <c r="O859" s="1032">
        <v>12</v>
      </c>
      <c r="P859" s="1714">
        <v>28950000</v>
      </c>
      <c r="Q859" s="164">
        <v>3</v>
      </c>
      <c r="R859" s="1033">
        <v>7942500</v>
      </c>
      <c r="S859" s="1023">
        <v>3</v>
      </c>
      <c r="T859" s="2680">
        <v>12031750</v>
      </c>
      <c r="U859" s="1023"/>
      <c r="V859" s="1024"/>
      <c r="W859" s="1023"/>
      <c r="X859" s="1023"/>
      <c r="Y859" s="881">
        <f t="shared" si="252"/>
        <v>6</v>
      </c>
      <c r="Z859" s="1717">
        <f t="shared" si="253"/>
        <v>19974250</v>
      </c>
      <c r="AA859" s="1025">
        <f t="shared" si="254"/>
        <v>42</v>
      </c>
      <c r="AB859" s="1710">
        <f t="shared" si="255"/>
        <v>316563250</v>
      </c>
      <c r="AC859" s="1026">
        <f t="shared" si="256"/>
        <v>58.333333333333336</v>
      </c>
      <c r="AD859" s="1027">
        <f t="shared" si="257"/>
        <v>25.325060000000001</v>
      </c>
      <c r="AE859" s="481"/>
      <c r="AF859" s="962"/>
      <c r="AG859" s="962"/>
      <c r="AH859" s="962"/>
      <c r="AI859" s="962"/>
      <c r="AJ859" s="962"/>
      <c r="AK859" s="962"/>
      <c r="AL859" s="962"/>
      <c r="AM859" s="962"/>
      <c r="AN859" s="962"/>
      <c r="AO859" s="962"/>
      <c r="AP859" s="962"/>
      <c r="AQ859" s="962"/>
      <c r="AR859" s="962"/>
      <c r="AS859" s="962"/>
      <c r="AT859" s="962"/>
      <c r="AU859" s="962"/>
      <c r="AV859" s="962"/>
      <c r="AW859" s="962"/>
      <c r="AX859" s="962"/>
      <c r="AY859" s="962"/>
      <c r="AZ859" s="962"/>
      <c r="BA859" s="962"/>
      <c r="BB859" s="962"/>
      <c r="BC859" s="963"/>
      <c r="BD859" s="963"/>
      <c r="BE859" s="963"/>
      <c r="BF859" s="963"/>
      <c r="BG859" s="963"/>
      <c r="BH859" s="963"/>
      <c r="BI859" s="963"/>
      <c r="BJ859" s="963"/>
      <c r="BK859" s="963"/>
      <c r="BL859" s="963"/>
      <c r="BM859" s="963"/>
      <c r="BN859" s="963"/>
      <c r="BO859" s="963"/>
      <c r="BP859" s="963"/>
      <c r="BQ859" s="963"/>
    </row>
    <row r="860" spans="1:69" s="1288" customFormat="1" ht="49.5">
      <c r="A860" s="1018"/>
      <c r="B860" s="1019"/>
      <c r="C860" s="1020"/>
      <c r="D860" s="1020"/>
      <c r="E860" s="1021"/>
      <c r="F860" s="1020"/>
      <c r="G860" s="1020"/>
      <c r="H860" s="1022"/>
      <c r="I860" s="164" t="s">
        <v>1286</v>
      </c>
      <c r="J860" s="165" t="s">
        <v>2920</v>
      </c>
      <c r="K860" s="164">
        <v>72</v>
      </c>
      <c r="L860" s="1714">
        <v>900000000</v>
      </c>
      <c r="M860" s="173">
        <v>36</v>
      </c>
      <c r="N860" s="181">
        <v>139351000</v>
      </c>
      <c r="O860" s="1032">
        <v>12</v>
      </c>
      <c r="P860" s="1714">
        <v>60975000</v>
      </c>
      <c r="Q860" s="164">
        <v>3</v>
      </c>
      <c r="R860" s="1033">
        <v>27429970</v>
      </c>
      <c r="S860" s="1023">
        <v>3</v>
      </c>
      <c r="T860" s="2680">
        <v>26298250</v>
      </c>
      <c r="U860" s="164"/>
      <c r="V860" s="1024"/>
      <c r="W860" s="1023"/>
      <c r="X860" s="1023"/>
      <c r="Y860" s="881">
        <f t="shared" si="252"/>
        <v>6</v>
      </c>
      <c r="Z860" s="1717">
        <f t="shared" si="253"/>
        <v>53728220</v>
      </c>
      <c r="AA860" s="1025">
        <f t="shared" si="254"/>
        <v>42</v>
      </c>
      <c r="AB860" s="1710">
        <f t="shared" si="255"/>
        <v>193079220</v>
      </c>
      <c r="AC860" s="1026">
        <f t="shared" si="256"/>
        <v>58.333333333333336</v>
      </c>
      <c r="AD860" s="1026">
        <f t="shared" si="257"/>
        <v>21.453246666666669</v>
      </c>
      <c r="AE860" s="481"/>
      <c r="AF860" s="962"/>
      <c r="AG860" s="962"/>
      <c r="AH860" s="962"/>
      <c r="AI860" s="962"/>
      <c r="AJ860" s="962"/>
      <c r="AK860" s="962"/>
      <c r="AL860" s="962"/>
      <c r="AM860" s="962"/>
      <c r="AN860" s="962"/>
      <c r="AO860" s="962"/>
      <c r="AP860" s="962"/>
      <c r="AQ860" s="962"/>
      <c r="AR860" s="962"/>
      <c r="AS860" s="962"/>
      <c r="AT860" s="962"/>
      <c r="AU860" s="962"/>
      <c r="AV860" s="962"/>
      <c r="AW860" s="962"/>
      <c r="AX860" s="962"/>
      <c r="AY860" s="962"/>
      <c r="AZ860" s="962"/>
      <c r="BA860" s="962"/>
      <c r="BB860" s="962"/>
      <c r="BC860" s="963"/>
      <c r="BD860" s="963"/>
      <c r="BE860" s="963"/>
      <c r="BF860" s="963"/>
      <c r="BG860" s="963"/>
      <c r="BH860" s="963"/>
      <c r="BI860" s="963"/>
      <c r="BJ860" s="963"/>
      <c r="BK860" s="963"/>
      <c r="BL860" s="963"/>
      <c r="BM860" s="963"/>
      <c r="BN860" s="963"/>
      <c r="BO860" s="963"/>
      <c r="BP860" s="963"/>
      <c r="BQ860" s="963"/>
    </row>
    <row r="861" spans="1:69" s="752" customFormat="1" ht="66">
      <c r="A861" s="1012">
        <v>2</v>
      </c>
      <c r="B861" s="168"/>
      <c r="C861" s="1011">
        <v>3</v>
      </c>
      <c r="D861" s="1011" t="s">
        <v>34</v>
      </c>
      <c r="E861" s="1011" t="s">
        <v>28</v>
      </c>
      <c r="F861" s="1011" t="s">
        <v>25</v>
      </c>
      <c r="G861" s="1011">
        <v>26</v>
      </c>
      <c r="H861" s="1012"/>
      <c r="I861" s="169" t="s">
        <v>36</v>
      </c>
      <c r="J861" s="170" t="s">
        <v>2921</v>
      </c>
      <c r="K861" s="169">
        <v>72</v>
      </c>
      <c r="L861" s="1712">
        <f t="shared" ref="L861" si="258">SUM(L862:L863)</f>
        <v>1323000000</v>
      </c>
      <c r="M861" s="1013">
        <v>36</v>
      </c>
      <c r="N861" s="1715">
        <f>SUM(N862:N863)</f>
        <v>303596000</v>
      </c>
      <c r="O861" s="776">
        <v>12</v>
      </c>
      <c r="P861" s="1712">
        <f>SUM(P862:P864)</f>
        <v>634269000</v>
      </c>
      <c r="Q861" s="169">
        <v>3</v>
      </c>
      <c r="R861" s="1015">
        <f>SUM(R862:R864)</f>
        <v>60855000</v>
      </c>
      <c r="S861" s="966">
        <f t="shared" ref="S861:X861" si="259">SUM(S862:S863)</f>
        <v>6</v>
      </c>
      <c r="T861" s="283">
        <f>SUM(T862:T864)</f>
        <v>374461490</v>
      </c>
      <c r="U861" s="221">
        <f t="shared" si="259"/>
        <v>0</v>
      </c>
      <c r="V861" s="283">
        <f t="shared" si="259"/>
        <v>0</v>
      </c>
      <c r="W861" s="1015">
        <f t="shared" si="259"/>
        <v>0</v>
      </c>
      <c r="X861" s="1015">
        <f t="shared" si="259"/>
        <v>0</v>
      </c>
      <c r="Y861" s="1015">
        <f t="shared" si="252"/>
        <v>9</v>
      </c>
      <c r="Z861" s="1718">
        <f t="shared" si="253"/>
        <v>435316490</v>
      </c>
      <c r="AA861" s="1013">
        <f t="shared" si="254"/>
        <v>45</v>
      </c>
      <c r="AB861" s="1712">
        <f t="shared" si="255"/>
        <v>738912490</v>
      </c>
      <c r="AC861" s="1016">
        <f t="shared" si="256"/>
        <v>62.5</v>
      </c>
      <c r="AD861" s="1016">
        <f t="shared" si="257"/>
        <v>55.851284202569914</v>
      </c>
      <c r="AE861" s="369" t="s">
        <v>4118</v>
      </c>
      <c r="AF861" s="870"/>
      <c r="AG861" s="870"/>
      <c r="AH861" s="870"/>
      <c r="AI861" s="870"/>
      <c r="AJ861" s="870"/>
      <c r="AK861" s="870"/>
      <c r="AL861" s="870"/>
      <c r="AM861" s="870"/>
      <c r="AN861" s="870"/>
      <c r="AO861" s="870"/>
      <c r="AP861" s="870"/>
      <c r="AQ861" s="870"/>
      <c r="AR861" s="870"/>
      <c r="AS861" s="870"/>
      <c r="AT861" s="870"/>
      <c r="AU861" s="870"/>
      <c r="AV861" s="870"/>
      <c r="AW861" s="870"/>
      <c r="AX861" s="870"/>
      <c r="AY861" s="870"/>
      <c r="AZ861" s="870"/>
      <c r="BA861" s="870"/>
      <c r="BB861" s="870"/>
      <c r="BC861" s="871"/>
      <c r="BD861" s="871"/>
      <c r="BE861" s="871"/>
      <c r="BF861" s="871"/>
      <c r="BG861" s="871"/>
      <c r="BH861" s="871"/>
      <c r="BI861" s="871"/>
      <c r="BJ861" s="871"/>
      <c r="BK861" s="871"/>
      <c r="BL861" s="871"/>
      <c r="BM861" s="871"/>
      <c r="BN861" s="871"/>
      <c r="BO861" s="871"/>
      <c r="BP861" s="871"/>
      <c r="BQ861" s="871"/>
    </row>
    <row r="862" spans="1:69" s="1288" customFormat="1" ht="49.5">
      <c r="A862" s="1018"/>
      <c r="B862" s="1019"/>
      <c r="C862" s="1020"/>
      <c r="D862" s="1020"/>
      <c r="E862" s="1021"/>
      <c r="F862" s="1020"/>
      <c r="G862" s="1020"/>
      <c r="H862" s="1022"/>
      <c r="I862" s="164" t="s">
        <v>1821</v>
      </c>
      <c r="J862" s="165" t="s">
        <v>2922</v>
      </c>
      <c r="K862" s="164">
        <v>72</v>
      </c>
      <c r="L862" s="1714">
        <v>500000000</v>
      </c>
      <c r="M862" s="173">
        <v>36</v>
      </c>
      <c r="N862" s="181">
        <v>123072000</v>
      </c>
      <c r="O862" s="173">
        <v>12</v>
      </c>
      <c r="P862" s="1714">
        <v>10247000</v>
      </c>
      <c r="Q862" s="164">
        <v>3</v>
      </c>
      <c r="R862" s="1033">
        <v>0</v>
      </c>
      <c r="S862" s="1023">
        <v>3</v>
      </c>
      <c r="T862" s="2680">
        <v>10000000</v>
      </c>
      <c r="U862" s="164"/>
      <c r="V862" s="1024"/>
      <c r="W862" s="1023"/>
      <c r="X862" s="1023"/>
      <c r="Y862" s="881">
        <f t="shared" si="252"/>
        <v>6</v>
      </c>
      <c r="Z862" s="1719">
        <f t="shared" si="253"/>
        <v>10000000</v>
      </c>
      <c r="AA862" s="172">
        <f t="shared" si="254"/>
        <v>42</v>
      </c>
      <c r="AB862" s="1722">
        <f t="shared" si="255"/>
        <v>133072000</v>
      </c>
      <c r="AC862" s="1026">
        <f t="shared" si="256"/>
        <v>58.333333333333336</v>
      </c>
      <c r="AD862" s="1027">
        <f t="shared" si="257"/>
        <v>26.6144</v>
      </c>
      <c r="AE862" s="481"/>
      <c r="AF862" s="962"/>
      <c r="AG862" s="962"/>
      <c r="AH862" s="962"/>
      <c r="AI862" s="962"/>
      <c r="AJ862" s="962"/>
      <c r="AK862" s="962"/>
      <c r="AL862" s="962"/>
      <c r="AM862" s="962"/>
      <c r="AN862" s="962"/>
      <c r="AO862" s="962"/>
      <c r="AP862" s="962"/>
      <c r="AQ862" s="962"/>
      <c r="AR862" s="962"/>
      <c r="AS862" s="962"/>
      <c r="AT862" s="962"/>
      <c r="AU862" s="962"/>
      <c r="AV862" s="962"/>
      <c r="AW862" s="962"/>
      <c r="AX862" s="962"/>
      <c r="AY862" s="962"/>
      <c r="AZ862" s="962"/>
      <c r="BA862" s="962"/>
      <c r="BB862" s="962"/>
      <c r="BC862" s="963"/>
      <c r="BD862" s="963"/>
      <c r="BE862" s="963"/>
      <c r="BF862" s="963"/>
      <c r="BG862" s="963"/>
      <c r="BH862" s="963"/>
      <c r="BI862" s="963"/>
      <c r="BJ862" s="963"/>
      <c r="BK862" s="963"/>
      <c r="BL862" s="963"/>
      <c r="BM862" s="963"/>
      <c r="BN862" s="963"/>
      <c r="BO862" s="963"/>
      <c r="BP862" s="963"/>
      <c r="BQ862" s="963"/>
    </row>
    <row r="863" spans="1:69" s="1288" customFormat="1" ht="49.5">
      <c r="A863" s="1018"/>
      <c r="B863" s="1028"/>
      <c r="C863" s="1020"/>
      <c r="D863" s="1020"/>
      <c r="E863" s="1021"/>
      <c r="F863" s="1020"/>
      <c r="G863" s="1020"/>
      <c r="H863" s="1022"/>
      <c r="I863" s="164" t="s">
        <v>2923</v>
      </c>
      <c r="J863" s="165" t="s">
        <v>2924</v>
      </c>
      <c r="K863" s="164">
        <v>72</v>
      </c>
      <c r="L863" s="1714">
        <v>823000000</v>
      </c>
      <c r="M863" s="173">
        <v>36</v>
      </c>
      <c r="N863" s="181">
        <v>180524000</v>
      </c>
      <c r="O863" s="173">
        <v>12</v>
      </c>
      <c r="P863" s="1714">
        <v>60572000</v>
      </c>
      <c r="Q863" s="164">
        <v>3</v>
      </c>
      <c r="R863" s="1033">
        <v>7255000</v>
      </c>
      <c r="S863" s="1023">
        <v>3</v>
      </c>
      <c r="T863" s="2680">
        <v>16385050</v>
      </c>
      <c r="U863" s="164"/>
      <c r="V863" s="1024"/>
      <c r="W863" s="1023"/>
      <c r="X863" s="1023"/>
      <c r="Y863" s="881">
        <f t="shared" si="252"/>
        <v>6</v>
      </c>
      <c r="Z863" s="1719">
        <f t="shared" si="253"/>
        <v>23640050</v>
      </c>
      <c r="AA863" s="177">
        <f t="shared" si="254"/>
        <v>42</v>
      </c>
      <c r="AB863" s="1710">
        <f t="shared" si="255"/>
        <v>204164050</v>
      </c>
      <c r="AC863" s="1026">
        <f t="shared" si="256"/>
        <v>58.333333333333336</v>
      </c>
      <c r="AD863" s="1027">
        <f t="shared" si="257"/>
        <v>24.807296476306199</v>
      </c>
      <c r="AE863" s="481"/>
      <c r="AF863" s="962"/>
      <c r="AG863" s="962"/>
      <c r="AH863" s="962"/>
      <c r="AI863" s="962"/>
      <c r="AJ863" s="962"/>
      <c r="AK863" s="962"/>
      <c r="AL863" s="962"/>
      <c r="AM863" s="962"/>
      <c r="AN863" s="962"/>
      <c r="AO863" s="962"/>
      <c r="AP863" s="962"/>
      <c r="AQ863" s="962"/>
      <c r="AR863" s="962"/>
      <c r="AS863" s="962"/>
      <c r="AT863" s="962"/>
      <c r="AU863" s="962"/>
      <c r="AV863" s="962"/>
      <c r="AW863" s="962"/>
      <c r="AX863" s="962"/>
      <c r="AY863" s="962"/>
      <c r="AZ863" s="962"/>
      <c r="BA863" s="962"/>
      <c r="BB863" s="962"/>
      <c r="BC863" s="963"/>
      <c r="BD863" s="963"/>
      <c r="BE863" s="963"/>
      <c r="BF863" s="963"/>
      <c r="BG863" s="963"/>
      <c r="BH863" s="963"/>
      <c r="BI863" s="963"/>
      <c r="BJ863" s="963"/>
      <c r="BK863" s="963"/>
      <c r="BL863" s="963"/>
      <c r="BM863" s="963"/>
      <c r="BN863" s="963"/>
      <c r="BO863" s="963"/>
      <c r="BP863" s="963"/>
      <c r="BQ863" s="963"/>
    </row>
    <row r="864" spans="1:69" s="1288" customFormat="1" ht="33">
      <c r="A864" s="1018"/>
      <c r="B864" s="1028"/>
      <c r="C864" s="1020"/>
      <c r="D864" s="1020"/>
      <c r="E864" s="1021"/>
      <c r="F864" s="1020"/>
      <c r="G864" s="1020"/>
      <c r="H864" s="1022"/>
      <c r="I864" s="164" t="s">
        <v>82</v>
      </c>
      <c r="J864" s="165" t="s">
        <v>2925</v>
      </c>
      <c r="K864" s="164">
        <v>5</v>
      </c>
      <c r="L864" s="1714">
        <v>100000000</v>
      </c>
      <c r="M864" s="173">
        <v>1</v>
      </c>
      <c r="N864" s="181">
        <v>24049000</v>
      </c>
      <c r="O864" s="173">
        <v>2</v>
      </c>
      <c r="P864" s="1714">
        <v>563450000</v>
      </c>
      <c r="Q864" s="164">
        <v>1</v>
      </c>
      <c r="R864" s="1033">
        <v>53600000</v>
      </c>
      <c r="S864" s="1023">
        <v>3</v>
      </c>
      <c r="T864" s="2680">
        <v>348076440</v>
      </c>
      <c r="U864" s="164"/>
      <c r="V864" s="1024"/>
      <c r="W864" s="1023"/>
      <c r="X864" s="1023"/>
      <c r="Y864" s="881">
        <f t="shared" si="252"/>
        <v>4</v>
      </c>
      <c r="Z864" s="1719">
        <f t="shared" si="253"/>
        <v>401676440</v>
      </c>
      <c r="AA864" s="173">
        <f t="shared" si="254"/>
        <v>5</v>
      </c>
      <c r="AB864" s="1722">
        <f t="shared" si="255"/>
        <v>425725440</v>
      </c>
      <c r="AC864" s="1026"/>
      <c r="AD864" s="1027"/>
      <c r="AE864" s="481"/>
      <c r="AF864" s="962"/>
      <c r="AG864" s="962"/>
      <c r="AH864" s="962"/>
      <c r="AI864" s="962"/>
      <c r="AJ864" s="962"/>
      <c r="AK864" s="962"/>
      <c r="AL864" s="962"/>
      <c r="AM864" s="962"/>
      <c r="AN864" s="962"/>
      <c r="AO864" s="962"/>
      <c r="AP864" s="962"/>
      <c r="AQ864" s="962"/>
      <c r="AR864" s="962"/>
      <c r="AS864" s="962"/>
      <c r="AT864" s="962"/>
      <c r="AU864" s="962"/>
      <c r="AV864" s="962"/>
      <c r="AW864" s="962"/>
      <c r="AX864" s="962"/>
      <c r="AY864" s="962"/>
      <c r="AZ864" s="962"/>
      <c r="BA864" s="962"/>
      <c r="BB864" s="962"/>
      <c r="BC864" s="963"/>
      <c r="BD864" s="963"/>
      <c r="BE864" s="963"/>
      <c r="BF864" s="963"/>
      <c r="BG864" s="963"/>
      <c r="BH864" s="963"/>
      <c r="BI864" s="963"/>
      <c r="BJ864" s="963"/>
      <c r="BK864" s="963"/>
      <c r="BL864" s="963"/>
      <c r="BM864" s="963"/>
      <c r="BN864" s="963"/>
      <c r="BO864" s="963"/>
      <c r="BP864" s="963"/>
      <c r="BQ864" s="963"/>
    </row>
    <row r="865" spans="1:70" s="752" customFormat="1" ht="82.5">
      <c r="A865" s="1012">
        <v>3</v>
      </c>
      <c r="B865" s="168"/>
      <c r="C865" s="1011">
        <v>3</v>
      </c>
      <c r="D865" s="1011" t="s">
        <v>34</v>
      </c>
      <c r="E865" s="1011" t="s">
        <v>28</v>
      </c>
      <c r="F865" s="1011" t="s">
        <v>25</v>
      </c>
      <c r="G865" s="1011">
        <v>26</v>
      </c>
      <c r="H865" s="1012"/>
      <c r="I865" s="169" t="s">
        <v>1287</v>
      </c>
      <c r="J865" s="170" t="s">
        <v>2926</v>
      </c>
      <c r="K865" s="169">
        <v>100</v>
      </c>
      <c r="L865" s="1712">
        <f>L866</f>
        <v>280000000</v>
      </c>
      <c r="M865" s="1013">
        <v>90</v>
      </c>
      <c r="N865" s="1715">
        <f>N866</f>
        <v>70011000</v>
      </c>
      <c r="O865" s="776">
        <v>5</v>
      </c>
      <c r="P865" s="1712">
        <f>SUM(P866)</f>
        <v>0</v>
      </c>
      <c r="Q865" s="169">
        <v>1</v>
      </c>
      <c r="R865" s="1015">
        <f t="shared" ref="R865:V865" si="260">R866</f>
        <v>20575850</v>
      </c>
      <c r="S865" s="966">
        <f t="shared" si="260"/>
        <v>4</v>
      </c>
      <c r="T865" s="283">
        <f t="shared" si="260"/>
        <v>10741750</v>
      </c>
      <c r="U865" s="221">
        <f t="shared" si="260"/>
        <v>0</v>
      </c>
      <c r="V865" s="283">
        <f t="shared" si="260"/>
        <v>0</v>
      </c>
      <c r="W865" s="1015">
        <f>W866</f>
        <v>0</v>
      </c>
      <c r="X865" s="1015">
        <f>X866</f>
        <v>0</v>
      </c>
      <c r="Y865" s="1015">
        <f t="shared" si="252"/>
        <v>5</v>
      </c>
      <c r="Z865" s="1716">
        <f t="shared" si="253"/>
        <v>31317600</v>
      </c>
      <c r="AA865" s="966">
        <f>AA866</f>
        <v>15</v>
      </c>
      <c r="AB865" s="1712">
        <f>AB866</f>
        <v>101328600</v>
      </c>
      <c r="AC865" s="1723">
        <f>(AA865/K865)*100</f>
        <v>15</v>
      </c>
      <c r="AD865" s="1724">
        <f>(AB865/L865)*100</f>
        <v>36.188785714285714</v>
      </c>
      <c r="AE865" s="369" t="s">
        <v>4118</v>
      </c>
      <c r="AF865" s="870"/>
      <c r="AG865" s="870"/>
      <c r="AH865" s="870"/>
      <c r="AI865" s="870"/>
      <c r="AJ865" s="870"/>
      <c r="AK865" s="870"/>
      <c r="AL865" s="870"/>
      <c r="AM865" s="870"/>
      <c r="AN865" s="870"/>
      <c r="AO865" s="870"/>
      <c r="AP865" s="870"/>
      <c r="AQ865" s="870"/>
      <c r="AR865" s="870"/>
      <c r="AS865" s="870"/>
      <c r="AT865" s="870"/>
      <c r="AU865" s="870"/>
      <c r="AV865" s="870"/>
      <c r="AW865" s="870"/>
      <c r="AX865" s="870"/>
      <c r="AY865" s="870"/>
      <c r="AZ865" s="870"/>
      <c r="BA865" s="870"/>
      <c r="BB865" s="870"/>
      <c r="BC865" s="871"/>
      <c r="BD865" s="871"/>
      <c r="BE865" s="871"/>
      <c r="BF865" s="871"/>
      <c r="BG865" s="871"/>
      <c r="BH865" s="871"/>
      <c r="BI865" s="871"/>
      <c r="BJ865" s="871"/>
      <c r="BK865" s="871"/>
      <c r="BL865" s="871"/>
      <c r="BM865" s="871"/>
      <c r="BN865" s="871"/>
      <c r="BO865" s="871"/>
      <c r="BP865" s="871"/>
      <c r="BQ865" s="871"/>
    </row>
    <row r="866" spans="1:70" s="1288" customFormat="1" ht="66">
      <c r="A866" s="1018"/>
      <c r="B866" s="1019"/>
      <c r="C866" s="1020"/>
      <c r="D866" s="1020"/>
      <c r="E866" s="1021"/>
      <c r="F866" s="1020"/>
      <c r="G866" s="1020"/>
      <c r="H866" s="1022"/>
      <c r="I866" s="164" t="s">
        <v>1288</v>
      </c>
      <c r="J866" s="165" t="s">
        <v>1289</v>
      </c>
      <c r="K866" s="164">
        <v>40</v>
      </c>
      <c r="L866" s="1714">
        <v>280000000</v>
      </c>
      <c r="M866" s="173">
        <v>8</v>
      </c>
      <c r="N866" s="181">
        <v>70011000</v>
      </c>
      <c r="O866" s="1032">
        <v>8</v>
      </c>
      <c r="P866" s="1714">
        <v>0</v>
      </c>
      <c r="Q866" s="164">
        <v>3</v>
      </c>
      <c r="R866" s="1033">
        <v>20575850</v>
      </c>
      <c r="S866" s="1023">
        <v>4</v>
      </c>
      <c r="T866" s="2680">
        <v>10741750</v>
      </c>
      <c r="U866" s="164"/>
      <c r="V866" s="1024"/>
      <c r="W866" s="1023"/>
      <c r="X866" s="1023"/>
      <c r="Y866" s="1033">
        <f t="shared" si="252"/>
        <v>7</v>
      </c>
      <c r="Z866" s="1725">
        <f t="shared" si="253"/>
        <v>31317600</v>
      </c>
      <c r="AA866" s="177">
        <f>M866+Y866</f>
        <v>15</v>
      </c>
      <c r="AB866" s="1710">
        <f>N866+Z866</f>
        <v>101328600</v>
      </c>
      <c r="AC866" s="1045">
        <f>(AA866/K866)*100</f>
        <v>37.5</v>
      </c>
      <c r="AD866" s="1046">
        <f>(AB866/L866)*100</f>
        <v>36.188785714285714</v>
      </c>
      <c r="AE866" s="481"/>
      <c r="AF866" s="962"/>
      <c r="AG866" s="962"/>
      <c r="AH866" s="962"/>
      <c r="AI866" s="962"/>
      <c r="AJ866" s="962"/>
      <c r="AK866" s="962"/>
      <c r="AL866" s="962"/>
      <c r="AM866" s="962"/>
      <c r="AN866" s="962"/>
      <c r="AO866" s="962"/>
      <c r="AP866" s="962"/>
      <c r="AQ866" s="962"/>
      <c r="AR866" s="962"/>
      <c r="AS866" s="962"/>
      <c r="AT866" s="962"/>
      <c r="AU866" s="962"/>
      <c r="AV866" s="962"/>
      <c r="AW866" s="962"/>
      <c r="AX866" s="962"/>
      <c r="AY866" s="962"/>
      <c r="AZ866" s="962"/>
      <c r="BA866" s="962"/>
      <c r="BB866" s="962"/>
      <c r="BC866" s="963"/>
      <c r="BD866" s="963"/>
      <c r="BE866" s="963"/>
      <c r="BF866" s="963"/>
      <c r="BG866" s="963"/>
      <c r="BH866" s="963"/>
      <c r="BI866" s="963"/>
      <c r="BJ866" s="963"/>
      <c r="BK866" s="963"/>
      <c r="BL866" s="963"/>
      <c r="BM866" s="963"/>
      <c r="BN866" s="963"/>
      <c r="BO866" s="963"/>
      <c r="BP866" s="963"/>
      <c r="BQ866" s="963"/>
    </row>
    <row r="867" spans="1:70" s="22" customFormat="1" ht="66">
      <c r="A867" s="1012">
        <v>4</v>
      </c>
      <c r="B867" s="168"/>
      <c r="C867" s="1011">
        <v>3</v>
      </c>
      <c r="D867" s="1011" t="s">
        <v>34</v>
      </c>
      <c r="E867" s="1011" t="s">
        <v>28</v>
      </c>
      <c r="F867" s="1011" t="s">
        <v>25</v>
      </c>
      <c r="G867" s="1011" t="s">
        <v>35</v>
      </c>
      <c r="H867" s="1012"/>
      <c r="I867" s="169" t="s">
        <v>240</v>
      </c>
      <c r="J867" s="170" t="s">
        <v>2927</v>
      </c>
      <c r="K867" s="1711">
        <v>0.95</v>
      </c>
      <c r="L867" s="1712">
        <f>SUM(L868:L893)</f>
        <v>21114500000</v>
      </c>
      <c r="M867" s="1711">
        <v>0.88</v>
      </c>
      <c r="N867" s="1015">
        <f>SUM(N868:N893)</f>
        <v>9229629000</v>
      </c>
      <c r="O867" s="584">
        <v>0.3</v>
      </c>
      <c r="P867" s="1712">
        <f>SUM(P868:P893)</f>
        <v>4127637100</v>
      </c>
      <c r="Q867" s="1711">
        <v>0.1</v>
      </c>
      <c r="R867" s="1015">
        <f>SUM(R868:R892)</f>
        <v>781662000</v>
      </c>
      <c r="S867" s="966"/>
      <c r="T867" s="283">
        <f>SUM(T868:T893)</f>
        <v>1689853950</v>
      </c>
      <c r="U867" s="169"/>
      <c r="V867" s="966">
        <f>SUM(V868:V892)</f>
        <v>0</v>
      </c>
      <c r="W867" s="169"/>
      <c r="X867" s="966">
        <f>SUM(X868:X892)</f>
        <v>0</v>
      </c>
      <c r="Y867" s="1015">
        <f t="shared" si="252"/>
        <v>0.1</v>
      </c>
      <c r="Z867" s="1726">
        <f t="shared" si="253"/>
        <v>2471515950</v>
      </c>
      <c r="AA867" s="1034">
        <f>M867</f>
        <v>0.88</v>
      </c>
      <c r="AB867" s="1712">
        <f t="shared" ref="AB867:AB893" si="261">N867+Z867</f>
        <v>11701144950</v>
      </c>
      <c r="AC867" s="1035">
        <f>AA868/K868*100</f>
        <v>37.5</v>
      </c>
      <c r="AD867" s="1035">
        <f>(AB867/L867)*100</f>
        <v>55.417580098984111</v>
      </c>
      <c r="AE867" s="369" t="s">
        <v>4118</v>
      </c>
      <c r="AF867" s="870"/>
      <c r="AG867" s="870"/>
      <c r="AH867" s="870"/>
      <c r="AI867" s="870"/>
      <c r="AJ867" s="870"/>
      <c r="AK867" s="870"/>
      <c r="AL867" s="870"/>
      <c r="AM867" s="870"/>
      <c r="AN867" s="870"/>
      <c r="AO867" s="870"/>
      <c r="AP867" s="870"/>
      <c r="AQ867" s="870"/>
      <c r="AR867" s="870"/>
      <c r="AS867" s="870"/>
      <c r="AT867" s="870"/>
      <c r="AU867" s="870"/>
      <c r="AV867" s="870"/>
      <c r="AW867" s="870"/>
      <c r="AX867" s="870"/>
      <c r="AY867" s="870"/>
      <c r="AZ867" s="870"/>
      <c r="BA867" s="870"/>
      <c r="BB867" s="870"/>
      <c r="BC867" s="871"/>
      <c r="BD867" s="871"/>
      <c r="BE867" s="871"/>
      <c r="BF867" s="871"/>
      <c r="BG867" s="871"/>
      <c r="BH867" s="871"/>
      <c r="BI867" s="871"/>
      <c r="BJ867" s="871"/>
      <c r="BK867" s="871"/>
      <c r="BL867" s="871"/>
      <c r="BM867" s="871"/>
      <c r="BN867" s="871"/>
      <c r="BO867" s="871"/>
      <c r="BP867" s="871"/>
      <c r="BQ867" s="871"/>
      <c r="BR867" s="752"/>
    </row>
    <row r="868" spans="1:70" ht="66">
      <c r="A868" s="184"/>
      <c r="B868" s="2783"/>
      <c r="C868" s="1036">
        <v>3</v>
      </c>
      <c r="D868" s="1036" t="s">
        <v>34</v>
      </c>
      <c r="E868" s="1037" t="s">
        <v>28</v>
      </c>
      <c r="F868" s="1036" t="s">
        <v>25</v>
      </c>
      <c r="G868" s="1036" t="s">
        <v>35</v>
      </c>
      <c r="H868" s="1036" t="s">
        <v>592</v>
      </c>
      <c r="I868" s="523" t="s">
        <v>1290</v>
      </c>
      <c r="J868" s="174" t="s">
        <v>1291</v>
      </c>
      <c r="K868" s="1706">
        <v>16</v>
      </c>
      <c r="L868" s="1710">
        <v>1500000000</v>
      </c>
      <c r="M868" s="1707">
        <v>3</v>
      </c>
      <c r="N868" s="1710">
        <v>591868000</v>
      </c>
      <c r="O868" s="1706">
        <v>3</v>
      </c>
      <c r="P868" s="1713">
        <v>79100000</v>
      </c>
      <c r="Q868" s="1706">
        <v>0</v>
      </c>
      <c r="R868" s="1710">
        <v>23061550</v>
      </c>
      <c r="S868" s="1706">
        <v>3</v>
      </c>
      <c r="T868" s="2693">
        <v>20394500</v>
      </c>
      <c r="U868" s="177"/>
      <c r="V868" s="177"/>
      <c r="W868" s="174"/>
      <c r="X868" s="177"/>
      <c r="Y868" s="180">
        <f t="shared" si="252"/>
        <v>3</v>
      </c>
      <c r="Z868" s="1720">
        <f t="shared" si="253"/>
        <v>43456050</v>
      </c>
      <c r="AA868" s="1707">
        <f t="shared" ref="AA868:AA893" si="262">M868+Y868</f>
        <v>6</v>
      </c>
      <c r="AB868" s="1710">
        <f t="shared" si="261"/>
        <v>635324050</v>
      </c>
      <c r="AC868" s="1045">
        <f>(AA868/K868)*100</f>
        <v>37.5</v>
      </c>
      <c r="AD868" s="1046">
        <f>(AB868/L868)*100</f>
        <v>42.354936666666667</v>
      </c>
      <c r="AE868" s="481"/>
      <c r="AF868" s="962"/>
      <c r="AG868" s="962"/>
      <c r="AH868" s="962"/>
      <c r="AI868" s="962"/>
      <c r="AJ868" s="962"/>
      <c r="AK868" s="962"/>
      <c r="AL868" s="962"/>
      <c r="AM868" s="962"/>
      <c r="AN868" s="962"/>
      <c r="AO868" s="962"/>
      <c r="AP868" s="962"/>
      <c r="AQ868" s="962"/>
      <c r="AR868" s="962"/>
      <c r="AS868" s="962"/>
      <c r="AT868" s="962"/>
      <c r="AU868" s="962"/>
      <c r="AV868" s="962"/>
      <c r="AW868" s="962"/>
      <c r="AX868" s="962"/>
      <c r="AY868" s="962"/>
      <c r="AZ868" s="962"/>
      <c r="BA868" s="962"/>
      <c r="BB868" s="962"/>
      <c r="BC868" s="963"/>
      <c r="BD868" s="963"/>
      <c r="BE868" s="963"/>
      <c r="BF868" s="963"/>
      <c r="BG868" s="963"/>
      <c r="BH868" s="963"/>
      <c r="BI868" s="963"/>
      <c r="BJ868" s="963"/>
      <c r="BK868" s="963"/>
      <c r="BL868" s="963"/>
      <c r="BM868" s="963"/>
      <c r="BN868" s="963"/>
      <c r="BO868" s="963"/>
      <c r="BP868" s="963"/>
      <c r="BQ868" s="963"/>
    </row>
    <row r="869" spans="1:70" ht="49.5">
      <c r="A869" s="184"/>
      <c r="B869" s="2784"/>
      <c r="C869" s="1036"/>
      <c r="D869" s="1036"/>
      <c r="E869" s="1039"/>
      <c r="F869" s="1036"/>
      <c r="G869" s="1036"/>
      <c r="H869" s="1036"/>
      <c r="I869" s="523"/>
      <c r="J869" s="174" t="s">
        <v>1292</v>
      </c>
      <c r="K869" s="176">
        <v>58</v>
      </c>
      <c r="L869" s="1710">
        <v>0</v>
      </c>
      <c r="M869" s="1707">
        <v>32</v>
      </c>
      <c r="N869" s="1710">
        <v>0</v>
      </c>
      <c r="O869" s="178">
        <v>18</v>
      </c>
      <c r="P869" s="1713">
        <v>0</v>
      </c>
      <c r="Q869" s="1708">
        <v>8</v>
      </c>
      <c r="R869" s="1710">
        <v>0</v>
      </c>
      <c r="S869" s="177"/>
      <c r="T869" s="179"/>
      <c r="U869" s="177"/>
      <c r="V869" s="177"/>
      <c r="W869" s="174"/>
      <c r="X869" s="177"/>
      <c r="Y869" s="180">
        <f t="shared" si="252"/>
        <v>8</v>
      </c>
      <c r="Z869" s="1720">
        <f t="shared" si="253"/>
        <v>0</v>
      </c>
      <c r="AA869" s="1043">
        <f t="shared" si="262"/>
        <v>40</v>
      </c>
      <c r="AB869" s="1710">
        <f t="shared" si="261"/>
        <v>0</v>
      </c>
      <c r="AC869" s="1045"/>
      <c r="AD869" s="1046"/>
      <c r="AE869" s="481"/>
      <c r="AF869" s="962"/>
      <c r="AG869" s="962"/>
      <c r="AH869" s="962"/>
      <c r="AI869" s="962"/>
      <c r="AJ869" s="962"/>
      <c r="AK869" s="962"/>
      <c r="AL869" s="962"/>
      <c r="AM869" s="962"/>
      <c r="AN869" s="962"/>
      <c r="AO869" s="962"/>
      <c r="AP869" s="962"/>
      <c r="AQ869" s="962"/>
      <c r="AR869" s="962"/>
      <c r="AS869" s="962"/>
      <c r="AT869" s="962"/>
      <c r="AU869" s="962"/>
      <c r="AV869" s="962"/>
      <c r="AW869" s="962"/>
      <c r="AX869" s="962"/>
      <c r="AY869" s="962"/>
      <c r="AZ869" s="962"/>
      <c r="BA869" s="962"/>
      <c r="BB869" s="962"/>
      <c r="BC869" s="963"/>
      <c r="BD869" s="963"/>
      <c r="BE869" s="963"/>
      <c r="BF869" s="963"/>
      <c r="BG869" s="963"/>
      <c r="BH869" s="963"/>
      <c r="BI869" s="963"/>
      <c r="BJ869" s="963"/>
      <c r="BK869" s="963"/>
      <c r="BL869" s="963"/>
      <c r="BM869" s="963"/>
      <c r="BN869" s="963"/>
      <c r="BO869" s="963"/>
      <c r="BP869" s="963"/>
      <c r="BQ869" s="963"/>
    </row>
    <row r="870" spans="1:70" ht="49.5">
      <c r="A870" s="183"/>
      <c r="B870" s="2783"/>
      <c r="C870" s="1040">
        <v>3</v>
      </c>
      <c r="D870" s="1040" t="s">
        <v>34</v>
      </c>
      <c r="E870" s="1037" t="s">
        <v>28</v>
      </c>
      <c r="F870" s="1040" t="s">
        <v>25</v>
      </c>
      <c r="G870" s="1040" t="s">
        <v>35</v>
      </c>
      <c r="H870" s="1040">
        <v>42</v>
      </c>
      <c r="I870" s="2783" t="s">
        <v>1293</v>
      </c>
      <c r="J870" s="174" t="s">
        <v>1294</v>
      </c>
      <c r="K870" s="176">
        <v>514624</v>
      </c>
      <c r="L870" s="1710">
        <v>500000000</v>
      </c>
      <c r="M870" s="177">
        <v>56639</v>
      </c>
      <c r="N870" s="1710">
        <v>182545000</v>
      </c>
      <c r="O870" s="178">
        <v>103200</v>
      </c>
      <c r="P870" s="1713">
        <v>44300000</v>
      </c>
      <c r="Q870" s="180">
        <v>20000</v>
      </c>
      <c r="R870" s="1710">
        <v>10306250</v>
      </c>
      <c r="S870" s="177">
        <v>9020</v>
      </c>
      <c r="T870" s="2693">
        <v>8149000</v>
      </c>
      <c r="U870" s="177"/>
      <c r="V870" s="177"/>
      <c r="W870" s="177"/>
      <c r="X870" s="177"/>
      <c r="Y870" s="180">
        <f t="shared" si="252"/>
        <v>29020</v>
      </c>
      <c r="Z870" s="1720">
        <f t="shared" si="253"/>
        <v>18455250</v>
      </c>
      <c r="AA870" s="1707">
        <f t="shared" si="262"/>
        <v>85659</v>
      </c>
      <c r="AB870" s="1710">
        <f t="shared" si="261"/>
        <v>201000250</v>
      </c>
      <c r="AC870" s="1045">
        <f>(AA870/K870)*100</f>
        <v>16.644967976619824</v>
      </c>
      <c r="AD870" s="1046">
        <f>(AB870/L870)*100</f>
        <v>40.200049999999997</v>
      </c>
      <c r="AE870" s="481"/>
      <c r="AF870" s="962"/>
      <c r="AG870" s="962"/>
      <c r="AH870" s="962"/>
      <c r="AI870" s="962"/>
      <c r="AJ870" s="962"/>
      <c r="AK870" s="962"/>
      <c r="AL870" s="962"/>
      <c r="AM870" s="962"/>
      <c r="AN870" s="962"/>
      <c r="AO870" s="962"/>
      <c r="AP870" s="962"/>
      <c r="AQ870" s="962"/>
      <c r="AR870" s="962"/>
      <c r="AS870" s="962"/>
      <c r="AT870" s="962"/>
      <c r="AU870" s="962"/>
      <c r="AV870" s="962"/>
      <c r="AW870" s="962"/>
      <c r="AX870" s="962"/>
      <c r="AY870" s="962"/>
      <c r="AZ870" s="962"/>
      <c r="BA870" s="962"/>
      <c r="BB870" s="962"/>
      <c r="BC870" s="963"/>
      <c r="BD870" s="963"/>
      <c r="BE870" s="963"/>
      <c r="BF870" s="963"/>
      <c r="BG870" s="963"/>
      <c r="BH870" s="963"/>
      <c r="BI870" s="963"/>
      <c r="BJ870" s="963"/>
      <c r="BK870" s="963"/>
      <c r="BL870" s="963"/>
      <c r="BM870" s="963"/>
      <c r="BN870" s="963"/>
      <c r="BO870" s="963"/>
      <c r="BP870" s="963"/>
      <c r="BQ870" s="963"/>
    </row>
    <row r="871" spans="1:70" ht="49.5">
      <c r="A871" s="184"/>
      <c r="B871" s="2785"/>
      <c r="C871" s="1036"/>
      <c r="D871" s="1036"/>
      <c r="E871" s="1039"/>
      <c r="F871" s="1036"/>
      <c r="G871" s="1036"/>
      <c r="H871" s="1036"/>
      <c r="I871" s="2785"/>
      <c r="J871" s="174" t="s">
        <v>1295</v>
      </c>
      <c r="K871" s="176">
        <v>61363</v>
      </c>
      <c r="L871" s="1710">
        <v>0</v>
      </c>
      <c r="M871" s="177">
        <v>14839</v>
      </c>
      <c r="N871" s="1710">
        <v>0</v>
      </c>
      <c r="O871" s="178">
        <v>4000</v>
      </c>
      <c r="P871" s="1713">
        <v>0</v>
      </c>
      <c r="Q871" s="180">
        <v>800</v>
      </c>
      <c r="R871" s="1710">
        <v>0</v>
      </c>
      <c r="S871" s="177">
        <v>7526</v>
      </c>
      <c r="T871" s="179"/>
      <c r="U871" s="174"/>
      <c r="V871" s="177"/>
      <c r="W871" s="177"/>
      <c r="X871" s="177"/>
      <c r="Y871" s="180">
        <f t="shared" si="252"/>
        <v>8326</v>
      </c>
      <c r="Z871" s="1720">
        <f t="shared" si="253"/>
        <v>0</v>
      </c>
      <c r="AA871" s="1707">
        <f t="shared" si="262"/>
        <v>23165</v>
      </c>
      <c r="AB871" s="1710">
        <f t="shared" si="261"/>
        <v>0</v>
      </c>
      <c r="AC871" s="1045">
        <f>(AA871/K871)*100</f>
        <v>37.750761859752622</v>
      </c>
      <c r="AD871" s="1046"/>
      <c r="AE871" s="481"/>
      <c r="AF871" s="962"/>
      <c r="AG871" s="962"/>
      <c r="AH871" s="962"/>
      <c r="AI871" s="962"/>
      <c r="AJ871" s="962"/>
      <c r="AK871" s="962"/>
      <c r="AL871" s="962"/>
      <c r="AM871" s="962"/>
      <c r="AN871" s="962"/>
      <c r="AO871" s="962"/>
      <c r="AP871" s="962"/>
      <c r="AQ871" s="962"/>
      <c r="AR871" s="962"/>
      <c r="AS871" s="962"/>
      <c r="AT871" s="962"/>
      <c r="AU871" s="962"/>
      <c r="AV871" s="962"/>
      <c r="AW871" s="962"/>
      <c r="AX871" s="962"/>
      <c r="AY871" s="962"/>
      <c r="AZ871" s="962"/>
      <c r="BA871" s="962"/>
      <c r="BB871" s="962"/>
      <c r="BC871" s="963"/>
      <c r="BD871" s="963"/>
      <c r="BE871" s="963"/>
      <c r="BF871" s="963"/>
      <c r="BG871" s="963"/>
      <c r="BH871" s="963"/>
      <c r="BI871" s="963"/>
      <c r="BJ871" s="963"/>
      <c r="BK871" s="963"/>
      <c r="BL871" s="963"/>
      <c r="BM871" s="963"/>
      <c r="BN871" s="963"/>
      <c r="BO871" s="963"/>
      <c r="BP871" s="963"/>
      <c r="BQ871" s="963"/>
    </row>
    <row r="872" spans="1:70" ht="33">
      <c r="A872" s="184"/>
      <c r="B872" s="523"/>
      <c r="C872" s="1036"/>
      <c r="D872" s="1036"/>
      <c r="E872" s="1039"/>
      <c r="F872" s="1036"/>
      <c r="G872" s="1036"/>
      <c r="H872" s="1036"/>
      <c r="I872" s="523"/>
      <c r="J872" s="174" t="s">
        <v>1296</v>
      </c>
      <c r="K872" s="176">
        <v>733000</v>
      </c>
      <c r="L872" s="1710">
        <v>0</v>
      </c>
      <c r="M872" s="177">
        <v>621054</v>
      </c>
      <c r="N872" s="1710">
        <v>0</v>
      </c>
      <c r="O872" s="178">
        <v>150000</v>
      </c>
      <c r="P872" s="1713">
        <v>0</v>
      </c>
      <c r="Q872" s="1708">
        <v>23000</v>
      </c>
      <c r="R872" s="1710">
        <v>0</v>
      </c>
      <c r="S872" s="177">
        <v>71947</v>
      </c>
      <c r="T872" s="179"/>
      <c r="U872" s="1709"/>
      <c r="V872" s="177"/>
      <c r="W872" s="177"/>
      <c r="X872" s="177"/>
      <c r="Y872" s="180">
        <f t="shared" si="252"/>
        <v>94947</v>
      </c>
      <c r="Z872" s="1720">
        <f t="shared" si="253"/>
        <v>0</v>
      </c>
      <c r="AA872" s="1707">
        <f t="shared" si="262"/>
        <v>716001</v>
      </c>
      <c r="AB872" s="1710">
        <f t="shared" si="261"/>
        <v>0</v>
      </c>
      <c r="AC872" s="1045">
        <f>(AA872/K872)*100</f>
        <v>97.680900409276944</v>
      </c>
      <c r="AD872" s="1046"/>
      <c r="AE872" s="481"/>
      <c r="AF872" s="962"/>
      <c r="AG872" s="962"/>
      <c r="AH872" s="962"/>
      <c r="AI872" s="962"/>
      <c r="AJ872" s="962"/>
      <c r="AK872" s="962"/>
      <c r="AL872" s="962"/>
      <c r="AM872" s="962"/>
      <c r="AN872" s="962"/>
      <c r="AO872" s="962"/>
      <c r="AP872" s="962"/>
      <c r="AQ872" s="962"/>
      <c r="AR872" s="962"/>
      <c r="AS872" s="962"/>
      <c r="AT872" s="962"/>
      <c r="AU872" s="962"/>
      <c r="AV872" s="962"/>
      <c r="AW872" s="962"/>
      <c r="AX872" s="962"/>
      <c r="AY872" s="962"/>
      <c r="AZ872" s="962"/>
      <c r="BA872" s="962"/>
      <c r="BB872" s="962"/>
      <c r="BC872" s="963"/>
      <c r="BD872" s="963"/>
      <c r="BE872" s="963"/>
      <c r="BF872" s="963"/>
      <c r="BG872" s="963"/>
      <c r="BH872" s="963"/>
      <c r="BI872" s="963"/>
      <c r="BJ872" s="963"/>
      <c r="BK872" s="963"/>
      <c r="BL872" s="963"/>
      <c r="BM872" s="963"/>
      <c r="BN872" s="963"/>
      <c r="BO872" s="963"/>
      <c r="BP872" s="963"/>
      <c r="BQ872" s="963"/>
    </row>
    <row r="873" spans="1:70" ht="66">
      <c r="A873" s="185"/>
      <c r="B873" s="522"/>
      <c r="C873" s="1041"/>
      <c r="D873" s="1041"/>
      <c r="E873" s="1020"/>
      <c r="F873" s="1041"/>
      <c r="G873" s="1041"/>
      <c r="H873" s="1041"/>
      <c r="I873" s="522"/>
      <c r="J873" s="174" t="s">
        <v>1297</v>
      </c>
      <c r="K873" s="176">
        <v>500</v>
      </c>
      <c r="L873" s="1710">
        <v>0</v>
      </c>
      <c r="M873" s="177">
        <v>200</v>
      </c>
      <c r="N873" s="1710">
        <v>0</v>
      </c>
      <c r="O873" s="178">
        <v>100</v>
      </c>
      <c r="P873" s="1713">
        <v>0</v>
      </c>
      <c r="Q873" s="180"/>
      <c r="R873" s="1710">
        <v>0</v>
      </c>
      <c r="S873" s="177"/>
      <c r="T873" s="179"/>
      <c r="U873" s="177"/>
      <c r="V873" s="177"/>
      <c r="W873" s="177"/>
      <c r="X873" s="177"/>
      <c r="Y873" s="180">
        <f t="shared" si="252"/>
        <v>0</v>
      </c>
      <c r="Z873" s="1720">
        <f t="shared" si="253"/>
        <v>0</v>
      </c>
      <c r="AA873" s="1043">
        <f t="shared" si="262"/>
        <v>200</v>
      </c>
      <c r="AB873" s="1710">
        <f t="shared" si="261"/>
        <v>0</v>
      </c>
      <c r="AC873" s="1045"/>
      <c r="AD873" s="1046"/>
      <c r="AE873" s="481"/>
      <c r="AF873" s="962"/>
      <c r="AG873" s="962"/>
      <c r="AH873" s="962"/>
      <c r="AI873" s="962"/>
      <c r="AJ873" s="962"/>
      <c r="AK873" s="962"/>
      <c r="AL873" s="962"/>
      <c r="AM873" s="962"/>
      <c r="AN873" s="962"/>
      <c r="AO873" s="962"/>
      <c r="AP873" s="962"/>
      <c r="AQ873" s="962"/>
      <c r="AR873" s="962"/>
      <c r="AS873" s="962"/>
      <c r="AT873" s="962"/>
      <c r="AU873" s="962"/>
      <c r="AV873" s="962"/>
      <c r="AW873" s="962"/>
      <c r="AX873" s="962"/>
      <c r="AY873" s="962"/>
      <c r="AZ873" s="962"/>
      <c r="BA873" s="962"/>
      <c r="BB873" s="962"/>
      <c r="BC873" s="963"/>
      <c r="BD873" s="963"/>
      <c r="BE873" s="963"/>
      <c r="BF873" s="963"/>
      <c r="BG873" s="963"/>
      <c r="BH873" s="963"/>
      <c r="BI873" s="963"/>
      <c r="BJ873" s="963"/>
      <c r="BK873" s="963"/>
      <c r="BL873" s="963"/>
      <c r="BM873" s="963"/>
      <c r="BN873" s="963"/>
      <c r="BO873" s="963"/>
      <c r="BP873" s="963"/>
      <c r="BQ873" s="963"/>
    </row>
    <row r="874" spans="1:70" ht="66">
      <c r="A874" s="1042"/>
      <c r="B874" s="174"/>
      <c r="C874" s="1041">
        <v>3</v>
      </c>
      <c r="D874" s="1041" t="s">
        <v>34</v>
      </c>
      <c r="E874" s="1021" t="s">
        <v>28</v>
      </c>
      <c r="F874" s="1041" t="s">
        <v>25</v>
      </c>
      <c r="G874" s="1041" t="s">
        <v>35</v>
      </c>
      <c r="H874" s="1041">
        <v>13</v>
      </c>
      <c r="I874" s="174" t="s">
        <v>1298</v>
      </c>
      <c r="J874" s="175" t="s">
        <v>1299</v>
      </c>
      <c r="K874" s="176">
        <v>19</v>
      </c>
      <c r="L874" s="1710">
        <v>650000000</v>
      </c>
      <c r="M874" s="177">
        <v>8</v>
      </c>
      <c r="N874" s="181">
        <v>169972000</v>
      </c>
      <c r="O874" s="178">
        <v>3</v>
      </c>
      <c r="P874" s="1713">
        <v>68490000</v>
      </c>
      <c r="Q874" s="174">
        <v>1</v>
      </c>
      <c r="R874" s="1710">
        <v>10333170</v>
      </c>
      <c r="S874" s="177">
        <v>1</v>
      </c>
      <c r="T874" s="2693">
        <v>3875250</v>
      </c>
      <c r="U874" s="177"/>
      <c r="V874" s="177"/>
      <c r="W874" s="177"/>
      <c r="X874" s="177"/>
      <c r="Y874" s="171">
        <f t="shared" si="252"/>
        <v>2</v>
      </c>
      <c r="Z874" s="1721">
        <f t="shared" si="253"/>
        <v>14208420</v>
      </c>
      <c r="AA874" s="1043">
        <f t="shared" si="262"/>
        <v>10</v>
      </c>
      <c r="AB874" s="1710">
        <f t="shared" si="261"/>
        <v>184180420</v>
      </c>
      <c r="AC874" s="1026">
        <f t="shared" ref="AC874:AC885" si="263">(AA874/K874)*100</f>
        <v>52.631578947368418</v>
      </c>
      <c r="AD874" s="1027">
        <f t="shared" ref="AD874:AD885" si="264">(AB874/L874)*100</f>
        <v>28.335449230769232</v>
      </c>
      <c r="AE874" s="481"/>
      <c r="AF874" s="962"/>
      <c r="AG874" s="962"/>
      <c r="AH874" s="962"/>
      <c r="AI874" s="962"/>
      <c r="AJ874" s="962"/>
      <c r="AK874" s="962"/>
      <c r="AL874" s="962"/>
      <c r="AM874" s="962"/>
      <c r="AN874" s="962"/>
      <c r="AO874" s="962"/>
      <c r="AP874" s="962"/>
      <c r="AQ874" s="962"/>
      <c r="AR874" s="962"/>
      <c r="AS874" s="962"/>
      <c r="AT874" s="962"/>
      <c r="AU874" s="962"/>
      <c r="AV874" s="962"/>
      <c r="AW874" s="962"/>
      <c r="AX874" s="962"/>
      <c r="AY874" s="962"/>
      <c r="AZ874" s="962"/>
      <c r="BA874" s="962"/>
      <c r="BB874" s="962"/>
      <c r="BC874" s="963"/>
      <c r="BD874" s="963"/>
      <c r="BE874" s="963"/>
      <c r="BF874" s="963"/>
      <c r="BG874" s="963"/>
      <c r="BH874" s="963"/>
      <c r="BI874" s="963"/>
      <c r="BJ874" s="963"/>
      <c r="BK874" s="963"/>
      <c r="BL874" s="963"/>
      <c r="BM874" s="963"/>
      <c r="BN874" s="963"/>
      <c r="BO874" s="963"/>
      <c r="BP874" s="963"/>
      <c r="BQ874" s="963"/>
    </row>
    <row r="875" spans="1:70" ht="49.5">
      <c r="A875" s="1042"/>
      <c r="B875" s="174"/>
      <c r="C875" s="1041">
        <v>3</v>
      </c>
      <c r="D875" s="1041" t="s">
        <v>34</v>
      </c>
      <c r="E875" s="1021" t="s">
        <v>28</v>
      </c>
      <c r="F875" s="1041" t="s">
        <v>25</v>
      </c>
      <c r="G875" s="1041" t="s">
        <v>35</v>
      </c>
      <c r="H875" s="1041">
        <v>14</v>
      </c>
      <c r="I875" s="174" t="s">
        <v>1300</v>
      </c>
      <c r="J875" s="175" t="s">
        <v>1301</v>
      </c>
      <c r="K875" s="176">
        <v>159000</v>
      </c>
      <c r="L875" s="1710">
        <v>600000000</v>
      </c>
      <c r="M875" s="173">
        <v>164592</v>
      </c>
      <c r="N875" s="181">
        <v>335111000</v>
      </c>
      <c r="O875" s="178">
        <v>23000</v>
      </c>
      <c r="P875" s="1713">
        <v>62185400</v>
      </c>
      <c r="Q875" s="177">
        <v>3000</v>
      </c>
      <c r="R875" s="1710">
        <v>23052500</v>
      </c>
      <c r="S875" s="177">
        <v>11161</v>
      </c>
      <c r="T875" s="2693">
        <v>16553450</v>
      </c>
      <c r="U875" s="180"/>
      <c r="V875" s="177"/>
      <c r="W875" s="177"/>
      <c r="X875" s="177"/>
      <c r="Y875" s="171">
        <f t="shared" si="252"/>
        <v>14161</v>
      </c>
      <c r="Z875" s="1721">
        <f t="shared" si="253"/>
        <v>39605950</v>
      </c>
      <c r="AA875" s="1043">
        <f t="shared" si="262"/>
        <v>178753</v>
      </c>
      <c r="AB875" s="1710">
        <f t="shared" si="261"/>
        <v>374716950</v>
      </c>
      <c r="AC875" s="1026">
        <f t="shared" si="263"/>
        <v>112.42327044025157</v>
      </c>
      <c r="AD875" s="1027">
        <f t="shared" si="264"/>
        <v>62.452825000000004</v>
      </c>
      <c r="AE875" s="481"/>
      <c r="AF875" s="962"/>
      <c r="AG875" s="962"/>
      <c r="AH875" s="962"/>
      <c r="AI875" s="962"/>
      <c r="AJ875" s="962"/>
      <c r="AK875" s="962"/>
      <c r="AL875" s="962"/>
      <c r="AM875" s="962"/>
      <c r="AN875" s="962"/>
      <c r="AO875" s="962"/>
      <c r="AP875" s="962"/>
      <c r="AQ875" s="962"/>
      <c r="AR875" s="962"/>
      <c r="AS875" s="962"/>
      <c r="AT875" s="962"/>
      <c r="AU875" s="962"/>
      <c r="AV875" s="962"/>
      <c r="AW875" s="962"/>
      <c r="AX875" s="962"/>
      <c r="AY875" s="962"/>
      <c r="AZ875" s="962"/>
      <c r="BA875" s="962"/>
      <c r="BB875" s="962"/>
      <c r="BC875" s="963"/>
      <c r="BD875" s="963"/>
      <c r="BE875" s="963"/>
      <c r="BF875" s="963"/>
      <c r="BG875" s="963"/>
      <c r="BH875" s="963"/>
      <c r="BI875" s="963"/>
      <c r="BJ875" s="963"/>
      <c r="BK875" s="963"/>
      <c r="BL875" s="963"/>
      <c r="BM875" s="963"/>
      <c r="BN875" s="963"/>
      <c r="BO875" s="963"/>
      <c r="BP875" s="963"/>
      <c r="BQ875" s="963"/>
    </row>
    <row r="876" spans="1:70" ht="49.5">
      <c r="A876" s="1042"/>
      <c r="B876" s="174"/>
      <c r="C876" s="1041">
        <v>3</v>
      </c>
      <c r="D876" s="1041" t="s">
        <v>34</v>
      </c>
      <c r="E876" s="1021" t="s">
        <v>28</v>
      </c>
      <c r="F876" s="1041" t="s">
        <v>25</v>
      </c>
      <c r="G876" s="1041" t="s">
        <v>35</v>
      </c>
      <c r="H876" s="1041">
        <v>15</v>
      </c>
      <c r="I876" s="174" t="s">
        <v>1302</v>
      </c>
      <c r="J876" s="175" t="s">
        <v>1303</v>
      </c>
      <c r="K876" s="176">
        <v>180</v>
      </c>
      <c r="L876" s="1710">
        <v>175000000</v>
      </c>
      <c r="M876" s="173">
        <v>0</v>
      </c>
      <c r="N876" s="181">
        <v>0</v>
      </c>
      <c r="O876" s="178">
        <v>60</v>
      </c>
      <c r="P876" s="1713">
        <v>57603000</v>
      </c>
      <c r="Q876" s="177"/>
      <c r="R876" s="1710">
        <v>0</v>
      </c>
      <c r="S876" s="177"/>
      <c r="T876" s="2693"/>
      <c r="U876" s="174"/>
      <c r="V876" s="177"/>
      <c r="W876" s="177"/>
      <c r="X876" s="177"/>
      <c r="Y876" s="171">
        <f t="shared" si="252"/>
        <v>0</v>
      </c>
      <c r="Z876" s="1721">
        <f t="shared" si="253"/>
        <v>0</v>
      </c>
      <c r="AA876" s="1038">
        <f t="shared" si="262"/>
        <v>0</v>
      </c>
      <c r="AB876" s="1722">
        <f t="shared" si="261"/>
        <v>0</v>
      </c>
      <c r="AC876" s="1026">
        <f t="shared" si="263"/>
        <v>0</v>
      </c>
      <c r="AD876" s="1027">
        <f t="shared" si="264"/>
        <v>0</v>
      </c>
      <c r="AE876" s="481"/>
      <c r="AF876" s="962"/>
      <c r="AG876" s="962"/>
      <c r="AH876" s="962"/>
      <c r="AI876" s="962"/>
      <c r="AJ876" s="962"/>
      <c r="AK876" s="962"/>
      <c r="AL876" s="962"/>
      <c r="AM876" s="962"/>
      <c r="AN876" s="962"/>
      <c r="AO876" s="962"/>
      <c r="AP876" s="962"/>
      <c r="AQ876" s="962"/>
      <c r="AR876" s="962"/>
      <c r="AS876" s="962"/>
      <c r="AT876" s="962"/>
      <c r="AU876" s="962"/>
      <c r="AV876" s="962"/>
      <c r="AW876" s="962"/>
      <c r="AX876" s="962"/>
      <c r="AY876" s="962"/>
      <c r="AZ876" s="962"/>
      <c r="BA876" s="962"/>
      <c r="BB876" s="962"/>
      <c r="BC876" s="963"/>
      <c r="BD876" s="963"/>
      <c r="BE876" s="963"/>
      <c r="BF876" s="963"/>
      <c r="BG876" s="963"/>
      <c r="BH876" s="963"/>
      <c r="BI876" s="963"/>
      <c r="BJ876" s="963"/>
      <c r="BK876" s="963"/>
      <c r="BL876" s="963"/>
      <c r="BM876" s="963"/>
      <c r="BN876" s="963"/>
      <c r="BO876" s="963"/>
      <c r="BP876" s="963"/>
      <c r="BQ876" s="963"/>
    </row>
    <row r="877" spans="1:70" ht="66">
      <c r="A877" s="1042"/>
      <c r="B877" s="174"/>
      <c r="C877" s="1041">
        <v>3</v>
      </c>
      <c r="D877" s="1041" t="s">
        <v>34</v>
      </c>
      <c r="E877" s="1021" t="s">
        <v>28</v>
      </c>
      <c r="F877" s="1041" t="s">
        <v>25</v>
      </c>
      <c r="G877" s="1041" t="s">
        <v>35</v>
      </c>
      <c r="H877" s="1041">
        <v>16</v>
      </c>
      <c r="I877" s="174" t="s">
        <v>1304</v>
      </c>
      <c r="J877" s="175" t="s">
        <v>1305</v>
      </c>
      <c r="K877" s="176">
        <v>240</v>
      </c>
      <c r="L877" s="1710">
        <v>175000000</v>
      </c>
      <c r="M877" s="173">
        <v>60</v>
      </c>
      <c r="N877" s="181">
        <v>27867000</v>
      </c>
      <c r="O877" s="178">
        <v>60</v>
      </c>
      <c r="P877" s="1713">
        <v>31695000</v>
      </c>
      <c r="Q877" s="177"/>
      <c r="R877" s="1710">
        <v>0</v>
      </c>
      <c r="S877" s="177"/>
      <c r="T877" s="2693"/>
      <c r="U877" s="174"/>
      <c r="V877" s="177"/>
      <c r="W877" s="177"/>
      <c r="X877" s="177"/>
      <c r="Y877" s="171">
        <f t="shared" si="252"/>
        <v>0</v>
      </c>
      <c r="Z877" s="1721">
        <f t="shared" si="253"/>
        <v>0</v>
      </c>
      <c r="AA877" s="1043">
        <f t="shared" si="262"/>
        <v>60</v>
      </c>
      <c r="AB877" s="1710">
        <f t="shared" si="261"/>
        <v>27867000</v>
      </c>
      <c r="AC877" s="1026">
        <f t="shared" si="263"/>
        <v>25</v>
      </c>
      <c r="AD877" s="1027">
        <f t="shared" si="264"/>
        <v>15.923999999999999</v>
      </c>
      <c r="AE877" s="481"/>
      <c r="AF877" s="962"/>
      <c r="AG877" s="962"/>
      <c r="AH877" s="962"/>
      <c r="AI877" s="962"/>
      <c r="AJ877" s="962"/>
      <c r="AK877" s="962"/>
      <c r="AL877" s="962"/>
      <c r="AM877" s="962"/>
      <c r="AN877" s="962"/>
      <c r="AO877" s="962"/>
      <c r="AP877" s="962"/>
      <c r="AQ877" s="962"/>
      <c r="AR877" s="962"/>
      <c r="AS877" s="962"/>
      <c r="AT877" s="962"/>
      <c r="AU877" s="962"/>
      <c r="AV877" s="962"/>
      <c r="AW877" s="962"/>
      <c r="AX877" s="962"/>
      <c r="AY877" s="962"/>
      <c r="AZ877" s="962"/>
      <c r="BA877" s="962"/>
      <c r="BB877" s="962"/>
      <c r="BC877" s="963"/>
      <c r="BD877" s="963"/>
      <c r="BE877" s="963"/>
      <c r="BF877" s="963"/>
      <c r="BG877" s="963"/>
      <c r="BH877" s="963"/>
      <c r="BI877" s="963"/>
      <c r="BJ877" s="963"/>
      <c r="BK877" s="963"/>
      <c r="BL877" s="963"/>
      <c r="BM877" s="963"/>
      <c r="BN877" s="963"/>
      <c r="BO877" s="963"/>
      <c r="BP877" s="963"/>
      <c r="BQ877" s="963"/>
    </row>
    <row r="878" spans="1:70" ht="49.5">
      <c r="A878" s="183"/>
      <c r="B878" s="548"/>
      <c r="C878" s="1040">
        <v>3</v>
      </c>
      <c r="D878" s="1040" t="s">
        <v>34</v>
      </c>
      <c r="E878" s="1037" t="s">
        <v>28</v>
      </c>
      <c r="F878" s="1040" t="s">
        <v>25</v>
      </c>
      <c r="G878" s="1040" t="s">
        <v>35</v>
      </c>
      <c r="H878" s="1040">
        <v>17</v>
      </c>
      <c r="I878" s="548" t="s">
        <v>664</v>
      </c>
      <c r="J878" s="174" t="s">
        <v>1306</v>
      </c>
      <c r="K878" s="176">
        <v>37</v>
      </c>
      <c r="L878" s="1710">
        <v>422500000</v>
      </c>
      <c r="M878" s="177">
        <v>4</v>
      </c>
      <c r="N878" s="1710">
        <v>90421000</v>
      </c>
      <c r="O878" s="178">
        <v>9</v>
      </c>
      <c r="P878" s="1713">
        <v>19550000</v>
      </c>
      <c r="Q878" s="177">
        <v>2</v>
      </c>
      <c r="R878" s="1710">
        <v>596250</v>
      </c>
      <c r="S878" s="177"/>
      <c r="T878" s="2693">
        <v>5306650</v>
      </c>
      <c r="U878" s="180"/>
      <c r="V878" s="1710"/>
      <c r="W878" s="177"/>
      <c r="X878" s="177"/>
      <c r="Y878" s="180">
        <f t="shared" si="252"/>
        <v>2</v>
      </c>
      <c r="Z878" s="1720">
        <f t="shared" si="253"/>
        <v>5902900</v>
      </c>
      <c r="AA878" s="1707">
        <f t="shared" si="262"/>
        <v>6</v>
      </c>
      <c r="AB878" s="1710">
        <f t="shared" si="261"/>
        <v>96323900</v>
      </c>
      <c r="AC878" s="1045">
        <f t="shared" si="263"/>
        <v>16.216216216216218</v>
      </c>
      <c r="AD878" s="1046">
        <f t="shared" si="264"/>
        <v>22.798556213017751</v>
      </c>
      <c r="AE878" s="481"/>
      <c r="AF878" s="962"/>
      <c r="AG878" s="962"/>
      <c r="AH878" s="962"/>
      <c r="AI878" s="962"/>
      <c r="AJ878" s="962"/>
      <c r="AK878" s="962"/>
      <c r="AL878" s="962"/>
      <c r="AM878" s="962"/>
      <c r="AN878" s="962"/>
      <c r="AO878" s="962"/>
      <c r="AP878" s="962"/>
      <c r="AQ878" s="962"/>
      <c r="AR878" s="962"/>
      <c r="AS878" s="962"/>
      <c r="AT878" s="962"/>
      <c r="AU878" s="962"/>
      <c r="AV878" s="962"/>
      <c r="AW878" s="962"/>
      <c r="AX878" s="962"/>
      <c r="AY878" s="962"/>
      <c r="AZ878" s="962"/>
      <c r="BA878" s="962"/>
      <c r="BB878" s="962"/>
      <c r="BC878" s="963"/>
      <c r="BD878" s="963"/>
      <c r="BE878" s="963"/>
      <c r="BF878" s="963"/>
      <c r="BG878" s="963"/>
      <c r="BH878" s="963"/>
      <c r="BI878" s="963"/>
      <c r="BJ878" s="963"/>
      <c r="BK878" s="963"/>
      <c r="BL878" s="963"/>
      <c r="BM878" s="963"/>
      <c r="BN878" s="963"/>
      <c r="BO878" s="963"/>
      <c r="BP878" s="963"/>
      <c r="BQ878" s="963"/>
    </row>
    <row r="879" spans="1:70" ht="49.5">
      <c r="A879" s="1042"/>
      <c r="B879" s="174"/>
      <c r="C879" s="1041">
        <v>3</v>
      </c>
      <c r="D879" s="1041" t="s">
        <v>34</v>
      </c>
      <c r="E879" s="1021" t="s">
        <v>28</v>
      </c>
      <c r="F879" s="1041" t="s">
        <v>25</v>
      </c>
      <c r="G879" s="1041" t="s">
        <v>35</v>
      </c>
      <c r="H879" s="1041">
        <v>18</v>
      </c>
      <c r="I879" s="174" t="s">
        <v>1307</v>
      </c>
      <c r="J879" s="174" t="s">
        <v>1308</v>
      </c>
      <c r="K879" s="176">
        <v>57685</v>
      </c>
      <c r="L879" s="1710">
        <v>230000000</v>
      </c>
      <c r="M879" s="177">
        <v>11036</v>
      </c>
      <c r="N879" s="1710">
        <v>113653000</v>
      </c>
      <c r="O879" s="178">
        <v>10000</v>
      </c>
      <c r="P879" s="1713">
        <v>46650000</v>
      </c>
      <c r="Q879" s="177">
        <v>1558</v>
      </c>
      <c r="R879" s="1710">
        <v>15810000</v>
      </c>
      <c r="S879" s="177">
        <v>4437</v>
      </c>
      <c r="T879" s="2693">
        <v>13012500</v>
      </c>
      <c r="U879" s="177"/>
      <c r="V879" s="177"/>
      <c r="W879" s="177"/>
      <c r="X879" s="177"/>
      <c r="Y879" s="180">
        <f t="shared" si="252"/>
        <v>5995</v>
      </c>
      <c r="Z879" s="1720">
        <f t="shared" si="253"/>
        <v>28822500</v>
      </c>
      <c r="AA879" s="1707">
        <f t="shared" si="262"/>
        <v>17031</v>
      </c>
      <c r="AB879" s="1710">
        <f t="shared" si="261"/>
        <v>142475500</v>
      </c>
      <c r="AC879" s="1045">
        <f t="shared" si="263"/>
        <v>29.524139724365085</v>
      </c>
      <c r="AD879" s="1046">
        <f t="shared" si="264"/>
        <v>61.945869565217393</v>
      </c>
      <c r="AE879" s="481"/>
      <c r="AF879" s="962"/>
      <c r="AG879" s="962"/>
      <c r="AH879" s="962"/>
      <c r="AI879" s="962"/>
      <c r="AJ879" s="962"/>
      <c r="AK879" s="962"/>
      <c r="AL879" s="962"/>
      <c r="AM879" s="962"/>
      <c r="AN879" s="962"/>
      <c r="AO879" s="962"/>
      <c r="AP879" s="962"/>
      <c r="AQ879" s="962"/>
      <c r="AR879" s="962"/>
      <c r="AS879" s="962"/>
      <c r="AT879" s="962"/>
      <c r="AU879" s="962"/>
      <c r="AV879" s="962"/>
      <c r="AW879" s="962"/>
      <c r="AX879" s="962"/>
      <c r="AY879" s="962"/>
      <c r="AZ879" s="962"/>
      <c r="BA879" s="962"/>
      <c r="BB879" s="962"/>
      <c r="BC879" s="963"/>
      <c r="BD879" s="963"/>
      <c r="BE879" s="963"/>
      <c r="BF879" s="963"/>
      <c r="BG879" s="963"/>
      <c r="BH879" s="963"/>
      <c r="BI879" s="963"/>
      <c r="BJ879" s="963"/>
      <c r="BK879" s="963"/>
      <c r="BL879" s="963"/>
      <c r="BM879" s="963"/>
      <c r="BN879" s="963"/>
      <c r="BO879" s="963"/>
      <c r="BP879" s="963"/>
      <c r="BQ879" s="963"/>
    </row>
    <row r="880" spans="1:70" ht="49.5">
      <c r="A880" s="1042"/>
      <c r="B880" s="174"/>
      <c r="C880" s="1041">
        <v>3</v>
      </c>
      <c r="D880" s="1041" t="s">
        <v>34</v>
      </c>
      <c r="E880" s="1021" t="s">
        <v>28</v>
      </c>
      <c r="F880" s="1041" t="s">
        <v>25</v>
      </c>
      <c r="G880" s="1041" t="s">
        <v>35</v>
      </c>
      <c r="H880" s="1041">
        <v>19</v>
      </c>
      <c r="I880" s="521" t="s">
        <v>1309</v>
      </c>
      <c r="J880" s="174" t="s">
        <v>1310</v>
      </c>
      <c r="K880" s="176">
        <v>260000</v>
      </c>
      <c r="L880" s="1710">
        <v>505000000</v>
      </c>
      <c r="M880" s="177">
        <v>201452</v>
      </c>
      <c r="N880" s="1710">
        <v>239352000</v>
      </c>
      <c r="O880" s="178">
        <v>52000</v>
      </c>
      <c r="P880" s="1713">
        <v>66850899.999999993</v>
      </c>
      <c r="Q880" s="180">
        <v>5000</v>
      </c>
      <c r="R880" s="1710">
        <v>20116500</v>
      </c>
      <c r="S880" s="177">
        <v>22910</v>
      </c>
      <c r="T880" s="2693">
        <v>20654000</v>
      </c>
      <c r="U880" s="177"/>
      <c r="V880" s="177"/>
      <c r="W880" s="177"/>
      <c r="X880" s="177"/>
      <c r="Y880" s="180">
        <f t="shared" si="252"/>
        <v>27910</v>
      </c>
      <c r="Z880" s="1720">
        <f t="shared" si="253"/>
        <v>40770500</v>
      </c>
      <c r="AA880" s="1043">
        <f t="shared" si="262"/>
        <v>229362</v>
      </c>
      <c r="AB880" s="1710">
        <f t="shared" si="261"/>
        <v>280122500</v>
      </c>
      <c r="AC880" s="1045">
        <f t="shared" si="263"/>
        <v>88.216153846153844</v>
      </c>
      <c r="AD880" s="1046">
        <f t="shared" si="264"/>
        <v>55.469801980198021</v>
      </c>
      <c r="AE880" s="481"/>
      <c r="AF880" s="962"/>
      <c r="AG880" s="962"/>
      <c r="AH880" s="962"/>
      <c r="AI880" s="962"/>
      <c r="AJ880" s="962"/>
      <c r="AK880" s="962"/>
      <c r="AL880" s="962"/>
      <c r="AM880" s="962"/>
      <c r="AN880" s="962"/>
      <c r="AO880" s="962"/>
      <c r="AP880" s="962"/>
      <c r="AQ880" s="962"/>
      <c r="AR880" s="962"/>
      <c r="AS880" s="962"/>
      <c r="AT880" s="962"/>
      <c r="AU880" s="962"/>
      <c r="AV880" s="962"/>
      <c r="AW880" s="962"/>
      <c r="AX880" s="962"/>
      <c r="AY880" s="962"/>
      <c r="AZ880" s="962"/>
      <c r="BA880" s="962"/>
      <c r="BB880" s="962"/>
      <c r="BC880" s="963"/>
      <c r="BD880" s="963"/>
      <c r="BE880" s="963"/>
      <c r="BF880" s="963"/>
      <c r="BG880" s="963"/>
      <c r="BH880" s="963"/>
      <c r="BI880" s="963"/>
      <c r="BJ880" s="963"/>
      <c r="BK880" s="963"/>
      <c r="BL880" s="963"/>
      <c r="BM880" s="963"/>
      <c r="BN880" s="963"/>
      <c r="BO880" s="963"/>
      <c r="BP880" s="963"/>
      <c r="BQ880" s="963"/>
    </row>
    <row r="881" spans="1:70" ht="49.5">
      <c r="A881" s="185"/>
      <c r="B881" s="522"/>
      <c r="C881" s="1041">
        <v>3</v>
      </c>
      <c r="D881" s="1041" t="s">
        <v>34</v>
      </c>
      <c r="E881" s="1021" t="s">
        <v>28</v>
      </c>
      <c r="F881" s="1041" t="s">
        <v>25</v>
      </c>
      <c r="G881" s="1041" t="s">
        <v>35</v>
      </c>
      <c r="H881" s="1041">
        <v>20</v>
      </c>
      <c r="I881" s="174" t="s">
        <v>1311</v>
      </c>
      <c r="J881" s="174" t="s">
        <v>1312</v>
      </c>
      <c r="K881" s="176">
        <v>170000</v>
      </c>
      <c r="L881" s="1710">
        <v>1500000000</v>
      </c>
      <c r="M881" s="177">
        <v>81157</v>
      </c>
      <c r="N881" s="1710">
        <v>1106199000</v>
      </c>
      <c r="O881" s="178">
        <v>34000</v>
      </c>
      <c r="P881" s="1713">
        <v>86400000</v>
      </c>
      <c r="Q881" s="180">
        <v>18753</v>
      </c>
      <c r="R881" s="1710">
        <v>30750650</v>
      </c>
      <c r="S881" s="177"/>
      <c r="T881" s="2693">
        <v>22104000</v>
      </c>
      <c r="U881" s="174"/>
      <c r="V881" s="177"/>
      <c r="W881" s="177"/>
      <c r="X881" s="177"/>
      <c r="Y881" s="180">
        <f t="shared" si="252"/>
        <v>18753</v>
      </c>
      <c r="Z881" s="1720">
        <f t="shared" si="253"/>
        <v>52854650</v>
      </c>
      <c r="AA881" s="1707">
        <f t="shared" si="262"/>
        <v>99910</v>
      </c>
      <c r="AB881" s="1710">
        <f t="shared" si="261"/>
        <v>1159053650</v>
      </c>
      <c r="AC881" s="1045">
        <f t="shared" si="263"/>
        <v>58.77058823529412</v>
      </c>
      <c r="AD881" s="1046">
        <f t="shared" si="264"/>
        <v>77.270243333333326</v>
      </c>
      <c r="AE881" s="481"/>
      <c r="AF881" s="962"/>
      <c r="AG881" s="962"/>
      <c r="AH881" s="962"/>
      <c r="AI881" s="962"/>
      <c r="AJ881" s="962"/>
      <c r="AK881" s="962"/>
      <c r="AL881" s="962"/>
      <c r="AM881" s="962"/>
      <c r="AN881" s="962"/>
      <c r="AO881" s="962"/>
      <c r="AP881" s="962"/>
      <c r="AQ881" s="962"/>
      <c r="AR881" s="962"/>
      <c r="AS881" s="962"/>
      <c r="AT881" s="962"/>
      <c r="AU881" s="962"/>
      <c r="AV881" s="962"/>
      <c r="AW881" s="962"/>
      <c r="AX881" s="962"/>
      <c r="AY881" s="962"/>
      <c r="AZ881" s="962"/>
      <c r="BA881" s="962"/>
      <c r="BB881" s="962"/>
      <c r="BC881" s="963"/>
      <c r="BD881" s="963"/>
      <c r="BE881" s="963"/>
      <c r="BF881" s="963"/>
      <c r="BG881" s="963"/>
      <c r="BH881" s="963"/>
      <c r="BI881" s="963"/>
      <c r="BJ881" s="963"/>
      <c r="BK881" s="963"/>
      <c r="BL881" s="963"/>
      <c r="BM881" s="963"/>
      <c r="BN881" s="963"/>
      <c r="BO881" s="963"/>
      <c r="BP881" s="963"/>
      <c r="BQ881" s="963"/>
    </row>
    <row r="882" spans="1:70" ht="66">
      <c r="A882" s="1042"/>
      <c r="B882" s="174"/>
      <c r="C882" s="1041">
        <v>3</v>
      </c>
      <c r="D882" s="1041" t="s">
        <v>34</v>
      </c>
      <c r="E882" s="1021" t="s">
        <v>28</v>
      </c>
      <c r="F882" s="1041" t="s">
        <v>25</v>
      </c>
      <c r="G882" s="1041" t="s">
        <v>35</v>
      </c>
      <c r="H882" s="1041">
        <v>21</v>
      </c>
      <c r="I882" s="174" t="s">
        <v>1313</v>
      </c>
      <c r="J882" s="174" t="s">
        <v>1314</v>
      </c>
      <c r="K882" s="176">
        <v>205</v>
      </c>
      <c r="L882" s="1710">
        <v>1750000000</v>
      </c>
      <c r="M882" s="177">
        <v>105</v>
      </c>
      <c r="N882" s="1710">
        <v>525801000</v>
      </c>
      <c r="O882" s="178">
        <v>40</v>
      </c>
      <c r="P882" s="1713">
        <v>73600000</v>
      </c>
      <c r="Q882" s="174">
        <v>15</v>
      </c>
      <c r="R882" s="1710">
        <v>46900150</v>
      </c>
      <c r="S882" s="177"/>
      <c r="T882" s="2693">
        <v>19686750</v>
      </c>
      <c r="U882" s="174"/>
      <c r="V882" s="177"/>
      <c r="W882" s="177"/>
      <c r="X882" s="177"/>
      <c r="Y882" s="180">
        <f t="shared" si="252"/>
        <v>15</v>
      </c>
      <c r="Z882" s="1720">
        <f t="shared" si="253"/>
        <v>66586900</v>
      </c>
      <c r="AA882" s="1043">
        <f t="shared" si="262"/>
        <v>120</v>
      </c>
      <c r="AB882" s="1710">
        <f t="shared" si="261"/>
        <v>592387900</v>
      </c>
      <c r="AC882" s="1045">
        <f t="shared" si="263"/>
        <v>58.536585365853654</v>
      </c>
      <c r="AD882" s="1046">
        <f t="shared" si="264"/>
        <v>33.850737142857142</v>
      </c>
      <c r="AE882" s="481"/>
      <c r="AF882" s="962"/>
      <c r="AG882" s="962"/>
      <c r="AH882" s="962"/>
      <c r="AI882" s="962"/>
      <c r="AJ882" s="962"/>
      <c r="AK882" s="962"/>
      <c r="AL882" s="962"/>
      <c r="AM882" s="962"/>
      <c r="AN882" s="962"/>
      <c r="AO882" s="962"/>
      <c r="AP882" s="962"/>
      <c r="AQ882" s="962"/>
      <c r="AR882" s="962"/>
      <c r="AS882" s="962"/>
      <c r="AT882" s="962"/>
      <c r="AU882" s="962"/>
      <c r="AV882" s="962"/>
      <c r="AW882" s="962"/>
      <c r="AX882" s="962"/>
      <c r="AY882" s="962"/>
      <c r="AZ882" s="962"/>
      <c r="BA882" s="962"/>
      <c r="BB882" s="962"/>
      <c r="BC882" s="963"/>
      <c r="BD882" s="963"/>
      <c r="BE882" s="963"/>
      <c r="BF882" s="963"/>
      <c r="BG882" s="963"/>
      <c r="BH882" s="963"/>
      <c r="BI882" s="963"/>
      <c r="BJ882" s="963"/>
      <c r="BK882" s="963"/>
      <c r="BL882" s="963"/>
      <c r="BM882" s="963"/>
      <c r="BN882" s="963"/>
      <c r="BO882" s="963"/>
      <c r="BP882" s="963"/>
      <c r="BQ882" s="963"/>
    </row>
    <row r="883" spans="1:70" ht="49.5">
      <c r="A883" s="1042"/>
      <c r="B883" s="174"/>
      <c r="C883" s="1041">
        <v>3</v>
      </c>
      <c r="D883" s="1041" t="s">
        <v>34</v>
      </c>
      <c r="E883" s="1021" t="s">
        <v>28</v>
      </c>
      <c r="F883" s="1041" t="s">
        <v>25</v>
      </c>
      <c r="G883" s="1041" t="s">
        <v>35</v>
      </c>
      <c r="H883" s="1041">
        <v>22</v>
      </c>
      <c r="I883" s="174" t="s">
        <v>1315</v>
      </c>
      <c r="J883" s="174" t="s">
        <v>1316</v>
      </c>
      <c r="K883" s="176">
        <v>4580</v>
      </c>
      <c r="L883" s="1710">
        <v>300000000</v>
      </c>
      <c r="M883" s="177">
        <v>2464</v>
      </c>
      <c r="N883" s="1710">
        <v>46112000</v>
      </c>
      <c r="O883" s="178">
        <v>1000</v>
      </c>
      <c r="P883" s="1713">
        <v>35287000</v>
      </c>
      <c r="Q883" s="174">
        <v>231</v>
      </c>
      <c r="R883" s="1710">
        <v>8563400</v>
      </c>
      <c r="S883" s="177"/>
      <c r="T883" s="2693">
        <v>8330000</v>
      </c>
      <c r="U883" s="174"/>
      <c r="V883" s="177"/>
      <c r="W883" s="177"/>
      <c r="X883" s="177"/>
      <c r="Y883" s="180">
        <f t="shared" si="252"/>
        <v>231</v>
      </c>
      <c r="Z883" s="1720">
        <f t="shared" si="253"/>
        <v>16893400</v>
      </c>
      <c r="AA883" s="1707">
        <f t="shared" si="262"/>
        <v>2695</v>
      </c>
      <c r="AB883" s="1710">
        <f t="shared" si="261"/>
        <v>63005400</v>
      </c>
      <c r="AC883" s="1045">
        <f t="shared" si="263"/>
        <v>58.842794759825324</v>
      </c>
      <c r="AD883" s="1046">
        <f t="shared" si="264"/>
        <v>21.001799999999999</v>
      </c>
      <c r="AE883" s="481"/>
      <c r="AF883" s="962"/>
      <c r="AG883" s="962"/>
      <c r="AH883" s="962"/>
      <c r="AI883" s="962"/>
      <c r="AJ883" s="962"/>
      <c r="AK883" s="962"/>
      <c r="AL883" s="962"/>
      <c r="AM883" s="962"/>
      <c r="AN883" s="962"/>
      <c r="AO883" s="962"/>
      <c r="AP883" s="962"/>
      <c r="AQ883" s="962"/>
      <c r="AR883" s="962"/>
      <c r="AS883" s="962"/>
      <c r="AT883" s="962"/>
      <c r="AU883" s="962"/>
      <c r="AV883" s="962"/>
      <c r="AW883" s="962"/>
      <c r="AX883" s="962"/>
      <c r="AY883" s="962"/>
      <c r="AZ883" s="962"/>
      <c r="BA883" s="962"/>
      <c r="BB883" s="962"/>
      <c r="BC883" s="963"/>
      <c r="BD883" s="963"/>
      <c r="BE883" s="963"/>
      <c r="BF883" s="963"/>
      <c r="BG883" s="963"/>
      <c r="BH883" s="963"/>
      <c r="BI883" s="963"/>
      <c r="BJ883" s="963"/>
      <c r="BK883" s="963"/>
      <c r="BL883" s="963"/>
      <c r="BM883" s="963"/>
      <c r="BN883" s="963"/>
      <c r="BO883" s="963"/>
      <c r="BP883" s="963"/>
      <c r="BQ883" s="963"/>
    </row>
    <row r="884" spans="1:70" ht="66">
      <c r="A884" s="1042"/>
      <c r="B884" s="174"/>
      <c r="C884" s="1041">
        <v>3</v>
      </c>
      <c r="D884" s="1041" t="s">
        <v>34</v>
      </c>
      <c r="E884" s="1021" t="s">
        <v>28</v>
      </c>
      <c r="F884" s="1041" t="s">
        <v>25</v>
      </c>
      <c r="G884" s="1041" t="s">
        <v>35</v>
      </c>
      <c r="H884" s="1041">
        <v>23</v>
      </c>
      <c r="I884" s="174" t="s">
        <v>1317</v>
      </c>
      <c r="J884" s="174" t="s">
        <v>1318</v>
      </c>
      <c r="K884" s="176">
        <v>48</v>
      </c>
      <c r="L884" s="1710">
        <v>300000000</v>
      </c>
      <c r="M884" s="177">
        <v>12</v>
      </c>
      <c r="N884" s="1710">
        <v>37232000</v>
      </c>
      <c r="O884" s="178">
        <v>12</v>
      </c>
      <c r="P884" s="1713">
        <v>51091500</v>
      </c>
      <c r="Q884" s="177">
        <v>3</v>
      </c>
      <c r="R884" s="1710">
        <v>10437500</v>
      </c>
      <c r="S884" s="177"/>
      <c r="T884" s="2693">
        <v>12893000</v>
      </c>
      <c r="U884" s="174"/>
      <c r="V884" s="177"/>
      <c r="W884" s="177"/>
      <c r="X884" s="177"/>
      <c r="Y884" s="180">
        <f t="shared" si="252"/>
        <v>3</v>
      </c>
      <c r="Z884" s="1720">
        <f t="shared" si="253"/>
        <v>23330500</v>
      </c>
      <c r="AA884" s="1043">
        <f t="shared" si="262"/>
        <v>15</v>
      </c>
      <c r="AB884" s="1710">
        <f t="shared" si="261"/>
        <v>60562500</v>
      </c>
      <c r="AC884" s="1045">
        <f t="shared" si="263"/>
        <v>31.25</v>
      </c>
      <c r="AD884" s="1046">
        <f t="shared" si="264"/>
        <v>20.1875</v>
      </c>
      <c r="AE884" s="481"/>
      <c r="AF884" s="962"/>
      <c r="AG884" s="962"/>
      <c r="AH884" s="962"/>
      <c r="AI884" s="962"/>
      <c r="AJ884" s="962"/>
      <c r="AK884" s="962"/>
      <c r="AL884" s="962"/>
      <c r="AM884" s="962"/>
      <c r="AN884" s="962"/>
      <c r="AO884" s="962"/>
      <c r="AP884" s="962"/>
      <c r="AQ884" s="962"/>
      <c r="AR884" s="962"/>
      <c r="AS884" s="962"/>
      <c r="AT884" s="962"/>
      <c r="AU884" s="962"/>
      <c r="AV884" s="962"/>
      <c r="AW884" s="962"/>
      <c r="AX884" s="962"/>
      <c r="AY884" s="962"/>
      <c r="AZ884" s="962"/>
      <c r="BA884" s="962"/>
      <c r="BB884" s="962"/>
      <c r="BC884" s="963"/>
      <c r="BD884" s="963"/>
      <c r="BE884" s="963"/>
      <c r="BF884" s="963"/>
      <c r="BG884" s="963"/>
      <c r="BH884" s="963"/>
      <c r="BI884" s="963"/>
      <c r="BJ884" s="963"/>
      <c r="BK884" s="963"/>
      <c r="BL884" s="963"/>
      <c r="BM884" s="963"/>
      <c r="BN884" s="963"/>
      <c r="BO884" s="963"/>
      <c r="BP884" s="963"/>
      <c r="BQ884" s="963"/>
    </row>
    <row r="885" spans="1:70" ht="49.5">
      <c r="A885" s="183"/>
      <c r="B885" s="2783"/>
      <c r="C885" s="1040">
        <v>3</v>
      </c>
      <c r="D885" s="1040" t="s">
        <v>34</v>
      </c>
      <c r="E885" s="1037" t="s">
        <v>28</v>
      </c>
      <c r="F885" s="1040" t="s">
        <v>25</v>
      </c>
      <c r="G885" s="1040" t="s">
        <v>35</v>
      </c>
      <c r="H885" s="1040">
        <v>17</v>
      </c>
      <c r="I885" s="2783" t="s">
        <v>1319</v>
      </c>
      <c r="J885" s="174" t="s">
        <v>1320</v>
      </c>
      <c r="K885" s="176">
        <v>16</v>
      </c>
      <c r="L885" s="1710">
        <v>350000000</v>
      </c>
      <c r="M885" s="177">
        <v>3</v>
      </c>
      <c r="N885" s="1710">
        <v>103780000</v>
      </c>
      <c r="O885" s="178">
        <v>4</v>
      </c>
      <c r="P885" s="1713">
        <v>57275000</v>
      </c>
      <c r="Q885" s="177">
        <v>0</v>
      </c>
      <c r="R885" s="1710">
        <v>9500000</v>
      </c>
      <c r="S885" s="177"/>
      <c r="T885" s="2693">
        <v>13104000</v>
      </c>
      <c r="U885" s="177"/>
      <c r="V885" s="177"/>
      <c r="W885" s="177"/>
      <c r="X885" s="177"/>
      <c r="Y885" s="180">
        <f t="shared" si="252"/>
        <v>0</v>
      </c>
      <c r="Z885" s="1720">
        <f t="shared" si="253"/>
        <v>22604000</v>
      </c>
      <c r="AA885" s="1707">
        <f t="shared" si="262"/>
        <v>3</v>
      </c>
      <c r="AB885" s="1710">
        <f t="shared" si="261"/>
        <v>126384000</v>
      </c>
      <c r="AC885" s="1045">
        <f t="shared" si="263"/>
        <v>18.75</v>
      </c>
      <c r="AD885" s="1046">
        <f t="shared" si="264"/>
        <v>36.109714285714283</v>
      </c>
      <c r="AE885" s="481"/>
      <c r="AF885" s="962"/>
      <c r="AG885" s="962"/>
      <c r="AH885" s="962"/>
      <c r="AI885" s="962"/>
      <c r="AJ885" s="962"/>
      <c r="AK885" s="962"/>
      <c r="AL885" s="962"/>
      <c r="AM885" s="962"/>
      <c r="AN885" s="962"/>
      <c r="AO885" s="962"/>
      <c r="AP885" s="962"/>
      <c r="AQ885" s="962"/>
      <c r="AR885" s="962"/>
      <c r="AS885" s="962"/>
      <c r="AT885" s="962"/>
      <c r="AU885" s="962"/>
      <c r="AV885" s="962"/>
      <c r="AW885" s="962"/>
      <c r="AX885" s="962"/>
      <c r="AY885" s="962"/>
      <c r="AZ885" s="962"/>
      <c r="BA885" s="962"/>
      <c r="BB885" s="962"/>
      <c r="BC885" s="963"/>
      <c r="BD885" s="963"/>
      <c r="BE885" s="963"/>
      <c r="BF885" s="963"/>
      <c r="BG885" s="963"/>
      <c r="BH885" s="963"/>
      <c r="BI885" s="963"/>
      <c r="BJ885" s="963"/>
      <c r="BK885" s="963"/>
      <c r="BL885" s="963"/>
      <c r="BM885" s="963"/>
      <c r="BN885" s="963"/>
      <c r="BO885" s="963"/>
      <c r="BP885" s="963"/>
      <c r="BQ885" s="963"/>
    </row>
    <row r="886" spans="1:70" ht="99">
      <c r="A886" s="184"/>
      <c r="B886" s="2785"/>
      <c r="C886" s="1036"/>
      <c r="D886" s="1036"/>
      <c r="E886" s="1039"/>
      <c r="F886" s="1036"/>
      <c r="G886" s="1036"/>
      <c r="H886" s="1036"/>
      <c r="I886" s="2785"/>
      <c r="J886" s="174" t="s">
        <v>1321</v>
      </c>
      <c r="K886" s="176">
        <v>102000</v>
      </c>
      <c r="L886" s="1710">
        <v>0</v>
      </c>
      <c r="M886" s="177">
        <v>90236</v>
      </c>
      <c r="N886" s="1710">
        <v>0</v>
      </c>
      <c r="O886" s="178">
        <v>25000</v>
      </c>
      <c r="P886" s="1713">
        <v>0</v>
      </c>
      <c r="Q886" s="177">
        <v>2000</v>
      </c>
      <c r="R886" s="1710">
        <v>0</v>
      </c>
      <c r="S886" s="177"/>
      <c r="T886" s="2693"/>
      <c r="U886" s="177"/>
      <c r="V886" s="177"/>
      <c r="W886" s="177"/>
      <c r="X886" s="177"/>
      <c r="Y886" s="180">
        <f t="shared" si="252"/>
        <v>2000</v>
      </c>
      <c r="Z886" s="1720">
        <f t="shared" si="253"/>
        <v>0</v>
      </c>
      <c r="AA886" s="1707">
        <f t="shared" si="262"/>
        <v>92236</v>
      </c>
      <c r="AB886" s="1710">
        <f t="shared" si="261"/>
        <v>0</v>
      </c>
      <c r="AC886" s="1045">
        <f t="shared" ref="AC886:AC893" si="265">(AA886/K886)*100</f>
        <v>90.427450980392152</v>
      </c>
      <c r="AD886" s="1046"/>
      <c r="AE886" s="481"/>
      <c r="AF886" s="962"/>
      <c r="AG886" s="962"/>
      <c r="AH886" s="962"/>
      <c r="AI886" s="962"/>
      <c r="AJ886" s="962"/>
      <c r="AK886" s="962"/>
      <c r="AL886" s="962"/>
      <c r="AM886" s="962"/>
      <c r="AN886" s="962"/>
      <c r="AO886" s="962"/>
      <c r="AP886" s="962"/>
      <c r="AQ886" s="962"/>
      <c r="AR886" s="962"/>
      <c r="AS886" s="962"/>
      <c r="AT886" s="962"/>
      <c r="AU886" s="962"/>
      <c r="AV886" s="962"/>
      <c r="AW886" s="962"/>
      <c r="AX886" s="962"/>
      <c r="AY886" s="962"/>
      <c r="AZ886" s="962"/>
      <c r="BA886" s="962"/>
      <c r="BB886" s="962"/>
      <c r="BC886" s="963"/>
      <c r="BD886" s="963"/>
      <c r="BE886" s="963"/>
      <c r="BF886" s="963"/>
      <c r="BG886" s="963"/>
      <c r="BH886" s="963"/>
      <c r="BI886" s="963"/>
      <c r="BJ886" s="963"/>
      <c r="BK886" s="963"/>
      <c r="BL886" s="963"/>
      <c r="BM886" s="963"/>
      <c r="BN886" s="963"/>
      <c r="BO886" s="963"/>
      <c r="BP886" s="963"/>
      <c r="BQ886" s="963"/>
    </row>
    <row r="887" spans="1:70" ht="49.5">
      <c r="A887" s="185"/>
      <c r="B887" s="549"/>
      <c r="C887" s="1041"/>
      <c r="D887" s="1041"/>
      <c r="E887" s="1020"/>
      <c r="F887" s="1041"/>
      <c r="G887" s="1041"/>
      <c r="H887" s="1041"/>
      <c r="I887" s="549"/>
      <c r="J887" s="174" t="s">
        <v>1322</v>
      </c>
      <c r="K887" s="176">
        <v>14</v>
      </c>
      <c r="L887" s="1710">
        <v>0</v>
      </c>
      <c r="M887" s="177">
        <v>1</v>
      </c>
      <c r="N887" s="1710">
        <v>0</v>
      </c>
      <c r="O887" s="178">
        <v>3</v>
      </c>
      <c r="P887" s="1713">
        <v>0</v>
      </c>
      <c r="Q887" s="177">
        <v>0</v>
      </c>
      <c r="R887" s="1710">
        <v>0</v>
      </c>
      <c r="S887" s="177"/>
      <c r="T887" s="2693"/>
      <c r="U887" s="177"/>
      <c r="V887" s="177"/>
      <c r="W887" s="177"/>
      <c r="X887" s="177"/>
      <c r="Y887" s="180">
        <f t="shared" si="252"/>
        <v>0</v>
      </c>
      <c r="Z887" s="1720">
        <f t="shared" si="253"/>
        <v>0</v>
      </c>
      <c r="AA887" s="1707">
        <f t="shared" si="262"/>
        <v>1</v>
      </c>
      <c r="AB887" s="1710">
        <f t="shared" si="261"/>
        <v>0</v>
      </c>
      <c r="AC887" s="1045">
        <f t="shared" si="265"/>
        <v>7.1428571428571423</v>
      </c>
      <c r="AD887" s="1046"/>
      <c r="AE887" s="1705"/>
      <c r="AF887" s="1047"/>
      <c r="AG887" s="569"/>
      <c r="AH887" s="569"/>
      <c r="AI887" s="569"/>
      <c r="AJ887" s="569"/>
      <c r="AK887" s="569"/>
      <c r="AL887" s="569"/>
      <c r="AM887" s="569"/>
      <c r="AN887" s="569"/>
      <c r="AO887" s="569"/>
      <c r="AP887" s="569"/>
      <c r="AQ887" s="569"/>
      <c r="AR887" s="569"/>
      <c r="AS887" s="569"/>
      <c r="AT887" s="569"/>
      <c r="AU887" s="569"/>
      <c r="AV887" s="569"/>
      <c r="AW887" s="569"/>
      <c r="AX887" s="569"/>
      <c r="AY887" s="569"/>
      <c r="AZ887" s="569"/>
      <c r="BA887" s="569"/>
      <c r="BB887" s="569"/>
      <c r="BC887" s="570"/>
      <c r="BD887" s="570"/>
      <c r="BE887" s="570"/>
      <c r="BF887" s="570"/>
      <c r="BG887" s="570"/>
      <c r="BH887" s="570"/>
      <c r="BI887" s="570"/>
      <c r="BJ887" s="570"/>
      <c r="BK887" s="570"/>
      <c r="BL887" s="570"/>
      <c r="BM887" s="570"/>
      <c r="BN887" s="570"/>
      <c r="BO887" s="570"/>
      <c r="BP887" s="570"/>
      <c r="BQ887" s="570"/>
    </row>
    <row r="888" spans="1:70" ht="49.5">
      <c r="A888" s="1042"/>
      <c r="B888" s="174"/>
      <c r="C888" s="1044"/>
      <c r="D888" s="1044"/>
      <c r="E888" s="1021"/>
      <c r="F888" s="1044"/>
      <c r="G888" s="1044"/>
      <c r="H888" s="1044"/>
      <c r="I888" s="174" t="s">
        <v>1323</v>
      </c>
      <c r="J888" s="174" t="s">
        <v>1324</v>
      </c>
      <c r="K888" s="176">
        <v>300000</v>
      </c>
      <c r="L888" s="1710">
        <v>357000000</v>
      </c>
      <c r="M888" s="177">
        <v>56095</v>
      </c>
      <c r="N888" s="1710">
        <v>45974000</v>
      </c>
      <c r="O888" s="178">
        <v>40000</v>
      </c>
      <c r="P888" s="1713">
        <v>34312300</v>
      </c>
      <c r="Q888" s="177">
        <v>5732</v>
      </c>
      <c r="R888" s="1710">
        <v>12916750</v>
      </c>
      <c r="S888" s="177"/>
      <c r="T888" s="2693">
        <v>11778250</v>
      </c>
      <c r="U888" s="177"/>
      <c r="V888" s="177"/>
      <c r="W888" s="177"/>
      <c r="X888" s="177"/>
      <c r="Y888" s="180">
        <f t="shared" si="252"/>
        <v>5732</v>
      </c>
      <c r="Z888" s="1720">
        <f t="shared" si="253"/>
        <v>24695000</v>
      </c>
      <c r="AA888" s="1043">
        <f t="shared" si="262"/>
        <v>61827</v>
      </c>
      <c r="AB888" s="1710">
        <f t="shared" si="261"/>
        <v>70669000</v>
      </c>
      <c r="AC888" s="1045">
        <f t="shared" si="265"/>
        <v>20.608999999999998</v>
      </c>
      <c r="AD888" s="1046">
        <f>(AB888/L888)*100</f>
        <v>19.795238095238098</v>
      </c>
      <c r="AE888" s="736"/>
      <c r="AF888" s="569"/>
      <c r="AG888" s="1048"/>
      <c r="AH888" s="569"/>
      <c r="AI888" s="569"/>
      <c r="AJ888" s="569"/>
      <c r="AK888" s="569"/>
      <c r="AL888" s="569"/>
      <c r="AM888" s="569"/>
      <c r="AN888" s="569"/>
      <c r="AO888" s="569"/>
      <c r="AP888" s="569"/>
      <c r="AQ888" s="569"/>
      <c r="AR888" s="569"/>
      <c r="AS888" s="569"/>
      <c r="AT888" s="569"/>
      <c r="AU888" s="569"/>
      <c r="AV888" s="569"/>
      <c r="AW888" s="569"/>
      <c r="AX888" s="569"/>
      <c r="AY888" s="569"/>
      <c r="AZ888" s="569"/>
      <c r="BA888" s="569"/>
      <c r="BB888" s="569"/>
      <c r="BC888" s="570"/>
      <c r="BD888" s="570"/>
      <c r="BE888" s="570"/>
      <c r="BF888" s="570"/>
      <c r="BG888" s="570"/>
      <c r="BH888" s="570"/>
      <c r="BI888" s="570"/>
      <c r="BJ888" s="570"/>
      <c r="BK888" s="570"/>
      <c r="BL888" s="570"/>
      <c r="BM888" s="570"/>
      <c r="BN888" s="570"/>
      <c r="BO888" s="570"/>
      <c r="BP888" s="570"/>
      <c r="BQ888" s="570"/>
    </row>
    <row r="889" spans="1:70" ht="66">
      <c r="A889" s="183"/>
      <c r="B889" s="2829"/>
      <c r="C889" s="1036"/>
      <c r="D889" s="1036"/>
      <c r="E889" s="1037"/>
      <c r="F889" s="1036"/>
      <c r="G889" s="1036"/>
      <c r="H889" s="1036"/>
      <c r="I889" s="2783" t="s">
        <v>1325</v>
      </c>
      <c r="J889" s="174" t="s">
        <v>1326</v>
      </c>
      <c r="K889" s="176">
        <v>1183000</v>
      </c>
      <c r="L889" s="1710">
        <v>6500000000</v>
      </c>
      <c r="M889" s="177">
        <v>473200</v>
      </c>
      <c r="N889" s="1710">
        <v>2592535000</v>
      </c>
      <c r="O889" s="178">
        <v>236600</v>
      </c>
      <c r="P889" s="1713">
        <v>1488701000</v>
      </c>
      <c r="Q889" s="177">
        <v>0</v>
      </c>
      <c r="R889" s="1710">
        <v>209080000</v>
      </c>
      <c r="S889" s="177"/>
      <c r="T889" s="2693">
        <v>1102121000</v>
      </c>
      <c r="U889" s="177"/>
      <c r="V889" s="177"/>
      <c r="W889" s="177"/>
      <c r="X889" s="177"/>
      <c r="Y889" s="180">
        <f t="shared" si="252"/>
        <v>0</v>
      </c>
      <c r="Z889" s="1720">
        <f t="shared" si="253"/>
        <v>1311201000</v>
      </c>
      <c r="AA889" s="1707">
        <f t="shared" si="262"/>
        <v>473200</v>
      </c>
      <c r="AB889" s="1710">
        <f t="shared" si="261"/>
        <v>3903736000</v>
      </c>
      <c r="AC889" s="1045">
        <f t="shared" si="265"/>
        <v>40</v>
      </c>
      <c r="AD889" s="1046">
        <f>(AB889/L889)*100</f>
        <v>60.057476923076926</v>
      </c>
      <c r="AE889" s="736"/>
      <c r="AF889" s="569"/>
      <c r="AG889" s="1048"/>
      <c r="AH889" s="569"/>
      <c r="AI889" s="569"/>
      <c r="AJ889" s="569"/>
      <c r="AK889" s="569"/>
      <c r="AL889" s="569"/>
      <c r="AM889" s="569"/>
      <c r="AN889" s="569"/>
      <c r="AO889" s="569"/>
      <c r="AP889" s="569"/>
      <c r="AQ889" s="569"/>
      <c r="AR889" s="569"/>
      <c r="AS889" s="569"/>
      <c r="AT889" s="569"/>
      <c r="AU889" s="569"/>
      <c r="AV889" s="569"/>
      <c r="AW889" s="569"/>
      <c r="AX889" s="569"/>
      <c r="AY889" s="569"/>
      <c r="AZ889" s="569"/>
      <c r="BA889" s="569"/>
      <c r="BB889" s="569"/>
      <c r="BC889" s="570"/>
      <c r="BD889" s="570"/>
      <c r="BE889" s="570"/>
      <c r="BF889" s="570"/>
      <c r="BG889" s="570"/>
      <c r="BH889" s="570"/>
      <c r="BI889" s="570"/>
      <c r="BJ889" s="570"/>
      <c r="BK889" s="570"/>
      <c r="BL889" s="570"/>
      <c r="BM889" s="570"/>
      <c r="BN889" s="570"/>
      <c r="BO889" s="570"/>
      <c r="BP889" s="570"/>
      <c r="BQ889" s="570"/>
    </row>
    <row r="890" spans="1:70" ht="33">
      <c r="A890" s="184"/>
      <c r="B890" s="2830"/>
      <c r="C890" s="1036"/>
      <c r="D890" s="1036"/>
      <c r="E890" s="1039"/>
      <c r="F890" s="1036"/>
      <c r="G890" s="1036"/>
      <c r="H890" s="1036"/>
      <c r="I890" s="2785"/>
      <c r="J890" s="174" t="s">
        <v>1327</v>
      </c>
      <c r="K890" s="176">
        <v>5400</v>
      </c>
      <c r="L890" s="1710">
        <v>0</v>
      </c>
      <c r="M890" s="177">
        <v>1800</v>
      </c>
      <c r="N890" s="1710">
        <v>0</v>
      </c>
      <c r="O890" s="178">
        <v>900</v>
      </c>
      <c r="P890" s="1713">
        <v>0</v>
      </c>
      <c r="Q890" s="177">
        <v>0</v>
      </c>
      <c r="R890" s="1710">
        <v>0</v>
      </c>
      <c r="S890" s="177"/>
      <c r="T890" s="2693"/>
      <c r="U890" s="174"/>
      <c r="V890" s="177"/>
      <c r="W890" s="177"/>
      <c r="X890" s="177"/>
      <c r="Y890" s="180">
        <f t="shared" si="252"/>
        <v>0</v>
      </c>
      <c r="Z890" s="1720">
        <f t="shared" si="253"/>
        <v>0</v>
      </c>
      <c r="AA890" s="1707">
        <f t="shared" si="262"/>
        <v>1800</v>
      </c>
      <c r="AB890" s="1710">
        <f t="shared" si="261"/>
        <v>0</v>
      </c>
      <c r="AC890" s="1045">
        <f t="shared" si="265"/>
        <v>33.333333333333329</v>
      </c>
      <c r="AD890" s="1046"/>
      <c r="AE890" s="736"/>
      <c r="AF890" s="569"/>
      <c r="AG890" s="1048"/>
      <c r="AH890" s="569"/>
      <c r="AI890" s="569"/>
      <c r="AJ890" s="569"/>
      <c r="AK890" s="569"/>
      <c r="AL890" s="569"/>
      <c r="AM890" s="569"/>
      <c r="AN890" s="569"/>
      <c r="AO890" s="569"/>
      <c r="AP890" s="569"/>
      <c r="AQ890" s="569"/>
      <c r="AR890" s="569"/>
      <c r="AS890" s="569"/>
      <c r="AT890" s="569"/>
      <c r="AU890" s="569"/>
      <c r="AV890" s="569"/>
      <c r="AW890" s="569"/>
      <c r="AX890" s="569"/>
      <c r="AY890" s="569"/>
      <c r="AZ890" s="569"/>
      <c r="BA890" s="569"/>
      <c r="BB890" s="569"/>
      <c r="BC890" s="570"/>
      <c r="BD890" s="570"/>
      <c r="BE890" s="570"/>
      <c r="BF890" s="570"/>
      <c r="BG890" s="570"/>
      <c r="BH890" s="570"/>
      <c r="BI890" s="570"/>
      <c r="BJ890" s="570"/>
      <c r="BK890" s="570"/>
      <c r="BL890" s="570"/>
      <c r="BM890" s="570"/>
      <c r="BN890" s="570"/>
      <c r="BO890" s="570"/>
      <c r="BP890" s="570"/>
      <c r="BQ890" s="570"/>
    </row>
    <row r="891" spans="1:70" ht="49.5">
      <c r="A891" s="184"/>
      <c r="B891" s="182"/>
      <c r="C891" s="1041"/>
      <c r="D891" s="1041"/>
      <c r="E891" s="1020"/>
      <c r="F891" s="1041"/>
      <c r="G891" s="1041"/>
      <c r="H891" s="1041"/>
      <c r="I891" s="522"/>
      <c r="J891" s="174" t="s">
        <v>1328</v>
      </c>
      <c r="K891" s="176">
        <v>10</v>
      </c>
      <c r="L891" s="1710">
        <v>0</v>
      </c>
      <c r="M891" s="177">
        <v>7</v>
      </c>
      <c r="N891" s="1710">
        <v>0</v>
      </c>
      <c r="O891" s="178">
        <v>2</v>
      </c>
      <c r="P891" s="1713">
        <v>0</v>
      </c>
      <c r="Q891" s="177">
        <v>0</v>
      </c>
      <c r="R891" s="1710">
        <v>0</v>
      </c>
      <c r="S891" s="177"/>
      <c r="T891" s="2693"/>
      <c r="U891" s="174"/>
      <c r="V891" s="177"/>
      <c r="W891" s="174"/>
      <c r="X891" s="177"/>
      <c r="Y891" s="180">
        <f t="shared" si="252"/>
        <v>0</v>
      </c>
      <c r="Z891" s="1720">
        <f t="shared" si="253"/>
        <v>0</v>
      </c>
      <c r="AA891" s="1043">
        <f t="shared" si="262"/>
        <v>7</v>
      </c>
      <c r="AB891" s="1710">
        <f t="shared" si="261"/>
        <v>0</v>
      </c>
      <c r="AC891" s="1045">
        <f t="shared" si="265"/>
        <v>70</v>
      </c>
      <c r="AD891" s="1046"/>
      <c r="AE891" s="736"/>
      <c r="AF891" s="750"/>
      <c r="AG891" s="1048"/>
      <c r="AH891" s="750"/>
      <c r="AI891" s="750"/>
      <c r="AJ891" s="750"/>
      <c r="AK891" s="750"/>
      <c r="AL891" s="750"/>
      <c r="AM891" s="750"/>
      <c r="AN891" s="750"/>
      <c r="AO891" s="750"/>
      <c r="AP891" s="750"/>
      <c r="AQ891" s="750"/>
      <c r="AR891" s="750"/>
      <c r="AS891" s="750"/>
      <c r="AT891" s="750"/>
      <c r="AU891" s="750"/>
      <c r="AV891" s="750"/>
      <c r="AW891" s="750"/>
      <c r="AX891" s="750"/>
      <c r="AY891" s="750"/>
      <c r="AZ891" s="750"/>
      <c r="BA891" s="750"/>
      <c r="BB891" s="750"/>
      <c r="BC891" s="752"/>
      <c r="BD891" s="752"/>
      <c r="BE891" s="752"/>
      <c r="BF891" s="752"/>
      <c r="BG891" s="752"/>
      <c r="BH891" s="752"/>
      <c r="BI891" s="752"/>
      <c r="BJ891" s="752"/>
      <c r="BK891" s="752"/>
      <c r="BL891" s="752"/>
      <c r="BM891" s="752"/>
      <c r="BN891" s="752"/>
      <c r="BO891" s="752"/>
      <c r="BP891" s="752"/>
      <c r="BQ891" s="752"/>
    </row>
    <row r="892" spans="1:70" ht="66">
      <c r="A892" s="183"/>
      <c r="B892" s="2783"/>
      <c r="C892" s="1040"/>
      <c r="D892" s="1040"/>
      <c r="E892" s="1037"/>
      <c r="F892" s="1040"/>
      <c r="G892" s="1040"/>
      <c r="H892" s="1040"/>
      <c r="I892" s="2783" t="s">
        <v>1329</v>
      </c>
      <c r="J892" s="174" t="s">
        <v>1330</v>
      </c>
      <c r="K892" s="176">
        <v>130220</v>
      </c>
      <c r="L892" s="1710">
        <v>5300000000</v>
      </c>
      <c r="M892" s="177">
        <v>52747</v>
      </c>
      <c r="N892" s="1710">
        <v>3021207000</v>
      </c>
      <c r="O892" s="178">
        <v>36000</v>
      </c>
      <c r="P892" s="1713">
        <v>1824546000</v>
      </c>
      <c r="Q892" s="272">
        <v>7500</v>
      </c>
      <c r="R892" s="1710">
        <v>350237330</v>
      </c>
      <c r="S892" s="177"/>
      <c r="T892" s="2693">
        <v>411891600</v>
      </c>
      <c r="U892" s="177"/>
      <c r="V892" s="177"/>
      <c r="W892" s="177"/>
      <c r="X892" s="177"/>
      <c r="Y892" s="180">
        <f t="shared" si="252"/>
        <v>7500</v>
      </c>
      <c r="Z892" s="1720">
        <f t="shared" si="253"/>
        <v>762128930</v>
      </c>
      <c r="AA892" s="1707">
        <f t="shared" si="262"/>
        <v>60247</v>
      </c>
      <c r="AB892" s="1710">
        <f t="shared" si="261"/>
        <v>3783335930</v>
      </c>
      <c r="AC892" s="1045">
        <f t="shared" si="265"/>
        <v>46.265550606665649</v>
      </c>
      <c r="AD892" s="1046">
        <f>(AB892/L892)*100</f>
        <v>71.383696792452838</v>
      </c>
      <c r="AE892" s="736"/>
      <c r="AF892" s="201"/>
      <c r="AG892" s="1048"/>
      <c r="AH892" s="201"/>
      <c r="AI892" s="201"/>
      <c r="AJ892" s="201"/>
      <c r="AK892" s="201"/>
      <c r="AL892" s="201"/>
      <c r="AM892" s="201"/>
      <c r="AN892" s="201"/>
      <c r="AO892" s="201"/>
      <c r="AP892" s="201"/>
      <c r="AQ892" s="201"/>
      <c r="AR892" s="201"/>
      <c r="AS892" s="201"/>
      <c r="AT892" s="201"/>
      <c r="AU892" s="201"/>
      <c r="AV892" s="201"/>
      <c r="AW892" s="201"/>
      <c r="AX892" s="201"/>
      <c r="AY892" s="201"/>
      <c r="AZ892" s="201"/>
      <c r="BA892" s="201"/>
      <c r="BB892" s="201"/>
      <c r="BC892" s="20"/>
      <c r="BD892" s="20"/>
      <c r="BE892" s="20"/>
      <c r="BF892" s="20"/>
      <c r="BG892" s="20"/>
      <c r="BH892" s="20"/>
      <c r="BI892" s="20"/>
      <c r="BJ892" s="20"/>
      <c r="BK892" s="20"/>
      <c r="BL892" s="20"/>
      <c r="BM892" s="20"/>
      <c r="BN892" s="20"/>
      <c r="BO892" s="20"/>
      <c r="BP892" s="20"/>
      <c r="BQ892" s="20"/>
    </row>
    <row r="893" spans="1:70" ht="49.5">
      <c r="A893" s="185"/>
      <c r="B893" s="2784"/>
      <c r="C893" s="1041"/>
      <c r="D893" s="1041"/>
      <c r="E893" s="1020"/>
      <c r="F893" s="1041"/>
      <c r="G893" s="1041"/>
      <c r="H893" s="1041"/>
      <c r="I893" s="2784"/>
      <c r="J893" s="174" t="s">
        <v>1331</v>
      </c>
      <c r="K893" s="176">
        <v>165768</v>
      </c>
      <c r="L893" s="1710">
        <v>0</v>
      </c>
      <c r="M893" s="177">
        <v>20507</v>
      </c>
      <c r="N893" s="1710">
        <f>R893+T893+V893+X893</f>
        <v>0</v>
      </c>
      <c r="O893" s="178">
        <v>47076</v>
      </c>
      <c r="P893" s="1713">
        <v>0</v>
      </c>
      <c r="Q893" s="177">
        <v>11875</v>
      </c>
      <c r="R893" s="1710">
        <v>0</v>
      </c>
      <c r="S893" s="177"/>
      <c r="T893" s="179"/>
      <c r="U893" s="177"/>
      <c r="V893" s="177"/>
      <c r="W893" s="177"/>
      <c r="X893" s="177"/>
      <c r="Y893" s="180">
        <f t="shared" si="252"/>
        <v>11875</v>
      </c>
      <c r="Z893" s="1720">
        <f t="shared" si="253"/>
        <v>0</v>
      </c>
      <c r="AA893" s="1707">
        <f t="shared" si="262"/>
        <v>32382</v>
      </c>
      <c r="AB893" s="1710">
        <f t="shared" si="261"/>
        <v>0</v>
      </c>
      <c r="AC893" s="1045">
        <f t="shared" si="265"/>
        <v>19.53453018676705</v>
      </c>
      <c r="AD893" s="1046"/>
      <c r="AE893" s="736"/>
      <c r="AF893" s="750"/>
      <c r="AG893" s="1048"/>
      <c r="AH893" s="750"/>
      <c r="AI893" s="750"/>
      <c r="AJ893" s="750"/>
      <c r="AK893" s="750"/>
      <c r="AL893" s="750"/>
      <c r="AM893" s="750"/>
      <c r="AN893" s="750"/>
      <c r="AO893" s="750"/>
      <c r="AP893" s="750"/>
      <c r="AQ893" s="750"/>
      <c r="AR893" s="750"/>
      <c r="AS893" s="750"/>
      <c r="AT893" s="750"/>
      <c r="AU893" s="750"/>
      <c r="AV893" s="750"/>
      <c r="AW893" s="750"/>
      <c r="AX893" s="750"/>
      <c r="AY893" s="750"/>
      <c r="AZ893" s="750"/>
      <c r="BA893" s="750"/>
      <c r="BB893" s="750"/>
      <c r="BC893" s="752"/>
      <c r="BD893" s="752"/>
      <c r="BE893" s="752"/>
      <c r="BF893" s="752"/>
      <c r="BG893" s="752"/>
      <c r="BH893" s="752"/>
      <c r="BI893" s="752"/>
      <c r="BJ893" s="752"/>
      <c r="BK893" s="752"/>
      <c r="BL893" s="752"/>
      <c r="BM893" s="752"/>
      <c r="BN893" s="752"/>
      <c r="BO893" s="752"/>
      <c r="BP893" s="752"/>
      <c r="BQ893" s="752"/>
    </row>
    <row r="894" spans="1:70" s="1235" customFormat="1" ht="23.25" customHeight="1">
      <c r="A894" s="2848" t="s">
        <v>63</v>
      </c>
      <c r="B894" s="2849"/>
      <c r="C894" s="2849"/>
      <c r="D894" s="2849"/>
      <c r="E894" s="2849"/>
      <c r="F894" s="2849"/>
      <c r="G894" s="2849"/>
      <c r="H894" s="2849"/>
      <c r="I894" s="2849"/>
      <c r="J894" s="2849"/>
      <c r="K894" s="2849"/>
      <c r="L894" s="2849"/>
      <c r="M894" s="2849"/>
      <c r="N894" s="2849"/>
      <c r="O894" s="2849"/>
      <c r="P894" s="2849"/>
      <c r="Q894" s="2849"/>
      <c r="R894" s="2849"/>
      <c r="S894" s="2849"/>
      <c r="T894" s="2849"/>
      <c r="U894" s="2849"/>
      <c r="V894" s="2849"/>
      <c r="W894" s="2849"/>
      <c r="X894" s="2849"/>
      <c r="Y894" s="2849"/>
      <c r="Z894" s="2849"/>
      <c r="AA894" s="2849"/>
      <c r="AB894" s="2850"/>
      <c r="AC894" s="1727">
        <f>(AC848+AC861+AC865+AC867)/4</f>
        <v>42.291666666666664</v>
      </c>
      <c r="AD894" s="1727">
        <f>(AD848+AD861+AD865+AD867)/4</f>
        <v>44.193312954861739</v>
      </c>
      <c r="AE894" s="1728"/>
      <c r="AF894" s="861"/>
      <c r="AG894" s="861"/>
      <c r="AH894" s="861"/>
      <c r="AI894" s="861"/>
      <c r="AJ894" s="861"/>
      <c r="AK894" s="861"/>
      <c r="AL894" s="861"/>
      <c r="AM894" s="861"/>
      <c r="AN894" s="861"/>
      <c r="AO894" s="861"/>
      <c r="AP894" s="861"/>
      <c r="AQ894" s="861"/>
      <c r="AR894" s="861"/>
      <c r="AS894" s="861"/>
      <c r="AT894" s="861"/>
      <c r="AU894" s="861"/>
      <c r="AV894" s="861"/>
      <c r="AW894" s="861"/>
      <c r="AX894" s="861"/>
      <c r="AY894" s="861"/>
      <c r="AZ894" s="861"/>
      <c r="BA894" s="861"/>
      <c r="BB894" s="861"/>
      <c r="BC894" s="862"/>
      <c r="BD894" s="862"/>
      <c r="BE894" s="862"/>
      <c r="BF894" s="862"/>
      <c r="BG894" s="862"/>
      <c r="BH894" s="862"/>
      <c r="BI894" s="862"/>
      <c r="BJ894" s="862"/>
      <c r="BK894" s="862"/>
      <c r="BL894" s="862"/>
      <c r="BM894" s="862"/>
      <c r="BN894" s="862"/>
      <c r="BO894" s="862"/>
      <c r="BP894" s="862"/>
      <c r="BQ894" s="862"/>
      <c r="BR894" s="862"/>
    </row>
    <row r="895" spans="1:70" s="1235" customFormat="1" ht="24.75" customHeight="1">
      <c r="A895" s="2848" t="s">
        <v>64</v>
      </c>
      <c r="B895" s="2849"/>
      <c r="C895" s="2849"/>
      <c r="D895" s="2849"/>
      <c r="E895" s="2849"/>
      <c r="F895" s="2849"/>
      <c r="G895" s="2849"/>
      <c r="H895" s="2849"/>
      <c r="I895" s="2849"/>
      <c r="J895" s="2849"/>
      <c r="K895" s="2849"/>
      <c r="L895" s="2849"/>
      <c r="M895" s="2849"/>
      <c r="N895" s="2849"/>
      <c r="O895" s="2849"/>
      <c r="P895" s="2849"/>
      <c r="Q895" s="2849"/>
      <c r="R895" s="2849"/>
      <c r="S895" s="2849"/>
      <c r="T895" s="2849"/>
      <c r="U895" s="2849"/>
      <c r="V895" s="2849"/>
      <c r="W895" s="2849"/>
      <c r="X895" s="2849"/>
      <c r="Y895" s="2849"/>
      <c r="Z895" s="2849"/>
      <c r="AA895" s="2849"/>
      <c r="AB895" s="2850"/>
      <c r="AC895" s="604" t="str">
        <f>IF(AC894&gt;=91,"ST",IF(AC894&gt;=76,"T",IF(AC894&gt;=66,"S",IF(AC894&gt;=51,"R","SR"))))</f>
        <v>SR</v>
      </c>
      <c r="AD895" s="604" t="str">
        <f>IF(AD894&gt;=91,"ST",IF(AD894&gt;=76,"T",IF(AD894&gt;=66,"S",IF(AD894&gt;=51,"R","SR"))))</f>
        <v>SR</v>
      </c>
      <c r="AE895" s="1728"/>
      <c r="AF895" s="200"/>
      <c r="AG895" s="861"/>
      <c r="AH895" s="861"/>
      <c r="AI895" s="861"/>
      <c r="AJ895" s="861"/>
      <c r="AK895" s="861"/>
      <c r="AL895" s="861"/>
      <c r="AM895" s="861"/>
      <c r="AN895" s="861"/>
      <c r="AO895" s="861"/>
      <c r="AP895" s="861"/>
      <c r="AQ895" s="861"/>
      <c r="AR895" s="861"/>
      <c r="AS895" s="861"/>
      <c r="AT895" s="861"/>
      <c r="AU895" s="861"/>
      <c r="AV895" s="861"/>
      <c r="AW895" s="861"/>
      <c r="AX895" s="861"/>
      <c r="AY895" s="861"/>
      <c r="AZ895" s="861"/>
      <c r="BA895" s="861"/>
      <c r="BB895" s="861"/>
      <c r="BC895" s="862"/>
      <c r="BD895" s="862"/>
      <c r="BE895" s="862"/>
      <c r="BF895" s="862"/>
      <c r="BG895" s="862"/>
      <c r="BH895" s="862"/>
      <c r="BI895" s="862"/>
      <c r="BJ895" s="862"/>
      <c r="BK895" s="862"/>
      <c r="BL895" s="862"/>
      <c r="BM895" s="862"/>
      <c r="BN895" s="862"/>
      <c r="BO895" s="862"/>
      <c r="BP895" s="862"/>
      <c r="BQ895" s="862"/>
      <c r="BR895" s="862"/>
    </row>
    <row r="896" spans="1:70" ht="33.75" customHeight="1">
      <c r="A896" s="1729" t="s">
        <v>115</v>
      </c>
      <c r="B896" s="1730"/>
      <c r="C896" s="1729"/>
      <c r="D896" s="1729"/>
      <c r="E896" s="1729"/>
      <c r="F896" s="1729"/>
      <c r="G896" s="1729"/>
      <c r="H896" s="1729"/>
      <c r="I896" s="2842" t="s">
        <v>116</v>
      </c>
      <c r="J896" s="2843"/>
      <c r="K896" s="1731"/>
      <c r="L896" s="1732">
        <f>L897+L918+L923+L927+L931+L933+L945+L964</f>
        <v>10462559868</v>
      </c>
      <c r="M896" s="1731"/>
      <c r="N896" s="1733">
        <f>SUM(N897+N918+N923+N927+N931+N933+N945+N964)</f>
        <v>4074983611</v>
      </c>
      <c r="O896" s="1731"/>
      <c r="P896" s="1733">
        <f>SUM(P897+P918+P923+P927+P933+P945+P964)</f>
        <v>2953861275</v>
      </c>
      <c r="Q896" s="1731"/>
      <c r="R896" s="1734">
        <f>R897+R918+R923+R927+R931+R933+R945+R964</f>
        <v>224784731</v>
      </c>
      <c r="S896" s="1730"/>
      <c r="T896" s="1734">
        <f>T897+T923+T927+T933+T945+T964</f>
        <v>709698029</v>
      </c>
      <c r="U896" s="1730"/>
      <c r="V896" s="1734">
        <f>V897+V918+V923+V927+V931+V933+V945+V964</f>
        <v>0</v>
      </c>
      <c r="W896" s="1730"/>
      <c r="X896" s="1734">
        <f>X897+X918+X923+X927+X931+X933+X945+X964</f>
        <v>0</v>
      </c>
      <c r="Y896" s="1731"/>
      <c r="Z896" s="1734">
        <f>R896+T896+V896+X896</f>
        <v>934482760</v>
      </c>
      <c r="AA896" s="1731"/>
      <c r="AB896" s="1734">
        <f>AB897+AB918+AB923+AB927+AB931+AB933+AB945+AB964</f>
        <v>4922690147</v>
      </c>
      <c r="AC896" s="1731"/>
      <c r="AD896" s="1731"/>
      <c r="AE896" s="1631"/>
      <c r="AF896" s="200"/>
    </row>
    <row r="897" spans="1:32" ht="75" customHeight="1">
      <c r="A897" s="1050">
        <v>1</v>
      </c>
      <c r="B897" s="1050"/>
      <c r="C897" s="1051">
        <v>1</v>
      </c>
      <c r="D897" s="1051" t="s">
        <v>28</v>
      </c>
      <c r="E897" s="1051" t="s">
        <v>29</v>
      </c>
      <c r="F897" s="1051" t="s">
        <v>25</v>
      </c>
      <c r="G897" s="1051" t="s">
        <v>25</v>
      </c>
      <c r="H897" s="1050"/>
      <c r="I897" s="737" t="s">
        <v>26</v>
      </c>
      <c r="J897" s="737" t="s">
        <v>1128</v>
      </c>
      <c r="K897" s="1052">
        <v>72</v>
      </c>
      <c r="L897" s="1053">
        <f>SUM(L898:L906)</f>
        <v>2189183116</v>
      </c>
      <c r="M897" s="1052">
        <v>12</v>
      </c>
      <c r="N897" s="1053">
        <f>SUM(N898+N900+N902+N903+N904+N907+N908+N909+N910+N912+N913+N915+N917)</f>
        <v>846908171</v>
      </c>
      <c r="O897" s="1052">
        <v>12</v>
      </c>
      <c r="P897" s="1053">
        <f>SUM(P898:P917)</f>
        <v>858573131</v>
      </c>
      <c r="Q897" s="1052">
        <v>0</v>
      </c>
      <c r="R897" s="1054">
        <f>SUM(R898:R906)</f>
        <v>92311592</v>
      </c>
      <c r="S897" s="737"/>
      <c r="T897" s="1054">
        <f>SUM(T899:T917)</f>
        <v>201261678</v>
      </c>
      <c r="U897" s="737"/>
      <c r="V897" s="1054">
        <f>SUM(V898:V917)</f>
        <v>0</v>
      </c>
      <c r="W897" s="737"/>
      <c r="X897" s="1054">
        <f>SUM(X898:X917)</f>
        <v>0</v>
      </c>
      <c r="Y897" s="1055">
        <f>Q897+S897+U897+W897</f>
        <v>0</v>
      </c>
      <c r="Z897" s="1056">
        <f>R897+T897+V897+X897</f>
        <v>293573270</v>
      </c>
      <c r="AA897" s="1055">
        <f t="shared" ref="AA897:AA913" si="266">M897+Y897</f>
        <v>12</v>
      </c>
      <c r="AB897" s="1056">
        <f>SUM(AB898:AB906)</f>
        <v>1053705217</v>
      </c>
      <c r="AC897" s="1057">
        <f t="shared" ref="AC897:AD899" si="267">(AA897/K897)*100</f>
        <v>16.666666666666664</v>
      </c>
      <c r="AD897" s="1057">
        <f t="shared" si="267"/>
        <v>48.13234714349953</v>
      </c>
      <c r="AE897" s="369" t="s">
        <v>117</v>
      </c>
      <c r="AF897" s="971"/>
    </row>
    <row r="898" spans="1:32" ht="39.75" customHeight="1">
      <c r="A898" s="2538"/>
      <c r="B898" s="738"/>
      <c r="C898" s="1058">
        <v>1</v>
      </c>
      <c r="D898" s="1058" t="s">
        <v>28</v>
      </c>
      <c r="E898" s="1058" t="s">
        <v>29</v>
      </c>
      <c r="F898" s="1058" t="s">
        <v>25</v>
      </c>
      <c r="G898" s="1058" t="s">
        <v>25</v>
      </c>
      <c r="H898" s="1058" t="s">
        <v>28</v>
      </c>
      <c r="I898" s="738" t="s">
        <v>1129</v>
      </c>
      <c r="J898" s="738" t="s">
        <v>1130</v>
      </c>
      <c r="K898" s="1059">
        <f>12*6</f>
        <v>72</v>
      </c>
      <c r="L898" s="1060">
        <v>213000000</v>
      </c>
      <c r="M898" s="1059">
        <v>36</v>
      </c>
      <c r="N898" s="1060">
        <v>67574184</v>
      </c>
      <c r="O898" s="1059">
        <v>12</v>
      </c>
      <c r="P898" s="1060">
        <v>48480000</v>
      </c>
      <c r="Q898" s="1061">
        <v>3</v>
      </c>
      <c r="R898" s="1062">
        <v>9547092</v>
      </c>
      <c r="S898" s="738">
        <v>3</v>
      </c>
      <c r="T898" s="1063">
        <v>10177822</v>
      </c>
      <c r="U898" s="738">
        <v>0</v>
      </c>
      <c r="V898" s="1063">
        <v>0</v>
      </c>
      <c r="W898" s="738">
        <v>0</v>
      </c>
      <c r="X898" s="1064">
        <v>0</v>
      </c>
      <c r="Y898" s="1059">
        <v>0</v>
      </c>
      <c r="Z898" s="1062">
        <f>R898+T898+V898+X898</f>
        <v>19724914</v>
      </c>
      <c r="AA898" s="1059">
        <f t="shared" si="266"/>
        <v>36</v>
      </c>
      <c r="AB898" s="1062">
        <f>N898+Z898</f>
        <v>87299098</v>
      </c>
      <c r="AC898" s="1065">
        <f t="shared" si="267"/>
        <v>50</v>
      </c>
      <c r="AD898" s="1065">
        <f t="shared" si="267"/>
        <v>40.98549201877934</v>
      </c>
      <c r="AE898" s="739"/>
      <c r="AF898" s="750"/>
    </row>
    <row r="899" spans="1:32" ht="33">
      <c r="A899" s="2730"/>
      <c r="B899" s="2730"/>
      <c r="C899" s="747" t="s">
        <v>701</v>
      </c>
      <c r="D899" s="1735" t="s">
        <v>28</v>
      </c>
      <c r="E899" s="1735" t="s">
        <v>29</v>
      </c>
      <c r="F899" s="1735" t="s">
        <v>25</v>
      </c>
      <c r="G899" s="1735" t="s">
        <v>25</v>
      </c>
      <c r="H899" s="1735" t="s">
        <v>56</v>
      </c>
      <c r="I899" s="2774" t="s">
        <v>1131</v>
      </c>
      <c r="J899" s="738" t="s">
        <v>1132</v>
      </c>
      <c r="K899" s="1059">
        <f>3*12*5</f>
        <v>180</v>
      </c>
      <c r="L899" s="2727">
        <f>3*N899</f>
        <v>1167098316</v>
      </c>
      <c r="M899" s="1059">
        <f>3*12*3</f>
        <v>108</v>
      </c>
      <c r="N899" s="2727">
        <v>389032772</v>
      </c>
      <c r="O899" s="1059">
        <v>36</v>
      </c>
      <c r="P899" s="2727">
        <v>286297972</v>
      </c>
      <c r="Q899" s="1061">
        <v>9</v>
      </c>
      <c r="R899" s="2727">
        <v>47164500</v>
      </c>
      <c r="S899" s="738">
        <v>18</v>
      </c>
      <c r="T899" s="2727">
        <v>104781672</v>
      </c>
      <c r="U899" s="738"/>
      <c r="V899" s="2760">
        <v>0</v>
      </c>
      <c r="W899" s="738"/>
      <c r="X899" s="2764">
        <v>0</v>
      </c>
      <c r="Y899" s="1059"/>
      <c r="Z899" s="2757">
        <f>R899+T899+V899+X899</f>
        <v>151946172</v>
      </c>
      <c r="AA899" s="1059">
        <f t="shared" si="266"/>
        <v>108</v>
      </c>
      <c r="AB899" s="2757">
        <f>N899+Z899</f>
        <v>540978944</v>
      </c>
      <c r="AC899" s="1065">
        <f t="shared" si="267"/>
        <v>60</v>
      </c>
      <c r="AD899" s="2776">
        <f t="shared" si="267"/>
        <v>46.35247404469736</v>
      </c>
      <c r="AE899" s="2557"/>
      <c r="AF899" s="750"/>
    </row>
    <row r="900" spans="1:32" ht="33">
      <c r="A900" s="2779"/>
      <c r="B900" s="2779"/>
      <c r="C900" s="1737"/>
      <c r="D900" s="1737"/>
      <c r="E900" s="1737"/>
      <c r="F900" s="1737"/>
      <c r="G900" s="1737"/>
      <c r="H900" s="1737"/>
      <c r="I900" s="2786"/>
      <c r="J900" s="738" t="s">
        <v>1133</v>
      </c>
      <c r="K900" s="1059">
        <f>6*6*5</f>
        <v>180</v>
      </c>
      <c r="L900" s="2728"/>
      <c r="M900" s="1059">
        <f>3*12*3</f>
        <v>108</v>
      </c>
      <c r="N900" s="2728"/>
      <c r="O900" s="1059">
        <v>12</v>
      </c>
      <c r="P900" s="2728"/>
      <c r="Q900" s="1061">
        <v>1</v>
      </c>
      <c r="R900" s="2728"/>
      <c r="S900" s="738">
        <v>1</v>
      </c>
      <c r="T900" s="2728"/>
      <c r="U900" s="738">
        <v>0</v>
      </c>
      <c r="V900" s="2837"/>
      <c r="W900" s="738">
        <v>0</v>
      </c>
      <c r="X900" s="2838"/>
      <c r="Y900" s="1059">
        <v>0</v>
      </c>
      <c r="Z900" s="2839"/>
      <c r="AA900" s="1059">
        <f t="shared" si="266"/>
        <v>108</v>
      </c>
      <c r="AB900" s="2839"/>
      <c r="AC900" s="1065">
        <f t="shared" ref="AC900:AC913" si="268">(AA900/K900)*100</f>
        <v>60</v>
      </c>
      <c r="AD900" s="2777"/>
      <c r="AE900" s="2557"/>
      <c r="AF900" s="750"/>
    </row>
    <row r="901" spans="1:32" ht="33">
      <c r="A901" s="2731"/>
      <c r="B901" s="2731"/>
      <c r="C901" s="1736"/>
      <c r="D901" s="1736"/>
      <c r="E901" s="1736"/>
      <c r="F901" s="1736"/>
      <c r="G901" s="1736"/>
      <c r="H901" s="1736"/>
      <c r="I901" s="2775"/>
      <c r="J901" s="738" t="s">
        <v>1134</v>
      </c>
      <c r="K901" s="1059">
        <f>70*6</f>
        <v>420</v>
      </c>
      <c r="L901" s="2729"/>
      <c r="M901" s="1059">
        <f>70*3</f>
        <v>210</v>
      </c>
      <c r="N901" s="2729"/>
      <c r="O901" s="1059">
        <v>54</v>
      </c>
      <c r="P901" s="2729"/>
      <c r="Q901" s="1061">
        <v>0</v>
      </c>
      <c r="R901" s="2729"/>
      <c r="S901" s="738">
        <v>0</v>
      </c>
      <c r="T901" s="2729"/>
      <c r="U901" s="738">
        <v>0</v>
      </c>
      <c r="V901" s="2761"/>
      <c r="W901" s="738">
        <v>0</v>
      </c>
      <c r="X901" s="2765"/>
      <c r="Y901" s="1059">
        <v>0</v>
      </c>
      <c r="Z901" s="2758"/>
      <c r="AA901" s="1059">
        <f t="shared" si="266"/>
        <v>210</v>
      </c>
      <c r="AB901" s="2758"/>
      <c r="AC901" s="1065">
        <f t="shared" si="268"/>
        <v>50</v>
      </c>
      <c r="AD901" s="2778"/>
      <c r="AE901" s="2557"/>
      <c r="AF901" s="750"/>
    </row>
    <row r="902" spans="1:32" ht="82.5">
      <c r="A902" s="2538"/>
      <c r="B902" s="738"/>
      <c r="C902" s="1058">
        <v>1</v>
      </c>
      <c r="D902" s="1058" t="s">
        <v>28</v>
      </c>
      <c r="E902" s="1058" t="s">
        <v>29</v>
      </c>
      <c r="F902" s="1058" t="s">
        <v>25</v>
      </c>
      <c r="G902" s="1058" t="s">
        <v>25</v>
      </c>
      <c r="H902" s="1058" t="s">
        <v>29</v>
      </c>
      <c r="I902" s="738" t="s">
        <v>1135</v>
      </c>
      <c r="J902" s="738" t="s">
        <v>1136</v>
      </c>
      <c r="K902" s="1059">
        <f>12*6</f>
        <v>72</v>
      </c>
      <c r="L902" s="1060">
        <f>3*N902</f>
        <v>421050000</v>
      </c>
      <c r="M902" s="1059">
        <f>12*3</f>
        <v>36</v>
      </c>
      <c r="N902" s="1060">
        <v>140350000</v>
      </c>
      <c r="O902" s="1059">
        <v>12</v>
      </c>
      <c r="P902" s="1060">
        <v>112800000</v>
      </c>
      <c r="Q902" s="1061">
        <v>12</v>
      </c>
      <c r="R902" s="1063">
        <v>17600000</v>
      </c>
      <c r="S902" s="738">
        <v>3</v>
      </c>
      <c r="T902" s="1063">
        <v>31100000</v>
      </c>
      <c r="U902" s="738">
        <v>0</v>
      </c>
      <c r="V902" s="738">
        <v>0</v>
      </c>
      <c r="W902" s="738">
        <v>0</v>
      </c>
      <c r="X902" s="687">
        <v>0</v>
      </c>
      <c r="Y902" s="1059">
        <v>0</v>
      </c>
      <c r="Z902" s="1062">
        <f>R902+T902+V902+X902</f>
        <v>48700000</v>
      </c>
      <c r="AA902" s="1059">
        <f t="shared" si="266"/>
        <v>36</v>
      </c>
      <c r="AB902" s="1062">
        <f>N902+Z902</f>
        <v>189050000</v>
      </c>
      <c r="AC902" s="1065">
        <f t="shared" si="268"/>
        <v>50</v>
      </c>
      <c r="AD902" s="1065">
        <f>(AB902/L902)*100</f>
        <v>44.899655622847646</v>
      </c>
      <c r="AE902" s="2557"/>
      <c r="AF902" s="750"/>
    </row>
    <row r="903" spans="1:32" ht="42.75" customHeight="1">
      <c r="A903" s="2538"/>
      <c r="B903" s="738"/>
      <c r="C903" s="1058">
        <v>1</v>
      </c>
      <c r="D903" s="1058" t="s">
        <v>28</v>
      </c>
      <c r="E903" s="1058" t="s">
        <v>29</v>
      </c>
      <c r="F903" s="1058" t="s">
        <v>25</v>
      </c>
      <c r="G903" s="1058" t="s">
        <v>25</v>
      </c>
      <c r="H903" s="1058" t="s">
        <v>30</v>
      </c>
      <c r="I903" s="738" t="s">
        <v>1137</v>
      </c>
      <c r="J903" s="738" t="s">
        <v>1138</v>
      </c>
      <c r="K903" s="1059">
        <f>12*6</f>
        <v>72</v>
      </c>
      <c r="L903" s="1060">
        <f>2*N903</f>
        <v>373934800</v>
      </c>
      <c r="M903" s="1059">
        <f>12*3</f>
        <v>36</v>
      </c>
      <c r="N903" s="1060">
        <v>186967400</v>
      </c>
      <c r="O903" s="1059">
        <v>12</v>
      </c>
      <c r="P903" s="1060">
        <v>83528842</v>
      </c>
      <c r="Q903" s="1061">
        <v>3</v>
      </c>
      <c r="R903" s="1063">
        <v>18000000</v>
      </c>
      <c r="S903" s="738">
        <v>3</v>
      </c>
      <c r="T903" s="1063">
        <v>24359775</v>
      </c>
      <c r="U903" s="738">
        <v>0</v>
      </c>
      <c r="V903" s="738">
        <v>0</v>
      </c>
      <c r="W903" s="738">
        <v>0</v>
      </c>
      <c r="X903" s="687">
        <v>0</v>
      </c>
      <c r="Y903" s="1059">
        <v>0</v>
      </c>
      <c r="Z903" s="1062">
        <f>R903+T903+V903+X903</f>
        <v>42359775</v>
      </c>
      <c r="AA903" s="1059">
        <f t="shared" si="266"/>
        <v>36</v>
      </c>
      <c r="AB903" s="1062">
        <f>N903+Z903</f>
        <v>229327175</v>
      </c>
      <c r="AC903" s="1065">
        <f t="shared" si="268"/>
        <v>50</v>
      </c>
      <c r="AD903" s="1065">
        <f>(AB903/L903)*100</f>
        <v>61.328117896488912</v>
      </c>
      <c r="AE903" s="2557"/>
      <c r="AF903" s="750"/>
    </row>
    <row r="904" spans="1:32" ht="23.25" customHeight="1">
      <c r="A904" s="2538"/>
      <c r="B904" s="738"/>
      <c r="C904" s="1058">
        <v>1</v>
      </c>
      <c r="D904" s="1058" t="s">
        <v>28</v>
      </c>
      <c r="E904" s="1058" t="s">
        <v>29</v>
      </c>
      <c r="F904" s="1058" t="s">
        <v>25</v>
      </c>
      <c r="G904" s="1058" t="s">
        <v>25</v>
      </c>
      <c r="H904" s="2721" t="s">
        <v>43</v>
      </c>
      <c r="I904" s="2774" t="s">
        <v>118</v>
      </c>
      <c r="J904" s="738" t="s">
        <v>1139</v>
      </c>
      <c r="K904" s="1059">
        <f>1*6</f>
        <v>6</v>
      </c>
      <c r="L904" s="2727">
        <f>2*N904</f>
        <v>14100000</v>
      </c>
      <c r="M904" s="1059">
        <v>3</v>
      </c>
      <c r="N904" s="2790">
        <v>7050000</v>
      </c>
      <c r="O904" s="1059">
        <v>0</v>
      </c>
      <c r="P904" s="2727">
        <v>2950000</v>
      </c>
      <c r="Q904" s="1061">
        <v>0</v>
      </c>
      <c r="R904" s="2727">
        <v>0</v>
      </c>
      <c r="S904" s="738">
        <v>0</v>
      </c>
      <c r="T904" s="2727">
        <v>700000</v>
      </c>
      <c r="U904" s="738">
        <v>0</v>
      </c>
      <c r="V904" s="2821">
        <v>0</v>
      </c>
      <c r="W904" s="738">
        <v>0</v>
      </c>
      <c r="X904" s="2730">
        <v>0</v>
      </c>
      <c r="Y904" s="1059">
        <f>Q904+S904+U904+W904</f>
        <v>0</v>
      </c>
      <c r="Z904" s="2757">
        <v>0</v>
      </c>
      <c r="AA904" s="1059">
        <f t="shared" si="266"/>
        <v>3</v>
      </c>
      <c r="AB904" s="2757">
        <f>N904+Z904</f>
        <v>7050000</v>
      </c>
      <c r="AC904" s="1065">
        <f t="shared" si="268"/>
        <v>50</v>
      </c>
      <c r="AD904" s="2776">
        <f>(AB904/L904)*100</f>
        <v>50</v>
      </c>
      <c r="AE904" s="2557"/>
      <c r="AF904" s="750"/>
    </row>
    <row r="905" spans="1:32" ht="21.75" customHeight="1">
      <c r="A905" s="2538"/>
      <c r="B905" s="738"/>
      <c r="C905" s="1058"/>
      <c r="D905" s="1058"/>
      <c r="E905" s="1058"/>
      <c r="F905" s="1058"/>
      <c r="G905" s="1058"/>
      <c r="H905" s="2721"/>
      <c r="I905" s="2786"/>
      <c r="J905" s="738" t="s">
        <v>1140</v>
      </c>
      <c r="K905" s="1059">
        <f>15*6</f>
        <v>90</v>
      </c>
      <c r="L905" s="2728"/>
      <c r="M905" s="1059">
        <f>15*3</f>
        <v>45</v>
      </c>
      <c r="N905" s="2840"/>
      <c r="O905" s="1059">
        <v>2</v>
      </c>
      <c r="P905" s="2728"/>
      <c r="Q905" s="1061">
        <v>0</v>
      </c>
      <c r="R905" s="2728"/>
      <c r="S905" s="738"/>
      <c r="T905" s="2728"/>
      <c r="U905" s="738"/>
      <c r="V905" s="2822"/>
      <c r="W905" s="738">
        <v>0</v>
      </c>
      <c r="X905" s="2779"/>
      <c r="Y905" s="1059">
        <v>0</v>
      </c>
      <c r="Z905" s="2839"/>
      <c r="AA905" s="1059">
        <f t="shared" si="266"/>
        <v>45</v>
      </c>
      <c r="AB905" s="2839"/>
      <c r="AC905" s="1065">
        <f t="shared" si="268"/>
        <v>50</v>
      </c>
      <c r="AD905" s="2777"/>
      <c r="AE905" s="2557"/>
      <c r="AF905" s="750"/>
    </row>
    <row r="906" spans="1:32" ht="49.5">
      <c r="A906" s="2538"/>
      <c r="B906" s="738"/>
      <c r="C906" s="1058"/>
      <c r="D906" s="1058"/>
      <c r="E906" s="1058"/>
      <c r="F906" s="1058"/>
      <c r="G906" s="1058"/>
      <c r="H906" s="2721"/>
      <c r="I906" s="2775"/>
      <c r="J906" s="738" t="s">
        <v>1141</v>
      </c>
      <c r="K906" s="1059">
        <f>9*6</f>
        <v>54</v>
      </c>
      <c r="L906" s="2729"/>
      <c r="M906" s="1059">
        <v>9</v>
      </c>
      <c r="N906" s="2791"/>
      <c r="O906" s="1059">
        <v>5</v>
      </c>
      <c r="P906" s="2729"/>
      <c r="Q906" s="1061">
        <v>0</v>
      </c>
      <c r="R906" s="2729"/>
      <c r="S906" s="738"/>
      <c r="T906" s="2729"/>
      <c r="U906" s="738"/>
      <c r="V906" s="2823"/>
      <c r="W906" s="738">
        <v>0</v>
      </c>
      <c r="X906" s="2731"/>
      <c r="Y906" s="1059">
        <v>0</v>
      </c>
      <c r="Z906" s="2758"/>
      <c r="AA906" s="1059">
        <f t="shared" si="266"/>
        <v>9</v>
      </c>
      <c r="AB906" s="2758"/>
      <c r="AC906" s="1065">
        <f t="shared" si="268"/>
        <v>16.666666666666664</v>
      </c>
      <c r="AD906" s="2778"/>
      <c r="AE906" s="2557"/>
      <c r="AF906" s="750"/>
    </row>
    <row r="907" spans="1:32" ht="31.5" customHeight="1">
      <c r="A907" s="2538"/>
      <c r="B907" s="746"/>
      <c r="C907" s="1058">
        <v>1</v>
      </c>
      <c r="D907" s="1058" t="s">
        <v>28</v>
      </c>
      <c r="E907" s="1058" t="s">
        <v>29</v>
      </c>
      <c r="F907" s="1058" t="s">
        <v>25</v>
      </c>
      <c r="G907" s="1058" t="s">
        <v>25</v>
      </c>
      <c r="H907" s="1058" t="s">
        <v>31</v>
      </c>
      <c r="I907" s="738" t="s">
        <v>1142</v>
      </c>
      <c r="J907" s="738" t="s">
        <v>1143</v>
      </c>
      <c r="K907" s="1059">
        <f t="shared" ref="K907:K917" si="269">12*6</f>
        <v>72</v>
      </c>
      <c r="L907" s="1060">
        <v>210000000</v>
      </c>
      <c r="M907" s="1059">
        <f>12*3</f>
        <v>36</v>
      </c>
      <c r="N907" s="1060">
        <v>103094117</v>
      </c>
      <c r="O907" s="1059">
        <v>12</v>
      </c>
      <c r="P907" s="1060">
        <v>103094117</v>
      </c>
      <c r="Q907" s="1061">
        <v>3</v>
      </c>
      <c r="R907" s="1063">
        <v>30007507</v>
      </c>
      <c r="S907" s="738"/>
      <c r="T907" s="1063">
        <v>0</v>
      </c>
      <c r="U907" s="738">
        <v>0</v>
      </c>
      <c r="V907" s="1068">
        <v>0</v>
      </c>
      <c r="W907" s="738">
        <v>0</v>
      </c>
      <c r="X907" s="687">
        <v>0</v>
      </c>
      <c r="Y907" s="1059">
        <v>0</v>
      </c>
      <c r="Z907" s="1062">
        <f>R907+T907+V907+X907</f>
        <v>30007507</v>
      </c>
      <c r="AA907" s="1059">
        <f t="shared" si="266"/>
        <v>36</v>
      </c>
      <c r="AB907" s="1062">
        <f>N907+Z907</f>
        <v>133101624</v>
      </c>
      <c r="AC907" s="1065">
        <f t="shared" si="268"/>
        <v>50</v>
      </c>
      <c r="AD907" s="1065">
        <f>(AB907/L907)*100</f>
        <v>63.381725714285722</v>
      </c>
      <c r="AE907" s="2557"/>
      <c r="AF907" s="750"/>
    </row>
    <row r="908" spans="1:32" ht="33">
      <c r="A908" s="2538"/>
      <c r="B908" s="746"/>
      <c r="C908" s="1058">
        <v>1</v>
      </c>
      <c r="D908" s="1058" t="s">
        <v>28</v>
      </c>
      <c r="E908" s="1058" t="s">
        <v>29</v>
      </c>
      <c r="F908" s="1058" t="s">
        <v>25</v>
      </c>
      <c r="G908" s="1058" t="s">
        <v>25</v>
      </c>
      <c r="H908" s="1058" t="s">
        <v>62</v>
      </c>
      <c r="I908" s="738" t="s">
        <v>1144</v>
      </c>
      <c r="J908" s="738" t="s">
        <v>1145</v>
      </c>
      <c r="K908" s="1059">
        <f t="shared" si="269"/>
        <v>72</v>
      </c>
      <c r="L908" s="1060">
        <f>2*N908</f>
        <v>170542600</v>
      </c>
      <c r="M908" s="1059">
        <f t="shared" ref="M908:M909" si="270">12*3</f>
        <v>36</v>
      </c>
      <c r="N908" s="1060">
        <v>85271300</v>
      </c>
      <c r="O908" s="1059">
        <v>12</v>
      </c>
      <c r="P908" s="1060">
        <v>85271300</v>
      </c>
      <c r="Q908" s="1061">
        <v>0</v>
      </c>
      <c r="R908" s="1063">
        <v>0</v>
      </c>
      <c r="S908" s="738">
        <v>5</v>
      </c>
      <c r="T908" s="1063">
        <v>10270231</v>
      </c>
      <c r="U908" s="738">
        <v>0</v>
      </c>
      <c r="V908" s="1068">
        <v>0</v>
      </c>
      <c r="W908" s="738">
        <v>0</v>
      </c>
      <c r="X908" s="687">
        <v>0</v>
      </c>
      <c r="Y908" s="1059">
        <v>0</v>
      </c>
      <c r="Z908" s="1062">
        <v>0</v>
      </c>
      <c r="AA908" s="1059">
        <f t="shared" si="266"/>
        <v>36</v>
      </c>
      <c r="AB908" s="1062">
        <f>N908+Z907:Z908</f>
        <v>85271300</v>
      </c>
      <c r="AC908" s="1065">
        <f t="shared" si="268"/>
        <v>50</v>
      </c>
      <c r="AD908" s="1065">
        <f>(AB908/L908)*100</f>
        <v>50</v>
      </c>
      <c r="AE908" s="2557"/>
      <c r="AF908" s="750"/>
    </row>
    <row r="909" spans="1:32" ht="49.5">
      <c r="A909" s="2538"/>
      <c r="B909" s="746"/>
      <c r="C909" s="1058">
        <v>1</v>
      </c>
      <c r="D909" s="1058" t="s">
        <v>28</v>
      </c>
      <c r="E909" s="1058" t="s">
        <v>29</v>
      </c>
      <c r="F909" s="1058" t="s">
        <v>25</v>
      </c>
      <c r="G909" s="1058" t="s">
        <v>25</v>
      </c>
      <c r="H909" s="1058" t="s">
        <v>52</v>
      </c>
      <c r="I909" s="738" t="s">
        <v>1146</v>
      </c>
      <c r="J909" s="738" t="s">
        <v>1147</v>
      </c>
      <c r="K909" s="1059">
        <f t="shared" si="269"/>
        <v>72</v>
      </c>
      <c r="L909" s="1060">
        <f>2*N909</f>
        <v>38304170</v>
      </c>
      <c r="M909" s="1059">
        <f t="shared" si="270"/>
        <v>36</v>
      </c>
      <c r="N909" s="1060">
        <v>19152085</v>
      </c>
      <c r="O909" s="1059">
        <v>12</v>
      </c>
      <c r="P909" s="1060">
        <v>9553150</v>
      </c>
      <c r="Q909" s="1061">
        <v>3</v>
      </c>
      <c r="R909" s="1063">
        <v>2500000</v>
      </c>
      <c r="S909" s="738"/>
      <c r="T909" s="1063">
        <v>0</v>
      </c>
      <c r="U909" s="738">
        <v>0</v>
      </c>
      <c r="V909" s="1069">
        <v>0</v>
      </c>
      <c r="W909" s="738">
        <v>0</v>
      </c>
      <c r="X909" s="687">
        <v>0</v>
      </c>
      <c r="Y909" s="1059">
        <v>0</v>
      </c>
      <c r="Z909" s="1062">
        <f>R909+T909+V909+X909</f>
        <v>2500000</v>
      </c>
      <c r="AA909" s="1059">
        <f t="shared" si="266"/>
        <v>36</v>
      </c>
      <c r="AB909" s="1062">
        <f>N909+Z909</f>
        <v>21652085</v>
      </c>
      <c r="AC909" s="1065">
        <f t="shared" si="268"/>
        <v>50</v>
      </c>
      <c r="AD909" s="1065">
        <f>(AB909/L909)*100</f>
        <v>56.526704533736151</v>
      </c>
      <c r="AE909" s="2557"/>
      <c r="AF909" s="750"/>
    </row>
    <row r="910" spans="1:32" ht="33">
      <c r="A910" s="2720"/>
      <c r="B910" s="2720"/>
      <c r="C910" s="2721">
        <v>1</v>
      </c>
      <c r="D910" s="2721" t="s">
        <v>28</v>
      </c>
      <c r="E910" s="2721" t="s">
        <v>29</v>
      </c>
      <c r="F910" s="2721" t="s">
        <v>25</v>
      </c>
      <c r="G910" s="2721" t="s">
        <v>25</v>
      </c>
      <c r="H910" s="2721" t="s">
        <v>57</v>
      </c>
      <c r="I910" s="738" t="s">
        <v>1148</v>
      </c>
      <c r="J910" s="738" t="s">
        <v>1149</v>
      </c>
      <c r="K910" s="1059">
        <f>8*6</f>
        <v>48</v>
      </c>
      <c r="L910" s="2727">
        <f>2*N910</f>
        <v>38304170</v>
      </c>
      <c r="M910" s="1059">
        <f>8*3</f>
        <v>24</v>
      </c>
      <c r="N910" s="2727">
        <v>19152085</v>
      </c>
      <c r="O910" s="1059">
        <v>1</v>
      </c>
      <c r="P910" s="2727">
        <v>1107750</v>
      </c>
      <c r="Q910" s="1061">
        <v>0</v>
      </c>
      <c r="R910" s="2727">
        <v>0</v>
      </c>
      <c r="S910" s="738"/>
      <c r="T910" s="2727">
        <v>0</v>
      </c>
      <c r="U910" s="738">
        <v>0</v>
      </c>
      <c r="V910" s="2855">
        <v>0</v>
      </c>
      <c r="W910" s="738">
        <v>0</v>
      </c>
      <c r="X910" s="2764">
        <v>0</v>
      </c>
      <c r="Y910" s="1059">
        <v>0</v>
      </c>
      <c r="Z910" s="2757">
        <v>0</v>
      </c>
      <c r="AA910" s="1059">
        <f t="shared" si="266"/>
        <v>24</v>
      </c>
      <c r="AB910" s="2757">
        <f>N910+Z910</f>
        <v>19152085</v>
      </c>
      <c r="AC910" s="1065">
        <f t="shared" si="268"/>
        <v>50</v>
      </c>
      <c r="AD910" s="2776">
        <f>(AB910/L910)*100</f>
        <v>50</v>
      </c>
      <c r="AE910" s="2557"/>
      <c r="AF910" s="750"/>
    </row>
    <row r="911" spans="1:32">
      <c r="A911" s="2720"/>
      <c r="B911" s="2720"/>
      <c r="C911" s="2721"/>
      <c r="D911" s="2721"/>
      <c r="E911" s="2721"/>
      <c r="F911" s="2721"/>
      <c r="G911" s="2721"/>
      <c r="H911" s="2721"/>
      <c r="I911" s="738"/>
      <c r="J911" s="738" t="s">
        <v>1150</v>
      </c>
      <c r="K911" s="1059">
        <f>5*6</f>
        <v>30</v>
      </c>
      <c r="L911" s="2729"/>
      <c r="M911" s="1059">
        <f>5*3</f>
        <v>15</v>
      </c>
      <c r="N911" s="2729"/>
      <c r="O911" s="1059">
        <v>0</v>
      </c>
      <c r="P911" s="2729"/>
      <c r="Q911" s="1061">
        <v>0</v>
      </c>
      <c r="R911" s="2729"/>
      <c r="S911" s="738"/>
      <c r="T911" s="2729"/>
      <c r="U911" s="738"/>
      <c r="V911" s="2856"/>
      <c r="W911" s="738">
        <v>0</v>
      </c>
      <c r="X911" s="2765"/>
      <c r="Y911" s="1059">
        <v>0</v>
      </c>
      <c r="Z911" s="2758"/>
      <c r="AA911" s="1059">
        <f t="shared" si="266"/>
        <v>15</v>
      </c>
      <c r="AB911" s="2758"/>
      <c r="AC911" s="1065">
        <f t="shared" si="268"/>
        <v>50</v>
      </c>
      <c r="AD911" s="2778"/>
      <c r="AE911" s="2557"/>
      <c r="AF911" s="750"/>
    </row>
    <row r="912" spans="1:32" ht="49.5">
      <c r="A912" s="2538"/>
      <c r="B912" s="746"/>
      <c r="C912" s="1058">
        <v>1</v>
      </c>
      <c r="D912" s="1058" t="s">
        <v>28</v>
      </c>
      <c r="E912" s="1058" t="s">
        <v>29</v>
      </c>
      <c r="F912" s="1058" t="s">
        <v>25</v>
      </c>
      <c r="G912" s="1058" t="s">
        <v>25</v>
      </c>
      <c r="H912" s="1058" t="s">
        <v>45</v>
      </c>
      <c r="I912" s="738" t="s">
        <v>1151</v>
      </c>
      <c r="J912" s="738" t="s">
        <v>1152</v>
      </c>
      <c r="K912" s="1059">
        <f t="shared" si="269"/>
        <v>72</v>
      </c>
      <c r="L912" s="1060">
        <f>2*N912</f>
        <v>7740000</v>
      </c>
      <c r="M912" s="1070">
        <v>36</v>
      </c>
      <c r="N912" s="1060">
        <v>3870000</v>
      </c>
      <c r="O912" s="1059">
        <v>12</v>
      </c>
      <c r="P912" s="1060">
        <v>4140000</v>
      </c>
      <c r="Q912" s="1061">
        <v>3</v>
      </c>
      <c r="R912" s="1063">
        <v>1110000</v>
      </c>
      <c r="S912" s="738"/>
      <c r="T912" s="1063">
        <v>0</v>
      </c>
      <c r="U912" s="738">
        <v>0</v>
      </c>
      <c r="V912" s="1068">
        <v>0</v>
      </c>
      <c r="W912" s="738">
        <v>0</v>
      </c>
      <c r="X912" s="687">
        <v>0</v>
      </c>
      <c r="Y912" s="1059">
        <v>0</v>
      </c>
      <c r="Z912" s="1062">
        <f>R912+T912+V912+X912</f>
        <v>1110000</v>
      </c>
      <c r="AA912" s="1059">
        <f t="shared" si="266"/>
        <v>36</v>
      </c>
      <c r="AB912" s="1062">
        <f>N912+Z912</f>
        <v>4980000</v>
      </c>
      <c r="AC912" s="1065">
        <f t="shared" si="268"/>
        <v>50</v>
      </c>
      <c r="AD912" s="1065">
        <f>(AB912/L912)*100</f>
        <v>64.341085271317837</v>
      </c>
      <c r="AE912" s="2557"/>
      <c r="AF912" s="750"/>
    </row>
    <row r="913" spans="1:32" ht="33">
      <c r="A913" s="2720"/>
      <c r="B913" s="2720"/>
      <c r="C913" s="2721">
        <v>1</v>
      </c>
      <c r="D913" s="2721" t="s">
        <v>28</v>
      </c>
      <c r="E913" s="2721" t="s">
        <v>29</v>
      </c>
      <c r="F913" s="2721" t="s">
        <v>25</v>
      </c>
      <c r="G913" s="2721" t="s">
        <v>25</v>
      </c>
      <c r="H913" s="2721" t="s">
        <v>74</v>
      </c>
      <c r="I913" s="2753" t="s">
        <v>1153</v>
      </c>
      <c r="J913" s="738" t="s">
        <v>1154</v>
      </c>
      <c r="K913" s="2723">
        <f t="shared" si="269"/>
        <v>72</v>
      </c>
      <c r="L913" s="2722">
        <f>2*N913</f>
        <v>51800000</v>
      </c>
      <c r="M913" s="2723">
        <v>36</v>
      </c>
      <c r="N913" s="2754">
        <v>25900000</v>
      </c>
      <c r="O913" s="2723">
        <v>12</v>
      </c>
      <c r="P913" s="2722">
        <v>38000000</v>
      </c>
      <c r="Q913" s="2766">
        <v>0</v>
      </c>
      <c r="R913" s="2722">
        <v>0</v>
      </c>
      <c r="S913" s="2723">
        <v>3</v>
      </c>
      <c r="T913" s="2722">
        <v>4125000</v>
      </c>
      <c r="U913" s="2723">
        <v>0</v>
      </c>
      <c r="V913" s="2853">
        <v>0</v>
      </c>
      <c r="W913" s="2723">
        <v>0</v>
      </c>
      <c r="X913" s="2854">
        <v>0</v>
      </c>
      <c r="Y913" s="2723">
        <v>0</v>
      </c>
      <c r="Z913" s="2759">
        <v>0</v>
      </c>
      <c r="AA913" s="2723">
        <f t="shared" si="266"/>
        <v>36</v>
      </c>
      <c r="AB913" s="2759">
        <f>N913+Z913</f>
        <v>25900000</v>
      </c>
      <c r="AC913" s="2841">
        <f t="shared" si="268"/>
        <v>50</v>
      </c>
      <c r="AD913" s="2841">
        <f>(AB913/L913)*100</f>
        <v>50</v>
      </c>
      <c r="AE913" s="2557"/>
      <c r="AF913" s="750"/>
    </row>
    <row r="914" spans="1:32" ht="33">
      <c r="A914" s="2720"/>
      <c r="B914" s="2720"/>
      <c r="C914" s="2721"/>
      <c r="D914" s="2721"/>
      <c r="E914" s="2721"/>
      <c r="F914" s="2721"/>
      <c r="G914" s="2721"/>
      <c r="H914" s="2721"/>
      <c r="I914" s="2753"/>
      <c r="J914" s="738" t="s">
        <v>1155</v>
      </c>
      <c r="K914" s="2723"/>
      <c r="L914" s="2722"/>
      <c r="M914" s="2723"/>
      <c r="N914" s="2755"/>
      <c r="O914" s="2723"/>
      <c r="P914" s="2722"/>
      <c r="Q914" s="2766"/>
      <c r="R914" s="2722"/>
      <c r="S914" s="2723"/>
      <c r="T914" s="2722"/>
      <c r="U914" s="2723"/>
      <c r="V914" s="2853"/>
      <c r="W914" s="2723"/>
      <c r="X914" s="2854"/>
      <c r="Y914" s="2723">
        <f>Q914+S914+U914+W914</f>
        <v>0</v>
      </c>
      <c r="Z914" s="2759">
        <f>R914+T914+V914+X914</f>
        <v>0</v>
      </c>
      <c r="AA914" s="2723"/>
      <c r="AB914" s="2759"/>
      <c r="AC914" s="2841"/>
      <c r="AD914" s="2841"/>
      <c r="AE914" s="2557"/>
      <c r="AF914" s="750"/>
    </row>
    <row r="915" spans="1:32" ht="33">
      <c r="A915" s="2720"/>
      <c r="B915" s="2720"/>
      <c r="C915" s="2721">
        <v>1</v>
      </c>
      <c r="D915" s="2721" t="s">
        <v>28</v>
      </c>
      <c r="E915" s="2721" t="s">
        <v>29</v>
      </c>
      <c r="F915" s="2721" t="s">
        <v>25</v>
      </c>
      <c r="G915" s="2721" t="s">
        <v>25</v>
      </c>
      <c r="H915" s="2721" t="s">
        <v>44</v>
      </c>
      <c r="I915" s="2753" t="s">
        <v>1156</v>
      </c>
      <c r="J915" s="738" t="s">
        <v>1157</v>
      </c>
      <c r="K915" s="2723">
        <f t="shared" si="269"/>
        <v>72</v>
      </c>
      <c r="L915" s="2722">
        <f>2*N915</f>
        <v>232350000</v>
      </c>
      <c r="M915" s="2723">
        <v>36</v>
      </c>
      <c r="N915" s="2754">
        <v>116175000</v>
      </c>
      <c r="O915" s="2723">
        <v>12</v>
      </c>
      <c r="P915" s="2722">
        <v>34850000</v>
      </c>
      <c r="Q915" s="2766">
        <v>3</v>
      </c>
      <c r="R915" s="2722">
        <v>3850000</v>
      </c>
      <c r="S915" s="2723">
        <v>3</v>
      </c>
      <c r="T915" s="2722">
        <v>7600000</v>
      </c>
      <c r="U915" s="2723">
        <v>0</v>
      </c>
      <c r="V915" s="2853">
        <v>0</v>
      </c>
      <c r="W915" s="2723">
        <v>0</v>
      </c>
      <c r="X915" s="2854">
        <v>0</v>
      </c>
      <c r="Y915" s="2723">
        <v>0</v>
      </c>
      <c r="Z915" s="2759">
        <v>10325000</v>
      </c>
      <c r="AA915" s="2723">
        <f>M915+Y915</f>
        <v>36</v>
      </c>
      <c r="AB915" s="2759">
        <f>N915+Z915</f>
        <v>126500000</v>
      </c>
      <c r="AC915" s="2841">
        <f>(AA915/K915)*100</f>
        <v>50</v>
      </c>
      <c r="AD915" s="2841">
        <f>(AB915/L915)*100</f>
        <v>54.443727135786524</v>
      </c>
      <c r="AE915" s="2557"/>
      <c r="AF915" s="750"/>
    </row>
    <row r="916" spans="1:32" ht="49.5">
      <c r="A916" s="2720"/>
      <c r="B916" s="2720"/>
      <c r="C916" s="2721"/>
      <c r="D916" s="2721"/>
      <c r="E916" s="2721"/>
      <c r="F916" s="2721"/>
      <c r="G916" s="2721"/>
      <c r="H916" s="2721"/>
      <c r="I916" s="2753"/>
      <c r="J916" s="738" t="s">
        <v>1158</v>
      </c>
      <c r="K916" s="2723"/>
      <c r="L916" s="2722"/>
      <c r="M916" s="2723"/>
      <c r="N916" s="2755"/>
      <c r="O916" s="2723"/>
      <c r="P916" s="2722"/>
      <c r="Q916" s="2766"/>
      <c r="R916" s="2722"/>
      <c r="S916" s="2723"/>
      <c r="T916" s="2722"/>
      <c r="U916" s="2723"/>
      <c r="V916" s="2853"/>
      <c r="W916" s="2723"/>
      <c r="X916" s="2854"/>
      <c r="Y916" s="2723">
        <f>Q916+S916+U916+W916</f>
        <v>0</v>
      </c>
      <c r="Z916" s="2759">
        <f>R916+T916+V916+X916</f>
        <v>0</v>
      </c>
      <c r="AA916" s="2723"/>
      <c r="AB916" s="2759"/>
      <c r="AC916" s="2841"/>
      <c r="AD916" s="2841"/>
      <c r="AE916" s="2557"/>
      <c r="AF916" s="750"/>
    </row>
    <row r="917" spans="1:32" ht="33">
      <c r="A917" s="2538"/>
      <c r="B917" s="746"/>
      <c r="C917" s="1058">
        <v>1</v>
      </c>
      <c r="D917" s="1058" t="s">
        <v>28</v>
      </c>
      <c r="E917" s="1058" t="s">
        <v>29</v>
      </c>
      <c r="F917" s="1058" t="s">
        <v>25</v>
      </c>
      <c r="G917" s="1058" t="s">
        <v>25</v>
      </c>
      <c r="H917" s="1058" t="s">
        <v>54</v>
      </c>
      <c r="I917" s="738" t="s">
        <v>1159</v>
      </c>
      <c r="J917" s="738" t="s">
        <v>1160</v>
      </c>
      <c r="K917" s="1059">
        <f t="shared" si="269"/>
        <v>72</v>
      </c>
      <c r="L917" s="1060">
        <f>2*N917</f>
        <v>144704000</v>
      </c>
      <c r="M917" s="1059">
        <v>36</v>
      </c>
      <c r="N917" s="1060">
        <v>72352000</v>
      </c>
      <c r="O917" s="1059">
        <v>12</v>
      </c>
      <c r="P917" s="1060">
        <v>48500000</v>
      </c>
      <c r="Q917" s="1061">
        <v>3</v>
      </c>
      <c r="R917" s="1060">
        <v>10325000</v>
      </c>
      <c r="S917" s="1059">
        <v>3</v>
      </c>
      <c r="T917" s="1060">
        <v>18325000</v>
      </c>
      <c r="U917" s="1059">
        <v>0</v>
      </c>
      <c r="V917" s="1068">
        <v>0</v>
      </c>
      <c r="W917" s="1059">
        <v>0</v>
      </c>
      <c r="X917" s="1073">
        <v>0</v>
      </c>
      <c r="Y917" s="1059">
        <v>0</v>
      </c>
      <c r="Z917" s="1062">
        <f>R917+T917+V917+X917</f>
        <v>28650000</v>
      </c>
      <c r="AA917" s="1059">
        <f t="shared" ref="AA917:AB919" si="271">M917+Y917</f>
        <v>36</v>
      </c>
      <c r="AB917" s="1074">
        <f t="shared" si="271"/>
        <v>101002000</v>
      </c>
      <c r="AC917" s="1065">
        <f t="shared" ref="AC917:AD919" si="272">(AA917/K917)*100</f>
        <v>50</v>
      </c>
      <c r="AD917" s="1065">
        <f t="shared" si="272"/>
        <v>69.799038036267135</v>
      </c>
      <c r="AE917" s="741"/>
      <c r="AF917" s="750"/>
    </row>
    <row r="918" spans="1:32" ht="66">
      <c r="A918" s="1050">
        <v>2</v>
      </c>
      <c r="B918" s="1050"/>
      <c r="C918" s="1075">
        <v>1</v>
      </c>
      <c r="D918" s="1075" t="s">
        <v>28</v>
      </c>
      <c r="E918" s="1075" t="s">
        <v>29</v>
      </c>
      <c r="F918" s="1075" t="s">
        <v>25</v>
      </c>
      <c r="G918" s="1075" t="s">
        <v>28</v>
      </c>
      <c r="H918" s="1075"/>
      <c r="I918" s="737" t="s">
        <v>1161</v>
      </c>
      <c r="J918" s="737" t="s">
        <v>1162</v>
      </c>
      <c r="K918" s="1055">
        <v>72</v>
      </c>
      <c r="L918" s="1053">
        <f>SUM(L919:L922)</f>
        <v>69050000</v>
      </c>
      <c r="M918" s="1055">
        <v>12</v>
      </c>
      <c r="N918" s="1053">
        <f>SUM(N919:N922)</f>
        <v>34525000</v>
      </c>
      <c r="O918" s="1055">
        <v>12</v>
      </c>
      <c r="P918" s="1053">
        <f>SUM(P919:P922)</f>
        <v>50000000</v>
      </c>
      <c r="Q918" s="1076">
        <v>0</v>
      </c>
      <c r="R918" s="1053">
        <f>SUM(R919:R922)</f>
        <v>0</v>
      </c>
      <c r="S918" s="1055"/>
      <c r="T918" s="1077">
        <f>SUM(T919:T922)</f>
        <v>0</v>
      </c>
      <c r="U918" s="1055">
        <f t="shared" ref="U918:X918" si="273">U922</f>
        <v>0</v>
      </c>
      <c r="V918" s="1077">
        <f>SUM(V919:V922)</f>
        <v>0</v>
      </c>
      <c r="W918" s="1055">
        <f t="shared" si="273"/>
        <v>0</v>
      </c>
      <c r="X918" s="1055">
        <f t="shared" si="273"/>
        <v>0</v>
      </c>
      <c r="Y918" s="1055">
        <f>Q918+S918+U918+W918</f>
        <v>0</v>
      </c>
      <c r="Z918" s="1078">
        <f>R918+T918+V918+X918</f>
        <v>0</v>
      </c>
      <c r="AA918" s="1055">
        <f t="shared" si="271"/>
        <v>12</v>
      </c>
      <c r="AB918" s="1078">
        <f t="shared" si="271"/>
        <v>34525000</v>
      </c>
      <c r="AC918" s="1057">
        <f t="shared" si="272"/>
        <v>16.666666666666664</v>
      </c>
      <c r="AD918" s="1057">
        <f t="shared" si="272"/>
        <v>50</v>
      </c>
      <c r="AE918" s="742" t="s">
        <v>117</v>
      </c>
      <c r="AF918" s="750"/>
    </row>
    <row r="919" spans="1:32" ht="33">
      <c r="A919" s="2862"/>
      <c r="B919" s="2862"/>
      <c r="C919" s="2721">
        <v>1</v>
      </c>
      <c r="D919" s="2721" t="s">
        <v>28</v>
      </c>
      <c r="E919" s="2721" t="s">
        <v>29</v>
      </c>
      <c r="F919" s="2721" t="s">
        <v>25</v>
      </c>
      <c r="G919" s="2721" t="s">
        <v>28</v>
      </c>
      <c r="H919" s="2721">
        <v>22</v>
      </c>
      <c r="I919" s="2753" t="s">
        <v>1163</v>
      </c>
      <c r="J919" s="738" t="s">
        <v>1164</v>
      </c>
      <c r="K919" s="1079">
        <v>1</v>
      </c>
      <c r="L919" s="2727">
        <f>2*N919</f>
        <v>69050000</v>
      </c>
      <c r="M919" s="1079">
        <v>1</v>
      </c>
      <c r="N919" s="2724">
        <v>34525000</v>
      </c>
      <c r="O919" s="1080">
        <v>0</v>
      </c>
      <c r="P919" s="2724">
        <v>50000000</v>
      </c>
      <c r="Q919" s="1081">
        <v>0</v>
      </c>
      <c r="R919" s="2724">
        <v>0</v>
      </c>
      <c r="S919" s="1079"/>
      <c r="T919" s="2727">
        <v>0</v>
      </c>
      <c r="U919" s="1079">
        <v>0</v>
      </c>
      <c r="V919" s="2760">
        <v>0</v>
      </c>
      <c r="W919" s="1079">
        <v>0</v>
      </c>
      <c r="X919" s="2881">
        <v>0</v>
      </c>
      <c r="Y919" s="1059">
        <f>Q919+S919+U919+W919</f>
        <v>0</v>
      </c>
      <c r="Z919" s="2757">
        <f>R919+T919+V919+X919</f>
        <v>0</v>
      </c>
      <c r="AA919" s="1059">
        <f t="shared" si="271"/>
        <v>1</v>
      </c>
      <c r="AB919" s="2757">
        <f t="shared" si="271"/>
        <v>34525000</v>
      </c>
      <c r="AC919" s="1065">
        <f t="shared" si="272"/>
        <v>100</v>
      </c>
      <c r="AD919" s="2776">
        <f t="shared" si="272"/>
        <v>50</v>
      </c>
      <c r="AE919" s="739"/>
      <c r="AF919" s="750"/>
    </row>
    <row r="920" spans="1:32">
      <c r="A920" s="2862"/>
      <c r="B920" s="2862"/>
      <c r="C920" s="2721"/>
      <c r="D920" s="2721"/>
      <c r="E920" s="2721"/>
      <c r="F920" s="2721"/>
      <c r="G920" s="2721"/>
      <c r="H920" s="2721"/>
      <c r="I920" s="2753"/>
      <c r="J920" s="738" t="s">
        <v>1165</v>
      </c>
      <c r="K920" s="1059">
        <v>2</v>
      </c>
      <c r="L920" s="2728"/>
      <c r="M920" s="1059">
        <v>2</v>
      </c>
      <c r="N920" s="2725"/>
      <c r="O920" s="1073">
        <v>0</v>
      </c>
      <c r="P920" s="2725"/>
      <c r="Q920" s="1082">
        <v>0</v>
      </c>
      <c r="R920" s="2725"/>
      <c r="S920" s="1059"/>
      <c r="T920" s="2728"/>
      <c r="U920" s="1059"/>
      <c r="V920" s="2837"/>
      <c r="W920" s="1059">
        <v>0</v>
      </c>
      <c r="X920" s="2882"/>
      <c r="Y920" s="1059">
        <f>Q920+S920+U920+W920</f>
        <v>0</v>
      </c>
      <c r="Z920" s="2839"/>
      <c r="AA920" s="1059">
        <f>M920+Y920</f>
        <v>2</v>
      </c>
      <c r="AB920" s="2839"/>
      <c r="AC920" s="1065">
        <f>(AA920/K920)*100</f>
        <v>100</v>
      </c>
      <c r="AD920" s="2777"/>
      <c r="AE920" s="2557"/>
      <c r="AF920" s="750"/>
    </row>
    <row r="921" spans="1:32" ht="33">
      <c r="A921" s="2862"/>
      <c r="B921" s="2862"/>
      <c r="C921" s="2721"/>
      <c r="D921" s="2721"/>
      <c r="E921" s="2721"/>
      <c r="F921" s="2721"/>
      <c r="G921" s="2721"/>
      <c r="H921" s="2721"/>
      <c r="I921" s="2753"/>
      <c r="J921" s="738" t="s">
        <v>1166</v>
      </c>
      <c r="K921" s="1059">
        <v>2</v>
      </c>
      <c r="L921" s="2728"/>
      <c r="M921" s="1059">
        <v>0</v>
      </c>
      <c r="N921" s="2725"/>
      <c r="O921" s="1073">
        <v>1</v>
      </c>
      <c r="P921" s="2725"/>
      <c r="Q921" s="1082"/>
      <c r="R921" s="2725"/>
      <c r="S921" s="1059"/>
      <c r="T921" s="2728"/>
      <c r="U921" s="1059"/>
      <c r="V921" s="2837"/>
      <c r="W921" s="1059"/>
      <c r="X921" s="2882"/>
      <c r="Y921" s="1059"/>
      <c r="Z921" s="2839"/>
      <c r="AA921" s="1059">
        <f>M921+Y921</f>
        <v>0</v>
      </c>
      <c r="AB921" s="2839"/>
      <c r="AC921" s="1065"/>
      <c r="AD921" s="2777"/>
      <c r="AE921" s="2557"/>
      <c r="AF921" s="750"/>
    </row>
    <row r="922" spans="1:32" ht="33">
      <c r="A922" s="2862"/>
      <c r="B922" s="2862"/>
      <c r="C922" s="2721"/>
      <c r="D922" s="2721"/>
      <c r="E922" s="2721"/>
      <c r="F922" s="2721"/>
      <c r="G922" s="2721"/>
      <c r="H922" s="2721"/>
      <c r="I922" s="2753"/>
      <c r="J922" s="738" t="s">
        <v>1167</v>
      </c>
      <c r="K922" s="1059">
        <v>1</v>
      </c>
      <c r="L922" s="2729"/>
      <c r="M922" s="1059">
        <v>1</v>
      </c>
      <c r="N922" s="2726"/>
      <c r="O922" s="1073">
        <v>0</v>
      </c>
      <c r="P922" s="2726"/>
      <c r="Q922" s="1082">
        <v>0</v>
      </c>
      <c r="R922" s="2726"/>
      <c r="S922" s="1059"/>
      <c r="T922" s="2729"/>
      <c r="U922" s="1059"/>
      <c r="V922" s="2761"/>
      <c r="W922" s="1059">
        <v>0</v>
      </c>
      <c r="X922" s="2883"/>
      <c r="Y922" s="1059">
        <f>Q922+S922+U922+W922</f>
        <v>0</v>
      </c>
      <c r="Z922" s="2758"/>
      <c r="AA922" s="1059">
        <f>M922+Y922</f>
        <v>1</v>
      </c>
      <c r="AB922" s="2758"/>
      <c r="AC922" s="1065">
        <f t="shared" ref="AC922:AC943" si="274">(AA922/K922)*100</f>
        <v>100</v>
      </c>
      <c r="AD922" s="2778"/>
      <c r="AE922" s="741"/>
      <c r="AF922" s="750"/>
    </row>
    <row r="923" spans="1:32" ht="49.5">
      <c r="A923" s="1050">
        <v>3</v>
      </c>
      <c r="B923" s="1055"/>
      <c r="C923" s="1075">
        <v>1</v>
      </c>
      <c r="D923" s="1075" t="s">
        <v>28</v>
      </c>
      <c r="E923" s="1075" t="s">
        <v>29</v>
      </c>
      <c r="F923" s="1075" t="s">
        <v>25</v>
      </c>
      <c r="G923" s="1075" t="s">
        <v>45</v>
      </c>
      <c r="H923" s="749"/>
      <c r="I923" s="743" t="s">
        <v>1168</v>
      </c>
      <c r="J923" s="1055"/>
      <c r="K923" s="1055">
        <f>SUM(K924+K926)</f>
        <v>12</v>
      </c>
      <c r="L923" s="1077">
        <f>SUM(L924:L926)</f>
        <v>385418484</v>
      </c>
      <c r="M923" s="1055">
        <f>SUM(M924+M926)</f>
        <v>6</v>
      </c>
      <c r="N923" s="1083">
        <f>SUM(N924+N926)</f>
        <v>192709242</v>
      </c>
      <c r="O923" s="1083">
        <f>SUM(O924+O926)</f>
        <v>3</v>
      </c>
      <c r="P923" s="1083">
        <f>SUM(P924+P926)</f>
        <v>135800000</v>
      </c>
      <c r="Q923" s="1083">
        <f t="shared" ref="Q923:AA923" si="275">SUM(Q924+Q926)</f>
        <v>1</v>
      </c>
      <c r="R923" s="1083">
        <f t="shared" si="275"/>
        <v>14629489</v>
      </c>
      <c r="S923" s="1055">
        <f t="shared" si="275"/>
        <v>1</v>
      </c>
      <c r="T923" s="1083">
        <f t="shared" si="275"/>
        <v>62853950</v>
      </c>
      <c r="U923" s="1055">
        <f t="shared" si="275"/>
        <v>0</v>
      </c>
      <c r="V923" s="1055">
        <f t="shared" si="275"/>
        <v>0</v>
      </c>
      <c r="W923" s="1055">
        <f t="shared" si="275"/>
        <v>0</v>
      </c>
      <c r="X923" s="1055">
        <f t="shared" si="275"/>
        <v>0</v>
      </c>
      <c r="Y923" s="1055">
        <f t="shared" si="275"/>
        <v>2</v>
      </c>
      <c r="Z923" s="1055">
        <f t="shared" si="275"/>
        <v>77483439</v>
      </c>
      <c r="AA923" s="1055">
        <f t="shared" si="275"/>
        <v>8</v>
      </c>
      <c r="AB923" s="1084">
        <f>SUM(AB924+AB926)</f>
        <v>270192681</v>
      </c>
      <c r="AC923" s="1057">
        <f t="shared" si="274"/>
        <v>66.666666666666657</v>
      </c>
      <c r="AD923" s="1057">
        <f>(AB923/L923)*100</f>
        <v>70.103716406087045</v>
      </c>
      <c r="AE923" s="742" t="s">
        <v>117</v>
      </c>
      <c r="AF923" s="750"/>
    </row>
    <row r="924" spans="1:32" ht="66">
      <c r="A924" s="2551"/>
      <c r="B924" s="748"/>
      <c r="C924" s="1085">
        <v>1</v>
      </c>
      <c r="D924" s="1085" t="s">
        <v>28</v>
      </c>
      <c r="E924" s="1085" t="s">
        <v>29</v>
      </c>
      <c r="F924" s="1085" t="s">
        <v>25</v>
      </c>
      <c r="G924" s="1085" t="s">
        <v>45</v>
      </c>
      <c r="H924" s="1085" t="s">
        <v>78</v>
      </c>
      <c r="I924" s="2774" t="s">
        <v>1169</v>
      </c>
      <c r="J924" s="744" t="s">
        <v>1170</v>
      </c>
      <c r="K924" s="1059">
        <f>1*6</f>
        <v>6</v>
      </c>
      <c r="L924" s="2727">
        <f>2*N924</f>
        <v>148209876</v>
      </c>
      <c r="M924" s="1059">
        <v>3</v>
      </c>
      <c r="N924" s="2727">
        <v>74104938</v>
      </c>
      <c r="O924" s="1059">
        <v>1</v>
      </c>
      <c r="P924" s="2790">
        <v>52500000</v>
      </c>
      <c r="Q924" s="1061">
        <v>1</v>
      </c>
      <c r="R924" s="2727">
        <v>5236989</v>
      </c>
      <c r="S924" s="1061" t="s">
        <v>40</v>
      </c>
      <c r="T924" s="2727">
        <v>0</v>
      </c>
      <c r="U924" s="1059">
        <v>0</v>
      </c>
      <c r="V924" s="2760">
        <v>0</v>
      </c>
      <c r="W924" s="1059">
        <v>0</v>
      </c>
      <c r="X924" s="2764">
        <v>0</v>
      </c>
      <c r="Y924" s="1059">
        <f>Q924+S924+U924+W924</f>
        <v>1</v>
      </c>
      <c r="Z924" s="1074">
        <f>R924+T924+V924+X924</f>
        <v>5236989</v>
      </c>
      <c r="AA924" s="1059">
        <f>M924+Y924</f>
        <v>4</v>
      </c>
      <c r="AB924" s="2757">
        <f>N924+Z924</f>
        <v>79341927</v>
      </c>
      <c r="AC924" s="1065">
        <f t="shared" si="274"/>
        <v>66.666666666666657</v>
      </c>
      <c r="AD924" s="2776">
        <f>(AB924/L924)*100</f>
        <v>53.533495298248546</v>
      </c>
      <c r="AE924" s="739"/>
      <c r="AF924" s="750"/>
    </row>
    <row r="925" spans="1:32" ht="66">
      <c r="A925" s="2552"/>
      <c r="B925" s="740"/>
      <c r="C925" s="1086"/>
      <c r="D925" s="1086"/>
      <c r="E925" s="1086"/>
      <c r="F925" s="1086"/>
      <c r="G925" s="1086"/>
      <c r="H925" s="1086"/>
      <c r="I925" s="2775"/>
      <c r="J925" s="744" t="s">
        <v>1171</v>
      </c>
      <c r="K925" s="1059">
        <f>15*6</f>
        <v>90</v>
      </c>
      <c r="L925" s="2729"/>
      <c r="M925" s="1059">
        <f>15*3</f>
        <v>45</v>
      </c>
      <c r="N925" s="2729"/>
      <c r="O925" s="1059">
        <v>15</v>
      </c>
      <c r="P925" s="2791"/>
      <c r="Q925" s="1061">
        <v>0</v>
      </c>
      <c r="R925" s="2729"/>
      <c r="S925" s="1061">
        <v>0</v>
      </c>
      <c r="T925" s="2729"/>
      <c r="U925" s="1059">
        <v>0</v>
      </c>
      <c r="V925" s="2761"/>
      <c r="W925" s="1059">
        <v>0</v>
      </c>
      <c r="X925" s="2765"/>
      <c r="Y925" s="1059">
        <f t="shared" ref="Y925:Y943" si="276">Q925+S925+U925+W925</f>
        <v>0</v>
      </c>
      <c r="Z925" s="1074"/>
      <c r="AA925" s="1059">
        <f t="shared" ref="AA925:AA940" si="277">M925+Y925</f>
        <v>45</v>
      </c>
      <c r="AB925" s="2758"/>
      <c r="AC925" s="1065">
        <f t="shared" si="274"/>
        <v>50</v>
      </c>
      <c r="AD925" s="2778"/>
      <c r="AE925" s="2557"/>
      <c r="AF925" s="750"/>
    </row>
    <row r="926" spans="1:32" ht="49.5">
      <c r="A926" s="2555"/>
      <c r="B926" s="744"/>
      <c r="C926" s="1058">
        <v>1</v>
      </c>
      <c r="D926" s="1058" t="s">
        <v>28</v>
      </c>
      <c r="E926" s="1058" t="s">
        <v>29</v>
      </c>
      <c r="F926" s="1058" t="s">
        <v>25</v>
      </c>
      <c r="G926" s="1058" t="s">
        <v>45</v>
      </c>
      <c r="H926" s="1058" t="s">
        <v>52</v>
      </c>
      <c r="I926" s="744" t="s">
        <v>1172</v>
      </c>
      <c r="J926" s="744" t="s">
        <v>1173</v>
      </c>
      <c r="K926" s="1059">
        <v>6</v>
      </c>
      <c r="L926" s="1060">
        <f>2*N926</f>
        <v>237208608</v>
      </c>
      <c r="M926" s="1059">
        <v>3</v>
      </c>
      <c r="N926" s="1060">
        <v>118604304</v>
      </c>
      <c r="O926" s="1059">
        <v>2</v>
      </c>
      <c r="P926" s="1060">
        <v>83300000</v>
      </c>
      <c r="Q926" s="1061">
        <v>0</v>
      </c>
      <c r="R926" s="1060">
        <v>9392500</v>
      </c>
      <c r="S926" s="1059">
        <v>1</v>
      </c>
      <c r="T926" s="1060">
        <v>62853950</v>
      </c>
      <c r="U926" s="1059">
        <v>0</v>
      </c>
      <c r="V926" s="1067">
        <v>0</v>
      </c>
      <c r="W926" s="1059">
        <v>0</v>
      </c>
      <c r="X926" s="1073">
        <v>0</v>
      </c>
      <c r="Y926" s="1059">
        <f t="shared" si="276"/>
        <v>1</v>
      </c>
      <c r="Z926" s="1074">
        <f>R926+T926+V926+X926</f>
        <v>72246450</v>
      </c>
      <c r="AA926" s="1059">
        <f t="shared" si="277"/>
        <v>4</v>
      </c>
      <c r="AB926" s="1074">
        <f>N926+Z926</f>
        <v>190850754</v>
      </c>
      <c r="AC926" s="1065">
        <f t="shared" si="274"/>
        <v>66.666666666666657</v>
      </c>
      <c r="AD926" s="1065">
        <f>(AB926/L926)*100</f>
        <v>80.456925913919619</v>
      </c>
      <c r="AE926" s="741"/>
      <c r="AF926" s="750"/>
    </row>
    <row r="927" spans="1:32" ht="82.5">
      <c r="A927" s="1050">
        <v>4</v>
      </c>
      <c r="B927" s="1055"/>
      <c r="C927" s="1075">
        <v>1</v>
      </c>
      <c r="D927" s="1075" t="s">
        <v>28</v>
      </c>
      <c r="E927" s="1075" t="s">
        <v>29</v>
      </c>
      <c r="F927" s="1075" t="s">
        <v>25</v>
      </c>
      <c r="G927" s="1075" t="s">
        <v>42</v>
      </c>
      <c r="H927" s="749"/>
      <c r="I927" s="743" t="s">
        <v>1174</v>
      </c>
      <c r="J927" s="743" t="s">
        <v>2929</v>
      </c>
      <c r="K927" s="1055">
        <v>52.5</v>
      </c>
      <c r="L927" s="1077">
        <f>L930+L928</f>
        <v>524335000</v>
      </c>
      <c r="M927" s="1055">
        <v>15</v>
      </c>
      <c r="N927" s="1077">
        <f>N930+N928</f>
        <v>176851510</v>
      </c>
      <c r="O927" s="1055">
        <v>15</v>
      </c>
      <c r="P927" s="1077">
        <f>P930+P928</f>
        <v>112635400</v>
      </c>
      <c r="Q927" s="1055">
        <v>0</v>
      </c>
      <c r="R927" s="1077">
        <f>R930+R928</f>
        <v>14337500</v>
      </c>
      <c r="S927" s="1055"/>
      <c r="T927" s="1077">
        <f>SUM(T928:T930)</f>
        <v>20115000</v>
      </c>
      <c r="U927" s="1055"/>
      <c r="V927" s="1077">
        <f>V930+V928</f>
        <v>0</v>
      </c>
      <c r="W927" s="1055"/>
      <c r="X927" s="1077">
        <f>X930+X928</f>
        <v>0</v>
      </c>
      <c r="Y927" s="1055">
        <f t="shared" si="276"/>
        <v>0</v>
      </c>
      <c r="Z927" s="1078">
        <f>R927+T927+V927+X927</f>
        <v>34452500</v>
      </c>
      <c r="AA927" s="1055">
        <f t="shared" si="277"/>
        <v>15</v>
      </c>
      <c r="AB927" s="1078">
        <f>N927+Z927</f>
        <v>211304010</v>
      </c>
      <c r="AC927" s="1057">
        <f t="shared" si="274"/>
        <v>28.571428571428569</v>
      </c>
      <c r="AD927" s="1057">
        <f>(AB927/L927)*100</f>
        <v>40.299428800289895</v>
      </c>
      <c r="AE927" s="742" t="s">
        <v>117</v>
      </c>
      <c r="AF927" s="750"/>
    </row>
    <row r="928" spans="1:32">
      <c r="A928" s="2730"/>
      <c r="B928" s="2730"/>
      <c r="C928" s="2732">
        <v>1</v>
      </c>
      <c r="D928" s="2732" t="s">
        <v>28</v>
      </c>
      <c r="E928" s="2732" t="s">
        <v>29</v>
      </c>
      <c r="F928" s="2732" t="s">
        <v>25</v>
      </c>
      <c r="G928" s="2732" t="s">
        <v>42</v>
      </c>
      <c r="H928" s="2732" t="s">
        <v>28</v>
      </c>
      <c r="I928" s="2774" t="s">
        <v>1175</v>
      </c>
      <c r="J928" s="738" t="s">
        <v>1176</v>
      </c>
      <c r="K928" s="1059">
        <f>60*6</f>
        <v>360</v>
      </c>
      <c r="L928" s="2727">
        <f>P928*5</f>
        <v>466072000</v>
      </c>
      <c r="M928" s="1059">
        <f>60*3</f>
        <v>180</v>
      </c>
      <c r="N928" s="2727">
        <v>176851510</v>
      </c>
      <c r="O928" s="1059">
        <v>12</v>
      </c>
      <c r="P928" s="2727">
        <v>93214400</v>
      </c>
      <c r="Q928" s="1061">
        <v>1</v>
      </c>
      <c r="R928" s="2727">
        <v>12662500</v>
      </c>
      <c r="S928" s="1059">
        <v>0</v>
      </c>
      <c r="T928" s="2727">
        <v>17665000</v>
      </c>
      <c r="U928" s="1059">
        <v>0</v>
      </c>
      <c r="V928" s="2760">
        <v>0</v>
      </c>
      <c r="W928" s="1059">
        <v>0</v>
      </c>
      <c r="X928" s="2762">
        <v>0</v>
      </c>
      <c r="Y928" s="1059">
        <f t="shared" si="276"/>
        <v>1</v>
      </c>
      <c r="Z928" s="2757">
        <f>R928+T928+V928+X928</f>
        <v>30327500</v>
      </c>
      <c r="AA928" s="1059">
        <f t="shared" si="277"/>
        <v>181</v>
      </c>
      <c r="AB928" s="2757">
        <f>N928+Z928</f>
        <v>207179010</v>
      </c>
      <c r="AC928" s="1065">
        <f t="shared" si="274"/>
        <v>50.277777777777779</v>
      </c>
      <c r="AD928" s="2776">
        <f>(AB928/L928)*100</f>
        <v>44.452146878593865</v>
      </c>
      <c r="AE928" s="739"/>
      <c r="AF928" s="750"/>
    </row>
    <row r="929" spans="1:54" ht="33">
      <c r="A929" s="2731"/>
      <c r="B929" s="2731"/>
      <c r="C929" s="2733"/>
      <c r="D929" s="2733"/>
      <c r="E929" s="2733"/>
      <c r="F929" s="2733"/>
      <c r="G929" s="2733"/>
      <c r="H929" s="2733"/>
      <c r="I929" s="2775"/>
      <c r="J929" s="738" t="s">
        <v>1177</v>
      </c>
      <c r="K929" s="1059">
        <v>182</v>
      </c>
      <c r="L929" s="2729"/>
      <c r="M929" s="1059">
        <v>40</v>
      </c>
      <c r="N929" s="2729"/>
      <c r="O929" s="1059">
        <v>10</v>
      </c>
      <c r="P929" s="2729"/>
      <c r="Q929" s="1061">
        <v>40</v>
      </c>
      <c r="R929" s="2729"/>
      <c r="S929" s="1059">
        <v>5</v>
      </c>
      <c r="T929" s="2729"/>
      <c r="U929" s="1059"/>
      <c r="V929" s="2761"/>
      <c r="W929" s="1059"/>
      <c r="X929" s="2763"/>
      <c r="Y929" s="1059">
        <f t="shared" si="276"/>
        <v>45</v>
      </c>
      <c r="Z929" s="2758"/>
      <c r="AA929" s="1059">
        <f t="shared" si="277"/>
        <v>85</v>
      </c>
      <c r="AB929" s="2758"/>
      <c r="AC929" s="1065">
        <f t="shared" si="274"/>
        <v>46.703296703296701</v>
      </c>
      <c r="AD929" s="2778"/>
      <c r="AE929" s="2557"/>
      <c r="AF929" s="750"/>
    </row>
    <row r="930" spans="1:54" ht="49.5">
      <c r="A930" s="2538"/>
      <c r="B930" s="746"/>
      <c r="C930" s="1058">
        <v>1</v>
      </c>
      <c r="D930" s="1058" t="s">
        <v>28</v>
      </c>
      <c r="E930" s="1058" t="s">
        <v>29</v>
      </c>
      <c r="F930" s="1058" t="s">
        <v>25</v>
      </c>
      <c r="G930" s="1058" t="s">
        <v>42</v>
      </c>
      <c r="H930" s="1058" t="s">
        <v>28</v>
      </c>
      <c r="I930" s="738" t="s">
        <v>1178</v>
      </c>
      <c r="J930" s="738" t="s">
        <v>1179</v>
      </c>
      <c r="K930" s="1059">
        <v>20</v>
      </c>
      <c r="L930" s="1060">
        <f>P930*3</f>
        <v>58263000</v>
      </c>
      <c r="M930" s="1059">
        <v>0</v>
      </c>
      <c r="N930" s="1060">
        <v>0</v>
      </c>
      <c r="O930" s="1059">
        <v>14</v>
      </c>
      <c r="P930" s="1060">
        <v>19421000</v>
      </c>
      <c r="Q930" s="1061">
        <v>1</v>
      </c>
      <c r="R930" s="1060">
        <v>1675000</v>
      </c>
      <c r="S930" s="1059">
        <v>2</v>
      </c>
      <c r="T930" s="1060">
        <v>2450000</v>
      </c>
      <c r="U930" s="1059">
        <v>0</v>
      </c>
      <c r="V930" s="1067">
        <v>0</v>
      </c>
      <c r="W930" s="1059">
        <v>0</v>
      </c>
      <c r="X930" s="1087">
        <v>0</v>
      </c>
      <c r="Y930" s="1059">
        <f t="shared" si="276"/>
        <v>3</v>
      </c>
      <c r="Z930" s="1074">
        <f>R930+T930+V930+X930</f>
        <v>4125000</v>
      </c>
      <c r="AA930" s="1059">
        <f t="shared" si="277"/>
        <v>3</v>
      </c>
      <c r="AB930" s="1074">
        <f>N930+Z930</f>
        <v>4125000</v>
      </c>
      <c r="AC930" s="1065">
        <f t="shared" si="274"/>
        <v>15</v>
      </c>
      <c r="AD930" s="1065">
        <f>(AB930/L930)*100</f>
        <v>7.0799649863549767</v>
      </c>
      <c r="AE930" s="741"/>
      <c r="AF930" s="750"/>
    </row>
    <row r="931" spans="1:54" s="1288" customFormat="1" ht="82.5">
      <c r="A931" s="1088">
        <v>5</v>
      </c>
      <c r="B931" s="1050"/>
      <c r="C931" s="1075">
        <v>1</v>
      </c>
      <c r="D931" s="1075" t="s">
        <v>28</v>
      </c>
      <c r="E931" s="1075" t="s">
        <v>29</v>
      </c>
      <c r="F931" s="1075" t="s">
        <v>25</v>
      </c>
      <c r="G931" s="1075" t="s">
        <v>74</v>
      </c>
      <c r="H931" s="1075"/>
      <c r="I931" s="737" t="s">
        <v>1180</v>
      </c>
      <c r="J931" s="737" t="s">
        <v>1181</v>
      </c>
      <c r="K931" s="1055">
        <f>K932</f>
        <v>12</v>
      </c>
      <c r="L931" s="1053">
        <f>SUM(L932)</f>
        <v>453129660</v>
      </c>
      <c r="M931" s="1055">
        <v>5</v>
      </c>
      <c r="N931" s="1053">
        <f>SUM(N932)</f>
        <v>226564830</v>
      </c>
      <c r="O931" s="1055">
        <v>5</v>
      </c>
      <c r="P931" s="1053">
        <f>SUM(P932)</f>
        <v>0</v>
      </c>
      <c r="Q931" s="1076">
        <v>0</v>
      </c>
      <c r="R931" s="1053">
        <f>SUM(R932)</f>
        <v>0</v>
      </c>
      <c r="S931" s="1055"/>
      <c r="T931" s="1077">
        <f>SUM(T932)</f>
        <v>0</v>
      </c>
      <c r="U931" s="1055"/>
      <c r="V931" s="1077">
        <f>SUM(V932)</f>
        <v>0</v>
      </c>
      <c r="W931" s="1055"/>
      <c r="X931" s="1077">
        <f>SUM(X932)</f>
        <v>0</v>
      </c>
      <c r="Y931" s="1055">
        <f t="shared" si="276"/>
        <v>0</v>
      </c>
      <c r="Z931" s="1078">
        <f>R931+T931+V931+X931</f>
        <v>0</v>
      </c>
      <c r="AA931" s="1055">
        <f t="shared" si="277"/>
        <v>5</v>
      </c>
      <c r="AB931" s="1078">
        <f>N931+Z931</f>
        <v>226564830</v>
      </c>
      <c r="AC931" s="1057">
        <f t="shared" si="274"/>
        <v>41.666666666666671</v>
      </c>
      <c r="AD931" s="1057">
        <f>(AB931/L931)*100</f>
        <v>50</v>
      </c>
      <c r="AE931" s="742" t="s">
        <v>117</v>
      </c>
      <c r="AF931" s="750"/>
      <c r="AG931" s="1287"/>
      <c r="AH931" s="1287"/>
      <c r="AI931" s="1287"/>
      <c r="AJ931" s="1287"/>
      <c r="AK931" s="1287"/>
      <c r="AL931" s="1287"/>
      <c r="AM931" s="1287"/>
      <c r="AN931" s="1287"/>
      <c r="AO931" s="1287"/>
      <c r="AP931" s="1287"/>
      <c r="AQ931" s="1287"/>
      <c r="AR931" s="1287"/>
      <c r="AS931" s="1287"/>
      <c r="AT931" s="1287"/>
      <c r="AU931" s="1287"/>
      <c r="AV931" s="1287"/>
      <c r="AW931" s="1287"/>
      <c r="AX931" s="1287"/>
      <c r="AY931" s="1287"/>
      <c r="AZ931" s="1287"/>
      <c r="BA931" s="1287"/>
      <c r="BB931" s="1287"/>
    </row>
    <row r="932" spans="1:54" ht="33">
      <c r="A932" s="1089"/>
      <c r="B932" s="746"/>
      <c r="C932" s="1058">
        <v>1</v>
      </c>
      <c r="D932" s="1058" t="s">
        <v>28</v>
      </c>
      <c r="E932" s="1058" t="s">
        <v>29</v>
      </c>
      <c r="F932" s="1058" t="s">
        <v>25</v>
      </c>
      <c r="G932" s="1058" t="s">
        <v>74</v>
      </c>
      <c r="H932" s="1058" t="s">
        <v>28</v>
      </c>
      <c r="I932" s="738" t="s">
        <v>1182</v>
      </c>
      <c r="J932" s="738" t="s">
        <v>1183</v>
      </c>
      <c r="K932" s="1059">
        <v>12</v>
      </c>
      <c r="L932" s="1060">
        <f>2*N932</f>
        <v>453129660</v>
      </c>
      <c r="M932" s="1059">
        <v>1</v>
      </c>
      <c r="N932" s="1060">
        <v>226564830</v>
      </c>
      <c r="O932" s="1059">
        <v>0</v>
      </c>
      <c r="P932" s="1060">
        <v>0</v>
      </c>
      <c r="Q932" s="1061">
        <v>0</v>
      </c>
      <c r="R932" s="1060">
        <v>0</v>
      </c>
      <c r="S932" s="1059">
        <v>0</v>
      </c>
      <c r="T932" s="1060">
        <v>0</v>
      </c>
      <c r="U932" s="1059">
        <v>0</v>
      </c>
      <c r="V932" s="1067">
        <v>0</v>
      </c>
      <c r="W932" s="1059">
        <v>0</v>
      </c>
      <c r="X932" s="1073">
        <v>0</v>
      </c>
      <c r="Y932" s="1059">
        <f t="shared" si="276"/>
        <v>0</v>
      </c>
      <c r="Z932" s="1074">
        <f>R932+T932+V932+X932</f>
        <v>0</v>
      </c>
      <c r="AA932" s="1059">
        <f t="shared" si="277"/>
        <v>1</v>
      </c>
      <c r="AB932" s="1074">
        <f>N932+Z932</f>
        <v>226564830</v>
      </c>
      <c r="AC932" s="1065">
        <f t="shared" si="274"/>
        <v>8.3333333333333321</v>
      </c>
      <c r="AD932" s="1065">
        <f>(AB932/L932)*100</f>
        <v>50</v>
      </c>
      <c r="AE932" s="739"/>
      <c r="AF932" s="750"/>
    </row>
    <row r="933" spans="1:54" ht="49.5">
      <c r="A933" s="1088">
        <v>6</v>
      </c>
      <c r="B933" s="1050"/>
      <c r="C933" s="1075">
        <v>1</v>
      </c>
      <c r="D933" s="1075" t="s">
        <v>28</v>
      </c>
      <c r="E933" s="1075" t="s">
        <v>29</v>
      </c>
      <c r="F933" s="1075" t="s">
        <v>25</v>
      </c>
      <c r="G933" s="1075">
        <v>23</v>
      </c>
      <c r="H933" s="1075"/>
      <c r="I933" s="737" t="s">
        <v>1184</v>
      </c>
      <c r="J933" s="737" t="s">
        <v>1185</v>
      </c>
      <c r="K933" s="1055">
        <v>50</v>
      </c>
      <c r="L933" s="1053">
        <f>SUM(L934+L936+L937+L939+L940+L941+L943)</f>
        <v>2740985436</v>
      </c>
      <c r="M933" s="1055">
        <v>12</v>
      </c>
      <c r="N933" s="1053">
        <f>SUM(N934+N936+N937+N939+N940+N941+N943)</f>
        <v>1123414646</v>
      </c>
      <c r="O933" s="1055">
        <v>12</v>
      </c>
      <c r="P933" s="1053">
        <f>SUM(P934:P944)</f>
        <v>578413665</v>
      </c>
      <c r="Q933" s="1076">
        <v>0</v>
      </c>
      <c r="R933" s="1053">
        <f>SUM(R934+R936+R937+R939)</f>
        <v>26599550</v>
      </c>
      <c r="S933" s="1055"/>
      <c r="T933" s="1077">
        <f>SUM(T934:T944)</f>
        <v>77349000</v>
      </c>
      <c r="U933" s="1055"/>
      <c r="V933" s="1077">
        <f>SUM(V934:V939)</f>
        <v>0</v>
      </c>
      <c r="W933" s="1055"/>
      <c r="X933" s="1077">
        <f>SUM(X934:X939)</f>
        <v>0</v>
      </c>
      <c r="Y933" s="1055">
        <f t="shared" si="276"/>
        <v>0</v>
      </c>
      <c r="Z933" s="1078">
        <f>R933+T933+V933+X933</f>
        <v>103948550</v>
      </c>
      <c r="AA933" s="1055">
        <f t="shared" si="277"/>
        <v>12</v>
      </c>
      <c r="AB933" s="1078">
        <f>N933+Z933</f>
        <v>1227363196</v>
      </c>
      <c r="AC933" s="1057">
        <f t="shared" si="274"/>
        <v>24</v>
      </c>
      <c r="AD933" s="1057">
        <f>(AB933/L933)*100</f>
        <v>44.778172838128135</v>
      </c>
      <c r="AE933" s="615" t="s">
        <v>117</v>
      </c>
      <c r="AF933" s="750"/>
    </row>
    <row r="934" spans="1:54" ht="33">
      <c r="A934" s="2730"/>
      <c r="B934" s="2730"/>
      <c r="C934" s="2732">
        <v>1</v>
      </c>
      <c r="D934" s="2732" t="s">
        <v>28</v>
      </c>
      <c r="E934" s="2732" t="s">
        <v>29</v>
      </c>
      <c r="F934" s="2732" t="s">
        <v>25</v>
      </c>
      <c r="G934" s="2732">
        <v>23</v>
      </c>
      <c r="H934" s="2732" t="s">
        <v>39</v>
      </c>
      <c r="I934" s="2730" t="s">
        <v>1186</v>
      </c>
      <c r="J934" s="738" t="s">
        <v>1187</v>
      </c>
      <c r="K934" s="1059">
        <v>182</v>
      </c>
      <c r="L934" s="2727">
        <f>2*N934</f>
        <v>1427612400</v>
      </c>
      <c r="M934" s="1059">
        <f>104+40</f>
        <v>144</v>
      </c>
      <c r="N934" s="2727">
        <v>713806200</v>
      </c>
      <c r="O934" s="1059">
        <v>0</v>
      </c>
      <c r="P934" s="2727">
        <v>50114000</v>
      </c>
      <c r="Q934" s="1061">
        <v>0</v>
      </c>
      <c r="R934" s="2727">
        <v>3185000</v>
      </c>
      <c r="S934" s="1073">
        <v>0</v>
      </c>
      <c r="T934" s="2724">
        <v>6241000</v>
      </c>
      <c r="U934" s="1073"/>
      <c r="V934" s="2884">
        <v>0</v>
      </c>
      <c r="W934" s="1073">
        <v>0</v>
      </c>
      <c r="X934" s="2764">
        <v>0</v>
      </c>
      <c r="Y934" s="1073">
        <f t="shared" si="276"/>
        <v>0</v>
      </c>
      <c r="Z934" s="2757">
        <f>R934+T934+V934+X934</f>
        <v>9426000</v>
      </c>
      <c r="AA934" s="1059">
        <f t="shared" si="277"/>
        <v>144</v>
      </c>
      <c r="AB934" s="2757">
        <f>N934+Z934</f>
        <v>723232200</v>
      </c>
      <c r="AC934" s="1065">
        <f t="shared" si="274"/>
        <v>79.120879120879124</v>
      </c>
      <c r="AD934" s="2776">
        <f>(AB934/L934)*100</f>
        <v>50.660263247923595</v>
      </c>
      <c r="AE934" s="739"/>
      <c r="AF934" s="750"/>
    </row>
    <row r="935" spans="1:54" ht="33">
      <c r="A935" s="2731"/>
      <c r="B935" s="2731"/>
      <c r="C935" s="2733"/>
      <c r="D935" s="2733"/>
      <c r="E935" s="2733"/>
      <c r="F935" s="2733"/>
      <c r="G935" s="2733"/>
      <c r="H935" s="2733"/>
      <c r="I935" s="2756"/>
      <c r="J935" s="738" t="s">
        <v>1188</v>
      </c>
      <c r="K935" s="1059">
        <v>182</v>
      </c>
      <c r="L935" s="2729"/>
      <c r="M935" s="1059">
        <v>144</v>
      </c>
      <c r="N935" s="2729"/>
      <c r="O935" s="1059">
        <v>36</v>
      </c>
      <c r="P935" s="2729"/>
      <c r="Q935" s="1061">
        <v>11</v>
      </c>
      <c r="R935" s="2729"/>
      <c r="S935" s="1073">
        <v>8</v>
      </c>
      <c r="T935" s="2726"/>
      <c r="U935" s="1073"/>
      <c r="V935" s="2885"/>
      <c r="W935" s="1073"/>
      <c r="X935" s="2765"/>
      <c r="Y935" s="1073">
        <f t="shared" si="276"/>
        <v>19</v>
      </c>
      <c r="Z935" s="2758"/>
      <c r="AA935" s="1059">
        <f t="shared" si="277"/>
        <v>163</v>
      </c>
      <c r="AB935" s="2758"/>
      <c r="AC935" s="1065">
        <f t="shared" si="274"/>
        <v>89.560439560439562</v>
      </c>
      <c r="AD935" s="2778"/>
      <c r="AE935" s="2557"/>
      <c r="AF935" s="750"/>
    </row>
    <row r="936" spans="1:54" ht="33">
      <c r="A936" s="2538"/>
      <c r="B936" s="746"/>
      <c r="C936" s="1058">
        <v>1</v>
      </c>
      <c r="D936" s="1058" t="s">
        <v>28</v>
      </c>
      <c r="E936" s="1058" t="s">
        <v>29</v>
      </c>
      <c r="F936" s="1058" t="s">
        <v>25</v>
      </c>
      <c r="G936" s="1058">
        <v>23</v>
      </c>
      <c r="H936" s="1058" t="s">
        <v>78</v>
      </c>
      <c r="I936" s="738" t="s">
        <v>1189</v>
      </c>
      <c r="J936" s="738" t="s">
        <v>1190</v>
      </c>
      <c r="K936" s="1059">
        <v>182</v>
      </c>
      <c r="L936" s="1060">
        <f>2*N936</f>
        <v>362792100</v>
      </c>
      <c r="M936" s="1059">
        <v>90</v>
      </c>
      <c r="N936" s="1060">
        <v>181396050</v>
      </c>
      <c r="O936" s="1059">
        <v>137</v>
      </c>
      <c r="P936" s="1090">
        <v>70225000</v>
      </c>
      <c r="Q936" s="1061">
        <v>40</v>
      </c>
      <c r="R936" s="1060">
        <v>20969550</v>
      </c>
      <c r="S936" s="1073">
        <v>30</v>
      </c>
      <c r="T936" s="1738">
        <v>10365000</v>
      </c>
      <c r="U936" s="1073">
        <v>0</v>
      </c>
      <c r="V936" s="1739">
        <v>0</v>
      </c>
      <c r="W936" s="1073">
        <v>0</v>
      </c>
      <c r="X936" s="1073">
        <v>0</v>
      </c>
      <c r="Y936" s="1073">
        <f t="shared" si="276"/>
        <v>70</v>
      </c>
      <c r="Z936" s="1074">
        <f>R936+T936+V936+X936</f>
        <v>31334550</v>
      </c>
      <c r="AA936" s="1059">
        <f t="shared" si="277"/>
        <v>160</v>
      </c>
      <c r="AB936" s="1074">
        <f>N936+Z936</f>
        <v>212730600</v>
      </c>
      <c r="AC936" s="1065">
        <f t="shared" si="274"/>
        <v>87.912087912087912</v>
      </c>
      <c r="AD936" s="1065">
        <f>(AB936/L936)*100</f>
        <v>58.637054114463908</v>
      </c>
      <c r="AE936" s="2557"/>
      <c r="AF936" s="201"/>
    </row>
    <row r="937" spans="1:54" ht="33">
      <c r="A937" s="2730"/>
      <c r="B937" s="2730"/>
      <c r="C937" s="2732">
        <v>1</v>
      </c>
      <c r="D937" s="2732" t="s">
        <v>28</v>
      </c>
      <c r="E937" s="2732" t="s">
        <v>29</v>
      </c>
      <c r="F937" s="2732" t="s">
        <v>25</v>
      </c>
      <c r="G937" s="2732">
        <v>23</v>
      </c>
      <c r="H937" s="2732" t="s">
        <v>57</v>
      </c>
      <c r="I937" s="2774" t="s">
        <v>1191</v>
      </c>
      <c r="J937" s="738" t="s">
        <v>1192</v>
      </c>
      <c r="K937" s="1059">
        <v>2</v>
      </c>
      <c r="L937" s="2727">
        <f>2*P937</f>
        <v>168012800</v>
      </c>
      <c r="M937" s="1059">
        <v>0</v>
      </c>
      <c r="N937" s="2727">
        <v>48049878</v>
      </c>
      <c r="O937" s="1059">
        <v>2</v>
      </c>
      <c r="P937" s="2727">
        <v>84006400</v>
      </c>
      <c r="Q937" s="1061">
        <v>0</v>
      </c>
      <c r="R937" s="2727">
        <v>0</v>
      </c>
      <c r="S937" s="1073">
        <v>2</v>
      </c>
      <c r="T937" s="2724">
        <v>3425000</v>
      </c>
      <c r="U937" s="1073">
        <v>0</v>
      </c>
      <c r="V937" s="2884">
        <v>0</v>
      </c>
      <c r="W937" s="1073">
        <v>0</v>
      </c>
      <c r="X937" s="2764">
        <v>0</v>
      </c>
      <c r="Y937" s="1073">
        <f t="shared" si="276"/>
        <v>2</v>
      </c>
      <c r="Z937" s="1074"/>
      <c r="AA937" s="1059">
        <f t="shared" si="277"/>
        <v>2</v>
      </c>
      <c r="AB937" s="2757">
        <f>N937+Z938</f>
        <v>51474878</v>
      </c>
      <c r="AC937" s="1065">
        <f t="shared" si="274"/>
        <v>100</v>
      </c>
      <c r="AD937" s="1065"/>
      <c r="AE937" s="2557"/>
      <c r="AF937" s="750"/>
    </row>
    <row r="938" spans="1:54">
      <c r="A938" s="2731"/>
      <c r="B938" s="2731"/>
      <c r="C938" s="2733"/>
      <c r="D938" s="2733"/>
      <c r="E938" s="2733"/>
      <c r="F938" s="2733"/>
      <c r="G938" s="2733"/>
      <c r="H938" s="2733"/>
      <c r="I938" s="2775"/>
      <c r="J938" s="738" t="s">
        <v>1193</v>
      </c>
      <c r="K938" s="1059">
        <v>24</v>
      </c>
      <c r="L938" s="2729"/>
      <c r="M938" s="1059">
        <v>12</v>
      </c>
      <c r="N938" s="2729"/>
      <c r="O938" s="1059">
        <v>12</v>
      </c>
      <c r="P938" s="2729"/>
      <c r="Q938" s="1061">
        <v>0</v>
      </c>
      <c r="R938" s="2729"/>
      <c r="S938" s="1073">
        <v>0</v>
      </c>
      <c r="T938" s="2726"/>
      <c r="U938" s="1073">
        <v>0</v>
      </c>
      <c r="V938" s="2885"/>
      <c r="W938" s="1073">
        <v>0</v>
      </c>
      <c r="X938" s="2765"/>
      <c r="Y938" s="1073">
        <f t="shared" si="276"/>
        <v>0</v>
      </c>
      <c r="Z938" s="1074">
        <f>R937+T937+V937+X937</f>
        <v>3425000</v>
      </c>
      <c r="AA938" s="1059">
        <f t="shared" si="277"/>
        <v>12</v>
      </c>
      <c r="AB938" s="2758"/>
      <c r="AC938" s="1065">
        <f t="shared" si="274"/>
        <v>50</v>
      </c>
      <c r="AD938" s="1065">
        <f>(AB937/L937)*100</f>
        <v>30.637474049596218</v>
      </c>
      <c r="AE938" s="2557"/>
      <c r="AF938" s="750"/>
    </row>
    <row r="939" spans="1:54" ht="33">
      <c r="A939" s="2538"/>
      <c r="B939" s="746"/>
      <c r="C939" s="1058">
        <v>1</v>
      </c>
      <c r="D939" s="1058" t="s">
        <v>28</v>
      </c>
      <c r="E939" s="1058" t="s">
        <v>29</v>
      </c>
      <c r="F939" s="1058" t="s">
        <v>25</v>
      </c>
      <c r="G939" s="1058">
        <v>23</v>
      </c>
      <c r="H939" s="1058">
        <v>14</v>
      </c>
      <c r="I939" s="738" t="s">
        <v>1194</v>
      </c>
      <c r="J939" s="738" t="s">
        <v>1195</v>
      </c>
      <c r="K939" s="1059">
        <f>25*6</f>
        <v>150</v>
      </c>
      <c r="L939" s="1060">
        <f>3*N939</f>
        <v>98544300</v>
      </c>
      <c r="M939" s="1059">
        <f>25*2</f>
        <v>50</v>
      </c>
      <c r="N939" s="1060">
        <v>32848100</v>
      </c>
      <c r="O939" s="1059">
        <v>30</v>
      </c>
      <c r="P939" s="1060">
        <v>54965000</v>
      </c>
      <c r="Q939" s="1061">
        <v>4</v>
      </c>
      <c r="R939" s="1060">
        <v>2445000</v>
      </c>
      <c r="S939" s="1073">
        <v>8</v>
      </c>
      <c r="T939" s="1738">
        <v>10910750</v>
      </c>
      <c r="U939" s="1073">
        <v>0</v>
      </c>
      <c r="V939" s="1740">
        <v>0</v>
      </c>
      <c r="W939" s="1073"/>
      <c r="X939" s="1073">
        <v>0</v>
      </c>
      <c r="Y939" s="1073">
        <f t="shared" si="276"/>
        <v>12</v>
      </c>
      <c r="Z939" s="1074">
        <f>R939+T939+V939+X939</f>
        <v>13355750</v>
      </c>
      <c r="AA939" s="1059">
        <f t="shared" si="277"/>
        <v>62</v>
      </c>
      <c r="AB939" s="1074">
        <f>N939+Z939</f>
        <v>46203850</v>
      </c>
      <c r="AC939" s="1065">
        <f t="shared" si="274"/>
        <v>41.333333333333336</v>
      </c>
      <c r="AD939" s="1065">
        <f>(AB939/L939)*100</f>
        <v>46.886374960297047</v>
      </c>
      <c r="AE939" s="2557"/>
    </row>
    <row r="940" spans="1:54" ht="49.5">
      <c r="A940" s="2538"/>
      <c r="B940" s="746"/>
      <c r="C940" s="1058"/>
      <c r="D940" s="1058"/>
      <c r="E940" s="1058"/>
      <c r="F940" s="1058"/>
      <c r="G940" s="1058">
        <v>23</v>
      </c>
      <c r="H940" s="1058" t="s">
        <v>30</v>
      </c>
      <c r="I940" s="738" t="s">
        <v>1196</v>
      </c>
      <c r="J940" s="738" t="s">
        <v>1197</v>
      </c>
      <c r="K940" s="1059">
        <v>3</v>
      </c>
      <c r="L940" s="1060">
        <f>3*P940</f>
        <v>285090000</v>
      </c>
      <c r="M940" s="1059">
        <v>0</v>
      </c>
      <c r="N940" s="1060">
        <v>0</v>
      </c>
      <c r="O940" s="1059">
        <v>70</v>
      </c>
      <c r="P940" s="1060">
        <v>95030000</v>
      </c>
      <c r="Q940" s="1061">
        <v>70</v>
      </c>
      <c r="R940" s="1060">
        <v>69250000</v>
      </c>
      <c r="S940" s="1073">
        <v>0</v>
      </c>
      <c r="T940" s="1738">
        <v>0</v>
      </c>
      <c r="U940" s="1073">
        <v>0</v>
      </c>
      <c r="V940" s="1740">
        <v>0</v>
      </c>
      <c r="W940" s="1073">
        <v>0</v>
      </c>
      <c r="X940" s="1073">
        <v>0</v>
      </c>
      <c r="Y940" s="1073">
        <f t="shared" si="276"/>
        <v>70</v>
      </c>
      <c r="Z940" s="1074">
        <f>R940+T940+V940+X940</f>
        <v>69250000</v>
      </c>
      <c r="AA940" s="1059">
        <f t="shared" si="277"/>
        <v>70</v>
      </c>
      <c r="AB940" s="1074">
        <f>N940+Z940</f>
        <v>69250000</v>
      </c>
      <c r="AC940" s="1065">
        <f t="shared" si="274"/>
        <v>2333.333333333333</v>
      </c>
      <c r="AD940" s="1065">
        <f>(AB940/L940)*100</f>
        <v>24.290574906169983</v>
      </c>
      <c r="AE940" s="2557"/>
    </row>
    <row r="941" spans="1:54">
      <c r="A941" s="2886"/>
      <c r="B941" s="2787"/>
      <c r="C941" s="1037">
        <v>1</v>
      </c>
      <c r="D941" s="1037" t="s">
        <v>28</v>
      </c>
      <c r="E941" s="1037" t="s">
        <v>29</v>
      </c>
      <c r="F941" s="1037" t="s">
        <v>25</v>
      </c>
      <c r="G941" s="1037">
        <v>23</v>
      </c>
      <c r="H941" s="1037">
        <v>20</v>
      </c>
      <c r="I941" s="2768" t="s">
        <v>1198</v>
      </c>
      <c r="J941" s="1070" t="s">
        <v>1199</v>
      </c>
      <c r="K941" s="1070">
        <f>182*2</f>
        <v>364</v>
      </c>
      <c r="L941" s="2790">
        <f>2*P941</f>
        <v>242805000</v>
      </c>
      <c r="M941" s="1070">
        <v>182</v>
      </c>
      <c r="N941" s="2790">
        <v>69250000</v>
      </c>
      <c r="O941" s="1070">
        <v>90</v>
      </c>
      <c r="P941" s="2790">
        <v>121402500</v>
      </c>
      <c r="Q941" s="1091">
        <v>60</v>
      </c>
      <c r="R941" s="2790">
        <v>33879700</v>
      </c>
      <c r="S941" s="1741"/>
      <c r="T941" s="2792">
        <v>44996750</v>
      </c>
      <c r="U941" s="207"/>
      <c r="V941" s="2794">
        <v>0</v>
      </c>
      <c r="W941" s="207"/>
      <c r="X941" s="2796">
        <v>0</v>
      </c>
      <c r="Y941" s="207">
        <f t="shared" si="276"/>
        <v>60</v>
      </c>
      <c r="Z941" s="2718">
        <f>R941+T941+V941+X941</f>
        <v>78876450</v>
      </c>
      <c r="AA941" s="1070"/>
      <c r="AB941" s="2757">
        <v>69250000</v>
      </c>
      <c r="AC941" s="1065">
        <f t="shared" si="274"/>
        <v>0</v>
      </c>
      <c r="AD941" s="2776">
        <f>(AB941/L941)*100</f>
        <v>28.520829472210206</v>
      </c>
      <c r="AE941" s="2557"/>
      <c r="AF941" s="750"/>
    </row>
    <row r="942" spans="1:54">
      <c r="A942" s="2887"/>
      <c r="B942" s="2788"/>
      <c r="C942" s="1020"/>
      <c r="D942" s="1020"/>
      <c r="E942" s="1020"/>
      <c r="F942" s="1020"/>
      <c r="G942" s="1020"/>
      <c r="H942" s="1020"/>
      <c r="I942" s="2789"/>
      <c r="J942" s="1070" t="s">
        <v>1199</v>
      </c>
      <c r="K942" s="1070">
        <f>182*4</f>
        <v>728</v>
      </c>
      <c r="L942" s="2791"/>
      <c r="M942" s="1070">
        <v>182</v>
      </c>
      <c r="N942" s="2791"/>
      <c r="O942" s="1070">
        <v>182</v>
      </c>
      <c r="P942" s="2791"/>
      <c r="Q942" s="1091">
        <v>0</v>
      </c>
      <c r="R942" s="2791"/>
      <c r="S942" s="1741">
        <v>70</v>
      </c>
      <c r="T942" s="2793"/>
      <c r="U942" s="207">
        <v>0</v>
      </c>
      <c r="V942" s="2795"/>
      <c r="W942" s="207">
        <v>0</v>
      </c>
      <c r="X942" s="2797"/>
      <c r="Y942" s="207">
        <f t="shared" si="276"/>
        <v>70</v>
      </c>
      <c r="Z942" s="2719"/>
      <c r="AA942" s="1070">
        <f>M942+Y942</f>
        <v>252</v>
      </c>
      <c r="AB942" s="2758"/>
      <c r="AC942" s="1092">
        <f t="shared" si="274"/>
        <v>34.615384615384613</v>
      </c>
      <c r="AD942" s="2778"/>
      <c r="AE942" s="2557"/>
    </row>
    <row r="943" spans="1:54" ht="33">
      <c r="A943" s="2538"/>
      <c r="B943" s="746"/>
      <c r="C943" s="1037">
        <v>1</v>
      </c>
      <c r="D943" s="1037" t="s">
        <v>28</v>
      </c>
      <c r="E943" s="1037" t="s">
        <v>29</v>
      </c>
      <c r="F943" s="1037" t="s">
        <v>25</v>
      </c>
      <c r="G943" s="1037">
        <v>23</v>
      </c>
      <c r="H943" s="1037">
        <v>21</v>
      </c>
      <c r="I943" s="738" t="s">
        <v>1200</v>
      </c>
      <c r="J943" s="738" t="s">
        <v>1201</v>
      </c>
      <c r="K943" s="738">
        <v>910</v>
      </c>
      <c r="L943" s="1060">
        <f>2*N943</f>
        <v>156128836</v>
      </c>
      <c r="M943" s="1059">
        <f>182*3</f>
        <v>546</v>
      </c>
      <c r="N943" s="1060">
        <v>78064418</v>
      </c>
      <c r="O943" s="1059">
        <v>78</v>
      </c>
      <c r="P943" s="1060">
        <v>44830765</v>
      </c>
      <c r="Q943" s="1061">
        <v>0</v>
      </c>
      <c r="R943" s="1060">
        <v>0</v>
      </c>
      <c r="S943" s="1073">
        <v>2</v>
      </c>
      <c r="T943" s="1738">
        <v>1410500</v>
      </c>
      <c r="U943" s="1073">
        <v>0</v>
      </c>
      <c r="V943" s="1740">
        <v>0</v>
      </c>
      <c r="W943" s="1073">
        <v>0</v>
      </c>
      <c r="X943" s="1073">
        <v>0</v>
      </c>
      <c r="Y943" s="1073">
        <f t="shared" si="276"/>
        <v>2</v>
      </c>
      <c r="Z943" s="1074">
        <f>R943+T943+V943+X943</f>
        <v>1410500</v>
      </c>
      <c r="AA943" s="1059">
        <f>M943+Y943</f>
        <v>548</v>
      </c>
      <c r="AB943" s="1074">
        <f>N943+Z943</f>
        <v>79474918</v>
      </c>
      <c r="AC943" s="1065">
        <f t="shared" si="274"/>
        <v>60.219780219780219</v>
      </c>
      <c r="AD943" s="1065">
        <f>(AB943/L943)*100</f>
        <v>50.903420557109648</v>
      </c>
      <c r="AE943" s="2557"/>
    </row>
    <row r="944" spans="1:54" ht="49.5">
      <c r="A944" s="2538"/>
      <c r="B944" s="746"/>
      <c r="C944" s="1037"/>
      <c r="D944" s="1037"/>
      <c r="E944" s="1037"/>
      <c r="F944" s="1037"/>
      <c r="G944" s="1037"/>
      <c r="H944" s="1037"/>
      <c r="I944" s="738" t="s">
        <v>1278</v>
      </c>
      <c r="J944" s="738" t="s">
        <v>1279</v>
      </c>
      <c r="K944" s="738">
        <v>15</v>
      </c>
      <c r="L944" s="1060">
        <f>P944*3</f>
        <v>173520000</v>
      </c>
      <c r="M944" s="1059"/>
      <c r="N944" s="1060"/>
      <c r="O944" s="1059"/>
      <c r="P944" s="1060">
        <v>57840000</v>
      </c>
      <c r="Q944" s="1061">
        <v>0</v>
      </c>
      <c r="R944" s="1060"/>
      <c r="S944" s="1073"/>
      <c r="T944" s="1738"/>
      <c r="U944" s="1073"/>
      <c r="V944" s="1740"/>
      <c r="W944" s="1073"/>
      <c r="X944" s="1073"/>
      <c r="Y944" s="1073"/>
      <c r="Z944" s="1074"/>
      <c r="AA944" s="1059"/>
      <c r="AB944" s="1074"/>
      <c r="AC944" s="1065"/>
      <c r="AD944" s="1065"/>
      <c r="AE944" s="741"/>
    </row>
    <row r="945" spans="1:31" ht="66">
      <c r="A945" s="1088">
        <v>7</v>
      </c>
      <c r="B945" s="1050"/>
      <c r="C945" s="1075">
        <v>1</v>
      </c>
      <c r="D945" s="1075" t="s">
        <v>28</v>
      </c>
      <c r="E945" s="1075" t="s">
        <v>29</v>
      </c>
      <c r="F945" s="1075" t="s">
        <v>25</v>
      </c>
      <c r="G945" s="1075">
        <v>24</v>
      </c>
      <c r="H945" s="1075"/>
      <c r="I945" s="737" t="s">
        <v>1202</v>
      </c>
      <c r="J945" s="737" t="s">
        <v>1203</v>
      </c>
      <c r="K945" s="1055">
        <v>70.430000000000007</v>
      </c>
      <c r="L945" s="1053">
        <f>SUM(L946:L963)</f>
        <v>3612958172</v>
      </c>
      <c r="M945" s="1055">
        <v>70</v>
      </c>
      <c r="N945" s="1053">
        <f>SUM(N946:N963)</f>
        <v>1353737212</v>
      </c>
      <c r="O945" s="1055">
        <v>1</v>
      </c>
      <c r="P945" s="1053">
        <f>SUM(P946:P963)</f>
        <v>1055939079</v>
      </c>
      <c r="Q945" s="1076">
        <v>0</v>
      </c>
      <c r="R945" s="1053">
        <f>SUM(R946:R956)</f>
        <v>68531600</v>
      </c>
      <c r="S945" s="1055"/>
      <c r="T945" s="1053">
        <f>SUM(T946:T963)</f>
        <v>298461101</v>
      </c>
      <c r="U945" s="1055"/>
      <c r="V945" s="1053">
        <f>SUM(V946:V956)</f>
        <v>0</v>
      </c>
      <c r="W945" s="1055"/>
      <c r="X945" s="1053">
        <f>SUM(X946:X956)</f>
        <v>0</v>
      </c>
      <c r="Y945" s="1055">
        <f>Q945+S945+U945+W945</f>
        <v>0</v>
      </c>
      <c r="Z945" s="1078">
        <f>R945+T945+V945+X945</f>
        <v>366992701</v>
      </c>
      <c r="AA945" s="1055">
        <f>M945+Y945</f>
        <v>70</v>
      </c>
      <c r="AB945" s="1078">
        <f>N945+Z945</f>
        <v>1720729913</v>
      </c>
      <c r="AC945" s="1057">
        <f>(AA945/K945)*100</f>
        <v>99.389464716740022</v>
      </c>
      <c r="AD945" s="1057">
        <f>(AB945/L945)*100</f>
        <v>47.626621485281895</v>
      </c>
      <c r="AE945" s="369" t="s">
        <v>117</v>
      </c>
    </row>
    <row r="946" spans="1:31" ht="82.5">
      <c r="A946" s="2538"/>
      <c r="B946" s="746"/>
      <c r="C946" s="1058">
        <v>1</v>
      </c>
      <c r="D946" s="1058" t="s">
        <v>28</v>
      </c>
      <c r="E946" s="1058" t="s">
        <v>29</v>
      </c>
      <c r="F946" s="1058" t="s">
        <v>25</v>
      </c>
      <c r="G946" s="1058">
        <v>24</v>
      </c>
      <c r="H946" s="1058" t="s">
        <v>30</v>
      </c>
      <c r="I946" s="166" t="s">
        <v>1204</v>
      </c>
      <c r="J946" s="738" t="s">
        <v>2928</v>
      </c>
      <c r="K946" s="1059">
        <f t="shared" ref="K946:K955" si="278">6*6</f>
        <v>36</v>
      </c>
      <c r="L946" s="1060">
        <f>2*N946</f>
        <v>220730162</v>
      </c>
      <c r="M946" s="1059">
        <v>12</v>
      </c>
      <c r="N946" s="1060">
        <v>110365081</v>
      </c>
      <c r="O946" s="1059">
        <v>6</v>
      </c>
      <c r="P946" s="1060">
        <v>70949000</v>
      </c>
      <c r="Q946" s="1061">
        <v>1</v>
      </c>
      <c r="R946" s="1060">
        <v>12340450</v>
      </c>
      <c r="S946" s="1059">
        <v>1</v>
      </c>
      <c r="T946" s="1060">
        <v>12558750</v>
      </c>
      <c r="U946" s="1059">
        <v>0</v>
      </c>
      <c r="V946" s="1067">
        <v>0</v>
      </c>
      <c r="W946" s="1059">
        <v>0</v>
      </c>
      <c r="X946" s="1073">
        <v>0</v>
      </c>
      <c r="Y946" s="1059">
        <f>Q946+S946+U946+W946</f>
        <v>2</v>
      </c>
      <c r="Z946" s="1074">
        <f>R946+T946+V946+X946</f>
        <v>24899200</v>
      </c>
      <c r="AA946" s="1059">
        <f>M946+Y946</f>
        <v>14</v>
      </c>
      <c r="AB946" s="1074">
        <f>N946+Z946</f>
        <v>135264281</v>
      </c>
      <c r="AC946" s="1065">
        <f>(AA946/K946)*100</f>
        <v>38.888888888888893</v>
      </c>
      <c r="AD946" s="1065">
        <f>(AB946/L946)*100</f>
        <v>61.280379525114469</v>
      </c>
      <c r="AE946" s="739"/>
    </row>
    <row r="947" spans="1:31">
      <c r="A947" s="2730"/>
      <c r="B947" s="2730"/>
      <c r="C947" s="2732">
        <v>1</v>
      </c>
      <c r="D947" s="2732" t="s">
        <v>28</v>
      </c>
      <c r="E947" s="2732" t="s">
        <v>29</v>
      </c>
      <c r="F947" s="2732" t="s">
        <v>25</v>
      </c>
      <c r="G947" s="2732">
        <v>24</v>
      </c>
      <c r="H947" s="2732" t="s">
        <v>30</v>
      </c>
      <c r="I947" s="2768" t="s">
        <v>1205</v>
      </c>
      <c r="J947" s="738" t="s">
        <v>1206</v>
      </c>
      <c r="K947" s="1059">
        <v>3</v>
      </c>
      <c r="L947" s="2727">
        <f>3*P947</f>
        <v>40599678</v>
      </c>
      <c r="M947" s="1059">
        <v>0</v>
      </c>
      <c r="N947" s="2727">
        <v>0</v>
      </c>
      <c r="O947" s="1059">
        <v>1</v>
      </c>
      <c r="P947" s="2727">
        <v>13533226</v>
      </c>
      <c r="Q947" s="1061">
        <v>0</v>
      </c>
      <c r="R947" s="2727">
        <v>1947700</v>
      </c>
      <c r="S947" s="1059">
        <v>1</v>
      </c>
      <c r="T947" s="2727">
        <v>3789000</v>
      </c>
      <c r="U947" s="1059">
        <v>0</v>
      </c>
      <c r="V947" s="2760">
        <v>0</v>
      </c>
      <c r="W947" s="1059">
        <v>0</v>
      </c>
      <c r="X947" s="2764">
        <v>0</v>
      </c>
      <c r="Y947" s="1059">
        <v>0</v>
      </c>
      <c r="Z947" s="2757">
        <f>R947+T947+V947+X947</f>
        <v>5736700</v>
      </c>
      <c r="AA947" s="1059"/>
      <c r="AB947" s="2757">
        <f>N947+Z947</f>
        <v>5736700</v>
      </c>
      <c r="AC947" s="1065">
        <f t="shared" ref="AC947:AC953" si="279">(AA947/K947)*100</f>
        <v>0</v>
      </c>
      <c r="AD947" s="1065">
        <f>(AB946/L946)*100</f>
        <v>61.280379525114469</v>
      </c>
      <c r="AE947" s="2847"/>
    </row>
    <row r="948" spans="1:31">
      <c r="A948" s="2731"/>
      <c r="B948" s="2731"/>
      <c r="C948" s="2733"/>
      <c r="D948" s="2733"/>
      <c r="E948" s="2733"/>
      <c r="F948" s="2733"/>
      <c r="G948" s="2733"/>
      <c r="H948" s="2733"/>
      <c r="I948" s="2770"/>
      <c r="J948" s="738" t="s">
        <v>1207</v>
      </c>
      <c r="K948" s="1059">
        <f>3*2</f>
        <v>6</v>
      </c>
      <c r="L948" s="2729"/>
      <c r="M948" s="1059">
        <v>0</v>
      </c>
      <c r="N948" s="2729"/>
      <c r="O948" s="1059">
        <v>0</v>
      </c>
      <c r="P948" s="2729"/>
      <c r="Q948" s="1061">
        <v>0</v>
      </c>
      <c r="R948" s="2729"/>
      <c r="S948" s="1059">
        <v>0</v>
      </c>
      <c r="T948" s="2729"/>
      <c r="U948" s="1059">
        <v>0</v>
      </c>
      <c r="V948" s="2761"/>
      <c r="W948" s="1059">
        <v>0</v>
      </c>
      <c r="X948" s="2765"/>
      <c r="Y948" s="1059">
        <f t="shared" ref="Y948:Y953" si="280">Q948+S948+U948+W948</f>
        <v>0</v>
      </c>
      <c r="Z948" s="2758"/>
      <c r="AA948" s="1059">
        <f t="shared" ref="AA948:AA953" si="281">M948+Y948</f>
        <v>0</v>
      </c>
      <c r="AB948" s="2758"/>
      <c r="AC948" s="1065">
        <f t="shared" si="279"/>
        <v>0</v>
      </c>
      <c r="AD948" s="1065">
        <f>(AB947/L947)*100</f>
        <v>14.129915020508291</v>
      </c>
      <c r="AE948" s="2847"/>
    </row>
    <row r="949" spans="1:31" ht="82.5">
      <c r="A949" s="2538"/>
      <c r="B949" s="746"/>
      <c r="C949" s="1058">
        <v>1</v>
      </c>
      <c r="D949" s="1058" t="s">
        <v>28</v>
      </c>
      <c r="E949" s="1058" t="s">
        <v>29</v>
      </c>
      <c r="F949" s="1058" t="s">
        <v>25</v>
      </c>
      <c r="G949" s="1058">
        <v>24</v>
      </c>
      <c r="H949" s="1058" t="s">
        <v>30</v>
      </c>
      <c r="I949" s="166" t="s">
        <v>1208</v>
      </c>
      <c r="J949" s="738" t="s">
        <v>1209</v>
      </c>
      <c r="K949" s="1059">
        <v>12</v>
      </c>
      <c r="L949" s="1060">
        <f>3*P949</f>
        <v>67365000</v>
      </c>
      <c r="M949" s="1059">
        <v>0</v>
      </c>
      <c r="N949" s="1060">
        <v>0</v>
      </c>
      <c r="O949" s="1059">
        <v>4</v>
      </c>
      <c r="P949" s="1060">
        <v>22455000</v>
      </c>
      <c r="Q949" s="1061">
        <v>1</v>
      </c>
      <c r="R949" s="1060">
        <v>1325000</v>
      </c>
      <c r="S949" s="1059">
        <v>1</v>
      </c>
      <c r="T949" s="1060">
        <v>2755000</v>
      </c>
      <c r="U949" s="1059">
        <v>0</v>
      </c>
      <c r="V949" s="1067">
        <v>0</v>
      </c>
      <c r="W949" s="1059">
        <v>0</v>
      </c>
      <c r="X949" s="1073">
        <v>0</v>
      </c>
      <c r="Y949" s="1059">
        <f t="shared" si="280"/>
        <v>2</v>
      </c>
      <c r="Z949" s="1074">
        <f>R949+T949+V949+X949</f>
        <v>4080000</v>
      </c>
      <c r="AA949" s="1059">
        <f t="shared" si="281"/>
        <v>2</v>
      </c>
      <c r="AB949" s="1074">
        <f>N949+Z949</f>
        <v>4080000</v>
      </c>
      <c r="AC949" s="1065">
        <f t="shared" si="279"/>
        <v>16.666666666666664</v>
      </c>
      <c r="AD949" s="1065">
        <f>(AB949/L949)*100</f>
        <v>6.0565575595635721</v>
      </c>
      <c r="AE949" s="2557"/>
    </row>
    <row r="950" spans="1:31">
      <c r="A950" s="2730"/>
      <c r="B950" s="2730"/>
      <c r="C950" s="2732">
        <v>1</v>
      </c>
      <c r="D950" s="2732" t="s">
        <v>28</v>
      </c>
      <c r="E950" s="2732" t="s">
        <v>29</v>
      </c>
      <c r="F950" s="2732" t="s">
        <v>25</v>
      </c>
      <c r="G950" s="2732">
        <v>24</v>
      </c>
      <c r="H950" s="2732" t="s">
        <v>31</v>
      </c>
      <c r="I950" s="2768" t="s">
        <v>1210</v>
      </c>
      <c r="J950" s="738" t="s">
        <v>1211</v>
      </c>
      <c r="K950" s="1059">
        <f t="shared" si="278"/>
        <v>36</v>
      </c>
      <c r="L950" s="2727">
        <f>2*N950</f>
        <v>2368129732</v>
      </c>
      <c r="M950" s="1059">
        <f>6*3</f>
        <v>18</v>
      </c>
      <c r="N950" s="2727">
        <v>1184064866</v>
      </c>
      <c r="O950" s="1059">
        <v>1</v>
      </c>
      <c r="P950" s="2727">
        <v>521845053</v>
      </c>
      <c r="Q950" s="1061">
        <v>0</v>
      </c>
      <c r="R950" s="2727">
        <v>48878450</v>
      </c>
      <c r="S950" s="1059">
        <v>0</v>
      </c>
      <c r="T950" s="2727">
        <v>239551601</v>
      </c>
      <c r="U950" s="1059">
        <v>0</v>
      </c>
      <c r="V950" s="2760">
        <v>0</v>
      </c>
      <c r="W950" s="1059">
        <v>0</v>
      </c>
      <c r="X950" s="2764">
        <v>0</v>
      </c>
      <c r="Y950" s="1059">
        <f t="shared" si="280"/>
        <v>0</v>
      </c>
      <c r="Z950" s="2757">
        <f>R950+T950+V950+X950</f>
        <v>288430051</v>
      </c>
      <c r="AA950" s="1059">
        <f t="shared" si="281"/>
        <v>18</v>
      </c>
      <c r="AB950" s="2757">
        <f>N950+Z950</f>
        <v>1472494917</v>
      </c>
      <c r="AC950" s="1065">
        <f t="shared" si="279"/>
        <v>50</v>
      </c>
      <c r="AD950" s="2776">
        <f>(AB950/L950)*100</f>
        <v>62.179655831456792</v>
      </c>
      <c r="AE950" s="2557"/>
    </row>
    <row r="951" spans="1:31">
      <c r="A951" s="2779"/>
      <c r="B951" s="2779"/>
      <c r="C951" s="2767"/>
      <c r="D951" s="2767"/>
      <c r="E951" s="2767"/>
      <c r="F951" s="2767"/>
      <c r="G951" s="2767"/>
      <c r="H951" s="2767"/>
      <c r="I951" s="2769"/>
      <c r="J951" s="738" t="s">
        <v>1212</v>
      </c>
      <c r="K951" s="1059">
        <f t="shared" si="278"/>
        <v>36</v>
      </c>
      <c r="L951" s="2728"/>
      <c r="M951" s="1059">
        <v>18</v>
      </c>
      <c r="N951" s="2728"/>
      <c r="O951" s="1059">
        <v>2</v>
      </c>
      <c r="P951" s="2728"/>
      <c r="Q951" s="1061">
        <v>0</v>
      </c>
      <c r="R951" s="2728"/>
      <c r="S951" s="1059"/>
      <c r="T951" s="2728"/>
      <c r="U951" s="1059">
        <v>0</v>
      </c>
      <c r="V951" s="2837"/>
      <c r="W951" s="1059">
        <v>0</v>
      </c>
      <c r="X951" s="2838"/>
      <c r="Y951" s="1059">
        <f t="shared" si="280"/>
        <v>0</v>
      </c>
      <c r="Z951" s="2839"/>
      <c r="AA951" s="1059">
        <f t="shared" si="281"/>
        <v>18</v>
      </c>
      <c r="AB951" s="2839"/>
      <c r="AC951" s="1065">
        <f t="shared" si="279"/>
        <v>50</v>
      </c>
      <c r="AD951" s="2777"/>
      <c r="AE951" s="2557"/>
    </row>
    <row r="952" spans="1:31">
      <c r="A952" s="2779"/>
      <c r="B952" s="2779"/>
      <c r="C952" s="2767"/>
      <c r="D952" s="2767"/>
      <c r="E952" s="2767"/>
      <c r="F952" s="2767"/>
      <c r="G952" s="2767"/>
      <c r="H952" s="2767"/>
      <c r="I952" s="2769"/>
      <c r="J952" s="738" t="s">
        <v>1213</v>
      </c>
      <c r="K952" s="1059">
        <f t="shared" si="278"/>
        <v>36</v>
      </c>
      <c r="L952" s="2728"/>
      <c r="M952" s="1059">
        <v>18</v>
      </c>
      <c r="N952" s="2728"/>
      <c r="O952" s="1059">
        <v>1</v>
      </c>
      <c r="P952" s="2728"/>
      <c r="Q952" s="1061">
        <v>0</v>
      </c>
      <c r="R952" s="2728"/>
      <c r="S952" s="1059"/>
      <c r="T952" s="2728"/>
      <c r="U952" s="1059">
        <v>0</v>
      </c>
      <c r="V952" s="2837"/>
      <c r="W952" s="1059">
        <v>0</v>
      </c>
      <c r="X952" s="2838"/>
      <c r="Y952" s="1059">
        <f t="shared" si="280"/>
        <v>0</v>
      </c>
      <c r="Z952" s="2839"/>
      <c r="AA952" s="1059">
        <f t="shared" si="281"/>
        <v>18</v>
      </c>
      <c r="AB952" s="2839"/>
      <c r="AC952" s="1065">
        <f t="shared" si="279"/>
        <v>50</v>
      </c>
      <c r="AD952" s="2777"/>
      <c r="AE952" s="1742"/>
    </row>
    <row r="953" spans="1:31" ht="33">
      <c r="A953" s="2779"/>
      <c r="B953" s="2779"/>
      <c r="C953" s="2767"/>
      <c r="D953" s="2767"/>
      <c r="E953" s="2767"/>
      <c r="F953" s="2767"/>
      <c r="G953" s="2767"/>
      <c r="H953" s="2767"/>
      <c r="I953" s="2769"/>
      <c r="J953" s="738" t="s">
        <v>1214</v>
      </c>
      <c r="K953" s="1059">
        <f t="shared" si="278"/>
        <v>36</v>
      </c>
      <c r="L953" s="2728"/>
      <c r="M953" s="1059">
        <v>18</v>
      </c>
      <c r="N953" s="2728"/>
      <c r="O953" s="1059">
        <v>1</v>
      </c>
      <c r="P953" s="2728"/>
      <c r="Q953" s="1061">
        <v>1</v>
      </c>
      <c r="R953" s="2728"/>
      <c r="S953" s="1059"/>
      <c r="T953" s="2728"/>
      <c r="U953" s="1059">
        <v>0</v>
      </c>
      <c r="V953" s="2837"/>
      <c r="W953" s="1059">
        <v>0</v>
      </c>
      <c r="X953" s="2838"/>
      <c r="Y953" s="1059">
        <f t="shared" si="280"/>
        <v>1</v>
      </c>
      <c r="Z953" s="2839"/>
      <c r="AA953" s="1059">
        <f t="shared" si="281"/>
        <v>19</v>
      </c>
      <c r="AB953" s="2839"/>
      <c r="AC953" s="1065">
        <f t="shared" si="279"/>
        <v>52.777777777777779</v>
      </c>
      <c r="AD953" s="2777"/>
      <c r="AE953" s="2847"/>
    </row>
    <row r="954" spans="1:31" ht="33">
      <c r="A954" s="2779"/>
      <c r="B954" s="2779"/>
      <c r="C954" s="2767"/>
      <c r="D954" s="2767"/>
      <c r="E954" s="2767"/>
      <c r="F954" s="2767"/>
      <c r="G954" s="2767"/>
      <c r="H954" s="2767"/>
      <c r="I954" s="2769"/>
      <c r="J954" s="738" t="s">
        <v>1215</v>
      </c>
      <c r="K954" s="1059">
        <f>15*6</f>
        <v>90</v>
      </c>
      <c r="L954" s="2728"/>
      <c r="M954" s="1059">
        <f>15*3</f>
        <v>45</v>
      </c>
      <c r="N954" s="2728"/>
      <c r="O954" s="1059">
        <v>15</v>
      </c>
      <c r="P954" s="2728"/>
      <c r="Q954" s="1061">
        <v>15</v>
      </c>
      <c r="R954" s="2728"/>
      <c r="S954" s="1059"/>
      <c r="T954" s="2728"/>
      <c r="U954" s="1059"/>
      <c r="V954" s="2837"/>
      <c r="W954" s="1059"/>
      <c r="X954" s="2838"/>
      <c r="Y954" s="1059"/>
      <c r="Z954" s="2839"/>
      <c r="AA954" s="1059"/>
      <c r="AB954" s="2839"/>
      <c r="AC954" s="1065"/>
      <c r="AD954" s="2777"/>
      <c r="AE954" s="2847"/>
    </row>
    <row r="955" spans="1:31">
      <c r="A955" s="2731"/>
      <c r="B955" s="2731"/>
      <c r="C955" s="2733"/>
      <c r="D955" s="2733"/>
      <c r="E955" s="2733"/>
      <c r="F955" s="2733"/>
      <c r="G955" s="2733"/>
      <c r="H955" s="2733"/>
      <c r="I955" s="2770"/>
      <c r="J955" s="738" t="s">
        <v>1216</v>
      </c>
      <c r="K955" s="1059">
        <f t="shared" si="278"/>
        <v>36</v>
      </c>
      <c r="L955" s="2729"/>
      <c r="M955" s="1059">
        <v>18</v>
      </c>
      <c r="N955" s="2729"/>
      <c r="O955" s="1059">
        <v>1</v>
      </c>
      <c r="P955" s="2729"/>
      <c r="Q955" s="1061">
        <v>0</v>
      </c>
      <c r="R955" s="2729"/>
      <c r="S955" s="1059"/>
      <c r="T955" s="2729"/>
      <c r="U955" s="1059">
        <v>0</v>
      </c>
      <c r="V955" s="2761"/>
      <c r="W955" s="1059">
        <v>0</v>
      </c>
      <c r="X955" s="2765"/>
      <c r="Y955" s="1059">
        <f>Q955+S955+U955+W955</f>
        <v>0</v>
      </c>
      <c r="Z955" s="2758"/>
      <c r="AA955" s="1059">
        <f t="shared" ref="AA955:AA968" si="282">M955+Y955</f>
        <v>18</v>
      </c>
      <c r="AB955" s="2758"/>
      <c r="AC955" s="1065">
        <f t="shared" ref="AC955:AC968" si="283">(AA955/K955)*100</f>
        <v>50</v>
      </c>
      <c r="AD955" s="2778"/>
      <c r="AE955" s="2847"/>
    </row>
    <row r="956" spans="1:31" ht="24" customHeight="1">
      <c r="A956" s="2730"/>
      <c r="B956" s="2730"/>
      <c r="C956" s="2732">
        <v>1</v>
      </c>
      <c r="D956" s="2732" t="s">
        <v>28</v>
      </c>
      <c r="E956" s="2732" t="s">
        <v>29</v>
      </c>
      <c r="F956" s="2732" t="s">
        <v>25</v>
      </c>
      <c r="G956" s="2732">
        <v>24</v>
      </c>
      <c r="H956" s="2732">
        <v>11</v>
      </c>
      <c r="I956" s="2774" t="s">
        <v>1217</v>
      </c>
      <c r="J956" s="738" t="s">
        <v>1218</v>
      </c>
      <c r="K956" s="1059">
        <v>20</v>
      </c>
      <c r="L956" s="2727">
        <f>3*P956</f>
        <v>185460000</v>
      </c>
      <c r="M956" s="1059">
        <v>2</v>
      </c>
      <c r="N956" s="2727">
        <v>59307265</v>
      </c>
      <c r="O956" s="1059">
        <v>1</v>
      </c>
      <c r="P956" s="2727">
        <v>61820000</v>
      </c>
      <c r="Q956" s="1061">
        <v>0</v>
      </c>
      <c r="R956" s="2727">
        <v>4040000</v>
      </c>
      <c r="S956" s="1059">
        <v>0</v>
      </c>
      <c r="T956" s="2764">
        <v>13110000</v>
      </c>
      <c r="U956" s="1059">
        <v>0</v>
      </c>
      <c r="V956" s="2760">
        <v>0</v>
      </c>
      <c r="W956" s="1059">
        <v>0</v>
      </c>
      <c r="X956" s="2764">
        <v>0</v>
      </c>
      <c r="Y956" s="1059">
        <v>0</v>
      </c>
      <c r="Z956" s="2757">
        <f>R956+T956+V956+X956</f>
        <v>17150000</v>
      </c>
      <c r="AA956" s="1059">
        <f t="shared" si="282"/>
        <v>2</v>
      </c>
      <c r="AB956" s="2757">
        <f>N956+Z956</f>
        <v>76457265</v>
      </c>
      <c r="AC956" s="1065">
        <f t="shared" si="283"/>
        <v>10</v>
      </c>
      <c r="AD956" s="2776">
        <f>(AB956/L956)*100</f>
        <v>41.22574409576189</v>
      </c>
      <c r="AE956" s="1742"/>
    </row>
    <row r="957" spans="1:31" ht="47.25" customHeight="1">
      <c r="A957" s="2731"/>
      <c r="B957" s="2731"/>
      <c r="C957" s="2733"/>
      <c r="D957" s="2733"/>
      <c r="E957" s="2733"/>
      <c r="F957" s="2733"/>
      <c r="G957" s="2733"/>
      <c r="H957" s="2733"/>
      <c r="I957" s="2775"/>
      <c r="J957" s="738" t="s">
        <v>1219</v>
      </c>
      <c r="K957" s="1059">
        <f>142</f>
        <v>142</v>
      </c>
      <c r="L957" s="2729"/>
      <c r="M957" s="1059">
        <v>78</v>
      </c>
      <c r="N957" s="2729"/>
      <c r="O957" s="1059">
        <v>78</v>
      </c>
      <c r="P957" s="2729"/>
      <c r="Q957" s="1061">
        <v>40</v>
      </c>
      <c r="R957" s="2729"/>
      <c r="S957" s="1059">
        <v>0</v>
      </c>
      <c r="T957" s="2765"/>
      <c r="U957" s="1059">
        <v>0</v>
      </c>
      <c r="V957" s="2761"/>
      <c r="W957" s="1059">
        <v>0</v>
      </c>
      <c r="X957" s="2765"/>
      <c r="Y957" s="1059">
        <f>Q957+S957+U957+W957</f>
        <v>40</v>
      </c>
      <c r="Z957" s="2758"/>
      <c r="AA957" s="1059">
        <f t="shared" si="282"/>
        <v>118</v>
      </c>
      <c r="AB957" s="2758"/>
      <c r="AC957" s="1065">
        <f t="shared" si="283"/>
        <v>83.098591549295776</v>
      </c>
      <c r="AD957" s="2778"/>
      <c r="AE957" s="2557"/>
    </row>
    <row r="958" spans="1:31" ht="49.5">
      <c r="A958" s="2730"/>
      <c r="B958" s="2730"/>
      <c r="C958" s="2732">
        <v>1</v>
      </c>
      <c r="D958" s="2732" t="s">
        <v>28</v>
      </c>
      <c r="E958" s="2732" t="s">
        <v>29</v>
      </c>
      <c r="F958" s="2732" t="s">
        <v>25</v>
      </c>
      <c r="G958" s="2732">
        <v>24</v>
      </c>
      <c r="H958" s="2732" t="s">
        <v>30</v>
      </c>
      <c r="I958" s="2774" t="s">
        <v>1220</v>
      </c>
      <c r="J958" s="738" t="s">
        <v>1221</v>
      </c>
      <c r="K958" s="1059">
        <v>3</v>
      </c>
      <c r="L958" s="2727">
        <f>2*P958</f>
        <v>197735600</v>
      </c>
      <c r="M958" s="1059">
        <v>0</v>
      </c>
      <c r="N958" s="2727">
        <v>0</v>
      </c>
      <c r="O958" s="1059">
        <v>1</v>
      </c>
      <c r="P958" s="2727">
        <v>98867800</v>
      </c>
      <c r="Q958" s="1061">
        <v>0</v>
      </c>
      <c r="R958" s="2727">
        <v>1097700</v>
      </c>
      <c r="S958" s="1059">
        <v>0</v>
      </c>
      <c r="T958" s="2764">
        <v>18727000</v>
      </c>
      <c r="U958" s="1059">
        <v>0</v>
      </c>
      <c r="V958" s="2760">
        <v>0</v>
      </c>
      <c r="W958" s="1059">
        <v>0</v>
      </c>
      <c r="X958" s="2764">
        <v>0</v>
      </c>
      <c r="Y958" s="1059">
        <v>0</v>
      </c>
      <c r="Z958" s="2757">
        <f>R958+T958+V958+X958</f>
        <v>19824700</v>
      </c>
      <c r="AA958" s="1059">
        <f t="shared" si="282"/>
        <v>0</v>
      </c>
      <c r="AB958" s="2757">
        <f>N958+Z958</f>
        <v>19824700</v>
      </c>
      <c r="AC958" s="1065">
        <f t="shared" si="283"/>
        <v>0</v>
      </c>
      <c r="AD958" s="2776">
        <f>(AB958/L958)*100</f>
        <v>10.025862818834847</v>
      </c>
      <c r="AE958" s="2557"/>
    </row>
    <row r="959" spans="1:31" ht="33">
      <c r="A959" s="2731"/>
      <c r="B959" s="2731"/>
      <c r="C959" s="2733"/>
      <c r="D959" s="2733"/>
      <c r="E959" s="2733"/>
      <c r="F959" s="2733"/>
      <c r="G959" s="2733"/>
      <c r="H959" s="2733"/>
      <c r="I959" s="2775"/>
      <c r="J959" s="738" t="s">
        <v>1222</v>
      </c>
      <c r="K959" s="1059">
        <v>3</v>
      </c>
      <c r="L959" s="2729"/>
      <c r="M959" s="1059">
        <v>0</v>
      </c>
      <c r="N959" s="2729"/>
      <c r="O959" s="1059">
        <v>78</v>
      </c>
      <c r="P959" s="2729"/>
      <c r="Q959" s="1061">
        <v>1</v>
      </c>
      <c r="R959" s="2729"/>
      <c r="S959" s="1059">
        <v>0</v>
      </c>
      <c r="T959" s="2765"/>
      <c r="U959" s="1059">
        <v>0</v>
      </c>
      <c r="V959" s="2761"/>
      <c r="W959" s="1059">
        <v>0</v>
      </c>
      <c r="X959" s="2765"/>
      <c r="Y959" s="1059">
        <f>Q959+S959+U959+W959</f>
        <v>1</v>
      </c>
      <c r="Z959" s="2758"/>
      <c r="AA959" s="1059">
        <f t="shared" si="282"/>
        <v>1</v>
      </c>
      <c r="AB959" s="2758"/>
      <c r="AC959" s="1065">
        <f t="shared" si="283"/>
        <v>33.333333333333329</v>
      </c>
      <c r="AD959" s="2778"/>
      <c r="AE959" s="2557"/>
    </row>
    <row r="960" spans="1:31" ht="33">
      <c r="A960" s="2730"/>
      <c r="B960" s="2730"/>
      <c r="C960" s="2732">
        <v>1</v>
      </c>
      <c r="D960" s="2732" t="s">
        <v>28</v>
      </c>
      <c r="E960" s="2732" t="s">
        <v>29</v>
      </c>
      <c r="F960" s="2732" t="s">
        <v>25</v>
      </c>
      <c r="G960" s="2732">
        <v>24</v>
      </c>
      <c r="H960" s="2732" t="s">
        <v>30</v>
      </c>
      <c r="I960" s="2774" t="s">
        <v>1223</v>
      </c>
      <c r="J960" s="738" t="s">
        <v>1224</v>
      </c>
      <c r="K960" s="1059">
        <v>3</v>
      </c>
      <c r="L960" s="2727">
        <f>2*P960</f>
        <v>287060000</v>
      </c>
      <c r="M960" s="1059">
        <v>0</v>
      </c>
      <c r="N960" s="2727">
        <v>0</v>
      </c>
      <c r="O960" s="1059">
        <v>1</v>
      </c>
      <c r="P960" s="2727">
        <v>143530000</v>
      </c>
      <c r="Q960" s="1061">
        <v>0</v>
      </c>
      <c r="R960" s="2727">
        <v>775000</v>
      </c>
      <c r="S960" s="1059">
        <v>0</v>
      </c>
      <c r="T960" s="2730">
        <v>0</v>
      </c>
      <c r="U960" s="1059">
        <v>0</v>
      </c>
      <c r="V960" s="2760">
        <v>0</v>
      </c>
      <c r="W960" s="1059">
        <v>0</v>
      </c>
      <c r="X960" s="2764">
        <v>0</v>
      </c>
      <c r="Y960" s="1059">
        <v>0</v>
      </c>
      <c r="Z960" s="2757">
        <f>R960+T960+V960+X960</f>
        <v>775000</v>
      </c>
      <c r="AA960" s="1059">
        <f t="shared" si="282"/>
        <v>0</v>
      </c>
      <c r="AB960" s="2757">
        <f>N960+Z960</f>
        <v>775000</v>
      </c>
      <c r="AC960" s="1065">
        <f t="shared" si="283"/>
        <v>0</v>
      </c>
      <c r="AD960" s="2776">
        <f>(AB960/L960)*100</f>
        <v>0.26997840172786175</v>
      </c>
      <c r="AE960" s="1742"/>
    </row>
    <row r="961" spans="1:70" ht="33">
      <c r="A961" s="2731"/>
      <c r="B961" s="2731"/>
      <c r="C961" s="2733"/>
      <c r="D961" s="2733"/>
      <c r="E961" s="2733"/>
      <c r="F961" s="2733"/>
      <c r="G961" s="2733"/>
      <c r="H961" s="2733"/>
      <c r="I961" s="2775"/>
      <c r="J961" s="738" t="s">
        <v>1225</v>
      </c>
      <c r="K961" s="1059">
        <v>3</v>
      </c>
      <c r="L961" s="2729"/>
      <c r="M961" s="1059">
        <v>0</v>
      </c>
      <c r="N961" s="2729"/>
      <c r="O961" s="1059">
        <v>1</v>
      </c>
      <c r="P961" s="2729"/>
      <c r="Q961" s="1061">
        <v>0</v>
      </c>
      <c r="R961" s="2729"/>
      <c r="S961" s="1059">
        <v>0</v>
      </c>
      <c r="T961" s="2731"/>
      <c r="U961" s="1059">
        <v>0</v>
      </c>
      <c r="V961" s="2761"/>
      <c r="W961" s="1059">
        <v>0</v>
      </c>
      <c r="X961" s="2765"/>
      <c r="Y961" s="1059">
        <f>Q961+S961+U961+W961</f>
        <v>0</v>
      </c>
      <c r="Z961" s="2758"/>
      <c r="AA961" s="1059">
        <f t="shared" si="282"/>
        <v>0</v>
      </c>
      <c r="AB961" s="2758"/>
      <c r="AC961" s="1065">
        <f t="shared" si="283"/>
        <v>0</v>
      </c>
      <c r="AD961" s="2778"/>
      <c r="AE961" s="2557"/>
    </row>
    <row r="962" spans="1:70">
      <c r="A962" s="2730"/>
      <c r="B962" s="2730"/>
      <c r="C962" s="2732">
        <v>1</v>
      </c>
      <c r="D962" s="2732" t="s">
        <v>28</v>
      </c>
      <c r="E962" s="2732" t="s">
        <v>29</v>
      </c>
      <c r="F962" s="2732" t="s">
        <v>25</v>
      </c>
      <c r="G962" s="2732">
        <v>24</v>
      </c>
      <c r="H962" s="2732" t="s">
        <v>30</v>
      </c>
      <c r="I962" s="2774" t="s">
        <v>1226</v>
      </c>
      <c r="J962" s="738" t="s">
        <v>1227</v>
      </c>
      <c r="K962" s="1059">
        <v>74</v>
      </c>
      <c r="L962" s="2727">
        <f>2*P962</f>
        <v>245878000</v>
      </c>
      <c r="M962" s="1059">
        <v>0</v>
      </c>
      <c r="N962" s="2727">
        <v>0</v>
      </c>
      <c r="O962" s="1059">
        <v>37</v>
      </c>
      <c r="P962" s="2727">
        <v>122939000</v>
      </c>
      <c r="Q962" s="1061">
        <v>1</v>
      </c>
      <c r="R962" s="2727">
        <v>2665000</v>
      </c>
      <c r="S962" s="1059">
        <v>0</v>
      </c>
      <c r="T962" s="2764">
        <v>7969750</v>
      </c>
      <c r="U962" s="1059">
        <v>0</v>
      </c>
      <c r="V962" s="2760">
        <v>0</v>
      </c>
      <c r="W962" s="1059">
        <v>0</v>
      </c>
      <c r="X962" s="2764">
        <v>0</v>
      </c>
      <c r="Y962" s="1059">
        <v>0</v>
      </c>
      <c r="Z962" s="2757">
        <f>R962+T962+V962+X962</f>
        <v>10634750</v>
      </c>
      <c r="AA962" s="1059">
        <f t="shared" si="282"/>
        <v>0</v>
      </c>
      <c r="AB962" s="2757">
        <f>N962+Z962</f>
        <v>10634750</v>
      </c>
      <c r="AC962" s="1065">
        <f t="shared" si="283"/>
        <v>0</v>
      </c>
      <c r="AD962" s="2776">
        <f>(AB962/L962)*100</f>
        <v>4.3252141305850866</v>
      </c>
      <c r="AE962" s="1742"/>
    </row>
    <row r="963" spans="1:70" ht="33">
      <c r="A963" s="2731"/>
      <c r="B963" s="2731"/>
      <c r="C963" s="2733"/>
      <c r="D963" s="2733"/>
      <c r="E963" s="2733"/>
      <c r="F963" s="2733"/>
      <c r="G963" s="2733"/>
      <c r="H963" s="2733"/>
      <c r="I963" s="2775"/>
      <c r="J963" s="738" t="s">
        <v>1228</v>
      </c>
      <c r="K963" s="1059">
        <v>3</v>
      </c>
      <c r="L963" s="2729"/>
      <c r="M963" s="1059">
        <v>0</v>
      </c>
      <c r="N963" s="2729"/>
      <c r="O963" s="1059">
        <v>1</v>
      </c>
      <c r="P963" s="2729"/>
      <c r="Q963" s="1061">
        <v>0</v>
      </c>
      <c r="R963" s="2729"/>
      <c r="S963" s="1059">
        <v>0</v>
      </c>
      <c r="T963" s="2765"/>
      <c r="U963" s="1059">
        <v>0</v>
      </c>
      <c r="V963" s="2761"/>
      <c r="W963" s="1059">
        <v>0</v>
      </c>
      <c r="X963" s="2765"/>
      <c r="Y963" s="1059">
        <f t="shared" ref="Y963:Y968" si="284">Q963+S963+U963+W963</f>
        <v>0</v>
      </c>
      <c r="Z963" s="2758"/>
      <c r="AA963" s="1059">
        <f t="shared" si="282"/>
        <v>0</v>
      </c>
      <c r="AB963" s="2758"/>
      <c r="AC963" s="1065">
        <f t="shared" si="283"/>
        <v>0</v>
      </c>
      <c r="AD963" s="2778"/>
      <c r="AE963" s="741"/>
    </row>
    <row r="964" spans="1:70" ht="82.5">
      <c r="A964" s="1050">
        <v>8</v>
      </c>
      <c r="B964" s="1050"/>
      <c r="C964" s="1075">
        <v>1</v>
      </c>
      <c r="D964" s="1075" t="s">
        <v>28</v>
      </c>
      <c r="E964" s="1075" t="s">
        <v>29</v>
      </c>
      <c r="F964" s="1075" t="s">
        <v>25</v>
      </c>
      <c r="G964" s="1075">
        <v>22</v>
      </c>
      <c r="H964" s="1075"/>
      <c r="I964" s="737" t="s">
        <v>1229</v>
      </c>
      <c r="J964" s="737" t="s">
        <v>1230</v>
      </c>
      <c r="K964" s="1055">
        <v>40</v>
      </c>
      <c r="L964" s="1053">
        <f>SUM(L967+L965)</f>
        <v>487500000</v>
      </c>
      <c r="M964" s="1055">
        <v>10</v>
      </c>
      <c r="N964" s="1053">
        <f>SUM(N967+N965)</f>
        <v>120273000</v>
      </c>
      <c r="O964" s="1055">
        <v>5</v>
      </c>
      <c r="P964" s="1053">
        <f>SUM(P965:P968)</f>
        <v>162500000</v>
      </c>
      <c r="Q964" s="1076">
        <f>SUM(Q968)</f>
        <v>0</v>
      </c>
      <c r="R964" s="1053">
        <f>SUM(R967)</f>
        <v>8375000</v>
      </c>
      <c r="S964" s="1055">
        <f>SUM(S967)</f>
        <v>1</v>
      </c>
      <c r="T964" s="1077">
        <f>SUM(T965:T968)</f>
        <v>49657300</v>
      </c>
      <c r="U964" s="1055"/>
      <c r="V964" s="1077">
        <f>SUM(V967)</f>
        <v>0</v>
      </c>
      <c r="W964" s="1055"/>
      <c r="X964" s="1077">
        <f>SUM(X967)</f>
        <v>0</v>
      </c>
      <c r="Y964" s="1055">
        <f t="shared" si="284"/>
        <v>1</v>
      </c>
      <c r="Z964" s="1078">
        <f>R964+T964+V964+X964</f>
        <v>58032300</v>
      </c>
      <c r="AA964" s="1055">
        <f t="shared" si="282"/>
        <v>11</v>
      </c>
      <c r="AB964" s="1078">
        <f>N964+Z964</f>
        <v>178305300</v>
      </c>
      <c r="AC964" s="1057">
        <f t="shared" si="283"/>
        <v>27.500000000000004</v>
      </c>
      <c r="AD964" s="1057">
        <f>(AB964/L964)*100</f>
        <v>36.575446153846151</v>
      </c>
      <c r="AE964" s="369" t="s">
        <v>117</v>
      </c>
    </row>
    <row r="965" spans="1:70">
      <c r="A965" s="2730"/>
      <c r="B965" s="2730"/>
      <c r="C965" s="2732">
        <v>1</v>
      </c>
      <c r="D965" s="2732" t="s">
        <v>28</v>
      </c>
      <c r="E965" s="2732" t="s">
        <v>29</v>
      </c>
      <c r="F965" s="2732" t="s">
        <v>25</v>
      </c>
      <c r="G965" s="2732">
        <v>22</v>
      </c>
      <c r="H965" s="2732" t="s">
        <v>28</v>
      </c>
      <c r="I965" s="2888" t="s">
        <v>1231</v>
      </c>
      <c r="J965" s="738" t="s">
        <v>1232</v>
      </c>
      <c r="K965" s="1059">
        <v>3</v>
      </c>
      <c r="L965" s="2727">
        <f>3*P965</f>
        <v>210825000</v>
      </c>
      <c r="M965" s="1059">
        <v>0</v>
      </c>
      <c r="N965" s="2727">
        <v>0</v>
      </c>
      <c r="O965" s="1059">
        <v>1</v>
      </c>
      <c r="P965" s="2727">
        <v>70275000</v>
      </c>
      <c r="Q965" s="1061">
        <v>1</v>
      </c>
      <c r="R965" s="2727">
        <v>10680000</v>
      </c>
      <c r="S965" s="1059">
        <v>0</v>
      </c>
      <c r="T965" s="1060">
        <v>34869800</v>
      </c>
      <c r="U965" s="1059">
        <v>0</v>
      </c>
      <c r="V965" s="1067">
        <v>0</v>
      </c>
      <c r="W965" s="1059">
        <v>0</v>
      </c>
      <c r="X965" s="1073">
        <v>0</v>
      </c>
      <c r="Y965" s="1059">
        <f t="shared" si="284"/>
        <v>1</v>
      </c>
      <c r="Z965" s="2757">
        <f>R965+T965+V965+X965</f>
        <v>45549800</v>
      </c>
      <c r="AA965" s="1059">
        <f t="shared" si="282"/>
        <v>1</v>
      </c>
      <c r="AB965" s="2757">
        <f>N965+Z965</f>
        <v>45549800</v>
      </c>
      <c r="AC965" s="1065">
        <f t="shared" si="283"/>
        <v>33.333333333333329</v>
      </c>
      <c r="AD965" s="2776">
        <f>(AB965/L965)*100</f>
        <v>21.6055021937626</v>
      </c>
      <c r="AE965" s="739"/>
    </row>
    <row r="966" spans="1:70">
      <c r="A966" s="2731"/>
      <c r="B966" s="2731"/>
      <c r="C966" s="2733"/>
      <c r="D966" s="2733"/>
      <c r="E966" s="2733"/>
      <c r="F966" s="2733"/>
      <c r="G966" s="2733"/>
      <c r="H966" s="2733"/>
      <c r="I966" s="2889"/>
      <c r="J966" s="738" t="s">
        <v>1233</v>
      </c>
      <c r="K966" s="1059">
        <v>6</v>
      </c>
      <c r="L966" s="2729"/>
      <c r="M966" s="1059">
        <v>0</v>
      </c>
      <c r="N966" s="2729"/>
      <c r="O966" s="1059">
        <v>2</v>
      </c>
      <c r="P966" s="2729"/>
      <c r="Q966" s="1061">
        <v>0</v>
      </c>
      <c r="R966" s="2729"/>
      <c r="S966" s="1059">
        <v>1</v>
      </c>
      <c r="T966" s="1059"/>
      <c r="U966" s="1059">
        <v>0</v>
      </c>
      <c r="V966" s="1093"/>
      <c r="W966" s="1059">
        <v>0</v>
      </c>
      <c r="X966" s="1059"/>
      <c r="Y966" s="1059">
        <f t="shared" si="284"/>
        <v>1</v>
      </c>
      <c r="Z966" s="2758"/>
      <c r="AA966" s="1059">
        <f t="shared" si="282"/>
        <v>1</v>
      </c>
      <c r="AB966" s="2758"/>
      <c r="AC966" s="1065">
        <f t="shared" si="283"/>
        <v>16.666666666666664</v>
      </c>
      <c r="AD966" s="2778"/>
      <c r="AE966" s="2557"/>
    </row>
    <row r="967" spans="1:70" ht="33">
      <c r="A967" s="2730"/>
      <c r="B967" s="2730"/>
      <c r="C967" s="2732">
        <v>1</v>
      </c>
      <c r="D967" s="2732" t="s">
        <v>28</v>
      </c>
      <c r="E967" s="2732" t="s">
        <v>29</v>
      </c>
      <c r="F967" s="2732" t="s">
        <v>25</v>
      </c>
      <c r="G967" s="2732">
        <v>22</v>
      </c>
      <c r="H967" s="2732" t="s">
        <v>39</v>
      </c>
      <c r="I967" s="2888" t="s">
        <v>1234</v>
      </c>
      <c r="J967" s="738" t="s">
        <v>1235</v>
      </c>
      <c r="K967" s="1059">
        <v>5</v>
      </c>
      <c r="L967" s="2727">
        <f>3*P967</f>
        <v>276675000</v>
      </c>
      <c r="M967" s="1059">
        <v>3</v>
      </c>
      <c r="N967" s="2727">
        <v>120273000</v>
      </c>
      <c r="O967" s="1059">
        <v>3</v>
      </c>
      <c r="P967" s="2727">
        <v>92225000</v>
      </c>
      <c r="Q967" s="1061">
        <v>1</v>
      </c>
      <c r="R967" s="2727">
        <v>8375000</v>
      </c>
      <c r="S967" s="1059">
        <v>1</v>
      </c>
      <c r="T967" s="1060">
        <v>14787500</v>
      </c>
      <c r="U967" s="1059">
        <v>0</v>
      </c>
      <c r="V967" s="1067">
        <v>0</v>
      </c>
      <c r="W967" s="1059">
        <v>0</v>
      </c>
      <c r="X967" s="1073">
        <v>0</v>
      </c>
      <c r="Y967" s="1059">
        <f t="shared" si="284"/>
        <v>2</v>
      </c>
      <c r="Z967" s="2757">
        <f>R967+T967+V967+X967</f>
        <v>23162500</v>
      </c>
      <c r="AA967" s="1059">
        <f t="shared" si="282"/>
        <v>5</v>
      </c>
      <c r="AB967" s="2757">
        <f>N967+Z967</f>
        <v>143435500</v>
      </c>
      <c r="AC967" s="1065">
        <f t="shared" si="283"/>
        <v>100</v>
      </c>
      <c r="AD967" s="2776">
        <f>(AB967/L967)*100</f>
        <v>51.842595102557155</v>
      </c>
      <c r="AE967" s="2557"/>
    </row>
    <row r="968" spans="1:70" ht="33">
      <c r="A968" s="2731"/>
      <c r="B968" s="2731"/>
      <c r="C968" s="2733"/>
      <c r="D968" s="2733"/>
      <c r="E968" s="2733"/>
      <c r="F968" s="2733"/>
      <c r="G968" s="2733"/>
      <c r="H968" s="2733"/>
      <c r="I968" s="2889"/>
      <c r="J968" s="738" t="s">
        <v>1236</v>
      </c>
      <c r="K968" s="1059">
        <v>5</v>
      </c>
      <c r="L968" s="2729"/>
      <c r="M968" s="1059">
        <v>1</v>
      </c>
      <c r="N968" s="2729"/>
      <c r="O968" s="1059">
        <v>4</v>
      </c>
      <c r="P968" s="2729"/>
      <c r="Q968" s="1061">
        <v>0</v>
      </c>
      <c r="R968" s="2729"/>
      <c r="S968" s="1059">
        <v>1</v>
      </c>
      <c r="T968" s="1059"/>
      <c r="U968" s="1059">
        <v>0</v>
      </c>
      <c r="V968" s="1093"/>
      <c r="W968" s="1059">
        <v>0</v>
      </c>
      <c r="X968" s="1059"/>
      <c r="Y968" s="1059">
        <f t="shared" si="284"/>
        <v>1</v>
      </c>
      <c r="Z968" s="2758"/>
      <c r="AA968" s="1059">
        <f t="shared" si="282"/>
        <v>2</v>
      </c>
      <c r="AB968" s="2758"/>
      <c r="AC968" s="1065">
        <f t="shared" si="283"/>
        <v>40</v>
      </c>
      <c r="AD968" s="2778"/>
      <c r="AE968" s="741"/>
    </row>
    <row r="969" spans="1:70" s="1235" customFormat="1" ht="21.75" customHeight="1">
      <c r="A969" s="2914" t="s">
        <v>63</v>
      </c>
      <c r="B969" s="2914"/>
      <c r="C969" s="2915"/>
      <c r="D969" s="2915"/>
      <c r="E969" s="2915"/>
      <c r="F969" s="2915"/>
      <c r="G969" s="2915"/>
      <c r="H969" s="2915"/>
      <c r="I969" s="2915"/>
      <c r="J969" s="2915"/>
      <c r="K969" s="2915"/>
      <c r="L969" s="2915"/>
      <c r="M969" s="2915"/>
      <c r="N969" s="2915"/>
      <c r="O969" s="2915"/>
      <c r="P969" s="2915"/>
      <c r="Q969" s="2915"/>
      <c r="R969" s="2915"/>
      <c r="S969" s="2915"/>
      <c r="T969" s="2915"/>
      <c r="U969" s="2915"/>
      <c r="V969" s="2915"/>
      <c r="W969" s="2915"/>
      <c r="X969" s="2915"/>
      <c r="Y969" s="2915"/>
      <c r="Z969" s="2915"/>
      <c r="AA969" s="2915"/>
      <c r="AB969" s="2915"/>
      <c r="AC969" s="1743">
        <f>(AC897+AC918+AC923+AC927+AC931+AC933+AC945+AC964)/8</f>
        <v>40.140944994354406</v>
      </c>
      <c r="AD969" s="1743">
        <f>(AD897+AD918+AD923+AD927+AD931+AD933+AD945+AD964)/8</f>
        <v>48.439466603391573</v>
      </c>
      <c r="AE969" s="481"/>
      <c r="AF969" s="861"/>
      <c r="AG969" s="861"/>
      <c r="AH969" s="861"/>
      <c r="AI969" s="861"/>
      <c r="AJ969" s="861"/>
      <c r="AK969" s="861"/>
      <c r="AL969" s="861"/>
      <c r="AM969" s="861"/>
      <c r="AN969" s="861"/>
      <c r="AO969" s="861"/>
      <c r="AP969" s="861"/>
      <c r="AQ969" s="861"/>
      <c r="AR969" s="861"/>
      <c r="AS969" s="861"/>
      <c r="AT969" s="861"/>
      <c r="AU969" s="861"/>
      <c r="AV969" s="861"/>
      <c r="AW969" s="861"/>
      <c r="AX969" s="861"/>
      <c r="AY969" s="861"/>
      <c r="AZ969" s="861"/>
      <c r="BA969" s="861"/>
      <c r="BB969" s="861"/>
      <c r="BC969" s="862"/>
      <c r="BD969" s="862"/>
      <c r="BE969" s="862"/>
      <c r="BF969" s="862"/>
      <c r="BG969" s="862"/>
      <c r="BH969" s="862"/>
      <c r="BI969" s="862"/>
      <c r="BJ969" s="862"/>
      <c r="BK969" s="862"/>
      <c r="BL969" s="862"/>
      <c r="BM969" s="862"/>
      <c r="BN969" s="862"/>
      <c r="BO969" s="862"/>
      <c r="BP969" s="862"/>
      <c r="BQ969" s="862"/>
      <c r="BR969" s="862"/>
    </row>
    <row r="970" spans="1:70" s="1235" customFormat="1" ht="21" customHeight="1">
      <c r="A970" s="2914" t="s">
        <v>64</v>
      </c>
      <c r="B970" s="2914"/>
      <c r="C970" s="2915"/>
      <c r="D970" s="2915"/>
      <c r="E970" s="2915"/>
      <c r="F970" s="2915"/>
      <c r="G970" s="2915"/>
      <c r="H970" s="2915"/>
      <c r="I970" s="2915"/>
      <c r="J970" s="2915"/>
      <c r="K970" s="2915"/>
      <c r="L970" s="2915"/>
      <c r="M970" s="2915"/>
      <c r="N970" s="2915"/>
      <c r="O970" s="2915"/>
      <c r="P970" s="2915"/>
      <c r="Q970" s="2915"/>
      <c r="R970" s="2915"/>
      <c r="S970" s="2915"/>
      <c r="T970" s="2915"/>
      <c r="U970" s="2915"/>
      <c r="V970" s="2915"/>
      <c r="W970" s="2915"/>
      <c r="X970" s="2915"/>
      <c r="Y970" s="2915"/>
      <c r="Z970" s="2915"/>
      <c r="AA970" s="2915"/>
      <c r="AB970" s="2915"/>
      <c r="AC970" s="604" t="str">
        <f>IF(AC969&gt;=91,"ST",IF(AC969&gt;=76,"T",IF(AC969&gt;=66,"S",IF(AC969&gt;=51,"R","SR"))))</f>
        <v>SR</v>
      </c>
      <c r="AD970" s="604" t="str">
        <f>IF(AD969&gt;=91,"ST",IF(AD969&gt;=76,"T",IF(AD969&gt;=66,"S",IF(AD969&gt;=51,"R","SR"))))</f>
        <v>SR</v>
      </c>
      <c r="AE970" s="603"/>
      <c r="AF970" s="861"/>
      <c r="AG970" s="861"/>
      <c r="AH970" s="861"/>
      <c r="AI970" s="861"/>
      <c r="AJ970" s="861"/>
      <c r="AK970" s="861"/>
      <c r="AL970" s="861"/>
      <c r="AM970" s="861"/>
      <c r="AN970" s="861"/>
      <c r="AO970" s="861"/>
      <c r="AP970" s="861"/>
      <c r="AQ970" s="861"/>
      <c r="AR970" s="861"/>
      <c r="AS970" s="861"/>
      <c r="AT970" s="861"/>
      <c r="AU970" s="861"/>
      <c r="AV970" s="861"/>
      <c r="AW970" s="861"/>
      <c r="AX970" s="861"/>
      <c r="AY970" s="861"/>
      <c r="AZ970" s="861"/>
      <c r="BA970" s="861"/>
      <c r="BB970" s="861"/>
      <c r="BC970" s="862"/>
      <c r="BD970" s="862"/>
      <c r="BE970" s="862"/>
      <c r="BF970" s="862"/>
      <c r="BG970" s="862"/>
      <c r="BH970" s="862"/>
      <c r="BI970" s="862"/>
      <c r="BJ970" s="862"/>
      <c r="BK970" s="862"/>
      <c r="BL970" s="862"/>
      <c r="BM970" s="862"/>
      <c r="BN970" s="862"/>
      <c r="BO970" s="862"/>
      <c r="BP970" s="862"/>
      <c r="BQ970" s="862"/>
      <c r="BR970" s="862"/>
    </row>
    <row r="971" spans="1:70" s="1235" customFormat="1" ht="39.75" customHeight="1">
      <c r="A971" s="1729" t="s">
        <v>119</v>
      </c>
      <c r="B971" s="1730"/>
      <c r="C971" s="1729"/>
      <c r="D971" s="1729"/>
      <c r="E971" s="1729"/>
      <c r="F971" s="1729"/>
      <c r="G971" s="1729"/>
      <c r="H971" s="1729"/>
      <c r="I971" s="2912" t="s">
        <v>1237</v>
      </c>
      <c r="J971" s="2913"/>
      <c r="K971" s="1731"/>
      <c r="L971" s="1732">
        <f>SUM(L972+L983+L991+L998+L1000+L1002)</f>
        <v>39328025449</v>
      </c>
      <c r="M971" s="1731"/>
      <c r="N971" s="1733">
        <f>SUM(N972+N983+N991+N998+N1000+N1002)</f>
        <v>6749609564</v>
      </c>
      <c r="O971" s="1731"/>
      <c r="P971" s="1733">
        <f>SUM(P972+P983+P991+P998+P1000+P1002)</f>
        <v>7272406545</v>
      </c>
      <c r="Q971" s="1731"/>
      <c r="R971" s="1734">
        <f>R972+R983+R991+R998</f>
        <v>148753150</v>
      </c>
      <c r="S971" s="1730"/>
      <c r="T971" s="1734">
        <f>T972+T983+T991+T998+T1000+T1002</f>
        <v>920390345</v>
      </c>
      <c r="U971" s="1730"/>
      <c r="V971" s="1734">
        <f>SUM(V972+V983+V991+V998+V1000+V1002)</f>
        <v>0</v>
      </c>
      <c r="W971" s="1730"/>
      <c r="X971" s="1734">
        <f>SUM(X972+X983+X991+X998+X1000+X1002)</f>
        <v>0</v>
      </c>
      <c r="Y971" s="1731"/>
      <c r="Z971" s="1734">
        <f t="shared" ref="Z971:Z976" si="285">R971+T971+V971+X971</f>
        <v>1069143495</v>
      </c>
      <c r="AA971" s="1731"/>
      <c r="AB971" s="1734">
        <f>AB972+AB983+AB991</f>
        <v>7414579959</v>
      </c>
      <c r="AC971" s="1731"/>
      <c r="AD971" s="1731"/>
      <c r="AE971" s="478"/>
      <c r="AF971" s="861"/>
      <c r="AG971" s="861"/>
      <c r="AH971" s="861"/>
      <c r="AI971" s="861"/>
      <c r="AJ971" s="861"/>
      <c r="AK971" s="861"/>
      <c r="AL971" s="861"/>
      <c r="AM971" s="861"/>
      <c r="AN971" s="861"/>
      <c r="AO971" s="861"/>
      <c r="AP971" s="861"/>
      <c r="AQ971" s="861"/>
      <c r="AR971" s="861"/>
      <c r="AS971" s="861"/>
      <c r="AT971" s="861"/>
      <c r="AU971" s="861"/>
      <c r="AV971" s="861"/>
      <c r="AW971" s="861"/>
      <c r="AX971" s="861"/>
      <c r="AY971" s="861"/>
      <c r="AZ971" s="861"/>
      <c r="BA971" s="861"/>
      <c r="BB971" s="861"/>
      <c r="BC971" s="862"/>
      <c r="BD971" s="862"/>
      <c r="BE971" s="862"/>
      <c r="BF971" s="862"/>
      <c r="BG971" s="862"/>
      <c r="BH971" s="862"/>
      <c r="BI971" s="862"/>
      <c r="BJ971" s="862"/>
      <c r="BK971" s="862"/>
      <c r="BL971" s="862"/>
      <c r="BM971" s="862"/>
      <c r="BN971" s="862"/>
      <c r="BO971" s="862"/>
      <c r="BP971" s="862"/>
      <c r="BQ971" s="862"/>
      <c r="BR971" s="862"/>
    </row>
    <row r="972" spans="1:70" s="22" customFormat="1" ht="57" customHeight="1">
      <c r="A972" s="1050">
        <v>1</v>
      </c>
      <c r="B972" s="737"/>
      <c r="C972" s="1075">
        <v>1</v>
      </c>
      <c r="D972" s="1075" t="s">
        <v>28</v>
      </c>
      <c r="E972" s="1075" t="s">
        <v>30</v>
      </c>
      <c r="F972" s="1075" t="s">
        <v>25</v>
      </c>
      <c r="G972" s="1075" t="s">
        <v>49</v>
      </c>
      <c r="H972" s="1075"/>
      <c r="I972" s="737" t="s">
        <v>1238</v>
      </c>
      <c r="J972" s="737" t="s">
        <v>1239</v>
      </c>
      <c r="K972" s="1055">
        <v>80</v>
      </c>
      <c r="L972" s="1053">
        <f>SUM(L973+L974+L975+L976+L977+L978+L980+L981)</f>
        <v>35155903599</v>
      </c>
      <c r="M972" s="1055">
        <v>74</v>
      </c>
      <c r="N972" s="1053">
        <f>SUM(N973+N974+N975+N976+N977+N978+N980+N981)</f>
        <v>5946936291</v>
      </c>
      <c r="O972" s="1055">
        <v>2</v>
      </c>
      <c r="P972" s="1053">
        <f>SUM(P973:P982)</f>
        <v>6401221445</v>
      </c>
      <c r="Q972" s="1055">
        <v>0</v>
      </c>
      <c r="R972" s="1094">
        <f>SUM(R973:R982)</f>
        <v>18000000</v>
      </c>
      <c r="S972" s="737">
        <v>0</v>
      </c>
      <c r="T972" s="1054">
        <f>SUM(T973:T982)</f>
        <v>795492395</v>
      </c>
      <c r="U972" s="737">
        <v>0</v>
      </c>
      <c r="V972" s="1054">
        <v>0</v>
      </c>
      <c r="W972" s="737">
        <v>0</v>
      </c>
      <c r="X972" s="1054">
        <v>0</v>
      </c>
      <c r="Y972" s="1055">
        <f t="shared" ref="Y972:Y1003" si="286">Q972+S972+U972+W972</f>
        <v>0</v>
      </c>
      <c r="Z972" s="1056">
        <f t="shared" si="285"/>
        <v>813492395</v>
      </c>
      <c r="AA972" s="1055">
        <f t="shared" ref="AA972:AB976" si="287">M972+Y972</f>
        <v>74</v>
      </c>
      <c r="AB972" s="1078">
        <f t="shared" si="287"/>
        <v>6760428686</v>
      </c>
      <c r="AC972" s="1057">
        <f t="shared" ref="AC972:AD978" si="288">(AA972/K972)*100</f>
        <v>92.5</v>
      </c>
      <c r="AD972" s="1057">
        <f t="shared" si="288"/>
        <v>19.229853293238346</v>
      </c>
      <c r="AE972" s="369" t="s">
        <v>117</v>
      </c>
      <c r="AF972" s="750"/>
      <c r="AG972" s="750"/>
      <c r="AH972" s="750"/>
      <c r="AI972" s="750"/>
      <c r="AJ972" s="750"/>
      <c r="AK972" s="750"/>
      <c r="AL972" s="750"/>
      <c r="AM972" s="750"/>
      <c r="AN972" s="750"/>
      <c r="AO972" s="750"/>
      <c r="AP972" s="750"/>
      <c r="AQ972" s="750"/>
      <c r="AR972" s="750"/>
      <c r="AS972" s="750"/>
      <c r="AT972" s="750"/>
      <c r="AU972" s="750"/>
      <c r="AV972" s="750"/>
      <c r="AW972" s="750"/>
      <c r="AX972" s="750"/>
      <c r="AY972" s="750"/>
      <c r="AZ972" s="750"/>
      <c r="BA972" s="750"/>
      <c r="BB972" s="750"/>
      <c r="BC972" s="752"/>
      <c r="BD972" s="752"/>
      <c r="BE972" s="752"/>
      <c r="BF972" s="752"/>
      <c r="BG972" s="752"/>
      <c r="BH972" s="752"/>
      <c r="BI972" s="752"/>
      <c r="BJ972" s="752"/>
      <c r="BK972" s="752"/>
      <c r="BL972" s="752"/>
      <c r="BM972" s="752"/>
      <c r="BN972" s="752"/>
      <c r="BO972" s="752"/>
      <c r="BP972" s="752"/>
      <c r="BQ972" s="752"/>
      <c r="BR972" s="752"/>
    </row>
    <row r="973" spans="1:70" ht="66">
      <c r="A973" s="2538"/>
      <c r="B973" s="746"/>
      <c r="C973" s="1066">
        <v>1</v>
      </c>
      <c r="D973" s="1066" t="s">
        <v>28</v>
      </c>
      <c r="E973" s="1066" t="s">
        <v>29</v>
      </c>
      <c r="F973" s="1066" t="s">
        <v>25</v>
      </c>
      <c r="G973" s="1066" t="s">
        <v>49</v>
      </c>
      <c r="H973" s="1066" t="s">
        <v>25</v>
      </c>
      <c r="I973" s="744" t="s">
        <v>1240</v>
      </c>
      <c r="J973" s="738" t="s">
        <v>2930</v>
      </c>
      <c r="K973" s="1059">
        <v>12</v>
      </c>
      <c r="L973" s="1096">
        <f>3*N973</f>
        <v>4383000000</v>
      </c>
      <c r="M973" s="1059">
        <v>6</v>
      </c>
      <c r="N973" s="1096">
        <v>1461000000</v>
      </c>
      <c r="O973" s="1059">
        <v>2</v>
      </c>
      <c r="P973" s="1096">
        <v>1233000000</v>
      </c>
      <c r="Q973" s="1061">
        <v>1</v>
      </c>
      <c r="R973" s="1096"/>
      <c r="S973" s="738"/>
      <c r="T973" s="1096">
        <v>131499000</v>
      </c>
      <c r="U973" s="738">
        <v>0</v>
      </c>
      <c r="V973" s="1097">
        <v>0</v>
      </c>
      <c r="W973" s="738">
        <v>0</v>
      </c>
      <c r="X973" s="1097">
        <v>0</v>
      </c>
      <c r="Y973" s="1059">
        <f t="shared" si="286"/>
        <v>1</v>
      </c>
      <c r="Z973" s="1099">
        <f t="shared" si="285"/>
        <v>131499000</v>
      </c>
      <c r="AA973" s="1071">
        <f t="shared" si="287"/>
        <v>7</v>
      </c>
      <c r="AB973" s="1744">
        <f t="shared" si="287"/>
        <v>1592499000</v>
      </c>
      <c r="AC973" s="1100">
        <f t="shared" si="288"/>
        <v>58.333333333333336</v>
      </c>
      <c r="AD973" s="1072">
        <f t="shared" si="288"/>
        <v>36.333538672142367</v>
      </c>
      <c r="AE973" s="739"/>
    </row>
    <row r="974" spans="1:70" ht="66">
      <c r="A974" s="2538"/>
      <c r="B974" s="746"/>
      <c r="C974" s="1066">
        <v>1</v>
      </c>
      <c r="D974" s="1066" t="s">
        <v>28</v>
      </c>
      <c r="E974" s="1066" t="s">
        <v>29</v>
      </c>
      <c r="F974" s="1066" t="s">
        <v>25</v>
      </c>
      <c r="G974" s="1066" t="s">
        <v>49</v>
      </c>
      <c r="H974" s="1066" t="s">
        <v>28</v>
      </c>
      <c r="I974" s="744" t="s">
        <v>1242</v>
      </c>
      <c r="J974" s="738" t="s">
        <v>2931</v>
      </c>
      <c r="K974" s="1059">
        <v>6</v>
      </c>
      <c r="L974" s="1096">
        <f>6*P974</f>
        <v>210309000</v>
      </c>
      <c r="M974" s="1059">
        <v>3</v>
      </c>
      <c r="N974" s="1096">
        <v>45546291</v>
      </c>
      <c r="O974" s="1059">
        <v>1</v>
      </c>
      <c r="P974" s="1096">
        <v>35051500</v>
      </c>
      <c r="Q974" s="1061"/>
      <c r="R974" s="1063"/>
      <c r="S974" s="738">
        <v>1</v>
      </c>
      <c r="T974" s="1063">
        <v>2382000</v>
      </c>
      <c r="U974" s="738">
        <v>0</v>
      </c>
      <c r="V974" s="1067">
        <v>0</v>
      </c>
      <c r="W974" s="738">
        <v>0</v>
      </c>
      <c r="X974" s="687">
        <v>0</v>
      </c>
      <c r="Y974" s="1059">
        <f t="shared" si="286"/>
        <v>1</v>
      </c>
      <c r="Z974" s="1062">
        <f t="shared" si="285"/>
        <v>2382000</v>
      </c>
      <c r="AA974" s="1071">
        <f t="shared" si="287"/>
        <v>4</v>
      </c>
      <c r="AB974" s="1074">
        <f t="shared" si="287"/>
        <v>47928291</v>
      </c>
      <c r="AC974" s="1072">
        <f t="shared" si="288"/>
        <v>66.666666666666657</v>
      </c>
      <c r="AD974" s="1072">
        <f t="shared" si="288"/>
        <v>22.789462647818208</v>
      </c>
      <c r="AE974" s="745"/>
    </row>
    <row r="975" spans="1:70" ht="49.5">
      <c r="A975" s="2538"/>
      <c r="B975" s="746"/>
      <c r="C975" s="1058">
        <v>1</v>
      </c>
      <c r="D975" s="1058" t="s">
        <v>28</v>
      </c>
      <c r="E975" s="1058" t="s">
        <v>29</v>
      </c>
      <c r="F975" s="1058" t="s">
        <v>25</v>
      </c>
      <c r="G975" s="1058" t="s">
        <v>49</v>
      </c>
      <c r="H975" s="1058" t="s">
        <v>39</v>
      </c>
      <c r="I975" s="744" t="s">
        <v>1243</v>
      </c>
      <c r="J975" s="738" t="s">
        <v>1244</v>
      </c>
      <c r="K975" s="1059">
        <v>72</v>
      </c>
      <c r="L975" s="1060">
        <v>22201950000</v>
      </c>
      <c r="M975" s="1059">
        <v>36</v>
      </c>
      <c r="N975" s="1060">
        <v>4440390000</v>
      </c>
      <c r="O975" s="1059">
        <v>12</v>
      </c>
      <c r="P975" s="1060">
        <v>1284085932</v>
      </c>
      <c r="Q975" s="1061"/>
      <c r="R975" s="1063"/>
      <c r="S975" s="738">
        <v>2</v>
      </c>
      <c r="T975" s="1063">
        <v>315454594</v>
      </c>
      <c r="U975" s="738">
        <v>0</v>
      </c>
      <c r="V975" s="738">
        <v>0</v>
      </c>
      <c r="W975" s="738">
        <v>0</v>
      </c>
      <c r="X975" s="687">
        <v>0</v>
      </c>
      <c r="Y975" s="1059">
        <f t="shared" si="286"/>
        <v>2</v>
      </c>
      <c r="Z975" s="1095">
        <f t="shared" si="285"/>
        <v>315454594</v>
      </c>
      <c r="AA975" s="1071">
        <f t="shared" si="287"/>
        <v>38</v>
      </c>
      <c r="AB975" s="1074">
        <f t="shared" si="287"/>
        <v>4755844594</v>
      </c>
      <c r="AC975" s="1072">
        <f t="shared" si="288"/>
        <v>52.777777777777779</v>
      </c>
      <c r="AD975" s="1072">
        <f t="shared" si="288"/>
        <v>21.420841835964861</v>
      </c>
      <c r="AE975" s="745"/>
    </row>
    <row r="976" spans="1:70" ht="33" customHeight="1">
      <c r="A976" s="2542"/>
      <c r="B976" s="1097"/>
      <c r="C976" s="1085">
        <v>1</v>
      </c>
      <c r="D976" s="1085" t="s">
        <v>28</v>
      </c>
      <c r="E976" s="1085" t="s">
        <v>29</v>
      </c>
      <c r="F976" s="1085" t="s">
        <v>25</v>
      </c>
      <c r="G976" s="1085" t="s">
        <v>49</v>
      </c>
      <c r="H976" s="1085" t="s">
        <v>38</v>
      </c>
      <c r="I976" s="748" t="s">
        <v>1245</v>
      </c>
      <c r="J976" s="747" t="s">
        <v>2932</v>
      </c>
      <c r="K976" s="1059">
        <v>72</v>
      </c>
      <c r="L976" s="1096">
        <f>35472191*3</f>
        <v>106416573</v>
      </c>
      <c r="M976" s="1059">
        <v>36</v>
      </c>
      <c r="N976" s="1096">
        <v>0</v>
      </c>
      <c r="O976" s="1059">
        <v>12</v>
      </c>
      <c r="P976" s="1096">
        <v>35472191</v>
      </c>
      <c r="Q976" s="1061"/>
      <c r="R976" s="1096"/>
      <c r="S976" s="738">
        <v>2</v>
      </c>
      <c r="T976" s="1096">
        <v>15718326</v>
      </c>
      <c r="U976" s="738"/>
      <c r="V976" s="1097"/>
      <c r="W976" s="738"/>
      <c r="X976" s="1098"/>
      <c r="Y976" s="1059">
        <f t="shared" si="286"/>
        <v>2</v>
      </c>
      <c r="Z976" s="1099">
        <f t="shared" si="285"/>
        <v>15718326</v>
      </c>
      <c r="AA976" s="1071">
        <f t="shared" si="287"/>
        <v>38</v>
      </c>
      <c r="AB976" s="1744">
        <f t="shared" si="287"/>
        <v>15718326</v>
      </c>
      <c r="AC976" s="1100">
        <f t="shared" si="288"/>
        <v>52.777777777777779</v>
      </c>
      <c r="AD976" s="1100">
        <f t="shared" si="288"/>
        <v>14.770562100322476</v>
      </c>
      <c r="AE976" s="739"/>
    </row>
    <row r="977" spans="1:70" ht="32.25" customHeight="1">
      <c r="A977" s="2542"/>
      <c r="B977" s="1097"/>
      <c r="C977" s="1085">
        <v>1</v>
      </c>
      <c r="D977" s="1085" t="s">
        <v>28</v>
      </c>
      <c r="E977" s="1085" t="s">
        <v>29</v>
      </c>
      <c r="F977" s="1085" t="s">
        <v>25</v>
      </c>
      <c r="G977" s="1085" t="s">
        <v>49</v>
      </c>
      <c r="H977" s="1085" t="s">
        <v>56</v>
      </c>
      <c r="I977" s="748" t="s">
        <v>1246</v>
      </c>
      <c r="J977" s="738" t="s">
        <v>2933</v>
      </c>
      <c r="K977" s="1059">
        <v>36</v>
      </c>
      <c r="L977" s="1096">
        <f>1504664302*3</f>
        <v>4513992906</v>
      </c>
      <c r="M977" s="1059">
        <v>0</v>
      </c>
      <c r="N977" s="1096">
        <v>0</v>
      </c>
      <c r="O977" s="1059">
        <v>12</v>
      </c>
      <c r="P977" s="1096">
        <v>1504664302</v>
      </c>
      <c r="Q977" s="1061"/>
      <c r="R977" s="1096"/>
      <c r="S977" s="738">
        <v>2</v>
      </c>
      <c r="T977" s="1096">
        <v>105646370</v>
      </c>
      <c r="U977" s="738"/>
      <c r="V977" s="1097"/>
      <c r="W977" s="738"/>
      <c r="X977" s="1098"/>
      <c r="Y977" s="1059">
        <f t="shared" si="286"/>
        <v>2</v>
      </c>
      <c r="Z977" s="1099"/>
      <c r="AA977" s="1071">
        <f t="shared" ref="AA977:AA1003" si="289">M977+Y977</f>
        <v>2</v>
      </c>
      <c r="AB977" s="1744">
        <f>Z977+N977</f>
        <v>0</v>
      </c>
      <c r="AC977" s="1100">
        <f t="shared" si="288"/>
        <v>5.5555555555555554</v>
      </c>
      <c r="AD977" s="1100">
        <f t="shared" si="288"/>
        <v>0</v>
      </c>
      <c r="AE977" s="739"/>
    </row>
    <row r="978" spans="1:70" ht="29.25" customHeight="1">
      <c r="A978" s="2542"/>
      <c r="B978" s="1097"/>
      <c r="C978" s="2732">
        <v>1</v>
      </c>
      <c r="D978" s="2732" t="s">
        <v>28</v>
      </c>
      <c r="E978" s="2732" t="s">
        <v>29</v>
      </c>
      <c r="F978" s="2732" t="s">
        <v>25</v>
      </c>
      <c r="G978" s="2732" t="s">
        <v>49</v>
      </c>
      <c r="H978" s="2732" t="s">
        <v>29</v>
      </c>
      <c r="I978" s="2774" t="s">
        <v>1248</v>
      </c>
      <c r="J978" s="738" t="s">
        <v>1249</v>
      </c>
      <c r="K978" s="1059">
        <v>10</v>
      </c>
      <c r="L978" s="2727">
        <f>29797520*3</f>
        <v>89392560</v>
      </c>
      <c r="M978" s="1059">
        <v>0</v>
      </c>
      <c r="N978" s="2727"/>
      <c r="O978" s="1059">
        <v>5</v>
      </c>
      <c r="P978" s="2727">
        <v>229797520</v>
      </c>
      <c r="Q978" s="1061">
        <v>0</v>
      </c>
      <c r="R978" s="2727"/>
      <c r="S978" s="738"/>
      <c r="T978" s="2727">
        <v>842105</v>
      </c>
      <c r="U978" s="738"/>
      <c r="V978" s="2730"/>
      <c r="W978" s="738"/>
      <c r="X978" s="2764"/>
      <c r="Y978" s="1059">
        <f t="shared" si="286"/>
        <v>0</v>
      </c>
      <c r="Z978" s="2757"/>
      <c r="AA978" s="1071">
        <f t="shared" si="289"/>
        <v>0</v>
      </c>
      <c r="AB978" s="2890">
        <f>N978+Z978</f>
        <v>0</v>
      </c>
      <c r="AC978" s="2776">
        <f t="shared" si="288"/>
        <v>0</v>
      </c>
      <c r="AD978" s="2776">
        <f t="shared" si="288"/>
        <v>0</v>
      </c>
      <c r="AE978" s="739"/>
    </row>
    <row r="979" spans="1:70" ht="37.5" customHeight="1">
      <c r="A979" s="2543"/>
      <c r="B979" s="1103"/>
      <c r="C979" s="2767"/>
      <c r="D979" s="2767"/>
      <c r="E979" s="2767"/>
      <c r="F979" s="2767"/>
      <c r="G979" s="2767"/>
      <c r="H979" s="2767"/>
      <c r="I979" s="2786"/>
      <c r="J979" s="738" t="s">
        <v>1250</v>
      </c>
      <c r="K979" s="1059">
        <v>150</v>
      </c>
      <c r="L979" s="2729"/>
      <c r="M979" s="1059">
        <v>0</v>
      </c>
      <c r="N979" s="2729"/>
      <c r="O979" s="1059">
        <v>70</v>
      </c>
      <c r="P979" s="2729"/>
      <c r="Q979" s="1061">
        <v>0</v>
      </c>
      <c r="R979" s="2729"/>
      <c r="S979" s="738"/>
      <c r="T979" s="2729"/>
      <c r="U979" s="738"/>
      <c r="V979" s="2731"/>
      <c r="W979" s="738"/>
      <c r="X979" s="2765"/>
      <c r="Y979" s="1059">
        <f t="shared" si="286"/>
        <v>0</v>
      </c>
      <c r="Z979" s="2758"/>
      <c r="AA979" s="1071">
        <f t="shared" si="289"/>
        <v>0</v>
      </c>
      <c r="AB979" s="2891"/>
      <c r="AC979" s="2778"/>
      <c r="AD979" s="2778"/>
      <c r="AE979" s="741"/>
    </row>
    <row r="980" spans="1:70" ht="56.25" customHeight="1">
      <c r="A980" s="2538"/>
      <c r="B980" s="746"/>
      <c r="C980" s="1085">
        <v>1</v>
      </c>
      <c r="D980" s="1085" t="s">
        <v>28</v>
      </c>
      <c r="E980" s="1085" t="s">
        <v>29</v>
      </c>
      <c r="F980" s="1085" t="s">
        <v>25</v>
      </c>
      <c r="G980" s="1085" t="s">
        <v>49</v>
      </c>
      <c r="H980" s="1085" t="s">
        <v>30</v>
      </c>
      <c r="I980" s="748" t="s">
        <v>1251</v>
      </c>
      <c r="J980" s="738" t="s">
        <v>2934</v>
      </c>
      <c r="K980" s="1059">
        <v>36</v>
      </c>
      <c r="L980" s="1096">
        <f>229797520*3</f>
        <v>689392560</v>
      </c>
      <c r="M980" s="1059">
        <v>0</v>
      </c>
      <c r="N980" s="1096">
        <v>0</v>
      </c>
      <c r="O980" s="1059">
        <v>12</v>
      </c>
      <c r="P980" s="1096">
        <v>1092000000</v>
      </c>
      <c r="Q980" s="1061">
        <v>3</v>
      </c>
      <c r="R980" s="1096">
        <v>18000000</v>
      </c>
      <c r="S980" s="738">
        <v>2</v>
      </c>
      <c r="T980" s="1063">
        <v>223950000</v>
      </c>
      <c r="U980" s="738"/>
      <c r="V980" s="738"/>
      <c r="W980" s="738"/>
      <c r="X980" s="687"/>
      <c r="Y980" s="1059">
        <f t="shared" si="286"/>
        <v>5</v>
      </c>
      <c r="Z980" s="1099"/>
      <c r="AA980" s="1071">
        <f t="shared" si="289"/>
        <v>5</v>
      </c>
      <c r="AB980" s="1744">
        <f>N980+Z980</f>
        <v>0</v>
      </c>
      <c r="AC980" s="1100">
        <f>(AA980/K980)*100</f>
        <v>13.888888888888889</v>
      </c>
      <c r="AD980" s="1100">
        <f>(AB980/L980)*100</f>
        <v>0</v>
      </c>
      <c r="AE980" s="739"/>
    </row>
    <row r="981" spans="1:70" ht="29.25" customHeight="1">
      <c r="A981" s="2542"/>
      <c r="B981" s="1097"/>
      <c r="C981" s="2732">
        <v>1</v>
      </c>
      <c r="D981" s="2732" t="s">
        <v>28</v>
      </c>
      <c r="E981" s="2732" t="s">
        <v>29</v>
      </c>
      <c r="F981" s="2732" t="s">
        <v>25</v>
      </c>
      <c r="G981" s="2732" t="s">
        <v>49</v>
      </c>
      <c r="H981" s="2732" t="s">
        <v>31</v>
      </c>
      <c r="I981" s="2774" t="s">
        <v>2935</v>
      </c>
      <c r="J981" s="738" t="s">
        <v>1252</v>
      </c>
      <c r="K981" s="1059">
        <v>112</v>
      </c>
      <c r="L981" s="2727">
        <f>987150000*3</f>
        <v>2961450000</v>
      </c>
      <c r="M981" s="1059">
        <v>0</v>
      </c>
      <c r="N981" s="2727"/>
      <c r="O981" s="1059">
        <v>112</v>
      </c>
      <c r="P981" s="2727">
        <v>987150000</v>
      </c>
      <c r="Q981" s="1061"/>
      <c r="R981" s="2727"/>
      <c r="S981" s="738"/>
      <c r="T981" s="2727"/>
      <c r="U981" s="738"/>
      <c r="V981" s="2730"/>
      <c r="W981" s="738"/>
      <c r="X981" s="2764"/>
      <c r="Y981" s="1059">
        <f t="shared" si="286"/>
        <v>0</v>
      </c>
      <c r="Z981" s="2757"/>
      <c r="AA981" s="1071">
        <f t="shared" si="289"/>
        <v>0</v>
      </c>
      <c r="AB981" s="2890">
        <f>N981+Z981</f>
        <v>0</v>
      </c>
      <c r="AC981" s="1100">
        <f>(AA981/K981)*100</f>
        <v>0</v>
      </c>
      <c r="AD981" s="2776">
        <f>(AB981/L981)*100</f>
        <v>0</v>
      </c>
      <c r="AE981" s="739"/>
    </row>
    <row r="982" spans="1:70" ht="28.5" customHeight="1">
      <c r="A982" s="2543"/>
      <c r="B982" s="1103"/>
      <c r="C982" s="2767"/>
      <c r="D982" s="2767"/>
      <c r="E982" s="2767"/>
      <c r="F982" s="2767"/>
      <c r="G982" s="2767"/>
      <c r="H982" s="2767"/>
      <c r="I982" s="2786"/>
      <c r="J982" s="738" t="s">
        <v>1241</v>
      </c>
      <c r="K982" s="1059">
        <v>50</v>
      </c>
      <c r="L982" s="2729"/>
      <c r="M982" s="1059">
        <v>0</v>
      </c>
      <c r="N982" s="2729"/>
      <c r="O982" s="1059">
        <v>50</v>
      </c>
      <c r="P982" s="2729"/>
      <c r="Q982" s="1061"/>
      <c r="R982" s="2729"/>
      <c r="S982" s="738"/>
      <c r="T982" s="2729"/>
      <c r="U982" s="738"/>
      <c r="V982" s="2731"/>
      <c r="W982" s="738"/>
      <c r="X982" s="2765"/>
      <c r="Y982" s="1059">
        <f t="shared" si="286"/>
        <v>0</v>
      </c>
      <c r="Z982" s="2758"/>
      <c r="AA982" s="1071">
        <f t="shared" si="289"/>
        <v>0</v>
      </c>
      <c r="AB982" s="2891"/>
      <c r="AC982" s="1100">
        <f t="shared" ref="AC982:AC1003" si="290">(AA982/K982)*100</f>
        <v>0</v>
      </c>
      <c r="AD982" s="2778"/>
      <c r="AE982" s="741"/>
    </row>
    <row r="983" spans="1:70" s="16" customFormat="1" ht="66">
      <c r="A983" s="1050">
        <v>2</v>
      </c>
      <c r="B983" s="737"/>
      <c r="C983" s="1051">
        <v>1</v>
      </c>
      <c r="D983" s="1051" t="s">
        <v>28</v>
      </c>
      <c r="E983" s="1051" t="s">
        <v>29</v>
      </c>
      <c r="F983" s="1051" t="s">
        <v>25</v>
      </c>
      <c r="G983" s="1051" t="s">
        <v>51</v>
      </c>
      <c r="H983" s="1051"/>
      <c r="I983" s="737" t="s">
        <v>1253</v>
      </c>
      <c r="J983" s="737" t="s">
        <v>1254</v>
      </c>
      <c r="K983" s="1055">
        <v>10</v>
      </c>
      <c r="L983" s="1053">
        <f>L984+L988+L989</f>
        <v>1198186200</v>
      </c>
      <c r="M983" s="1055">
        <v>5</v>
      </c>
      <c r="N983" s="1053">
        <f>N984+N988+N989</f>
        <v>234593550</v>
      </c>
      <c r="O983" s="1055">
        <v>5</v>
      </c>
      <c r="P983" s="1053">
        <f>P984+P988+P989</f>
        <v>414504150</v>
      </c>
      <c r="Q983" s="1076">
        <v>0</v>
      </c>
      <c r="R983" s="1094">
        <f>SUM(R984:R990)</f>
        <v>105615950</v>
      </c>
      <c r="S983" s="737"/>
      <c r="T983" s="1054">
        <f>SUM(T984:T990)</f>
        <v>52680450</v>
      </c>
      <c r="U983" s="737"/>
      <c r="V983" s="1054">
        <f>SUM(V984)</f>
        <v>0</v>
      </c>
      <c r="W983" s="737"/>
      <c r="X983" s="1054">
        <f>SUM(X984)</f>
        <v>0</v>
      </c>
      <c r="Y983" s="1055">
        <f t="shared" si="286"/>
        <v>0</v>
      </c>
      <c r="Z983" s="1056">
        <f>R983+T983+V983+X983</f>
        <v>158296400</v>
      </c>
      <c r="AA983" s="1055">
        <f t="shared" si="289"/>
        <v>5</v>
      </c>
      <c r="AB983" s="1078">
        <f>N983+Z983</f>
        <v>392889950</v>
      </c>
      <c r="AC983" s="1057">
        <f t="shared" si="290"/>
        <v>50</v>
      </c>
      <c r="AD983" s="1057">
        <f>(AB983/L983)*100</f>
        <v>32.790391843938785</v>
      </c>
      <c r="AE983" s="369" t="s">
        <v>117</v>
      </c>
      <c r="AF983" s="201"/>
      <c r="AG983" s="201"/>
      <c r="AH983" s="201"/>
      <c r="AI983" s="201"/>
      <c r="AJ983" s="201"/>
      <c r="AK983" s="201"/>
      <c r="AL983" s="201"/>
      <c r="AM983" s="201"/>
      <c r="AN983" s="201"/>
      <c r="AO983" s="201"/>
      <c r="AP983" s="201"/>
      <c r="AQ983" s="201"/>
      <c r="AR983" s="201"/>
      <c r="AS983" s="201"/>
      <c r="AT983" s="201"/>
      <c r="AU983" s="201"/>
      <c r="AV983" s="201"/>
      <c r="AW983" s="201"/>
      <c r="AX983" s="201"/>
      <c r="AY983" s="201"/>
      <c r="AZ983" s="201"/>
      <c r="BA983" s="201"/>
      <c r="BB983" s="201"/>
      <c r="BC983" s="20"/>
      <c r="BD983" s="20"/>
      <c r="BE983" s="20"/>
      <c r="BF983" s="20"/>
      <c r="BG983" s="20"/>
      <c r="BH983" s="20"/>
      <c r="BI983" s="20"/>
      <c r="BJ983" s="20"/>
      <c r="BK983" s="20"/>
      <c r="BL983" s="20"/>
      <c r="BM983" s="20"/>
      <c r="BN983" s="20"/>
      <c r="BO983" s="20"/>
      <c r="BP983" s="20"/>
      <c r="BQ983" s="20"/>
      <c r="BR983" s="20"/>
    </row>
    <row r="984" spans="1:70" ht="33">
      <c r="A984" s="2720"/>
      <c r="B984" s="2720"/>
      <c r="C984" s="2721">
        <v>1</v>
      </c>
      <c r="D984" s="2721" t="s">
        <v>28</v>
      </c>
      <c r="E984" s="2721" t="s">
        <v>29</v>
      </c>
      <c r="F984" s="2721" t="s">
        <v>25</v>
      </c>
      <c r="G984" s="2721" t="s">
        <v>51</v>
      </c>
      <c r="H984" s="2721" t="s">
        <v>28</v>
      </c>
      <c r="I984" s="2753" t="s">
        <v>1255</v>
      </c>
      <c r="J984" s="738" t="s">
        <v>1256</v>
      </c>
      <c r="K984" s="1059">
        <v>6</v>
      </c>
      <c r="L984" s="2727">
        <f>2*N984</f>
        <v>469187100</v>
      </c>
      <c r="M984" s="1059">
        <v>3</v>
      </c>
      <c r="N984" s="2727">
        <v>234593550</v>
      </c>
      <c r="O984" s="1059">
        <v>1</v>
      </c>
      <c r="P984" s="2727">
        <v>171504450</v>
      </c>
      <c r="Q984" s="1061">
        <v>0</v>
      </c>
      <c r="R984" s="2727">
        <v>0</v>
      </c>
      <c r="S984" s="738"/>
      <c r="T984" s="2727">
        <v>9936200</v>
      </c>
      <c r="U984" s="738">
        <v>0</v>
      </c>
      <c r="V984" s="2730">
        <v>0</v>
      </c>
      <c r="W984" s="738">
        <v>0</v>
      </c>
      <c r="X984" s="2764">
        <v>0</v>
      </c>
      <c r="Y984" s="1059">
        <f t="shared" si="286"/>
        <v>0</v>
      </c>
      <c r="Z984" s="2757">
        <f>R984+T984+V984+X984</f>
        <v>9936200</v>
      </c>
      <c r="AA984" s="1071">
        <f t="shared" si="289"/>
        <v>3</v>
      </c>
      <c r="AB984" s="2890">
        <f>N984+Z984</f>
        <v>244529750</v>
      </c>
      <c r="AC984" s="1072">
        <f t="shared" si="290"/>
        <v>50</v>
      </c>
      <c r="AD984" s="2776">
        <f>(AB984/L984)*100</f>
        <v>52.117747909096387</v>
      </c>
      <c r="AE984" s="739"/>
    </row>
    <row r="985" spans="1:70" ht="49.5">
      <c r="A985" s="2720"/>
      <c r="B985" s="2720"/>
      <c r="C985" s="2721"/>
      <c r="D985" s="2721"/>
      <c r="E985" s="2721"/>
      <c r="F985" s="2721"/>
      <c r="G985" s="2721"/>
      <c r="H985" s="2721"/>
      <c r="I985" s="2753"/>
      <c r="J985" s="738" t="s">
        <v>1257</v>
      </c>
      <c r="K985" s="1059">
        <v>6</v>
      </c>
      <c r="L985" s="2728"/>
      <c r="M985" s="1059">
        <v>3</v>
      </c>
      <c r="N985" s="2728"/>
      <c r="O985" s="1059">
        <v>1</v>
      </c>
      <c r="P985" s="2728"/>
      <c r="Q985" s="1061">
        <v>0</v>
      </c>
      <c r="R985" s="2728"/>
      <c r="S985" s="738"/>
      <c r="T985" s="2728"/>
      <c r="U985" s="738">
        <v>0</v>
      </c>
      <c r="V985" s="2779"/>
      <c r="W985" s="738">
        <v>0</v>
      </c>
      <c r="X985" s="2838"/>
      <c r="Y985" s="1059">
        <f t="shared" si="286"/>
        <v>0</v>
      </c>
      <c r="Z985" s="2839"/>
      <c r="AA985" s="1071">
        <f t="shared" si="289"/>
        <v>3</v>
      </c>
      <c r="AB985" s="2892"/>
      <c r="AC985" s="1072">
        <f t="shared" si="290"/>
        <v>50</v>
      </c>
      <c r="AD985" s="2777"/>
      <c r="AE985" s="2557"/>
    </row>
    <row r="986" spans="1:70" ht="33">
      <c r="A986" s="2720"/>
      <c r="B986" s="2720"/>
      <c r="C986" s="2721"/>
      <c r="D986" s="2721"/>
      <c r="E986" s="2721"/>
      <c r="F986" s="2721"/>
      <c r="G986" s="2721"/>
      <c r="H986" s="2721"/>
      <c r="I986" s="2753"/>
      <c r="J986" s="738" t="s">
        <v>1258</v>
      </c>
      <c r="K986" s="1059">
        <v>6</v>
      </c>
      <c r="L986" s="2728"/>
      <c r="M986" s="1059">
        <v>3</v>
      </c>
      <c r="N986" s="2728"/>
      <c r="O986" s="1059">
        <v>1</v>
      </c>
      <c r="P986" s="2728"/>
      <c r="Q986" s="1061">
        <v>0</v>
      </c>
      <c r="R986" s="2728"/>
      <c r="S986" s="738"/>
      <c r="T986" s="2728"/>
      <c r="U986" s="738">
        <v>0</v>
      </c>
      <c r="V986" s="2779"/>
      <c r="W986" s="738">
        <v>0</v>
      </c>
      <c r="X986" s="2838"/>
      <c r="Y986" s="1059">
        <f t="shared" si="286"/>
        <v>0</v>
      </c>
      <c r="Z986" s="2839"/>
      <c r="AA986" s="1071">
        <f t="shared" si="289"/>
        <v>3</v>
      </c>
      <c r="AB986" s="2892"/>
      <c r="AC986" s="1072">
        <f t="shared" si="290"/>
        <v>50</v>
      </c>
      <c r="AD986" s="2777"/>
      <c r="AE986" s="2557"/>
    </row>
    <row r="987" spans="1:70" ht="33">
      <c r="A987" s="2720"/>
      <c r="B987" s="2720"/>
      <c r="C987" s="2721"/>
      <c r="D987" s="2721"/>
      <c r="E987" s="2721"/>
      <c r="F987" s="2721"/>
      <c r="G987" s="2721"/>
      <c r="H987" s="2721"/>
      <c r="I987" s="2753"/>
      <c r="J987" s="738" t="s">
        <v>1259</v>
      </c>
      <c r="K987" s="1059">
        <v>6</v>
      </c>
      <c r="L987" s="2729"/>
      <c r="M987" s="1059">
        <v>3</v>
      </c>
      <c r="N987" s="2729"/>
      <c r="O987" s="1059">
        <v>5</v>
      </c>
      <c r="P987" s="2729"/>
      <c r="Q987" s="1061">
        <v>0</v>
      </c>
      <c r="R987" s="2729"/>
      <c r="S987" s="738">
        <v>0</v>
      </c>
      <c r="T987" s="2729"/>
      <c r="U987" s="738"/>
      <c r="V987" s="2731"/>
      <c r="W987" s="738">
        <v>0</v>
      </c>
      <c r="X987" s="2765"/>
      <c r="Y987" s="1059">
        <f t="shared" si="286"/>
        <v>0</v>
      </c>
      <c r="Z987" s="2758"/>
      <c r="AA987" s="1071">
        <f t="shared" si="289"/>
        <v>3</v>
      </c>
      <c r="AB987" s="2891"/>
      <c r="AC987" s="1072">
        <f t="shared" si="290"/>
        <v>50</v>
      </c>
      <c r="AD987" s="2778"/>
      <c r="AE987" s="741"/>
    </row>
    <row r="988" spans="1:70" ht="33">
      <c r="A988" s="2538"/>
      <c r="B988" s="746"/>
      <c r="C988" s="1058">
        <v>1</v>
      </c>
      <c r="D988" s="1058" t="s">
        <v>28</v>
      </c>
      <c r="E988" s="1058" t="s">
        <v>29</v>
      </c>
      <c r="F988" s="1058" t="s">
        <v>25</v>
      </c>
      <c r="G988" s="1058" t="s">
        <v>51</v>
      </c>
      <c r="H988" s="1058" t="s">
        <v>28</v>
      </c>
      <c r="I988" s="744" t="s">
        <v>1247</v>
      </c>
      <c r="J988" s="738" t="s">
        <v>1247</v>
      </c>
      <c r="K988" s="1059">
        <f>35*3</f>
        <v>105</v>
      </c>
      <c r="L988" s="1096">
        <f>68597500*3</f>
        <v>205792500</v>
      </c>
      <c r="M988" s="1059">
        <v>0</v>
      </c>
      <c r="N988" s="1096">
        <v>0</v>
      </c>
      <c r="O988" s="1059">
        <v>35</v>
      </c>
      <c r="P988" s="1096">
        <v>68597500</v>
      </c>
      <c r="Q988" s="1061">
        <v>0</v>
      </c>
      <c r="R988" s="1096">
        <v>0</v>
      </c>
      <c r="S988" s="738">
        <v>3</v>
      </c>
      <c r="T988" s="1096">
        <v>7131250</v>
      </c>
      <c r="U988" s="738">
        <v>0</v>
      </c>
      <c r="V988" s="1097">
        <v>0</v>
      </c>
      <c r="W988" s="738">
        <v>0</v>
      </c>
      <c r="X988" s="1098">
        <v>0</v>
      </c>
      <c r="Y988" s="1059">
        <f t="shared" si="286"/>
        <v>3</v>
      </c>
      <c r="Z988" s="1099">
        <f>R988+T988+V988+X988</f>
        <v>7131250</v>
      </c>
      <c r="AA988" s="1071">
        <f t="shared" si="289"/>
        <v>3</v>
      </c>
      <c r="AB988" s="1744">
        <f>N988+Z988</f>
        <v>7131250</v>
      </c>
      <c r="AC988" s="1072">
        <f t="shared" si="290"/>
        <v>2.8571428571428572</v>
      </c>
      <c r="AD988" s="1100">
        <f>(AB988/L988)*100</f>
        <v>3.4652623394924498</v>
      </c>
      <c r="AE988" s="745"/>
    </row>
    <row r="989" spans="1:70" ht="49.5">
      <c r="A989" s="2720"/>
      <c r="B989" s="2720"/>
      <c r="C989" s="2721">
        <v>1</v>
      </c>
      <c r="D989" s="2721" t="s">
        <v>28</v>
      </c>
      <c r="E989" s="2721" t="s">
        <v>29</v>
      </c>
      <c r="F989" s="2721" t="s">
        <v>25</v>
      </c>
      <c r="G989" s="2721" t="s">
        <v>51</v>
      </c>
      <c r="H989" s="2721" t="s">
        <v>29</v>
      </c>
      <c r="I989" s="2753" t="s">
        <v>1260</v>
      </c>
      <c r="J989" s="738" t="s">
        <v>1261</v>
      </c>
      <c r="K989" s="1059">
        <v>3</v>
      </c>
      <c r="L989" s="2727">
        <f>174402200*3</f>
        <v>523206600</v>
      </c>
      <c r="M989" s="1059">
        <v>0</v>
      </c>
      <c r="N989" s="2727">
        <v>0</v>
      </c>
      <c r="O989" s="1059">
        <v>1</v>
      </c>
      <c r="P989" s="2727">
        <v>174402200</v>
      </c>
      <c r="Q989" s="1061">
        <v>1</v>
      </c>
      <c r="R989" s="2727">
        <v>105615950</v>
      </c>
      <c r="S989" s="738"/>
      <c r="T989" s="2727">
        <v>35613000</v>
      </c>
      <c r="U989" s="738">
        <v>0</v>
      </c>
      <c r="V989" s="2730">
        <v>0</v>
      </c>
      <c r="W989" s="738">
        <v>0</v>
      </c>
      <c r="X989" s="2764">
        <v>0</v>
      </c>
      <c r="Y989" s="1059">
        <f t="shared" si="286"/>
        <v>1</v>
      </c>
      <c r="Z989" s="2757">
        <f>R989+T989+V989+X989</f>
        <v>141228950</v>
      </c>
      <c r="AA989" s="1071">
        <f t="shared" si="289"/>
        <v>1</v>
      </c>
      <c r="AB989" s="2890">
        <f>N989+Z989</f>
        <v>141228950</v>
      </c>
      <c r="AC989" s="1072">
        <f t="shared" si="290"/>
        <v>33.333333333333329</v>
      </c>
      <c r="AD989" s="2776">
        <f>(AB989/L989)*100</f>
        <v>26.99296033345145</v>
      </c>
      <c r="AE989" s="739"/>
    </row>
    <row r="990" spans="1:70" ht="49.5">
      <c r="A990" s="2720"/>
      <c r="B990" s="2720"/>
      <c r="C990" s="2721"/>
      <c r="D990" s="2721"/>
      <c r="E990" s="2721"/>
      <c r="F990" s="2721"/>
      <c r="G990" s="2721"/>
      <c r="H990" s="2721"/>
      <c r="I990" s="2753"/>
      <c r="J990" s="738" t="s">
        <v>1262</v>
      </c>
      <c r="K990" s="1059">
        <v>3</v>
      </c>
      <c r="L990" s="2728"/>
      <c r="M990" s="1059">
        <v>0</v>
      </c>
      <c r="N990" s="2728"/>
      <c r="O990" s="1059">
        <v>1</v>
      </c>
      <c r="P990" s="2728"/>
      <c r="Q990" s="1061">
        <v>0</v>
      </c>
      <c r="R990" s="2728"/>
      <c r="S990" s="738"/>
      <c r="T990" s="2728"/>
      <c r="U990" s="738">
        <v>0</v>
      </c>
      <c r="V990" s="2779"/>
      <c r="W990" s="738">
        <v>0</v>
      </c>
      <c r="X990" s="2838"/>
      <c r="Y990" s="1059">
        <f t="shared" si="286"/>
        <v>0</v>
      </c>
      <c r="Z990" s="2839"/>
      <c r="AA990" s="1071">
        <f t="shared" si="289"/>
        <v>0</v>
      </c>
      <c r="AB990" s="2892"/>
      <c r="AC990" s="1072">
        <f t="shared" si="290"/>
        <v>0</v>
      </c>
      <c r="AD990" s="2777"/>
      <c r="AE990" s="741"/>
    </row>
    <row r="991" spans="1:70" ht="37.5" customHeight="1">
      <c r="A991" s="1050">
        <v>3</v>
      </c>
      <c r="B991" s="737"/>
      <c r="C991" s="1051">
        <v>1</v>
      </c>
      <c r="D991" s="1051" t="s">
        <v>28</v>
      </c>
      <c r="E991" s="1051" t="s">
        <v>29</v>
      </c>
      <c r="F991" s="1051" t="s">
        <v>25</v>
      </c>
      <c r="G991" s="1051" t="s">
        <v>59</v>
      </c>
      <c r="H991" s="1051"/>
      <c r="I991" s="737" t="s">
        <v>1263</v>
      </c>
      <c r="J991" s="737" t="s">
        <v>1264</v>
      </c>
      <c r="K991" s="1055">
        <v>80</v>
      </c>
      <c r="L991" s="1053">
        <f>L992</f>
        <v>1881075000</v>
      </c>
      <c r="M991" s="1055">
        <v>65</v>
      </c>
      <c r="N991" s="1053">
        <f>N992</f>
        <v>212994023</v>
      </c>
      <c r="O991" s="1055">
        <v>10</v>
      </c>
      <c r="P991" s="1053">
        <f>P992</f>
        <v>238656800</v>
      </c>
      <c r="Q991" s="1076">
        <v>0</v>
      </c>
      <c r="R991" s="1094">
        <f>R992</f>
        <v>7268550</v>
      </c>
      <c r="S991" s="737"/>
      <c r="T991" s="1054">
        <f>T992</f>
        <v>40998750</v>
      </c>
      <c r="U991" s="737"/>
      <c r="V991" s="1054">
        <f>V992</f>
        <v>0</v>
      </c>
      <c r="W991" s="737"/>
      <c r="X991" s="1054">
        <f>X992</f>
        <v>0</v>
      </c>
      <c r="Y991" s="1055">
        <f t="shared" si="286"/>
        <v>0</v>
      </c>
      <c r="Z991" s="1056">
        <f>R991+T991+V991+X991</f>
        <v>48267300</v>
      </c>
      <c r="AA991" s="1055">
        <f t="shared" si="289"/>
        <v>65</v>
      </c>
      <c r="AB991" s="1078">
        <f>N991+Z991</f>
        <v>261261323</v>
      </c>
      <c r="AC991" s="1057">
        <f t="shared" si="290"/>
        <v>81.25</v>
      </c>
      <c r="AD991" s="1057">
        <f>(AB991/L991)*100</f>
        <v>13.888937070558057</v>
      </c>
      <c r="AE991" s="369" t="s">
        <v>117</v>
      </c>
    </row>
    <row r="992" spans="1:70" ht="24" customHeight="1">
      <c r="A992" s="2720"/>
      <c r="B992" s="2720"/>
      <c r="C992" s="2721">
        <v>1</v>
      </c>
      <c r="D992" s="2721" t="s">
        <v>28</v>
      </c>
      <c r="E992" s="2721" t="s">
        <v>29</v>
      </c>
      <c r="F992" s="2721" t="s">
        <v>25</v>
      </c>
      <c r="G992" s="2721" t="s">
        <v>59</v>
      </c>
      <c r="H992" s="2721" t="s">
        <v>78</v>
      </c>
      <c r="I992" s="2753" t="s">
        <v>1265</v>
      </c>
      <c r="J992" s="738" t="s">
        <v>1266</v>
      </c>
      <c r="K992" s="1059">
        <v>600</v>
      </c>
      <c r="L992" s="2727">
        <v>1881075000</v>
      </c>
      <c r="M992" s="1059">
        <v>300</v>
      </c>
      <c r="N992" s="2727">
        <v>212994023</v>
      </c>
      <c r="O992" s="1059">
        <v>150</v>
      </c>
      <c r="P992" s="2727">
        <v>238656800</v>
      </c>
      <c r="Q992" s="1061">
        <v>47</v>
      </c>
      <c r="R992" s="2727">
        <v>7268550</v>
      </c>
      <c r="S992" s="738">
        <v>25</v>
      </c>
      <c r="T992" s="2727">
        <v>40998750</v>
      </c>
      <c r="U992" s="738">
        <v>0</v>
      </c>
      <c r="V992" s="2764">
        <v>0</v>
      </c>
      <c r="W992" s="738">
        <v>0</v>
      </c>
      <c r="X992" s="2764">
        <v>0</v>
      </c>
      <c r="Y992" s="1059">
        <f t="shared" si="286"/>
        <v>72</v>
      </c>
      <c r="Z992" s="2757">
        <f>R992+T992+V992+X992</f>
        <v>48267300</v>
      </c>
      <c r="AA992" s="1071">
        <f t="shared" si="289"/>
        <v>372</v>
      </c>
      <c r="AB992" s="2890">
        <f>N992+Z992</f>
        <v>261261323</v>
      </c>
      <c r="AC992" s="1072">
        <f t="shared" si="290"/>
        <v>62</v>
      </c>
      <c r="AD992" s="2776">
        <f>(AB992/L992)*100</f>
        <v>13.888937070558057</v>
      </c>
      <c r="AE992" s="739"/>
    </row>
    <row r="993" spans="1:70" ht="23.25" customHeight="1">
      <c r="A993" s="2720"/>
      <c r="B993" s="2720"/>
      <c r="C993" s="2721"/>
      <c r="D993" s="2721"/>
      <c r="E993" s="2721"/>
      <c r="F993" s="2721"/>
      <c r="G993" s="2721"/>
      <c r="H993" s="2721"/>
      <c r="I993" s="2753"/>
      <c r="J993" s="738" t="s">
        <v>1267</v>
      </c>
      <c r="K993" s="1059">
        <v>300</v>
      </c>
      <c r="L993" s="2728"/>
      <c r="M993" s="1059">
        <v>250</v>
      </c>
      <c r="N993" s="2728"/>
      <c r="O993" s="1059">
        <v>50</v>
      </c>
      <c r="P993" s="2728"/>
      <c r="Q993" s="1061">
        <v>11</v>
      </c>
      <c r="R993" s="2728"/>
      <c r="S993" s="738"/>
      <c r="T993" s="2728"/>
      <c r="U993" s="738">
        <v>0</v>
      </c>
      <c r="V993" s="2838"/>
      <c r="W993" s="738">
        <v>0</v>
      </c>
      <c r="X993" s="2838"/>
      <c r="Y993" s="1059">
        <f t="shared" si="286"/>
        <v>11</v>
      </c>
      <c r="Z993" s="2839"/>
      <c r="AA993" s="1071">
        <f t="shared" si="289"/>
        <v>261</v>
      </c>
      <c r="AB993" s="2892"/>
      <c r="AC993" s="1072">
        <f t="shared" si="290"/>
        <v>87</v>
      </c>
      <c r="AD993" s="2777"/>
      <c r="AE993" s="2557"/>
    </row>
    <row r="994" spans="1:70">
      <c r="A994" s="2720"/>
      <c r="B994" s="2720"/>
      <c r="C994" s="2721"/>
      <c r="D994" s="2721"/>
      <c r="E994" s="2721"/>
      <c r="F994" s="2721"/>
      <c r="G994" s="2721"/>
      <c r="H994" s="2721"/>
      <c r="I994" s="2753"/>
      <c r="J994" s="738" t="s">
        <v>1268</v>
      </c>
      <c r="K994" s="1059">
        <v>600</v>
      </c>
      <c r="L994" s="2728"/>
      <c r="M994" s="1059">
        <v>300</v>
      </c>
      <c r="N994" s="2728"/>
      <c r="O994" s="1059">
        <v>100</v>
      </c>
      <c r="P994" s="2728"/>
      <c r="Q994" s="1061">
        <v>0</v>
      </c>
      <c r="R994" s="2728"/>
      <c r="S994" s="738"/>
      <c r="T994" s="2728"/>
      <c r="U994" s="738">
        <v>0</v>
      </c>
      <c r="V994" s="2838"/>
      <c r="W994" s="738">
        <v>0</v>
      </c>
      <c r="X994" s="2838"/>
      <c r="Y994" s="1059">
        <f t="shared" si="286"/>
        <v>0</v>
      </c>
      <c r="Z994" s="2839"/>
      <c r="AA994" s="1071">
        <f t="shared" si="289"/>
        <v>300</v>
      </c>
      <c r="AB994" s="2892"/>
      <c r="AC994" s="1072">
        <f t="shared" si="290"/>
        <v>50</v>
      </c>
      <c r="AD994" s="2777"/>
      <c r="AE994" s="2557"/>
    </row>
    <row r="995" spans="1:70" ht="22.5" customHeight="1">
      <c r="A995" s="2720"/>
      <c r="B995" s="2720"/>
      <c r="C995" s="2721"/>
      <c r="D995" s="2721"/>
      <c r="E995" s="2721"/>
      <c r="F995" s="2721"/>
      <c r="G995" s="2721"/>
      <c r="H995" s="2721"/>
      <c r="I995" s="2753"/>
      <c r="J995" s="738" t="s">
        <v>1269</v>
      </c>
      <c r="K995" s="1059">
        <v>6</v>
      </c>
      <c r="L995" s="2728"/>
      <c r="M995" s="1059">
        <v>3</v>
      </c>
      <c r="N995" s="2728"/>
      <c r="O995" s="1059">
        <v>1</v>
      </c>
      <c r="P995" s="2728"/>
      <c r="Q995" s="1061">
        <v>0</v>
      </c>
      <c r="R995" s="2728"/>
      <c r="S995" s="738"/>
      <c r="T995" s="2728"/>
      <c r="U995" s="738"/>
      <c r="V995" s="2838"/>
      <c r="W995" s="738">
        <v>0</v>
      </c>
      <c r="X995" s="2838"/>
      <c r="Y995" s="1059">
        <f t="shared" si="286"/>
        <v>0</v>
      </c>
      <c r="Z995" s="2839"/>
      <c r="AA995" s="1071">
        <f t="shared" si="289"/>
        <v>3</v>
      </c>
      <c r="AB995" s="2892"/>
      <c r="AC995" s="1072">
        <f t="shared" si="290"/>
        <v>50</v>
      </c>
      <c r="AD995" s="2777"/>
      <c r="AE995" s="2557"/>
    </row>
    <row r="996" spans="1:70" ht="33">
      <c r="A996" s="2720"/>
      <c r="B996" s="2720"/>
      <c r="C996" s="2721"/>
      <c r="D996" s="2721"/>
      <c r="E996" s="2721"/>
      <c r="F996" s="2721"/>
      <c r="G996" s="2721"/>
      <c r="H996" s="2721"/>
      <c r="I996" s="2753"/>
      <c r="J996" s="738" t="s">
        <v>1270</v>
      </c>
      <c r="K996" s="1059">
        <v>6</v>
      </c>
      <c r="L996" s="2728"/>
      <c r="M996" s="1059">
        <v>3</v>
      </c>
      <c r="N996" s="2728"/>
      <c r="O996" s="1059">
        <v>1</v>
      </c>
      <c r="P996" s="2728"/>
      <c r="Q996" s="1061">
        <v>0</v>
      </c>
      <c r="R996" s="2728"/>
      <c r="S996" s="738"/>
      <c r="T996" s="2728"/>
      <c r="U996" s="738"/>
      <c r="V996" s="2838"/>
      <c r="W996" s="738">
        <v>0</v>
      </c>
      <c r="X996" s="2838"/>
      <c r="Y996" s="1059">
        <f t="shared" si="286"/>
        <v>0</v>
      </c>
      <c r="Z996" s="2839"/>
      <c r="AA996" s="1071">
        <f t="shared" si="289"/>
        <v>3</v>
      </c>
      <c r="AB996" s="2892"/>
      <c r="AC996" s="1072">
        <f t="shared" si="290"/>
        <v>50</v>
      </c>
      <c r="AD996" s="2777"/>
      <c r="AE996" s="2557"/>
    </row>
    <row r="997" spans="1:70" ht="33">
      <c r="A997" s="2720"/>
      <c r="B997" s="2720"/>
      <c r="C997" s="2721"/>
      <c r="D997" s="2721"/>
      <c r="E997" s="2721"/>
      <c r="F997" s="2721"/>
      <c r="G997" s="2721"/>
      <c r="H997" s="2721"/>
      <c r="I997" s="2753"/>
      <c r="J997" s="738" t="s">
        <v>1271</v>
      </c>
      <c r="K997" s="1059">
        <v>6</v>
      </c>
      <c r="L997" s="2729"/>
      <c r="M997" s="1059">
        <v>3</v>
      </c>
      <c r="N997" s="2729"/>
      <c r="O997" s="1059">
        <v>1</v>
      </c>
      <c r="P997" s="2729"/>
      <c r="Q997" s="1061">
        <v>0</v>
      </c>
      <c r="R997" s="2729"/>
      <c r="S997" s="738"/>
      <c r="T997" s="2729"/>
      <c r="U997" s="738"/>
      <c r="V997" s="2765"/>
      <c r="W997" s="738">
        <v>0</v>
      </c>
      <c r="X997" s="2765"/>
      <c r="Y997" s="1059">
        <f t="shared" si="286"/>
        <v>0</v>
      </c>
      <c r="Z997" s="2758"/>
      <c r="AA997" s="1071">
        <f t="shared" si="289"/>
        <v>3</v>
      </c>
      <c r="AB997" s="2891"/>
      <c r="AC997" s="1072">
        <f t="shared" si="290"/>
        <v>50</v>
      </c>
      <c r="AD997" s="2778"/>
      <c r="AE997" s="741"/>
      <c r="AF997" s="750"/>
      <c r="AG997" s="750"/>
      <c r="AH997" s="750"/>
      <c r="AI997" s="750"/>
      <c r="AJ997" s="750"/>
      <c r="AK997" s="750"/>
      <c r="AL997" s="750"/>
      <c r="AM997" s="750"/>
      <c r="AN997" s="750"/>
      <c r="AO997" s="750"/>
      <c r="AP997" s="750"/>
      <c r="AQ997" s="750"/>
      <c r="AR997" s="750"/>
      <c r="AS997" s="750"/>
      <c r="AT997" s="750"/>
      <c r="AU997" s="750"/>
      <c r="AV997" s="750"/>
      <c r="AW997" s="750"/>
      <c r="AX997" s="750"/>
      <c r="AY997" s="750"/>
      <c r="AZ997" s="750"/>
      <c r="BA997" s="750"/>
      <c r="BB997" s="750"/>
      <c r="BC997" s="752"/>
      <c r="BD997" s="752"/>
      <c r="BE997" s="752"/>
      <c r="BF997" s="752"/>
      <c r="BG997" s="752"/>
      <c r="BH997" s="752"/>
      <c r="BI997" s="752"/>
      <c r="BJ997" s="752"/>
      <c r="BK997" s="752"/>
      <c r="BL997" s="752"/>
      <c r="BM997" s="752"/>
      <c r="BN997" s="752"/>
      <c r="BO997" s="752"/>
      <c r="BP997" s="752"/>
      <c r="BQ997" s="752"/>
    </row>
    <row r="998" spans="1:70" s="22" customFormat="1" ht="33">
      <c r="A998" s="1050">
        <v>4</v>
      </c>
      <c r="B998" s="737"/>
      <c r="C998" s="1051">
        <v>1</v>
      </c>
      <c r="D998" s="1051" t="s">
        <v>28</v>
      </c>
      <c r="E998" s="1051" t="s">
        <v>29</v>
      </c>
      <c r="F998" s="1051" t="s">
        <v>25</v>
      </c>
      <c r="G998" s="1051">
        <v>15</v>
      </c>
      <c r="H998" s="1051"/>
      <c r="I998" s="737" t="s">
        <v>1272</v>
      </c>
      <c r="J998" s="737" t="s">
        <v>1264</v>
      </c>
      <c r="K998" s="1055">
        <v>80</v>
      </c>
      <c r="L998" s="1053">
        <f>L999</f>
        <v>165284250</v>
      </c>
      <c r="M998" s="1055">
        <v>65</v>
      </c>
      <c r="N998" s="1053">
        <f>N999</f>
        <v>0</v>
      </c>
      <c r="O998" s="1055">
        <v>10</v>
      </c>
      <c r="P998" s="1053">
        <f>P999</f>
        <v>55094750</v>
      </c>
      <c r="Q998" s="1076">
        <v>0</v>
      </c>
      <c r="R998" s="1094">
        <f>R999</f>
        <v>17868650</v>
      </c>
      <c r="S998" s="737"/>
      <c r="T998" s="1054">
        <f>T999</f>
        <v>18786750</v>
      </c>
      <c r="U998" s="737"/>
      <c r="V998" s="1054">
        <f>V999</f>
        <v>0</v>
      </c>
      <c r="W998" s="737"/>
      <c r="X998" s="1054">
        <f>X999</f>
        <v>0</v>
      </c>
      <c r="Y998" s="1055">
        <f t="shared" si="286"/>
        <v>0</v>
      </c>
      <c r="Z998" s="1056">
        <f>R998+T998+V998+X998</f>
        <v>36655400</v>
      </c>
      <c r="AA998" s="1055">
        <f t="shared" si="289"/>
        <v>65</v>
      </c>
      <c r="AB998" s="1078">
        <f>N998+Z998</f>
        <v>36655400</v>
      </c>
      <c r="AC998" s="1057">
        <f t="shared" si="290"/>
        <v>81.25</v>
      </c>
      <c r="AD998" s="1057">
        <v>0</v>
      </c>
      <c r="AE998" s="369" t="s">
        <v>117</v>
      </c>
      <c r="AF998" s="750"/>
      <c r="AG998" s="750"/>
      <c r="AH998" s="750"/>
      <c r="AI998" s="750"/>
      <c r="AJ998" s="750"/>
      <c r="AK998" s="750"/>
      <c r="AL998" s="750"/>
      <c r="AM998" s="750"/>
      <c r="AN998" s="750"/>
      <c r="AO998" s="750"/>
      <c r="AP998" s="750"/>
      <c r="AQ998" s="750"/>
      <c r="AR998" s="750"/>
      <c r="AS998" s="750"/>
      <c r="AT998" s="750"/>
      <c r="AU998" s="750"/>
      <c r="AV998" s="750"/>
      <c r="AW998" s="750"/>
      <c r="AX998" s="750"/>
      <c r="AY998" s="750"/>
      <c r="AZ998" s="750"/>
      <c r="BA998" s="750"/>
      <c r="BB998" s="750"/>
      <c r="BC998" s="752"/>
      <c r="BD998" s="752"/>
      <c r="BE998" s="752"/>
      <c r="BF998" s="752"/>
      <c r="BG998" s="752"/>
      <c r="BH998" s="752"/>
      <c r="BI998" s="752"/>
      <c r="BJ998" s="752"/>
      <c r="BK998" s="752"/>
      <c r="BL998" s="752"/>
      <c r="BM998" s="752"/>
      <c r="BN998" s="752"/>
      <c r="BO998" s="752"/>
      <c r="BP998" s="752"/>
      <c r="BQ998" s="752"/>
      <c r="BR998" s="752"/>
    </row>
    <row r="999" spans="1:70" ht="49.5">
      <c r="A999" s="2542"/>
      <c r="B999" s="2542"/>
      <c r="C999" s="2550"/>
      <c r="D999" s="2550"/>
      <c r="E999" s="2550"/>
      <c r="F999" s="2550"/>
      <c r="G999" s="2550"/>
      <c r="H999" s="2550"/>
      <c r="I999" s="748" t="s">
        <v>1273</v>
      </c>
      <c r="J999" s="747" t="s">
        <v>2936</v>
      </c>
      <c r="K999" s="2560">
        <v>36</v>
      </c>
      <c r="L999" s="1096">
        <f>3*P999</f>
        <v>165284250</v>
      </c>
      <c r="M999" s="2560">
        <v>0</v>
      </c>
      <c r="N999" s="1096">
        <v>0</v>
      </c>
      <c r="O999" s="2560">
        <v>12</v>
      </c>
      <c r="P999" s="1096">
        <v>55094750</v>
      </c>
      <c r="Q999" s="2566">
        <v>3</v>
      </c>
      <c r="R999" s="1096">
        <v>17868650</v>
      </c>
      <c r="S999" s="747">
        <v>3</v>
      </c>
      <c r="T999" s="1096">
        <v>18786750</v>
      </c>
      <c r="U999" s="747">
        <v>0</v>
      </c>
      <c r="V999" s="1098"/>
      <c r="W999" s="747">
        <v>0</v>
      </c>
      <c r="X999" s="1098"/>
      <c r="Y999" s="1097">
        <f t="shared" si="286"/>
        <v>6</v>
      </c>
      <c r="Z999" s="1099"/>
      <c r="AA999" s="2560">
        <f t="shared" si="289"/>
        <v>6</v>
      </c>
      <c r="AB999" s="1744"/>
      <c r="AC999" s="2548">
        <f t="shared" si="290"/>
        <v>16.666666666666664</v>
      </c>
      <c r="AD999" s="2549">
        <v>0</v>
      </c>
      <c r="AE999" s="1635"/>
      <c r="AF999" s="750"/>
      <c r="AG999" s="750"/>
      <c r="AH999" s="750"/>
      <c r="AI999" s="750"/>
      <c r="AJ999" s="750"/>
      <c r="AK999" s="750"/>
      <c r="AL999" s="750"/>
      <c r="AM999" s="750"/>
      <c r="AN999" s="750"/>
      <c r="AO999" s="750"/>
      <c r="AP999" s="750"/>
      <c r="AQ999" s="750"/>
      <c r="AR999" s="750"/>
      <c r="AS999" s="750"/>
      <c r="AT999" s="750"/>
      <c r="AU999" s="750"/>
      <c r="AV999" s="750"/>
      <c r="AW999" s="750"/>
      <c r="AX999" s="750"/>
      <c r="AY999" s="750"/>
      <c r="AZ999" s="750"/>
      <c r="BA999" s="750"/>
      <c r="BB999" s="750"/>
      <c r="BC999" s="752"/>
      <c r="BD999" s="752"/>
      <c r="BE999" s="752"/>
      <c r="BF999" s="752"/>
      <c r="BG999" s="752"/>
      <c r="BH999" s="752"/>
      <c r="BI999" s="752"/>
      <c r="BJ999" s="752"/>
      <c r="BK999" s="752"/>
      <c r="BL999" s="752"/>
      <c r="BM999" s="752"/>
      <c r="BN999" s="752"/>
      <c r="BO999" s="752"/>
      <c r="BP999" s="752"/>
      <c r="BQ999" s="752"/>
    </row>
    <row r="1000" spans="1:70" s="16" customFormat="1" ht="33">
      <c r="A1000" s="1050">
        <v>5</v>
      </c>
      <c r="B1000" s="1050"/>
      <c r="C1000" s="1051"/>
      <c r="D1000" s="1051"/>
      <c r="E1000" s="1051"/>
      <c r="F1000" s="1051"/>
      <c r="G1000" s="1051"/>
      <c r="H1000" s="1051"/>
      <c r="I1000" s="743" t="s">
        <v>2061</v>
      </c>
      <c r="J1000" s="737" t="s">
        <v>2938</v>
      </c>
      <c r="K1000" s="1057">
        <v>71.599999999999994</v>
      </c>
      <c r="L1000" s="2567">
        <f>SUM(L1001)</f>
        <v>677576400</v>
      </c>
      <c r="M1000" s="1057">
        <v>71.400000000000006</v>
      </c>
      <c r="N1000" s="2567">
        <f>SUM(N1001)</f>
        <v>338788200</v>
      </c>
      <c r="O1000" s="1057">
        <v>0.1</v>
      </c>
      <c r="P1000" s="2567">
        <f>SUM(P1001)</f>
        <v>112929400</v>
      </c>
      <c r="Q1000" s="1076">
        <v>0</v>
      </c>
      <c r="R1000" s="2567"/>
      <c r="S1000" s="737"/>
      <c r="T1000" s="2567">
        <f>SUM(T1001)</f>
        <v>6232000</v>
      </c>
      <c r="U1000" s="737"/>
      <c r="V1000" s="2568"/>
      <c r="W1000" s="737"/>
      <c r="X1000" s="2568"/>
      <c r="Y1000" s="1050">
        <f t="shared" si="286"/>
        <v>0</v>
      </c>
      <c r="Z1000" s="2569"/>
      <c r="AA1000" s="1055">
        <f t="shared" si="289"/>
        <v>71.400000000000006</v>
      </c>
      <c r="AB1000" s="1078"/>
      <c r="AC1000" s="1057">
        <f t="shared" si="290"/>
        <v>99.720670391061475</v>
      </c>
      <c r="AD1000" s="1057">
        <v>0</v>
      </c>
      <c r="AE1000" s="369" t="s">
        <v>117</v>
      </c>
      <c r="AF1000" s="201"/>
      <c r="AG1000" s="201"/>
      <c r="AH1000" s="201"/>
      <c r="AI1000" s="201"/>
      <c r="AJ1000" s="201"/>
      <c r="AK1000" s="201"/>
      <c r="AL1000" s="201"/>
      <c r="AM1000" s="201"/>
      <c r="AN1000" s="201"/>
      <c r="AO1000" s="201"/>
      <c r="AP1000" s="201"/>
      <c r="AQ1000" s="201"/>
      <c r="AR1000" s="201"/>
      <c r="AS1000" s="201"/>
      <c r="AT1000" s="201"/>
      <c r="AU1000" s="201"/>
      <c r="AV1000" s="201"/>
      <c r="AW1000" s="201"/>
      <c r="AX1000" s="201"/>
      <c r="AY1000" s="201"/>
      <c r="AZ1000" s="201"/>
      <c r="BA1000" s="201"/>
      <c r="BB1000" s="201"/>
      <c r="BC1000" s="201"/>
      <c r="BD1000" s="201"/>
      <c r="BE1000" s="201"/>
      <c r="BF1000" s="201"/>
      <c r="BG1000" s="201"/>
      <c r="BH1000" s="201"/>
      <c r="BI1000" s="201"/>
      <c r="BJ1000" s="201"/>
      <c r="BK1000" s="201"/>
      <c r="BL1000" s="201"/>
      <c r="BM1000" s="201"/>
      <c r="BN1000" s="201"/>
      <c r="BO1000" s="201"/>
      <c r="BP1000" s="201"/>
      <c r="BQ1000" s="201"/>
      <c r="BR1000" s="20"/>
    </row>
    <row r="1001" spans="1:70" ht="38.25" customHeight="1">
      <c r="A1001" s="2538"/>
      <c r="B1001" s="746"/>
      <c r="C1001" s="1058"/>
      <c r="D1001" s="1058"/>
      <c r="E1001" s="1058"/>
      <c r="F1001" s="1058"/>
      <c r="G1001" s="1058"/>
      <c r="H1001" s="1058"/>
      <c r="I1001" s="744" t="s">
        <v>2062</v>
      </c>
      <c r="J1001" s="738" t="s">
        <v>2937</v>
      </c>
      <c r="K1001" s="1059">
        <v>72</v>
      </c>
      <c r="L1001" s="1101">
        <f>P1001*6</f>
        <v>677576400</v>
      </c>
      <c r="M1001" s="1059">
        <v>36</v>
      </c>
      <c r="N1001" s="1101">
        <f>P1001*3</f>
        <v>338788200</v>
      </c>
      <c r="O1001" s="1059">
        <v>12</v>
      </c>
      <c r="P1001" s="1101">
        <v>112929400</v>
      </c>
      <c r="Q1001" s="1061">
        <v>3</v>
      </c>
      <c r="R1001" s="1101"/>
      <c r="S1001" s="738">
        <v>2</v>
      </c>
      <c r="T1001" s="1101">
        <v>6232000</v>
      </c>
      <c r="U1001" s="738"/>
      <c r="V1001" s="1102"/>
      <c r="W1001" s="738"/>
      <c r="X1001" s="1102"/>
      <c r="Y1001" s="1103">
        <f t="shared" si="286"/>
        <v>5</v>
      </c>
      <c r="Z1001" s="1104"/>
      <c r="AA1001" s="1071">
        <f t="shared" si="289"/>
        <v>41</v>
      </c>
      <c r="AB1001" s="1745"/>
      <c r="AC1001" s="1072">
        <f t="shared" si="290"/>
        <v>56.944444444444443</v>
      </c>
      <c r="AD1001" s="1072">
        <v>0</v>
      </c>
      <c r="AE1001" s="745"/>
      <c r="AF1001" s="750"/>
      <c r="AG1001" s="750"/>
      <c r="AH1001" s="750"/>
      <c r="AI1001" s="750"/>
      <c r="AJ1001" s="750"/>
      <c r="AK1001" s="750"/>
      <c r="AL1001" s="750"/>
      <c r="AM1001" s="750"/>
      <c r="AN1001" s="750"/>
      <c r="AO1001" s="750"/>
      <c r="AP1001" s="750"/>
      <c r="AQ1001" s="750"/>
      <c r="AR1001" s="750"/>
      <c r="AS1001" s="750"/>
      <c r="AT1001" s="750"/>
      <c r="AU1001" s="750"/>
      <c r="AV1001" s="750"/>
      <c r="AW1001" s="750"/>
      <c r="AX1001" s="750"/>
      <c r="AY1001" s="750"/>
      <c r="AZ1001" s="750"/>
      <c r="BA1001" s="750"/>
      <c r="BB1001" s="750"/>
      <c r="BC1001" s="750"/>
      <c r="BD1001" s="750"/>
      <c r="BE1001" s="750"/>
      <c r="BF1001" s="750"/>
      <c r="BG1001" s="750"/>
      <c r="BH1001" s="750"/>
      <c r="BI1001" s="750"/>
      <c r="BJ1001" s="750"/>
      <c r="BK1001" s="750"/>
      <c r="BL1001" s="750"/>
      <c r="BM1001" s="750"/>
      <c r="BN1001" s="750"/>
      <c r="BO1001" s="750"/>
      <c r="BP1001" s="750"/>
      <c r="BQ1001" s="750"/>
    </row>
    <row r="1002" spans="1:70" s="1315" customFormat="1" ht="69.75" customHeight="1">
      <c r="A1002" s="1050">
        <v>6</v>
      </c>
      <c r="B1002" s="1050"/>
      <c r="C1002" s="1051"/>
      <c r="D1002" s="1051"/>
      <c r="E1002" s="1051"/>
      <c r="F1002" s="1051"/>
      <c r="G1002" s="1051"/>
      <c r="H1002" s="1051"/>
      <c r="I1002" s="743" t="s">
        <v>1274</v>
      </c>
      <c r="J1002" s="737" t="s">
        <v>2939</v>
      </c>
      <c r="K1002" s="1055">
        <v>80</v>
      </c>
      <c r="L1002" s="1053">
        <f>L1003</f>
        <v>250000000</v>
      </c>
      <c r="M1002" s="1055">
        <v>60</v>
      </c>
      <c r="N1002" s="1053">
        <f>N1003</f>
        <v>16297500</v>
      </c>
      <c r="O1002" s="1055">
        <v>10</v>
      </c>
      <c r="P1002" s="1053">
        <f>P1003</f>
        <v>50000000</v>
      </c>
      <c r="Q1002" s="1747">
        <v>0</v>
      </c>
      <c r="R1002" s="1748">
        <f>R1003</f>
        <v>0</v>
      </c>
      <c r="S1002" s="733">
        <v>0</v>
      </c>
      <c r="T1002" s="1748">
        <f>T1003</f>
        <v>6200000</v>
      </c>
      <c r="U1002" s="733"/>
      <c r="V1002" s="1748">
        <f>V1003</f>
        <v>0</v>
      </c>
      <c r="W1002" s="737"/>
      <c r="X1002" s="1094">
        <f>X1003</f>
        <v>0</v>
      </c>
      <c r="Y1002" s="1055">
        <f t="shared" si="286"/>
        <v>0</v>
      </c>
      <c r="Z1002" s="1056"/>
      <c r="AA1002" s="1055">
        <f t="shared" si="289"/>
        <v>60</v>
      </c>
      <c r="AB1002" s="1078"/>
      <c r="AC1002" s="1057">
        <f t="shared" si="290"/>
        <v>75</v>
      </c>
      <c r="AD1002" s="1057">
        <v>0</v>
      </c>
      <c r="AE1002" s="369" t="s">
        <v>117</v>
      </c>
      <c r="AF1002" s="201"/>
      <c r="AG1002" s="201"/>
      <c r="AH1002" s="201"/>
      <c r="AI1002" s="201"/>
      <c r="AJ1002" s="201"/>
      <c r="AK1002" s="201"/>
      <c r="AL1002" s="201"/>
      <c r="AM1002" s="201"/>
      <c r="AN1002" s="201"/>
      <c r="AO1002" s="201"/>
      <c r="AP1002" s="201"/>
      <c r="AQ1002" s="201"/>
      <c r="AR1002" s="201"/>
      <c r="AS1002" s="201"/>
      <c r="AT1002" s="201"/>
      <c r="AU1002" s="201"/>
      <c r="AV1002" s="201"/>
      <c r="AW1002" s="201"/>
      <c r="AX1002" s="201"/>
      <c r="AY1002" s="201"/>
      <c r="AZ1002" s="201"/>
      <c r="BA1002" s="201"/>
      <c r="BB1002" s="201"/>
      <c r="BC1002" s="201"/>
      <c r="BD1002" s="201"/>
      <c r="BE1002" s="201"/>
      <c r="BF1002" s="201"/>
      <c r="BG1002" s="201"/>
      <c r="BH1002" s="201"/>
      <c r="BI1002" s="201"/>
      <c r="BJ1002" s="201"/>
      <c r="BK1002" s="201"/>
      <c r="BL1002" s="201"/>
      <c r="BM1002" s="201"/>
      <c r="BN1002" s="201"/>
      <c r="BO1002" s="201"/>
      <c r="BP1002" s="201"/>
      <c r="BQ1002" s="201"/>
      <c r="BR1002" s="1346"/>
    </row>
    <row r="1003" spans="1:70" ht="49.5">
      <c r="A1003" s="2538"/>
      <c r="B1003" s="746"/>
      <c r="C1003" s="1058"/>
      <c r="D1003" s="1058"/>
      <c r="E1003" s="1058"/>
      <c r="F1003" s="1058"/>
      <c r="G1003" s="1058"/>
      <c r="H1003" s="1058"/>
      <c r="I1003" s="744" t="s">
        <v>1275</v>
      </c>
      <c r="J1003" s="738" t="s">
        <v>1276</v>
      </c>
      <c r="K1003" s="1059">
        <v>6</v>
      </c>
      <c r="L1003" s="1060">
        <v>250000000</v>
      </c>
      <c r="M1003" s="1059">
        <v>3</v>
      </c>
      <c r="N1003" s="1060">
        <v>16297500</v>
      </c>
      <c r="O1003" s="1059">
        <v>1</v>
      </c>
      <c r="P1003" s="1060">
        <v>50000000</v>
      </c>
      <c r="Q1003" s="1082">
        <v>0</v>
      </c>
      <c r="R1003" s="1749">
        <v>0</v>
      </c>
      <c r="S1003" s="687">
        <v>1</v>
      </c>
      <c r="T1003" s="1749">
        <v>6200000</v>
      </c>
      <c r="U1003" s="687">
        <v>0</v>
      </c>
      <c r="V1003" s="687">
        <v>0</v>
      </c>
      <c r="W1003" s="738"/>
      <c r="X1003" s="738"/>
      <c r="Y1003" s="1059">
        <f t="shared" si="286"/>
        <v>1</v>
      </c>
      <c r="Z1003" s="1062"/>
      <c r="AA1003" s="1071">
        <f t="shared" si="289"/>
        <v>4</v>
      </c>
      <c r="AB1003" s="1074"/>
      <c r="AC1003" s="1072">
        <f t="shared" si="290"/>
        <v>66.666666666666657</v>
      </c>
      <c r="AD1003" s="1072">
        <v>0</v>
      </c>
      <c r="AE1003" s="736"/>
      <c r="AF1003" s="750"/>
      <c r="AG1003" s="750"/>
      <c r="AH1003" s="750"/>
      <c r="AI1003" s="750"/>
      <c r="AJ1003" s="750"/>
      <c r="AK1003" s="750"/>
      <c r="AL1003" s="750"/>
      <c r="AM1003" s="750"/>
      <c r="AN1003" s="750"/>
      <c r="AO1003" s="750"/>
      <c r="AP1003" s="750"/>
      <c r="AQ1003" s="750"/>
      <c r="AR1003" s="750"/>
      <c r="AS1003" s="750"/>
      <c r="AT1003" s="750"/>
      <c r="AU1003" s="750"/>
      <c r="AV1003" s="750"/>
      <c r="AW1003" s="750"/>
      <c r="AX1003" s="750"/>
      <c r="AY1003" s="750"/>
      <c r="AZ1003" s="750"/>
      <c r="BA1003" s="750"/>
      <c r="BB1003" s="750"/>
      <c r="BC1003" s="750"/>
      <c r="BD1003" s="750"/>
      <c r="BE1003" s="750"/>
      <c r="BF1003" s="750"/>
      <c r="BG1003" s="750"/>
      <c r="BH1003" s="750"/>
      <c r="BI1003" s="750"/>
      <c r="BJ1003" s="750"/>
      <c r="BK1003" s="750"/>
      <c r="BL1003" s="750"/>
      <c r="BM1003" s="750"/>
      <c r="BN1003" s="750"/>
      <c r="BO1003" s="750"/>
      <c r="BP1003" s="750"/>
      <c r="BQ1003" s="750"/>
    </row>
    <row r="1004" spans="1:70" ht="22.5" customHeight="1">
      <c r="A1004" s="2851" t="s">
        <v>63</v>
      </c>
      <c r="B1004" s="2851"/>
      <c r="C1004" s="2852"/>
      <c r="D1004" s="2852"/>
      <c r="E1004" s="2852"/>
      <c r="F1004" s="2852"/>
      <c r="G1004" s="2852"/>
      <c r="H1004" s="2852"/>
      <c r="I1004" s="2852"/>
      <c r="J1004" s="2852"/>
      <c r="K1004" s="2852"/>
      <c r="L1004" s="2852"/>
      <c r="M1004" s="2852"/>
      <c r="N1004" s="2852"/>
      <c r="O1004" s="2852"/>
      <c r="P1004" s="2852"/>
      <c r="Q1004" s="2852"/>
      <c r="R1004" s="2852"/>
      <c r="S1004" s="2852"/>
      <c r="T1004" s="2852"/>
      <c r="U1004" s="2852"/>
      <c r="V1004" s="2852"/>
      <c r="W1004" s="2852"/>
      <c r="X1004" s="2852"/>
      <c r="Y1004" s="2852"/>
      <c r="Z1004" s="2852"/>
      <c r="AA1004" s="2852"/>
      <c r="AB1004" s="2852"/>
      <c r="AC1004" s="1308">
        <f>(AC972+AC983+AC991+AC998+AC1000+AC1002)/6</f>
        <v>79.953445065176922</v>
      </c>
      <c r="AD1004" s="1308">
        <f>(AD897+AD918+AD923+AD927+AD931+AD933+AD945+AD964+AD972+AD983+AD991+AD1002)/12</f>
        <v>37.785409586238984</v>
      </c>
      <c r="AE1004" s="736"/>
      <c r="AF1004" s="750"/>
      <c r="AG1004" s="750"/>
      <c r="AH1004" s="750"/>
      <c r="AI1004" s="750"/>
      <c r="AJ1004" s="750"/>
      <c r="AK1004" s="750"/>
      <c r="AL1004" s="750"/>
      <c r="AM1004" s="750"/>
      <c r="AN1004" s="750"/>
      <c r="AO1004" s="750"/>
      <c r="AP1004" s="750"/>
      <c r="AQ1004" s="750"/>
      <c r="AR1004" s="750"/>
      <c r="AS1004" s="750"/>
      <c r="AT1004" s="750"/>
      <c r="AU1004" s="750"/>
      <c r="AV1004" s="750"/>
      <c r="AW1004" s="750"/>
      <c r="AX1004" s="750"/>
      <c r="AY1004" s="750"/>
      <c r="AZ1004" s="750"/>
      <c r="BA1004" s="750"/>
      <c r="BB1004" s="750"/>
      <c r="BC1004" s="750"/>
      <c r="BD1004" s="750"/>
      <c r="BE1004" s="750"/>
      <c r="BF1004" s="750"/>
      <c r="BG1004" s="750"/>
      <c r="BH1004" s="750"/>
      <c r="BI1004" s="750"/>
      <c r="BJ1004" s="750"/>
      <c r="BK1004" s="750"/>
      <c r="BL1004" s="750"/>
      <c r="BM1004" s="750"/>
      <c r="BN1004" s="750"/>
      <c r="BO1004" s="750"/>
      <c r="BP1004" s="750"/>
      <c r="BQ1004" s="750"/>
    </row>
    <row r="1005" spans="1:70" ht="25.5" customHeight="1">
      <c r="A1005" s="2851" t="s">
        <v>64</v>
      </c>
      <c r="B1005" s="2851"/>
      <c r="C1005" s="2852"/>
      <c r="D1005" s="2852"/>
      <c r="E1005" s="2852"/>
      <c r="F1005" s="2852"/>
      <c r="G1005" s="2852"/>
      <c r="H1005" s="2852"/>
      <c r="I1005" s="2852"/>
      <c r="J1005" s="2852"/>
      <c r="K1005" s="2852"/>
      <c r="L1005" s="2852"/>
      <c r="M1005" s="2852"/>
      <c r="N1005" s="2852"/>
      <c r="O1005" s="2852"/>
      <c r="P1005" s="2852"/>
      <c r="Q1005" s="2852"/>
      <c r="R1005" s="2852"/>
      <c r="S1005" s="2852"/>
      <c r="T1005" s="2852"/>
      <c r="U1005" s="2852"/>
      <c r="V1005" s="2852"/>
      <c r="W1005" s="2852"/>
      <c r="X1005" s="2852"/>
      <c r="Y1005" s="2852"/>
      <c r="Z1005" s="2852"/>
      <c r="AA1005" s="2852"/>
      <c r="AB1005" s="2852"/>
      <c r="AC1005" s="524" t="str">
        <f>IF(AC1004&gt;=91,"ST",IF(AC1004&gt;=76,"T",IF(AC1004&gt;=66,"S",IF(AC1004&gt;=51,"R","SR"))))</f>
        <v>T</v>
      </c>
      <c r="AD1005" s="524" t="str">
        <f>IF(AD1004&gt;=91,"ST",IF(AD1004&gt;=76,"T",IF(AD1004&gt;=66,"S",IF(AD1004&gt;=51,"R","SR"))))</f>
        <v>SR</v>
      </c>
      <c r="AE1005" s="481"/>
      <c r="AF1005" s="200"/>
      <c r="AG1005" s="200"/>
      <c r="AH1005" s="200"/>
      <c r="AI1005" s="200"/>
      <c r="AJ1005" s="200"/>
      <c r="AK1005" s="200"/>
      <c r="AL1005" s="200"/>
      <c r="AM1005" s="200"/>
      <c r="AN1005" s="200"/>
      <c r="AO1005" s="200"/>
      <c r="AP1005" s="200"/>
      <c r="AQ1005" s="200"/>
      <c r="AR1005" s="200"/>
      <c r="AS1005" s="200"/>
      <c r="AT1005" s="200"/>
      <c r="AU1005" s="200"/>
      <c r="AV1005" s="200"/>
      <c r="AW1005" s="200"/>
      <c r="AX1005" s="200"/>
      <c r="AY1005" s="200"/>
      <c r="AZ1005" s="200"/>
      <c r="BA1005" s="200"/>
      <c r="BB1005" s="200"/>
      <c r="BC1005" s="200"/>
      <c r="BD1005" s="200"/>
      <c r="BE1005" s="200"/>
      <c r="BF1005" s="200"/>
      <c r="BG1005" s="200"/>
      <c r="BH1005" s="200"/>
      <c r="BI1005" s="200"/>
      <c r="BJ1005" s="200"/>
      <c r="BK1005" s="200"/>
      <c r="BL1005" s="200"/>
      <c r="BM1005" s="200"/>
      <c r="BN1005" s="200"/>
      <c r="BO1005" s="200"/>
      <c r="BP1005" s="200"/>
      <c r="BQ1005" s="200"/>
    </row>
    <row r="1006" spans="1:70" s="1235" customFormat="1" ht="30.75" customHeight="1">
      <c r="A1006" s="1750" t="s">
        <v>120</v>
      </c>
      <c r="B1006" s="1751"/>
      <c r="C1006" s="1750"/>
      <c r="D1006" s="1750"/>
      <c r="E1006" s="1750"/>
      <c r="F1006" s="1750"/>
      <c r="G1006" s="1750"/>
      <c r="H1006" s="1750"/>
      <c r="I1006" s="2864" t="s">
        <v>121</v>
      </c>
      <c r="J1006" s="2865"/>
      <c r="K1006" s="1752"/>
      <c r="L1006" s="1753">
        <f>SUM(L1007+L1023+L1030+L1031+L1033+L1035+L1038+L1041+L1050+L1053+L1058+L1061+L1063)</f>
        <v>90581633596</v>
      </c>
      <c r="M1006" s="1752"/>
      <c r="N1006" s="1753">
        <f>SUM(N1007+N1023+N1030+N1031+N1033+N1035+N1038+N1041+N1050+N1053+N1058+N1061+N1063)</f>
        <v>30628654756</v>
      </c>
      <c r="O1006" s="1754"/>
      <c r="P1006" s="1753">
        <f>SUM(P1007+P1023+P1030+P1031+P1033+P1035+P1038+P1041+P1050+P1053+P1058+P1061+P1063)</f>
        <v>13096773389</v>
      </c>
      <c r="Q1006" s="1755"/>
      <c r="R1006" s="1753">
        <f>SUM(R1007+R1023+R1030+R1031+R1033+R1035+R1038+R1041+R1050+R1053+R1058+R1061+R1063)</f>
        <v>1668276942</v>
      </c>
      <c r="S1006" s="1751"/>
      <c r="T1006" s="1756">
        <f>T1007+T1023+T1035+T1038+T1041+T1050+T1053+T1058+T1063</f>
        <v>3576797032</v>
      </c>
      <c r="U1006" s="1751"/>
      <c r="V1006" s="1757"/>
      <c r="W1006" s="1751"/>
      <c r="X1006" s="1758"/>
      <c r="Y1006" s="1755"/>
      <c r="Z1006" s="1753">
        <f>SUM(Z1007+Z1023+Z1030+Z1031+Z1033+Z1035+Z1038+Z1041+Z1050+Z1053+Z1058+Z1061+Z1063)</f>
        <v>5245073974</v>
      </c>
      <c r="AA1006" s="1752"/>
      <c r="AB1006" s="1753">
        <f>SUM(AB1007+AB1023+AB1030+AB1031+AB1033+AB1035+AB1038+AB1041+AB1050+AB1053+AB1058+AB1061+AB1063)</f>
        <v>35873728730</v>
      </c>
      <c r="AC1006" s="1752"/>
      <c r="AD1006" s="1752"/>
      <c r="AE1006" s="1759"/>
      <c r="AF1006" s="200"/>
      <c r="AG1006" s="200"/>
      <c r="AH1006" s="200"/>
      <c r="AI1006" s="200"/>
      <c r="AJ1006" s="200"/>
      <c r="AK1006" s="200"/>
      <c r="AL1006" s="200"/>
      <c r="AM1006" s="200"/>
      <c r="AN1006" s="200"/>
      <c r="AO1006" s="200"/>
      <c r="AP1006" s="200"/>
      <c r="AQ1006" s="200"/>
      <c r="AR1006" s="200"/>
      <c r="AS1006" s="200"/>
      <c r="AT1006" s="200"/>
      <c r="AU1006" s="200"/>
      <c r="AV1006" s="200"/>
      <c r="AW1006" s="200"/>
      <c r="AX1006" s="200"/>
      <c r="AY1006" s="200"/>
      <c r="AZ1006" s="200"/>
      <c r="BA1006" s="200"/>
      <c r="BB1006" s="200"/>
      <c r="BC1006" s="200"/>
      <c r="BD1006" s="200"/>
      <c r="BE1006" s="200"/>
      <c r="BF1006" s="200"/>
      <c r="BG1006" s="200"/>
      <c r="BH1006" s="200"/>
      <c r="BI1006" s="200"/>
      <c r="BJ1006" s="200"/>
      <c r="BK1006" s="200"/>
      <c r="BL1006" s="200"/>
      <c r="BM1006" s="200"/>
      <c r="BN1006" s="200"/>
      <c r="BO1006" s="200"/>
      <c r="BP1006" s="200"/>
      <c r="BQ1006" s="200"/>
      <c r="BR1006" s="862"/>
    </row>
    <row r="1007" spans="1:70" s="1315" customFormat="1" ht="82.5">
      <c r="A1007" s="303">
        <v>1</v>
      </c>
      <c r="B1007" s="1117"/>
      <c r="C1007" s="1117"/>
      <c r="D1007" s="1117"/>
      <c r="E1007" s="1117"/>
      <c r="F1007" s="1117"/>
      <c r="G1007" s="1117"/>
      <c r="H1007" s="156"/>
      <c r="I1007" s="142" t="s">
        <v>957</v>
      </c>
      <c r="J1007" s="629" t="s">
        <v>2940</v>
      </c>
      <c r="K1007" s="545">
        <f>SUM(K1008:K1021)/14</f>
        <v>69.428571428571431</v>
      </c>
      <c r="L1007" s="230">
        <f>SUM(L1008:L1021)</f>
        <v>7806354500</v>
      </c>
      <c r="M1007" s="140">
        <f>SUM(M1008:M1021)/14</f>
        <v>34.714285714285715</v>
      </c>
      <c r="N1007" s="230">
        <v>1906560189</v>
      </c>
      <c r="O1007" s="140">
        <f>SUM(O1008:O1021)/14</f>
        <v>11.571428571428571</v>
      </c>
      <c r="P1007" s="230">
        <f>SUM(P1008:P1022)</f>
        <v>970957660</v>
      </c>
      <c r="Q1007" s="1240">
        <f>(Q1008+Q1009+Q1010+Q1011+Q1012+Q1013+Q1014+Q1015+Q1016+Q1017+Q1018+Q1019+Q1020+Q1021+Q1022)/15</f>
        <v>3</v>
      </c>
      <c r="R1007" s="230">
        <f>SUM(R1008:R1022)</f>
        <v>128519706</v>
      </c>
      <c r="S1007" s="292">
        <f>(S1008+S1009+S1010+S1011+S1012+S1013+S1014+S1015+S1016+S1017+S1018+S1019+S1020+S1021)/14</f>
        <v>3</v>
      </c>
      <c r="T1007" s="230">
        <f>SUM(T1008:T1021)</f>
        <v>205251460</v>
      </c>
      <c r="U1007" s="292">
        <f>(U1008+U1009+U1010+U1011+U1012+U1013+U1014+U1015+U1016+U1017+U1018+U1019+U1020+U1021)/14</f>
        <v>0</v>
      </c>
      <c r="V1007" s="230">
        <f>SUM(V1008:V1021)</f>
        <v>0</v>
      </c>
      <c r="W1007" s="292">
        <f>(W1008+W1009+W1010+W1011+W1012+W1013+W1014+W1015+W1016+W1017+W1018+W1019+W1020+W1021)/14</f>
        <v>0</v>
      </c>
      <c r="X1007" s="230">
        <f>SUM(X1008:X1021)</f>
        <v>0</v>
      </c>
      <c r="Y1007" s="292">
        <f t="shared" ref="Y1007:Y1038" si="291">Q1007+S1007+U1007+W1007</f>
        <v>6</v>
      </c>
      <c r="Z1007" s="230">
        <f t="shared" ref="Z1007:Z1038" si="292">R1007+T1007+V1007+X1007</f>
        <v>333771166</v>
      </c>
      <c r="AA1007" s="1240">
        <f t="shared" ref="AA1007:AA1038" si="293">M1007+Y1007</f>
        <v>40.714285714285715</v>
      </c>
      <c r="AB1007" s="160">
        <f t="shared" ref="AB1007:AB1038" si="294">N1007+Z1007</f>
        <v>2240331355</v>
      </c>
      <c r="AC1007" s="292">
        <f t="shared" ref="AC1007:AC1038" si="295">(AA1007/K1007)*100</f>
        <v>58.641975308641982</v>
      </c>
      <c r="AD1007" s="292">
        <f t="shared" ref="AD1007:AD1038" si="296">(AB1007/L1007)*100</f>
        <v>28.698816521847682</v>
      </c>
      <c r="AE1007" s="2558" t="s">
        <v>122</v>
      </c>
      <c r="AF1007" s="977"/>
      <c r="AG1007" s="201"/>
      <c r="AH1007" s="201"/>
      <c r="AI1007" s="201"/>
      <c r="AJ1007" s="201"/>
      <c r="AK1007" s="201"/>
      <c r="AL1007" s="201"/>
      <c r="AM1007" s="201"/>
      <c r="AN1007" s="201"/>
      <c r="AO1007" s="201"/>
      <c r="AP1007" s="201"/>
      <c r="AQ1007" s="201"/>
      <c r="AR1007" s="201"/>
      <c r="AS1007" s="201"/>
      <c r="AT1007" s="201"/>
      <c r="AU1007" s="201"/>
      <c r="AV1007" s="201"/>
      <c r="AW1007" s="201"/>
      <c r="AX1007" s="201"/>
      <c r="AY1007" s="201"/>
      <c r="AZ1007" s="201"/>
      <c r="BA1007" s="201"/>
      <c r="BB1007" s="201"/>
      <c r="BC1007" s="1763"/>
      <c r="BD1007" s="235"/>
      <c r="BE1007" s="235"/>
      <c r="BF1007" s="235"/>
      <c r="BG1007" s="235"/>
      <c r="BH1007" s="235"/>
      <c r="BI1007" s="235"/>
      <c r="BJ1007" s="235"/>
      <c r="BK1007" s="235"/>
      <c r="BL1007" s="235"/>
      <c r="BM1007" s="235"/>
      <c r="BN1007" s="235"/>
      <c r="BO1007" s="235"/>
      <c r="BP1007" s="235"/>
      <c r="BQ1007" s="235"/>
      <c r="BR1007" s="1346"/>
    </row>
    <row r="1008" spans="1:70" ht="49.5">
      <c r="A1008" s="89"/>
      <c r="B1008" s="100"/>
      <c r="C1008" s="100"/>
      <c r="D1008" s="100"/>
      <c r="E1008" s="100"/>
      <c r="F1008" s="100"/>
      <c r="G1008" s="100"/>
      <c r="H1008" s="100"/>
      <c r="I1008" s="114" t="s">
        <v>67</v>
      </c>
      <c r="J1008" s="124" t="s">
        <v>2941</v>
      </c>
      <c r="K1008" s="100">
        <v>72</v>
      </c>
      <c r="L1008" s="125">
        <v>458693000</v>
      </c>
      <c r="M1008" s="100">
        <v>36</v>
      </c>
      <c r="N1008" s="125">
        <f>125548679+187058702</f>
        <v>312607381</v>
      </c>
      <c r="O1008" s="97">
        <v>12</v>
      </c>
      <c r="P1008" s="125">
        <v>149400000</v>
      </c>
      <c r="Q1008" s="111">
        <v>3</v>
      </c>
      <c r="R1008" s="125">
        <v>17779237</v>
      </c>
      <c r="S1008" s="823">
        <v>3</v>
      </c>
      <c r="T1008" s="111">
        <v>24837644</v>
      </c>
      <c r="U1008" s="1196"/>
      <c r="V1008" s="125"/>
      <c r="W1008" s="1196"/>
      <c r="X1008" s="125"/>
      <c r="Y1008" s="1196">
        <f t="shared" si="291"/>
        <v>6</v>
      </c>
      <c r="Z1008" s="125">
        <f t="shared" si="292"/>
        <v>42616881</v>
      </c>
      <c r="AA1008" s="97">
        <f t="shared" si="293"/>
        <v>42</v>
      </c>
      <c r="AB1008" s="111">
        <f t="shared" si="294"/>
        <v>355224262</v>
      </c>
      <c r="AC1008" s="117">
        <f t="shared" si="295"/>
        <v>58.333333333333336</v>
      </c>
      <c r="AD1008" s="1196">
        <f t="shared" si="296"/>
        <v>77.442703943596257</v>
      </c>
      <c r="AE1008" s="2592"/>
      <c r="AF1008" s="750"/>
      <c r="AG1008" s="750"/>
      <c r="AH1008" s="750"/>
      <c r="AI1008" s="750"/>
      <c r="AJ1008" s="750"/>
      <c r="AK1008" s="750"/>
      <c r="AL1008" s="750"/>
      <c r="AM1008" s="750"/>
      <c r="AN1008" s="750"/>
      <c r="AO1008" s="750"/>
      <c r="AP1008" s="750"/>
      <c r="AQ1008" s="750"/>
      <c r="AR1008" s="750"/>
      <c r="AS1008" s="750"/>
      <c r="AT1008" s="750"/>
      <c r="AU1008" s="750"/>
      <c r="AV1008" s="750"/>
      <c r="AW1008" s="750"/>
      <c r="AX1008" s="750"/>
      <c r="AY1008" s="750"/>
      <c r="AZ1008" s="750"/>
      <c r="BA1008" s="750"/>
      <c r="BB1008" s="750"/>
      <c r="BC1008" s="1105"/>
      <c r="BD1008" s="8"/>
      <c r="BE1008" s="8"/>
      <c r="BF1008" s="8"/>
      <c r="BG1008" s="8"/>
      <c r="BH1008" s="8"/>
      <c r="BI1008" s="8"/>
      <c r="BJ1008" s="8"/>
      <c r="BK1008" s="8"/>
      <c r="BL1008" s="8"/>
      <c r="BM1008" s="8"/>
      <c r="BN1008" s="8"/>
      <c r="BO1008" s="8"/>
      <c r="BP1008" s="8"/>
      <c r="BQ1008" s="8"/>
    </row>
    <row r="1009" spans="1:70" ht="66">
      <c r="A1009" s="89"/>
      <c r="B1009" s="100"/>
      <c r="C1009" s="100"/>
      <c r="D1009" s="100"/>
      <c r="E1009" s="100"/>
      <c r="F1009" s="100"/>
      <c r="G1009" s="100"/>
      <c r="H1009" s="100"/>
      <c r="I1009" s="114" t="s">
        <v>2278</v>
      </c>
      <c r="J1009" s="124" t="s">
        <v>2942</v>
      </c>
      <c r="K1009" s="100">
        <v>72</v>
      </c>
      <c r="L1009" s="125">
        <v>1307900000</v>
      </c>
      <c r="M1009" s="100">
        <v>36</v>
      </c>
      <c r="N1009" s="125">
        <f>463960000+26550000</f>
        <v>490510000</v>
      </c>
      <c r="O1009" s="97">
        <v>12</v>
      </c>
      <c r="P1009" s="125">
        <v>90455500</v>
      </c>
      <c r="Q1009" s="111">
        <v>3</v>
      </c>
      <c r="R1009" s="125">
        <v>21205500</v>
      </c>
      <c r="S1009" s="823">
        <v>3</v>
      </c>
      <c r="T1009" s="111">
        <v>43500000</v>
      </c>
      <c r="U1009" s="1196"/>
      <c r="V1009" s="125"/>
      <c r="W1009" s="1196"/>
      <c r="X1009" s="125"/>
      <c r="Y1009" s="1196">
        <f t="shared" si="291"/>
        <v>6</v>
      </c>
      <c r="Z1009" s="125">
        <f t="shared" si="292"/>
        <v>64705500</v>
      </c>
      <c r="AA1009" s="97">
        <f t="shared" si="293"/>
        <v>42</v>
      </c>
      <c r="AB1009" s="111">
        <f t="shared" si="294"/>
        <v>555215500</v>
      </c>
      <c r="AC1009" s="117">
        <f t="shared" si="295"/>
        <v>58.333333333333336</v>
      </c>
      <c r="AD1009" s="1196">
        <f t="shared" si="296"/>
        <v>42.45091367841578</v>
      </c>
      <c r="AE1009" s="89"/>
      <c r="AF1009" s="750"/>
      <c r="AG1009" s="750"/>
      <c r="AH1009" s="750"/>
      <c r="AI1009" s="750"/>
      <c r="AJ1009" s="750"/>
      <c r="AK1009" s="750"/>
      <c r="AL1009" s="750"/>
      <c r="AM1009" s="750"/>
      <c r="AN1009" s="750"/>
      <c r="AO1009" s="750"/>
      <c r="AP1009" s="750"/>
      <c r="AQ1009" s="750"/>
      <c r="AR1009" s="750"/>
      <c r="AS1009" s="750"/>
      <c r="AT1009" s="750"/>
      <c r="AU1009" s="750"/>
      <c r="AV1009" s="750"/>
      <c r="AW1009" s="750"/>
      <c r="AX1009" s="750"/>
      <c r="AY1009" s="750"/>
      <c r="AZ1009" s="750"/>
      <c r="BA1009" s="750"/>
      <c r="BB1009" s="750"/>
      <c r="BC1009" s="1105"/>
      <c r="BD1009" s="8"/>
      <c r="BE1009" s="8"/>
      <c r="BF1009" s="8"/>
      <c r="BG1009" s="8"/>
      <c r="BH1009" s="8"/>
      <c r="BI1009" s="8"/>
      <c r="BJ1009" s="8"/>
      <c r="BK1009" s="8"/>
      <c r="BL1009" s="8"/>
      <c r="BM1009" s="8"/>
      <c r="BN1009" s="8"/>
      <c r="BO1009" s="8"/>
      <c r="BP1009" s="8"/>
      <c r="BQ1009" s="8"/>
    </row>
    <row r="1010" spans="1:70" ht="49.5">
      <c r="A1010" s="89"/>
      <c r="B1010" s="100"/>
      <c r="C1010" s="100"/>
      <c r="D1010" s="100"/>
      <c r="E1010" s="100"/>
      <c r="F1010" s="100"/>
      <c r="G1010" s="100"/>
      <c r="H1010" s="100"/>
      <c r="I1010" s="114" t="s">
        <v>68</v>
      </c>
      <c r="J1010" s="124" t="s">
        <v>2943</v>
      </c>
      <c r="K1010" s="100">
        <v>72</v>
      </c>
      <c r="L1010" s="125">
        <v>390400000</v>
      </c>
      <c r="M1010" s="100">
        <v>36</v>
      </c>
      <c r="N1010" s="125">
        <f>125137000+116722000</f>
        <v>241859000</v>
      </c>
      <c r="O1010" s="97">
        <v>12</v>
      </c>
      <c r="P1010" s="125">
        <v>156500000</v>
      </c>
      <c r="Q1010" s="111">
        <v>3</v>
      </c>
      <c r="R1010" s="125">
        <v>27300000</v>
      </c>
      <c r="S1010" s="823">
        <v>3</v>
      </c>
      <c r="T1010" s="111">
        <v>34000000</v>
      </c>
      <c r="U1010" s="1196"/>
      <c r="V1010" s="125"/>
      <c r="W1010" s="1196"/>
      <c r="X1010" s="125"/>
      <c r="Y1010" s="1196">
        <f t="shared" si="291"/>
        <v>6</v>
      </c>
      <c r="Z1010" s="125">
        <f t="shared" si="292"/>
        <v>61300000</v>
      </c>
      <c r="AA1010" s="97">
        <f t="shared" si="293"/>
        <v>42</v>
      </c>
      <c r="AB1010" s="111">
        <f t="shared" si="294"/>
        <v>303159000</v>
      </c>
      <c r="AC1010" s="117">
        <f t="shared" si="295"/>
        <v>58.333333333333336</v>
      </c>
      <c r="AD1010" s="1196">
        <f t="shared" si="296"/>
        <v>77.653432377049185</v>
      </c>
      <c r="AE1010" s="89"/>
      <c r="AF1010" s="750"/>
      <c r="AG1010" s="750"/>
      <c r="AH1010" s="750"/>
      <c r="AI1010" s="750"/>
      <c r="AJ1010" s="750"/>
      <c r="AK1010" s="750"/>
      <c r="AL1010" s="750"/>
      <c r="AM1010" s="750"/>
      <c r="AN1010" s="750"/>
      <c r="AO1010" s="750"/>
      <c r="AP1010" s="750"/>
      <c r="AQ1010" s="750"/>
      <c r="AR1010" s="750"/>
      <c r="AS1010" s="750"/>
      <c r="AT1010" s="750"/>
      <c r="AU1010" s="750"/>
      <c r="AV1010" s="750"/>
      <c r="AW1010" s="750"/>
      <c r="AX1010" s="750"/>
      <c r="AY1010" s="750"/>
      <c r="AZ1010" s="750"/>
      <c r="BA1010" s="750"/>
      <c r="BB1010" s="750"/>
      <c r="BC1010" s="1105"/>
      <c r="BD1010" s="8"/>
      <c r="BE1010" s="8"/>
      <c r="BF1010" s="8"/>
      <c r="BG1010" s="8"/>
      <c r="BH1010" s="8"/>
      <c r="BI1010" s="8"/>
      <c r="BJ1010" s="8"/>
      <c r="BK1010" s="8"/>
      <c r="BL1010" s="8"/>
      <c r="BM1010" s="8"/>
      <c r="BN1010" s="8"/>
      <c r="BO1010" s="8"/>
      <c r="BP1010" s="8"/>
      <c r="BQ1010" s="8"/>
    </row>
    <row r="1011" spans="1:70" ht="33">
      <c r="A1011" s="89"/>
      <c r="B1011" s="100"/>
      <c r="C1011" s="100"/>
      <c r="D1011" s="100"/>
      <c r="E1011" s="100"/>
      <c r="F1011" s="100"/>
      <c r="G1011" s="100"/>
      <c r="H1011" s="100"/>
      <c r="I1011" s="114" t="s">
        <v>69</v>
      </c>
      <c r="J1011" s="124" t="s">
        <v>2944</v>
      </c>
      <c r="K1011" s="100">
        <v>72</v>
      </c>
      <c r="L1011" s="125">
        <v>276581000</v>
      </c>
      <c r="M1011" s="100">
        <v>36</v>
      </c>
      <c r="N1011" s="125">
        <f>65014000+17712500</f>
        <v>82726500</v>
      </c>
      <c r="O1011" s="97">
        <v>12</v>
      </c>
      <c r="P1011" s="125">
        <v>45057000</v>
      </c>
      <c r="Q1011" s="111">
        <v>3</v>
      </c>
      <c r="R1011" s="125">
        <v>6462500</v>
      </c>
      <c r="S1011" s="823">
        <v>3</v>
      </c>
      <c r="T1011" s="111">
        <v>12961500</v>
      </c>
      <c r="U1011" s="1196"/>
      <c r="V1011" s="125"/>
      <c r="W1011" s="1196"/>
      <c r="X1011" s="125"/>
      <c r="Y1011" s="1196">
        <f t="shared" si="291"/>
        <v>6</v>
      </c>
      <c r="Z1011" s="125">
        <f t="shared" si="292"/>
        <v>19424000</v>
      </c>
      <c r="AA1011" s="97">
        <f t="shared" si="293"/>
        <v>42</v>
      </c>
      <c r="AB1011" s="111">
        <f t="shared" si="294"/>
        <v>102150500</v>
      </c>
      <c r="AC1011" s="117">
        <f t="shared" si="295"/>
        <v>58.333333333333336</v>
      </c>
      <c r="AD1011" s="1196">
        <f t="shared" si="296"/>
        <v>36.933303444560543</v>
      </c>
      <c r="AE1011" s="89"/>
      <c r="AF1011" s="750"/>
      <c r="AG1011" s="750"/>
      <c r="AH1011" s="750"/>
      <c r="AI1011" s="750"/>
      <c r="AJ1011" s="750"/>
      <c r="AK1011" s="750"/>
      <c r="AL1011" s="750"/>
      <c r="AM1011" s="750"/>
      <c r="AN1011" s="750"/>
      <c r="AO1011" s="750"/>
      <c r="AP1011" s="750"/>
      <c r="AQ1011" s="750"/>
      <c r="AR1011" s="750"/>
      <c r="AS1011" s="750"/>
      <c r="AT1011" s="750"/>
      <c r="AU1011" s="750"/>
      <c r="AV1011" s="750"/>
      <c r="AW1011" s="750"/>
      <c r="AX1011" s="750"/>
      <c r="AY1011" s="750"/>
      <c r="AZ1011" s="750"/>
      <c r="BA1011" s="750"/>
      <c r="BB1011" s="750"/>
      <c r="BC1011" s="1105"/>
      <c r="BD1011" s="8"/>
      <c r="BE1011" s="8"/>
      <c r="BF1011" s="8"/>
      <c r="BG1011" s="8"/>
      <c r="BH1011" s="8"/>
      <c r="BI1011" s="8"/>
      <c r="BJ1011" s="8"/>
      <c r="BK1011" s="8"/>
      <c r="BL1011" s="8"/>
      <c r="BM1011" s="8"/>
      <c r="BN1011" s="8"/>
      <c r="BO1011" s="8"/>
      <c r="BP1011" s="8"/>
      <c r="BQ1011" s="8"/>
    </row>
    <row r="1012" spans="1:70" ht="49.5">
      <c r="A1012" s="89"/>
      <c r="B1012" s="100"/>
      <c r="C1012" s="100"/>
      <c r="D1012" s="100"/>
      <c r="E1012" s="100"/>
      <c r="F1012" s="100"/>
      <c r="G1012" s="100"/>
      <c r="H1012" s="100"/>
      <c r="I1012" s="114" t="s">
        <v>917</v>
      </c>
      <c r="J1012" s="124" t="s">
        <v>2945</v>
      </c>
      <c r="K1012" s="100">
        <v>72</v>
      </c>
      <c r="L1012" s="125">
        <v>1307900000</v>
      </c>
      <c r="M1012" s="100">
        <v>36</v>
      </c>
      <c r="N1012" s="125">
        <f>30970500+10000000</f>
        <v>40970500</v>
      </c>
      <c r="O1012" s="97">
        <v>12</v>
      </c>
      <c r="P1012" s="125">
        <v>28000000</v>
      </c>
      <c r="Q1012" s="111">
        <v>3</v>
      </c>
      <c r="R1012" s="125">
        <v>1800000</v>
      </c>
      <c r="S1012" s="823">
        <v>3</v>
      </c>
      <c r="T1012" s="111">
        <v>3150000</v>
      </c>
      <c r="U1012" s="1196"/>
      <c r="V1012" s="125"/>
      <c r="W1012" s="1196"/>
      <c r="X1012" s="125"/>
      <c r="Y1012" s="1196">
        <f t="shared" si="291"/>
        <v>6</v>
      </c>
      <c r="Z1012" s="125">
        <f t="shared" si="292"/>
        <v>4950000</v>
      </c>
      <c r="AA1012" s="97">
        <f t="shared" si="293"/>
        <v>42</v>
      </c>
      <c r="AB1012" s="111">
        <f t="shared" si="294"/>
        <v>45920500</v>
      </c>
      <c r="AC1012" s="117">
        <f t="shared" si="295"/>
        <v>58.333333333333336</v>
      </c>
      <c r="AD1012" s="1196">
        <f t="shared" si="296"/>
        <v>3.5110100160562734</v>
      </c>
      <c r="AE1012" s="89"/>
      <c r="AF1012" s="750"/>
      <c r="AG1012" s="750"/>
      <c r="AH1012" s="750"/>
      <c r="AI1012" s="750"/>
      <c r="AJ1012" s="750"/>
      <c r="AK1012" s="750"/>
      <c r="AL1012" s="750"/>
      <c r="AM1012" s="750"/>
      <c r="AN1012" s="750"/>
      <c r="AO1012" s="750"/>
      <c r="AP1012" s="750"/>
      <c r="AQ1012" s="750"/>
      <c r="AR1012" s="750"/>
      <c r="AS1012" s="750"/>
      <c r="AT1012" s="750"/>
      <c r="AU1012" s="750"/>
      <c r="AV1012" s="750"/>
      <c r="AW1012" s="750"/>
      <c r="AX1012" s="750"/>
      <c r="AY1012" s="750"/>
      <c r="AZ1012" s="750"/>
      <c r="BA1012" s="750"/>
      <c r="BB1012" s="750"/>
      <c r="BC1012" s="1105"/>
      <c r="BD1012" s="8"/>
      <c r="BE1012" s="8"/>
      <c r="BF1012" s="8"/>
      <c r="BG1012" s="8"/>
      <c r="BH1012" s="8"/>
      <c r="BI1012" s="8"/>
      <c r="BJ1012" s="8"/>
      <c r="BK1012" s="8"/>
      <c r="BL1012" s="8"/>
      <c r="BM1012" s="8"/>
      <c r="BN1012" s="8"/>
      <c r="BO1012" s="8"/>
      <c r="BP1012" s="8"/>
      <c r="BQ1012" s="8"/>
    </row>
    <row r="1013" spans="1:70" ht="33">
      <c r="A1013" s="89"/>
      <c r="B1013" s="100"/>
      <c r="C1013" s="100"/>
      <c r="D1013" s="100"/>
      <c r="E1013" s="100"/>
      <c r="F1013" s="100"/>
      <c r="G1013" s="100"/>
      <c r="H1013" s="100"/>
      <c r="I1013" s="114" t="s">
        <v>70</v>
      </c>
      <c r="J1013" s="124" t="s">
        <v>2946</v>
      </c>
      <c r="K1013" s="100">
        <v>72</v>
      </c>
      <c r="L1013" s="125">
        <v>249965100</v>
      </c>
      <c r="M1013" s="100">
        <v>36</v>
      </c>
      <c r="N1013" s="125">
        <f>77185030+34088471</f>
        <v>111273501</v>
      </c>
      <c r="O1013" s="97">
        <v>12</v>
      </c>
      <c r="P1013" s="125">
        <v>83288635</v>
      </c>
      <c r="Q1013" s="111">
        <v>3</v>
      </c>
      <c r="R1013" s="125">
        <v>6750599</v>
      </c>
      <c r="S1013" s="823">
        <v>3</v>
      </c>
      <c r="T1013" s="111">
        <v>11607471</v>
      </c>
      <c r="U1013" s="1196"/>
      <c r="V1013" s="125"/>
      <c r="W1013" s="1196"/>
      <c r="X1013" s="125"/>
      <c r="Y1013" s="1196">
        <f t="shared" si="291"/>
        <v>6</v>
      </c>
      <c r="Z1013" s="125">
        <f t="shared" si="292"/>
        <v>18358070</v>
      </c>
      <c r="AA1013" s="97">
        <f t="shared" si="293"/>
        <v>42</v>
      </c>
      <c r="AB1013" s="111">
        <f t="shared" si="294"/>
        <v>129631571</v>
      </c>
      <c r="AC1013" s="117">
        <f t="shared" si="295"/>
        <v>58.333333333333336</v>
      </c>
      <c r="AD1013" s="1196">
        <f t="shared" si="296"/>
        <v>51.859868037578053</v>
      </c>
      <c r="AE1013" s="89"/>
      <c r="AF1013" s="750"/>
      <c r="AG1013" s="750"/>
      <c r="AH1013" s="750"/>
      <c r="AI1013" s="750"/>
      <c r="AJ1013" s="750"/>
      <c r="AK1013" s="750"/>
      <c r="AL1013" s="750"/>
      <c r="AM1013" s="750"/>
      <c r="AN1013" s="750"/>
      <c r="AO1013" s="750"/>
      <c r="AP1013" s="750"/>
      <c r="AQ1013" s="750"/>
      <c r="AR1013" s="750"/>
      <c r="AS1013" s="750"/>
      <c r="AT1013" s="750"/>
      <c r="AU1013" s="750"/>
      <c r="AV1013" s="750"/>
      <c r="AW1013" s="750"/>
      <c r="AX1013" s="750"/>
      <c r="AY1013" s="750"/>
      <c r="AZ1013" s="750"/>
      <c r="BA1013" s="750"/>
      <c r="BB1013" s="750"/>
      <c r="BC1013" s="1105"/>
      <c r="BD1013" s="8"/>
      <c r="BE1013" s="8"/>
      <c r="BF1013" s="8"/>
      <c r="BG1013" s="8"/>
      <c r="BH1013" s="8"/>
      <c r="BI1013" s="8"/>
      <c r="BJ1013" s="8"/>
      <c r="BK1013" s="8"/>
      <c r="BL1013" s="8"/>
      <c r="BM1013" s="8"/>
      <c r="BN1013" s="8"/>
      <c r="BO1013" s="8"/>
      <c r="BP1013" s="8"/>
      <c r="BQ1013" s="8"/>
    </row>
    <row r="1014" spans="1:70" ht="66">
      <c r="A1014" s="89"/>
      <c r="B1014" s="100"/>
      <c r="C1014" s="100"/>
      <c r="D1014" s="100"/>
      <c r="E1014" s="100"/>
      <c r="F1014" s="100"/>
      <c r="G1014" s="100"/>
      <c r="H1014" s="100"/>
      <c r="I1014" s="114" t="s">
        <v>71</v>
      </c>
      <c r="J1014" s="124" t="s">
        <v>2947</v>
      </c>
      <c r="K1014" s="100">
        <v>72</v>
      </c>
      <c r="L1014" s="125">
        <v>515573400</v>
      </c>
      <c r="M1014" s="100">
        <v>36</v>
      </c>
      <c r="N1014" s="125">
        <f>142130320+30805800</f>
        <v>172936120</v>
      </c>
      <c r="O1014" s="97">
        <v>12</v>
      </c>
      <c r="P1014" s="125">
        <v>44362365</v>
      </c>
      <c r="Q1014" s="111">
        <v>3</v>
      </c>
      <c r="R1014" s="125">
        <v>0</v>
      </c>
      <c r="S1014" s="823">
        <v>3</v>
      </c>
      <c r="T1014" s="111">
        <v>9860735</v>
      </c>
      <c r="U1014" s="1196"/>
      <c r="V1014" s="125"/>
      <c r="W1014" s="1196"/>
      <c r="X1014" s="125"/>
      <c r="Y1014" s="1196">
        <f t="shared" si="291"/>
        <v>6</v>
      </c>
      <c r="Z1014" s="125">
        <f t="shared" si="292"/>
        <v>9860735</v>
      </c>
      <c r="AA1014" s="97">
        <f t="shared" si="293"/>
        <v>42</v>
      </c>
      <c r="AB1014" s="111">
        <f t="shared" si="294"/>
        <v>182796855</v>
      </c>
      <c r="AC1014" s="117">
        <f t="shared" si="295"/>
        <v>58.333333333333336</v>
      </c>
      <c r="AD1014" s="1196">
        <f t="shared" si="296"/>
        <v>35.455059357212768</v>
      </c>
      <c r="AE1014" s="89"/>
      <c r="AF1014" s="750"/>
      <c r="AG1014" s="750"/>
      <c r="AH1014" s="750"/>
      <c r="AI1014" s="750"/>
      <c r="AJ1014" s="750"/>
      <c r="AK1014" s="750"/>
      <c r="AL1014" s="750"/>
      <c r="AM1014" s="750"/>
      <c r="AN1014" s="750"/>
      <c r="AO1014" s="750"/>
      <c r="AP1014" s="750"/>
      <c r="AQ1014" s="750"/>
      <c r="AR1014" s="750"/>
      <c r="AS1014" s="750"/>
      <c r="AT1014" s="750"/>
      <c r="AU1014" s="750"/>
      <c r="AV1014" s="750"/>
      <c r="AW1014" s="750"/>
      <c r="AX1014" s="750"/>
      <c r="AY1014" s="750"/>
      <c r="AZ1014" s="750"/>
      <c r="BA1014" s="750"/>
      <c r="BB1014" s="750"/>
      <c r="BC1014" s="1105"/>
      <c r="BD1014" s="8"/>
      <c r="BE1014" s="8"/>
      <c r="BF1014" s="8"/>
      <c r="BG1014" s="8"/>
      <c r="BH1014" s="8"/>
      <c r="BI1014" s="8"/>
      <c r="BJ1014" s="8"/>
      <c r="BK1014" s="8"/>
      <c r="BL1014" s="8"/>
      <c r="BM1014" s="8"/>
      <c r="BN1014" s="8"/>
      <c r="BO1014" s="8"/>
      <c r="BP1014" s="8"/>
      <c r="BQ1014" s="8"/>
    </row>
    <row r="1015" spans="1:70" ht="82.5">
      <c r="A1015" s="89"/>
      <c r="B1015" s="100"/>
      <c r="C1015" s="100"/>
      <c r="D1015" s="100"/>
      <c r="E1015" s="100"/>
      <c r="F1015" s="100"/>
      <c r="G1015" s="100"/>
      <c r="H1015" s="100"/>
      <c r="I1015" s="114" t="s">
        <v>2738</v>
      </c>
      <c r="J1015" s="124" t="s">
        <v>2948</v>
      </c>
      <c r="K1015" s="100">
        <v>72</v>
      </c>
      <c r="L1015" s="125">
        <v>63682000</v>
      </c>
      <c r="M1015" s="100">
        <v>36</v>
      </c>
      <c r="N1015" s="125">
        <f>17707000+13874028</f>
        <v>31581028</v>
      </c>
      <c r="O1015" s="97">
        <v>12</v>
      </c>
      <c r="P1015" s="125">
        <v>19401560</v>
      </c>
      <c r="Q1015" s="111">
        <v>3</v>
      </c>
      <c r="R1015" s="125">
        <v>472270</v>
      </c>
      <c r="S1015" s="823">
        <v>3</v>
      </c>
      <c r="T1015" s="111">
        <v>1883790</v>
      </c>
      <c r="U1015" s="1196"/>
      <c r="V1015" s="125"/>
      <c r="W1015" s="1196"/>
      <c r="X1015" s="125"/>
      <c r="Y1015" s="1196">
        <f t="shared" si="291"/>
        <v>6</v>
      </c>
      <c r="Z1015" s="125">
        <f t="shared" si="292"/>
        <v>2356060</v>
      </c>
      <c r="AA1015" s="97">
        <f t="shared" si="293"/>
        <v>42</v>
      </c>
      <c r="AB1015" s="111">
        <f t="shared" si="294"/>
        <v>33937088</v>
      </c>
      <c r="AC1015" s="117">
        <f t="shared" si="295"/>
        <v>58.333333333333336</v>
      </c>
      <c r="AD1015" s="1196">
        <f t="shared" si="296"/>
        <v>53.291492101378722</v>
      </c>
      <c r="AE1015" s="89"/>
      <c r="AF1015" s="750"/>
      <c r="AG1015" s="750"/>
      <c r="AH1015" s="750"/>
      <c r="AI1015" s="750"/>
      <c r="AJ1015" s="750"/>
      <c r="AK1015" s="750"/>
      <c r="AL1015" s="750"/>
      <c r="AM1015" s="750"/>
      <c r="AN1015" s="750"/>
      <c r="AO1015" s="750"/>
      <c r="AP1015" s="750"/>
      <c r="AQ1015" s="750"/>
      <c r="AR1015" s="750"/>
      <c r="AS1015" s="750"/>
      <c r="AT1015" s="750"/>
      <c r="AU1015" s="750"/>
      <c r="AV1015" s="750"/>
      <c r="AW1015" s="750"/>
      <c r="AX1015" s="750"/>
      <c r="AY1015" s="750"/>
      <c r="AZ1015" s="750"/>
      <c r="BA1015" s="750"/>
      <c r="BB1015" s="750"/>
      <c r="BC1015" s="1105"/>
      <c r="BD1015" s="8"/>
      <c r="BE1015" s="8"/>
      <c r="BF1015" s="8"/>
      <c r="BG1015" s="8"/>
      <c r="BH1015" s="8"/>
      <c r="BI1015" s="8"/>
      <c r="BJ1015" s="8"/>
      <c r="BK1015" s="8"/>
      <c r="BL1015" s="8"/>
      <c r="BM1015" s="8"/>
      <c r="BN1015" s="8"/>
      <c r="BO1015" s="8"/>
      <c r="BP1015" s="8"/>
      <c r="BQ1015" s="8"/>
    </row>
    <row r="1016" spans="1:70" ht="82.5">
      <c r="A1016" s="89"/>
      <c r="B1016" s="100"/>
      <c r="C1016" s="100"/>
      <c r="D1016" s="100"/>
      <c r="E1016" s="100"/>
      <c r="F1016" s="100"/>
      <c r="G1016" s="100"/>
      <c r="H1016" s="100"/>
      <c r="I1016" s="114" t="s">
        <v>2949</v>
      </c>
      <c r="J1016" s="124" t="s">
        <v>2950</v>
      </c>
      <c r="K1016" s="100">
        <v>72</v>
      </c>
      <c r="L1016" s="125">
        <v>122400000</v>
      </c>
      <c r="M1016" s="100">
        <v>36</v>
      </c>
      <c r="N1016" s="125">
        <f>35800000+12520000</f>
        <v>48320000</v>
      </c>
      <c r="O1016" s="97">
        <v>12</v>
      </c>
      <c r="P1016" s="125">
        <v>14500000</v>
      </c>
      <c r="Q1016" s="111">
        <v>3</v>
      </c>
      <c r="R1016" s="125">
        <v>2270000</v>
      </c>
      <c r="S1016" s="823">
        <v>3</v>
      </c>
      <c r="T1016" s="111">
        <v>1050000</v>
      </c>
      <c r="U1016" s="1196"/>
      <c r="V1016" s="125"/>
      <c r="W1016" s="1196"/>
      <c r="X1016" s="125"/>
      <c r="Y1016" s="1196">
        <f t="shared" si="291"/>
        <v>6</v>
      </c>
      <c r="Z1016" s="125">
        <f t="shared" si="292"/>
        <v>3320000</v>
      </c>
      <c r="AA1016" s="97">
        <f t="shared" si="293"/>
        <v>42</v>
      </c>
      <c r="AB1016" s="111">
        <f t="shared" si="294"/>
        <v>51640000</v>
      </c>
      <c r="AC1016" s="117">
        <f t="shared" si="295"/>
        <v>58.333333333333336</v>
      </c>
      <c r="AD1016" s="1196">
        <f t="shared" si="296"/>
        <v>42.189542483660134</v>
      </c>
      <c r="AE1016" s="89"/>
      <c r="AF1016" s="750"/>
      <c r="AG1016" s="750"/>
      <c r="AH1016" s="750"/>
      <c r="AI1016" s="750"/>
      <c r="AJ1016" s="750"/>
      <c r="AK1016" s="750"/>
      <c r="AL1016" s="750"/>
      <c r="AM1016" s="750"/>
      <c r="AN1016" s="750"/>
      <c r="AO1016" s="750"/>
      <c r="AP1016" s="750"/>
      <c r="AQ1016" s="750"/>
      <c r="AR1016" s="750"/>
      <c r="AS1016" s="750"/>
      <c r="AT1016" s="750"/>
      <c r="AU1016" s="750"/>
      <c r="AV1016" s="750"/>
      <c r="AW1016" s="750"/>
      <c r="AX1016" s="750"/>
      <c r="AY1016" s="750"/>
      <c r="AZ1016" s="750"/>
      <c r="BA1016" s="750"/>
      <c r="BB1016" s="750"/>
      <c r="BC1016" s="1105"/>
      <c r="BD1016" s="8"/>
      <c r="BE1016" s="8"/>
      <c r="BF1016" s="8"/>
      <c r="BG1016" s="8"/>
      <c r="BH1016" s="8"/>
      <c r="BI1016" s="8"/>
      <c r="BJ1016" s="8"/>
      <c r="BK1016" s="8"/>
      <c r="BL1016" s="8"/>
      <c r="BM1016" s="8"/>
      <c r="BN1016" s="8"/>
      <c r="BO1016" s="8"/>
      <c r="BP1016" s="8"/>
      <c r="BQ1016" s="8"/>
    </row>
    <row r="1017" spans="1:70" ht="49.5">
      <c r="A1017" s="89"/>
      <c r="B1017" s="100"/>
      <c r="C1017" s="100"/>
      <c r="D1017" s="100"/>
      <c r="E1017" s="100"/>
      <c r="F1017" s="100"/>
      <c r="G1017" s="100"/>
      <c r="H1017" s="100"/>
      <c r="I1017" s="114" t="s">
        <v>75</v>
      </c>
      <c r="J1017" s="124" t="s">
        <v>2951</v>
      </c>
      <c r="K1017" s="100">
        <v>72</v>
      </c>
      <c r="L1017" s="125">
        <v>202150000</v>
      </c>
      <c r="M1017" s="100">
        <v>36</v>
      </c>
      <c r="N1017" s="125">
        <f>45797500+38369200</f>
        <v>84166700</v>
      </c>
      <c r="O1017" s="97">
        <v>12</v>
      </c>
      <c r="P1017" s="125">
        <v>50475000</v>
      </c>
      <c r="Q1017" s="111">
        <v>3</v>
      </c>
      <c r="R1017" s="125">
        <v>4229600</v>
      </c>
      <c r="S1017" s="823">
        <v>3</v>
      </c>
      <c r="T1017" s="111">
        <v>5517200</v>
      </c>
      <c r="U1017" s="1196"/>
      <c r="V1017" s="125"/>
      <c r="W1017" s="1196"/>
      <c r="X1017" s="125"/>
      <c r="Y1017" s="1196">
        <f t="shared" si="291"/>
        <v>6</v>
      </c>
      <c r="Z1017" s="125">
        <f t="shared" si="292"/>
        <v>9746800</v>
      </c>
      <c r="AA1017" s="97">
        <f t="shared" si="293"/>
        <v>42</v>
      </c>
      <c r="AB1017" s="111">
        <f t="shared" si="294"/>
        <v>93913500</v>
      </c>
      <c r="AC1017" s="117">
        <f t="shared" si="295"/>
        <v>58.333333333333336</v>
      </c>
      <c r="AD1017" s="1196">
        <f t="shared" si="296"/>
        <v>46.457333663121439</v>
      </c>
      <c r="AE1017" s="89"/>
      <c r="AF1017" s="750"/>
      <c r="AG1017" s="750"/>
      <c r="AH1017" s="750"/>
      <c r="AI1017" s="750"/>
      <c r="AJ1017" s="750"/>
      <c r="AK1017" s="750"/>
      <c r="AL1017" s="750"/>
      <c r="AM1017" s="750"/>
      <c r="AN1017" s="750"/>
      <c r="AO1017" s="750"/>
      <c r="AP1017" s="750"/>
      <c r="AQ1017" s="750"/>
      <c r="AR1017" s="750"/>
      <c r="AS1017" s="750"/>
      <c r="AT1017" s="750"/>
      <c r="AU1017" s="750"/>
      <c r="AV1017" s="750"/>
      <c r="AW1017" s="750"/>
      <c r="AX1017" s="750"/>
      <c r="AY1017" s="750"/>
      <c r="AZ1017" s="750"/>
      <c r="BA1017" s="750"/>
      <c r="BB1017" s="750"/>
      <c r="BC1017" s="1105"/>
      <c r="BD1017" s="8"/>
      <c r="BE1017" s="8"/>
      <c r="BF1017" s="8"/>
      <c r="BG1017" s="8"/>
      <c r="BH1017" s="8"/>
      <c r="BI1017" s="8"/>
      <c r="BJ1017" s="8"/>
      <c r="BK1017" s="8"/>
      <c r="BL1017" s="8"/>
      <c r="BM1017" s="8"/>
      <c r="BN1017" s="8"/>
      <c r="BO1017" s="8"/>
      <c r="BP1017" s="8"/>
      <c r="BQ1017" s="8"/>
    </row>
    <row r="1018" spans="1:70" ht="49.5">
      <c r="A1018" s="89"/>
      <c r="B1018" s="100"/>
      <c r="C1018" s="100"/>
      <c r="D1018" s="100"/>
      <c r="E1018" s="100"/>
      <c r="F1018" s="100"/>
      <c r="G1018" s="100"/>
      <c r="H1018" s="100"/>
      <c r="I1018" s="114" t="s">
        <v>76</v>
      </c>
      <c r="J1018" s="124" t="s">
        <v>2952</v>
      </c>
      <c r="K1018" s="100">
        <v>72</v>
      </c>
      <c r="L1018" s="125">
        <v>1419650000</v>
      </c>
      <c r="M1018" s="100">
        <v>36</v>
      </c>
      <c r="N1018" s="125">
        <f>344217400+108819800</f>
        <v>453037200</v>
      </c>
      <c r="O1018" s="97">
        <v>12</v>
      </c>
      <c r="P1018" s="125">
        <v>39450000</v>
      </c>
      <c r="Q1018" s="111">
        <v>3</v>
      </c>
      <c r="R1018" s="125">
        <v>11000000</v>
      </c>
      <c r="S1018" s="823">
        <v>3</v>
      </c>
      <c r="T1018" s="111">
        <v>7550000</v>
      </c>
      <c r="U1018" s="1196"/>
      <c r="V1018" s="125"/>
      <c r="W1018" s="1196"/>
      <c r="X1018" s="125"/>
      <c r="Y1018" s="1196">
        <f t="shared" si="291"/>
        <v>6</v>
      </c>
      <c r="Z1018" s="125">
        <f t="shared" si="292"/>
        <v>18550000</v>
      </c>
      <c r="AA1018" s="97">
        <f t="shared" si="293"/>
        <v>42</v>
      </c>
      <c r="AB1018" s="111">
        <f t="shared" si="294"/>
        <v>471587200</v>
      </c>
      <c r="AC1018" s="117">
        <f t="shared" si="295"/>
        <v>58.333333333333336</v>
      </c>
      <c r="AD1018" s="1196">
        <f t="shared" si="296"/>
        <v>33.21855386891135</v>
      </c>
      <c r="AE1018" s="89"/>
      <c r="AF1018" s="750"/>
      <c r="AG1018" s="750"/>
      <c r="AH1018" s="750"/>
      <c r="AI1018" s="750"/>
      <c r="AJ1018" s="750"/>
      <c r="AK1018" s="750"/>
      <c r="AL1018" s="750"/>
      <c r="AM1018" s="750"/>
      <c r="AN1018" s="750"/>
      <c r="AO1018" s="750"/>
      <c r="AP1018" s="750"/>
      <c r="AQ1018" s="750"/>
      <c r="AR1018" s="750"/>
      <c r="AS1018" s="750"/>
      <c r="AT1018" s="750"/>
      <c r="AU1018" s="750"/>
      <c r="AV1018" s="750"/>
      <c r="AW1018" s="750"/>
      <c r="AX1018" s="750"/>
      <c r="AY1018" s="750"/>
      <c r="AZ1018" s="750"/>
      <c r="BA1018" s="750"/>
      <c r="BB1018" s="750"/>
      <c r="BC1018" s="1105"/>
      <c r="BD1018" s="8"/>
      <c r="BE1018" s="8"/>
      <c r="BF1018" s="8"/>
      <c r="BG1018" s="8"/>
      <c r="BH1018" s="8"/>
      <c r="BI1018" s="8"/>
      <c r="BJ1018" s="8"/>
      <c r="BK1018" s="8"/>
      <c r="BL1018" s="8"/>
      <c r="BM1018" s="8"/>
      <c r="BN1018" s="8"/>
      <c r="BO1018" s="8"/>
      <c r="BP1018" s="8"/>
      <c r="BQ1018" s="8"/>
    </row>
    <row r="1019" spans="1:70" ht="49.5">
      <c r="A1019" s="89"/>
      <c r="B1019" s="100"/>
      <c r="C1019" s="100"/>
      <c r="D1019" s="100"/>
      <c r="E1019" s="100"/>
      <c r="F1019" s="100"/>
      <c r="G1019" s="100"/>
      <c r="H1019" s="100"/>
      <c r="I1019" s="114" t="s">
        <v>77</v>
      </c>
      <c r="J1019" s="124" t="s">
        <v>2953</v>
      </c>
      <c r="K1019" s="100">
        <v>72</v>
      </c>
      <c r="L1019" s="125">
        <v>1062200000</v>
      </c>
      <c r="M1019" s="100">
        <v>36</v>
      </c>
      <c r="N1019" s="125">
        <f>316250000+36760000</f>
        <v>353010000</v>
      </c>
      <c r="O1019" s="97">
        <v>12</v>
      </c>
      <c r="P1019" s="125">
        <v>100500000</v>
      </c>
      <c r="Q1019" s="111">
        <v>3</v>
      </c>
      <c r="R1019" s="125">
        <v>16905000</v>
      </c>
      <c r="S1019" s="823">
        <v>3</v>
      </c>
      <c r="T1019" s="111">
        <v>34770000</v>
      </c>
      <c r="U1019" s="1196"/>
      <c r="V1019" s="125"/>
      <c r="W1019" s="1196"/>
      <c r="X1019" s="125"/>
      <c r="Y1019" s="1196">
        <f t="shared" si="291"/>
        <v>6</v>
      </c>
      <c r="Z1019" s="125">
        <f t="shared" si="292"/>
        <v>51675000</v>
      </c>
      <c r="AA1019" s="97">
        <f t="shared" si="293"/>
        <v>42</v>
      </c>
      <c r="AB1019" s="111">
        <f t="shared" si="294"/>
        <v>404685000</v>
      </c>
      <c r="AC1019" s="117">
        <f t="shared" si="295"/>
        <v>58.333333333333336</v>
      </c>
      <c r="AD1019" s="1196">
        <f t="shared" si="296"/>
        <v>38.098757296177745</v>
      </c>
      <c r="AE1019" s="89"/>
      <c r="AF1019" s="750"/>
      <c r="AG1019" s="750"/>
      <c r="AH1019" s="750"/>
      <c r="AI1019" s="750"/>
      <c r="AJ1019" s="750"/>
      <c r="AK1019" s="750"/>
      <c r="AL1019" s="750"/>
      <c r="AM1019" s="750"/>
      <c r="AN1019" s="750"/>
      <c r="AO1019" s="750"/>
      <c r="AP1019" s="750"/>
      <c r="AQ1019" s="750"/>
      <c r="AR1019" s="750"/>
      <c r="AS1019" s="750"/>
      <c r="AT1019" s="750"/>
      <c r="AU1019" s="750"/>
      <c r="AV1019" s="750"/>
      <c r="AW1019" s="750"/>
      <c r="AX1019" s="750"/>
      <c r="AY1019" s="750"/>
      <c r="AZ1019" s="750"/>
      <c r="BA1019" s="750"/>
      <c r="BB1019" s="750"/>
      <c r="BC1019" s="1105"/>
      <c r="BD1019" s="8"/>
      <c r="BE1019" s="8"/>
      <c r="BF1019" s="8"/>
      <c r="BG1019" s="8"/>
      <c r="BH1019" s="8"/>
      <c r="BI1019" s="8"/>
      <c r="BJ1019" s="8"/>
      <c r="BK1019" s="8"/>
      <c r="BL1019" s="8"/>
      <c r="BM1019" s="8"/>
      <c r="BN1019" s="8"/>
      <c r="BO1019" s="8"/>
      <c r="BP1019" s="8"/>
      <c r="BQ1019" s="8"/>
    </row>
    <row r="1020" spans="1:70" ht="33">
      <c r="A1020" s="89"/>
      <c r="B1020" s="100"/>
      <c r="C1020" s="100"/>
      <c r="D1020" s="100"/>
      <c r="E1020" s="100"/>
      <c r="F1020" s="100"/>
      <c r="G1020" s="100"/>
      <c r="H1020" s="100"/>
      <c r="I1020" s="114" t="s">
        <v>1085</v>
      </c>
      <c r="J1020" s="124" t="s">
        <v>2954</v>
      </c>
      <c r="K1020" s="100">
        <v>36</v>
      </c>
      <c r="L1020" s="125">
        <v>351260000</v>
      </c>
      <c r="M1020" s="100">
        <v>18</v>
      </c>
      <c r="N1020" s="125">
        <f>90842760+79008830</f>
        <v>169851590</v>
      </c>
      <c r="O1020" s="97">
        <v>6</v>
      </c>
      <c r="P1020" s="125">
        <v>110567600</v>
      </c>
      <c r="Q1020" s="111">
        <v>3</v>
      </c>
      <c r="R1020" s="125">
        <v>6345000</v>
      </c>
      <c r="S1020" s="823">
        <v>3</v>
      </c>
      <c r="T1020" s="111">
        <v>6563120</v>
      </c>
      <c r="U1020" s="1196"/>
      <c r="V1020" s="125"/>
      <c r="W1020" s="1196"/>
      <c r="X1020" s="125"/>
      <c r="Y1020" s="1196">
        <f t="shared" si="291"/>
        <v>6</v>
      </c>
      <c r="Z1020" s="125">
        <f t="shared" si="292"/>
        <v>12908120</v>
      </c>
      <c r="AA1020" s="97">
        <f t="shared" si="293"/>
        <v>24</v>
      </c>
      <c r="AB1020" s="111">
        <f t="shared" si="294"/>
        <v>182759710</v>
      </c>
      <c r="AC1020" s="117">
        <f t="shared" si="295"/>
        <v>66.666666666666657</v>
      </c>
      <c r="AD1020" s="1196">
        <f t="shared" si="296"/>
        <v>52.029752889597447</v>
      </c>
      <c r="AE1020" s="89"/>
      <c r="AF1020" s="750"/>
      <c r="AG1020" s="750"/>
      <c r="AH1020" s="750"/>
      <c r="AI1020" s="750"/>
      <c r="AJ1020" s="750"/>
      <c r="AK1020" s="750"/>
      <c r="AL1020" s="750"/>
      <c r="AM1020" s="750"/>
      <c r="AN1020" s="750"/>
      <c r="AO1020" s="750"/>
      <c r="AP1020" s="750"/>
      <c r="AQ1020" s="750"/>
      <c r="AR1020" s="750"/>
      <c r="AS1020" s="750"/>
      <c r="AT1020" s="750"/>
      <c r="AU1020" s="750"/>
      <c r="AV1020" s="750"/>
      <c r="AW1020" s="750"/>
      <c r="AX1020" s="750"/>
      <c r="AY1020" s="750"/>
      <c r="AZ1020" s="750"/>
      <c r="BA1020" s="750"/>
      <c r="BB1020" s="750"/>
      <c r="BC1020" s="1105"/>
      <c r="BD1020" s="8"/>
      <c r="BE1020" s="8"/>
      <c r="BF1020" s="8"/>
      <c r="BG1020" s="8"/>
      <c r="BH1020" s="8"/>
      <c r="BI1020" s="8"/>
      <c r="BJ1020" s="8"/>
      <c r="BK1020" s="8"/>
      <c r="BL1020" s="8"/>
      <c r="BM1020" s="8"/>
      <c r="BN1020" s="8"/>
      <c r="BO1020" s="8"/>
      <c r="BP1020" s="8"/>
      <c r="BQ1020" s="8"/>
    </row>
    <row r="1021" spans="1:70" ht="49.5">
      <c r="A1021" s="89"/>
      <c r="B1021" s="100"/>
      <c r="C1021" s="100"/>
      <c r="D1021" s="100"/>
      <c r="E1021" s="100"/>
      <c r="F1021" s="100"/>
      <c r="G1021" s="100"/>
      <c r="H1021" s="100"/>
      <c r="I1021" s="114" t="s">
        <v>2279</v>
      </c>
      <c r="J1021" s="124" t="s">
        <v>2955</v>
      </c>
      <c r="K1021" s="100">
        <v>72</v>
      </c>
      <c r="L1021" s="125">
        <v>78000000</v>
      </c>
      <c r="M1021" s="100">
        <v>36</v>
      </c>
      <c r="N1021" s="125">
        <f>26000000+13000000</f>
        <v>39000000</v>
      </c>
      <c r="O1021" s="97">
        <v>12</v>
      </c>
      <c r="P1021" s="125">
        <v>26000000</v>
      </c>
      <c r="Q1021" s="111">
        <v>3</v>
      </c>
      <c r="R1021" s="125">
        <v>4000000</v>
      </c>
      <c r="S1021" s="823">
        <v>3</v>
      </c>
      <c r="T1021" s="111">
        <v>8000000</v>
      </c>
      <c r="U1021" s="1196"/>
      <c r="V1021" s="125"/>
      <c r="W1021" s="1196"/>
      <c r="X1021" s="125"/>
      <c r="Y1021" s="1196">
        <f t="shared" si="291"/>
        <v>6</v>
      </c>
      <c r="Z1021" s="125">
        <f t="shared" si="292"/>
        <v>12000000</v>
      </c>
      <c r="AA1021" s="97">
        <f t="shared" si="293"/>
        <v>42</v>
      </c>
      <c r="AB1021" s="111">
        <f t="shared" si="294"/>
        <v>51000000</v>
      </c>
      <c r="AC1021" s="117">
        <f t="shared" si="295"/>
        <v>58.333333333333336</v>
      </c>
      <c r="AD1021" s="1196">
        <f t="shared" si="296"/>
        <v>65.384615384615387</v>
      </c>
      <c r="AE1021" s="89"/>
      <c r="AF1021" s="750"/>
      <c r="AG1021" s="750"/>
      <c r="AH1021" s="750"/>
      <c r="AI1021" s="750"/>
      <c r="AJ1021" s="750"/>
      <c r="AK1021" s="750"/>
      <c r="AL1021" s="750"/>
      <c r="AM1021" s="750"/>
      <c r="AN1021" s="750"/>
      <c r="AO1021" s="750"/>
      <c r="AP1021" s="750"/>
      <c r="AQ1021" s="750"/>
      <c r="AR1021" s="750"/>
      <c r="AS1021" s="750"/>
      <c r="AT1021" s="750"/>
      <c r="AU1021" s="750"/>
      <c r="AV1021" s="750"/>
      <c r="AW1021" s="750"/>
      <c r="AX1021" s="750"/>
      <c r="AY1021" s="750"/>
      <c r="AZ1021" s="750"/>
      <c r="BA1021" s="750"/>
      <c r="BB1021" s="750"/>
      <c r="BC1021" s="1105"/>
      <c r="BD1021" s="8"/>
      <c r="BE1021" s="8"/>
      <c r="BF1021" s="8"/>
      <c r="BG1021" s="8"/>
      <c r="BH1021" s="8"/>
      <c r="BI1021" s="8"/>
      <c r="BJ1021" s="8"/>
      <c r="BK1021" s="8"/>
      <c r="BL1021" s="8"/>
      <c r="BM1021" s="8"/>
      <c r="BN1021" s="8"/>
      <c r="BO1021" s="8"/>
      <c r="BP1021" s="8"/>
      <c r="BQ1021" s="8"/>
    </row>
    <row r="1022" spans="1:70" ht="66">
      <c r="A1022" s="89"/>
      <c r="B1022" s="100"/>
      <c r="C1022" s="100"/>
      <c r="D1022" s="100"/>
      <c r="E1022" s="100"/>
      <c r="F1022" s="100"/>
      <c r="G1022" s="100"/>
      <c r="H1022" s="100"/>
      <c r="I1022" s="114" t="s">
        <v>925</v>
      </c>
      <c r="J1022" s="124" t="s">
        <v>2956</v>
      </c>
      <c r="K1022" s="100">
        <v>36</v>
      </c>
      <c r="L1022" s="125">
        <v>39000000</v>
      </c>
      <c r="M1022" s="100">
        <v>0</v>
      </c>
      <c r="N1022" s="125">
        <v>0</v>
      </c>
      <c r="O1022" s="97">
        <v>12</v>
      </c>
      <c r="P1022" s="125">
        <v>13000000</v>
      </c>
      <c r="Q1022" s="111">
        <v>3</v>
      </c>
      <c r="R1022" s="125">
        <v>2000000</v>
      </c>
      <c r="S1022" s="823">
        <v>3</v>
      </c>
      <c r="T1022" s="111">
        <v>4000000</v>
      </c>
      <c r="U1022" s="1196"/>
      <c r="V1022" s="125"/>
      <c r="W1022" s="1196"/>
      <c r="X1022" s="125"/>
      <c r="Y1022" s="1196">
        <f t="shared" si="291"/>
        <v>6</v>
      </c>
      <c r="Z1022" s="125">
        <f t="shared" si="292"/>
        <v>6000000</v>
      </c>
      <c r="AA1022" s="97">
        <f t="shared" si="293"/>
        <v>6</v>
      </c>
      <c r="AB1022" s="111">
        <f t="shared" si="294"/>
        <v>6000000</v>
      </c>
      <c r="AC1022" s="117">
        <f t="shared" si="295"/>
        <v>16.666666666666664</v>
      </c>
      <c r="AD1022" s="1196">
        <f t="shared" si="296"/>
        <v>15.384615384615385</v>
      </c>
      <c r="AE1022" s="89"/>
      <c r="AF1022" s="750"/>
      <c r="AG1022" s="750"/>
      <c r="AH1022" s="750"/>
      <c r="AI1022" s="750"/>
      <c r="AJ1022" s="750"/>
      <c r="AK1022" s="750"/>
      <c r="AL1022" s="750"/>
      <c r="AM1022" s="750"/>
      <c r="AN1022" s="750"/>
      <c r="AO1022" s="750"/>
      <c r="AP1022" s="750"/>
      <c r="AQ1022" s="750"/>
      <c r="AR1022" s="750"/>
      <c r="AS1022" s="750"/>
      <c r="AT1022" s="750"/>
      <c r="AU1022" s="750"/>
      <c r="AV1022" s="750"/>
      <c r="AW1022" s="750"/>
      <c r="AX1022" s="750"/>
      <c r="AY1022" s="750"/>
      <c r="AZ1022" s="750"/>
      <c r="BA1022" s="750"/>
      <c r="BB1022" s="750"/>
      <c r="BC1022" s="1105"/>
      <c r="BD1022" s="8"/>
      <c r="BE1022" s="8"/>
      <c r="BF1022" s="8"/>
      <c r="BG1022" s="8"/>
      <c r="BH1022" s="8"/>
      <c r="BI1022" s="8"/>
      <c r="BJ1022" s="8"/>
      <c r="BK1022" s="8"/>
      <c r="BL1022" s="8"/>
      <c r="BM1022" s="8"/>
      <c r="BN1022" s="8"/>
      <c r="BO1022" s="8"/>
      <c r="BP1022" s="8"/>
      <c r="BQ1022" s="8"/>
    </row>
    <row r="1023" spans="1:70" s="1315" customFormat="1" ht="82.5">
      <c r="A1023" s="2558">
        <v>2</v>
      </c>
      <c r="B1023" s="545"/>
      <c r="C1023" s="545"/>
      <c r="D1023" s="545"/>
      <c r="E1023" s="545"/>
      <c r="F1023" s="545"/>
      <c r="G1023" s="545"/>
      <c r="H1023" s="156"/>
      <c r="I1023" s="142" t="s">
        <v>2957</v>
      </c>
      <c r="J1023" s="629" t="s">
        <v>2837</v>
      </c>
      <c r="K1023" s="545">
        <v>72</v>
      </c>
      <c r="L1023" s="230">
        <f>SUM(L1024:L1027)</f>
        <v>3059059000</v>
      </c>
      <c r="M1023" s="1760">
        <v>36</v>
      </c>
      <c r="N1023" s="230">
        <f>SUM(N1024:N1027)</f>
        <v>1585847483</v>
      </c>
      <c r="O1023" s="291">
        <v>12</v>
      </c>
      <c r="P1023" s="230">
        <f>SUM(P1024:P1028)</f>
        <v>785356129</v>
      </c>
      <c r="Q1023" s="1240">
        <v>3</v>
      </c>
      <c r="R1023" s="230">
        <f>SUM(R1024:R1027)</f>
        <v>54743826</v>
      </c>
      <c r="S1023" s="292">
        <f>(S1024+S1025+S1026)/3</f>
        <v>1</v>
      </c>
      <c r="T1023" s="230">
        <f>SUM(T1024:T1028)</f>
        <v>80550321</v>
      </c>
      <c r="U1023" s="292"/>
      <c r="V1023" s="230">
        <f>SUM(V1024:V1026)</f>
        <v>0</v>
      </c>
      <c r="W1023" s="292">
        <f>(W1024+W1025+W1026)/3</f>
        <v>0</v>
      </c>
      <c r="X1023" s="230"/>
      <c r="Y1023" s="292">
        <f t="shared" si="291"/>
        <v>4</v>
      </c>
      <c r="Z1023" s="230">
        <f t="shared" si="292"/>
        <v>135294147</v>
      </c>
      <c r="AA1023" s="292">
        <f t="shared" si="293"/>
        <v>40</v>
      </c>
      <c r="AB1023" s="160">
        <f t="shared" si="294"/>
        <v>1721141630</v>
      </c>
      <c r="AC1023" s="148">
        <f t="shared" si="295"/>
        <v>55.555555555555557</v>
      </c>
      <c r="AD1023" s="292">
        <f t="shared" si="296"/>
        <v>56.26376052243517</v>
      </c>
      <c r="AE1023" s="2558" t="s">
        <v>122</v>
      </c>
      <c r="AF1023" s="1345"/>
      <c r="AG1023" s="1345"/>
      <c r="AH1023" s="1345"/>
      <c r="AI1023" s="1345"/>
      <c r="AJ1023" s="1345"/>
      <c r="AK1023" s="1345"/>
      <c r="AL1023" s="1345"/>
      <c r="AM1023" s="1345"/>
      <c r="AN1023" s="1345"/>
      <c r="AO1023" s="1345"/>
      <c r="AP1023" s="1345"/>
      <c r="AQ1023" s="1345"/>
      <c r="AR1023" s="1345"/>
      <c r="AS1023" s="1345"/>
      <c r="AT1023" s="1345"/>
      <c r="AU1023" s="1345"/>
      <c r="AV1023" s="1345"/>
      <c r="AW1023" s="1345"/>
      <c r="AX1023" s="1345"/>
      <c r="AY1023" s="1345"/>
      <c r="AZ1023" s="1345"/>
      <c r="BA1023" s="1345"/>
      <c r="BB1023" s="1345"/>
      <c r="BC1023" s="1346"/>
      <c r="BD1023" s="1346"/>
      <c r="BE1023" s="1346"/>
      <c r="BF1023" s="1346"/>
      <c r="BG1023" s="1346"/>
      <c r="BH1023" s="1346"/>
      <c r="BI1023" s="1346"/>
      <c r="BJ1023" s="1346"/>
      <c r="BK1023" s="1346"/>
      <c r="BL1023" s="1346"/>
      <c r="BM1023" s="1346"/>
      <c r="BN1023" s="1346"/>
      <c r="BO1023" s="1346"/>
      <c r="BP1023" s="1346"/>
      <c r="BQ1023" s="1346"/>
      <c r="BR1023" s="1346"/>
    </row>
    <row r="1024" spans="1:70" ht="36.75" customHeight="1">
      <c r="A1024" s="102"/>
      <c r="B1024" s="107"/>
      <c r="C1024" s="107"/>
      <c r="D1024" s="107"/>
      <c r="E1024" s="107"/>
      <c r="F1024" s="107"/>
      <c r="G1024" s="107"/>
      <c r="H1024" s="107"/>
      <c r="I1024" s="313" t="s">
        <v>2280</v>
      </c>
      <c r="J1024" s="780" t="s">
        <v>2958</v>
      </c>
      <c r="K1024" s="107">
        <v>4</v>
      </c>
      <c r="L1024" s="238">
        <v>800000000</v>
      </c>
      <c r="M1024" s="238">
        <v>1</v>
      </c>
      <c r="N1024" s="238">
        <f>532871100+50291070</f>
        <v>583162170</v>
      </c>
      <c r="O1024" s="107">
        <v>1</v>
      </c>
      <c r="P1024" s="238">
        <v>59675130</v>
      </c>
      <c r="Q1024" s="786">
        <v>0</v>
      </c>
      <c r="R1024" s="238">
        <v>0</v>
      </c>
      <c r="S1024" s="1761"/>
      <c r="T1024" s="204">
        <v>0</v>
      </c>
      <c r="U1024" s="1761"/>
      <c r="V1024" s="238"/>
      <c r="W1024" s="1761"/>
      <c r="X1024" s="238"/>
      <c r="Y1024" s="1761">
        <f t="shared" si="291"/>
        <v>0</v>
      </c>
      <c r="Z1024" s="238">
        <f t="shared" si="292"/>
        <v>0</v>
      </c>
      <c r="AA1024" s="109">
        <f t="shared" si="293"/>
        <v>1</v>
      </c>
      <c r="AB1024" s="204">
        <f t="shared" si="294"/>
        <v>583162170</v>
      </c>
      <c r="AC1024" s="499">
        <f t="shared" si="295"/>
        <v>25</v>
      </c>
      <c r="AD1024" s="1761">
        <f t="shared" si="296"/>
        <v>72.895271250000008</v>
      </c>
      <c r="AE1024" s="102"/>
    </row>
    <row r="1025" spans="1:70" ht="33">
      <c r="A1025" s="102"/>
      <c r="B1025" s="107"/>
      <c r="C1025" s="107"/>
      <c r="D1025" s="107"/>
      <c r="E1025" s="107"/>
      <c r="F1025" s="107"/>
      <c r="G1025" s="107"/>
      <c r="H1025" s="107"/>
      <c r="I1025" s="780" t="s">
        <v>2281</v>
      </c>
      <c r="J1025" s="780" t="s">
        <v>2959</v>
      </c>
      <c r="K1025" s="107">
        <v>72</v>
      </c>
      <c r="L1025" s="238">
        <v>508500000</v>
      </c>
      <c r="M1025" s="1762">
        <v>36</v>
      </c>
      <c r="N1025" s="238">
        <f>167250000+131347527</f>
        <v>298597527</v>
      </c>
      <c r="O1025" s="1762">
        <v>12</v>
      </c>
      <c r="P1025" s="238">
        <v>60200000</v>
      </c>
      <c r="Q1025" s="786">
        <v>0</v>
      </c>
      <c r="R1025" s="238">
        <v>0</v>
      </c>
      <c r="S1025" s="1761"/>
      <c r="T1025" s="204">
        <v>0</v>
      </c>
      <c r="U1025" s="1761"/>
      <c r="V1025" s="238"/>
      <c r="W1025" s="1761"/>
      <c r="X1025" s="238"/>
      <c r="Y1025" s="1761">
        <f t="shared" si="291"/>
        <v>0</v>
      </c>
      <c r="Z1025" s="238">
        <f t="shared" si="292"/>
        <v>0</v>
      </c>
      <c r="AA1025" s="109">
        <f t="shared" si="293"/>
        <v>36</v>
      </c>
      <c r="AB1025" s="204">
        <f t="shared" si="294"/>
        <v>298597527</v>
      </c>
      <c r="AC1025" s="499">
        <f t="shared" si="295"/>
        <v>50</v>
      </c>
      <c r="AD1025" s="1761">
        <f t="shared" si="296"/>
        <v>58.72124424778761</v>
      </c>
      <c r="AE1025" s="102"/>
    </row>
    <row r="1026" spans="1:70" ht="49.5">
      <c r="A1026" s="102"/>
      <c r="B1026" s="107"/>
      <c r="C1026" s="107"/>
      <c r="D1026" s="107"/>
      <c r="E1026" s="107"/>
      <c r="F1026" s="107"/>
      <c r="G1026" s="107"/>
      <c r="H1026" s="107"/>
      <c r="I1026" s="313" t="s">
        <v>2282</v>
      </c>
      <c r="J1026" s="780" t="s">
        <v>2960</v>
      </c>
      <c r="K1026" s="107">
        <v>72</v>
      </c>
      <c r="L1026" s="238">
        <v>1646309000</v>
      </c>
      <c r="M1026" s="1762">
        <v>36</v>
      </c>
      <c r="N1026" s="238">
        <f>438970450+265117336</f>
        <v>704087786</v>
      </c>
      <c r="O1026" s="1762">
        <v>12</v>
      </c>
      <c r="P1026" s="238">
        <v>355105000</v>
      </c>
      <c r="Q1026" s="786">
        <v>3</v>
      </c>
      <c r="R1026" s="238">
        <v>52972576</v>
      </c>
      <c r="S1026" s="786">
        <v>3</v>
      </c>
      <c r="T1026" s="204">
        <v>80050321</v>
      </c>
      <c r="U1026" s="1761"/>
      <c r="V1026" s="238"/>
      <c r="W1026" s="1761"/>
      <c r="X1026" s="238"/>
      <c r="Y1026" s="109">
        <f t="shared" si="291"/>
        <v>6</v>
      </c>
      <c r="Z1026" s="238">
        <f t="shared" si="292"/>
        <v>133022897</v>
      </c>
      <c r="AA1026" s="109">
        <f t="shared" si="293"/>
        <v>42</v>
      </c>
      <c r="AB1026" s="204">
        <f t="shared" si="294"/>
        <v>837110683</v>
      </c>
      <c r="AC1026" s="499">
        <f t="shared" si="295"/>
        <v>58.333333333333336</v>
      </c>
      <c r="AD1026" s="1761">
        <f t="shared" si="296"/>
        <v>50.847725609226458</v>
      </c>
      <c r="AE1026" s="102"/>
    </row>
    <row r="1027" spans="1:70" ht="66">
      <c r="A1027" s="102"/>
      <c r="B1027" s="107"/>
      <c r="C1027" s="107"/>
      <c r="D1027" s="107"/>
      <c r="E1027" s="107"/>
      <c r="F1027" s="107"/>
      <c r="G1027" s="107"/>
      <c r="H1027" s="107"/>
      <c r="I1027" s="313" t="s">
        <v>2283</v>
      </c>
      <c r="J1027" s="780" t="s">
        <v>2961</v>
      </c>
      <c r="K1027" s="107">
        <v>2</v>
      </c>
      <c r="L1027" s="238">
        <f>P1027</f>
        <v>104250000</v>
      </c>
      <c r="M1027" s="1762">
        <v>0</v>
      </c>
      <c r="N1027" s="238">
        <v>0</v>
      </c>
      <c r="O1027" s="1762">
        <v>2</v>
      </c>
      <c r="P1027" s="238">
        <v>104250000</v>
      </c>
      <c r="Q1027" s="786">
        <v>0</v>
      </c>
      <c r="R1027" s="238">
        <v>1771250</v>
      </c>
      <c r="S1027" s="1761"/>
      <c r="T1027" s="204">
        <v>500000</v>
      </c>
      <c r="U1027" s="1761"/>
      <c r="V1027" s="238"/>
      <c r="W1027" s="1761"/>
      <c r="X1027" s="238"/>
      <c r="Y1027" s="109">
        <f t="shared" si="291"/>
        <v>0</v>
      </c>
      <c r="Z1027" s="238">
        <f t="shared" si="292"/>
        <v>2271250</v>
      </c>
      <c r="AA1027" s="109">
        <f t="shared" si="293"/>
        <v>0</v>
      </c>
      <c r="AB1027" s="204">
        <f t="shared" si="294"/>
        <v>2271250</v>
      </c>
      <c r="AC1027" s="499">
        <f t="shared" si="295"/>
        <v>0</v>
      </c>
      <c r="AD1027" s="1761">
        <f t="shared" si="296"/>
        <v>2.1786570743405278</v>
      </c>
      <c r="AE1027" s="102"/>
    </row>
    <row r="1028" spans="1:70" ht="54" customHeight="1">
      <c r="A1028" s="102"/>
      <c r="B1028" s="107"/>
      <c r="C1028" s="107"/>
      <c r="D1028" s="107"/>
      <c r="E1028" s="107"/>
      <c r="F1028" s="107"/>
      <c r="G1028" s="107"/>
      <c r="H1028" s="107"/>
      <c r="I1028" s="313" t="s">
        <v>531</v>
      </c>
      <c r="J1028" s="780" t="s">
        <v>2962</v>
      </c>
      <c r="K1028" s="107">
        <v>1</v>
      </c>
      <c r="L1028" s="238">
        <f>P1028</f>
        <v>206125999</v>
      </c>
      <c r="M1028" s="1762">
        <v>0</v>
      </c>
      <c r="N1028" s="238">
        <v>0</v>
      </c>
      <c r="O1028" s="1762">
        <v>1</v>
      </c>
      <c r="P1028" s="238">
        <v>206125999</v>
      </c>
      <c r="Q1028" s="786">
        <v>0</v>
      </c>
      <c r="R1028" s="238">
        <v>0</v>
      </c>
      <c r="S1028" s="1761"/>
      <c r="T1028" s="204">
        <v>0</v>
      </c>
      <c r="U1028" s="1761"/>
      <c r="V1028" s="238"/>
      <c r="W1028" s="1761"/>
      <c r="X1028" s="238"/>
      <c r="Y1028" s="109">
        <f t="shared" si="291"/>
        <v>0</v>
      </c>
      <c r="Z1028" s="238">
        <f t="shared" si="292"/>
        <v>0</v>
      </c>
      <c r="AA1028" s="109">
        <f t="shared" si="293"/>
        <v>0</v>
      </c>
      <c r="AB1028" s="204">
        <f t="shared" si="294"/>
        <v>0</v>
      </c>
      <c r="AC1028" s="499">
        <f t="shared" si="295"/>
        <v>0</v>
      </c>
      <c r="AD1028" s="1761">
        <f t="shared" si="296"/>
        <v>0</v>
      </c>
      <c r="AE1028" s="102"/>
    </row>
    <row r="1029" spans="1:70" s="16" customFormat="1" ht="66">
      <c r="A1029" s="2558">
        <v>3</v>
      </c>
      <c r="B1029" s="545"/>
      <c r="C1029" s="545"/>
      <c r="D1029" s="545"/>
      <c r="E1029" s="545"/>
      <c r="F1029" s="545"/>
      <c r="G1029" s="545"/>
      <c r="H1029" s="156"/>
      <c r="I1029" s="142" t="s">
        <v>1842</v>
      </c>
      <c r="J1029" s="629" t="s">
        <v>2285</v>
      </c>
      <c r="K1029" s="545">
        <v>1</v>
      </c>
      <c r="L1029" s="230">
        <f>SUM(L1030)</f>
        <v>47385000</v>
      </c>
      <c r="M1029" s="1760"/>
      <c r="N1029" s="230">
        <f>SUM(N1030)</f>
        <v>0</v>
      </c>
      <c r="O1029" s="291">
        <f t="shared" ref="O1029:W1029" si="297">O1030</f>
        <v>1</v>
      </c>
      <c r="P1029" s="230">
        <f>SUM(P1030)</f>
        <v>47385000</v>
      </c>
      <c r="Q1029" s="230">
        <f t="shared" si="297"/>
        <v>0</v>
      </c>
      <c r="R1029" s="230">
        <f>SUM(R1030)</f>
        <v>0</v>
      </c>
      <c r="S1029" s="230">
        <f t="shared" si="297"/>
        <v>0</v>
      </c>
      <c r="T1029" s="230">
        <f>SUM(T1030)</f>
        <v>0</v>
      </c>
      <c r="U1029" s="230">
        <f t="shared" si="297"/>
        <v>0</v>
      </c>
      <c r="V1029" s="230">
        <f>SUM(V1030)</f>
        <v>0</v>
      </c>
      <c r="W1029" s="230">
        <f t="shared" si="297"/>
        <v>0</v>
      </c>
      <c r="X1029" s="230">
        <f>SUM(X1030)</f>
        <v>0</v>
      </c>
      <c r="Y1029" s="230">
        <f t="shared" si="291"/>
        <v>0</v>
      </c>
      <c r="Z1029" s="230">
        <f t="shared" si="292"/>
        <v>0</v>
      </c>
      <c r="AA1029" s="230">
        <f t="shared" si="293"/>
        <v>0</v>
      </c>
      <c r="AB1029" s="230">
        <f t="shared" si="294"/>
        <v>0</v>
      </c>
      <c r="AC1029" s="230">
        <f t="shared" si="295"/>
        <v>0</v>
      </c>
      <c r="AD1029" s="230">
        <f t="shared" si="296"/>
        <v>0</v>
      </c>
      <c r="AE1029" s="2558" t="s">
        <v>122</v>
      </c>
      <c r="AF1029" s="201"/>
      <c r="AG1029" s="201"/>
      <c r="AH1029" s="201"/>
      <c r="AI1029" s="201"/>
      <c r="AJ1029" s="201"/>
      <c r="AK1029" s="201"/>
      <c r="AL1029" s="201"/>
      <c r="AM1029" s="201"/>
      <c r="AN1029" s="201"/>
      <c r="AO1029" s="201"/>
      <c r="AP1029" s="201"/>
      <c r="AQ1029" s="201"/>
      <c r="AR1029" s="201"/>
      <c r="AS1029" s="201"/>
      <c r="AT1029" s="201"/>
      <c r="AU1029" s="201"/>
      <c r="AV1029" s="201"/>
      <c r="AW1029" s="201"/>
      <c r="AX1029" s="201"/>
      <c r="AY1029" s="201"/>
      <c r="AZ1029" s="201"/>
      <c r="BA1029" s="201"/>
      <c r="BB1029" s="201"/>
      <c r="BC1029" s="20"/>
      <c r="BD1029" s="20"/>
      <c r="BE1029" s="20"/>
      <c r="BF1029" s="20"/>
      <c r="BG1029" s="20"/>
      <c r="BH1029" s="20"/>
      <c r="BI1029" s="20"/>
      <c r="BJ1029" s="20"/>
      <c r="BK1029" s="20"/>
      <c r="BL1029" s="20"/>
      <c r="BM1029" s="20"/>
      <c r="BN1029" s="20"/>
      <c r="BO1029" s="20"/>
      <c r="BP1029" s="20"/>
      <c r="BQ1029" s="20"/>
      <c r="BR1029" s="20"/>
    </row>
    <row r="1030" spans="1:70" ht="66">
      <c r="A1030" s="89"/>
      <c r="B1030" s="100"/>
      <c r="C1030" s="100"/>
      <c r="D1030" s="100"/>
      <c r="E1030" s="100"/>
      <c r="F1030" s="100"/>
      <c r="G1030" s="100"/>
      <c r="H1030" s="100"/>
      <c r="I1030" s="114" t="s">
        <v>2284</v>
      </c>
      <c r="J1030" s="124" t="s">
        <v>2285</v>
      </c>
      <c r="K1030" s="100">
        <v>1</v>
      </c>
      <c r="L1030" s="125">
        <f>P1030</f>
        <v>47385000</v>
      </c>
      <c r="M1030" s="1241">
        <v>0</v>
      </c>
      <c r="N1030" s="125">
        <v>0</v>
      </c>
      <c r="O1030" s="1241">
        <v>1</v>
      </c>
      <c r="P1030" s="125">
        <v>47385000</v>
      </c>
      <c r="Q1030" s="1196">
        <v>0</v>
      </c>
      <c r="R1030" s="125">
        <v>0</v>
      </c>
      <c r="S1030" s="1196"/>
      <c r="T1030" s="111"/>
      <c r="U1030" s="1196"/>
      <c r="V1030" s="125"/>
      <c r="W1030" s="1196"/>
      <c r="X1030" s="125"/>
      <c r="Y1030" s="97">
        <f t="shared" si="291"/>
        <v>0</v>
      </c>
      <c r="Z1030" s="125">
        <f t="shared" si="292"/>
        <v>0</v>
      </c>
      <c r="AA1030" s="97">
        <f t="shared" si="293"/>
        <v>0</v>
      </c>
      <c r="AB1030" s="111">
        <f t="shared" si="294"/>
        <v>0</v>
      </c>
      <c r="AC1030" s="117">
        <f t="shared" si="295"/>
        <v>0</v>
      </c>
      <c r="AD1030" s="1196">
        <f t="shared" si="296"/>
        <v>0</v>
      </c>
      <c r="AE1030" s="89"/>
    </row>
    <row r="1031" spans="1:70" s="1315" customFormat="1" ht="66">
      <c r="A1031" s="2558">
        <v>4</v>
      </c>
      <c r="B1031" s="545"/>
      <c r="C1031" s="545"/>
      <c r="D1031" s="545"/>
      <c r="E1031" s="545"/>
      <c r="F1031" s="545"/>
      <c r="G1031" s="545"/>
      <c r="H1031" s="156"/>
      <c r="I1031" s="142" t="s">
        <v>2286</v>
      </c>
      <c r="J1031" s="629" t="s">
        <v>2287</v>
      </c>
      <c r="K1031" s="545">
        <v>100</v>
      </c>
      <c r="L1031" s="230">
        <f>L1032</f>
        <v>127833800</v>
      </c>
      <c r="M1031" s="230">
        <v>100</v>
      </c>
      <c r="N1031" s="230">
        <f>N1032</f>
        <v>127833800</v>
      </c>
      <c r="O1031" s="230">
        <v>0</v>
      </c>
      <c r="P1031" s="230">
        <f>P1032</f>
        <v>0</v>
      </c>
      <c r="Q1031" s="230"/>
      <c r="R1031" s="230">
        <f>R1032</f>
        <v>0</v>
      </c>
      <c r="S1031" s="230"/>
      <c r="T1031" s="230">
        <f>T1032</f>
        <v>0</v>
      </c>
      <c r="U1031" s="230"/>
      <c r="V1031" s="230">
        <f>V1032</f>
        <v>0</v>
      </c>
      <c r="W1031" s="230"/>
      <c r="X1031" s="230">
        <f>X1032</f>
        <v>0</v>
      </c>
      <c r="Y1031" s="230">
        <f t="shared" si="291"/>
        <v>0</v>
      </c>
      <c r="Z1031" s="230">
        <f t="shared" si="292"/>
        <v>0</v>
      </c>
      <c r="AA1031" s="148">
        <f t="shared" si="293"/>
        <v>100</v>
      </c>
      <c r="AB1031" s="160">
        <f t="shared" si="294"/>
        <v>127833800</v>
      </c>
      <c r="AC1031" s="148">
        <f t="shared" si="295"/>
        <v>100</v>
      </c>
      <c r="AD1031" s="292">
        <f t="shared" si="296"/>
        <v>100</v>
      </c>
      <c r="AE1031" s="2558" t="s">
        <v>122</v>
      </c>
      <c r="AF1031" s="1345"/>
      <c r="AG1031" s="1345"/>
      <c r="AH1031" s="1345"/>
      <c r="AI1031" s="1345"/>
      <c r="AJ1031" s="1345"/>
      <c r="AK1031" s="1345"/>
      <c r="AL1031" s="1345"/>
      <c r="AM1031" s="1345"/>
      <c r="AN1031" s="1345"/>
      <c r="AO1031" s="1345"/>
      <c r="AP1031" s="1345"/>
      <c r="AQ1031" s="1345"/>
      <c r="AR1031" s="1345"/>
      <c r="AS1031" s="1345"/>
      <c r="AT1031" s="1345"/>
      <c r="AU1031" s="1345"/>
      <c r="AV1031" s="1345"/>
      <c r="AW1031" s="1345"/>
      <c r="AX1031" s="1345"/>
      <c r="AY1031" s="1345"/>
      <c r="AZ1031" s="1345"/>
      <c r="BA1031" s="1345"/>
      <c r="BB1031" s="1345"/>
      <c r="BC1031" s="1346"/>
      <c r="BD1031" s="1346"/>
      <c r="BE1031" s="1346"/>
      <c r="BF1031" s="1346"/>
      <c r="BG1031" s="1346"/>
      <c r="BH1031" s="1346"/>
      <c r="BI1031" s="1346"/>
      <c r="BJ1031" s="1346"/>
      <c r="BK1031" s="1346"/>
      <c r="BL1031" s="1346"/>
      <c r="BM1031" s="1346"/>
      <c r="BN1031" s="1346"/>
      <c r="BO1031" s="1346"/>
      <c r="BP1031" s="1346"/>
      <c r="BQ1031" s="1346"/>
      <c r="BR1031" s="1346"/>
    </row>
    <row r="1032" spans="1:70" ht="66">
      <c r="A1032" s="89"/>
      <c r="B1032" s="100"/>
      <c r="C1032" s="100"/>
      <c r="D1032" s="100"/>
      <c r="E1032" s="100"/>
      <c r="F1032" s="100"/>
      <c r="G1032" s="100"/>
      <c r="H1032" s="100"/>
      <c r="I1032" s="114" t="s">
        <v>2288</v>
      </c>
      <c r="J1032" s="124" t="s">
        <v>2963</v>
      </c>
      <c r="K1032" s="100">
        <v>1</v>
      </c>
      <c r="L1032" s="125">
        <f>N1032</f>
        <v>127833800</v>
      </c>
      <c r="M1032" s="125">
        <v>1</v>
      </c>
      <c r="N1032" s="125">
        <f>103833800+24000000</f>
        <v>127833800</v>
      </c>
      <c r="O1032" s="125">
        <v>0</v>
      </c>
      <c r="P1032" s="125">
        <v>0</v>
      </c>
      <c r="Q1032" s="125"/>
      <c r="R1032" s="125"/>
      <c r="S1032" s="125"/>
      <c r="T1032" s="125"/>
      <c r="U1032" s="125"/>
      <c r="V1032" s="125"/>
      <c r="W1032" s="823"/>
      <c r="X1032" s="125"/>
      <c r="Y1032" s="125">
        <f t="shared" si="291"/>
        <v>0</v>
      </c>
      <c r="Z1032" s="125">
        <f t="shared" si="292"/>
        <v>0</v>
      </c>
      <c r="AA1032" s="117">
        <f t="shared" si="293"/>
        <v>1</v>
      </c>
      <c r="AB1032" s="111">
        <f t="shared" si="294"/>
        <v>127833800</v>
      </c>
      <c r="AC1032" s="117">
        <f t="shared" si="295"/>
        <v>100</v>
      </c>
      <c r="AD1032" s="1196">
        <f t="shared" si="296"/>
        <v>100</v>
      </c>
      <c r="AE1032" s="89"/>
    </row>
    <row r="1033" spans="1:70" s="1315" customFormat="1" ht="99">
      <c r="A1033" s="2558">
        <v>5</v>
      </c>
      <c r="B1033" s="545"/>
      <c r="C1033" s="545"/>
      <c r="D1033" s="545"/>
      <c r="E1033" s="545"/>
      <c r="F1033" s="545"/>
      <c r="G1033" s="545"/>
      <c r="H1033" s="156"/>
      <c r="I1033" s="629" t="s">
        <v>2289</v>
      </c>
      <c r="J1033" s="629" t="s">
        <v>2965</v>
      </c>
      <c r="K1033" s="545">
        <v>100</v>
      </c>
      <c r="L1033" s="230">
        <f>L1034</f>
        <v>250287997</v>
      </c>
      <c r="M1033" s="545">
        <v>100</v>
      </c>
      <c r="N1033" s="230">
        <f>N1034</f>
        <v>250287997</v>
      </c>
      <c r="O1033" s="545">
        <v>0</v>
      </c>
      <c r="P1033" s="230">
        <v>0</v>
      </c>
      <c r="Q1033" s="292">
        <v>0</v>
      </c>
      <c r="R1033" s="230"/>
      <c r="S1033" s="292"/>
      <c r="T1033" s="230"/>
      <c r="U1033" s="292"/>
      <c r="V1033" s="230"/>
      <c r="W1033" s="292"/>
      <c r="X1033" s="292"/>
      <c r="Y1033" s="292">
        <f t="shared" si="291"/>
        <v>0</v>
      </c>
      <c r="Z1033" s="230">
        <f t="shared" si="292"/>
        <v>0</v>
      </c>
      <c r="AA1033" s="148">
        <f t="shared" si="293"/>
        <v>100</v>
      </c>
      <c r="AB1033" s="160">
        <f t="shared" si="294"/>
        <v>250287997</v>
      </c>
      <c r="AC1033" s="148">
        <f t="shared" si="295"/>
        <v>100</v>
      </c>
      <c r="AD1033" s="292">
        <f t="shared" si="296"/>
        <v>100</v>
      </c>
      <c r="AE1033" s="2558" t="s">
        <v>122</v>
      </c>
      <c r="AF1033" s="1345"/>
      <c r="AG1033" s="1345"/>
      <c r="AH1033" s="1345"/>
      <c r="AI1033" s="1345"/>
      <c r="AJ1033" s="1345"/>
      <c r="AK1033" s="1345"/>
      <c r="AL1033" s="1345"/>
      <c r="AM1033" s="1345"/>
      <c r="AN1033" s="1345"/>
      <c r="AO1033" s="1345"/>
      <c r="AP1033" s="1345"/>
      <c r="AQ1033" s="1345"/>
      <c r="AR1033" s="1345"/>
      <c r="AS1033" s="1345"/>
      <c r="AT1033" s="1345"/>
      <c r="AU1033" s="1345"/>
      <c r="AV1033" s="1345"/>
      <c r="AW1033" s="1345"/>
      <c r="AX1033" s="1345"/>
      <c r="AY1033" s="1345"/>
      <c r="AZ1033" s="1345"/>
      <c r="BA1033" s="1345"/>
      <c r="BB1033" s="1345"/>
      <c r="BC1033" s="1346"/>
      <c r="BD1033" s="1346"/>
      <c r="BE1033" s="1346"/>
      <c r="BF1033" s="1346"/>
      <c r="BG1033" s="1346"/>
      <c r="BH1033" s="1346"/>
      <c r="BI1033" s="1346"/>
      <c r="BJ1033" s="1346"/>
      <c r="BK1033" s="1346"/>
      <c r="BL1033" s="1346"/>
      <c r="BM1033" s="1346"/>
      <c r="BN1033" s="1346"/>
      <c r="BO1033" s="1346"/>
      <c r="BP1033" s="1346"/>
      <c r="BQ1033" s="1346"/>
      <c r="BR1033" s="1346"/>
    </row>
    <row r="1034" spans="1:70" ht="33">
      <c r="A1034" s="89"/>
      <c r="B1034" s="100"/>
      <c r="C1034" s="100"/>
      <c r="D1034" s="100"/>
      <c r="E1034" s="100"/>
      <c r="F1034" s="100"/>
      <c r="G1034" s="100"/>
      <c r="H1034" s="100"/>
      <c r="I1034" s="114" t="s">
        <v>2290</v>
      </c>
      <c r="J1034" s="124" t="s">
        <v>2964</v>
      </c>
      <c r="K1034" s="100">
        <v>12</v>
      </c>
      <c r="L1034" s="125">
        <f>N1034</f>
        <v>250287997</v>
      </c>
      <c r="M1034" s="100">
        <v>12</v>
      </c>
      <c r="N1034" s="125">
        <f>165442416+84845581</f>
        <v>250287997</v>
      </c>
      <c r="O1034" s="100">
        <v>0</v>
      </c>
      <c r="P1034" s="125">
        <v>0</v>
      </c>
      <c r="Q1034" s="1196">
        <v>0</v>
      </c>
      <c r="R1034" s="125">
        <v>0</v>
      </c>
      <c r="S1034" s="117"/>
      <c r="T1034" s="111"/>
      <c r="U1034" s="1196"/>
      <c r="V1034" s="125"/>
      <c r="W1034" s="1196"/>
      <c r="X1034" s="125"/>
      <c r="Y1034" s="97">
        <f t="shared" si="291"/>
        <v>0</v>
      </c>
      <c r="Z1034" s="125">
        <f t="shared" si="292"/>
        <v>0</v>
      </c>
      <c r="AA1034" s="117">
        <f t="shared" si="293"/>
        <v>12</v>
      </c>
      <c r="AB1034" s="111">
        <f t="shared" si="294"/>
        <v>250287997</v>
      </c>
      <c r="AC1034" s="117">
        <f t="shared" si="295"/>
        <v>100</v>
      </c>
      <c r="AD1034" s="1196">
        <f t="shared" si="296"/>
        <v>100</v>
      </c>
      <c r="AE1034" s="89"/>
    </row>
    <row r="1035" spans="1:70" ht="82.5">
      <c r="A1035" s="133">
        <v>6</v>
      </c>
      <c r="B1035" s="153"/>
      <c r="C1035" s="153"/>
      <c r="D1035" s="153"/>
      <c r="E1035" s="153"/>
      <c r="F1035" s="153"/>
      <c r="G1035" s="153"/>
      <c r="H1035" s="156"/>
      <c r="I1035" s="142" t="s">
        <v>2291</v>
      </c>
      <c r="J1035" s="629" t="s">
        <v>2966</v>
      </c>
      <c r="K1035" s="153">
        <v>75</v>
      </c>
      <c r="L1035" s="226">
        <f t="shared" ref="L1035:Q1035" si="298">L1036</f>
        <v>12133168954</v>
      </c>
      <c r="M1035" s="153">
        <v>36</v>
      </c>
      <c r="N1035" s="226">
        <f t="shared" si="298"/>
        <v>6066584477</v>
      </c>
      <c r="O1035" s="153">
        <v>14</v>
      </c>
      <c r="P1035" s="226">
        <f>P1036+P1037</f>
        <v>1016535000</v>
      </c>
      <c r="Q1035" s="226">
        <f t="shared" si="298"/>
        <v>0</v>
      </c>
      <c r="R1035" s="226">
        <f>R1036+R1037</f>
        <v>3400000</v>
      </c>
      <c r="S1035" s="1310">
        <f>S1036</f>
        <v>0</v>
      </c>
      <c r="T1035" s="226">
        <f>T1036+T1037</f>
        <v>8150000</v>
      </c>
      <c r="U1035" s="1310">
        <f>U1036</f>
        <v>0</v>
      </c>
      <c r="V1035" s="226">
        <f>V1036+V1037</f>
        <v>0</v>
      </c>
      <c r="W1035" s="1310">
        <f>(W1036+W1037)/2</f>
        <v>0</v>
      </c>
      <c r="X1035" s="226">
        <f>X1036+X1037</f>
        <v>0</v>
      </c>
      <c r="Y1035" s="230">
        <f t="shared" si="291"/>
        <v>0</v>
      </c>
      <c r="Z1035" s="226">
        <f t="shared" si="292"/>
        <v>11550000</v>
      </c>
      <c r="AA1035" s="915">
        <f t="shared" si="293"/>
        <v>36</v>
      </c>
      <c r="AB1035" s="770">
        <f t="shared" si="294"/>
        <v>6078134477</v>
      </c>
      <c r="AC1035" s="915">
        <f t="shared" si="295"/>
        <v>48</v>
      </c>
      <c r="AD1035" s="1310">
        <f t="shared" si="296"/>
        <v>50.095193597351106</v>
      </c>
      <c r="AE1035" s="133" t="s">
        <v>122</v>
      </c>
    </row>
    <row r="1036" spans="1:70" ht="82.5">
      <c r="A1036" s="89"/>
      <c r="B1036" s="100"/>
      <c r="C1036" s="100"/>
      <c r="D1036" s="100"/>
      <c r="E1036" s="100"/>
      <c r="F1036" s="100"/>
      <c r="G1036" s="100"/>
      <c r="H1036" s="100"/>
      <c r="I1036" s="124" t="s">
        <v>2292</v>
      </c>
      <c r="J1036" s="124" t="s">
        <v>2968</v>
      </c>
      <c r="K1036" s="100">
        <v>6</v>
      </c>
      <c r="L1036" s="125">
        <f>2*N1036</f>
        <v>12133168954</v>
      </c>
      <c r="M1036" s="1241">
        <v>3</v>
      </c>
      <c r="N1036" s="125">
        <f>3006530877+3060053600</f>
        <v>6066584477</v>
      </c>
      <c r="O1036" s="100">
        <v>1</v>
      </c>
      <c r="P1036" s="125">
        <v>977500000</v>
      </c>
      <c r="Q1036" s="125">
        <v>0</v>
      </c>
      <c r="R1036" s="125">
        <v>0</v>
      </c>
      <c r="S1036" s="125"/>
      <c r="T1036" s="111">
        <v>0</v>
      </c>
      <c r="U1036" s="100"/>
      <c r="V1036" s="125"/>
      <c r="W1036" s="1196"/>
      <c r="X1036" s="125"/>
      <c r="Y1036" s="97">
        <f t="shared" si="291"/>
        <v>0</v>
      </c>
      <c r="Z1036" s="125">
        <f t="shared" si="292"/>
        <v>0</v>
      </c>
      <c r="AA1036" s="117">
        <f t="shared" si="293"/>
        <v>3</v>
      </c>
      <c r="AB1036" s="111">
        <f t="shared" si="294"/>
        <v>6066584477</v>
      </c>
      <c r="AC1036" s="117">
        <f t="shared" si="295"/>
        <v>50</v>
      </c>
      <c r="AD1036" s="1196">
        <f t="shared" si="296"/>
        <v>50</v>
      </c>
      <c r="AE1036" s="89"/>
    </row>
    <row r="1037" spans="1:70" ht="49.5">
      <c r="A1037" s="89"/>
      <c r="B1037" s="100"/>
      <c r="C1037" s="100"/>
      <c r="D1037" s="100"/>
      <c r="E1037" s="100"/>
      <c r="F1037" s="100"/>
      <c r="G1037" s="100"/>
      <c r="H1037" s="100"/>
      <c r="I1037" s="124" t="s">
        <v>2293</v>
      </c>
      <c r="J1037" s="124" t="s">
        <v>2967</v>
      </c>
      <c r="K1037" s="100">
        <v>6</v>
      </c>
      <c r="L1037" s="125">
        <v>250000000</v>
      </c>
      <c r="M1037" s="1241">
        <v>3</v>
      </c>
      <c r="N1037" s="125">
        <v>83033500</v>
      </c>
      <c r="O1037" s="100">
        <v>1</v>
      </c>
      <c r="P1037" s="125">
        <v>39035000</v>
      </c>
      <c r="Q1037" s="125">
        <v>0</v>
      </c>
      <c r="R1037" s="125">
        <v>3400000</v>
      </c>
      <c r="S1037" s="125"/>
      <c r="T1037" s="111">
        <v>8150000</v>
      </c>
      <c r="U1037" s="125"/>
      <c r="V1037" s="125"/>
      <c r="W1037" s="1196"/>
      <c r="X1037" s="125"/>
      <c r="Y1037" s="97">
        <f t="shared" si="291"/>
        <v>0</v>
      </c>
      <c r="Z1037" s="125">
        <f t="shared" si="292"/>
        <v>11550000</v>
      </c>
      <c r="AA1037" s="117">
        <f t="shared" si="293"/>
        <v>3</v>
      </c>
      <c r="AB1037" s="111">
        <f t="shared" si="294"/>
        <v>94583500</v>
      </c>
      <c r="AC1037" s="117">
        <f t="shared" si="295"/>
        <v>50</v>
      </c>
      <c r="AD1037" s="1196">
        <f t="shared" si="296"/>
        <v>37.833399999999997</v>
      </c>
      <c r="AE1037" s="89"/>
    </row>
    <row r="1038" spans="1:70" s="1315" customFormat="1" ht="82.5">
      <c r="A1038" s="2558">
        <v>7</v>
      </c>
      <c r="B1038" s="545"/>
      <c r="C1038" s="545"/>
      <c r="D1038" s="545"/>
      <c r="E1038" s="545"/>
      <c r="F1038" s="545"/>
      <c r="G1038" s="545"/>
      <c r="H1038" s="156"/>
      <c r="I1038" s="142" t="s">
        <v>2969</v>
      </c>
      <c r="J1038" s="629" t="s">
        <v>2970</v>
      </c>
      <c r="K1038" s="545">
        <v>55.45</v>
      </c>
      <c r="L1038" s="230">
        <f>L1039+L1040</f>
        <v>1306056400</v>
      </c>
      <c r="M1038" s="545">
        <f>15.12+16.33</f>
        <v>31.449999999999996</v>
      </c>
      <c r="N1038" s="230">
        <f>N1039+N1040</f>
        <v>538499620</v>
      </c>
      <c r="O1038" s="545">
        <v>8</v>
      </c>
      <c r="P1038" s="230">
        <f>P1039+P1040</f>
        <v>126293000</v>
      </c>
      <c r="Q1038" s="230">
        <f>(Q1039+Q1040)/2</f>
        <v>0</v>
      </c>
      <c r="R1038" s="230">
        <f>R1039+R1040</f>
        <v>0</v>
      </c>
      <c r="S1038" s="292">
        <f>(S1039+S1040)/2</f>
        <v>0</v>
      </c>
      <c r="T1038" s="292">
        <f>SUM(T1039:T1040)</f>
        <v>42046000</v>
      </c>
      <c r="U1038" s="292"/>
      <c r="V1038" s="230">
        <f>SUM(V1039:V1040)</f>
        <v>0</v>
      </c>
      <c r="W1038" s="292"/>
      <c r="X1038" s="230">
        <f>SUM(X1039:X1040)</f>
        <v>0</v>
      </c>
      <c r="Y1038" s="148">
        <f t="shared" si="291"/>
        <v>0</v>
      </c>
      <c r="Z1038" s="230">
        <f t="shared" si="292"/>
        <v>42046000</v>
      </c>
      <c r="AA1038" s="148">
        <f t="shared" si="293"/>
        <v>31.449999999999996</v>
      </c>
      <c r="AB1038" s="160">
        <f t="shared" si="294"/>
        <v>580545620</v>
      </c>
      <c r="AC1038" s="148">
        <f t="shared" si="295"/>
        <v>56.717763751127123</v>
      </c>
      <c r="AD1038" s="292">
        <f t="shared" si="296"/>
        <v>44.450271825933399</v>
      </c>
      <c r="AE1038" s="2558" t="s">
        <v>122</v>
      </c>
      <c r="AF1038" s="1345"/>
      <c r="AG1038" s="1345"/>
      <c r="AH1038" s="1345"/>
      <c r="AI1038" s="1345"/>
      <c r="AJ1038" s="1345"/>
      <c r="AK1038" s="1345"/>
      <c r="AL1038" s="1345"/>
      <c r="AM1038" s="1345"/>
      <c r="AN1038" s="1345"/>
      <c r="AO1038" s="1345"/>
      <c r="AP1038" s="1345"/>
      <c r="AQ1038" s="1345"/>
      <c r="AR1038" s="1345"/>
      <c r="AS1038" s="1345"/>
      <c r="AT1038" s="1345"/>
      <c r="AU1038" s="1345"/>
      <c r="AV1038" s="1345"/>
      <c r="AW1038" s="1345"/>
      <c r="AX1038" s="1345"/>
      <c r="AY1038" s="1345"/>
      <c r="AZ1038" s="1345"/>
      <c r="BA1038" s="1345"/>
      <c r="BB1038" s="1345"/>
      <c r="BC1038" s="1346"/>
      <c r="BD1038" s="1346"/>
      <c r="BE1038" s="1346"/>
      <c r="BF1038" s="1346"/>
      <c r="BG1038" s="1346"/>
      <c r="BH1038" s="1346"/>
      <c r="BI1038" s="1346"/>
      <c r="BJ1038" s="1346"/>
      <c r="BK1038" s="1346"/>
      <c r="BL1038" s="1346"/>
      <c r="BM1038" s="1346"/>
      <c r="BN1038" s="1346"/>
      <c r="BO1038" s="1346"/>
      <c r="BP1038" s="1346"/>
      <c r="BQ1038" s="1346"/>
      <c r="BR1038" s="1346"/>
    </row>
    <row r="1039" spans="1:70" ht="66">
      <c r="A1039" s="89"/>
      <c r="B1039" s="100"/>
      <c r="C1039" s="100"/>
      <c r="D1039" s="100"/>
      <c r="E1039" s="100"/>
      <c r="F1039" s="100"/>
      <c r="G1039" s="100"/>
      <c r="H1039" s="100"/>
      <c r="I1039" s="124" t="s">
        <v>2294</v>
      </c>
      <c r="J1039" s="124" t="s">
        <v>2295</v>
      </c>
      <c r="K1039" s="100">
        <v>18</v>
      </c>
      <c r="L1039" s="125">
        <f>3*N1039</f>
        <v>687171480</v>
      </c>
      <c r="M1039" s="100">
        <v>5</v>
      </c>
      <c r="N1039" s="125">
        <f>197920910+31136250</f>
        <v>229057160</v>
      </c>
      <c r="O1039" s="100">
        <v>2</v>
      </c>
      <c r="P1039" s="125">
        <v>49966000</v>
      </c>
      <c r="Q1039" s="125"/>
      <c r="R1039" s="125"/>
      <c r="S1039" s="125"/>
      <c r="T1039" s="111">
        <v>41296000</v>
      </c>
      <c r="U1039" s="125"/>
      <c r="V1039" s="125"/>
      <c r="W1039" s="1196"/>
      <c r="X1039" s="125"/>
      <c r="Y1039" s="97">
        <f t="shared" ref="Y1039:Y1064" si="299">Q1039+S1039+U1039+W1039</f>
        <v>0</v>
      </c>
      <c r="Z1039" s="125">
        <f t="shared" ref="Z1039:Z1063" si="300">R1039+T1039+V1039+X1039</f>
        <v>41296000</v>
      </c>
      <c r="AA1039" s="117">
        <f t="shared" ref="AA1039:AA1064" si="301">M1039+Y1039</f>
        <v>5</v>
      </c>
      <c r="AB1039" s="111">
        <f t="shared" ref="AB1039:AB1064" si="302">N1039+Z1039</f>
        <v>270353160</v>
      </c>
      <c r="AC1039" s="117">
        <f t="shared" ref="AC1039:AC1064" si="303">(AA1039/K1039)*100</f>
        <v>27.777777777777779</v>
      </c>
      <c r="AD1039" s="1196">
        <f t="shared" ref="AD1039:AD1064" si="304">(AB1039/L1039)*100</f>
        <v>39.34289589550486</v>
      </c>
      <c r="AE1039" s="89"/>
    </row>
    <row r="1040" spans="1:70" ht="66">
      <c r="A1040" s="1119"/>
      <c r="B1040" s="100"/>
      <c r="C1040" s="212"/>
      <c r="D1040" s="212"/>
      <c r="E1040" s="212"/>
      <c r="F1040" s="212"/>
      <c r="G1040" s="212"/>
      <c r="H1040" s="100"/>
      <c r="I1040" s="124" t="s">
        <v>2296</v>
      </c>
      <c r="J1040" s="124" t="s">
        <v>2971</v>
      </c>
      <c r="K1040" s="100">
        <v>7</v>
      </c>
      <c r="L1040" s="125">
        <f>2*N1040</f>
        <v>618884920</v>
      </c>
      <c r="M1040" s="1241">
        <v>4</v>
      </c>
      <c r="N1040" s="125">
        <f>263809740+45632720</f>
        <v>309442460</v>
      </c>
      <c r="O1040" s="1241">
        <v>2</v>
      </c>
      <c r="P1040" s="125">
        <v>76327000</v>
      </c>
      <c r="Q1040" s="213"/>
      <c r="R1040" s="213"/>
      <c r="S1040" s="125"/>
      <c r="T1040" s="111">
        <v>750000</v>
      </c>
      <c r="U1040" s="125"/>
      <c r="V1040" s="213"/>
      <c r="W1040" s="1196"/>
      <c r="X1040" s="125"/>
      <c r="Y1040" s="97">
        <f t="shared" si="299"/>
        <v>0</v>
      </c>
      <c r="Z1040" s="125">
        <f t="shared" si="300"/>
        <v>750000</v>
      </c>
      <c r="AA1040" s="117">
        <f t="shared" si="301"/>
        <v>4</v>
      </c>
      <c r="AB1040" s="111">
        <f t="shared" si="302"/>
        <v>310192460</v>
      </c>
      <c r="AC1040" s="117">
        <f t="shared" si="303"/>
        <v>57.142857142857139</v>
      </c>
      <c r="AD1040" s="1196">
        <f t="shared" si="304"/>
        <v>50.121185696365004</v>
      </c>
      <c r="AE1040" s="1119"/>
    </row>
    <row r="1041" spans="1:70" s="1315" customFormat="1" ht="99">
      <c r="A1041" s="2558">
        <v>8</v>
      </c>
      <c r="B1041" s="545"/>
      <c r="C1041" s="545"/>
      <c r="D1041" s="545"/>
      <c r="E1041" s="545"/>
      <c r="F1041" s="545"/>
      <c r="G1041" s="545"/>
      <c r="H1041" s="156"/>
      <c r="I1041" s="142" t="s">
        <v>2297</v>
      </c>
      <c r="J1041" s="629" t="s">
        <v>2972</v>
      </c>
      <c r="K1041" s="545">
        <v>65</v>
      </c>
      <c r="L1041" s="230">
        <f>SUM(L1042:L1049)</f>
        <v>8790303860</v>
      </c>
      <c r="M1041" s="148">
        <v>50</v>
      </c>
      <c r="N1041" s="230">
        <f>SUM(N1042:N1049)</f>
        <v>3443233783</v>
      </c>
      <c r="O1041" s="545">
        <v>5</v>
      </c>
      <c r="P1041" s="230">
        <f>SUM(P1042:P1049)</f>
        <v>758145100</v>
      </c>
      <c r="Q1041" s="292">
        <v>0</v>
      </c>
      <c r="R1041" s="230">
        <f>SUM(R1042:R1049)</f>
        <v>148792712</v>
      </c>
      <c r="S1041" s="292"/>
      <c r="T1041" s="230">
        <f>SUM(T1042:T1049)</f>
        <v>248619583</v>
      </c>
      <c r="U1041" s="292"/>
      <c r="V1041" s="230">
        <f>SUM(V1042:V1049)</f>
        <v>0</v>
      </c>
      <c r="W1041" s="292"/>
      <c r="X1041" s="230">
        <f>SUM(X1042:X1049)</f>
        <v>0</v>
      </c>
      <c r="Y1041" s="292">
        <f t="shared" si="299"/>
        <v>0</v>
      </c>
      <c r="Z1041" s="230">
        <f t="shared" si="300"/>
        <v>397412295</v>
      </c>
      <c r="AA1041" s="292">
        <f t="shared" si="301"/>
        <v>50</v>
      </c>
      <c r="AB1041" s="230">
        <f t="shared" si="302"/>
        <v>3840646078</v>
      </c>
      <c r="AC1041" s="292">
        <f t="shared" si="303"/>
        <v>76.923076923076934</v>
      </c>
      <c r="AD1041" s="292">
        <f t="shared" si="304"/>
        <v>43.691846597894511</v>
      </c>
      <c r="AE1041" s="2558" t="s">
        <v>122</v>
      </c>
      <c r="AF1041" s="1345"/>
      <c r="AG1041" s="1345"/>
      <c r="AH1041" s="1345"/>
      <c r="AI1041" s="1345"/>
      <c r="AJ1041" s="1345"/>
      <c r="AK1041" s="1345"/>
      <c r="AL1041" s="1345"/>
      <c r="AM1041" s="1345"/>
      <c r="AN1041" s="1345"/>
      <c r="AO1041" s="1345"/>
      <c r="AP1041" s="1345"/>
      <c r="AQ1041" s="1345"/>
      <c r="AR1041" s="1345"/>
      <c r="AS1041" s="1345"/>
      <c r="AT1041" s="1345"/>
      <c r="AU1041" s="1345"/>
      <c r="AV1041" s="1345"/>
      <c r="AW1041" s="1345"/>
      <c r="AX1041" s="1345"/>
      <c r="AY1041" s="1345"/>
      <c r="AZ1041" s="1345"/>
      <c r="BA1041" s="1345"/>
      <c r="BB1041" s="1345"/>
      <c r="BC1041" s="1346"/>
      <c r="BD1041" s="1346"/>
      <c r="BE1041" s="1346"/>
      <c r="BF1041" s="1346"/>
      <c r="BG1041" s="1346"/>
      <c r="BH1041" s="1346"/>
      <c r="BI1041" s="1346"/>
      <c r="BJ1041" s="1346"/>
      <c r="BK1041" s="1346"/>
      <c r="BL1041" s="1346"/>
      <c r="BM1041" s="1346"/>
      <c r="BN1041" s="1346"/>
      <c r="BO1041" s="1346"/>
      <c r="BP1041" s="1346"/>
      <c r="BQ1041" s="1346"/>
      <c r="BR1041" s="1346"/>
    </row>
    <row r="1042" spans="1:70" ht="33">
      <c r="A1042" s="89"/>
      <c r="B1042" s="100"/>
      <c r="C1042" s="100"/>
      <c r="D1042" s="100"/>
      <c r="E1042" s="100"/>
      <c r="F1042" s="100"/>
      <c r="G1042" s="100"/>
      <c r="H1042" s="100"/>
      <c r="I1042" s="114" t="s">
        <v>2298</v>
      </c>
      <c r="J1042" s="124" t="s">
        <v>2973</v>
      </c>
      <c r="K1042" s="100">
        <v>5</v>
      </c>
      <c r="L1042" s="125">
        <f>1000000000</f>
        <v>1000000000</v>
      </c>
      <c r="M1042" s="97">
        <v>2</v>
      </c>
      <c r="N1042" s="125">
        <v>886356600</v>
      </c>
      <c r="O1042" s="97">
        <v>1</v>
      </c>
      <c r="P1042" s="125">
        <v>34770000</v>
      </c>
      <c r="Q1042" s="823">
        <v>0</v>
      </c>
      <c r="R1042" s="125">
        <v>2620000</v>
      </c>
      <c r="S1042" s="1196">
        <v>0</v>
      </c>
      <c r="T1042" s="125">
        <v>15020000</v>
      </c>
      <c r="U1042" s="1196"/>
      <c r="V1042" s="125"/>
      <c r="W1042" s="1196"/>
      <c r="X1042" s="125"/>
      <c r="Y1042" s="1196">
        <f t="shared" si="299"/>
        <v>0</v>
      </c>
      <c r="Z1042" s="125">
        <f t="shared" si="300"/>
        <v>17640000</v>
      </c>
      <c r="AA1042" s="117">
        <f t="shared" si="301"/>
        <v>2</v>
      </c>
      <c r="AB1042" s="111">
        <f t="shared" si="302"/>
        <v>903996600</v>
      </c>
      <c r="AC1042" s="117">
        <f t="shared" si="303"/>
        <v>40</v>
      </c>
      <c r="AD1042" s="1196">
        <f t="shared" si="304"/>
        <v>90.399659999999997</v>
      </c>
      <c r="AE1042" s="89"/>
    </row>
    <row r="1043" spans="1:70" ht="66">
      <c r="A1043" s="89"/>
      <c r="B1043" s="100"/>
      <c r="C1043" s="100"/>
      <c r="D1043" s="100"/>
      <c r="E1043" s="100"/>
      <c r="F1043" s="100"/>
      <c r="G1043" s="100"/>
      <c r="H1043" s="100"/>
      <c r="I1043" s="114" t="s">
        <v>2974</v>
      </c>
      <c r="J1043" s="124" t="s">
        <v>2975</v>
      </c>
      <c r="K1043" s="100">
        <v>72</v>
      </c>
      <c r="L1043" s="125">
        <v>1579879500</v>
      </c>
      <c r="M1043" s="100">
        <v>36</v>
      </c>
      <c r="N1043" s="125">
        <f>342663720+152362750</f>
        <v>495026470</v>
      </c>
      <c r="O1043" s="100">
        <v>12</v>
      </c>
      <c r="P1043" s="125">
        <v>118145000</v>
      </c>
      <c r="Q1043" s="823">
        <v>3</v>
      </c>
      <c r="R1043" s="125">
        <v>26151900</v>
      </c>
      <c r="S1043" s="1196">
        <v>6</v>
      </c>
      <c r="T1043" s="111">
        <v>57347489</v>
      </c>
      <c r="U1043" s="1196"/>
      <c r="V1043" s="125"/>
      <c r="W1043" s="1196"/>
      <c r="X1043" s="125"/>
      <c r="Y1043" s="97">
        <f t="shared" si="299"/>
        <v>9</v>
      </c>
      <c r="Z1043" s="125">
        <f t="shared" si="300"/>
        <v>83499389</v>
      </c>
      <c r="AA1043" s="117">
        <f t="shared" si="301"/>
        <v>45</v>
      </c>
      <c r="AB1043" s="111">
        <f t="shared" si="302"/>
        <v>578525859</v>
      </c>
      <c r="AC1043" s="117">
        <f t="shared" si="303"/>
        <v>62.5</v>
      </c>
      <c r="AD1043" s="1196">
        <f t="shared" si="304"/>
        <v>36.618353425055517</v>
      </c>
      <c r="AE1043" s="89"/>
    </row>
    <row r="1044" spans="1:70" ht="99">
      <c r="A1044" s="89"/>
      <c r="B1044" s="100"/>
      <c r="C1044" s="100"/>
      <c r="D1044" s="100"/>
      <c r="E1044" s="100"/>
      <c r="F1044" s="100"/>
      <c r="G1044" s="100"/>
      <c r="H1044" s="100"/>
      <c r="I1044" s="114" t="s">
        <v>2299</v>
      </c>
      <c r="J1044" s="124" t="s">
        <v>2976</v>
      </c>
      <c r="K1044" s="100">
        <v>72</v>
      </c>
      <c r="L1044" s="125">
        <v>1220761500</v>
      </c>
      <c r="M1044" s="100">
        <v>36</v>
      </c>
      <c r="N1044" s="125">
        <f>254183850+125404053</f>
        <v>379587903</v>
      </c>
      <c r="O1044" s="100">
        <v>12</v>
      </c>
      <c r="P1044" s="125">
        <v>96416400</v>
      </c>
      <c r="Q1044" s="823">
        <v>3</v>
      </c>
      <c r="R1044" s="125">
        <v>17292400</v>
      </c>
      <c r="S1044" s="1196">
        <v>6</v>
      </c>
      <c r="T1044" s="111">
        <v>26380000</v>
      </c>
      <c r="U1044" s="1196"/>
      <c r="V1044" s="125"/>
      <c r="W1044" s="1196"/>
      <c r="X1044" s="125"/>
      <c r="Y1044" s="97">
        <f t="shared" si="299"/>
        <v>9</v>
      </c>
      <c r="Z1044" s="125">
        <f t="shared" si="300"/>
        <v>43672400</v>
      </c>
      <c r="AA1044" s="117">
        <f t="shared" si="301"/>
        <v>45</v>
      </c>
      <c r="AB1044" s="111">
        <f t="shared" si="302"/>
        <v>423260303</v>
      </c>
      <c r="AC1044" s="117">
        <f t="shared" si="303"/>
        <v>62.5</v>
      </c>
      <c r="AD1044" s="1196">
        <f t="shared" si="304"/>
        <v>34.671825987303826</v>
      </c>
      <c r="AE1044" s="89"/>
    </row>
    <row r="1045" spans="1:70" ht="49.5">
      <c r="A1045" s="89"/>
      <c r="B1045" s="100"/>
      <c r="C1045" s="100"/>
      <c r="D1045" s="100"/>
      <c r="E1045" s="100"/>
      <c r="F1045" s="100"/>
      <c r="G1045" s="100"/>
      <c r="H1045" s="100"/>
      <c r="I1045" s="114" t="s">
        <v>2977</v>
      </c>
      <c r="J1045" s="124" t="s">
        <v>2978</v>
      </c>
      <c r="K1045" s="100">
        <v>500</v>
      </c>
      <c r="L1045" s="125">
        <v>712792120</v>
      </c>
      <c r="M1045" s="100">
        <v>200</v>
      </c>
      <c r="N1045" s="125">
        <f>212117990+59828100</f>
        <v>271946090</v>
      </c>
      <c r="O1045" s="100">
        <v>50</v>
      </c>
      <c r="P1045" s="125">
        <v>57385000</v>
      </c>
      <c r="Q1045" s="823">
        <v>0</v>
      </c>
      <c r="R1045" s="125">
        <v>11839662</v>
      </c>
      <c r="S1045" s="1196">
        <v>6</v>
      </c>
      <c r="T1045" s="111">
        <v>12000200</v>
      </c>
      <c r="U1045" s="1196"/>
      <c r="V1045" s="125"/>
      <c r="W1045" s="1196"/>
      <c r="X1045" s="125"/>
      <c r="Y1045" s="97">
        <f t="shared" si="299"/>
        <v>6</v>
      </c>
      <c r="Z1045" s="125">
        <f t="shared" si="300"/>
        <v>23839862</v>
      </c>
      <c r="AA1045" s="117">
        <f t="shared" si="301"/>
        <v>206</v>
      </c>
      <c r="AB1045" s="111">
        <f t="shared" si="302"/>
        <v>295785952</v>
      </c>
      <c r="AC1045" s="117">
        <f t="shared" si="303"/>
        <v>41.199999999999996</v>
      </c>
      <c r="AD1045" s="1196">
        <f t="shared" si="304"/>
        <v>41.496804425952412</v>
      </c>
      <c r="AE1045" s="89"/>
    </row>
    <row r="1046" spans="1:70" ht="33">
      <c r="A1046" s="89"/>
      <c r="B1046" s="100"/>
      <c r="C1046" s="100"/>
      <c r="D1046" s="100"/>
      <c r="E1046" s="100"/>
      <c r="F1046" s="100"/>
      <c r="G1046" s="100"/>
      <c r="H1046" s="100"/>
      <c r="I1046" s="114" t="s">
        <v>2300</v>
      </c>
      <c r="J1046" s="124" t="s">
        <v>2973</v>
      </c>
      <c r="K1046" s="100">
        <v>5</v>
      </c>
      <c r="L1046" s="125">
        <v>345000000</v>
      </c>
      <c r="M1046" s="125">
        <v>2</v>
      </c>
      <c r="N1046" s="125">
        <f>32690500+24178150</f>
        <v>56868650</v>
      </c>
      <c r="O1046" s="125">
        <v>1</v>
      </c>
      <c r="P1046" s="125">
        <v>38511000</v>
      </c>
      <c r="Q1046" s="823">
        <v>1</v>
      </c>
      <c r="R1046" s="125">
        <v>25763750</v>
      </c>
      <c r="S1046" s="1196">
        <v>1</v>
      </c>
      <c r="T1046" s="111">
        <v>3158000</v>
      </c>
      <c r="U1046" s="125"/>
      <c r="V1046" s="125"/>
      <c r="W1046" s="1196"/>
      <c r="X1046" s="125"/>
      <c r="Y1046" s="100">
        <f t="shared" si="299"/>
        <v>2</v>
      </c>
      <c r="Z1046" s="125">
        <f t="shared" si="300"/>
        <v>28921750</v>
      </c>
      <c r="AA1046" s="117">
        <f t="shared" si="301"/>
        <v>4</v>
      </c>
      <c r="AB1046" s="111">
        <f t="shared" si="302"/>
        <v>85790400</v>
      </c>
      <c r="AC1046" s="117">
        <f t="shared" si="303"/>
        <v>80</v>
      </c>
      <c r="AD1046" s="1196">
        <f t="shared" si="304"/>
        <v>24.866782608695654</v>
      </c>
      <c r="AE1046" s="89"/>
    </row>
    <row r="1047" spans="1:70" ht="33">
      <c r="A1047" s="1119"/>
      <c r="B1047" s="100"/>
      <c r="C1047" s="212"/>
      <c r="D1047" s="212"/>
      <c r="E1047" s="212"/>
      <c r="F1047" s="212"/>
      <c r="G1047" s="212"/>
      <c r="H1047" s="100"/>
      <c r="I1047" s="114" t="s">
        <v>2301</v>
      </c>
      <c r="J1047" s="124" t="s">
        <v>2973</v>
      </c>
      <c r="K1047" s="100">
        <v>5</v>
      </c>
      <c r="L1047" s="125">
        <v>225000000</v>
      </c>
      <c r="M1047" s="125">
        <v>2</v>
      </c>
      <c r="N1047" s="125">
        <f>29034500+15924600</f>
        <v>44959100</v>
      </c>
      <c r="O1047" s="125">
        <v>1</v>
      </c>
      <c r="P1047" s="125">
        <v>29273700</v>
      </c>
      <c r="Q1047" s="823">
        <v>0</v>
      </c>
      <c r="R1047" s="125">
        <v>1082000</v>
      </c>
      <c r="S1047" s="1196">
        <v>1</v>
      </c>
      <c r="T1047" s="111">
        <v>2760000</v>
      </c>
      <c r="U1047" s="125"/>
      <c r="V1047" s="125"/>
      <c r="W1047" s="1196"/>
      <c r="X1047" s="125"/>
      <c r="Y1047" s="100">
        <f t="shared" si="299"/>
        <v>1</v>
      </c>
      <c r="Z1047" s="125">
        <f t="shared" si="300"/>
        <v>3842000</v>
      </c>
      <c r="AA1047" s="117">
        <f t="shared" si="301"/>
        <v>3</v>
      </c>
      <c r="AB1047" s="111">
        <f t="shared" si="302"/>
        <v>48801100</v>
      </c>
      <c r="AC1047" s="117">
        <f t="shared" si="303"/>
        <v>60</v>
      </c>
      <c r="AD1047" s="1196">
        <f t="shared" si="304"/>
        <v>21.689377777777779</v>
      </c>
      <c r="AE1047" s="1119"/>
    </row>
    <row r="1048" spans="1:70" ht="33">
      <c r="A1048" s="89"/>
      <c r="B1048" s="100"/>
      <c r="C1048" s="100"/>
      <c r="D1048" s="100"/>
      <c r="E1048" s="100"/>
      <c r="F1048" s="100"/>
      <c r="G1048" s="100"/>
      <c r="H1048" s="100"/>
      <c r="I1048" s="124" t="s">
        <v>2302</v>
      </c>
      <c r="J1048" s="124" t="s">
        <v>2979</v>
      </c>
      <c r="K1048" s="100">
        <v>72</v>
      </c>
      <c r="L1048" s="125">
        <v>2068836040</v>
      </c>
      <c r="M1048" s="100">
        <v>36</v>
      </c>
      <c r="N1048" s="125">
        <f>559657990+188372480</f>
        <v>748030470</v>
      </c>
      <c r="O1048" s="100">
        <v>12</v>
      </c>
      <c r="P1048" s="125">
        <v>277585000</v>
      </c>
      <c r="Q1048" s="823">
        <v>3</v>
      </c>
      <c r="R1048" s="125">
        <v>36522500</v>
      </c>
      <c r="S1048" s="1196">
        <v>6</v>
      </c>
      <c r="T1048" s="111">
        <v>73450700</v>
      </c>
      <c r="U1048" s="1196"/>
      <c r="V1048" s="125"/>
      <c r="W1048" s="1196"/>
      <c r="X1048" s="125"/>
      <c r="Y1048" s="100">
        <f t="shared" si="299"/>
        <v>9</v>
      </c>
      <c r="Z1048" s="125">
        <f t="shared" si="300"/>
        <v>109973200</v>
      </c>
      <c r="AA1048" s="117">
        <f t="shared" si="301"/>
        <v>45</v>
      </c>
      <c r="AB1048" s="111">
        <f t="shared" si="302"/>
        <v>858003670</v>
      </c>
      <c r="AC1048" s="117">
        <f t="shared" si="303"/>
        <v>62.5</v>
      </c>
      <c r="AD1048" s="1196">
        <f t="shared" si="304"/>
        <v>41.472772777102243</v>
      </c>
      <c r="AE1048" s="89"/>
    </row>
    <row r="1049" spans="1:70" ht="66">
      <c r="A1049" s="89"/>
      <c r="B1049" s="100"/>
      <c r="C1049" s="100"/>
      <c r="D1049" s="100"/>
      <c r="E1049" s="100"/>
      <c r="F1049" s="100"/>
      <c r="G1049" s="100"/>
      <c r="H1049" s="100"/>
      <c r="I1049" s="114" t="s">
        <v>2303</v>
      </c>
      <c r="J1049" s="124" t="s">
        <v>2980</v>
      </c>
      <c r="K1049" s="100">
        <v>72</v>
      </c>
      <c r="L1049" s="125">
        <v>1638034700</v>
      </c>
      <c r="M1049" s="100">
        <v>36</v>
      </c>
      <c r="N1049" s="125">
        <f>424069190+136389310</f>
        <v>560458500</v>
      </c>
      <c r="O1049" s="100">
        <v>12</v>
      </c>
      <c r="P1049" s="125">
        <v>106059000</v>
      </c>
      <c r="Q1049" s="100">
        <v>3</v>
      </c>
      <c r="R1049" s="125">
        <v>27520500</v>
      </c>
      <c r="S1049" s="1196">
        <v>6</v>
      </c>
      <c r="T1049" s="111">
        <v>58503194</v>
      </c>
      <c r="U1049" s="1196"/>
      <c r="V1049" s="125"/>
      <c r="W1049" s="1196"/>
      <c r="X1049" s="125"/>
      <c r="Y1049" s="100">
        <f t="shared" si="299"/>
        <v>9</v>
      </c>
      <c r="Z1049" s="125">
        <f t="shared" si="300"/>
        <v>86023694</v>
      </c>
      <c r="AA1049" s="117">
        <f t="shared" si="301"/>
        <v>45</v>
      </c>
      <c r="AB1049" s="111">
        <f t="shared" si="302"/>
        <v>646482194</v>
      </c>
      <c r="AC1049" s="1196">
        <f t="shared" si="303"/>
        <v>62.5</v>
      </c>
      <c r="AD1049" s="1196">
        <f t="shared" si="304"/>
        <v>39.466941329142784</v>
      </c>
      <c r="AE1049" s="89"/>
    </row>
    <row r="1050" spans="1:70" s="1315" customFormat="1" ht="82.5">
      <c r="A1050" s="2558">
        <v>9</v>
      </c>
      <c r="B1050" s="545"/>
      <c r="C1050" s="545"/>
      <c r="D1050" s="545"/>
      <c r="E1050" s="545"/>
      <c r="F1050" s="545"/>
      <c r="G1050" s="545"/>
      <c r="H1050" s="156"/>
      <c r="I1050" s="629" t="s">
        <v>2304</v>
      </c>
      <c r="J1050" s="629" t="s">
        <v>2981</v>
      </c>
      <c r="K1050" s="545">
        <v>75</v>
      </c>
      <c r="L1050" s="230">
        <f>L1051+L1052</f>
        <v>7300000000</v>
      </c>
      <c r="M1050" s="160">
        <v>36</v>
      </c>
      <c r="N1050" s="230">
        <f>N1051+N1052</f>
        <v>30000000</v>
      </c>
      <c r="O1050" s="545">
        <v>14</v>
      </c>
      <c r="P1050" s="230">
        <f>P1051+P1052</f>
        <v>1075599000</v>
      </c>
      <c r="Q1050" s="160">
        <v>0</v>
      </c>
      <c r="R1050" s="230">
        <f>R1051+R1052</f>
        <v>5514000</v>
      </c>
      <c r="S1050" s="230">
        <f t="shared" ref="S1050:W1050" si="305">S1051</f>
        <v>0</v>
      </c>
      <c r="T1050" s="230">
        <f>T1051+T1052</f>
        <v>5814000</v>
      </c>
      <c r="U1050" s="160">
        <f t="shared" si="305"/>
        <v>0</v>
      </c>
      <c r="V1050" s="230">
        <f>V1051+V1052</f>
        <v>0</v>
      </c>
      <c r="W1050" s="160">
        <f t="shared" si="305"/>
        <v>0</v>
      </c>
      <c r="X1050" s="230">
        <f>X1051+X1052</f>
        <v>0</v>
      </c>
      <c r="Y1050" s="160">
        <f t="shared" si="299"/>
        <v>0</v>
      </c>
      <c r="Z1050" s="230">
        <f t="shared" si="300"/>
        <v>11328000</v>
      </c>
      <c r="AA1050" s="148">
        <f t="shared" si="301"/>
        <v>36</v>
      </c>
      <c r="AB1050" s="230">
        <f t="shared" si="302"/>
        <v>41328000</v>
      </c>
      <c r="AC1050" s="292">
        <f t="shared" si="303"/>
        <v>48</v>
      </c>
      <c r="AD1050" s="292">
        <f t="shared" si="304"/>
        <v>0.56613698630136988</v>
      </c>
      <c r="AE1050" s="2558" t="s">
        <v>122</v>
      </c>
      <c r="AF1050" s="1345"/>
      <c r="AG1050" s="1345"/>
      <c r="AH1050" s="1345"/>
      <c r="AI1050" s="1345"/>
      <c r="AJ1050" s="1345"/>
      <c r="AK1050" s="1345"/>
      <c r="AL1050" s="1345"/>
      <c r="AM1050" s="1345"/>
      <c r="AN1050" s="1345"/>
      <c r="AO1050" s="1345"/>
      <c r="AP1050" s="1345"/>
      <c r="AQ1050" s="1345"/>
      <c r="AR1050" s="1345"/>
      <c r="AS1050" s="1345"/>
      <c r="AT1050" s="1345"/>
      <c r="AU1050" s="1345"/>
      <c r="AV1050" s="1345"/>
      <c r="AW1050" s="1345"/>
      <c r="AX1050" s="1345"/>
      <c r="AY1050" s="1345"/>
      <c r="AZ1050" s="1345"/>
      <c r="BA1050" s="1345"/>
      <c r="BB1050" s="1345"/>
      <c r="BC1050" s="1346"/>
      <c r="BD1050" s="1346"/>
      <c r="BE1050" s="1346"/>
      <c r="BF1050" s="1346"/>
      <c r="BG1050" s="1346"/>
      <c r="BH1050" s="1346"/>
      <c r="BI1050" s="1346"/>
      <c r="BJ1050" s="1346"/>
      <c r="BK1050" s="1346"/>
      <c r="BL1050" s="1346"/>
      <c r="BM1050" s="1346"/>
      <c r="BN1050" s="1346"/>
      <c r="BO1050" s="1346"/>
      <c r="BP1050" s="1346"/>
      <c r="BQ1050" s="1346"/>
      <c r="BR1050" s="1346"/>
    </row>
    <row r="1051" spans="1:70" ht="49.5">
      <c r="A1051" s="89"/>
      <c r="B1051" s="100"/>
      <c r="C1051" s="100"/>
      <c r="D1051" s="100"/>
      <c r="E1051" s="100"/>
      <c r="F1051" s="100"/>
      <c r="G1051" s="100"/>
      <c r="H1051" s="100"/>
      <c r="I1051" s="124" t="s">
        <v>2305</v>
      </c>
      <c r="J1051" s="124" t="s">
        <v>2982</v>
      </c>
      <c r="K1051" s="100">
        <v>1</v>
      </c>
      <c r="L1051" s="125">
        <v>300000000</v>
      </c>
      <c r="M1051" s="125">
        <v>1</v>
      </c>
      <c r="N1051" s="125">
        <v>30000000</v>
      </c>
      <c r="O1051" s="100"/>
      <c r="P1051" s="125"/>
      <c r="Q1051" s="125"/>
      <c r="R1051" s="125"/>
      <c r="S1051" s="125">
        <v>0</v>
      </c>
      <c r="T1051" s="125">
        <v>0</v>
      </c>
      <c r="U1051" s="125"/>
      <c r="V1051" s="125"/>
      <c r="W1051" s="1196"/>
      <c r="X1051" s="125"/>
      <c r="Y1051" s="100">
        <f t="shared" si="299"/>
        <v>0</v>
      </c>
      <c r="Z1051" s="125">
        <f t="shared" si="300"/>
        <v>0</v>
      </c>
      <c r="AA1051" s="117">
        <f t="shared" si="301"/>
        <v>1</v>
      </c>
      <c r="AB1051" s="111">
        <f t="shared" si="302"/>
        <v>30000000</v>
      </c>
      <c r="AC1051" s="117">
        <f t="shared" si="303"/>
        <v>100</v>
      </c>
      <c r="AD1051" s="1196">
        <f t="shared" si="304"/>
        <v>10</v>
      </c>
      <c r="AE1051" s="89"/>
    </row>
    <row r="1052" spans="1:70" ht="82.5">
      <c r="A1052" s="89"/>
      <c r="B1052" s="100"/>
      <c r="C1052" s="100"/>
      <c r="D1052" s="100"/>
      <c r="E1052" s="100"/>
      <c r="F1052" s="100"/>
      <c r="G1052" s="100"/>
      <c r="H1052" s="100"/>
      <c r="I1052" s="124" t="s">
        <v>2306</v>
      </c>
      <c r="J1052" s="124" t="s">
        <v>2983</v>
      </c>
      <c r="K1052" s="100">
        <v>3</v>
      </c>
      <c r="L1052" s="125">
        <v>7000000000</v>
      </c>
      <c r="M1052" s="125">
        <v>0</v>
      </c>
      <c r="N1052" s="125">
        <v>0</v>
      </c>
      <c r="O1052" s="100">
        <v>1</v>
      </c>
      <c r="P1052" s="125">
        <v>1075599000</v>
      </c>
      <c r="Q1052" s="125">
        <v>0</v>
      </c>
      <c r="R1052" s="125">
        <v>5514000</v>
      </c>
      <c r="S1052" s="125">
        <v>0</v>
      </c>
      <c r="T1052" s="125">
        <v>5814000</v>
      </c>
      <c r="U1052" s="125"/>
      <c r="V1052" s="125"/>
      <c r="W1052" s="1196"/>
      <c r="X1052" s="125"/>
      <c r="Y1052" s="100">
        <f t="shared" si="299"/>
        <v>0</v>
      </c>
      <c r="Z1052" s="125">
        <f t="shared" si="300"/>
        <v>11328000</v>
      </c>
      <c r="AA1052" s="117">
        <f t="shared" si="301"/>
        <v>0</v>
      </c>
      <c r="AB1052" s="111">
        <f t="shared" si="302"/>
        <v>11328000</v>
      </c>
      <c r="AC1052" s="117">
        <f t="shared" si="303"/>
        <v>0</v>
      </c>
      <c r="AD1052" s="1196">
        <f t="shared" si="304"/>
        <v>0.16182857142857143</v>
      </c>
      <c r="AE1052" s="89"/>
    </row>
    <row r="1053" spans="1:70" s="1315" customFormat="1" ht="82.5">
      <c r="A1053" s="2558">
        <v>10</v>
      </c>
      <c r="B1053" s="545"/>
      <c r="C1053" s="545"/>
      <c r="D1053" s="545"/>
      <c r="E1053" s="545"/>
      <c r="F1053" s="545"/>
      <c r="G1053" s="545"/>
      <c r="H1053" s="156"/>
      <c r="I1053" s="629" t="s">
        <v>2307</v>
      </c>
      <c r="J1053" s="629" t="s">
        <v>2984</v>
      </c>
      <c r="K1053" s="1764">
        <v>75</v>
      </c>
      <c r="L1053" s="230">
        <f>SUM(L1054:L1055)</f>
        <v>41640000000</v>
      </c>
      <c r="M1053" s="230">
        <v>50</v>
      </c>
      <c r="N1053" s="230">
        <f>SUM(N1054:N1055)</f>
        <v>11580561171</v>
      </c>
      <c r="O1053" s="545">
        <v>10</v>
      </c>
      <c r="P1053" s="230">
        <f>SUM(P1054:P1057)</f>
        <v>7577854000</v>
      </c>
      <c r="Q1053" s="140">
        <v>2</v>
      </c>
      <c r="R1053" s="230">
        <f>SUM(R1054:R1057)</f>
        <v>1215733698</v>
      </c>
      <c r="S1053" s="148"/>
      <c r="T1053" s="230">
        <f>SUM(T1054:T1057)</f>
        <v>2724559418</v>
      </c>
      <c r="U1053" s="148"/>
      <c r="V1053" s="230">
        <f>SUM(V1054:V1057)</f>
        <v>0</v>
      </c>
      <c r="W1053" s="148"/>
      <c r="X1053" s="230">
        <f>SUM(X1054:X1057)</f>
        <v>0</v>
      </c>
      <c r="Y1053" s="148">
        <f t="shared" si="299"/>
        <v>2</v>
      </c>
      <c r="Z1053" s="230">
        <f t="shared" si="300"/>
        <v>3940293116</v>
      </c>
      <c r="AA1053" s="148">
        <f t="shared" si="301"/>
        <v>52</v>
      </c>
      <c r="AB1053" s="160">
        <f t="shared" si="302"/>
        <v>15520854287</v>
      </c>
      <c r="AC1053" s="292">
        <f t="shared" si="303"/>
        <v>69.333333333333343</v>
      </c>
      <c r="AD1053" s="148">
        <f t="shared" si="304"/>
        <v>37.273905588376557</v>
      </c>
      <c r="AE1053" s="2558" t="s">
        <v>122</v>
      </c>
      <c r="AF1053" s="1345"/>
      <c r="AG1053" s="1345"/>
      <c r="AH1053" s="1345"/>
      <c r="AI1053" s="1345"/>
      <c r="AJ1053" s="1345"/>
      <c r="AK1053" s="1345"/>
      <c r="AL1053" s="1345"/>
      <c r="AM1053" s="1345"/>
      <c r="AN1053" s="1345"/>
      <c r="AO1053" s="1345"/>
      <c r="AP1053" s="1345"/>
      <c r="AQ1053" s="1345"/>
      <c r="AR1053" s="1345"/>
      <c r="AS1053" s="1345"/>
      <c r="AT1053" s="1345"/>
      <c r="AU1053" s="1345"/>
      <c r="AV1053" s="1345"/>
      <c r="AW1053" s="1345"/>
      <c r="AX1053" s="1345"/>
      <c r="AY1053" s="1345"/>
      <c r="AZ1053" s="1345"/>
      <c r="BA1053" s="1345"/>
      <c r="BB1053" s="1345"/>
      <c r="BC1053" s="1346"/>
      <c r="BD1053" s="1346"/>
      <c r="BE1053" s="1346"/>
      <c r="BF1053" s="1346"/>
      <c r="BG1053" s="1346"/>
      <c r="BH1053" s="1346"/>
      <c r="BI1053" s="1346"/>
      <c r="BJ1053" s="1346"/>
      <c r="BK1053" s="1346"/>
      <c r="BL1053" s="1346"/>
      <c r="BM1053" s="1346"/>
      <c r="BN1053" s="1346"/>
      <c r="BO1053" s="1346"/>
      <c r="BP1053" s="1346"/>
      <c r="BQ1053" s="1346"/>
      <c r="BR1053" s="1346"/>
    </row>
    <row r="1054" spans="1:70" ht="66">
      <c r="A1054" s="89"/>
      <c r="B1054" s="100"/>
      <c r="C1054" s="100"/>
      <c r="D1054" s="100"/>
      <c r="E1054" s="100"/>
      <c r="F1054" s="100"/>
      <c r="G1054" s="100"/>
      <c r="H1054" s="100"/>
      <c r="I1054" s="124" t="s">
        <v>2308</v>
      </c>
      <c r="J1054" s="124" t="s">
        <v>2985</v>
      </c>
      <c r="K1054" s="100">
        <v>60</v>
      </c>
      <c r="L1054" s="125">
        <v>28440000000</v>
      </c>
      <c r="M1054" s="125">
        <v>31</v>
      </c>
      <c r="N1054" s="125">
        <v>6617193074</v>
      </c>
      <c r="O1054" s="100">
        <v>10</v>
      </c>
      <c r="P1054" s="125">
        <v>2888369000</v>
      </c>
      <c r="Q1054" s="100">
        <v>0</v>
      </c>
      <c r="R1054" s="125">
        <v>1100000</v>
      </c>
      <c r="S1054" s="117">
        <v>12</v>
      </c>
      <c r="T1054" s="111">
        <v>1657987550</v>
      </c>
      <c r="U1054" s="117"/>
      <c r="V1054" s="125"/>
      <c r="W1054" s="1196"/>
      <c r="X1054" s="125"/>
      <c r="Y1054" s="100">
        <f t="shared" si="299"/>
        <v>12</v>
      </c>
      <c r="Z1054" s="125">
        <f t="shared" si="300"/>
        <v>1659087550</v>
      </c>
      <c r="AA1054" s="117">
        <f t="shared" si="301"/>
        <v>43</v>
      </c>
      <c r="AB1054" s="111">
        <f t="shared" si="302"/>
        <v>8276280624</v>
      </c>
      <c r="AC1054" s="117">
        <f t="shared" si="303"/>
        <v>71.666666666666671</v>
      </c>
      <c r="AD1054" s="1196">
        <f t="shared" si="304"/>
        <v>29.100846075949367</v>
      </c>
      <c r="AE1054" s="89"/>
      <c r="AF1054" s="750"/>
    </row>
    <row r="1055" spans="1:70" ht="49.5">
      <c r="A1055" s="89"/>
      <c r="B1055" s="100"/>
      <c r="C1055" s="100"/>
      <c r="D1055" s="100"/>
      <c r="E1055" s="100"/>
      <c r="F1055" s="100"/>
      <c r="G1055" s="100"/>
      <c r="H1055" s="100"/>
      <c r="I1055" s="124" t="s">
        <v>2309</v>
      </c>
      <c r="J1055" s="124" t="s">
        <v>2986</v>
      </c>
      <c r="K1055" s="100">
        <v>48</v>
      </c>
      <c r="L1055" s="125">
        <v>13200000000</v>
      </c>
      <c r="M1055" s="125">
        <v>12</v>
      </c>
      <c r="N1055" s="125">
        <v>4963368097</v>
      </c>
      <c r="O1055" s="100">
        <v>12</v>
      </c>
      <c r="P1055" s="125">
        <v>4319125000</v>
      </c>
      <c r="Q1055" s="1765">
        <v>3</v>
      </c>
      <c r="R1055" s="125">
        <v>1209583698</v>
      </c>
      <c r="S1055" s="117">
        <v>6</v>
      </c>
      <c r="T1055" s="111">
        <v>1066571868</v>
      </c>
      <c r="U1055" s="1196"/>
      <c r="V1055" s="125"/>
      <c r="W1055" s="1196"/>
      <c r="X1055" s="125"/>
      <c r="Y1055" s="100">
        <f t="shared" si="299"/>
        <v>9</v>
      </c>
      <c r="Z1055" s="125">
        <f t="shared" si="300"/>
        <v>2276155566</v>
      </c>
      <c r="AA1055" s="117">
        <f t="shared" si="301"/>
        <v>21</v>
      </c>
      <c r="AB1055" s="111">
        <f t="shared" si="302"/>
        <v>7239523663</v>
      </c>
      <c r="AC1055" s="117">
        <f t="shared" si="303"/>
        <v>43.75</v>
      </c>
      <c r="AD1055" s="1196">
        <f t="shared" si="304"/>
        <v>54.844876234848485</v>
      </c>
      <c r="AE1055" s="89"/>
      <c r="AF1055" s="750"/>
    </row>
    <row r="1056" spans="1:70" ht="33">
      <c r="A1056" s="89"/>
      <c r="B1056" s="100"/>
      <c r="C1056" s="100"/>
      <c r="D1056" s="100"/>
      <c r="E1056" s="100"/>
      <c r="F1056" s="100"/>
      <c r="G1056" s="100"/>
      <c r="H1056" s="100"/>
      <c r="I1056" s="124" t="s">
        <v>2310</v>
      </c>
      <c r="J1056" s="124" t="s">
        <v>2987</v>
      </c>
      <c r="K1056" s="100">
        <v>3</v>
      </c>
      <c r="L1056" s="125">
        <v>250000000</v>
      </c>
      <c r="M1056" s="125">
        <v>0</v>
      </c>
      <c r="N1056" s="125">
        <v>0</v>
      </c>
      <c r="O1056" s="100">
        <v>1</v>
      </c>
      <c r="P1056" s="125">
        <v>73710600</v>
      </c>
      <c r="Q1056" s="1196">
        <v>0</v>
      </c>
      <c r="R1056" s="125">
        <v>1350000</v>
      </c>
      <c r="S1056" s="125">
        <v>0</v>
      </c>
      <c r="T1056" s="111">
        <v>0</v>
      </c>
      <c r="U1056" s="1196">
        <v>0</v>
      </c>
      <c r="V1056" s="125">
        <v>0</v>
      </c>
      <c r="W1056" s="1196">
        <v>0</v>
      </c>
      <c r="X1056" s="125">
        <v>0</v>
      </c>
      <c r="Y1056" s="100">
        <f t="shared" si="299"/>
        <v>0</v>
      </c>
      <c r="Z1056" s="125">
        <f t="shared" si="300"/>
        <v>1350000</v>
      </c>
      <c r="AA1056" s="117">
        <f t="shared" si="301"/>
        <v>0</v>
      </c>
      <c r="AB1056" s="111">
        <f t="shared" si="302"/>
        <v>1350000</v>
      </c>
      <c r="AC1056" s="117">
        <f t="shared" si="303"/>
        <v>0</v>
      </c>
      <c r="AD1056" s="1196">
        <f t="shared" si="304"/>
        <v>0.54</v>
      </c>
      <c r="AE1056" s="89"/>
      <c r="AF1056" s="750"/>
    </row>
    <row r="1057" spans="1:70" ht="49.5">
      <c r="A1057" s="89"/>
      <c r="B1057" s="100"/>
      <c r="C1057" s="100"/>
      <c r="D1057" s="100"/>
      <c r="E1057" s="100"/>
      <c r="F1057" s="100"/>
      <c r="G1057" s="100"/>
      <c r="H1057" s="100"/>
      <c r="I1057" s="124" t="s">
        <v>2311</v>
      </c>
      <c r="J1057" s="124" t="s">
        <v>2988</v>
      </c>
      <c r="K1057" s="100">
        <v>6</v>
      </c>
      <c r="L1057" s="125">
        <f>3*P1057</f>
        <v>889948200</v>
      </c>
      <c r="M1057" s="125">
        <v>0</v>
      </c>
      <c r="N1057" s="125">
        <v>0</v>
      </c>
      <c r="O1057" s="100">
        <v>2</v>
      </c>
      <c r="P1057" s="125">
        <v>296649400</v>
      </c>
      <c r="Q1057" s="1196">
        <v>0</v>
      </c>
      <c r="R1057" s="125">
        <v>3700000</v>
      </c>
      <c r="S1057" s="125">
        <v>0</v>
      </c>
      <c r="T1057" s="111">
        <v>0</v>
      </c>
      <c r="U1057" s="1196">
        <v>0</v>
      </c>
      <c r="V1057" s="125">
        <v>0</v>
      </c>
      <c r="W1057" s="1196">
        <v>0</v>
      </c>
      <c r="X1057" s="125">
        <v>0</v>
      </c>
      <c r="Y1057" s="100">
        <f t="shared" si="299"/>
        <v>0</v>
      </c>
      <c r="Z1057" s="125">
        <f t="shared" si="300"/>
        <v>3700000</v>
      </c>
      <c r="AA1057" s="117">
        <f t="shared" si="301"/>
        <v>0</v>
      </c>
      <c r="AB1057" s="111">
        <f t="shared" si="302"/>
        <v>3700000</v>
      </c>
      <c r="AC1057" s="117">
        <f t="shared" si="303"/>
        <v>0</v>
      </c>
      <c r="AD1057" s="1196">
        <f t="shared" si="304"/>
        <v>0.41575453492686432</v>
      </c>
      <c r="AE1057" s="89"/>
      <c r="AF1057" s="201"/>
    </row>
    <row r="1058" spans="1:70" s="1315" customFormat="1" ht="66">
      <c r="A1058" s="2558">
        <v>11</v>
      </c>
      <c r="B1058" s="2545"/>
      <c r="C1058" s="2545"/>
      <c r="D1058" s="2545"/>
      <c r="E1058" s="2545"/>
      <c r="F1058" s="2545"/>
      <c r="G1058" s="2545"/>
      <c r="H1058" s="156"/>
      <c r="I1058" s="142" t="s">
        <v>2989</v>
      </c>
      <c r="J1058" s="2559" t="s">
        <v>2990</v>
      </c>
      <c r="K1058" s="230">
        <v>533295</v>
      </c>
      <c r="L1058" s="230">
        <f>SUM(L1059:L1060)</f>
        <v>5870431045</v>
      </c>
      <c r="M1058" s="230">
        <f>8895+72000+35000</f>
        <v>115895</v>
      </c>
      <c r="N1058" s="230">
        <f>SUM(N1059:N1060)</f>
        <v>4290014997</v>
      </c>
      <c r="O1058" s="2545">
        <v>7200</v>
      </c>
      <c r="P1058" s="230">
        <f>SUM(P1059:P1060)</f>
        <v>249496000</v>
      </c>
      <c r="Q1058" s="2545"/>
      <c r="R1058" s="230">
        <f>SUM(R1059:R1060)</f>
        <v>37023000</v>
      </c>
      <c r="S1058" s="2545"/>
      <c r="T1058" s="230">
        <f>SUM(T1059:T1060)</f>
        <v>157182000</v>
      </c>
      <c r="U1058" s="292"/>
      <c r="V1058" s="230">
        <f>SUM(V1059:V1060)</f>
        <v>0</v>
      </c>
      <c r="W1058" s="292"/>
      <c r="X1058" s="230">
        <f>SUM(X1059:X1060)</f>
        <v>0</v>
      </c>
      <c r="Y1058" s="2545">
        <f t="shared" si="299"/>
        <v>0</v>
      </c>
      <c r="Z1058" s="230">
        <f t="shared" si="300"/>
        <v>194205000</v>
      </c>
      <c r="AA1058" s="148">
        <f t="shared" si="301"/>
        <v>115895</v>
      </c>
      <c r="AB1058" s="160">
        <f t="shared" si="302"/>
        <v>4484219997</v>
      </c>
      <c r="AC1058" s="292">
        <f t="shared" si="303"/>
        <v>21.73187447847814</v>
      </c>
      <c r="AD1058" s="292">
        <f t="shared" si="304"/>
        <v>76.386554285810533</v>
      </c>
      <c r="AE1058" s="2558" t="s">
        <v>122</v>
      </c>
      <c r="AF1058" s="201"/>
      <c r="AG1058" s="1345"/>
      <c r="AH1058" s="1345"/>
      <c r="AI1058" s="1345"/>
      <c r="AJ1058" s="1345"/>
      <c r="AK1058" s="1345"/>
      <c r="AL1058" s="1345"/>
      <c r="AM1058" s="1345"/>
      <c r="AN1058" s="1345"/>
      <c r="AO1058" s="1345"/>
      <c r="AP1058" s="1345"/>
      <c r="AQ1058" s="1345"/>
      <c r="AR1058" s="1345"/>
      <c r="AS1058" s="1345"/>
      <c r="AT1058" s="1345"/>
      <c r="AU1058" s="1345"/>
      <c r="AV1058" s="1345"/>
      <c r="AW1058" s="1345"/>
      <c r="AX1058" s="1345"/>
      <c r="AY1058" s="1345"/>
      <c r="AZ1058" s="1345"/>
      <c r="BA1058" s="1345"/>
      <c r="BB1058" s="1345"/>
      <c r="BC1058" s="1346"/>
      <c r="BD1058" s="1346"/>
      <c r="BE1058" s="1346"/>
      <c r="BF1058" s="1346"/>
      <c r="BG1058" s="1346"/>
      <c r="BH1058" s="1346"/>
      <c r="BI1058" s="1346"/>
      <c r="BJ1058" s="1346"/>
      <c r="BK1058" s="1346"/>
      <c r="BL1058" s="1346"/>
      <c r="BM1058" s="1346"/>
      <c r="BN1058" s="1346"/>
      <c r="BO1058" s="1346"/>
      <c r="BP1058" s="1346"/>
      <c r="BQ1058" s="1346"/>
      <c r="BR1058" s="1346"/>
    </row>
    <row r="1059" spans="1:70" s="22" customFormat="1" ht="49.5">
      <c r="A1059" s="89"/>
      <c r="B1059" s="100"/>
      <c r="C1059" s="100"/>
      <c r="D1059" s="100"/>
      <c r="E1059" s="100"/>
      <c r="F1059" s="100"/>
      <c r="G1059" s="100"/>
      <c r="H1059" s="100"/>
      <c r="I1059" s="114" t="s">
        <v>2991</v>
      </c>
      <c r="J1059" s="124" t="s">
        <v>2992</v>
      </c>
      <c r="K1059" s="125">
        <v>470000</v>
      </c>
      <c r="L1059" s="125">
        <v>2572033840</v>
      </c>
      <c r="M1059" s="125">
        <f>7200+7400+7500</f>
        <v>22100</v>
      </c>
      <c r="N1059" s="125">
        <f>733419920+258197872</f>
        <v>991617792</v>
      </c>
      <c r="O1059" s="100">
        <v>8000</v>
      </c>
      <c r="P1059" s="125">
        <v>249496000</v>
      </c>
      <c r="Q1059" s="107">
        <v>1230</v>
      </c>
      <c r="R1059" s="125">
        <v>37023000</v>
      </c>
      <c r="S1059" s="109">
        <v>1168</v>
      </c>
      <c r="T1059" s="111">
        <v>157182000</v>
      </c>
      <c r="U1059" s="1196"/>
      <c r="V1059" s="125"/>
      <c r="W1059" s="1196"/>
      <c r="X1059" s="125"/>
      <c r="Y1059" s="100">
        <f t="shared" si="299"/>
        <v>2398</v>
      </c>
      <c r="Z1059" s="125">
        <f t="shared" si="300"/>
        <v>194205000</v>
      </c>
      <c r="AA1059" s="117">
        <f t="shared" si="301"/>
        <v>24498</v>
      </c>
      <c r="AB1059" s="111">
        <f t="shared" si="302"/>
        <v>1185822792</v>
      </c>
      <c r="AC1059" s="1196">
        <f t="shared" si="303"/>
        <v>5.2123404255319148</v>
      </c>
      <c r="AD1059" s="1196">
        <f t="shared" si="304"/>
        <v>46.10447862536676</v>
      </c>
      <c r="AE1059" s="89"/>
      <c r="AF1059" s="201"/>
      <c r="AG1059" s="750"/>
      <c r="AH1059" s="750"/>
      <c r="AI1059" s="750"/>
      <c r="AJ1059" s="750"/>
      <c r="AK1059" s="750"/>
      <c r="AL1059" s="750"/>
      <c r="AM1059" s="750"/>
      <c r="AN1059" s="750"/>
      <c r="AO1059" s="750"/>
      <c r="AP1059" s="750"/>
      <c r="AQ1059" s="750"/>
      <c r="AR1059" s="750"/>
      <c r="AS1059" s="750"/>
      <c r="AT1059" s="750"/>
      <c r="AU1059" s="750"/>
      <c r="AV1059" s="750"/>
      <c r="AW1059" s="750"/>
      <c r="AX1059" s="750"/>
      <c r="AY1059" s="750"/>
      <c r="AZ1059" s="750"/>
      <c r="BA1059" s="750"/>
      <c r="BB1059" s="750"/>
      <c r="BC1059" s="752"/>
      <c r="BD1059" s="752"/>
      <c r="BE1059" s="752"/>
      <c r="BF1059" s="752"/>
      <c r="BG1059" s="752"/>
      <c r="BH1059" s="752"/>
      <c r="BI1059" s="752"/>
      <c r="BJ1059" s="752"/>
      <c r="BK1059" s="752"/>
      <c r="BL1059" s="752"/>
      <c r="BM1059" s="752"/>
      <c r="BN1059" s="752"/>
      <c r="BO1059" s="752"/>
      <c r="BP1059" s="752"/>
      <c r="BQ1059" s="752"/>
      <c r="BR1059" s="752"/>
    </row>
    <row r="1060" spans="1:70" s="22" customFormat="1" ht="55.5" customHeight="1">
      <c r="A1060" s="89"/>
      <c r="B1060" s="100"/>
      <c r="C1060" s="100"/>
      <c r="D1060" s="100"/>
      <c r="E1060" s="100"/>
      <c r="F1060" s="100"/>
      <c r="G1060" s="100"/>
      <c r="H1060" s="100"/>
      <c r="I1060" s="114" t="s">
        <v>2312</v>
      </c>
      <c r="J1060" s="124" t="s">
        <v>2313</v>
      </c>
      <c r="K1060" s="125">
        <v>1</v>
      </c>
      <c r="L1060" s="125">
        <f>N1060</f>
        <v>3298397205</v>
      </c>
      <c r="M1060" s="125">
        <v>1</v>
      </c>
      <c r="N1060" s="125">
        <v>3298397205</v>
      </c>
      <c r="O1060" s="100">
        <v>0</v>
      </c>
      <c r="P1060" s="125">
        <v>0</v>
      </c>
      <c r="Q1060" s="100">
        <v>0</v>
      </c>
      <c r="R1060" s="125">
        <v>0</v>
      </c>
      <c r="S1060" s="125"/>
      <c r="T1060" s="111"/>
      <c r="U1060" s="125"/>
      <c r="V1060" s="125"/>
      <c r="W1060" s="1196"/>
      <c r="X1060" s="125"/>
      <c r="Y1060" s="100">
        <f t="shared" si="299"/>
        <v>0</v>
      </c>
      <c r="Z1060" s="125">
        <f t="shared" si="300"/>
        <v>0</v>
      </c>
      <c r="AA1060" s="117">
        <f t="shared" si="301"/>
        <v>1</v>
      </c>
      <c r="AB1060" s="111">
        <f t="shared" si="302"/>
        <v>3298397205</v>
      </c>
      <c r="AC1060" s="1196">
        <f t="shared" si="303"/>
        <v>100</v>
      </c>
      <c r="AD1060" s="1196">
        <f t="shared" si="304"/>
        <v>100</v>
      </c>
      <c r="AE1060" s="89"/>
      <c r="AF1060" s="750"/>
      <c r="AG1060" s="750"/>
      <c r="AH1060" s="750"/>
      <c r="AI1060" s="750"/>
      <c r="AJ1060" s="750"/>
      <c r="AK1060" s="750"/>
      <c r="AL1060" s="750"/>
      <c r="AM1060" s="750"/>
      <c r="AN1060" s="750"/>
      <c r="AO1060" s="750"/>
      <c r="AP1060" s="750"/>
      <c r="AQ1060" s="750"/>
      <c r="AR1060" s="750"/>
      <c r="AS1060" s="750"/>
      <c r="AT1060" s="750"/>
      <c r="AU1060" s="750"/>
      <c r="AV1060" s="750"/>
      <c r="AW1060" s="750"/>
      <c r="AX1060" s="750"/>
      <c r="AY1060" s="750"/>
      <c r="AZ1060" s="750"/>
      <c r="BA1060" s="750"/>
      <c r="BB1060" s="750"/>
      <c r="BC1060" s="752"/>
      <c r="BD1060" s="752"/>
      <c r="BE1060" s="752"/>
      <c r="BF1060" s="752"/>
      <c r="BG1060" s="752"/>
      <c r="BH1060" s="752"/>
      <c r="BI1060" s="752"/>
      <c r="BJ1060" s="752"/>
      <c r="BK1060" s="752"/>
      <c r="BL1060" s="752"/>
      <c r="BM1060" s="752"/>
      <c r="BN1060" s="752"/>
      <c r="BO1060" s="752"/>
      <c r="BP1060" s="752"/>
      <c r="BQ1060" s="752"/>
      <c r="BR1060" s="752"/>
    </row>
    <row r="1061" spans="1:70" s="16" customFormat="1" ht="99">
      <c r="A1061" s="2558">
        <v>12</v>
      </c>
      <c r="B1061" s="2545"/>
      <c r="C1061" s="2545"/>
      <c r="D1061" s="2545"/>
      <c r="E1061" s="2545"/>
      <c r="F1061" s="2545"/>
      <c r="G1061" s="2545"/>
      <c r="H1061" s="156"/>
      <c r="I1061" s="142" t="s">
        <v>2314</v>
      </c>
      <c r="J1061" s="2559" t="s">
        <v>2939</v>
      </c>
      <c r="K1061" s="230">
        <v>90</v>
      </c>
      <c r="L1061" s="230">
        <f t="shared" ref="L1061:X1061" si="306">L1062</f>
        <v>150000000</v>
      </c>
      <c r="M1061" s="230">
        <v>75</v>
      </c>
      <c r="N1061" s="230">
        <f t="shared" si="306"/>
        <v>0</v>
      </c>
      <c r="O1061" s="230">
        <v>10</v>
      </c>
      <c r="P1061" s="230">
        <f t="shared" si="306"/>
        <v>34980000</v>
      </c>
      <c r="Q1061" s="230">
        <f t="shared" si="306"/>
        <v>0</v>
      </c>
      <c r="R1061" s="230">
        <f t="shared" si="306"/>
        <v>0</v>
      </c>
      <c r="S1061" s="230">
        <f t="shared" si="306"/>
        <v>0</v>
      </c>
      <c r="T1061" s="230">
        <f t="shared" si="306"/>
        <v>0</v>
      </c>
      <c r="U1061" s="230">
        <f t="shared" si="306"/>
        <v>0</v>
      </c>
      <c r="V1061" s="230">
        <f t="shared" si="306"/>
        <v>0</v>
      </c>
      <c r="W1061" s="230">
        <f t="shared" si="306"/>
        <v>0</v>
      </c>
      <c r="X1061" s="230">
        <f t="shared" si="306"/>
        <v>0</v>
      </c>
      <c r="Y1061" s="230">
        <f t="shared" si="299"/>
        <v>0</v>
      </c>
      <c r="Z1061" s="230">
        <f t="shared" si="300"/>
        <v>0</v>
      </c>
      <c r="AA1061" s="230">
        <f t="shared" si="301"/>
        <v>75</v>
      </c>
      <c r="AB1061" s="230">
        <f t="shared" si="302"/>
        <v>0</v>
      </c>
      <c r="AC1061" s="230">
        <f t="shared" si="303"/>
        <v>83.333333333333343</v>
      </c>
      <c r="AD1061" s="230">
        <f t="shared" si="304"/>
        <v>0</v>
      </c>
      <c r="AE1061" s="2558" t="s">
        <v>122</v>
      </c>
      <c r="AF1061" s="201"/>
      <c r="AG1061" s="201"/>
      <c r="AH1061" s="201"/>
      <c r="AI1061" s="201"/>
      <c r="AJ1061" s="201"/>
      <c r="AK1061" s="201"/>
      <c r="AL1061" s="201"/>
      <c r="AM1061" s="201"/>
      <c r="AN1061" s="201"/>
      <c r="AO1061" s="201"/>
      <c r="AP1061" s="201"/>
      <c r="AQ1061" s="201"/>
      <c r="AR1061" s="201"/>
      <c r="AS1061" s="201"/>
      <c r="AT1061" s="201"/>
      <c r="AU1061" s="201"/>
      <c r="AV1061" s="201"/>
      <c r="AW1061" s="201"/>
      <c r="AX1061" s="201"/>
      <c r="AY1061" s="201"/>
      <c r="AZ1061" s="201"/>
      <c r="BA1061" s="201"/>
      <c r="BB1061" s="201"/>
      <c r="BC1061" s="20"/>
      <c r="BD1061" s="20"/>
      <c r="BE1061" s="20"/>
      <c r="BF1061" s="20"/>
      <c r="BG1061" s="20"/>
      <c r="BH1061" s="20"/>
      <c r="BI1061" s="20"/>
      <c r="BJ1061" s="20"/>
      <c r="BK1061" s="20"/>
      <c r="BL1061" s="20"/>
      <c r="BM1061" s="20"/>
      <c r="BN1061" s="20"/>
      <c r="BO1061" s="20"/>
      <c r="BP1061" s="20"/>
      <c r="BQ1061" s="20"/>
      <c r="BR1061" s="20"/>
    </row>
    <row r="1062" spans="1:70" s="1288" customFormat="1" ht="44.25" customHeight="1">
      <c r="A1062" s="89"/>
      <c r="B1062" s="100"/>
      <c r="C1062" s="100"/>
      <c r="D1062" s="100"/>
      <c r="E1062" s="100"/>
      <c r="F1062" s="100"/>
      <c r="G1062" s="100"/>
      <c r="H1062" s="100"/>
      <c r="I1062" s="1291" t="s">
        <v>2315</v>
      </c>
      <c r="J1062" s="1291" t="s">
        <v>2993</v>
      </c>
      <c r="K1062" s="944">
        <v>3</v>
      </c>
      <c r="L1062" s="13">
        <v>150000000</v>
      </c>
      <c r="M1062" s="13">
        <v>0</v>
      </c>
      <c r="N1062" s="13">
        <v>0</v>
      </c>
      <c r="O1062" s="944">
        <v>1</v>
      </c>
      <c r="P1062" s="13">
        <v>34980000</v>
      </c>
      <c r="Q1062" s="13">
        <v>0</v>
      </c>
      <c r="R1062" s="13">
        <v>0</v>
      </c>
      <c r="S1062" s="13"/>
      <c r="T1062" s="13"/>
      <c r="U1062" s="13"/>
      <c r="V1062" s="13"/>
      <c r="W1062" s="13"/>
      <c r="X1062" s="13"/>
      <c r="Y1062" s="13">
        <f t="shared" si="299"/>
        <v>0</v>
      </c>
      <c r="Z1062" s="125">
        <f t="shared" si="300"/>
        <v>0</v>
      </c>
      <c r="AA1062" s="117">
        <f t="shared" si="301"/>
        <v>0</v>
      </c>
      <c r="AB1062" s="111">
        <f t="shared" si="302"/>
        <v>0</v>
      </c>
      <c r="AC1062" s="1196">
        <f t="shared" si="303"/>
        <v>0</v>
      </c>
      <c r="AD1062" s="1196">
        <f t="shared" si="304"/>
        <v>0</v>
      </c>
      <c r="AE1062" s="261"/>
      <c r="AF1062" s="200"/>
      <c r="AG1062" s="1287"/>
      <c r="AH1062" s="1287"/>
      <c r="AI1062" s="1287"/>
      <c r="AJ1062" s="1287"/>
      <c r="AK1062" s="1287"/>
      <c r="AL1062" s="1287"/>
      <c r="AM1062" s="1287"/>
      <c r="AN1062" s="1287"/>
      <c r="AO1062" s="1287"/>
      <c r="AP1062" s="1287"/>
      <c r="AQ1062" s="1287"/>
      <c r="AR1062" s="1287"/>
      <c r="AS1062" s="1287"/>
      <c r="AT1062" s="1287"/>
      <c r="AU1062" s="1287"/>
      <c r="AV1062" s="1287"/>
      <c r="AW1062" s="1287"/>
      <c r="AX1062" s="1287"/>
      <c r="AY1062" s="1287"/>
      <c r="AZ1062" s="1287"/>
      <c r="BA1062" s="1287"/>
      <c r="BB1062" s="1287"/>
    </row>
    <row r="1063" spans="1:70" s="1346" customFormat="1" ht="99">
      <c r="A1063" s="2558">
        <v>13</v>
      </c>
      <c r="B1063" s="2545"/>
      <c r="C1063" s="2545"/>
      <c r="D1063" s="2545"/>
      <c r="E1063" s="2545"/>
      <c r="F1063" s="2545"/>
      <c r="G1063" s="2545"/>
      <c r="H1063" s="156"/>
      <c r="I1063" s="142" t="s">
        <v>2316</v>
      </c>
      <c r="J1063" s="2559" t="s">
        <v>2317</v>
      </c>
      <c r="K1063" s="2545">
        <f t="shared" ref="K1063:R1063" si="307">K1064</f>
        <v>72</v>
      </c>
      <c r="L1063" s="230">
        <f t="shared" si="307"/>
        <v>2100753040</v>
      </c>
      <c r="M1063" s="2545">
        <f t="shared" si="307"/>
        <v>36</v>
      </c>
      <c r="N1063" s="230">
        <f t="shared" si="307"/>
        <v>809231239</v>
      </c>
      <c r="O1063" s="2545">
        <f t="shared" si="307"/>
        <v>12</v>
      </c>
      <c r="P1063" s="230">
        <f t="shared" si="307"/>
        <v>454172500</v>
      </c>
      <c r="Q1063" s="230">
        <f t="shared" si="307"/>
        <v>3</v>
      </c>
      <c r="R1063" s="230">
        <f t="shared" si="307"/>
        <v>74550000</v>
      </c>
      <c r="S1063" s="148">
        <f>S1064</f>
        <v>3</v>
      </c>
      <c r="T1063" s="160">
        <f>T1064</f>
        <v>104624250</v>
      </c>
      <c r="U1063" s="2545"/>
      <c r="V1063" s="230">
        <f>V1064</f>
        <v>0</v>
      </c>
      <c r="W1063" s="2545"/>
      <c r="X1063" s="230"/>
      <c r="Y1063" s="230">
        <f t="shared" si="299"/>
        <v>6</v>
      </c>
      <c r="Z1063" s="230">
        <f t="shared" si="300"/>
        <v>179174250</v>
      </c>
      <c r="AA1063" s="148">
        <f t="shared" si="301"/>
        <v>42</v>
      </c>
      <c r="AB1063" s="160">
        <f t="shared" si="302"/>
        <v>988405489</v>
      </c>
      <c r="AC1063" s="292">
        <f t="shared" si="303"/>
        <v>58.333333333333336</v>
      </c>
      <c r="AD1063" s="292">
        <f t="shared" si="304"/>
        <v>47.050056345509326</v>
      </c>
      <c r="AE1063" s="2558" t="s">
        <v>122</v>
      </c>
      <c r="AF1063" s="200"/>
      <c r="AG1063" s="1345"/>
      <c r="AH1063" s="1345"/>
      <c r="AI1063" s="1345"/>
      <c r="AJ1063" s="1345"/>
      <c r="AK1063" s="1345"/>
      <c r="AL1063" s="1345"/>
      <c r="AM1063" s="1345"/>
      <c r="AN1063" s="1345"/>
      <c r="AO1063" s="1345"/>
      <c r="AP1063" s="1345"/>
      <c r="AQ1063" s="1345"/>
      <c r="AR1063" s="1345"/>
      <c r="AS1063" s="1345"/>
      <c r="AT1063" s="1345"/>
      <c r="AU1063" s="1345"/>
      <c r="AV1063" s="1345"/>
      <c r="AW1063" s="1345"/>
      <c r="AX1063" s="1345"/>
      <c r="AY1063" s="1345"/>
      <c r="AZ1063" s="1345"/>
      <c r="BA1063" s="1345"/>
      <c r="BB1063" s="1345"/>
    </row>
    <row r="1064" spans="1:70" s="1288" customFormat="1" ht="72" customHeight="1">
      <c r="A1064" s="89"/>
      <c r="B1064" s="100"/>
      <c r="C1064" s="100"/>
      <c r="D1064" s="100"/>
      <c r="E1064" s="100"/>
      <c r="F1064" s="100"/>
      <c r="G1064" s="100"/>
      <c r="H1064" s="100"/>
      <c r="I1064" s="114" t="s">
        <v>2318</v>
      </c>
      <c r="J1064" s="124" t="s">
        <v>2994</v>
      </c>
      <c r="K1064" s="100">
        <v>72</v>
      </c>
      <c r="L1064" s="125">
        <v>2100753040</v>
      </c>
      <c r="M1064" s="100">
        <v>36</v>
      </c>
      <c r="N1064" s="125">
        <f>497724839+311506400</f>
        <v>809231239</v>
      </c>
      <c r="O1064" s="100">
        <v>12</v>
      </c>
      <c r="P1064" s="125">
        <v>454172500</v>
      </c>
      <c r="Q1064" s="100">
        <v>3</v>
      </c>
      <c r="R1064" s="125">
        <v>74550000</v>
      </c>
      <c r="S1064" s="117">
        <v>3</v>
      </c>
      <c r="T1064" s="2670">
        <f>179174250-R1064</f>
        <v>104624250</v>
      </c>
      <c r="U1064" s="1196"/>
      <c r="V1064" s="125"/>
      <c r="W1064" s="1196"/>
      <c r="X1064" s="125"/>
      <c r="Y1064" s="100">
        <f t="shared" si="299"/>
        <v>6</v>
      </c>
      <c r="Z1064" s="125">
        <f>R1064+T1064+V1064+'[4]ev rkpd trw 2'!$A:$AE+'[4]ev rkpd trw 2'!$R$862</f>
        <v>188556450</v>
      </c>
      <c r="AA1064" s="117">
        <f t="shared" si="301"/>
        <v>42</v>
      </c>
      <c r="AB1064" s="111">
        <f t="shared" si="302"/>
        <v>997787689</v>
      </c>
      <c r="AC1064" s="1196">
        <f t="shared" si="303"/>
        <v>58.333333333333336</v>
      </c>
      <c r="AD1064" s="1196">
        <f t="shared" si="304"/>
        <v>47.496667623529895</v>
      </c>
      <c r="AE1064" s="89"/>
      <c r="AF1064" s="200"/>
      <c r="AG1064" s="1287"/>
      <c r="AH1064" s="1287"/>
      <c r="AI1064" s="1287"/>
      <c r="AJ1064" s="1287"/>
      <c r="AK1064" s="1287"/>
      <c r="AL1064" s="1287"/>
      <c r="AM1064" s="1287"/>
      <c r="AN1064" s="1287"/>
      <c r="AO1064" s="1287"/>
      <c r="AP1064" s="1287"/>
      <c r="AQ1064" s="1287"/>
      <c r="AR1064" s="1287"/>
      <c r="AS1064" s="1287"/>
      <c r="AT1064" s="1287"/>
      <c r="AU1064" s="1287"/>
      <c r="AV1064" s="1287"/>
      <c r="AW1064" s="1287"/>
      <c r="AX1064" s="1287"/>
      <c r="AY1064" s="1287"/>
      <c r="AZ1064" s="1287"/>
      <c r="BA1064" s="1287"/>
      <c r="BB1064" s="1287"/>
    </row>
    <row r="1065" spans="1:70" s="970" customFormat="1" ht="21.75" customHeight="1">
      <c r="A1065" s="2771" t="s">
        <v>2319</v>
      </c>
      <c r="B1065" s="2772"/>
      <c r="C1065" s="2772"/>
      <c r="D1065" s="2772"/>
      <c r="E1065" s="2772"/>
      <c r="F1065" s="2772"/>
      <c r="G1065" s="2772"/>
      <c r="H1065" s="2772"/>
      <c r="I1065" s="2772"/>
      <c r="J1065" s="2772"/>
      <c r="K1065" s="2772"/>
      <c r="L1065" s="2772"/>
      <c r="M1065" s="2772"/>
      <c r="N1065" s="2772"/>
      <c r="O1065" s="2772"/>
      <c r="P1065" s="2772"/>
      <c r="Q1065" s="2772"/>
      <c r="R1065" s="2772"/>
      <c r="S1065" s="2772"/>
      <c r="T1065" s="2772"/>
      <c r="U1065" s="2772"/>
      <c r="V1065" s="2772"/>
      <c r="W1065" s="2772"/>
      <c r="X1065" s="2772"/>
      <c r="Y1065" s="2772"/>
      <c r="Z1065" s="2772"/>
      <c r="AA1065" s="2772"/>
      <c r="AB1065" s="2773"/>
      <c r="AC1065" s="965">
        <f>(AC1007+AC1023+AC1029+AC1031+AC1033+AC1035+AC1038+AC1041+AC1050+AC1053+AC1058+AC1061+AC1063)/13</f>
        <v>59.736172770529222</v>
      </c>
      <c r="AD1065" s="965">
        <f>(AD1007+AD1023+AD1029+AD1031+AD1033+AD1035+AD1038+AD1041+AD1050+AD1053+AD1058+AD1061+AD1063)/13</f>
        <v>44.95973402088152</v>
      </c>
      <c r="AE1065" s="2593"/>
      <c r="AF1065" s="200"/>
      <c r="AG1065" s="200"/>
      <c r="AH1065" s="200"/>
      <c r="AI1065" s="200"/>
      <c r="AJ1065" s="200"/>
      <c r="AK1065" s="200"/>
      <c r="AL1065" s="200"/>
      <c r="AM1065" s="200"/>
      <c r="AN1065" s="200"/>
      <c r="AO1065" s="200"/>
      <c r="AP1065" s="200"/>
      <c r="AQ1065" s="200"/>
      <c r="AR1065" s="200"/>
      <c r="AS1065" s="200"/>
      <c r="AT1065" s="200"/>
      <c r="AU1065" s="200"/>
      <c r="AV1065" s="200"/>
      <c r="AW1065" s="200"/>
      <c r="AX1065" s="200"/>
      <c r="AY1065" s="200"/>
      <c r="AZ1065" s="200"/>
      <c r="BA1065" s="200"/>
      <c r="BB1065" s="200"/>
    </row>
    <row r="1066" spans="1:70" s="970" customFormat="1" ht="19.5" customHeight="1">
      <c r="A1066" s="2771" t="s">
        <v>64</v>
      </c>
      <c r="B1066" s="2772"/>
      <c r="C1066" s="2772"/>
      <c r="D1066" s="2772"/>
      <c r="E1066" s="2772"/>
      <c r="F1066" s="2772"/>
      <c r="G1066" s="2772"/>
      <c r="H1066" s="2772"/>
      <c r="I1066" s="2772"/>
      <c r="J1066" s="2772"/>
      <c r="K1066" s="2772"/>
      <c r="L1066" s="2772"/>
      <c r="M1066" s="2772"/>
      <c r="N1066" s="2772"/>
      <c r="O1066" s="2772"/>
      <c r="P1066" s="2772"/>
      <c r="Q1066" s="2772"/>
      <c r="R1066" s="2772"/>
      <c r="S1066" s="2772"/>
      <c r="T1066" s="2772"/>
      <c r="U1066" s="2772"/>
      <c r="V1066" s="2772"/>
      <c r="W1066" s="2772"/>
      <c r="X1066" s="2772"/>
      <c r="Y1066" s="2772"/>
      <c r="Z1066" s="2772"/>
      <c r="AA1066" s="2772"/>
      <c r="AB1066" s="2772"/>
      <c r="AC1066" s="604" t="str">
        <f>IF(AC1065&gt;=91,"ST",IF(AC1065&gt;=76,"T",IF(AC1065&gt;=66,"S",IF(AC1065&gt;=51,"R","SR"))))</f>
        <v>R</v>
      </c>
      <c r="AD1066" s="604" t="str">
        <f>IF(AD1065&gt;=91,"ST",IF(AD1065&gt;=76,"T",IF(AD1065&gt;=66,"S",IF(AD1065&gt;=51,"R","SR"))))</f>
        <v>SR</v>
      </c>
      <c r="AE1066" s="481"/>
      <c r="AF1066" s="200"/>
      <c r="AG1066" s="200"/>
      <c r="AH1066" s="200"/>
      <c r="AI1066" s="200"/>
      <c r="AJ1066" s="200"/>
      <c r="AK1066" s="200"/>
      <c r="AL1066" s="200"/>
      <c r="AM1066" s="200"/>
      <c r="AN1066" s="200"/>
      <c r="AO1066" s="200"/>
      <c r="AP1066" s="200"/>
      <c r="AQ1066" s="200"/>
      <c r="AR1066" s="200"/>
      <c r="AS1066" s="200"/>
      <c r="AT1066" s="200"/>
      <c r="AU1066" s="200"/>
      <c r="AV1066" s="200"/>
      <c r="AW1066" s="200"/>
      <c r="AX1066" s="200"/>
      <c r="AY1066" s="200"/>
      <c r="AZ1066" s="200"/>
      <c r="BA1066" s="200"/>
      <c r="BB1066" s="200"/>
    </row>
    <row r="1067" spans="1:70" s="862" customFormat="1" ht="33" customHeight="1">
      <c r="A1067" s="863" t="s">
        <v>123</v>
      </c>
      <c r="B1067" s="1618"/>
      <c r="C1067" s="863"/>
      <c r="D1067" s="863"/>
      <c r="E1067" s="863"/>
      <c r="F1067" s="863"/>
      <c r="G1067" s="863"/>
      <c r="H1067" s="863"/>
      <c r="I1067" s="2746" t="s">
        <v>2063</v>
      </c>
      <c r="J1067" s="2747"/>
      <c r="K1067" s="1665"/>
      <c r="L1067" s="1285">
        <f>SUM(L1068+L1081+L1086+L1089+L1098+L1100)</f>
        <v>24703400696</v>
      </c>
      <c r="M1067" s="1665"/>
      <c r="N1067" s="1285">
        <f>SUM(N1068+N1081+N1086+N1089+N1098+N1100)</f>
        <v>5804893094</v>
      </c>
      <c r="O1067" s="1665"/>
      <c r="P1067" s="1285">
        <f>SUM(P1068+P1081+P1086+P1089+P1098+P1100)</f>
        <v>9999847875</v>
      </c>
      <c r="Q1067" s="1665"/>
      <c r="R1067" s="1285">
        <f>SUM(R1068+R1081+R1086+R1089+R1098+R1100)</f>
        <v>313054880</v>
      </c>
      <c r="S1067" s="1618"/>
      <c r="T1067" s="1286">
        <f>T1068+T1081+T1086++T1089+T1098+T1100</f>
        <v>2837434950</v>
      </c>
      <c r="U1067" s="1618"/>
      <c r="V1067" s="1320"/>
      <c r="W1067" s="1618"/>
      <c r="X1067" s="1618"/>
      <c r="Y1067" s="1665"/>
      <c r="Z1067" s="1285">
        <f>SUM(Z1068+Z1081+Z1086+Z1089+Z1098+Z1100)</f>
        <v>3150489830</v>
      </c>
      <c r="AA1067" s="1665"/>
      <c r="AB1067" s="1285">
        <f>SUM(AB1068+AB1081+AB1086+AB1089+AB1098+AB1100)</f>
        <v>8867571874</v>
      </c>
      <c r="AC1067" s="1665"/>
      <c r="AD1067" s="1665"/>
      <c r="AE1067" s="863"/>
      <c r="AF1067" s="200"/>
      <c r="AG1067" s="861"/>
      <c r="AH1067" s="861"/>
      <c r="AI1067" s="861"/>
      <c r="AJ1067" s="861"/>
      <c r="AK1067" s="861"/>
      <c r="AL1067" s="861"/>
      <c r="AM1067" s="861"/>
      <c r="AN1067" s="861"/>
      <c r="AO1067" s="861"/>
      <c r="AP1067" s="861"/>
      <c r="AQ1067" s="861"/>
      <c r="AR1067" s="861"/>
      <c r="AS1067" s="861"/>
      <c r="AT1067" s="861"/>
      <c r="AU1067" s="861"/>
      <c r="AV1067" s="861"/>
      <c r="AW1067" s="861"/>
      <c r="AX1067" s="861"/>
      <c r="AY1067" s="861"/>
      <c r="AZ1067" s="861"/>
      <c r="BA1067" s="861"/>
      <c r="BB1067" s="861"/>
    </row>
    <row r="1068" spans="1:70" s="20" customFormat="1" ht="82.5">
      <c r="A1068" s="2558">
        <v>1</v>
      </c>
      <c r="B1068" s="33"/>
      <c r="C1068" s="2558">
        <v>1</v>
      </c>
      <c r="D1068" s="303" t="s">
        <v>28</v>
      </c>
      <c r="E1068" s="2558">
        <v>10</v>
      </c>
      <c r="F1068" s="303" t="s">
        <v>25</v>
      </c>
      <c r="G1068" s="2558">
        <v>20</v>
      </c>
      <c r="H1068" s="2558"/>
      <c r="I1068" s="33" t="s">
        <v>2064</v>
      </c>
      <c r="J1068" s="2559" t="s">
        <v>2995</v>
      </c>
      <c r="K1068" s="135">
        <v>60</v>
      </c>
      <c r="L1068" s="2544">
        <f>SUM(L1069:L1073)</f>
        <v>1674524000</v>
      </c>
      <c r="M1068" s="2545">
        <v>24</v>
      </c>
      <c r="N1068" s="801">
        <f>SUM(N1069:N1073)</f>
        <v>159401000</v>
      </c>
      <c r="O1068" s="2545">
        <v>12</v>
      </c>
      <c r="P1068" s="801">
        <f>SUM(P1069:P1080)</f>
        <v>540997260</v>
      </c>
      <c r="Q1068" s="2545">
        <v>3</v>
      </c>
      <c r="R1068" s="801">
        <f>SUM(R1069:R1073)</f>
        <v>60821638</v>
      </c>
      <c r="S1068" s="33"/>
      <c r="T1068" s="531">
        <f>SUM(T1069:T1073)</f>
        <v>67261815</v>
      </c>
      <c r="U1068" s="33"/>
      <c r="V1068" s="223"/>
      <c r="W1068" s="33"/>
      <c r="X1068" s="33"/>
      <c r="Y1068" s="2545">
        <f>Q1068+S1068+U1068+W1068</f>
        <v>3</v>
      </c>
      <c r="Z1068" s="223">
        <f>R1068+T1068+V1068+X1068</f>
        <v>128083453</v>
      </c>
      <c r="AA1068" s="2545">
        <f t="shared" ref="AA1068:AA1099" si="308">M1068+Y1068</f>
        <v>27</v>
      </c>
      <c r="AB1068" s="223">
        <f t="shared" ref="AB1068:AB1099" si="309">N1068+Z1068</f>
        <v>287484453</v>
      </c>
      <c r="AC1068" s="148">
        <f t="shared" ref="AC1068:AC1100" si="310">(AA1068/K1068)*100</f>
        <v>45</v>
      </c>
      <c r="AD1068" s="148">
        <f t="shared" ref="AD1068:AD1100" si="311">(AB1068/L1068)*100</f>
        <v>17.16812974911079</v>
      </c>
      <c r="AE1068" s="2558" t="s">
        <v>124</v>
      </c>
      <c r="AF1068" s="201"/>
      <c r="AG1068" s="201"/>
      <c r="AH1068" s="201"/>
      <c r="AI1068" s="201"/>
      <c r="AJ1068" s="201"/>
      <c r="AK1068" s="201"/>
      <c r="AL1068" s="201"/>
      <c r="AM1068" s="201"/>
      <c r="AN1068" s="201"/>
      <c r="AO1068" s="201"/>
      <c r="AP1068" s="201"/>
      <c r="AQ1068" s="201"/>
      <c r="AR1068" s="201"/>
      <c r="AS1068" s="201"/>
      <c r="AT1068" s="201"/>
      <c r="AU1068" s="201"/>
      <c r="AV1068" s="201"/>
      <c r="AW1068" s="201"/>
      <c r="AX1068" s="201"/>
      <c r="AY1068" s="201"/>
      <c r="AZ1068" s="201"/>
      <c r="BA1068" s="201"/>
      <c r="BB1068" s="201"/>
    </row>
    <row r="1069" spans="1:70" s="1288" customFormat="1" ht="49.5">
      <c r="A1069" s="102"/>
      <c r="B1069" s="8"/>
      <c r="C1069" s="102">
        <v>1</v>
      </c>
      <c r="D1069" s="628" t="s">
        <v>28</v>
      </c>
      <c r="E1069" s="102">
        <v>10</v>
      </c>
      <c r="F1069" s="628" t="s">
        <v>25</v>
      </c>
      <c r="G1069" s="628" t="s">
        <v>25</v>
      </c>
      <c r="H1069" s="628" t="s">
        <v>28</v>
      </c>
      <c r="I1069" s="8" t="s">
        <v>2065</v>
      </c>
      <c r="J1069" s="10" t="s">
        <v>2066</v>
      </c>
      <c r="K1069" s="107">
        <f>12*5</f>
        <v>60</v>
      </c>
      <c r="L1069" s="408">
        <f>(67920+73200+150000+187500+200000)*1000</f>
        <v>678620000</v>
      </c>
      <c r="M1069" s="107">
        <v>24</v>
      </c>
      <c r="N1069" s="408">
        <v>39952000</v>
      </c>
      <c r="O1069" s="107">
        <v>12</v>
      </c>
      <c r="P1069" s="408">
        <v>57900000</v>
      </c>
      <c r="Q1069" s="107">
        <v>3</v>
      </c>
      <c r="R1069" s="408">
        <v>16127822</v>
      </c>
      <c r="S1069" s="11">
        <v>6</v>
      </c>
      <c r="T1069" s="2688">
        <v>22280129</v>
      </c>
      <c r="U1069" s="8">
        <v>0</v>
      </c>
      <c r="V1069" s="514">
        <v>0</v>
      </c>
      <c r="W1069" s="8"/>
      <c r="X1069" s="8"/>
      <c r="Y1069" s="107">
        <f t="shared" ref="Y1069:Y1099" si="312">Q1069+S1069+U1069+W1069</f>
        <v>9</v>
      </c>
      <c r="Z1069" s="514">
        <f>R1069+T1069</f>
        <v>38407951</v>
      </c>
      <c r="AA1069" s="107">
        <f t="shared" si="308"/>
        <v>33</v>
      </c>
      <c r="AB1069" s="408">
        <f t="shared" si="309"/>
        <v>78359951</v>
      </c>
      <c r="AC1069" s="499">
        <f t="shared" si="310"/>
        <v>55.000000000000007</v>
      </c>
      <c r="AD1069" s="499">
        <f t="shared" si="311"/>
        <v>11.546955733694851</v>
      </c>
      <c r="AE1069" s="102"/>
      <c r="AF1069" s="200"/>
      <c r="AG1069" s="1287"/>
      <c r="AH1069" s="1287"/>
      <c r="AI1069" s="1287"/>
      <c r="AJ1069" s="1287"/>
      <c r="AK1069" s="1287"/>
      <c r="AL1069" s="1287"/>
      <c r="AM1069" s="1287"/>
      <c r="AN1069" s="1287"/>
      <c r="AO1069" s="1287"/>
      <c r="AP1069" s="1287"/>
      <c r="AQ1069" s="1287"/>
      <c r="AR1069" s="1287"/>
      <c r="AS1069" s="1287"/>
      <c r="AT1069" s="1287"/>
      <c r="AU1069" s="1287"/>
      <c r="AV1069" s="1287"/>
      <c r="AW1069" s="1287"/>
      <c r="AX1069" s="1287"/>
      <c r="AY1069" s="1287"/>
      <c r="AZ1069" s="1287"/>
      <c r="BA1069" s="1287"/>
      <c r="BB1069" s="1287"/>
    </row>
    <row r="1070" spans="1:70" s="1288" customFormat="1" ht="66">
      <c r="A1070" s="102"/>
      <c r="B1070" s="8"/>
      <c r="C1070" s="102">
        <v>1</v>
      </c>
      <c r="D1070" s="628" t="s">
        <v>28</v>
      </c>
      <c r="E1070" s="102">
        <v>1</v>
      </c>
      <c r="F1070" s="628" t="s">
        <v>25</v>
      </c>
      <c r="G1070" s="628" t="s">
        <v>25</v>
      </c>
      <c r="H1070" s="628" t="s">
        <v>29</v>
      </c>
      <c r="I1070" s="8" t="s">
        <v>2067</v>
      </c>
      <c r="J1070" s="10" t="s">
        <v>2068</v>
      </c>
      <c r="K1070" s="107">
        <v>60</v>
      </c>
      <c r="L1070" s="408">
        <f>(58500+73350+58500+73125+79500)*1000</f>
        <v>342975000</v>
      </c>
      <c r="M1070" s="107">
        <v>24</v>
      </c>
      <c r="N1070" s="408">
        <v>46350000</v>
      </c>
      <c r="O1070" s="107">
        <v>12</v>
      </c>
      <c r="P1070" s="408">
        <v>106400000</v>
      </c>
      <c r="Q1070" s="107">
        <v>3</v>
      </c>
      <c r="R1070" s="408">
        <v>13420000</v>
      </c>
      <c r="S1070" s="11">
        <v>6</v>
      </c>
      <c r="T1070" s="954">
        <v>13420000</v>
      </c>
      <c r="U1070" s="8">
        <v>0</v>
      </c>
      <c r="V1070" s="514">
        <v>0</v>
      </c>
      <c r="W1070" s="8"/>
      <c r="X1070" s="8"/>
      <c r="Y1070" s="107">
        <f t="shared" si="312"/>
        <v>9</v>
      </c>
      <c r="Z1070" s="514">
        <f>SUM(R1070+T1070)</f>
        <v>26840000</v>
      </c>
      <c r="AA1070" s="107">
        <f t="shared" si="308"/>
        <v>33</v>
      </c>
      <c r="AB1070" s="408">
        <f t="shared" si="309"/>
        <v>73190000</v>
      </c>
      <c r="AC1070" s="499">
        <f t="shared" si="310"/>
        <v>55.000000000000007</v>
      </c>
      <c r="AD1070" s="499">
        <f t="shared" si="311"/>
        <v>21.339747795028792</v>
      </c>
      <c r="AE1070" s="102"/>
      <c r="AF1070" s="200"/>
      <c r="AG1070" s="1287"/>
      <c r="AH1070" s="1287"/>
      <c r="AI1070" s="1287"/>
      <c r="AJ1070" s="1287"/>
      <c r="AK1070" s="1287"/>
      <c r="AL1070" s="1287"/>
      <c r="AM1070" s="1287"/>
      <c r="AN1070" s="1287"/>
      <c r="AO1070" s="1287"/>
      <c r="AP1070" s="1287"/>
      <c r="AQ1070" s="1287"/>
      <c r="AR1070" s="1287"/>
      <c r="AS1070" s="1287"/>
      <c r="AT1070" s="1287"/>
      <c r="AU1070" s="1287"/>
      <c r="AV1070" s="1287"/>
      <c r="AW1070" s="1287"/>
      <c r="AX1070" s="1287"/>
      <c r="AY1070" s="1287"/>
      <c r="AZ1070" s="1287"/>
      <c r="BA1070" s="1287"/>
      <c r="BB1070" s="1287"/>
    </row>
    <row r="1071" spans="1:70" s="1288" customFormat="1" ht="49.5">
      <c r="A1071" s="102"/>
      <c r="B1071" s="8"/>
      <c r="C1071" s="102">
        <v>1</v>
      </c>
      <c r="D1071" s="628" t="s">
        <v>28</v>
      </c>
      <c r="E1071" s="102">
        <v>10</v>
      </c>
      <c r="F1071" s="628" t="s">
        <v>25</v>
      </c>
      <c r="G1071" s="628" t="s">
        <v>25</v>
      </c>
      <c r="H1071" s="628" t="s">
        <v>30</v>
      </c>
      <c r="I1071" s="8" t="s">
        <v>2069</v>
      </c>
      <c r="J1071" s="10" t="s">
        <v>2070</v>
      </c>
      <c r="K1071" s="107">
        <v>60</v>
      </c>
      <c r="L1071" s="408">
        <f>(31051+41603+37000+46250+50500)*1000</f>
        <v>206404000</v>
      </c>
      <c r="M1071" s="107">
        <v>24</v>
      </c>
      <c r="N1071" s="408">
        <v>30035000</v>
      </c>
      <c r="O1071" s="107">
        <v>12</v>
      </c>
      <c r="P1071" s="408">
        <v>44241945</v>
      </c>
      <c r="Q1071" s="107">
        <v>3</v>
      </c>
      <c r="R1071" s="408">
        <v>9058856</v>
      </c>
      <c r="S1071" s="11">
        <v>6</v>
      </c>
      <c r="T1071" s="265">
        <v>13000000</v>
      </c>
      <c r="U1071" s="8">
        <v>0</v>
      </c>
      <c r="V1071" s="514">
        <v>0</v>
      </c>
      <c r="W1071" s="8"/>
      <c r="X1071" s="8"/>
      <c r="Y1071" s="107">
        <f t="shared" si="312"/>
        <v>9</v>
      </c>
      <c r="Z1071" s="514">
        <f t="shared" ref="Z1071:Z1100" si="313">R1071+T1071+V1071+X1071</f>
        <v>22058856</v>
      </c>
      <c r="AA1071" s="107">
        <f t="shared" si="308"/>
        <v>33</v>
      </c>
      <c r="AB1071" s="514">
        <f t="shared" si="309"/>
        <v>52093856</v>
      </c>
      <c r="AC1071" s="499">
        <f t="shared" si="310"/>
        <v>55.000000000000007</v>
      </c>
      <c r="AD1071" s="499">
        <f t="shared" si="311"/>
        <v>25.238782194143521</v>
      </c>
      <c r="AE1071" s="102"/>
      <c r="AF1071" s="200"/>
      <c r="AG1071" s="1287"/>
      <c r="AH1071" s="1287"/>
      <c r="AI1071" s="1287"/>
      <c r="AJ1071" s="1287"/>
      <c r="AK1071" s="1287"/>
      <c r="AL1071" s="1287"/>
      <c r="AM1071" s="1287"/>
      <c r="AN1071" s="1287"/>
      <c r="AO1071" s="1287"/>
      <c r="AP1071" s="1287"/>
      <c r="AQ1071" s="1287"/>
      <c r="AR1071" s="1287"/>
      <c r="AS1071" s="1287"/>
      <c r="AT1071" s="1287"/>
      <c r="AU1071" s="1287"/>
      <c r="AV1071" s="1287"/>
      <c r="AW1071" s="1287"/>
      <c r="AX1071" s="1287"/>
      <c r="AY1071" s="1287"/>
      <c r="AZ1071" s="1287"/>
      <c r="BA1071" s="1287"/>
      <c r="BB1071" s="1287"/>
    </row>
    <row r="1072" spans="1:70" s="1288" customFormat="1" ht="66">
      <c r="A1072" s="102"/>
      <c r="B1072" s="8"/>
      <c r="C1072" s="102">
        <v>1</v>
      </c>
      <c r="D1072" s="628" t="s">
        <v>28</v>
      </c>
      <c r="E1072" s="102">
        <v>10</v>
      </c>
      <c r="F1072" s="628" t="s">
        <v>25</v>
      </c>
      <c r="G1072" s="628" t="s">
        <v>25</v>
      </c>
      <c r="H1072" s="628" t="s">
        <v>43</v>
      </c>
      <c r="I1072" s="8" t="s">
        <v>2071</v>
      </c>
      <c r="J1072" s="10" t="s">
        <v>2072</v>
      </c>
      <c r="K1072" s="109">
        <v>60</v>
      </c>
      <c r="L1072" s="408">
        <f>(5989+42900+50000+50000+50000)*1000</f>
        <v>198889000</v>
      </c>
      <c r="M1072" s="109">
        <v>24</v>
      </c>
      <c r="N1072" s="408">
        <v>5892000</v>
      </c>
      <c r="O1072" s="107">
        <v>12</v>
      </c>
      <c r="P1072" s="408">
        <v>0</v>
      </c>
      <c r="Q1072" s="1106">
        <v>0</v>
      </c>
      <c r="R1072" s="408">
        <v>0</v>
      </c>
      <c r="S1072" s="11">
        <v>0</v>
      </c>
      <c r="T1072" s="265">
        <v>0</v>
      </c>
      <c r="U1072" s="8">
        <v>0</v>
      </c>
      <c r="V1072" s="514">
        <v>0</v>
      </c>
      <c r="W1072" s="8"/>
      <c r="X1072" s="8"/>
      <c r="Y1072" s="107">
        <f t="shared" si="312"/>
        <v>0</v>
      </c>
      <c r="Z1072" s="514">
        <f t="shared" si="313"/>
        <v>0</v>
      </c>
      <c r="AA1072" s="107">
        <f t="shared" si="308"/>
        <v>24</v>
      </c>
      <c r="AB1072" s="514">
        <f t="shared" si="309"/>
        <v>5892000</v>
      </c>
      <c r="AC1072" s="499">
        <f t="shared" si="310"/>
        <v>40</v>
      </c>
      <c r="AD1072" s="499">
        <f t="shared" si="311"/>
        <v>2.9624564455550582</v>
      </c>
      <c r="AE1072" s="102"/>
      <c r="AF1072" s="200"/>
      <c r="AG1072" s="1287"/>
      <c r="AH1072" s="1287"/>
      <c r="AI1072" s="1287"/>
      <c r="AJ1072" s="1287"/>
      <c r="AK1072" s="1287"/>
      <c r="AL1072" s="1287"/>
      <c r="AM1072" s="1287"/>
      <c r="AN1072" s="1287"/>
      <c r="AO1072" s="1287"/>
      <c r="AP1072" s="1287"/>
      <c r="AQ1072" s="1287"/>
      <c r="AR1072" s="1287"/>
      <c r="AS1072" s="1287"/>
      <c r="AT1072" s="1287"/>
      <c r="AU1072" s="1287"/>
      <c r="AV1072" s="1287"/>
      <c r="AW1072" s="1287"/>
      <c r="AX1072" s="1287"/>
      <c r="AY1072" s="1287"/>
      <c r="AZ1072" s="1287"/>
      <c r="BA1072" s="1287"/>
      <c r="BB1072" s="1287"/>
    </row>
    <row r="1073" spans="1:54" s="1288" customFormat="1" ht="33">
      <c r="A1073" s="102"/>
      <c r="B1073" s="8"/>
      <c r="C1073" s="102">
        <v>1</v>
      </c>
      <c r="D1073" s="628" t="s">
        <v>28</v>
      </c>
      <c r="E1073" s="102">
        <v>10</v>
      </c>
      <c r="F1073" s="628" t="s">
        <v>25</v>
      </c>
      <c r="G1073" s="628" t="s">
        <v>25</v>
      </c>
      <c r="H1073" s="628">
        <v>10</v>
      </c>
      <c r="I1073" s="8" t="s">
        <v>32</v>
      </c>
      <c r="J1073" s="10" t="s">
        <v>1339</v>
      </c>
      <c r="K1073" s="109">
        <v>60</v>
      </c>
      <c r="L1073" s="408">
        <f>(37173+29963+50000+62500+68000)*1000</f>
        <v>247636000</v>
      </c>
      <c r="M1073" s="109">
        <v>24</v>
      </c>
      <c r="N1073" s="408">
        <v>37172000</v>
      </c>
      <c r="O1073" s="109">
        <v>12</v>
      </c>
      <c r="P1073" s="408">
        <v>65524815</v>
      </c>
      <c r="Q1073" s="109">
        <v>3</v>
      </c>
      <c r="R1073" s="408">
        <v>22214960</v>
      </c>
      <c r="S1073" s="11">
        <v>0</v>
      </c>
      <c r="T1073" s="265">
        <v>18561686</v>
      </c>
      <c r="U1073" s="8">
        <v>0</v>
      </c>
      <c r="V1073" s="514">
        <v>0</v>
      </c>
      <c r="W1073" s="8"/>
      <c r="X1073" s="8"/>
      <c r="Y1073" s="107">
        <f t="shared" si="312"/>
        <v>3</v>
      </c>
      <c r="Z1073" s="514">
        <f t="shared" si="313"/>
        <v>40776646</v>
      </c>
      <c r="AA1073" s="107">
        <f t="shared" si="308"/>
        <v>27</v>
      </c>
      <c r="AB1073" s="514">
        <f t="shared" si="309"/>
        <v>77948646</v>
      </c>
      <c r="AC1073" s="499">
        <f t="shared" si="310"/>
        <v>45</v>
      </c>
      <c r="AD1073" s="499">
        <f t="shared" si="311"/>
        <v>31.477105913518226</v>
      </c>
      <c r="AE1073" s="102"/>
      <c r="AF1073" s="200"/>
      <c r="AG1073" s="1287"/>
      <c r="AH1073" s="1287"/>
      <c r="AI1073" s="1287"/>
      <c r="AJ1073" s="1287"/>
      <c r="AK1073" s="1287"/>
      <c r="AL1073" s="1287"/>
      <c r="AM1073" s="1287"/>
      <c r="AN1073" s="1287"/>
      <c r="AO1073" s="1287"/>
      <c r="AP1073" s="1287"/>
      <c r="AQ1073" s="1287"/>
      <c r="AR1073" s="1287"/>
      <c r="AS1073" s="1287"/>
      <c r="AT1073" s="1287"/>
      <c r="AU1073" s="1287"/>
      <c r="AV1073" s="1287"/>
      <c r="AW1073" s="1287"/>
      <c r="AX1073" s="1287"/>
      <c r="AY1073" s="1287"/>
      <c r="AZ1073" s="1287"/>
      <c r="BA1073" s="1287"/>
      <c r="BB1073" s="1287"/>
    </row>
    <row r="1074" spans="1:54" s="1288" customFormat="1" ht="82.5">
      <c r="A1074" s="520"/>
      <c r="B1074" s="7"/>
      <c r="C1074" s="520">
        <v>1</v>
      </c>
      <c r="D1074" s="925" t="s">
        <v>28</v>
      </c>
      <c r="E1074" s="520">
        <v>10</v>
      </c>
      <c r="F1074" s="925" t="s">
        <v>25</v>
      </c>
      <c r="G1074" s="925" t="s">
        <v>25</v>
      </c>
      <c r="H1074" s="925">
        <v>11</v>
      </c>
      <c r="I1074" s="7" t="s">
        <v>617</v>
      </c>
      <c r="J1074" s="519" t="s">
        <v>2073</v>
      </c>
      <c r="K1074" s="1107">
        <v>60</v>
      </c>
      <c r="L1074" s="1108">
        <f>(37814+32617+120000+150000+180000)*1000</f>
        <v>520431000</v>
      </c>
      <c r="M1074" s="1107">
        <v>24</v>
      </c>
      <c r="N1074" s="1108">
        <v>37814000</v>
      </c>
      <c r="O1074" s="1107">
        <v>12</v>
      </c>
      <c r="P1074" s="1108">
        <v>43437500</v>
      </c>
      <c r="Q1074" s="1107">
        <v>3</v>
      </c>
      <c r="R1074" s="1108">
        <v>1725000</v>
      </c>
      <c r="S1074" s="19">
        <v>0</v>
      </c>
      <c r="T1074" s="1109">
        <v>6976000</v>
      </c>
      <c r="U1074" s="7">
        <v>0</v>
      </c>
      <c r="V1074" s="1110">
        <v>0</v>
      </c>
      <c r="W1074" s="7"/>
      <c r="X1074" s="7"/>
      <c r="Y1074" s="1111">
        <f t="shared" si="312"/>
        <v>3</v>
      </c>
      <c r="Z1074" s="1110">
        <f t="shared" si="313"/>
        <v>8701000</v>
      </c>
      <c r="AA1074" s="1111">
        <f t="shared" si="308"/>
        <v>27</v>
      </c>
      <c r="AB1074" s="1110">
        <f t="shared" si="309"/>
        <v>46515000</v>
      </c>
      <c r="AC1074" s="929">
        <f t="shared" si="310"/>
        <v>45</v>
      </c>
      <c r="AD1074" s="929">
        <f t="shared" si="311"/>
        <v>8.9377842595848431</v>
      </c>
      <c r="AE1074" s="520"/>
      <c r="AF1074" s="200"/>
      <c r="AG1074" s="1287"/>
      <c r="AH1074" s="1287"/>
      <c r="AI1074" s="1287"/>
      <c r="AJ1074" s="1287"/>
      <c r="AK1074" s="1287"/>
      <c r="AL1074" s="1287"/>
      <c r="AM1074" s="1287"/>
      <c r="AN1074" s="1287"/>
      <c r="AO1074" s="1287"/>
      <c r="AP1074" s="1287"/>
      <c r="AQ1074" s="1287"/>
      <c r="AR1074" s="1287"/>
      <c r="AS1074" s="1287"/>
      <c r="AT1074" s="1287"/>
      <c r="AU1074" s="1287"/>
      <c r="AV1074" s="1287"/>
      <c r="AW1074" s="1287"/>
      <c r="AX1074" s="1287"/>
      <c r="AY1074" s="1287"/>
      <c r="AZ1074" s="1287"/>
      <c r="BA1074" s="1287"/>
      <c r="BB1074" s="1287"/>
    </row>
    <row r="1075" spans="1:54" s="1288" customFormat="1" ht="49.5">
      <c r="A1075" s="102"/>
      <c r="B1075" s="8"/>
      <c r="C1075" s="102">
        <v>1</v>
      </c>
      <c r="D1075" s="628" t="s">
        <v>28</v>
      </c>
      <c r="E1075" s="102">
        <v>10</v>
      </c>
      <c r="F1075" s="628" t="s">
        <v>25</v>
      </c>
      <c r="G1075" s="628" t="s">
        <v>25</v>
      </c>
      <c r="H1075" s="628">
        <v>12</v>
      </c>
      <c r="I1075" s="8" t="s">
        <v>2074</v>
      </c>
      <c r="J1075" s="10" t="s">
        <v>2075</v>
      </c>
      <c r="K1075" s="109">
        <v>60</v>
      </c>
      <c r="L1075" s="408">
        <f>(7519+15938+20000+25000+30000)*1000</f>
        <v>98457000</v>
      </c>
      <c r="M1075" s="109">
        <v>24</v>
      </c>
      <c r="N1075" s="408">
        <v>7498000</v>
      </c>
      <c r="O1075" s="109">
        <v>12</v>
      </c>
      <c r="P1075" s="408">
        <v>14115000</v>
      </c>
      <c r="Q1075" s="109">
        <v>3</v>
      </c>
      <c r="R1075" s="408">
        <v>4615000</v>
      </c>
      <c r="S1075" s="11">
        <v>0</v>
      </c>
      <c r="T1075" s="265">
        <v>1995000</v>
      </c>
      <c r="U1075" s="8">
        <v>0</v>
      </c>
      <c r="V1075" s="514">
        <v>0</v>
      </c>
      <c r="W1075" s="8"/>
      <c r="X1075" s="8"/>
      <c r="Y1075" s="107">
        <f t="shared" si="312"/>
        <v>3</v>
      </c>
      <c r="Z1075" s="514">
        <f t="shared" si="313"/>
        <v>6610000</v>
      </c>
      <c r="AA1075" s="107">
        <f t="shared" si="308"/>
        <v>27</v>
      </c>
      <c r="AB1075" s="514">
        <f t="shared" si="309"/>
        <v>14108000</v>
      </c>
      <c r="AC1075" s="499">
        <f t="shared" si="310"/>
        <v>45</v>
      </c>
      <c r="AD1075" s="499">
        <f t="shared" si="311"/>
        <v>14.3290979818601</v>
      </c>
      <c r="AE1075" s="102"/>
      <c r="AF1075" s="200"/>
      <c r="AG1075" s="1287"/>
      <c r="AH1075" s="1287"/>
      <c r="AI1075" s="1287"/>
      <c r="AJ1075" s="1287"/>
      <c r="AK1075" s="1287"/>
      <c r="AL1075" s="1287"/>
      <c r="AM1075" s="1287"/>
      <c r="AN1075" s="1287"/>
      <c r="AO1075" s="1287"/>
      <c r="AP1075" s="1287"/>
      <c r="AQ1075" s="1287"/>
      <c r="AR1075" s="1287"/>
      <c r="AS1075" s="1287"/>
      <c r="AT1075" s="1287"/>
      <c r="AU1075" s="1287"/>
      <c r="AV1075" s="1287"/>
      <c r="AW1075" s="1287"/>
      <c r="AX1075" s="1287"/>
      <c r="AY1075" s="1287"/>
      <c r="AZ1075" s="1287"/>
      <c r="BA1075" s="1287"/>
      <c r="BB1075" s="1287"/>
    </row>
    <row r="1076" spans="1:54" s="1288" customFormat="1" ht="82.5">
      <c r="A1076" s="102"/>
      <c r="B1076" s="8"/>
      <c r="C1076" s="102">
        <v>1</v>
      </c>
      <c r="D1076" s="628" t="s">
        <v>28</v>
      </c>
      <c r="E1076" s="102">
        <v>10</v>
      </c>
      <c r="F1076" s="628" t="s">
        <v>25</v>
      </c>
      <c r="G1076" s="628" t="s">
        <v>25</v>
      </c>
      <c r="H1076" s="628">
        <v>15</v>
      </c>
      <c r="I1076" s="8" t="s">
        <v>2076</v>
      </c>
      <c r="J1076" s="10" t="s">
        <v>2077</v>
      </c>
      <c r="K1076" s="109">
        <v>60</v>
      </c>
      <c r="L1076" s="408">
        <f>(19000+21400+25000+31250+36000)*1000</f>
        <v>132650000</v>
      </c>
      <c r="M1076" s="1112">
        <v>24</v>
      </c>
      <c r="N1076" s="408">
        <v>13785000</v>
      </c>
      <c r="O1076" s="109">
        <v>12</v>
      </c>
      <c r="P1076" s="408">
        <v>20750000</v>
      </c>
      <c r="Q1076" s="109">
        <v>3</v>
      </c>
      <c r="R1076" s="408">
        <v>260000</v>
      </c>
      <c r="S1076" s="11">
        <v>0</v>
      </c>
      <c r="T1076" s="265">
        <v>620000</v>
      </c>
      <c r="U1076" s="8">
        <v>0</v>
      </c>
      <c r="V1076" s="514">
        <v>0</v>
      </c>
      <c r="W1076" s="8"/>
      <c r="X1076" s="8"/>
      <c r="Y1076" s="107">
        <f t="shared" si="312"/>
        <v>3</v>
      </c>
      <c r="Z1076" s="514">
        <f t="shared" si="313"/>
        <v>880000</v>
      </c>
      <c r="AA1076" s="107">
        <f t="shared" si="308"/>
        <v>27</v>
      </c>
      <c r="AB1076" s="514">
        <f t="shared" si="309"/>
        <v>14665000</v>
      </c>
      <c r="AC1076" s="499">
        <f t="shared" si="310"/>
        <v>45</v>
      </c>
      <c r="AD1076" s="499">
        <f t="shared" si="311"/>
        <v>11.055408970976254</v>
      </c>
      <c r="AE1076" s="102"/>
      <c r="AF1076" s="200"/>
      <c r="AG1076" s="1287"/>
      <c r="AH1076" s="1287"/>
      <c r="AI1076" s="1287"/>
      <c r="AJ1076" s="1287"/>
      <c r="AK1076" s="1287"/>
      <c r="AL1076" s="1287"/>
      <c r="AM1076" s="1287"/>
      <c r="AN1076" s="1287"/>
      <c r="AO1076" s="1287"/>
      <c r="AP1076" s="1287"/>
      <c r="AQ1076" s="1287"/>
      <c r="AR1076" s="1287"/>
      <c r="AS1076" s="1287"/>
      <c r="AT1076" s="1287"/>
      <c r="AU1076" s="1287"/>
      <c r="AV1076" s="1287"/>
      <c r="AW1076" s="1287"/>
      <c r="AX1076" s="1287"/>
      <c r="AY1076" s="1287"/>
      <c r="AZ1076" s="1287"/>
      <c r="BA1076" s="1287"/>
      <c r="BB1076" s="1287"/>
    </row>
    <row r="1077" spans="1:54" s="1288" customFormat="1" ht="49.5">
      <c r="A1077" s="102"/>
      <c r="B1077" s="8"/>
      <c r="C1077" s="102">
        <v>1</v>
      </c>
      <c r="D1077" s="628" t="s">
        <v>28</v>
      </c>
      <c r="E1077" s="102">
        <v>10</v>
      </c>
      <c r="F1077" s="628" t="s">
        <v>25</v>
      </c>
      <c r="G1077" s="628" t="s">
        <v>25</v>
      </c>
      <c r="H1077" s="628">
        <v>17</v>
      </c>
      <c r="I1077" s="8" t="s">
        <v>620</v>
      </c>
      <c r="J1077" s="10" t="s">
        <v>2078</v>
      </c>
      <c r="K1077" s="109">
        <v>60</v>
      </c>
      <c r="L1077" s="408">
        <f>(22450+22500+40000+50000+55000)*1000</f>
        <v>189950000</v>
      </c>
      <c r="M1077" s="109">
        <v>24</v>
      </c>
      <c r="N1077" s="408">
        <v>21630000</v>
      </c>
      <c r="O1077" s="109">
        <v>12</v>
      </c>
      <c r="P1077" s="408">
        <v>35750000</v>
      </c>
      <c r="Q1077" s="1106">
        <v>3</v>
      </c>
      <c r="R1077" s="408">
        <v>9372500</v>
      </c>
      <c r="S1077" s="11">
        <v>0</v>
      </c>
      <c r="T1077" s="265">
        <v>7395000</v>
      </c>
      <c r="U1077" s="8">
        <v>0</v>
      </c>
      <c r="V1077" s="514">
        <v>0</v>
      </c>
      <c r="W1077" s="8"/>
      <c r="X1077" s="8"/>
      <c r="Y1077" s="107">
        <f t="shared" si="312"/>
        <v>3</v>
      </c>
      <c r="Z1077" s="514">
        <f t="shared" si="313"/>
        <v>16767500</v>
      </c>
      <c r="AA1077" s="107">
        <f t="shared" si="308"/>
        <v>27</v>
      </c>
      <c r="AB1077" s="514">
        <f t="shared" si="309"/>
        <v>38397500</v>
      </c>
      <c r="AC1077" s="499">
        <f t="shared" si="310"/>
        <v>45</v>
      </c>
      <c r="AD1077" s="499">
        <f t="shared" si="311"/>
        <v>20.214530139510398</v>
      </c>
      <c r="AE1077" s="102"/>
      <c r="AF1077" s="200"/>
      <c r="AG1077" s="1287"/>
      <c r="AH1077" s="1287"/>
      <c r="AI1077" s="1287"/>
      <c r="AJ1077" s="1287"/>
      <c r="AK1077" s="1287"/>
      <c r="AL1077" s="1287"/>
      <c r="AM1077" s="1287"/>
      <c r="AN1077" s="1287"/>
      <c r="AO1077" s="1287"/>
      <c r="AP1077" s="1287"/>
      <c r="AQ1077" s="1287"/>
      <c r="AR1077" s="1287"/>
      <c r="AS1077" s="1287"/>
      <c r="AT1077" s="1287"/>
      <c r="AU1077" s="1287"/>
      <c r="AV1077" s="1287"/>
      <c r="AW1077" s="1287"/>
      <c r="AX1077" s="1287"/>
      <c r="AY1077" s="1287"/>
      <c r="AZ1077" s="1287"/>
      <c r="BA1077" s="1287"/>
      <c r="BB1077" s="1287"/>
    </row>
    <row r="1078" spans="1:54" s="1288" customFormat="1" ht="82.5">
      <c r="A1078" s="102"/>
      <c r="B1078" s="8"/>
      <c r="C1078" s="102">
        <v>1</v>
      </c>
      <c r="D1078" s="628" t="s">
        <v>28</v>
      </c>
      <c r="E1078" s="102">
        <v>10</v>
      </c>
      <c r="F1078" s="628" t="s">
        <v>25</v>
      </c>
      <c r="G1078" s="628" t="s">
        <v>25</v>
      </c>
      <c r="H1078" s="628">
        <v>18</v>
      </c>
      <c r="I1078" s="8" t="s">
        <v>1345</v>
      </c>
      <c r="J1078" s="10" t="s">
        <v>1346</v>
      </c>
      <c r="K1078" s="109">
        <v>60</v>
      </c>
      <c r="L1078" s="408">
        <f>(146200+182950+150000+187500+200000)*1000</f>
        <v>866650000</v>
      </c>
      <c r="M1078" s="109">
        <v>24</v>
      </c>
      <c r="N1078" s="408">
        <v>144977000</v>
      </c>
      <c r="O1078" s="109">
        <v>12</v>
      </c>
      <c r="P1078" s="408">
        <v>42775000</v>
      </c>
      <c r="Q1078" s="1106">
        <v>3</v>
      </c>
      <c r="R1078" s="408">
        <v>10525000</v>
      </c>
      <c r="S1078" s="1113" t="s">
        <v>40</v>
      </c>
      <c r="T1078" s="265">
        <v>13400000</v>
      </c>
      <c r="U1078" s="8">
        <v>0</v>
      </c>
      <c r="V1078" s="514">
        <v>0</v>
      </c>
      <c r="W1078" s="8"/>
      <c r="X1078" s="8"/>
      <c r="Y1078" s="107">
        <f t="shared" si="312"/>
        <v>3</v>
      </c>
      <c r="Z1078" s="514">
        <f t="shared" si="313"/>
        <v>23925000</v>
      </c>
      <c r="AA1078" s="107">
        <f t="shared" si="308"/>
        <v>27</v>
      </c>
      <c r="AB1078" s="514">
        <f t="shared" si="309"/>
        <v>168902000</v>
      </c>
      <c r="AC1078" s="499">
        <f t="shared" si="310"/>
        <v>45</v>
      </c>
      <c r="AD1078" s="499">
        <f t="shared" si="311"/>
        <v>19.489067097444181</v>
      </c>
      <c r="AE1078" s="102"/>
      <c r="AF1078" s="200"/>
      <c r="AG1078" s="1287"/>
      <c r="AH1078" s="1287"/>
      <c r="AI1078" s="1287"/>
      <c r="AJ1078" s="1287"/>
      <c r="AK1078" s="1287"/>
      <c r="AL1078" s="1287"/>
      <c r="AM1078" s="1287"/>
      <c r="AN1078" s="1287"/>
      <c r="AO1078" s="1287"/>
      <c r="AP1078" s="1287"/>
      <c r="AQ1078" s="1287"/>
      <c r="AR1078" s="1287"/>
      <c r="AS1078" s="1287"/>
      <c r="AT1078" s="1287"/>
      <c r="AU1078" s="1287"/>
      <c r="AV1078" s="1287"/>
      <c r="AW1078" s="1287"/>
      <c r="AX1078" s="1287"/>
      <c r="AY1078" s="1287"/>
      <c r="AZ1078" s="1287"/>
      <c r="BA1078" s="1287"/>
      <c r="BB1078" s="1287"/>
    </row>
    <row r="1079" spans="1:54" s="1288" customFormat="1" ht="82.5">
      <c r="A1079" s="102"/>
      <c r="B1079" s="8"/>
      <c r="C1079" s="102">
        <v>1</v>
      </c>
      <c r="D1079" s="628" t="s">
        <v>28</v>
      </c>
      <c r="E1079" s="102">
        <v>10</v>
      </c>
      <c r="F1079" s="628" t="s">
        <v>25</v>
      </c>
      <c r="G1079" s="628" t="s">
        <v>25</v>
      </c>
      <c r="H1079" s="628">
        <v>20</v>
      </c>
      <c r="I1079" s="8" t="s">
        <v>576</v>
      </c>
      <c r="J1079" s="10" t="s">
        <v>1347</v>
      </c>
      <c r="K1079" s="109">
        <v>60</v>
      </c>
      <c r="L1079" s="408">
        <f>40000000*5</f>
        <v>200000000</v>
      </c>
      <c r="M1079" s="109">
        <v>24</v>
      </c>
      <c r="N1079" s="408">
        <v>62450000</v>
      </c>
      <c r="O1079" s="109">
        <v>12</v>
      </c>
      <c r="P1079" s="408">
        <v>64200000</v>
      </c>
      <c r="Q1079" s="1106">
        <v>3</v>
      </c>
      <c r="R1079" s="408">
        <v>10800000</v>
      </c>
      <c r="S1079" s="1114" t="s">
        <v>40</v>
      </c>
      <c r="T1079" s="265">
        <v>19525000</v>
      </c>
      <c r="U1079" s="8">
        <v>0</v>
      </c>
      <c r="V1079" s="514">
        <v>0</v>
      </c>
      <c r="W1079" s="8"/>
      <c r="X1079" s="8"/>
      <c r="Y1079" s="107">
        <f t="shared" si="312"/>
        <v>3</v>
      </c>
      <c r="Z1079" s="514">
        <f t="shared" si="313"/>
        <v>30325000</v>
      </c>
      <c r="AA1079" s="107">
        <f t="shared" si="308"/>
        <v>27</v>
      </c>
      <c r="AB1079" s="514">
        <f t="shared" si="309"/>
        <v>92775000</v>
      </c>
      <c r="AC1079" s="499">
        <f t="shared" si="310"/>
        <v>45</v>
      </c>
      <c r="AD1079" s="499">
        <f t="shared" si="311"/>
        <v>46.387499999999996</v>
      </c>
      <c r="AE1079" s="102"/>
      <c r="AF1079" s="200"/>
      <c r="AG1079" s="1287"/>
      <c r="AH1079" s="1287"/>
      <c r="AI1079" s="1287"/>
      <c r="AJ1079" s="1287"/>
      <c r="AK1079" s="1287"/>
      <c r="AL1079" s="1287"/>
      <c r="AM1079" s="1287"/>
      <c r="AN1079" s="1287"/>
      <c r="AO1079" s="1287"/>
      <c r="AP1079" s="1287"/>
      <c r="AQ1079" s="1287"/>
      <c r="AR1079" s="1287"/>
      <c r="AS1079" s="1287"/>
      <c r="AT1079" s="1287"/>
      <c r="AU1079" s="1287"/>
      <c r="AV1079" s="1287"/>
      <c r="AW1079" s="1287"/>
      <c r="AX1079" s="1287"/>
      <c r="AY1079" s="1287"/>
      <c r="AZ1079" s="1287"/>
      <c r="BA1079" s="1287"/>
      <c r="BB1079" s="1287"/>
    </row>
    <row r="1080" spans="1:54" s="1288" customFormat="1" ht="49.5">
      <c r="A1080" s="102"/>
      <c r="B1080" s="8"/>
      <c r="C1080" s="102">
        <v>1</v>
      </c>
      <c r="D1080" s="628" t="s">
        <v>28</v>
      </c>
      <c r="E1080" s="102">
        <v>10</v>
      </c>
      <c r="F1080" s="628" t="s">
        <v>25</v>
      </c>
      <c r="G1080" s="628" t="s">
        <v>25</v>
      </c>
      <c r="H1080" s="628">
        <v>22</v>
      </c>
      <c r="I1080" s="8" t="s">
        <v>424</v>
      </c>
      <c r="J1080" s="10" t="s">
        <v>2079</v>
      </c>
      <c r="K1080" s="107">
        <v>30</v>
      </c>
      <c r="L1080" s="408">
        <f>30000000*5</f>
        <v>150000000</v>
      </c>
      <c r="M1080" s="107">
        <v>18</v>
      </c>
      <c r="N1080" s="408">
        <v>39082000</v>
      </c>
      <c r="O1080" s="107">
        <v>6</v>
      </c>
      <c r="P1080" s="408">
        <v>45903000</v>
      </c>
      <c r="Q1080" s="107">
        <v>2</v>
      </c>
      <c r="R1080" s="408">
        <v>7704000</v>
      </c>
      <c r="S1080" s="11">
        <v>0</v>
      </c>
      <c r="T1080" s="265">
        <v>7900000</v>
      </c>
      <c r="U1080" s="8">
        <v>0</v>
      </c>
      <c r="V1080" s="514">
        <v>0</v>
      </c>
      <c r="W1080" s="8"/>
      <c r="X1080" s="8"/>
      <c r="Y1080" s="107">
        <f t="shared" si="312"/>
        <v>2</v>
      </c>
      <c r="Z1080" s="514">
        <f t="shared" si="313"/>
        <v>15604000</v>
      </c>
      <c r="AA1080" s="107">
        <f t="shared" si="308"/>
        <v>20</v>
      </c>
      <c r="AB1080" s="514">
        <f t="shared" si="309"/>
        <v>54686000</v>
      </c>
      <c r="AC1080" s="499">
        <f t="shared" si="310"/>
        <v>66.666666666666657</v>
      </c>
      <c r="AD1080" s="499">
        <f t="shared" si="311"/>
        <v>36.457333333333338</v>
      </c>
      <c r="AE1080" s="102"/>
      <c r="AF1080" s="200"/>
      <c r="AG1080" s="1287"/>
      <c r="AH1080" s="1287"/>
      <c r="AI1080" s="1287"/>
      <c r="AJ1080" s="1287"/>
      <c r="AK1080" s="1287"/>
      <c r="AL1080" s="1287"/>
      <c r="AM1080" s="1287"/>
      <c r="AN1080" s="1287"/>
      <c r="AO1080" s="1287"/>
      <c r="AP1080" s="1287"/>
      <c r="AQ1080" s="1287"/>
      <c r="AR1080" s="1287"/>
      <c r="AS1080" s="1287"/>
      <c r="AT1080" s="1287"/>
      <c r="AU1080" s="1287"/>
      <c r="AV1080" s="1287"/>
      <c r="AW1080" s="1287"/>
      <c r="AX1080" s="1287"/>
      <c r="AY1080" s="1287"/>
      <c r="AZ1080" s="1287"/>
      <c r="BA1080" s="1287"/>
      <c r="BB1080" s="1287"/>
    </row>
    <row r="1081" spans="1:54" s="1346" customFormat="1" ht="49.5">
      <c r="A1081" s="2558">
        <v>2</v>
      </c>
      <c r="B1081" s="33"/>
      <c r="C1081" s="2558">
        <v>1</v>
      </c>
      <c r="D1081" s="303" t="s">
        <v>28</v>
      </c>
      <c r="E1081" s="2558">
        <v>10</v>
      </c>
      <c r="F1081" s="303" t="s">
        <v>25</v>
      </c>
      <c r="G1081" s="303" t="s">
        <v>28</v>
      </c>
      <c r="H1081" s="303"/>
      <c r="I1081" s="33" t="s">
        <v>36</v>
      </c>
      <c r="J1081" s="2559" t="s">
        <v>2996</v>
      </c>
      <c r="K1081" s="2545">
        <v>60</v>
      </c>
      <c r="L1081" s="801">
        <f>SUM(L1082:L1085)</f>
        <v>1192220000</v>
      </c>
      <c r="M1081" s="2545">
        <v>24</v>
      </c>
      <c r="N1081" s="801">
        <f>SUM(N1082:N1085)</f>
        <v>597468000</v>
      </c>
      <c r="O1081" s="2545">
        <v>12</v>
      </c>
      <c r="P1081" s="801">
        <f>SUM(P1082:P1085)</f>
        <v>362728000</v>
      </c>
      <c r="Q1081" s="2545">
        <v>3</v>
      </c>
      <c r="R1081" s="801">
        <f>SUM(R1082:R1085)</f>
        <v>79987850</v>
      </c>
      <c r="S1081" s="33"/>
      <c r="T1081" s="223">
        <f>SUM(T1082:T1085)</f>
        <v>101894930</v>
      </c>
      <c r="U1081" s="33">
        <v>9</v>
      </c>
      <c r="V1081" s="223">
        <v>0</v>
      </c>
      <c r="W1081" s="33"/>
      <c r="X1081" s="33"/>
      <c r="Y1081" s="2545">
        <f t="shared" si="312"/>
        <v>12</v>
      </c>
      <c r="Z1081" s="223">
        <f t="shared" si="313"/>
        <v>181882780</v>
      </c>
      <c r="AA1081" s="2545">
        <f t="shared" si="308"/>
        <v>36</v>
      </c>
      <c r="AB1081" s="223">
        <f t="shared" si="309"/>
        <v>779350780</v>
      </c>
      <c r="AC1081" s="148">
        <f t="shared" si="310"/>
        <v>60</v>
      </c>
      <c r="AD1081" s="148">
        <f t="shared" si="311"/>
        <v>65.36971196591233</v>
      </c>
      <c r="AE1081" s="2558" t="s">
        <v>124</v>
      </c>
      <c r="AF1081" s="200"/>
      <c r="AG1081" s="1345"/>
      <c r="AH1081" s="1345"/>
      <c r="AI1081" s="1345"/>
      <c r="AJ1081" s="1345"/>
      <c r="AK1081" s="1345"/>
      <c r="AL1081" s="1345"/>
      <c r="AM1081" s="1345"/>
      <c r="AN1081" s="1345"/>
      <c r="AO1081" s="1345"/>
      <c r="AP1081" s="1345"/>
      <c r="AQ1081" s="1345"/>
      <c r="AR1081" s="1345"/>
      <c r="AS1081" s="1345"/>
      <c r="AT1081" s="1345"/>
      <c r="AU1081" s="1345"/>
      <c r="AV1081" s="1345"/>
      <c r="AW1081" s="1345"/>
      <c r="AX1081" s="1345"/>
      <c r="AY1081" s="1345"/>
      <c r="AZ1081" s="1345"/>
      <c r="BA1081" s="1345"/>
      <c r="BB1081" s="1345"/>
    </row>
    <row r="1082" spans="1:54" s="1288" customFormat="1" ht="49.5">
      <c r="A1082" s="102"/>
      <c r="B1082" s="8"/>
      <c r="C1082" s="102">
        <v>1</v>
      </c>
      <c r="D1082" s="628" t="s">
        <v>28</v>
      </c>
      <c r="E1082" s="102">
        <v>10</v>
      </c>
      <c r="F1082" s="628" t="s">
        <v>25</v>
      </c>
      <c r="G1082" s="628" t="s">
        <v>28</v>
      </c>
      <c r="H1082" s="628">
        <v>22</v>
      </c>
      <c r="I1082" s="8" t="s">
        <v>2080</v>
      </c>
      <c r="J1082" s="780" t="s">
        <v>2997</v>
      </c>
      <c r="K1082" s="238">
        <v>60</v>
      </c>
      <c r="L1082" s="408">
        <v>290000000</v>
      </c>
      <c r="M1082" s="238">
        <v>24</v>
      </c>
      <c r="N1082" s="408">
        <v>62050000</v>
      </c>
      <c r="O1082" s="238">
        <v>12</v>
      </c>
      <c r="P1082" s="408">
        <v>20500000</v>
      </c>
      <c r="Q1082" s="238">
        <v>3</v>
      </c>
      <c r="R1082" s="408">
        <v>2640000</v>
      </c>
      <c r="S1082" s="24">
        <v>0</v>
      </c>
      <c r="T1082" s="265">
        <v>1375000</v>
      </c>
      <c r="U1082" s="8">
        <v>0</v>
      </c>
      <c r="V1082" s="514">
        <v>0</v>
      </c>
      <c r="W1082" s="8"/>
      <c r="X1082" s="8"/>
      <c r="Y1082" s="107">
        <f t="shared" si="312"/>
        <v>3</v>
      </c>
      <c r="Z1082" s="514">
        <f t="shared" si="313"/>
        <v>4015000</v>
      </c>
      <c r="AA1082" s="107">
        <f t="shared" si="308"/>
        <v>27</v>
      </c>
      <c r="AB1082" s="514">
        <f t="shared" si="309"/>
        <v>66065000</v>
      </c>
      <c r="AC1082" s="499">
        <f t="shared" si="310"/>
        <v>45</v>
      </c>
      <c r="AD1082" s="499">
        <f t="shared" si="311"/>
        <v>22.781034482758621</v>
      </c>
      <c r="AE1082" s="102"/>
      <c r="AF1082" s="200"/>
      <c r="AG1082" s="1287"/>
      <c r="AH1082" s="1287"/>
      <c r="AI1082" s="1287"/>
      <c r="AJ1082" s="1287"/>
      <c r="AK1082" s="1287"/>
      <c r="AL1082" s="1287"/>
      <c r="AM1082" s="1287"/>
      <c r="AN1082" s="1287"/>
      <c r="AO1082" s="1287"/>
      <c r="AP1082" s="1287"/>
      <c r="AQ1082" s="1287"/>
      <c r="AR1082" s="1287"/>
      <c r="AS1082" s="1287"/>
      <c r="AT1082" s="1287"/>
      <c r="AU1082" s="1287"/>
      <c r="AV1082" s="1287"/>
      <c r="AW1082" s="1287"/>
      <c r="AX1082" s="1287"/>
      <c r="AY1082" s="1287"/>
      <c r="AZ1082" s="1287"/>
      <c r="BA1082" s="1287"/>
      <c r="BB1082" s="1287"/>
    </row>
    <row r="1083" spans="1:54" s="1288" customFormat="1" ht="49.5">
      <c r="A1083" s="102"/>
      <c r="B1083" s="8"/>
      <c r="C1083" s="102">
        <v>1</v>
      </c>
      <c r="D1083" s="628" t="s">
        <v>28</v>
      </c>
      <c r="E1083" s="102">
        <v>10</v>
      </c>
      <c r="F1083" s="628" t="s">
        <v>25</v>
      </c>
      <c r="G1083" s="628" t="s">
        <v>28</v>
      </c>
      <c r="H1083" s="628">
        <v>24</v>
      </c>
      <c r="I1083" s="8" t="s">
        <v>518</v>
      </c>
      <c r="J1083" s="780" t="s">
        <v>2998</v>
      </c>
      <c r="K1083" s="238">
        <v>60</v>
      </c>
      <c r="L1083" s="408">
        <v>80000000</v>
      </c>
      <c r="M1083" s="238">
        <v>24</v>
      </c>
      <c r="N1083" s="408">
        <v>44069000</v>
      </c>
      <c r="O1083" s="238">
        <v>12</v>
      </c>
      <c r="P1083" s="408">
        <v>147010000</v>
      </c>
      <c r="Q1083" s="238">
        <v>3</v>
      </c>
      <c r="R1083" s="408">
        <v>30567850</v>
      </c>
      <c r="S1083" s="24">
        <v>0</v>
      </c>
      <c r="T1083" s="265">
        <v>27103450</v>
      </c>
      <c r="U1083" s="8">
        <v>0</v>
      </c>
      <c r="V1083" s="514">
        <v>0</v>
      </c>
      <c r="W1083" s="8"/>
      <c r="X1083" s="8"/>
      <c r="Y1083" s="1115">
        <f t="shared" si="312"/>
        <v>3</v>
      </c>
      <c r="Z1083" s="514">
        <f t="shared" si="313"/>
        <v>57671300</v>
      </c>
      <c r="AA1083" s="1115">
        <f t="shared" si="308"/>
        <v>27</v>
      </c>
      <c r="AB1083" s="514">
        <f t="shared" si="309"/>
        <v>101740300</v>
      </c>
      <c r="AC1083" s="499">
        <f t="shared" si="310"/>
        <v>45</v>
      </c>
      <c r="AD1083" s="499">
        <f t="shared" si="311"/>
        <v>127.175375</v>
      </c>
      <c r="AE1083" s="102"/>
      <c r="AF1083" s="200"/>
      <c r="AG1083" s="1287"/>
      <c r="AH1083" s="1287"/>
      <c r="AI1083" s="1287"/>
      <c r="AJ1083" s="1287"/>
      <c r="AK1083" s="1287"/>
      <c r="AL1083" s="1287"/>
      <c r="AM1083" s="1287"/>
      <c r="AN1083" s="1287"/>
      <c r="AO1083" s="1287"/>
      <c r="AP1083" s="1287"/>
      <c r="AQ1083" s="1287"/>
      <c r="AR1083" s="1287"/>
      <c r="AS1083" s="1287"/>
      <c r="AT1083" s="1287"/>
      <c r="AU1083" s="1287"/>
      <c r="AV1083" s="1287"/>
      <c r="AW1083" s="1287"/>
      <c r="AX1083" s="1287"/>
      <c r="AY1083" s="1287"/>
      <c r="AZ1083" s="1287"/>
      <c r="BA1083" s="1287"/>
      <c r="BB1083" s="1287"/>
    </row>
    <row r="1084" spans="1:54" s="1288" customFormat="1" ht="33">
      <c r="A1084" s="102"/>
      <c r="B1084" s="8"/>
      <c r="C1084" s="102">
        <v>1</v>
      </c>
      <c r="D1084" s="628" t="s">
        <v>28</v>
      </c>
      <c r="E1084" s="102">
        <v>10</v>
      </c>
      <c r="F1084" s="628" t="s">
        <v>25</v>
      </c>
      <c r="G1084" s="628" t="s">
        <v>28</v>
      </c>
      <c r="H1084" s="628">
        <v>82</v>
      </c>
      <c r="I1084" s="10" t="s">
        <v>2081</v>
      </c>
      <c r="J1084" s="8" t="s">
        <v>2793</v>
      </c>
      <c r="K1084" s="107">
        <v>2</v>
      </c>
      <c r="L1084" s="238">
        <f>N1084</f>
        <v>42220000</v>
      </c>
      <c r="M1084" s="505">
        <v>2</v>
      </c>
      <c r="N1084" s="815">
        <v>42220000</v>
      </c>
      <c r="O1084" s="107">
        <v>0</v>
      </c>
      <c r="P1084" s="238">
        <v>0</v>
      </c>
      <c r="Q1084" s="505">
        <v>0</v>
      </c>
      <c r="R1084" s="238">
        <v>0</v>
      </c>
      <c r="S1084" s="107">
        <v>0</v>
      </c>
      <c r="T1084" s="238">
        <v>0</v>
      </c>
      <c r="U1084" s="8">
        <v>0</v>
      </c>
      <c r="V1084" s="514">
        <v>0</v>
      </c>
      <c r="W1084" s="8"/>
      <c r="X1084" s="8"/>
      <c r="Y1084" s="107">
        <f t="shared" si="312"/>
        <v>0</v>
      </c>
      <c r="Z1084" s="514">
        <f t="shared" si="313"/>
        <v>0</v>
      </c>
      <c r="AA1084" s="107">
        <f t="shared" si="308"/>
        <v>2</v>
      </c>
      <c r="AB1084" s="514">
        <f t="shared" si="309"/>
        <v>42220000</v>
      </c>
      <c r="AC1084" s="499">
        <f t="shared" si="310"/>
        <v>100</v>
      </c>
      <c r="AD1084" s="499">
        <f t="shared" si="311"/>
        <v>100</v>
      </c>
      <c r="AE1084" s="102"/>
      <c r="AF1084" s="200"/>
      <c r="AG1084" s="1287"/>
      <c r="AH1084" s="1287"/>
      <c r="AI1084" s="1287"/>
      <c r="AJ1084" s="1287"/>
      <c r="AK1084" s="1287"/>
      <c r="AL1084" s="1287"/>
      <c r="AM1084" s="1287"/>
      <c r="AN1084" s="1287"/>
      <c r="AO1084" s="1287"/>
      <c r="AP1084" s="1287"/>
      <c r="AQ1084" s="1287"/>
      <c r="AR1084" s="1287"/>
      <c r="AS1084" s="1287"/>
      <c r="AT1084" s="1287"/>
      <c r="AU1084" s="1287"/>
      <c r="AV1084" s="1287"/>
      <c r="AW1084" s="1287"/>
      <c r="AX1084" s="1287"/>
      <c r="AY1084" s="1287"/>
      <c r="AZ1084" s="1287"/>
      <c r="BA1084" s="1287"/>
      <c r="BB1084" s="1287"/>
    </row>
    <row r="1085" spans="1:54" s="1288" customFormat="1" ht="33">
      <c r="A1085" s="102"/>
      <c r="B1085" s="8"/>
      <c r="C1085" s="102">
        <v>1</v>
      </c>
      <c r="D1085" s="628" t="s">
        <v>28</v>
      </c>
      <c r="E1085" s="102">
        <v>10</v>
      </c>
      <c r="F1085" s="628" t="s">
        <v>25</v>
      </c>
      <c r="G1085" s="628" t="s">
        <v>28</v>
      </c>
      <c r="H1085" s="628">
        <v>84</v>
      </c>
      <c r="I1085" s="10" t="s">
        <v>2082</v>
      </c>
      <c r="J1085" s="8" t="s">
        <v>2999</v>
      </c>
      <c r="K1085" s="107">
        <v>5</v>
      </c>
      <c r="L1085" s="238">
        <v>780000000</v>
      </c>
      <c r="M1085" s="505">
        <v>2</v>
      </c>
      <c r="N1085" s="815">
        <v>449129000</v>
      </c>
      <c r="O1085" s="107">
        <v>1</v>
      </c>
      <c r="P1085" s="238">
        <v>195218000</v>
      </c>
      <c r="Q1085" s="505">
        <v>0.5</v>
      </c>
      <c r="R1085" s="238">
        <v>46780000</v>
      </c>
      <c r="S1085" s="107">
        <v>0</v>
      </c>
      <c r="T1085" s="238">
        <v>73416480</v>
      </c>
      <c r="U1085" s="8">
        <v>0</v>
      </c>
      <c r="V1085" s="514">
        <v>0</v>
      </c>
      <c r="W1085" s="8"/>
      <c r="X1085" s="8"/>
      <c r="Y1085" s="107">
        <f t="shared" si="312"/>
        <v>0.5</v>
      </c>
      <c r="Z1085" s="514">
        <f t="shared" si="313"/>
        <v>120196480</v>
      </c>
      <c r="AA1085" s="1115">
        <f t="shared" si="308"/>
        <v>2.5</v>
      </c>
      <c r="AB1085" s="514">
        <f t="shared" si="309"/>
        <v>569325480</v>
      </c>
      <c r="AC1085" s="499">
        <f t="shared" si="310"/>
        <v>50</v>
      </c>
      <c r="AD1085" s="499">
        <f t="shared" si="311"/>
        <v>72.99044615384615</v>
      </c>
      <c r="AE1085" s="102"/>
      <c r="AF1085" s="200"/>
      <c r="AG1085" s="1287"/>
      <c r="AH1085" s="1287"/>
      <c r="AI1085" s="1287"/>
      <c r="AJ1085" s="1287"/>
      <c r="AK1085" s="1287"/>
      <c r="AL1085" s="1287"/>
      <c r="AM1085" s="1287"/>
      <c r="AN1085" s="1287"/>
      <c r="AO1085" s="1287"/>
      <c r="AP1085" s="1287"/>
      <c r="AQ1085" s="1287"/>
      <c r="AR1085" s="1287"/>
      <c r="AS1085" s="1287"/>
      <c r="AT1085" s="1287"/>
      <c r="AU1085" s="1287"/>
      <c r="AV1085" s="1287"/>
      <c r="AW1085" s="1287"/>
      <c r="AX1085" s="1287"/>
      <c r="AY1085" s="1287"/>
      <c r="AZ1085" s="1287"/>
      <c r="BA1085" s="1287"/>
      <c r="BB1085" s="1287"/>
    </row>
    <row r="1086" spans="1:54" s="1288" customFormat="1" ht="66">
      <c r="A1086" s="2558">
        <v>3</v>
      </c>
      <c r="B1086" s="33">
        <v>3</v>
      </c>
      <c r="C1086" s="303">
        <v>1</v>
      </c>
      <c r="D1086" s="303" t="s">
        <v>28</v>
      </c>
      <c r="E1086" s="303">
        <v>10</v>
      </c>
      <c r="F1086" s="303" t="s">
        <v>25</v>
      </c>
      <c r="G1086" s="303">
        <v>18</v>
      </c>
      <c r="H1086" s="161"/>
      <c r="I1086" s="33" t="s">
        <v>2083</v>
      </c>
      <c r="J1086" s="33" t="s">
        <v>3000</v>
      </c>
      <c r="K1086" s="538">
        <v>160</v>
      </c>
      <c r="L1086" s="801">
        <f>SUM(L1087:L1088)</f>
        <v>1386322800</v>
      </c>
      <c r="M1086" s="538">
        <v>77</v>
      </c>
      <c r="N1086" s="230">
        <f>SUM(N1087:N1088)</f>
        <v>351528000</v>
      </c>
      <c r="O1086" s="538">
        <v>27</v>
      </c>
      <c r="P1086" s="230">
        <f>SUM(P1087:P1088)</f>
        <v>333732600</v>
      </c>
      <c r="Q1086" s="538">
        <v>27</v>
      </c>
      <c r="R1086" s="223">
        <f>SUM(R1087:R1088)</f>
        <v>19678250</v>
      </c>
      <c r="S1086" s="33"/>
      <c r="T1086" s="159">
        <f>SUM(T1087:T1088)</f>
        <v>38875750</v>
      </c>
      <c r="U1086" s="158"/>
      <c r="V1086" s="223"/>
      <c r="W1086" s="33"/>
      <c r="X1086" s="33"/>
      <c r="Y1086" s="538">
        <f t="shared" si="312"/>
        <v>27</v>
      </c>
      <c r="Z1086" s="223">
        <f t="shared" si="313"/>
        <v>58554000</v>
      </c>
      <c r="AA1086" s="538">
        <f t="shared" si="308"/>
        <v>104</v>
      </c>
      <c r="AB1086" s="801">
        <f t="shared" si="309"/>
        <v>410082000</v>
      </c>
      <c r="AC1086" s="148">
        <f t="shared" si="310"/>
        <v>65</v>
      </c>
      <c r="AD1086" s="148">
        <f t="shared" si="311"/>
        <v>29.580556563016923</v>
      </c>
      <c r="AE1086" s="2558" t="s">
        <v>124</v>
      </c>
      <c r="AF1086" s="200"/>
      <c r="AG1086" s="1287"/>
      <c r="AH1086" s="1287"/>
      <c r="AI1086" s="1287"/>
      <c r="AJ1086" s="1287"/>
      <c r="AK1086" s="1287"/>
      <c r="AL1086" s="1287"/>
      <c r="AM1086" s="1287"/>
      <c r="AN1086" s="1287"/>
      <c r="AO1086" s="1287"/>
      <c r="AP1086" s="1287"/>
      <c r="AQ1086" s="1287"/>
      <c r="AR1086" s="1287"/>
      <c r="AS1086" s="1287"/>
      <c r="AT1086" s="1287"/>
      <c r="AU1086" s="1287"/>
      <c r="AV1086" s="1287"/>
      <c r="AW1086" s="1287"/>
      <c r="AX1086" s="1287"/>
      <c r="AY1086" s="1287"/>
      <c r="AZ1086" s="1287"/>
      <c r="BA1086" s="1287"/>
      <c r="BB1086" s="1287"/>
    </row>
    <row r="1087" spans="1:54" s="1288" customFormat="1" ht="49.5">
      <c r="A1087" s="102"/>
      <c r="B1087" s="8"/>
      <c r="C1087" s="628">
        <v>1</v>
      </c>
      <c r="D1087" s="628" t="s">
        <v>28</v>
      </c>
      <c r="E1087" s="628">
        <v>10</v>
      </c>
      <c r="F1087" s="628" t="s">
        <v>25</v>
      </c>
      <c r="G1087" s="628">
        <v>18</v>
      </c>
      <c r="H1087" s="628" t="s">
        <v>38</v>
      </c>
      <c r="I1087" s="8" t="s">
        <v>2084</v>
      </c>
      <c r="J1087" s="8" t="s">
        <v>2085</v>
      </c>
      <c r="K1087" s="408">
        <f>2028*5</f>
        <v>10140</v>
      </c>
      <c r="L1087" s="238">
        <f>3*P1087</f>
        <v>575362800</v>
      </c>
      <c r="M1087" s="1116">
        <f>1920+108</f>
        <v>2028</v>
      </c>
      <c r="N1087" s="1116">
        <v>81208000</v>
      </c>
      <c r="O1087" s="238">
        <v>3000</v>
      </c>
      <c r="P1087" s="204">
        <v>191787600</v>
      </c>
      <c r="Q1087" s="505">
        <v>500</v>
      </c>
      <c r="R1087" s="25">
        <v>16203250</v>
      </c>
      <c r="S1087" s="8">
        <v>120</v>
      </c>
      <c r="T1087" s="25">
        <v>18872500</v>
      </c>
      <c r="U1087" s="8">
        <v>0</v>
      </c>
      <c r="V1087" s="514">
        <v>0</v>
      </c>
      <c r="W1087" s="8"/>
      <c r="X1087" s="8"/>
      <c r="Y1087" s="107">
        <f t="shared" si="312"/>
        <v>620</v>
      </c>
      <c r="Z1087" s="514">
        <f t="shared" si="313"/>
        <v>35075750</v>
      </c>
      <c r="AA1087" s="107">
        <f t="shared" si="308"/>
        <v>2648</v>
      </c>
      <c r="AB1087" s="408">
        <f t="shared" si="309"/>
        <v>116283750</v>
      </c>
      <c r="AC1087" s="499">
        <f t="shared" si="310"/>
        <v>26.11439842209073</v>
      </c>
      <c r="AD1087" s="499">
        <f t="shared" si="311"/>
        <v>20.210508917156268</v>
      </c>
      <c r="AE1087" s="102"/>
      <c r="AF1087" s="200"/>
      <c r="AG1087" s="1287"/>
      <c r="AH1087" s="1287"/>
      <c r="AI1087" s="1287"/>
      <c r="AJ1087" s="1287"/>
      <c r="AK1087" s="1287"/>
      <c r="AL1087" s="1287"/>
      <c r="AM1087" s="1287"/>
      <c r="AN1087" s="1287"/>
      <c r="AO1087" s="1287"/>
      <c r="AP1087" s="1287"/>
      <c r="AQ1087" s="1287"/>
      <c r="AR1087" s="1287"/>
      <c r="AS1087" s="1287"/>
      <c r="AT1087" s="1287"/>
      <c r="AU1087" s="1287"/>
      <c r="AV1087" s="1287"/>
      <c r="AW1087" s="1287"/>
      <c r="AX1087" s="1287"/>
      <c r="AY1087" s="1287"/>
      <c r="AZ1087" s="1287"/>
      <c r="BA1087" s="1287"/>
      <c r="BB1087" s="1287"/>
    </row>
    <row r="1088" spans="1:54" s="1288" customFormat="1" ht="66">
      <c r="A1088" s="102"/>
      <c r="B1088" s="8"/>
      <c r="C1088" s="628">
        <v>1</v>
      </c>
      <c r="D1088" s="628" t="s">
        <v>28</v>
      </c>
      <c r="E1088" s="628">
        <v>10</v>
      </c>
      <c r="F1088" s="628" t="s">
        <v>25</v>
      </c>
      <c r="G1088" s="628">
        <v>18</v>
      </c>
      <c r="H1088" s="628" t="s">
        <v>29</v>
      </c>
      <c r="I1088" s="8" t="s">
        <v>1275</v>
      </c>
      <c r="J1088" s="8" t="s">
        <v>2086</v>
      </c>
      <c r="K1088" s="107">
        <v>36</v>
      </c>
      <c r="L1088" s="238">
        <f>3*N1088</f>
        <v>810960000</v>
      </c>
      <c r="M1088" s="238">
        <v>8</v>
      </c>
      <c r="N1088" s="238">
        <v>270320000</v>
      </c>
      <c r="O1088" s="107">
        <v>8</v>
      </c>
      <c r="P1088" s="204">
        <v>141945000</v>
      </c>
      <c r="Q1088" s="505">
        <v>1</v>
      </c>
      <c r="R1088" s="25">
        <v>3475000</v>
      </c>
      <c r="S1088" s="8">
        <v>1</v>
      </c>
      <c r="T1088" s="25">
        <v>20003250</v>
      </c>
      <c r="U1088" s="8">
        <v>0</v>
      </c>
      <c r="V1088" s="514">
        <v>0</v>
      </c>
      <c r="W1088" s="8"/>
      <c r="X1088" s="8"/>
      <c r="Y1088" s="107">
        <f t="shared" si="312"/>
        <v>2</v>
      </c>
      <c r="Z1088" s="514">
        <f t="shared" si="313"/>
        <v>23478250</v>
      </c>
      <c r="AA1088" s="107">
        <f t="shared" si="308"/>
        <v>10</v>
      </c>
      <c r="AB1088" s="408">
        <f t="shared" si="309"/>
        <v>293798250</v>
      </c>
      <c r="AC1088" s="499">
        <f t="shared" si="310"/>
        <v>27.777777777777779</v>
      </c>
      <c r="AD1088" s="499">
        <f t="shared" si="311"/>
        <v>36.228451464930451</v>
      </c>
      <c r="AE1088" s="102"/>
      <c r="AF1088" s="200"/>
      <c r="AG1088" s="1287"/>
      <c r="AH1088" s="1287"/>
      <c r="AI1088" s="1287"/>
      <c r="AJ1088" s="1287"/>
      <c r="AK1088" s="1287"/>
      <c r="AL1088" s="1287"/>
      <c r="AM1088" s="1287"/>
      <c r="AN1088" s="1287"/>
      <c r="AO1088" s="1287"/>
      <c r="AP1088" s="1287"/>
      <c r="AQ1088" s="1287"/>
      <c r="AR1088" s="1287"/>
      <c r="AS1088" s="1287"/>
      <c r="AT1088" s="1287"/>
      <c r="AU1088" s="1287"/>
      <c r="AV1088" s="1287"/>
      <c r="AW1088" s="1287"/>
      <c r="AX1088" s="1287"/>
      <c r="AY1088" s="1287"/>
      <c r="AZ1088" s="1287"/>
      <c r="BA1088" s="1287"/>
      <c r="BB1088" s="1287"/>
    </row>
    <row r="1089" spans="1:54" s="1288" customFormat="1" ht="70.5" customHeight="1">
      <c r="A1089" s="2558">
        <v>4</v>
      </c>
      <c r="B1089" s="33"/>
      <c r="C1089" s="303">
        <v>1</v>
      </c>
      <c r="D1089" s="303" t="s">
        <v>28</v>
      </c>
      <c r="E1089" s="303">
        <v>10</v>
      </c>
      <c r="F1089" s="303" t="s">
        <v>25</v>
      </c>
      <c r="G1089" s="303">
        <v>19</v>
      </c>
      <c r="H1089" s="303"/>
      <c r="I1089" s="33" t="s">
        <v>2087</v>
      </c>
      <c r="J1089" s="33" t="s">
        <v>3001</v>
      </c>
      <c r="K1089" s="538">
        <v>95</v>
      </c>
      <c r="L1089" s="230">
        <f>SUM(L1090:L1094)</f>
        <v>1444835000</v>
      </c>
      <c r="M1089" s="230">
        <v>85</v>
      </c>
      <c r="N1089" s="230">
        <f>SUM(N1090:N1094)</f>
        <v>1054389620</v>
      </c>
      <c r="O1089" s="538">
        <v>3</v>
      </c>
      <c r="P1089" s="160">
        <f>SUM(P1090:P1097)</f>
        <v>2573556817</v>
      </c>
      <c r="Q1089" s="1117">
        <v>0</v>
      </c>
      <c r="R1089" s="160">
        <f>SUM(R1090:R1094)</f>
        <v>79624392</v>
      </c>
      <c r="S1089" s="33"/>
      <c r="T1089" s="159">
        <f>SUM(T1090:T1097)</f>
        <v>1430966815</v>
      </c>
      <c r="U1089" s="158">
        <v>9</v>
      </c>
      <c r="V1089" s="223"/>
      <c r="W1089" s="33"/>
      <c r="X1089" s="33"/>
      <c r="Y1089" s="538">
        <f t="shared" si="312"/>
        <v>9</v>
      </c>
      <c r="Z1089" s="223">
        <f t="shared" si="313"/>
        <v>1510591207</v>
      </c>
      <c r="AA1089" s="538">
        <f t="shared" si="308"/>
        <v>94</v>
      </c>
      <c r="AB1089" s="801">
        <f t="shared" si="309"/>
        <v>2564980827</v>
      </c>
      <c r="AC1089" s="148">
        <f t="shared" si="310"/>
        <v>98.94736842105263</v>
      </c>
      <c r="AD1089" s="148">
        <f t="shared" si="311"/>
        <v>177.52759498489448</v>
      </c>
      <c r="AE1089" s="2558" t="s">
        <v>124</v>
      </c>
      <c r="AF1089" s="200"/>
      <c r="AG1089" s="1287"/>
      <c r="AH1089" s="1287"/>
      <c r="AI1089" s="1287"/>
      <c r="AJ1089" s="1287"/>
      <c r="AK1089" s="1287"/>
      <c r="AL1089" s="1287"/>
      <c r="AM1089" s="1287"/>
      <c r="AN1089" s="1287"/>
      <c r="AO1089" s="1287"/>
      <c r="AP1089" s="1287"/>
      <c r="AQ1089" s="1287"/>
      <c r="AR1089" s="1287"/>
      <c r="AS1089" s="1287"/>
      <c r="AT1089" s="1287"/>
      <c r="AU1089" s="1287"/>
      <c r="AV1089" s="1287"/>
      <c r="AW1089" s="1287"/>
      <c r="AX1089" s="1287"/>
      <c r="AY1089" s="1287"/>
      <c r="AZ1089" s="1287"/>
      <c r="BA1089" s="1287"/>
      <c r="BB1089" s="1287"/>
    </row>
    <row r="1090" spans="1:54" s="1288" customFormat="1" ht="66">
      <c r="A1090" s="102"/>
      <c r="B1090" s="8"/>
      <c r="C1090" s="628">
        <v>1</v>
      </c>
      <c r="D1090" s="628" t="s">
        <v>28</v>
      </c>
      <c r="E1090" s="628">
        <v>10</v>
      </c>
      <c r="F1090" s="628" t="s">
        <v>25</v>
      </c>
      <c r="G1090" s="628">
        <v>19</v>
      </c>
      <c r="H1090" s="628">
        <v>14</v>
      </c>
      <c r="I1090" s="8" t="s">
        <v>2088</v>
      </c>
      <c r="J1090" s="8" t="s">
        <v>3002</v>
      </c>
      <c r="K1090" s="107">
        <v>60</v>
      </c>
      <c r="L1090" s="238">
        <v>112357000</v>
      </c>
      <c r="M1090" s="505">
        <v>15</v>
      </c>
      <c r="N1090" s="1116">
        <v>57221000</v>
      </c>
      <c r="O1090" s="107">
        <v>15</v>
      </c>
      <c r="P1090" s="204">
        <v>96432000</v>
      </c>
      <c r="Q1090" s="505"/>
      <c r="R1090" s="25">
        <v>1224750</v>
      </c>
      <c r="S1090" s="8">
        <v>0</v>
      </c>
      <c r="T1090" s="25">
        <v>3086200</v>
      </c>
      <c r="U1090" s="8">
        <v>0</v>
      </c>
      <c r="V1090" s="514">
        <v>0</v>
      </c>
      <c r="W1090" s="8"/>
      <c r="X1090" s="8"/>
      <c r="Y1090" s="107">
        <f t="shared" si="312"/>
        <v>0</v>
      </c>
      <c r="Z1090" s="514">
        <f t="shared" si="313"/>
        <v>4310950</v>
      </c>
      <c r="AA1090" s="107">
        <f t="shared" si="308"/>
        <v>15</v>
      </c>
      <c r="AB1090" s="408">
        <f t="shared" si="309"/>
        <v>61531950</v>
      </c>
      <c r="AC1090" s="499">
        <f t="shared" si="310"/>
        <v>25</v>
      </c>
      <c r="AD1090" s="499">
        <f t="shared" si="311"/>
        <v>54.764678658205547</v>
      </c>
      <c r="AE1090" s="102"/>
      <c r="AF1090" s="200"/>
      <c r="AG1090" s="1287"/>
      <c r="AH1090" s="1287"/>
      <c r="AI1090" s="1287"/>
      <c r="AJ1090" s="1287"/>
      <c r="AK1090" s="1287"/>
      <c r="AL1090" s="1287"/>
      <c r="AM1090" s="1287"/>
      <c r="AN1090" s="1287"/>
      <c r="AO1090" s="1287"/>
      <c r="AP1090" s="1287"/>
      <c r="AQ1090" s="1287"/>
      <c r="AR1090" s="1287"/>
      <c r="AS1090" s="1287"/>
      <c r="AT1090" s="1287"/>
      <c r="AU1090" s="1287"/>
      <c r="AV1090" s="1287"/>
      <c r="AW1090" s="1287"/>
      <c r="AX1090" s="1287"/>
      <c r="AY1090" s="1287"/>
      <c r="AZ1090" s="1287"/>
      <c r="BA1090" s="1287"/>
      <c r="BB1090" s="1287"/>
    </row>
    <row r="1091" spans="1:54" s="1288" customFormat="1" ht="49.5">
      <c r="A1091" s="102"/>
      <c r="B1091" s="8"/>
      <c r="C1091" s="628">
        <v>1</v>
      </c>
      <c r="D1091" s="628" t="s">
        <v>28</v>
      </c>
      <c r="E1091" s="628">
        <v>10</v>
      </c>
      <c r="F1091" s="628" t="s">
        <v>25</v>
      </c>
      <c r="G1091" s="628">
        <v>19</v>
      </c>
      <c r="H1091" s="628"/>
      <c r="I1091" s="8" t="s">
        <v>2089</v>
      </c>
      <c r="J1091" s="8" t="s">
        <v>3003</v>
      </c>
      <c r="K1091" s="238">
        <v>60</v>
      </c>
      <c r="L1091" s="238">
        <v>63519000</v>
      </c>
      <c r="M1091" s="815">
        <v>24</v>
      </c>
      <c r="N1091" s="1116">
        <v>67052000</v>
      </c>
      <c r="O1091" s="238">
        <v>12</v>
      </c>
      <c r="P1091" s="204">
        <v>56583000</v>
      </c>
      <c r="Q1091" s="815">
        <v>3</v>
      </c>
      <c r="R1091" s="25">
        <v>6024850</v>
      </c>
      <c r="S1091" s="25">
        <v>0</v>
      </c>
      <c r="T1091" s="25">
        <v>6252500</v>
      </c>
      <c r="U1091" s="8">
        <v>0</v>
      </c>
      <c r="V1091" s="514">
        <v>0</v>
      </c>
      <c r="W1091" s="8"/>
      <c r="X1091" s="8"/>
      <c r="Y1091" s="107">
        <f t="shared" si="312"/>
        <v>3</v>
      </c>
      <c r="Z1091" s="514">
        <f t="shared" si="313"/>
        <v>12277350</v>
      </c>
      <c r="AA1091" s="107">
        <f t="shared" si="308"/>
        <v>27</v>
      </c>
      <c r="AB1091" s="408">
        <f t="shared" si="309"/>
        <v>79329350</v>
      </c>
      <c r="AC1091" s="499">
        <f t="shared" si="310"/>
        <v>45</v>
      </c>
      <c r="AD1091" s="499">
        <f t="shared" si="311"/>
        <v>124.890741352981</v>
      </c>
      <c r="AE1091" s="102"/>
      <c r="AF1091" s="200"/>
      <c r="AG1091" s="1287"/>
      <c r="AH1091" s="1287"/>
      <c r="AI1091" s="1287"/>
      <c r="AJ1091" s="1287"/>
      <c r="AK1091" s="1287"/>
      <c r="AL1091" s="1287"/>
      <c r="AM1091" s="1287"/>
      <c r="AN1091" s="1287"/>
      <c r="AO1091" s="1287"/>
      <c r="AP1091" s="1287"/>
      <c r="AQ1091" s="1287"/>
      <c r="AR1091" s="1287"/>
      <c r="AS1091" s="1287"/>
      <c r="AT1091" s="1287"/>
      <c r="AU1091" s="1287"/>
      <c r="AV1091" s="1287"/>
      <c r="AW1091" s="1287"/>
      <c r="AX1091" s="1287"/>
      <c r="AY1091" s="1287"/>
      <c r="AZ1091" s="1287"/>
      <c r="BA1091" s="1287"/>
      <c r="BB1091" s="1287"/>
    </row>
    <row r="1092" spans="1:54" s="1288" customFormat="1" ht="49.5">
      <c r="A1092" s="102"/>
      <c r="B1092" s="8"/>
      <c r="C1092" s="628">
        <v>1</v>
      </c>
      <c r="D1092" s="628" t="s">
        <v>28</v>
      </c>
      <c r="E1092" s="628">
        <v>10</v>
      </c>
      <c r="F1092" s="628" t="s">
        <v>25</v>
      </c>
      <c r="G1092" s="628">
        <v>19</v>
      </c>
      <c r="H1092" s="628" t="s">
        <v>47</v>
      </c>
      <c r="I1092" s="8" t="s">
        <v>2090</v>
      </c>
      <c r="J1092" s="8" t="s">
        <v>2091</v>
      </c>
      <c r="K1092" s="238">
        <v>60</v>
      </c>
      <c r="L1092" s="238">
        <v>273706000</v>
      </c>
      <c r="M1092" s="815">
        <v>24</v>
      </c>
      <c r="N1092" s="1116">
        <v>371022000</v>
      </c>
      <c r="O1092" s="238">
        <v>12</v>
      </c>
      <c r="P1092" s="204">
        <v>369715000</v>
      </c>
      <c r="Q1092" s="815">
        <v>3</v>
      </c>
      <c r="R1092" s="25">
        <v>42029042</v>
      </c>
      <c r="S1092" s="25">
        <v>0</v>
      </c>
      <c r="T1092" s="25">
        <v>87459295</v>
      </c>
      <c r="U1092" s="8">
        <v>0</v>
      </c>
      <c r="V1092" s="514">
        <v>0</v>
      </c>
      <c r="W1092" s="8"/>
      <c r="X1092" s="8"/>
      <c r="Y1092" s="107">
        <f t="shared" si="312"/>
        <v>3</v>
      </c>
      <c r="Z1092" s="514">
        <f t="shared" si="313"/>
        <v>129488337</v>
      </c>
      <c r="AA1092" s="107">
        <f t="shared" si="308"/>
        <v>27</v>
      </c>
      <c r="AB1092" s="408">
        <f t="shared" si="309"/>
        <v>500510337</v>
      </c>
      <c r="AC1092" s="499">
        <f t="shared" si="310"/>
        <v>45</v>
      </c>
      <c r="AD1092" s="499">
        <f t="shared" si="311"/>
        <v>182.86421817570678</v>
      </c>
      <c r="AE1092" s="102"/>
      <c r="AF1092" s="200"/>
      <c r="AG1092" s="1287"/>
      <c r="AH1092" s="1287"/>
      <c r="AI1092" s="1287"/>
      <c r="AJ1092" s="1287"/>
      <c r="AK1092" s="1287"/>
      <c r="AL1092" s="1287"/>
      <c r="AM1092" s="1287"/>
      <c r="AN1092" s="1287"/>
      <c r="AO1092" s="1287"/>
      <c r="AP1092" s="1287"/>
      <c r="AQ1092" s="1287"/>
      <c r="AR1092" s="1287"/>
      <c r="AS1092" s="1287"/>
      <c r="AT1092" s="1287"/>
      <c r="AU1092" s="1287"/>
      <c r="AV1092" s="1287"/>
      <c r="AW1092" s="1287"/>
      <c r="AX1092" s="1287"/>
      <c r="AY1092" s="1287"/>
      <c r="AZ1092" s="1287"/>
      <c r="BA1092" s="1287"/>
      <c r="BB1092" s="1287"/>
    </row>
    <row r="1093" spans="1:54" s="1288" customFormat="1" ht="66">
      <c r="A1093" s="102"/>
      <c r="B1093" s="8"/>
      <c r="C1093" s="628">
        <v>1</v>
      </c>
      <c r="D1093" s="628" t="s">
        <v>28</v>
      </c>
      <c r="E1093" s="628">
        <v>10</v>
      </c>
      <c r="F1093" s="628" t="s">
        <v>25</v>
      </c>
      <c r="G1093" s="628">
        <v>19</v>
      </c>
      <c r="H1093" s="628" t="s">
        <v>47</v>
      </c>
      <c r="I1093" s="8" t="s">
        <v>2092</v>
      </c>
      <c r="J1093" s="8" t="s">
        <v>3004</v>
      </c>
      <c r="K1093" s="107">
        <v>60</v>
      </c>
      <c r="L1093" s="238">
        <v>195253000</v>
      </c>
      <c r="M1093" s="505">
        <v>24</v>
      </c>
      <c r="N1093" s="1116">
        <v>94620</v>
      </c>
      <c r="O1093" s="107">
        <v>12</v>
      </c>
      <c r="P1093" s="204">
        <v>226882500</v>
      </c>
      <c r="Q1093" s="505">
        <v>3</v>
      </c>
      <c r="R1093" s="25">
        <v>30345750</v>
      </c>
      <c r="S1093" s="8">
        <v>0</v>
      </c>
      <c r="T1093" s="25">
        <v>45862650</v>
      </c>
      <c r="U1093" s="8">
        <v>0</v>
      </c>
      <c r="V1093" s="514">
        <v>0</v>
      </c>
      <c r="W1093" s="8"/>
      <c r="X1093" s="8"/>
      <c r="Y1093" s="107">
        <f t="shared" si="312"/>
        <v>3</v>
      </c>
      <c r="Z1093" s="514">
        <f t="shared" si="313"/>
        <v>76208400</v>
      </c>
      <c r="AA1093" s="107">
        <f t="shared" si="308"/>
        <v>27</v>
      </c>
      <c r="AB1093" s="408">
        <f t="shared" si="309"/>
        <v>76303020</v>
      </c>
      <c r="AC1093" s="499">
        <f t="shared" si="310"/>
        <v>45</v>
      </c>
      <c r="AD1093" s="499">
        <f t="shared" si="311"/>
        <v>39.079051282182604</v>
      </c>
      <c r="AE1093" s="102"/>
      <c r="AF1093" s="200"/>
      <c r="AG1093" s="1287"/>
      <c r="AH1093" s="1287"/>
      <c r="AI1093" s="1287"/>
      <c r="AJ1093" s="1287"/>
      <c r="AK1093" s="1287"/>
      <c r="AL1093" s="1287"/>
      <c r="AM1093" s="1287"/>
      <c r="AN1093" s="1287"/>
      <c r="AO1093" s="1287"/>
      <c r="AP1093" s="1287"/>
      <c r="AQ1093" s="1287"/>
      <c r="AR1093" s="1287"/>
      <c r="AS1093" s="1287"/>
      <c r="AT1093" s="1287"/>
      <c r="AU1093" s="1287"/>
      <c r="AV1093" s="1287"/>
      <c r="AW1093" s="1287"/>
      <c r="AX1093" s="1287"/>
      <c r="AY1093" s="1287"/>
      <c r="AZ1093" s="1287"/>
      <c r="BA1093" s="1287"/>
      <c r="BB1093" s="1287"/>
    </row>
    <row r="1094" spans="1:54" s="1288" customFormat="1" ht="66">
      <c r="A1094" s="102"/>
      <c r="B1094" s="8"/>
      <c r="C1094" s="628">
        <v>1</v>
      </c>
      <c r="D1094" s="628" t="s">
        <v>28</v>
      </c>
      <c r="E1094" s="628">
        <v>10</v>
      </c>
      <c r="F1094" s="628" t="s">
        <v>25</v>
      </c>
      <c r="G1094" s="628">
        <v>19</v>
      </c>
      <c r="H1094" s="628" t="s">
        <v>62</v>
      </c>
      <c r="I1094" s="8" t="s">
        <v>2093</v>
      </c>
      <c r="J1094" s="8" t="s">
        <v>3005</v>
      </c>
      <c r="K1094" s="107">
        <v>1</v>
      </c>
      <c r="L1094" s="238">
        <v>800000000</v>
      </c>
      <c r="M1094" s="107">
        <v>0</v>
      </c>
      <c r="N1094" s="238">
        <v>559000000</v>
      </c>
      <c r="O1094" s="107">
        <v>1</v>
      </c>
      <c r="P1094" s="238">
        <v>213473654</v>
      </c>
      <c r="Q1094" s="107">
        <v>0</v>
      </c>
      <c r="R1094" s="25">
        <v>0</v>
      </c>
      <c r="S1094" s="8">
        <v>0</v>
      </c>
      <c r="T1094" s="25">
        <v>0</v>
      </c>
      <c r="U1094" s="8">
        <v>0</v>
      </c>
      <c r="V1094" s="514">
        <v>0</v>
      </c>
      <c r="W1094" s="8"/>
      <c r="X1094" s="8"/>
      <c r="Y1094" s="238">
        <f t="shared" si="312"/>
        <v>0</v>
      </c>
      <c r="Z1094" s="514">
        <f t="shared" si="313"/>
        <v>0</v>
      </c>
      <c r="AA1094" s="107">
        <f t="shared" si="308"/>
        <v>0</v>
      </c>
      <c r="AB1094" s="408">
        <f t="shared" si="309"/>
        <v>559000000</v>
      </c>
      <c r="AC1094" s="499">
        <f t="shared" si="310"/>
        <v>0</v>
      </c>
      <c r="AD1094" s="499">
        <f t="shared" si="311"/>
        <v>69.875</v>
      </c>
      <c r="AE1094" s="102"/>
      <c r="AF1094" s="200"/>
      <c r="AG1094" s="1287"/>
      <c r="AH1094" s="1287"/>
      <c r="AI1094" s="1287"/>
      <c r="AJ1094" s="1287"/>
      <c r="AK1094" s="1287"/>
      <c r="AL1094" s="1287"/>
      <c r="AM1094" s="1287"/>
      <c r="AN1094" s="1287"/>
      <c r="AO1094" s="1287"/>
      <c r="AP1094" s="1287"/>
      <c r="AQ1094" s="1287"/>
      <c r="AR1094" s="1287"/>
      <c r="AS1094" s="1287"/>
      <c r="AT1094" s="1287"/>
      <c r="AU1094" s="1287"/>
      <c r="AV1094" s="1287"/>
      <c r="AW1094" s="1287"/>
      <c r="AX1094" s="1287"/>
      <c r="AY1094" s="1287"/>
      <c r="AZ1094" s="1287"/>
      <c r="BA1094" s="1287"/>
      <c r="BB1094" s="1287"/>
    </row>
    <row r="1095" spans="1:54" s="1288" customFormat="1" ht="66">
      <c r="A1095" s="102"/>
      <c r="B1095" s="8"/>
      <c r="C1095" s="628">
        <v>1</v>
      </c>
      <c r="D1095" s="628" t="s">
        <v>28</v>
      </c>
      <c r="E1095" s="628">
        <v>10</v>
      </c>
      <c r="F1095" s="628" t="s">
        <v>25</v>
      </c>
      <c r="G1095" s="628">
        <v>15</v>
      </c>
      <c r="H1095" s="628" t="s">
        <v>29</v>
      </c>
      <c r="I1095" s="8" t="s">
        <v>2094</v>
      </c>
      <c r="J1095" s="8" t="s">
        <v>3006</v>
      </c>
      <c r="K1095" s="107">
        <v>6</v>
      </c>
      <c r="L1095" s="238">
        <f>5*40418000</f>
        <v>202090000</v>
      </c>
      <c r="M1095" s="107">
        <v>2</v>
      </c>
      <c r="N1095" s="238">
        <v>56278000</v>
      </c>
      <c r="O1095" s="107">
        <v>2</v>
      </c>
      <c r="P1095" s="238">
        <v>0</v>
      </c>
      <c r="Q1095" s="107">
        <v>0</v>
      </c>
      <c r="R1095" s="25">
        <v>0</v>
      </c>
      <c r="S1095" s="25">
        <v>0</v>
      </c>
      <c r="T1095" s="25">
        <v>0</v>
      </c>
      <c r="U1095" s="8">
        <v>0</v>
      </c>
      <c r="V1095" s="514">
        <v>0</v>
      </c>
      <c r="W1095" s="8"/>
      <c r="X1095" s="8"/>
      <c r="Y1095" s="238">
        <f t="shared" si="312"/>
        <v>0</v>
      </c>
      <c r="Z1095" s="514">
        <f t="shared" si="313"/>
        <v>0</v>
      </c>
      <c r="AA1095" s="107">
        <f t="shared" si="308"/>
        <v>2</v>
      </c>
      <c r="AB1095" s="408">
        <f t="shared" si="309"/>
        <v>56278000</v>
      </c>
      <c r="AC1095" s="499">
        <f t="shared" si="310"/>
        <v>33.333333333333329</v>
      </c>
      <c r="AD1095" s="499">
        <f t="shared" si="311"/>
        <v>27.84798851996635</v>
      </c>
      <c r="AE1095" s="102"/>
      <c r="AF1095" s="200"/>
      <c r="AG1095" s="1287"/>
      <c r="AH1095" s="1287"/>
      <c r="AI1095" s="1287"/>
      <c r="AJ1095" s="1287"/>
      <c r="AK1095" s="1287"/>
      <c r="AL1095" s="1287"/>
      <c r="AM1095" s="1287"/>
      <c r="AN1095" s="1287"/>
      <c r="AO1095" s="1287"/>
      <c r="AP1095" s="1287"/>
      <c r="AQ1095" s="1287"/>
      <c r="AR1095" s="1287"/>
      <c r="AS1095" s="1287"/>
      <c r="AT1095" s="1287"/>
      <c r="AU1095" s="1287"/>
      <c r="AV1095" s="1287"/>
      <c r="AW1095" s="1287"/>
      <c r="AX1095" s="1287"/>
      <c r="AY1095" s="1287"/>
      <c r="AZ1095" s="1287"/>
      <c r="BA1095" s="1287"/>
      <c r="BB1095" s="1287"/>
    </row>
    <row r="1096" spans="1:54" s="1288" customFormat="1" ht="49.5">
      <c r="A1096" s="102"/>
      <c r="B1096" s="8"/>
      <c r="C1096" s="628">
        <v>1</v>
      </c>
      <c r="D1096" s="628" t="s">
        <v>28</v>
      </c>
      <c r="E1096" s="628">
        <v>10</v>
      </c>
      <c r="F1096" s="628" t="s">
        <v>25</v>
      </c>
      <c r="G1096" s="628">
        <v>19</v>
      </c>
      <c r="H1096" s="628" t="s">
        <v>44</v>
      </c>
      <c r="I1096" s="8" t="s">
        <v>2095</v>
      </c>
      <c r="J1096" s="8" t="s">
        <v>3007</v>
      </c>
      <c r="K1096" s="238">
        <v>2</v>
      </c>
      <c r="L1096" s="238">
        <f>2*P1096</f>
        <v>3134071326</v>
      </c>
      <c r="M1096" s="238">
        <v>0</v>
      </c>
      <c r="N1096" s="238">
        <v>0</v>
      </c>
      <c r="O1096" s="238">
        <v>1</v>
      </c>
      <c r="P1096" s="238">
        <v>1567035663</v>
      </c>
      <c r="Q1096" s="238">
        <v>0.11</v>
      </c>
      <c r="R1096" s="238">
        <v>11457450</v>
      </c>
      <c r="S1096" s="25">
        <v>0</v>
      </c>
      <c r="T1096" s="25">
        <v>1280701520</v>
      </c>
      <c r="U1096" s="8">
        <v>0</v>
      </c>
      <c r="V1096" s="514">
        <v>0</v>
      </c>
      <c r="W1096" s="8"/>
      <c r="X1096" s="8"/>
      <c r="Y1096" s="238">
        <f t="shared" si="312"/>
        <v>0.11</v>
      </c>
      <c r="Z1096" s="514">
        <f t="shared" si="313"/>
        <v>1292158970</v>
      </c>
      <c r="AA1096" s="1115">
        <f t="shared" si="308"/>
        <v>0.11</v>
      </c>
      <c r="AB1096" s="514">
        <f t="shared" si="309"/>
        <v>1292158970</v>
      </c>
      <c r="AC1096" s="499">
        <f t="shared" si="310"/>
        <v>5.5</v>
      </c>
      <c r="AD1096" s="499">
        <f t="shared" si="311"/>
        <v>41.229405319539303</v>
      </c>
      <c r="AE1096" s="102"/>
      <c r="AF1096" s="200"/>
      <c r="AG1096" s="1287"/>
      <c r="AH1096" s="1287"/>
      <c r="AI1096" s="1287"/>
      <c r="AJ1096" s="1287"/>
      <c r="AK1096" s="1287"/>
      <c r="AL1096" s="1287"/>
      <c r="AM1096" s="1287"/>
      <c r="AN1096" s="1287"/>
      <c r="AO1096" s="1287"/>
      <c r="AP1096" s="1287"/>
      <c r="AQ1096" s="1287"/>
      <c r="AR1096" s="1287"/>
      <c r="AS1096" s="1287"/>
      <c r="AT1096" s="1287"/>
      <c r="AU1096" s="1287"/>
      <c r="AV1096" s="1287"/>
      <c r="AW1096" s="1287"/>
      <c r="AX1096" s="1287"/>
      <c r="AY1096" s="1287"/>
      <c r="AZ1096" s="1287"/>
      <c r="BA1096" s="1287"/>
      <c r="BB1096" s="1287"/>
    </row>
    <row r="1097" spans="1:54" s="1288" customFormat="1" ht="49.5">
      <c r="A1097" s="102"/>
      <c r="B1097" s="8"/>
      <c r="C1097" s="628">
        <v>1</v>
      </c>
      <c r="D1097" s="628" t="s">
        <v>28</v>
      </c>
      <c r="E1097" s="628">
        <v>10</v>
      </c>
      <c r="F1097" s="628" t="s">
        <v>25</v>
      </c>
      <c r="G1097" s="628">
        <v>15</v>
      </c>
      <c r="H1097" s="628" t="s">
        <v>30</v>
      </c>
      <c r="I1097" s="8" t="s">
        <v>2097</v>
      </c>
      <c r="J1097" s="8" t="s">
        <v>3008</v>
      </c>
      <c r="K1097" s="238">
        <v>5</v>
      </c>
      <c r="L1097" s="238">
        <f>4*36678000</f>
        <v>146712000</v>
      </c>
      <c r="M1097" s="238">
        <v>0</v>
      </c>
      <c r="N1097" s="238">
        <v>0</v>
      </c>
      <c r="O1097" s="238">
        <v>1</v>
      </c>
      <c r="P1097" s="238">
        <v>43435000</v>
      </c>
      <c r="Q1097" s="238">
        <v>0.11</v>
      </c>
      <c r="R1097" s="25">
        <v>3184200</v>
      </c>
      <c r="S1097" s="25"/>
      <c r="T1097" s="25">
        <v>7604650</v>
      </c>
      <c r="U1097" s="8">
        <v>0</v>
      </c>
      <c r="V1097" s="514">
        <v>0</v>
      </c>
      <c r="W1097" s="8"/>
      <c r="X1097" s="8"/>
      <c r="Y1097" s="238">
        <f t="shared" si="312"/>
        <v>0.11</v>
      </c>
      <c r="Z1097" s="514">
        <f t="shared" si="313"/>
        <v>10788850</v>
      </c>
      <c r="AA1097" s="107">
        <f t="shared" si="308"/>
        <v>0.11</v>
      </c>
      <c r="AB1097" s="408">
        <f t="shared" si="309"/>
        <v>10788850</v>
      </c>
      <c r="AC1097" s="499">
        <f t="shared" si="310"/>
        <v>2.1999999999999997</v>
      </c>
      <c r="AD1097" s="499">
        <f t="shared" si="311"/>
        <v>7.3537611102023019</v>
      </c>
      <c r="AE1097" s="102"/>
      <c r="AF1097" s="200"/>
      <c r="AG1097" s="1287"/>
      <c r="AH1097" s="1287"/>
      <c r="AI1097" s="1287"/>
      <c r="AJ1097" s="1287"/>
      <c r="AK1097" s="1287"/>
      <c r="AL1097" s="1287"/>
      <c r="AM1097" s="1287"/>
      <c r="AN1097" s="1287"/>
      <c r="AO1097" s="1287"/>
      <c r="AP1097" s="1287"/>
      <c r="AQ1097" s="1287"/>
      <c r="AR1097" s="1287"/>
      <c r="AS1097" s="1287"/>
      <c r="AT1097" s="1287"/>
      <c r="AU1097" s="1287"/>
      <c r="AV1097" s="1287"/>
      <c r="AW1097" s="1287"/>
      <c r="AX1097" s="1287"/>
      <c r="AY1097" s="1287"/>
      <c r="AZ1097" s="1287"/>
      <c r="BA1097" s="1287"/>
      <c r="BB1097" s="1287"/>
    </row>
    <row r="1098" spans="1:54" s="1346" customFormat="1" ht="66">
      <c r="A1098" s="2558">
        <v>5</v>
      </c>
      <c r="B1098" s="33"/>
      <c r="C1098" s="303">
        <v>1</v>
      </c>
      <c r="D1098" s="303" t="s">
        <v>28</v>
      </c>
      <c r="E1098" s="303">
        <v>10</v>
      </c>
      <c r="F1098" s="303" t="s">
        <v>25</v>
      </c>
      <c r="G1098" s="303">
        <v>17</v>
      </c>
      <c r="H1098" s="303"/>
      <c r="I1098" s="33" t="s">
        <v>2098</v>
      </c>
      <c r="J1098" s="33" t="s">
        <v>3009</v>
      </c>
      <c r="K1098" s="545">
        <v>100</v>
      </c>
      <c r="L1098" s="230">
        <f>SUM(L1099:L1099)</f>
        <v>234685000</v>
      </c>
      <c r="M1098" s="545">
        <v>50</v>
      </c>
      <c r="N1098" s="230">
        <f>SUM(N1099:N1099)</f>
        <v>0</v>
      </c>
      <c r="O1098" s="545">
        <v>20</v>
      </c>
      <c r="P1098" s="230">
        <f>SUM(P1099:P1099)</f>
        <v>117342500</v>
      </c>
      <c r="Q1098" s="230">
        <v>0</v>
      </c>
      <c r="R1098" s="159">
        <f>SUM(R1099:R1099)</f>
        <v>0</v>
      </c>
      <c r="S1098" s="159" t="s">
        <v>40</v>
      </c>
      <c r="T1098" s="159">
        <f>SUM(T1099)</f>
        <v>28490950</v>
      </c>
      <c r="U1098" s="33">
        <v>9</v>
      </c>
      <c r="V1098" s="223">
        <f>SUM(V1099:V1099)</f>
        <v>0</v>
      </c>
      <c r="W1098" s="33"/>
      <c r="X1098" s="33">
        <f>SUM(X1099:X1099)</f>
        <v>0</v>
      </c>
      <c r="Y1098" s="230">
        <f t="shared" si="312"/>
        <v>9</v>
      </c>
      <c r="Z1098" s="223">
        <f t="shared" si="313"/>
        <v>28490950</v>
      </c>
      <c r="AA1098" s="545">
        <f t="shared" si="308"/>
        <v>59</v>
      </c>
      <c r="AB1098" s="801">
        <f t="shared" si="309"/>
        <v>28490950</v>
      </c>
      <c r="AC1098" s="148">
        <f t="shared" si="310"/>
        <v>59</v>
      </c>
      <c r="AD1098" s="148">
        <f t="shared" si="311"/>
        <v>12.140081385687198</v>
      </c>
      <c r="AE1098" s="2558" t="s">
        <v>124</v>
      </c>
      <c r="AF1098" s="200"/>
      <c r="AG1098" s="1345"/>
      <c r="AH1098" s="1345"/>
      <c r="AI1098" s="1345"/>
      <c r="AJ1098" s="1345"/>
      <c r="AK1098" s="1345"/>
      <c r="AL1098" s="1345"/>
      <c r="AM1098" s="1345"/>
      <c r="AN1098" s="1345"/>
      <c r="AO1098" s="1345"/>
      <c r="AP1098" s="1345"/>
      <c r="AQ1098" s="1345"/>
      <c r="AR1098" s="1345"/>
      <c r="AS1098" s="1345"/>
      <c r="AT1098" s="1345"/>
      <c r="AU1098" s="1345"/>
      <c r="AV1098" s="1345"/>
      <c r="AW1098" s="1345"/>
      <c r="AX1098" s="1345"/>
      <c r="AY1098" s="1345"/>
      <c r="AZ1098" s="1345"/>
      <c r="BA1098" s="1345"/>
      <c r="BB1098" s="1345"/>
    </row>
    <row r="1099" spans="1:54" s="1288" customFormat="1" ht="49.5">
      <c r="A1099" s="102"/>
      <c r="B1099" s="8"/>
      <c r="C1099" s="628">
        <v>1</v>
      </c>
      <c r="D1099" s="628" t="s">
        <v>28</v>
      </c>
      <c r="E1099" s="628">
        <v>10</v>
      </c>
      <c r="F1099" s="628" t="s">
        <v>25</v>
      </c>
      <c r="G1099" s="628">
        <v>17</v>
      </c>
      <c r="H1099" s="628" t="s">
        <v>25</v>
      </c>
      <c r="I1099" s="8" t="s">
        <v>2099</v>
      </c>
      <c r="J1099" s="8" t="s">
        <v>3010</v>
      </c>
      <c r="K1099" s="107">
        <f>360</f>
        <v>360</v>
      </c>
      <c r="L1099" s="238">
        <f>2*P1099</f>
        <v>234685000</v>
      </c>
      <c r="M1099" s="107">
        <f>90*2</f>
        <v>180</v>
      </c>
      <c r="N1099" s="238">
        <v>0</v>
      </c>
      <c r="O1099" s="107">
        <v>90</v>
      </c>
      <c r="P1099" s="238">
        <v>117342500</v>
      </c>
      <c r="Q1099" s="238">
        <v>0</v>
      </c>
      <c r="R1099" s="25">
        <v>0</v>
      </c>
      <c r="S1099" s="25">
        <v>0</v>
      </c>
      <c r="T1099" s="25">
        <v>28490950</v>
      </c>
      <c r="U1099" s="8">
        <v>0</v>
      </c>
      <c r="V1099" s="514">
        <v>0</v>
      </c>
      <c r="W1099" s="8"/>
      <c r="X1099" s="8"/>
      <c r="Y1099" s="238">
        <f t="shared" si="312"/>
        <v>0</v>
      </c>
      <c r="Z1099" s="514">
        <f t="shared" si="313"/>
        <v>28490950</v>
      </c>
      <c r="AA1099" s="107">
        <f t="shared" si="308"/>
        <v>180</v>
      </c>
      <c r="AB1099" s="408">
        <f t="shared" si="309"/>
        <v>28490950</v>
      </c>
      <c r="AC1099" s="499">
        <f t="shared" si="310"/>
        <v>50</v>
      </c>
      <c r="AD1099" s="499">
        <f t="shared" si="311"/>
        <v>12.140081385687198</v>
      </c>
      <c r="AE1099" s="102"/>
      <c r="AF1099" s="200"/>
      <c r="AG1099" s="1287"/>
      <c r="AH1099" s="1287"/>
      <c r="AI1099" s="1287"/>
      <c r="AJ1099" s="1287"/>
      <c r="AK1099" s="1287"/>
      <c r="AL1099" s="1287"/>
      <c r="AM1099" s="1287"/>
      <c r="AN1099" s="1287"/>
      <c r="AO1099" s="1287"/>
      <c r="AP1099" s="1287"/>
      <c r="AQ1099" s="1287"/>
      <c r="AR1099" s="1287"/>
      <c r="AS1099" s="1287"/>
      <c r="AT1099" s="1287"/>
      <c r="AU1099" s="1287"/>
      <c r="AV1099" s="1287"/>
      <c r="AW1099" s="1287"/>
      <c r="AX1099" s="1287"/>
      <c r="AY1099" s="1287"/>
      <c r="AZ1099" s="1287"/>
      <c r="BA1099" s="1287"/>
      <c r="BB1099" s="1287"/>
    </row>
    <row r="1100" spans="1:54" s="1288" customFormat="1" ht="82.5">
      <c r="A1100" s="2539">
        <v>6</v>
      </c>
      <c r="B1100" s="381"/>
      <c r="C1100" s="990">
        <v>1</v>
      </c>
      <c r="D1100" s="990" t="s">
        <v>28</v>
      </c>
      <c r="E1100" s="990">
        <v>10</v>
      </c>
      <c r="F1100" s="990" t="s">
        <v>25</v>
      </c>
      <c r="G1100" s="990">
        <v>20</v>
      </c>
      <c r="H1100" s="990"/>
      <c r="I1100" s="381" t="s">
        <v>3011</v>
      </c>
      <c r="J1100" s="33" t="s">
        <v>3012</v>
      </c>
      <c r="K1100" s="538">
        <v>100</v>
      </c>
      <c r="L1100" s="230">
        <f>SUM(L1103:L1106)</f>
        <v>18770813896</v>
      </c>
      <c r="M1100" s="545">
        <v>100</v>
      </c>
      <c r="N1100" s="230">
        <f>SUM(N1103:N1106)</f>
        <v>3642106474</v>
      </c>
      <c r="O1100" s="545">
        <v>100</v>
      </c>
      <c r="P1100" s="230">
        <f>SUM(P1103:P1106)</f>
        <v>6071490698</v>
      </c>
      <c r="Q1100" s="545">
        <v>100</v>
      </c>
      <c r="R1100" s="159">
        <f>SUM(R1103:R1106)</f>
        <v>72942750</v>
      </c>
      <c r="S1100" s="33"/>
      <c r="T1100" s="159">
        <f>SUM(T1103:T1106)</f>
        <v>1169944690</v>
      </c>
      <c r="U1100" s="158">
        <v>0</v>
      </c>
      <c r="V1100" s="223">
        <v>0</v>
      </c>
      <c r="W1100" s="33"/>
      <c r="X1100" s="33"/>
      <c r="Y1100" s="545">
        <v>100</v>
      </c>
      <c r="Z1100" s="223">
        <f t="shared" si="313"/>
        <v>1242887440</v>
      </c>
      <c r="AA1100" s="545">
        <v>100</v>
      </c>
      <c r="AB1100" s="223">
        <f>SUM(AB1103:AB1104)</f>
        <v>4797182864</v>
      </c>
      <c r="AC1100" s="148">
        <f t="shared" si="310"/>
        <v>100</v>
      </c>
      <c r="AD1100" s="148">
        <f t="shared" si="311"/>
        <v>25.556605539743082</v>
      </c>
      <c r="AE1100" s="2558" t="s">
        <v>124</v>
      </c>
      <c r="AF1100" s="200"/>
      <c r="AG1100" s="1287"/>
      <c r="AH1100" s="1287"/>
      <c r="AI1100" s="1287"/>
      <c r="AJ1100" s="1287"/>
      <c r="AK1100" s="1287"/>
      <c r="AL1100" s="1287"/>
      <c r="AM1100" s="1287"/>
      <c r="AN1100" s="1287"/>
      <c r="AO1100" s="1287"/>
      <c r="AP1100" s="1287"/>
      <c r="AQ1100" s="1287"/>
      <c r="AR1100" s="1287"/>
      <c r="AS1100" s="1287"/>
      <c r="AT1100" s="1287"/>
      <c r="AU1100" s="1287"/>
      <c r="AV1100" s="1287"/>
      <c r="AW1100" s="1287"/>
      <c r="AX1100" s="1287"/>
      <c r="AY1100" s="1287"/>
      <c r="AZ1100" s="1287"/>
      <c r="BA1100" s="1287"/>
      <c r="BB1100" s="1287"/>
    </row>
    <row r="1101" spans="1:54" s="1288" customFormat="1" ht="82.5">
      <c r="A1101" s="1781"/>
      <c r="B1101" s="1782"/>
      <c r="C1101" s="1783"/>
      <c r="D1101" s="1783"/>
      <c r="E1101" s="1783"/>
      <c r="F1101" s="1783"/>
      <c r="G1101" s="1783"/>
      <c r="H1101" s="1783"/>
      <c r="I1101" s="1782"/>
      <c r="J1101" s="33" t="s">
        <v>3013</v>
      </c>
      <c r="K1101" s="545">
        <v>100</v>
      </c>
      <c r="L1101" s="230"/>
      <c r="M1101" s="545">
        <v>100</v>
      </c>
      <c r="N1101" s="230"/>
      <c r="O1101" s="545">
        <v>100</v>
      </c>
      <c r="P1101" s="230"/>
      <c r="Q1101" s="545">
        <v>100</v>
      </c>
      <c r="R1101" s="159"/>
      <c r="S1101" s="33"/>
      <c r="T1101" s="159"/>
      <c r="U1101" s="158"/>
      <c r="V1101" s="223"/>
      <c r="W1101" s="33"/>
      <c r="X1101" s="33"/>
      <c r="Y1101" s="545">
        <v>100</v>
      </c>
      <c r="Z1101" s="223"/>
      <c r="AA1101" s="545">
        <v>100</v>
      </c>
      <c r="AB1101" s="223"/>
      <c r="AC1101" s="148">
        <f t="shared" ref="AC1101:AC1106" si="314">(AA1101/K1101)*100</f>
        <v>100</v>
      </c>
      <c r="AD1101" s="148"/>
      <c r="AE1101" s="2558"/>
      <c r="AF1101" s="200"/>
      <c r="AG1101" s="1287"/>
      <c r="AH1101" s="1287"/>
      <c r="AI1101" s="1287"/>
      <c r="AJ1101" s="1287"/>
      <c r="AK1101" s="1287"/>
      <c r="AL1101" s="1287"/>
      <c r="AM1101" s="1287"/>
      <c r="AN1101" s="1287"/>
      <c r="AO1101" s="1287"/>
      <c r="AP1101" s="1287"/>
      <c r="AQ1101" s="1287"/>
      <c r="AR1101" s="1287"/>
      <c r="AS1101" s="1287"/>
      <c r="AT1101" s="1287"/>
      <c r="AU1101" s="1287"/>
      <c r="AV1101" s="1287"/>
      <c r="AW1101" s="1287"/>
      <c r="AX1101" s="1287"/>
      <c r="AY1101" s="1287"/>
      <c r="AZ1101" s="1287"/>
      <c r="BA1101" s="1287"/>
      <c r="BB1101" s="1287"/>
    </row>
    <row r="1102" spans="1:54" s="1288" customFormat="1" ht="99">
      <c r="A1102" s="2540"/>
      <c r="B1102" s="364"/>
      <c r="C1102" s="998"/>
      <c r="D1102" s="998"/>
      <c r="E1102" s="998"/>
      <c r="F1102" s="998"/>
      <c r="G1102" s="998"/>
      <c r="H1102" s="998"/>
      <c r="I1102" s="364"/>
      <c r="J1102" s="33" t="s">
        <v>3014</v>
      </c>
      <c r="K1102" s="545">
        <v>100</v>
      </c>
      <c r="L1102" s="230"/>
      <c r="M1102" s="545">
        <v>100</v>
      </c>
      <c r="N1102" s="230"/>
      <c r="O1102" s="545">
        <v>100</v>
      </c>
      <c r="P1102" s="230"/>
      <c r="Q1102" s="545">
        <v>100</v>
      </c>
      <c r="R1102" s="159"/>
      <c r="S1102" s="33"/>
      <c r="T1102" s="159"/>
      <c r="U1102" s="158"/>
      <c r="V1102" s="223"/>
      <c r="W1102" s="33"/>
      <c r="X1102" s="33"/>
      <c r="Y1102" s="545">
        <v>100</v>
      </c>
      <c r="Z1102" s="223"/>
      <c r="AA1102" s="545">
        <v>100</v>
      </c>
      <c r="AB1102" s="223"/>
      <c r="AC1102" s="148">
        <f t="shared" si="314"/>
        <v>100</v>
      </c>
      <c r="AD1102" s="148"/>
      <c r="AE1102" s="2558"/>
      <c r="AF1102" s="200"/>
      <c r="AG1102" s="1287"/>
      <c r="AH1102" s="1287"/>
      <c r="AI1102" s="1287"/>
      <c r="AJ1102" s="1287"/>
      <c r="AK1102" s="1287"/>
      <c r="AL1102" s="1287"/>
      <c r="AM1102" s="1287"/>
      <c r="AN1102" s="1287"/>
      <c r="AO1102" s="1287"/>
      <c r="AP1102" s="1287"/>
      <c r="AQ1102" s="1287"/>
      <c r="AR1102" s="1287"/>
      <c r="AS1102" s="1287"/>
      <c r="AT1102" s="1287"/>
      <c r="AU1102" s="1287"/>
      <c r="AV1102" s="1287"/>
      <c r="AW1102" s="1287"/>
      <c r="AX1102" s="1287"/>
      <c r="AY1102" s="1287"/>
      <c r="AZ1102" s="1287"/>
      <c r="BA1102" s="1287"/>
      <c r="BB1102" s="1287"/>
    </row>
    <row r="1103" spans="1:54" s="1288" customFormat="1" ht="49.5">
      <c r="A1103" s="102"/>
      <c r="B1103" s="8"/>
      <c r="C1103" s="628">
        <v>1</v>
      </c>
      <c r="D1103" s="628" t="s">
        <v>28</v>
      </c>
      <c r="E1103" s="628">
        <v>10</v>
      </c>
      <c r="F1103" s="628" t="s">
        <v>25</v>
      </c>
      <c r="G1103" s="628">
        <v>20</v>
      </c>
      <c r="H1103" s="628" t="s">
        <v>28</v>
      </c>
      <c r="I1103" s="8" t="s">
        <v>2100</v>
      </c>
      <c r="J1103" s="8" t="s">
        <v>2101</v>
      </c>
      <c r="K1103" s="107">
        <v>50</v>
      </c>
      <c r="L1103" s="238">
        <v>340894000</v>
      </c>
      <c r="M1103" s="107">
        <v>5</v>
      </c>
      <c r="N1103" s="238">
        <v>0</v>
      </c>
      <c r="O1103" s="107">
        <v>15</v>
      </c>
      <c r="P1103" s="238">
        <v>550612000</v>
      </c>
      <c r="Q1103" s="107">
        <v>5</v>
      </c>
      <c r="R1103" s="25">
        <v>54311700</v>
      </c>
      <c r="S1103" s="2690" t="s">
        <v>574</v>
      </c>
      <c r="T1103" s="25">
        <v>84313750</v>
      </c>
      <c r="U1103" s="8"/>
      <c r="V1103" s="514"/>
      <c r="W1103" s="8"/>
      <c r="X1103" s="8"/>
      <c r="Y1103" s="238">
        <v>0</v>
      </c>
      <c r="Z1103" s="514">
        <f>R1103+T1103+V1103+X1103</f>
        <v>138625450</v>
      </c>
      <c r="AA1103" s="107">
        <f t="shared" ref="AA1103:AB1106" si="315">M1103+Y1103</f>
        <v>5</v>
      </c>
      <c r="AB1103" s="514">
        <f t="shared" si="315"/>
        <v>138625450</v>
      </c>
      <c r="AC1103" s="499">
        <f t="shared" si="314"/>
        <v>10</v>
      </c>
      <c r="AD1103" s="499">
        <f>(AB1103/L1103)*100</f>
        <v>40.665265449083883</v>
      </c>
      <c r="AE1103" s="102"/>
      <c r="AF1103" s="200"/>
      <c r="AG1103" s="1287"/>
      <c r="AH1103" s="1287"/>
      <c r="AI1103" s="1287"/>
      <c r="AJ1103" s="1287"/>
      <c r="AK1103" s="1287"/>
      <c r="AL1103" s="1287"/>
      <c r="AM1103" s="1287"/>
      <c r="AN1103" s="1287"/>
      <c r="AO1103" s="1287"/>
      <c r="AP1103" s="1287"/>
      <c r="AQ1103" s="1287"/>
      <c r="AR1103" s="1287"/>
      <c r="AS1103" s="1287"/>
      <c r="AT1103" s="1287"/>
      <c r="AU1103" s="1287"/>
      <c r="AV1103" s="1287"/>
      <c r="AW1103" s="1287"/>
      <c r="AX1103" s="1287"/>
      <c r="AY1103" s="1287"/>
      <c r="AZ1103" s="1287"/>
      <c r="BA1103" s="1287"/>
      <c r="BB1103" s="1287"/>
    </row>
    <row r="1104" spans="1:54" s="1288" customFormat="1" ht="33">
      <c r="A1104" s="102"/>
      <c r="B1104" s="8"/>
      <c r="C1104" s="628">
        <v>1</v>
      </c>
      <c r="D1104" s="628" t="s">
        <v>28</v>
      </c>
      <c r="E1104" s="628">
        <v>10</v>
      </c>
      <c r="F1104" s="628" t="s">
        <v>25</v>
      </c>
      <c r="G1104" s="628">
        <v>20</v>
      </c>
      <c r="H1104" s="628" t="s">
        <v>39</v>
      </c>
      <c r="I1104" s="8" t="s">
        <v>2102</v>
      </c>
      <c r="J1104" s="8" t="s">
        <v>2103</v>
      </c>
      <c r="K1104" s="107">
        <v>48</v>
      </c>
      <c r="L1104" s="238">
        <f>4*P1104</f>
        <v>14296605896</v>
      </c>
      <c r="M1104" s="238">
        <v>12</v>
      </c>
      <c r="N1104" s="238">
        <v>3574151474</v>
      </c>
      <c r="O1104" s="107">
        <v>12</v>
      </c>
      <c r="P1104" s="238">
        <v>3574151474</v>
      </c>
      <c r="Q1104" s="107">
        <v>3</v>
      </c>
      <c r="R1104" s="25">
        <v>9208050</v>
      </c>
      <c r="S1104" s="2689">
        <v>3</v>
      </c>
      <c r="T1104" s="25">
        <v>1075197890</v>
      </c>
      <c r="U1104" s="8"/>
      <c r="V1104" s="514"/>
      <c r="W1104" s="8"/>
      <c r="X1104" s="8"/>
      <c r="Y1104" s="238">
        <f>Q1104+S1104+U1104+W1104</f>
        <v>6</v>
      </c>
      <c r="Z1104" s="514">
        <f>R1104+T1104+V1104+X1104</f>
        <v>1084405940</v>
      </c>
      <c r="AA1104" s="107">
        <f t="shared" si="315"/>
        <v>18</v>
      </c>
      <c r="AB1104" s="514">
        <f t="shared" si="315"/>
        <v>4658557414</v>
      </c>
      <c r="AC1104" s="499">
        <f t="shared" si="314"/>
        <v>37.5</v>
      </c>
      <c r="AD1104" s="499">
        <f>(AB1104/L1104)*100</f>
        <v>32.585058634814871</v>
      </c>
      <c r="AE1104" s="102"/>
      <c r="AF1104" s="200"/>
      <c r="AG1104" s="1287"/>
      <c r="AH1104" s="1287"/>
      <c r="AI1104" s="1287"/>
      <c r="AJ1104" s="1287"/>
      <c r="AK1104" s="1287"/>
      <c r="AL1104" s="1287"/>
      <c r="AM1104" s="1287"/>
      <c r="AN1104" s="1287"/>
      <c r="AO1104" s="1287"/>
      <c r="AP1104" s="1287"/>
      <c r="AQ1104" s="1287"/>
      <c r="AR1104" s="1287"/>
      <c r="AS1104" s="1287"/>
      <c r="AT1104" s="1287"/>
      <c r="AU1104" s="1287"/>
      <c r="AV1104" s="1287"/>
      <c r="AW1104" s="1287"/>
      <c r="AX1104" s="1287"/>
      <c r="AY1104" s="1287"/>
      <c r="AZ1104" s="1287"/>
      <c r="BA1104" s="1287"/>
      <c r="BB1104" s="1287"/>
    </row>
    <row r="1105" spans="1:70" ht="82.5">
      <c r="A1105" s="102"/>
      <c r="B1105" s="8"/>
      <c r="C1105" s="628">
        <v>1</v>
      </c>
      <c r="D1105" s="628" t="s">
        <v>28</v>
      </c>
      <c r="E1105" s="628">
        <v>10</v>
      </c>
      <c r="F1105" s="628" t="s">
        <v>25</v>
      </c>
      <c r="G1105" s="628">
        <v>20</v>
      </c>
      <c r="H1105" s="628" t="s">
        <v>39</v>
      </c>
      <c r="I1105" s="8" t="s">
        <v>3015</v>
      </c>
      <c r="J1105" s="8" t="s">
        <v>2104</v>
      </c>
      <c r="K1105" s="107">
        <v>48</v>
      </c>
      <c r="L1105" s="238">
        <v>133314000</v>
      </c>
      <c r="M1105" s="238">
        <v>12</v>
      </c>
      <c r="N1105" s="238">
        <v>67955000</v>
      </c>
      <c r="O1105" s="107">
        <v>12</v>
      </c>
      <c r="P1105" s="238">
        <v>67955000</v>
      </c>
      <c r="Q1105" s="107">
        <v>3</v>
      </c>
      <c r="R1105" s="25">
        <v>9423000</v>
      </c>
      <c r="S1105" s="2689">
        <v>3</v>
      </c>
      <c r="T1105" s="25">
        <v>10433050</v>
      </c>
      <c r="U1105" s="8"/>
      <c r="V1105" s="514"/>
      <c r="W1105" s="8"/>
      <c r="X1105" s="8"/>
      <c r="Y1105" s="238">
        <f>Q1105+S1105+U1105+W1105</f>
        <v>6</v>
      </c>
      <c r="Z1105" s="514">
        <f>R1105+T1105+V1105+X1105</f>
        <v>19856050</v>
      </c>
      <c r="AA1105" s="107">
        <f t="shared" si="315"/>
        <v>18</v>
      </c>
      <c r="AB1105" s="514">
        <f t="shared" si="315"/>
        <v>87811050</v>
      </c>
      <c r="AC1105" s="499">
        <f t="shared" si="314"/>
        <v>37.5</v>
      </c>
      <c r="AD1105" s="499">
        <f>(AB1105/L1105)*100</f>
        <v>65.867838336558805</v>
      </c>
      <c r="AE1105" s="102"/>
      <c r="AF1105" s="751"/>
    </row>
    <row r="1106" spans="1:70" ht="85.5" customHeight="1">
      <c r="A1106" s="102"/>
      <c r="B1106" s="8"/>
      <c r="C1106" s="628">
        <v>1</v>
      </c>
      <c r="D1106" s="628" t="s">
        <v>28</v>
      </c>
      <c r="E1106" s="628">
        <v>10</v>
      </c>
      <c r="F1106" s="628" t="s">
        <v>25</v>
      </c>
      <c r="G1106" s="628">
        <v>20</v>
      </c>
      <c r="H1106" s="628" t="s">
        <v>78</v>
      </c>
      <c r="I1106" s="8" t="s">
        <v>2105</v>
      </c>
      <c r="J1106" s="8" t="s">
        <v>3016</v>
      </c>
      <c r="K1106" s="107">
        <v>2</v>
      </c>
      <c r="L1106" s="238">
        <v>4000000000</v>
      </c>
      <c r="M1106" s="238">
        <v>0</v>
      </c>
      <c r="N1106" s="238">
        <v>0</v>
      </c>
      <c r="O1106" s="107">
        <v>1</v>
      </c>
      <c r="P1106" s="238">
        <v>1878772224</v>
      </c>
      <c r="Q1106" s="238">
        <v>0</v>
      </c>
      <c r="R1106" s="25">
        <v>0</v>
      </c>
      <c r="S1106" s="815" t="s">
        <v>40</v>
      </c>
      <c r="T1106" s="25">
        <v>0</v>
      </c>
      <c r="U1106" s="8"/>
      <c r="V1106" s="514"/>
      <c r="W1106" s="8"/>
      <c r="X1106" s="8"/>
      <c r="Y1106" s="238">
        <f>Q1106+S1106+U1106+W1106</f>
        <v>0</v>
      </c>
      <c r="Z1106" s="514">
        <f>R1106+T1106+V1106+X1106</f>
        <v>0</v>
      </c>
      <c r="AA1106" s="107">
        <f t="shared" si="315"/>
        <v>0</v>
      </c>
      <c r="AB1106" s="514">
        <f t="shared" si="315"/>
        <v>0</v>
      </c>
      <c r="AC1106" s="499">
        <f t="shared" si="314"/>
        <v>0</v>
      </c>
      <c r="AD1106" s="499">
        <f>(AB1106/L1106)*100</f>
        <v>0</v>
      </c>
      <c r="AE1106" s="102"/>
      <c r="AF1106" s="201"/>
    </row>
    <row r="1107" spans="1:70" s="1235" customFormat="1" ht="24" customHeight="1">
      <c r="A1107" s="2750" t="s">
        <v>63</v>
      </c>
      <c r="B1107" s="2751"/>
      <c r="C1107" s="2835"/>
      <c r="D1107" s="2835"/>
      <c r="E1107" s="2835"/>
      <c r="F1107" s="2835"/>
      <c r="G1107" s="2835"/>
      <c r="H1107" s="2835"/>
      <c r="I1107" s="2835"/>
      <c r="J1107" s="2835"/>
      <c r="K1107" s="2835"/>
      <c r="L1107" s="2835"/>
      <c r="M1107" s="2835"/>
      <c r="N1107" s="2835"/>
      <c r="O1107" s="2835"/>
      <c r="P1107" s="2835"/>
      <c r="Q1107" s="2835"/>
      <c r="R1107" s="2835"/>
      <c r="S1107" s="2835"/>
      <c r="T1107" s="2835"/>
      <c r="U1107" s="2835"/>
      <c r="V1107" s="2835"/>
      <c r="W1107" s="2835"/>
      <c r="X1107" s="2835"/>
      <c r="Y1107" s="2835"/>
      <c r="Z1107" s="2835"/>
      <c r="AA1107" s="2835"/>
      <c r="AB1107" s="2836"/>
      <c r="AC1107" s="965">
        <f>(AC1068+AC1081+AC1086+AC1089+AC1098+AC1100)/6</f>
        <v>71.324561403508767</v>
      </c>
      <c r="AD1107" s="965">
        <f>(AD1068+AD1081+AD1086+AD1089+AD1098+AD1100)/6</f>
        <v>54.557113364727478</v>
      </c>
      <c r="AE1107" s="131"/>
      <c r="AF1107" s="861"/>
      <c r="AG1107" s="861"/>
      <c r="AH1107" s="861"/>
      <c r="AI1107" s="861"/>
      <c r="AJ1107" s="861"/>
      <c r="AK1107" s="861"/>
      <c r="AL1107" s="861"/>
      <c r="AM1107" s="861"/>
      <c r="AN1107" s="861"/>
      <c r="AO1107" s="861"/>
      <c r="AP1107" s="861"/>
      <c r="AQ1107" s="861"/>
      <c r="AR1107" s="861"/>
      <c r="AS1107" s="861"/>
      <c r="AT1107" s="861"/>
      <c r="AU1107" s="861"/>
      <c r="AV1107" s="861"/>
      <c r="AW1107" s="861"/>
      <c r="AX1107" s="861"/>
      <c r="AY1107" s="861"/>
      <c r="AZ1107" s="861"/>
      <c r="BA1107" s="861"/>
      <c r="BB1107" s="861"/>
      <c r="BC1107" s="862"/>
      <c r="BD1107" s="862"/>
      <c r="BE1107" s="862"/>
      <c r="BF1107" s="862"/>
      <c r="BG1107" s="862"/>
      <c r="BH1107" s="862"/>
      <c r="BI1107" s="862"/>
      <c r="BJ1107" s="862"/>
      <c r="BK1107" s="862"/>
      <c r="BL1107" s="862"/>
      <c r="BM1107" s="862"/>
      <c r="BN1107" s="862"/>
      <c r="BO1107" s="862"/>
      <c r="BP1107" s="862"/>
      <c r="BQ1107" s="862"/>
      <c r="BR1107" s="862"/>
    </row>
    <row r="1108" spans="1:70" s="1235" customFormat="1" ht="24" customHeight="1">
      <c r="A1108" s="2737" t="s">
        <v>64</v>
      </c>
      <c r="B1108" s="2737"/>
      <c r="C1108" s="2741"/>
      <c r="D1108" s="2741"/>
      <c r="E1108" s="2741"/>
      <c r="F1108" s="2741"/>
      <c r="G1108" s="2741"/>
      <c r="H1108" s="2741"/>
      <c r="I1108" s="2741"/>
      <c r="J1108" s="2741"/>
      <c r="K1108" s="2741"/>
      <c r="L1108" s="2741"/>
      <c r="M1108" s="2741"/>
      <c r="N1108" s="2741"/>
      <c r="O1108" s="2741"/>
      <c r="P1108" s="2741"/>
      <c r="Q1108" s="2741"/>
      <c r="R1108" s="2741"/>
      <c r="S1108" s="2741"/>
      <c r="T1108" s="2741"/>
      <c r="U1108" s="2741"/>
      <c r="V1108" s="2741"/>
      <c r="W1108" s="2741"/>
      <c r="X1108" s="2741"/>
      <c r="Y1108" s="2741"/>
      <c r="Z1108" s="2741"/>
      <c r="AA1108" s="2741"/>
      <c r="AB1108" s="2741"/>
      <c r="AC1108" s="604" t="str">
        <f>IF(AC1107&gt;=91,"ST",IF(AC1107&gt;=76,"T",IF(AC1107&gt;=66,"S",IF(AC1107&gt;=51,"R","SR"))))</f>
        <v>S</v>
      </c>
      <c r="AD1108" s="604" t="str">
        <f>IF(AD1107&gt;=91,"ST",IF(AD1107&gt;=76,"T",IF(AD1107&gt;=66,"S",IF(AD1107&gt;=51,"R","SR"))))</f>
        <v>R</v>
      </c>
      <c r="AE1108" s="603"/>
      <c r="AF1108" s="861"/>
      <c r="AG1108" s="861"/>
      <c r="AH1108" s="861"/>
      <c r="AI1108" s="861"/>
      <c r="AJ1108" s="861"/>
      <c r="AK1108" s="861"/>
      <c r="AL1108" s="861"/>
      <c r="AM1108" s="861"/>
      <c r="AN1108" s="861"/>
      <c r="AO1108" s="861"/>
      <c r="AP1108" s="861"/>
      <c r="AQ1108" s="861"/>
      <c r="AR1108" s="861"/>
      <c r="AS1108" s="861"/>
      <c r="AT1108" s="861"/>
      <c r="AU1108" s="861"/>
      <c r="AV1108" s="861"/>
      <c r="AW1108" s="861"/>
      <c r="AX1108" s="861"/>
      <c r="AY1108" s="861"/>
      <c r="AZ1108" s="861"/>
      <c r="BA1108" s="861"/>
      <c r="BB1108" s="861"/>
      <c r="BC1108" s="862"/>
      <c r="BD1108" s="862"/>
      <c r="BE1108" s="862"/>
      <c r="BF1108" s="862"/>
      <c r="BG1108" s="862"/>
      <c r="BH1108" s="862"/>
      <c r="BI1108" s="862"/>
      <c r="BJ1108" s="862"/>
      <c r="BK1108" s="862"/>
      <c r="BL1108" s="862"/>
      <c r="BM1108" s="862"/>
      <c r="BN1108" s="862"/>
      <c r="BO1108" s="862"/>
      <c r="BP1108" s="862"/>
      <c r="BQ1108" s="862"/>
      <c r="BR1108" s="862"/>
    </row>
    <row r="1109" spans="1:70" ht="37.5" customHeight="1">
      <c r="A1109" s="863" t="s">
        <v>3017</v>
      </c>
      <c r="B1109" s="1618"/>
      <c r="C1109" s="863"/>
      <c r="D1109" s="863"/>
      <c r="E1109" s="863"/>
      <c r="F1109" s="863"/>
      <c r="G1109" s="863"/>
      <c r="H1109" s="863"/>
      <c r="I1109" s="2746" t="s">
        <v>125</v>
      </c>
      <c r="J1109" s="2747"/>
      <c r="K1109" s="1665"/>
      <c r="L1109" s="1672">
        <f>L1110+L1122+L1127+L1129</f>
        <v>5649211700</v>
      </c>
      <c r="M1109" s="1665"/>
      <c r="N1109" s="1286">
        <v>4324208861.6000004</v>
      </c>
      <c r="O1109" s="1665"/>
      <c r="P1109" s="1286">
        <f>SUM(P1110+P1122+P1131+P1134+P1142)</f>
        <v>1654414700</v>
      </c>
      <c r="Q1109" s="1665"/>
      <c r="R1109" s="1320">
        <f>SUM(R1110+R1122+R1129+R1131+R1134+R1142)</f>
        <v>158113572</v>
      </c>
      <c r="S1109" s="1618"/>
      <c r="T1109" s="1320">
        <f>T1110+T1122+T1131+T1134+T1142</f>
        <v>254403769</v>
      </c>
      <c r="U1109" s="1618"/>
      <c r="V1109" s="1320">
        <f>SUM(V1110+V1122+V1129+V1131+V1134+V1142)</f>
        <v>0</v>
      </c>
      <c r="W1109" s="1618"/>
      <c r="X1109" s="1618"/>
      <c r="Y1109" s="1665"/>
      <c r="Z1109" s="1320">
        <f>R1109+T1109</f>
        <v>412517341</v>
      </c>
      <c r="AA1109" s="1665"/>
      <c r="AB1109" s="1320">
        <f>AB1110+AB1122+AB1127+AB1129</f>
        <v>4737522202.6000004</v>
      </c>
      <c r="AC1109" s="1665"/>
      <c r="AD1109" s="1665"/>
      <c r="AE1109" s="1631"/>
      <c r="AF1109" s="200"/>
      <c r="AG1109" s="200"/>
      <c r="AH1109" s="200"/>
      <c r="AI1109" s="200"/>
      <c r="AJ1109" s="200"/>
      <c r="AK1109" s="200"/>
      <c r="AL1109" s="200"/>
      <c r="AM1109" s="200"/>
      <c r="AN1109" s="200"/>
      <c r="AO1109" s="200"/>
      <c r="AP1109" s="200"/>
      <c r="AQ1109" s="200"/>
      <c r="AR1109" s="200"/>
      <c r="AS1109" s="200"/>
      <c r="AT1109" s="200"/>
      <c r="AU1109" s="200"/>
      <c r="AV1109" s="200"/>
      <c r="AW1109" s="200"/>
      <c r="AX1109" s="200"/>
      <c r="AY1109" s="200"/>
      <c r="AZ1109" s="200"/>
      <c r="BA1109" s="200"/>
      <c r="BB1109" s="200"/>
      <c r="BC1109" s="970"/>
      <c r="BD1109" s="970"/>
      <c r="BE1109" s="970"/>
      <c r="BF1109" s="970"/>
      <c r="BG1109" s="970"/>
      <c r="BH1109" s="970"/>
      <c r="BI1109" s="970"/>
      <c r="BJ1109" s="970"/>
      <c r="BK1109" s="970"/>
      <c r="BL1109" s="970"/>
      <c r="BM1109" s="970"/>
      <c r="BN1109" s="970"/>
      <c r="BO1109" s="970"/>
      <c r="BP1109" s="970"/>
      <c r="BQ1109" s="970"/>
    </row>
    <row r="1110" spans="1:70" s="22" customFormat="1" ht="82.5">
      <c r="A1110" s="2558">
        <v>1</v>
      </c>
      <c r="B1110" s="159"/>
      <c r="C1110" s="303" t="s">
        <v>56</v>
      </c>
      <c r="D1110" s="989">
        <v>1</v>
      </c>
      <c r="E1110" s="303" t="s">
        <v>28</v>
      </c>
      <c r="F1110" s="989">
        <v>11</v>
      </c>
      <c r="G1110" s="989">
        <v>1</v>
      </c>
      <c r="H1110" s="989"/>
      <c r="I1110" s="33" t="s">
        <v>1332</v>
      </c>
      <c r="J1110" s="33" t="s">
        <v>1333</v>
      </c>
      <c r="K1110" s="146">
        <v>72</v>
      </c>
      <c r="L1110" s="230">
        <f>SUM(L1111:L1121)</f>
        <v>3796674000</v>
      </c>
      <c r="M1110" s="545">
        <v>36</v>
      </c>
      <c r="N1110" s="222">
        <v>2130570561</v>
      </c>
      <c r="O1110" s="545">
        <v>12</v>
      </c>
      <c r="P1110" s="230">
        <f>SUM(P1111:P1121)</f>
        <v>645231000</v>
      </c>
      <c r="Q1110" s="545">
        <v>3</v>
      </c>
      <c r="R1110" s="159">
        <f>SUM(R1111:R1121)</f>
        <v>99403022</v>
      </c>
      <c r="S1110" s="33"/>
      <c r="T1110" s="231">
        <f>SUM(T1111:T1121)</f>
        <v>114515518</v>
      </c>
      <c r="U1110" s="33"/>
      <c r="V1110" s="231">
        <f>SUM(V1111:V1121)</f>
        <v>0</v>
      </c>
      <c r="W1110" s="33"/>
      <c r="X1110" s="144">
        <f>SUM(X1111:X1126)</f>
        <v>0</v>
      </c>
      <c r="Y1110" s="545">
        <f t="shared" ref="Y1110:Y1121" si="316">Q1110+S1110+U1110+W1110</f>
        <v>3</v>
      </c>
      <c r="Z1110" s="223">
        <f t="shared" ref="Z1110:Z1121" si="317">R1110+T1110+V1110+X1110</f>
        <v>213918540</v>
      </c>
      <c r="AA1110" s="545">
        <f t="shared" ref="AA1110:AA1130" si="318">M1110+Y1110</f>
        <v>39</v>
      </c>
      <c r="AB1110" s="223">
        <f t="shared" ref="AB1110:AB1130" si="319">N1110+Z1110</f>
        <v>2344489101</v>
      </c>
      <c r="AC1110" s="148">
        <f t="shared" ref="AC1110:AC1142" si="320">AA1110/K1110*100</f>
        <v>54.166666666666664</v>
      </c>
      <c r="AD1110" s="292">
        <f t="shared" ref="AD1110:AD1142" si="321">AB1110/L1110*100</f>
        <v>61.751130094393147</v>
      </c>
      <c r="AE1110" s="369" t="s">
        <v>126</v>
      </c>
      <c r="AF1110" s="1118"/>
      <c r="AG1110" s="750"/>
      <c r="AH1110" s="750"/>
      <c r="AI1110" s="750"/>
      <c r="AJ1110" s="750"/>
      <c r="AK1110" s="750"/>
      <c r="AL1110" s="750"/>
      <c r="AM1110" s="750"/>
      <c r="AN1110" s="750"/>
      <c r="AO1110" s="750"/>
      <c r="AP1110" s="750"/>
      <c r="AQ1110" s="750"/>
      <c r="AR1110" s="750"/>
      <c r="AS1110" s="750"/>
      <c r="AT1110" s="750"/>
      <c r="AU1110" s="750"/>
      <c r="AV1110" s="750"/>
      <c r="AW1110" s="750"/>
      <c r="AX1110" s="750"/>
      <c r="AY1110" s="750"/>
      <c r="AZ1110" s="750"/>
      <c r="BA1110" s="750"/>
      <c r="BB1110" s="750"/>
      <c r="BC1110" s="752"/>
      <c r="BD1110" s="752"/>
      <c r="BE1110" s="752"/>
      <c r="BF1110" s="752"/>
      <c r="BG1110" s="752"/>
      <c r="BH1110" s="752"/>
      <c r="BI1110" s="752"/>
      <c r="BJ1110" s="752"/>
      <c r="BK1110" s="752"/>
      <c r="BL1110" s="752"/>
      <c r="BM1110" s="752"/>
      <c r="BN1110" s="752"/>
      <c r="BO1110" s="752"/>
      <c r="BP1110" s="752"/>
      <c r="BQ1110" s="752"/>
      <c r="BR1110" s="752"/>
    </row>
    <row r="1111" spans="1:70" ht="33">
      <c r="A1111" s="130"/>
      <c r="B1111" s="202"/>
      <c r="C1111" s="605" t="s">
        <v>56</v>
      </c>
      <c r="D1111" s="89">
        <v>1</v>
      </c>
      <c r="E1111" s="605" t="s">
        <v>28</v>
      </c>
      <c r="F1111" s="89">
        <v>11</v>
      </c>
      <c r="G1111" s="89">
        <v>1</v>
      </c>
      <c r="H1111" s="605" t="s">
        <v>28</v>
      </c>
      <c r="I1111" s="88" t="s">
        <v>1334</v>
      </c>
      <c r="J1111" s="88" t="s">
        <v>1335</v>
      </c>
      <c r="K1111" s="115">
        <f t="shared" ref="K1111:K1120" si="322">12*6</f>
        <v>72</v>
      </c>
      <c r="L1111" s="14">
        <v>402100000</v>
      </c>
      <c r="M1111" s="100">
        <v>36</v>
      </c>
      <c r="N1111" s="203">
        <v>165615462</v>
      </c>
      <c r="O1111" s="100">
        <v>12</v>
      </c>
      <c r="P1111" s="204">
        <v>76800000</v>
      </c>
      <c r="Q1111" s="100">
        <v>3</v>
      </c>
      <c r="R1111" s="99">
        <v>16065872</v>
      </c>
      <c r="S1111" s="88">
        <v>3</v>
      </c>
      <c r="T1111" s="205">
        <v>12313218</v>
      </c>
      <c r="U1111" s="88"/>
      <c r="V1111" s="99"/>
      <c r="W1111" s="88"/>
      <c r="X1111" s="99"/>
      <c r="Y1111" s="100">
        <f t="shared" si="316"/>
        <v>6</v>
      </c>
      <c r="Z1111" s="206">
        <f t="shared" si="317"/>
        <v>28379090</v>
      </c>
      <c r="AA1111" s="100">
        <f t="shared" si="318"/>
        <v>42</v>
      </c>
      <c r="AB1111" s="206">
        <f t="shared" si="319"/>
        <v>193994552</v>
      </c>
      <c r="AC1111" s="117">
        <f t="shared" si="320"/>
        <v>58.333333333333336</v>
      </c>
      <c r="AD1111" s="1196">
        <f t="shared" si="321"/>
        <v>48.245349912956975</v>
      </c>
      <c r="AE1111" s="607"/>
      <c r="AF1111" s="201"/>
      <c r="AG1111" s="201"/>
      <c r="AH1111" s="201"/>
      <c r="AI1111" s="201"/>
      <c r="AJ1111" s="201"/>
      <c r="AK1111" s="201"/>
      <c r="AL1111" s="201"/>
      <c r="AM1111" s="201"/>
      <c r="AN1111" s="201"/>
      <c r="AO1111" s="201"/>
      <c r="AP1111" s="201"/>
      <c r="AQ1111" s="201"/>
      <c r="AR1111" s="201"/>
      <c r="AS1111" s="201"/>
      <c r="AT1111" s="201"/>
      <c r="AU1111" s="201"/>
      <c r="AV1111" s="201"/>
      <c r="AW1111" s="201"/>
      <c r="AX1111" s="201"/>
      <c r="AY1111" s="201"/>
      <c r="AZ1111" s="201"/>
      <c r="BA1111" s="201"/>
      <c r="BB1111" s="201"/>
      <c r="BC1111" s="20"/>
      <c r="BD1111" s="20"/>
      <c r="BE1111" s="20"/>
      <c r="BF1111" s="20"/>
      <c r="BG1111" s="20"/>
      <c r="BH1111" s="20"/>
      <c r="BI1111" s="20"/>
      <c r="BJ1111" s="20"/>
      <c r="BK1111" s="20"/>
      <c r="BL1111" s="20"/>
      <c r="BM1111" s="20"/>
      <c r="BN1111" s="20"/>
      <c r="BO1111" s="20"/>
      <c r="BP1111" s="20"/>
      <c r="BQ1111" s="20"/>
    </row>
    <row r="1112" spans="1:70" ht="49.5">
      <c r="A1112" s="130"/>
      <c r="B1112" s="202"/>
      <c r="C1112" s="605" t="s">
        <v>56</v>
      </c>
      <c r="D1112" s="89">
        <v>1</v>
      </c>
      <c r="E1112" s="605" t="s">
        <v>28</v>
      </c>
      <c r="F1112" s="89">
        <v>11</v>
      </c>
      <c r="G1112" s="89">
        <v>2</v>
      </c>
      <c r="H1112" s="605" t="s">
        <v>29</v>
      </c>
      <c r="I1112" s="88" t="s">
        <v>1336</v>
      </c>
      <c r="J1112" s="88" t="s">
        <v>1337</v>
      </c>
      <c r="K1112" s="115">
        <f t="shared" si="322"/>
        <v>72</v>
      </c>
      <c r="L1112" s="14">
        <v>630000000</v>
      </c>
      <c r="M1112" s="100">
        <v>36</v>
      </c>
      <c r="N1112" s="203">
        <v>298742000</v>
      </c>
      <c r="O1112" s="100">
        <v>12</v>
      </c>
      <c r="P1112" s="204">
        <v>107400000</v>
      </c>
      <c r="Q1112" s="100">
        <v>3</v>
      </c>
      <c r="R1112" s="99">
        <v>18600000</v>
      </c>
      <c r="S1112" s="88">
        <v>3</v>
      </c>
      <c r="T1112" s="205">
        <v>27900000</v>
      </c>
      <c r="U1112" s="88"/>
      <c r="V1112" s="99"/>
      <c r="W1112" s="88"/>
      <c r="X1112" s="99"/>
      <c r="Y1112" s="100">
        <f t="shared" si="316"/>
        <v>6</v>
      </c>
      <c r="Z1112" s="206">
        <f t="shared" si="317"/>
        <v>46500000</v>
      </c>
      <c r="AA1112" s="100">
        <f t="shared" si="318"/>
        <v>42</v>
      </c>
      <c r="AB1112" s="206">
        <f t="shared" si="319"/>
        <v>345242000</v>
      </c>
      <c r="AC1112" s="117">
        <f t="shared" si="320"/>
        <v>58.333333333333336</v>
      </c>
      <c r="AD1112" s="1196">
        <f t="shared" si="321"/>
        <v>54.800317460317459</v>
      </c>
      <c r="AE1112" s="607"/>
      <c r="AF1112" s="201"/>
      <c r="AG1112" s="201"/>
      <c r="AH1112" s="201"/>
      <c r="AI1112" s="201"/>
      <c r="AJ1112" s="201"/>
      <c r="AK1112" s="201"/>
      <c r="AL1112" s="201"/>
      <c r="AM1112" s="201"/>
      <c r="AN1112" s="201"/>
      <c r="AO1112" s="201"/>
      <c r="AP1112" s="201"/>
      <c r="AQ1112" s="201"/>
      <c r="AR1112" s="201"/>
      <c r="AS1112" s="201"/>
      <c r="AT1112" s="201"/>
      <c r="AU1112" s="201"/>
      <c r="AV1112" s="201"/>
      <c r="AW1112" s="201"/>
      <c r="AX1112" s="201"/>
      <c r="AY1112" s="201"/>
      <c r="AZ1112" s="201"/>
      <c r="BA1112" s="201"/>
      <c r="BB1112" s="201"/>
      <c r="BC1112" s="20"/>
      <c r="BD1112" s="20"/>
      <c r="BE1112" s="20"/>
      <c r="BF1112" s="20"/>
      <c r="BG1112" s="20"/>
      <c r="BH1112" s="20"/>
      <c r="BI1112" s="20"/>
      <c r="BJ1112" s="20"/>
      <c r="BK1112" s="20"/>
      <c r="BL1112" s="20"/>
      <c r="BM1112" s="20"/>
      <c r="BN1112" s="20"/>
      <c r="BO1112" s="20"/>
      <c r="BP1112" s="20"/>
      <c r="BQ1112" s="20"/>
    </row>
    <row r="1113" spans="1:70" ht="49.5">
      <c r="A1113" s="130"/>
      <c r="B1113" s="88"/>
      <c r="C1113" s="605" t="s">
        <v>56</v>
      </c>
      <c r="D1113" s="89">
        <v>1</v>
      </c>
      <c r="E1113" s="605" t="s">
        <v>28</v>
      </c>
      <c r="F1113" s="89">
        <v>11</v>
      </c>
      <c r="G1113" s="89">
        <v>2</v>
      </c>
      <c r="H1113" s="605" t="s">
        <v>30</v>
      </c>
      <c r="I1113" s="88" t="s">
        <v>616</v>
      </c>
      <c r="J1113" s="88" t="s">
        <v>1338</v>
      </c>
      <c r="K1113" s="115">
        <f t="shared" si="322"/>
        <v>72</v>
      </c>
      <c r="L1113" s="14">
        <f>2*N1113</f>
        <v>693685000</v>
      </c>
      <c r="M1113" s="100">
        <v>36</v>
      </c>
      <c r="N1113" s="203">
        <v>346842500</v>
      </c>
      <c r="O1113" s="100">
        <v>12</v>
      </c>
      <c r="P1113" s="204">
        <v>162243000</v>
      </c>
      <c r="Q1113" s="100">
        <v>3</v>
      </c>
      <c r="R1113" s="99">
        <v>21098000</v>
      </c>
      <c r="S1113" s="88">
        <v>3</v>
      </c>
      <c r="T1113" s="205">
        <v>32400000</v>
      </c>
      <c r="U1113" s="88"/>
      <c r="V1113" s="99"/>
      <c r="W1113" s="88"/>
      <c r="X1113" s="99"/>
      <c r="Y1113" s="100">
        <f t="shared" si="316"/>
        <v>6</v>
      </c>
      <c r="Z1113" s="206">
        <f t="shared" si="317"/>
        <v>53498000</v>
      </c>
      <c r="AA1113" s="100">
        <f t="shared" si="318"/>
        <v>42</v>
      </c>
      <c r="AB1113" s="206">
        <f t="shared" si="319"/>
        <v>400340500</v>
      </c>
      <c r="AC1113" s="117">
        <f t="shared" si="320"/>
        <v>58.333333333333336</v>
      </c>
      <c r="AD1113" s="1196">
        <f t="shared" si="321"/>
        <v>57.712146002868735</v>
      </c>
      <c r="AE1113" s="607"/>
      <c r="AF1113" s="201"/>
      <c r="AG1113" s="201"/>
      <c r="AH1113" s="201"/>
      <c r="AI1113" s="201"/>
      <c r="AJ1113" s="201"/>
      <c r="AK1113" s="201"/>
      <c r="AL1113" s="201"/>
      <c r="AM1113" s="201"/>
      <c r="AN1113" s="201"/>
      <c r="AO1113" s="201"/>
      <c r="AP1113" s="201"/>
      <c r="AQ1113" s="201"/>
      <c r="AR1113" s="201"/>
      <c r="AS1113" s="201"/>
      <c r="AT1113" s="201"/>
      <c r="AU1113" s="201"/>
      <c r="AV1113" s="201"/>
      <c r="AW1113" s="201"/>
      <c r="AX1113" s="201"/>
      <c r="AY1113" s="201"/>
      <c r="AZ1113" s="201"/>
      <c r="BA1113" s="201"/>
      <c r="BB1113" s="201"/>
      <c r="BC1113" s="20"/>
      <c r="BD1113" s="20"/>
      <c r="BE1113" s="20"/>
      <c r="BF1113" s="20"/>
      <c r="BG1113" s="20"/>
      <c r="BH1113" s="20"/>
      <c r="BI1113" s="20"/>
      <c r="BJ1113" s="20"/>
      <c r="BK1113" s="20"/>
      <c r="BL1113" s="20"/>
      <c r="BM1113" s="20"/>
      <c r="BN1113" s="20"/>
      <c r="BO1113" s="20"/>
      <c r="BP1113" s="20"/>
      <c r="BQ1113" s="20"/>
    </row>
    <row r="1114" spans="1:70" ht="33">
      <c r="A1114" s="130"/>
      <c r="B1114" s="88"/>
      <c r="C1114" s="605" t="s">
        <v>56</v>
      </c>
      <c r="D1114" s="89">
        <v>1</v>
      </c>
      <c r="E1114" s="605" t="s">
        <v>28</v>
      </c>
      <c r="F1114" s="89">
        <v>11</v>
      </c>
      <c r="G1114" s="89">
        <v>2</v>
      </c>
      <c r="H1114" s="89">
        <v>10</v>
      </c>
      <c r="I1114" s="88" t="s">
        <v>32</v>
      </c>
      <c r="J1114" s="88" t="s">
        <v>1339</v>
      </c>
      <c r="K1114" s="115">
        <f t="shared" si="322"/>
        <v>72</v>
      </c>
      <c r="L1114" s="203">
        <v>207102300</v>
      </c>
      <c r="M1114" s="100">
        <v>33</v>
      </c>
      <c r="N1114" s="203">
        <v>106999165</v>
      </c>
      <c r="O1114" s="100">
        <v>12</v>
      </c>
      <c r="P1114" s="207">
        <v>78064000</v>
      </c>
      <c r="Q1114" s="100">
        <v>3</v>
      </c>
      <c r="R1114" s="99">
        <v>9089500</v>
      </c>
      <c r="S1114" s="88">
        <v>3</v>
      </c>
      <c r="T1114" s="205">
        <v>7619000</v>
      </c>
      <c r="U1114" s="88"/>
      <c r="V1114" s="99"/>
      <c r="W1114" s="88"/>
      <c r="X1114" s="99"/>
      <c r="Y1114" s="100">
        <f t="shared" si="316"/>
        <v>6</v>
      </c>
      <c r="Z1114" s="206">
        <f t="shared" si="317"/>
        <v>16708500</v>
      </c>
      <c r="AA1114" s="100">
        <f t="shared" si="318"/>
        <v>39</v>
      </c>
      <c r="AB1114" s="206">
        <f t="shared" si="319"/>
        <v>123707665</v>
      </c>
      <c r="AC1114" s="117">
        <f t="shared" si="320"/>
        <v>54.166666666666664</v>
      </c>
      <c r="AD1114" s="1196">
        <f t="shared" si="321"/>
        <v>59.732636962505971</v>
      </c>
      <c r="AE1114" s="607"/>
      <c r="AF1114" s="201"/>
      <c r="AG1114" s="201"/>
      <c r="AH1114" s="201"/>
      <c r="AI1114" s="201"/>
      <c r="AJ1114" s="201"/>
      <c r="AK1114" s="201"/>
      <c r="AL1114" s="201"/>
      <c r="AM1114" s="201"/>
      <c r="AN1114" s="201"/>
      <c r="AO1114" s="201"/>
      <c r="AP1114" s="201"/>
      <c r="AQ1114" s="201"/>
      <c r="AR1114" s="201"/>
      <c r="AS1114" s="201"/>
      <c r="AT1114" s="201"/>
      <c r="AU1114" s="201"/>
      <c r="AV1114" s="201"/>
      <c r="AW1114" s="201"/>
      <c r="AX1114" s="201"/>
      <c r="AY1114" s="201"/>
      <c r="AZ1114" s="201"/>
      <c r="BA1114" s="201"/>
      <c r="BB1114" s="201"/>
      <c r="BC1114" s="20"/>
      <c r="BD1114" s="20"/>
      <c r="BE1114" s="20"/>
      <c r="BF1114" s="20"/>
      <c r="BG1114" s="20"/>
      <c r="BH1114" s="20"/>
      <c r="BI1114" s="20"/>
      <c r="BJ1114" s="20"/>
      <c r="BK1114" s="20"/>
      <c r="BL1114" s="20"/>
      <c r="BM1114" s="20"/>
      <c r="BN1114" s="20"/>
      <c r="BO1114" s="20"/>
      <c r="BP1114" s="20"/>
      <c r="BQ1114" s="20"/>
    </row>
    <row r="1115" spans="1:70" ht="82.5">
      <c r="A1115" s="130"/>
      <c r="B1115" s="88"/>
      <c r="C1115" s="605" t="s">
        <v>56</v>
      </c>
      <c r="D1115" s="89">
        <v>1</v>
      </c>
      <c r="E1115" s="605" t="s">
        <v>28</v>
      </c>
      <c r="F1115" s="89">
        <v>11</v>
      </c>
      <c r="G1115" s="89">
        <v>2</v>
      </c>
      <c r="H1115" s="89">
        <v>11</v>
      </c>
      <c r="I1115" s="88" t="s">
        <v>617</v>
      </c>
      <c r="J1115" s="88" t="s">
        <v>1340</v>
      </c>
      <c r="K1115" s="115">
        <f t="shared" si="322"/>
        <v>72</v>
      </c>
      <c r="L1115" s="203">
        <v>198786700</v>
      </c>
      <c r="M1115" s="100">
        <v>36</v>
      </c>
      <c r="N1115" s="203">
        <v>99094800</v>
      </c>
      <c r="O1115" s="100">
        <v>12</v>
      </c>
      <c r="P1115" s="207">
        <v>24046000</v>
      </c>
      <c r="Q1115" s="100">
        <v>3</v>
      </c>
      <c r="R1115" s="99">
        <v>3735000</v>
      </c>
      <c r="S1115" s="88">
        <v>3</v>
      </c>
      <c r="T1115" s="205">
        <v>2399900</v>
      </c>
      <c r="U1115" s="88"/>
      <c r="V1115" s="99"/>
      <c r="W1115" s="88"/>
      <c r="X1115" s="99"/>
      <c r="Y1115" s="100">
        <f t="shared" si="316"/>
        <v>6</v>
      </c>
      <c r="Z1115" s="206">
        <f t="shared" si="317"/>
        <v>6134900</v>
      </c>
      <c r="AA1115" s="100">
        <f t="shared" si="318"/>
        <v>42</v>
      </c>
      <c r="AB1115" s="206">
        <f t="shared" si="319"/>
        <v>105229700</v>
      </c>
      <c r="AC1115" s="117">
        <f t="shared" si="320"/>
        <v>58.333333333333336</v>
      </c>
      <c r="AD1115" s="1196">
        <f t="shared" si="321"/>
        <v>52.935986160039882</v>
      </c>
      <c r="AE1115" s="607"/>
      <c r="AF1115" s="201"/>
      <c r="AG1115" s="201"/>
      <c r="AH1115" s="201"/>
      <c r="AI1115" s="201"/>
      <c r="AJ1115" s="201"/>
      <c r="AK1115" s="201"/>
      <c r="AL1115" s="201"/>
      <c r="AM1115" s="201"/>
      <c r="AN1115" s="201"/>
      <c r="AO1115" s="201"/>
      <c r="AP1115" s="201"/>
      <c r="AQ1115" s="201"/>
      <c r="AR1115" s="201"/>
      <c r="AS1115" s="201"/>
      <c r="AT1115" s="201"/>
      <c r="AU1115" s="201"/>
      <c r="AV1115" s="201"/>
      <c r="AW1115" s="201"/>
      <c r="AX1115" s="201"/>
      <c r="AY1115" s="201"/>
      <c r="AZ1115" s="201"/>
      <c r="BA1115" s="201"/>
      <c r="BB1115" s="201"/>
      <c r="BC1115" s="20"/>
      <c r="BD1115" s="20"/>
      <c r="BE1115" s="20"/>
      <c r="BF1115" s="20"/>
      <c r="BG1115" s="20"/>
      <c r="BH1115" s="20"/>
      <c r="BI1115" s="20"/>
      <c r="BJ1115" s="20"/>
      <c r="BK1115" s="20"/>
      <c r="BL1115" s="20"/>
      <c r="BM1115" s="20"/>
      <c r="BN1115" s="20"/>
      <c r="BO1115" s="20"/>
      <c r="BP1115" s="20"/>
      <c r="BQ1115" s="20"/>
    </row>
    <row r="1116" spans="1:70" ht="82.5">
      <c r="A1116" s="130"/>
      <c r="B1116" s="88"/>
      <c r="C1116" s="605" t="s">
        <v>56</v>
      </c>
      <c r="D1116" s="89">
        <v>1</v>
      </c>
      <c r="E1116" s="605" t="s">
        <v>28</v>
      </c>
      <c r="F1116" s="89">
        <v>11</v>
      </c>
      <c r="G1116" s="89">
        <v>2</v>
      </c>
      <c r="H1116" s="89">
        <v>11</v>
      </c>
      <c r="I1116" s="88" t="s">
        <v>1341</v>
      </c>
      <c r="J1116" s="88" t="s">
        <v>1342</v>
      </c>
      <c r="K1116" s="115">
        <f t="shared" si="322"/>
        <v>72</v>
      </c>
      <c r="L1116" s="203">
        <v>75000000</v>
      </c>
      <c r="M1116" s="100">
        <v>36</v>
      </c>
      <c r="N1116" s="203">
        <v>60395000</v>
      </c>
      <c r="O1116" s="100">
        <v>12</v>
      </c>
      <c r="P1116" s="207">
        <v>6847000</v>
      </c>
      <c r="Q1116" s="100">
        <v>3</v>
      </c>
      <c r="R1116" s="99">
        <v>1218000</v>
      </c>
      <c r="S1116" s="88">
        <v>3</v>
      </c>
      <c r="T1116" s="205">
        <v>1060000</v>
      </c>
      <c r="U1116" s="88"/>
      <c r="V1116" s="99"/>
      <c r="W1116" s="88"/>
      <c r="X1116" s="99"/>
      <c r="Y1116" s="100">
        <f t="shared" si="316"/>
        <v>6</v>
      </c>
      <c r="Z1116" s="206">
        <f t="shared" si="317"/>
        <v>2278000</v>
      </c>
      <c r="AA1116" s="100">
        <f t="shared" si="318"/>
        <v>42</v>
      </c>
      <c r="AB1116" s="206">
        <f t="shared" si="319"/>
        <v>62673000</v>
      </c>
      <c r="AC1116" s="117">
        <f t="shared" si="320"/>
        <v>58.333333333333336</v>
      </c>
      <c r="AD1116" s="1196">
        <f t="shared" si="321"/>
        <v>83.564000000000007</v>
      </c>
      <c r="AE1116" s="607"/>
      <c r="AF1116" s="201"/>
      <c r="AG1116" s="201"/>
      <c r="AH1116" s="201"/>
      <c r="AI1116" s="201"/>
      <c r="AJ1116" s="201"/>
      <c r="AK1116" s="201"/>
      <c r="AL1116" s="201"/>
      <c r="AM1116" s="201"/>
      <c r="AN1116" s="201"/>
      <c r="AO1116" s="201"/>
      <c r="AP1116" s="201"/>
      <c r="AQ1116" s="201"/>
      <c r="AR1116" s="201"/>
      <c r="AS1116" s="201"/>
      <c r="AT1116" s="201"/>
      <c r="AU1116" s="201"/>
      <c r="AV1116" s="201"/>
      <c r="AW1116" s="201"/>
      <c r="AX1116" s="201"/>
      <c r="AY1116" s="201"/>
      <c r="AZ1116" s="201"/>
      <c r="BA1116" s="201"/>
      <c r="BB1116" s="201"/>
      <c r="BC1116" s="20"/>
      <c r="BD1116" s="20"/>
      <c r="BE1116" s="20"/>
      <c r="BF1116" s="20"/>
      <c r="BG1116" s="20"/>
      <c r="BH1116" s="20"/>
      <c r="BI1116" s="20"/>
      <c r="BJ1116" s="20"/>
      <c r="BK1116" s="20"/>
      <c r="BL1116" s="20"/>
      <c r="BM1116" s="20"/>
      <c r="BN1116" s="20"/>
      <c r="BO1116" s="20"/>
      <c r="BP1116" s="20"/>
      <c r="BQ1116" s="20"/>
    </row>
    <row r="1117" spans="1:70" ht="49.5">
      <c r="A1117" s="130"/>
      <c r="B1117" s="88"/>
      <c r="C1117" s="605" t="s">
        <v>56</v>
      </c>
      <c r="D1117" s="89">
        <v>1</v>
      </c>
      <c r="E1117" s="605" t="s">
        <v>28</v>
      </c>
      <c r="F1117" s="89">
        <v>11</v>
      </c>
      <c r="G1117" s="89">
        <v>2</v>
      </c>
      <c r="H1117" s="89">
        <v>15</v>
      </c>
      <c r="I1117" s="88" t="s">
        <v>619</v>
      </c>
      <c r="J1117" s="88" t="s">
        <v>1343</v>
      </c>
      <c r="K1117" s="115">
        <f t="shared" si="322"/>
        <v>72</v>
      </c>
      <c r="L1117" s="203">
        <v>60000000</v>
      </c>
      <c r="M1117" s="100">
        <v>36</v>
      </c>
      <c r="N1117" s="203">
        <v>24380000</v>
      </c>
      <c r="O1117" s="100">
        <v>12</v>
      </c>
      <c r="P1117" s="207">
        <v>11760000</v>
      </c>
      <c r="Q1117" s="100">
        <v>3</v>
      </c>
      <c r="R1117" s="99">
        <v>1080000</v>
      </c>
      <c r="S1117" s="88">
        <v>3</v>
      </c>
      <c r="T1117" s="205">
        <v>1080000</v>
      </c>
      <c r="U1117" s="88"/>
      <c r="V1117" s="99"/>
      <c r="W1117" s="88"/>
      <c r="X1117" s="99"/>
      <c r="Y1117" s="100">
        <f t="shared" si="316"/>
        <v>6</v>
      </c>
      <c r="Z1117" s="206">
        <f t="shared" si="317"/>
        <v>2160000</v>
      </c>
      <c r="AA1117" s="100">
        <f t="shared" si="318"/>
        <v>42</v>
      </c>
      <c r="AB1117" s="206">
        <f t="shared" si="319"/>
        <v>26540000</v>
      </c>
      <c r="AC1117" s="117">
        <f t="shared" si="320"/>
        <v>58.333333333333336</v>
      </c>
      <c r="AD1117" s="1196">
        <f t="shared" si="321"/>
        <v>44.233333333333334</v>
      </c>
      <c r="AE1117" s="607"/>
      <c r="AF1117" s="201"/>
      <c r="AG1117" s="201"/>
      <c r="AH1117" s="201"/>
      <c r="AI1117" s="201"/>
      <c r="AJ1117" s="201"/>
      <c r="AK1117" s="201"/>
      <c r="AL1117" s="201"/>
      <c r="AM1117" s="201"/>
      <c r="AN1117" s="201"/>
      <c r="AO1117" s="201"/>
      <c r="AP1117" s="201"/>
      <c r="AQ1117" s="201"/>
      <c r="AR1117" s="201"/>
      <c r="AS1117" s="201"/>
      <c r="AT1117" s="201"/>
      <c r="AU1117" s="201"/>
      <c r="AV1117" s="201"/>
      <c r="AW1117" s="201"/>
      <c r="AX1117" s="201"/>
      <c r="AY1117" s="201"/>
      <c r="AZ1117" s="201"/>
      <c r="BA1117" s="201"/>
      <c r="BB1117" s="201"/>
      <c r="BC1117" s="20"/>
      <c r="BD1117" s="20"/>
      <c r="BE1117" s="20"/>
      <c r="BF1117" s="20"/>
      <c r="BG1117" s="20"/>
      <c r="BH1117" s="20"/>
      <c r="BI1117" s="20"/>
      <c r="BJ1117" s="20"/>
      <c r="BK1117" s="20"/>
      <c r="BL1117" s="20"/>
      <c r="BM1117" s="20"/>
      <c r="BN1117" s="20"/>
      <c r="BO1117" s="20"/>
      <c r="BP1117" s="20"/>
      <c r="BQ1117" s="20"/>
    </row>
    <row r="1118" spans="1:70" ht="66">
      <c r="A1118" s="130"/>
      <c r="B1118" s="88"/>
      <c r="C1118" s="605" t="s">
        <v>56</v>
      </c>
      <c r="D1118" s="89">
        <v>1</v>
      </c>
      <c r="E1118" s="605" t="s">
        <v>28</v>
      </c>
      <c r="F1118" s="89">
        <v>11</v>
      </c>
      <c r="G1118" s="89">
        <v>2</v>
      </c>
      <c r="H1118" s="89">
        <v>17</v>
      </c>
      <c r="I1118" s="88" t="s">
        <v>620</v>
      </c>
      <c r="J1118" s="88" t="s">
        <v>1344</v>
      </c>
      <c r="K1118" s="115">
        <f t="shared" si="322"/>
        <v>72</v>
      </c>
      <c r="L1118" s="203">
        <v>230000000</v>
      </c>
      <c r="M1118" s="100">
        <v>36</v>
      </c>
      <c r="N1118" s="203">
        <v>124076700</v>
      </c>
      <c r="O1118" s="100">
        <v>12</v>
      </c>
      <c r="P1118" s="207">
        <v>31900000</v>
      </c>
      <c r="Q1118" s="100">
        <v>3</v>
      </c>
      <c r="R1118" s="99">
        <v>4184950</v>
      </c>
      <c r="S1118" s="88">
        <v>3</v>
      </c>
      <c r="T1118" s="205">
        <v>6807900</v>
      </c>
      <c r="U1118" s="88"/>
      <c r="V1118" s="99"/>
      <c r="W1118" s="88"/>
      <c r="X1118" s="99"/>
      <c r="Y1118" s="100">
        <f t="shared" si="316"/>
        <v>6</v>
      </c>
      <c r="Z1118" s="206">
        <f t="shared" si="317"/>
        <v>10992850</v>
      </c>
      <c r="AA1118" s="100">
        <f t="shared" si="318"/>
        <v>42</v>
      </c>
      <c r="AB1118" s="206">
        <f t="shared" si="319"/>
        <v>135069550</v>
      </c>
      <c r="AC1118" s="117">
        <f t="shared" si="320"/>
        <v>58.333333333333336</v>
      </c>
      <c r="AD1118" s="1196">
        <f t="shared" si="321"/>
        <v>58.725891304347819</v>
      </c>
      <c r="AE1118" s="607"/>
      <c r="AF1118" s="201"/>
      <c r="AG1118" s="201"/>
      <c r="AH1118" s="201"/>
      <c r="AI1118" s="201"/>
      <c r="AJ1118" s="201"/>
      <c r="AK1118" s="201"/>
      <c r="AL1118" s="201"/>
      <c r="AM1118" s="201"/>
      <c r="AN1118" s="201"/>
      <c r="AO1118" s="201"/>
      <c r="AP1118" s="201"/>
      <c r="AQ1118" s="201"/>
      <c r="AR1118" s="201"/>
      <c r="AS1118" s="201"/>
      <c r="AT1118" s="201"/>
      <c r="AU1118" s="201"/>
      <c r="AV1118" s="201"/>
      <c r="AW1118" s="201"/>
      <c r="AX1118" s="201"/>
      <c r="AY1118" s="201"/>
      <c r="AZ1118" s="201"/>
      <c r="BA1118" s="201"/>
      <c r="BB1118" s="201"/>
      <c r="BC1118" s="20"/>
      <c r="BD1118" s="20"/>
      <c r="BE1118" s="20"/>
      <c r="BF1118" s="20"/>
      <c r="BG1118" s="20"/>
      <c r="BH1118" s="20"/>
      <c r="BI1118" s="20"/>
      <c r="BJ1118" s="20"/>
      <c r="BK1118" s="20"/>
      <c r="BL1118" s="20"/>
      <c r="BM1118" s="20"/>
      <c r="BN1118" s="20"/>
      <c r="BO1118" s="20"/>
      <c r="BP1118" s="20"/>
      <c r="BQ1118" s="20"/>
    </row>
    <row r="1119" spans="1:70" ht="82.5">
      <c r="A1119" s="130"/>
      <c r="B1119" s="88"/>
      <c r="C1119" s="605" t="s">
        <v>56</v>
      </c>
      <c r="D1119" s="89">
        <v>1</v>
      </c>
      <c r="E1119" s="605" t="s">
        <v>28</v>
      </c>
      <c r="F1119" s="89">
        <v>11</v>
      </c>
      <c r="G1119" s="89">
        <v>2</v>
      </c>
      <c r="H1119" s="89">
        <v>18</v>
      </c>
      <c r="I1119" s="88" t="s">
        <v>1345</v>
      </c>
      <c r="J1119" s="10" t="s">
        <v>1346</v>
      </c>
      <c r="K1119" s="115">
        <f t="shared" si="322"/>
        <v>72</v>
      </c>
      <c r="L1119" s="203">
        <v>750000000</v>
      </c>
      <c r="M1119" s="100">
        <v>36</v>
      </c>
      <c r="N1119" s="203">
        <v>398899115</v>
      </c>
      <c r="O1119" s="100">
        <v>12</v>
      </c>
      <c r="P1119" s="207">
        <v>43375000</v>
      </c>
      <c r="Q1119" s="100">
        <v>3</v>
      </c>
      <c r="R1119" s="99">
        <v>5625000</v>
      </c>
      <c r="S1119" s="88">
        <v>3</v>
      </c>
      <c r="T1119" s="208">
        <v>6300000</v>
      </c>
      <c r="U1119" s="88"/>
      <c r="V1119" s="99"/>
      <c r="W1119" s="88"/>
      <c r="X1119" s="99"/>
      <c r="Y1119" s="100">
        <f t="shared" si="316"/>
        <v>6</v>
      </c>
      <c r="Z1119" s="206">
        <f t="shared" si="317"/>
        <v>11925000</v>
      </c>
      <c r="AA1119" s="100">
        <f t="shared" si="318"/>
        <v>42</v>
      </c>
      <c r="AB1119" s="206">
        <f t="shared" si="319"/>
        <v>410824115</v>
      </c>
      <c r="AC1119" s="117">
        <f t="shared" si="320"/>
        <v>58.333333333333336</v>
      </c>
      <c r="AD1119" s="1196">
        <f t="shared" si="321"/>
        <v>54.77654866666667</v>
      </c>
      <c r="AE1119" s="607"/>
      <c r="AF1119" s="201"/>
      <c r="AG1119" s="201"/>
      <c r="AH1119" s="201"/>
      <c r="AI1119" s="201"/>
      <c r="AJ1119" s="201"/>
      <c r="AK1119" s="201"/>
      <c r="AL1119" s="201"/>
      <c r="AM1119" s="201"/>
      <c r="AN1119" s="201"/>
      <c r="AO1119" s="201"/>
      <c r="AP1119" s="201"/>
      <c r="AQ1119" s="201"/>
      <c r="AR1119" s="201"/>
      <c r="AS1119" s="201"/>
      <c r="AT1119" s="201"/>
      <c r="AU1119" s="201"/>
      <c r="AV1119" s="201"/>
      <c r="AW1119" s="201"/>
      <c r="AX1119" s="201"/>
      <c r="AY1119" s="201"/>
      <c r="AZ1119" s="201"/>
      <c r="BA1119" s="201"/>
      <c r="BB1119" s="201"/>
      <c r="BC1119" s="20"/>
      <c r="BD1119" s="20"/>
      <c r="BE1119" s="20"/>
      <c r="BF1119" s="20"/>
      <c r="BG1119" s="20"/>
      <c r="BH1119" s="20"/>
      <c r="BI1119" s="20"/>
      <c r="BJ1119" s="20"/>
      <c r="BK1119" s="20"/>
      <c r="BL1119" s="20"/>
      <c r="BM1119" s="20"/>
      <c r="BN1119" s="20"/>
      <c r="BO1119" s="20"/>
      <c r="BP1119" s="20"/>
      <c r="BQ1119" s="20"/>
    </row>
    <row r="1120" spans="1:70" ht="82.5">
      <c r="A1120" s="130"/>
      <c r="B1120" s="88"/>
      <c r="C1120" s="605" t="s">
        <v>56</v>
      </c>
      <c r="D1120" s="89">
        <v>1</v>
      </c>
      <c r="E1120" s="605" t="s">
        <v>28</v>
      </c>
      <c r="F1120" s="89">
        <v>11</v>
      </c>
      <c r="G1120" s="89">
        <v>2</v>
      </c>
      <c r="H1120" s="89">
        <v>20</v>
      </c>
      <c r="I1120" s="88" t="s">
        <v>576</v>
      </c>
      <c r="J1120" s="10" t="s">
        <v>1347</v>
      </c>
      <c r="K1120" s="115">
        <f t="shared" si="322"/>
        <v>72</v>
      </c>
      <c r="L1120" s="203">
        <v>400000000</v>
      </c>
      <c r="M1120" s="100">
        <v>33</v>
      </c>
      <c r="N1120" s="203">
        <v>275120000</v>
      </c>
      <c r="O1120" s="100">
        <v>12</v>
      </c>
      <c r="P1120" s="207">
        <v>73125000</v>
      </c>
      <c r="Q1120" s="100">
        <v>3</v>
      </c>
      <c r="R1120" s="99">
        <v>15990000</v>
      </c>
      <c r="S1120" s="88">
        <v>3</v>
      </c>
      <c r="T1120" s="205">
        <v>15125000</v>
      </c>
      <c r="U1120" s="88"/>
      <c r="V1120" s="99"/>
      <c r="W1120" s="88"/>
      <c r="X1120" s="99"/>
      <c r="Y1120" s="100">
        <f t="shared" si="316"/>
        <v>6</v>
      </c>
      <c r="Z1120" s="206">
        <f t="shared" si="317"/>
        <v>31115000</v>
      </c>
      <c r="AA1120" s="100">
        <f t="shared" si="318"/>
        <v>39</v>
      </c>
      <c r="AB1120" s="206">
        <f t="shared" si="319"/>
        <v>306235000</v>
      </c>
      <c r="AC1120" s="117">
        <f t="shared" si="320"/>
        <v>54.166666666666664</v>
      </c>
      <c r="AD1120" s="1196">
        <f t="shared" si="321"/>
        <v>76.558750000000003</v>
      </c>
      <c r="AE1120" s="607"/>
      <c r="AF1120" s="201"/>
      <c r="AG1120" s="201"/>
      <c r="AH1120" s="201"/>
      <c r="AI1120" s="201"/>
      <c r="AJ1120" s="201"/>
      <c r="AK1120" s="201"/>
      <c r="AL1120" s="201"/>
      <c r="AM1120" s="201"/>
      <c r="AN1120" s="201"/>
      <c r="AO1120" s="201"/>
      <c r="AP1120" s="201"/>
      <c r="AQ1120" s="201"/>
      <c r="AR1120" s="201"/>
      <c r="AS1120" s="201"/>
      <c r="AT1120" s="201"/>
      <c r="AU1120" s="201"/>
      <c r="AV1120" s="201"/>
      <c r="AW1120" s="201"/>
      <c r="AX1120" s="201"/>
      <c r="AY1120" s="201"/>
      <c r="AZ1120" s="201"/>
      <c r="BA1120" s="201"/>
      <c r="BB1120" s="201"/>
      <c r="BC1120" s="20"/>
      <c r="BD1120" s="20"/>
      <c r="BE1120" s="20"/>
      <c r="BF1120" s="20"/>
      <c r="BG1120" s="20"/>
      <c r="BH1120" s="20"/>
      <c r="BI1120" s="20"/>
      <c r="BJ1120" s="20"/>
      <c r="BK1120" s="20"/>
      <c r="BL1120" s="20"/>
      <c r="BM1120" s="20"/>
      <c r="BN1120" s="20"/>
      <c r="BO1120" s="20"/>
      <c r="BP1120" s="20"/>
      <c r="BQ1120" s="20"/>
    </row>
    <row r="1121" spans="1:70" ht="66">
      <c r="A1121" s="130"/>
      <c r="B1121" s="88"/>
      <c r="C1121" s="605" t="s">
        <v>56</v>
      </c>
      <c r="D1121" s="89">
        <v>1</v>
      </c>
      <c r="E1121" s="605" t="s">
        <v>28</v>
      </c>
      <c r="F1121" s="89">
        <v>11</v>
      </c>
      <c r="G1121" s="89">
        <v>2</v>
      </c>
      <c r="H1121" s="89">
        <v>22</v>
      </c>
      <c r="I1121" s="34" t="s">
        <v>1348</v>
      </c>
      <c r="J1121" s="88" t="s">
        <v>1349</v>
      </c>
      <c r="K1121" s="115">
        <v>60</v>
      </c>
      <c r="L1121" s="203">
        <v>150000000</v>
      </c>
      <c r="M1121" s="100">
        <v>33</v>
      </c>
      <c r="N1121" s="203">
        <v>32048925</v>
      </c>
      <c r="O1121" s="100">
        <v>12</v>
      </c>
      <c r="P1121" s="207">
        <v>29671000</v>
      </c>
      <c r="Q1121" s="100">
        <v>3</v>
      </c>
      <c r="R1121" s="99">
        <v>2716700</v>
      </c>
      <c r="S1121" s="88">
        <v>3</v>
      </c>
      <c r="T1121" s="205">
        <v>1510500</v>
      </c>
      <c r="U1121" s="88"/>
      <c r="V1121" s="99"/>
      <c r="W1121" s="88"/>
      <c r="X1121" s="99"/>
      <c r="Y1121" s="100">
        <f t="shared" si="316"/>
        <v>6</v>
      </c>
      <c r="Z1121" s="206">
        <f t="shared" si="317"/>
        <v>4227200</v>
      </c>
      <c r="AA1121" s="100">
        <f t="shared" si="318"/>
        <v>39</v>
      </c>
      <c r="AB1121" s="206">
        <f t="shared" si="319"/>
        <v>36276125</v>
      </c>
      <c r="AC1121" s="117">
        <f t="shared" si="320"/>
        <v>65</v>
      </c>
      <c r="AD1121" s="1196">
        <f t="shared" si="321"/>
        <v>24.184083333333334</v>
      </c>
      <c r="AE1121" s="607"/>
      <c r="AF1121" s="201"/>
      <c r="AG1121" s="201"/>
      <c r="AH1121" s="201"/>
      <c r="AI1121" s="201"/>
      <c r="AJ1121" s="201"/>
      <c r="AK1121" s="201"/>
      <c r="AL1121" s="201"/>
      <c r="AM1121" s="201"/>
      <c r="AN1121" s="201"/>
      <c r="AO1121" s="201"/>
      <c r="AP1121" s="201"/>
      <c r="AQ1121" s="201"/>
      <c r="AR1121" s="201"/>
      <c r="AS1121" s="201"/>
      <c r="AT1121" s="201"/>
      <c r="AU1121" s="201"/>
      <c r="AV1121" s="201"/>
      <c r="AW1121" s="201"/>
      <c r="AX1121" s="201"/>
      <c r="AY1121" s="201"/>
      <c r="AZ1121" s="201"/>
      <c r="BA1121" s="201"/>
      <c r="BB1121" s="201"/>
      <c r="BC1121" s="20"/>
      <c r="BD1121" s="20"/>
      <c r="BE1121" s="20"/>
      <c r="BF1121" s="20"/>
      <c r="BG1121" s="20"/>
      <c r="BH1121" s="20"/>
      <c r="BI1121" s="20"/>
      <c r="BJ1121" s="20"/>
      <c r="BK1121" s="20"/>
      <c r="BL1121" s="20"/>
      <c r="BM1121" s="20"/>
      <c r="BN1121" s="20"/>
      <c r="BO1121" s="20"/>
      <c r="BP1121" s="20"/>
      <c r="BQ1121" s="20"/>
    </row>
    <row r="1122" spans="1:70" ht="99">
      <c r="A1122" s="2558">
        <v>2</v>
      </c>
      <c r="B1122" s="221"/>
      <c r="C1122" s="161">
        <v>1</v>
      </c>
      <c r="D1122" s="161">
        <v>1</v>
      </c>
      <c r="E1122" s="303" t="s">
        <v>28</v>
      </c>
      <c r="F1122" s="161">
        <v>11</v>
      </c>
      <c r="G1122" s="303" t="s">
        <v>28</v>
      </c>
      <c r="H1122" s="161"/>
      <c r="I1122" s="33" t="s">
        <v>1350</v>
      </c>
      <c r="J1122" s="40" t="s">
        <v>1031</v>
      </c>
      <c r="K1122" s="146">
        <v>100</v>
      </c>
      <c r="L1122" s="222">
        <f>SUM(L1123:L1126)</f>
        <v>293814700</v>
      </c>
      <c r="M1122" s="538">
        <v>45</v>
      </c>
      <c r="N1122" s="222">
        <v>456379100.60000002</v>
      </c>
      <c r="O1122" s="538">
        <v>16</v>
      </c>
      <c r="P1122" s="222">
        <f>SUM(P1123:P1126)</f>
        <v>369997500</v>
      </c>
      <c r="Q1122" s="538">
        <v>6</v>
      </c>
      <c r="R1122" s="159">
        <f>SUM(R1123:R1126)</f>
        <v>13252750</v>
      </c>
      <c r="S1122" s="33">
        <f>SUM(S1124:S1125)</f>
        <v>6</v>
      </c>
      <c r="T1122" s="144">
        <f>SUM(T1123:T1126)</f>
        <v>18525651</v>
      </c>
      <c r="U1122" s="33"/>
      <c r="V1122" s="144">
        <f>SUM(V1123:V1126)</f>
        <v>0</v>
      </c>
      <c r="W1122" s="33"/>
      <c r="X1122" s="144">
        <f>SUM(X1123:X1126)</f>
        <v>0</v>
      </c>
      <c r="Y1122" s="538">
        <f t="shared" ref="Y1122:Y1130" si="323">Q1122+S1122+U1122+W1122</f>
        <v>12</v>
      </c>
      <c r="Z1122" s="223">
        <f>SUM(Z1123:Z1128)</f>
        <v>31778401</v>
      </c>
      <c r="AA1122" s="538">
        <f t="shared" si="318"/>
        <v>57</v>
      </c>
      <c r="AB1122" s="223">
        <f t="shared" si="319"/>
        <v>488157501.60000002</v>
      </c>
      <c r="AC1122" s="148">
        <f t="shared" si="320"/>
        <v>56.999999999999993</v>
      </c>
      <c r="AD1122" s="292">
        <f t="shared" si="321"/>
        <v>166.14468289027064</v>
      </c>
      <c r="AE1122" s="369" t="s">
        <v>126</v>
      </c>
      <c r="AF1122" s="201"/>
      <c r="AG1122" s="201"/>
      <c r="AH1122" s="201"/>
      <c r="AI1122" s="201"/>
      <c r="AJ1122" s="201"/>
      <c r="AK1122" s="201"/>
      <c r="AL1122" s="201"/>
      <c r="AM1122" s="201"/>
      <c r="AN1122" s="201"/>
      <c r="AO1122" s="201"/>
      <c r="AP1122" s="201"/>
      <c r="AQ1122" s="201"/>
      <c r="AR1122" s="201"/>
      <c r="AS1122" s="201"/>
      <c r="AT1122" s="201"/>
      <c r="AU1122" s="201"/>
      <c r="AV1122" s="201"/>
      <c r="AW1122" s="201"/>
      <c r="AX1122" s="201"/>
      <c r="AY1122" s="201"/>
      <c r="AZ1122" s="201"/>
      <c r="BA1122" s="201"/>
      <c r="BB1122" s="201"/>
      <c r="BC1122" s="20"/>
      <c r="BD1122" s="20"/>
      <c r="BE1122" s="20"/>
      <c r="BF1122" s="20"/>
      <c r="BG1122" s="20"/>
      <c r="BH1122" s="20"/>
      <c r="BI1122" s="20"/>
      <c r="BJ1122" s="20"/>
      <c r="BK1122" s="20"/>
      <c r="BL1122" s="20"/>
      <c r="BM1122" s="20"/>
      <c r="BN1122" s="20"/>
      <c r="BO1122" s="20"/>
      <c r="BP1122" s="20"/>
      <c r="BQ1122" s="20"/>
    </row>
    <row r="1123" spans="1:70" ht="49.5">
      <c r="A1123" s="130"/>
      <c r="B1123" s="202"/>
      <c r="C1123" s="89">
        <v>1</v>
      </c>
      <c r="D1123" s="89">
        <v>1</v>
      </c>
      <c r="E1123" s="605" t="s">
        <v>28</v>
      </c>
      <c r="F1123" s="89">
        <v>11</v>
      </c>
      <c r="G1123" s="605" t="s">
        <v>28</v>
      </c>
      <c r="H1123" s="605" t="s">
        <v>43</v>
      </c>
      <c r="I1123" s="88" t="s">
        <v>127</v>
      </c>
      <c r="J1123" s="88" t="s">
        <v>3018</v>
      </c>
      <c r="K1123" s="115">
        <f>2*M1123</f>
        <v>128</v>
      </c>
      <c r="L1123" s="203">
        <v>130594200</v>
      </c>
      <c r="M1123" s="100">
        <v>64</v>
      </c>
      <c r="N1123" s="203">
        <v>189832650</v>
      </c>
      <c r="O1123" s="100">
        <v>33</v>
      </c>
      <c r="P1123" s="207">
        <v>87500000</v>
      </c>
      <c r="Q1123" s="100">
        <v>9</v>
      </c>
      <c r="R1123" s="99">
        <v>0</v>
      </c>
      <c r="S1123" s="88"/>
      <c r="T1123" s="209"/>
      <c r="U1123" s="88"/>
      <c r="V1123" s="99"/>
      <c r="W1123" s="88"/>
      <c r="X1123" s="99"/>
      <c r="Y1123" s="100">
        <f t="shared" si="323"/>
        <v>9</v>
      </c>
      <c r="Z1123" s="206">
        <f t="shared" ref="Z1123:Z1128" si="324">R1123+T1123+V1123+X1123</f>
        <v>0</v>
      </c>
      <c r="AA1123" s="100">
        <f t="shared" si="318"/>
        <v>73</v>
      </c>
      <c r="AB1123" s="206">
        <f t="shared" si="319"/>
        <v>189832650</v>
      </c>
      <c r="AC1123" s="117">
        <f t="shared" si="320"/>
        <v>57.03125</v>
      </c>
      <c r="AD1123" s="1196">
        <f t="shared" si="321"/>
        <v>145.36070514617035</v>
      </c>
      <c r="AE1123" s="607"/>
      <c r="AF1123" s="201"/>
      <c r="AG1123" s="201"/>
      <c r="AH1123" s="201"/>
      <c r="AI1123" s="201"/>
      <c r="AJ1123" s="201"/>
      <c r="AK1123" s="201"/>
      <c r="AL1123" s="201"/>
      <c r="AM1123" s="201"/>
      <c r="AN1123" s="201"/>
      <c r="AO1123" s="201"/>
      <c r="AP1123" s="201"/>
      <c r="AQ1123" s="201"/>
      <c r="AR1123" s="201"/>
      <c r="AS1123" s="201"/>
      <c r="AT1123" s="201"/>
      <c r="AU1123" s="201"/>
      <c r="AV1123" s="201"/>
      <c r="AW1123" s="201"/>
      <c r="AX1123" s="201"/>
      <c r="AY1123" s="201"/>
      <c r="AZ1123" s="201"/>
      <c r="BA1123" s="201"/>
      <c r="BB1123" s="201"/>
      <c r="BC1123" s="20"/>
      <c r="BD1123" s="20"/>
      <c r="BE1123" s="20"/>
      <c r="BF1123" s="20"/>
      <c r="BG1123" s="20"/>
      <c r="BH1123" s="20"/>
      <c r="BI1123" s="20"/>
      <c r="BJ1123" s="20"/>
      <c r="BK1123" s="20"/>
      <c r="BL1123" s="20"/>
      <c r="BM1123" s="20"/>
      <c r="BN1123" s="20"/>
      <c r="BO1123" s="20"/>
      <c r="BP1123" s="20"/>
      <c r="BQ1123" s="20"/>
    </row>
    <row r="1124" spans="1:70" ht="82.5">
      <c r="A1124" s="130"/>
      <c r="B1124" s="202"/>
      <c r="C1124" s="89">
        <v>1</v>
      </c>
      <c r="D1124" s="89">
        <v>1</v>
      </c>
      <c r="E1124" s="605" t="s">
        <v>28</v>
      </c>
      <c r="F1124" s="89">
        <v>11</v>
      </c>
      <c r="G1124" s="605" t="s">
        <v>28</v>
      </c>
      <c r="H1124" s="89">
        <v>22</v>
      </c>
      <c r="I1124" s="88" t="s">
        <v>98</v>
      </c>
      <c r="J1124" s="88" t="s">
        <v>1351</v>
      </c>
      <c r="K1124" s="115">
        <v>72</v>
      </c>
      <c r="L1124" s="203">
        <v>38000000</v>
      </c>
      <c r="M1124" s="100">
        <v>36</v>
      </c>
      <c r="N1124" s="203">
        <v>83497037.599999994</v>
      </c>
      <c r="O1124" s="100">
        <v>12</v>
      </c>
      <c r="P1124" s="207">
        <v>153500000</v>
      </c>
      <c r="Q1124" s="100">
        <v>3</v>
      </c>
      <c r="R1124" s="99">
        <v>0</v>
      </c>
      <c r="S1124" s="88">
        <v>3</v>
      </c>
      <c r="T1124" s="209">
        <v>2000000</v>
      </c>
      <c r="U1124" s="88"/>
      <c r="V1124" s="99"/>
      <c r="W1124" s="88"/>
      <c r="X1124" s="99"/>
      <c r="Y1124" s="100">
        <f t="shared" si="323"/>
        <v>6</v>
      </c>
      <c r="Z1124" s="206">
        <f t="shared" si="324"/>
        <v>2000000</v>
      </c>
      <c r="AA1124" s="100">
        <f t="shared" si="318"/>
        <v>42</v>
      </c>
      <c r="AB1124" s="206">
        <f t="shared" si="319"/>
        <v>85497037.599999994</v>
      </c>
      <c r="AC1124" s="117">
        <f t="shared" si="320"/>
        <v>58.333333333333336</v>
      </c>
      <c r="AD1124" s="1196">
        <f t="shared" si="321"/>
        <v>224.9922042105263</v>
      </c>
      <c r="AE1124" s="607"/>
      <c r="AF1124" s="201"/>
      <c r="AG1124" s="201"/>
      <c r="AH1124" s="201"/>
      <c r="AI1124" s="201"/>
      <c r="AJ1124" s="201"/>
      <c r="AK1124" s="201"/>
      <c r="AL1124" s="201"/>
      <c r="AM1124" s="201"/>
      <c r="AN1124" s="201"/>
      <c r="AO1124" s="201"/>
      <c r="AP1124" s="201"/>
      <c r="AQ1124" s="201"/>
      <c r="AR1124" s="201"/>
      <c r="AS1124" s="201"/>
      <c r="AT1124" s="201"/>
      <c r="AU1124" s="201"/>
      <c r="AV1124" s="201"/>
      <c r="AW1124" s="201"/>
      <c r="AX1124" s="201"/>
      <c r="AY1124" s="201"/>
      <c r="AZ1124" s="201"/>
      <c r="BA1124" s="201"/>
      <c r="BB1124" s="201"/>
      <c r="BC1124" s="20"/>
      <c r="BD1124" s="20"/>
      <c r="BE1124" s="20"/>
      <c r="BF1124" s="20"/>
      <c r="BG1124" s="20"/>
      <c r="BH1124" s="20"/>
      <c r="BI1124" s="20"/>
      <c r="BJ1124" s="20"/>
      <c r="BK1124" s="20"/>
      <c r="BL1124" s="20"/>
      <c r="BM1124" s="20"/>
      <c r="BN1124" s="20"/>
      <c r="BO1124" s="20"/>
      <c r="BP1124" s="20"/>
      <c r="BQ1124" s="20"/>
    </row>
    <row r="1125" spans="1:70" ht="49.5">
      <c r="A1125" s="130"/>
      <c r="B1125" s="88"/>
      <c r="C1125" s="89">
        <v>1</v>
      </c>
      <c r="D1125" s="89">
        <v>1</v>
      </c>
      <c r="E1125" s="605" t="s">
        <v>28</v>
      </c>
      <c r="F1125" s="89">
        <v>11</v>
      </c>
      <c r="G1125" s="605" t="s">
        <v>28</v>
      </c>
      <c r="H1125" s="89">
        <v>24</v>
      </c>
      <c r="I1125" s="88" t="s">
        <v>1352</v>
      </c>
      <c r="J1125" s="88" t="s">
        <v>3020</v>
      </c>
      <c r="K1125" s="115">
        <v>72</v>
      </c>
      <c r="L1125" s="203">
        <v>110165500</v>
      </c>
      <c r="M1125" s="100">
        <v>36</v>
      </c>
      <c r="N1125" s="203">
        <v>173984413</v>
      </c>
      <c r="O1125" s="100">
        <v>12</v>
      </c>
      <c r="P1125" s="207">
        <v>118387500</v>
      </c>
      <c r="Q1125" s="100">
        <v>3</v>
      </c>
      <c r="R1125" s="99">
        <v>12452750</v>
      </c>
      <c r="S1125" s="88">
        <v>3</v>
      </c>
      <c r="T1125" s="209">
        <v>15925651</v>
      </c>
      <c r="U1125" s="88"/>
      <c r="V1125" s="99"/>
      <c r="W1125" s="88"/>
      <c r="X1125" s="99"/>
      <c r="Y1125" s="100">
        <f t="shared" si="323"/>
        <v>6</v>
      </c>
      <c r="Z1125" s="206">
        <f t="shared" si="324"/>
        <v>28378401</v>
      </c>
      <c r="AA1125" s="100">
        <f t="shared" si="318"/>
        <v>42</v>
      </c>
      <c r="AB1125" s="206">
        <f t="shared" si="319"/>
        <v>202362814</v>
      </c>
      <c r="AC1125" s="117">
        <f t="shared" si="320"/>
        <v>58.333333333333336</v>
      </c>
      <c r="AD1125" s="1196">
        <f t="shared" si="321"/>
        <v>183.68982485442359</v>
      </c>
      <c r="AE1125" s="607"/>
      <c r="AF1125" s="201"/>
      <c r="AG1125" s="201"/>
      <c r="AH1125" s="201"/>
      <c r="AI1125" s="201"/>
      <c r="AJ1125" s="201"/>
      <c r="AK1125" s="201"/>
      <c r="AL1125" s="201"/>
      <c r="AM1125" s="201"/>
      <c r="AN1125" s="201"/>
      <c r="AO1125" s="201"/>
      <c r="AP1125" s="201"/>
      <c r="AQ1125" s="201"/>
      <c r="AR1125" s="201"/>
      <c r="AS1125" s="201"/>
      <c r="AT1125" s="201"/>
      <c r="AU1125" s="201"/>
      <c r="AV1125" s="201"/>
      <c r="AW1125" s="201"/>
      <c r="AX1125" s="201"/>
      <c r="AY1125" s="201"/>
      <c r="AZ1125" s="201"/>
      <c r="BA1125" s="201"/>
      <c r="BB1125" s="201"/>
      <c r="BC1125" s="20"/>
      <c r="BD1125" s="20"/>
      <c r="BE1125" s="20"/>
      <c r="BF1125" s="20"/>
      <c r="BG1125" s="20"/>
      <c r="BH1125" s="20"/>
      <c r="BI1125" s="20"/>
      <c r="BJ1125" s="20"/>
      <c r="BK1125" s="20"/>
      <c r="BL1125" s="20"/>
      <c r="BM1125" s="20"/>
      <c r="BN1125" s="20"/>
      <c r="BO1125" s="20"/>
      <c r="BP1125" s="20"/>
      <c r="BQ1125" s="20"/>
    </row>
    <row r="1126" spans="1:70" ht="66">
      <c r="A1126" s="130"/>
      <c r="B1126" s="88"/>
      <c r="C1126" s="89">
        <v>1</v>
      </c>
      <c r="D1126" s="89">
        <v>1</v>
      </c>
      <c r="E1126" s="605" t="s">
        <v>28</v>
      </c>
      <c r="F1126" s="89">
        <v>11</v>
      </c>
      <c r="G1126" s="605" t="s">
        <v>28</v>
      </c>
      <c r="H1126" s="89">
        <v>26</v>
      </c>
      <c r="I1126" s="88" t="s">
        <v>1353</v>
      </c>
      <c r="J1126" s="88" t="s">
        <v>3019</v>
      </c>
      <c r="K1126" s="115">
        <v>72</v>
      </c>
      <c r="L1126" s="203">
        <v>15055000</v>
      </c>
      <c r="M1126" s="100">
        <v>36</v>
      </c>
      <c r="N1126" s="203">
        <v>9065000</v>
      </c>
      <c r="O1126" s="100">
        <v>12</v>
      </c>
      <c r="P1126" s="207">
        <v>10610000</v>
      </c>
      <c r="Q1126" s="100">
        <v>3</v>
      </c>
      <c r="R1126" s="99">
        <v>800000</v>
      </c>
      <c r="S1126" s="88">
        <v>3</v>
      </c>
      <c r="T1126" s="209">
        <v>600000</v>
      </c>
      <c r="U1126" s="88"/>
      <c r="V1126" s="99"/>
      <c r="W1126" s="88"/>
      <c r="X1126" s="99"/>
      <c r="Y1126" s="100">
        <f t="shared" si="323"/>
        <v>6</v>
      </c>
      <c r="Z1126" s="206">
        <f t="shared" si="324"/>
        <v>1400000</v>
      </c>
      <c r="AA1126" s="100">
        <f t="shared" si="318"/>
        <v>42</v>
      </c>
      <c r="AB1126" s="206">
        <f t="shared" si="319"/>
        <v>10465000</v>
      </c>
      <c r="AC1126" s="117">
        <f t="shared" si="320"/>
        <v>58.333333333333336</v>
      </c>
      <c r="AD1126" s="1196">
        <f t="shared" si="321"/>
        <v>69.511790102955828</v>
      </c>
      <c r="AE1126" s="607"/>
      <c r="AF1126" s="201"/>
      <c r="AG1126" s="201"/>
      <c r="AH1126" s="201"/>
      <c r="AI1126" s="201"/>
      <c r="AJ1126" s="201"/>
      <c r="AK1126" s="201"/>
      <c r="AL1126" s="201"/>
      <c r="AM1126" s="201"/>
      <c r="AN1126" s="201"/>
      <c r="AO1126" s="201"/>
      <c r="AP1126" s="201"/>
      <c r="AQ1126" s="201"/>
      <c r="AR1126" s="201"/>
      <c r="AS1126" s="201"/>
      <c r="AT1126" s="201"/>
      <c r="AU1126" s="201"/>
      <c r="AV1126" s="201"/>
      <c r="AW1126" s="201"/>
      <c r="AX1126" s="201"/>
      <c r="AY1126" s="201"/>
      <c r="AZ1126" s="201"/>
      <c r="BA1126" s="201"/>
      <c r="BB1126" s="201"/>
      <c r="BC1126" s="20"/>
      <c r="BD1126" s="20"/>
      <c r="BE1126" s="20"/>
      <c r="BF1126" s="20"/>
      <c r="BG1126" s="20"/>
      <c r="BH1126" s="20"/>
      <c r="BI1126" s="20"/>
      <c r="BJ1126" s="20"/>
      <c r="BK1126" s="20"/>
      <c r="BL1126" s="20"/>
      <c r="BM1126" s="20"/>
      <c r="BN1126" s="20"/>
      <c r="BO1126" s="20"/>
      <c r="BP1126" s="20"/>
      <c r="BQ1126" s="20"/>
    </row>
    <row r="1127" spans="1:70" ht="49.5">
      <c r="A1127" s="133">
        <v>3</v>
      </c>
      <c r="B1127" s="158"/>
      <c r="C1127" s="768" t="s">
        <v>25</v>
      </c>
      <c r="D1127" s="768" t="s">
        <v>25</v>
      </c>
      <c r="E1127" s="768" t="s">
        <v>25</v>
      </c>
      <c r="F1127" s="768" t="s">
        <v>25</v>
      </c>
      <c r="G1127" s="768" t="s">
        <v>38</v>
      </c>
      <c r="H1127" s="133"/>
      <c r="I1127" s="44" t="s">
        <v>1354</v>
      </c>
      <c r="J1127" s="44" t="s">
        <v>1355</v>
      </c>
      <c r="K1127" s="224">
        <v>50</v>
      </c>
      <c r="L1127" s="222">
        <f>L1128</f>
        <v>283139000</v>
      </c>
      <c r="M1127" s="153">
        <v>18</v>
      </c>
      <c r="N1127" s="225">
        <v>100000000</v>
      </c>
      <c r="O1127" s="226">
        <v>0</v>
      </c>
      <c r="P1127" s="226">
        <f>P1128</f>
        <v>0</v>
      </c>
      <c r="Q1127" s="153"/>
      <c r="R1127" s="227"/>
      <c r="S1127" s="158"/>
      <c r="T1127" s="228"/>
      <c r="U1127" s="158"/>
      <c r="V1127" s="227"/>
      <c r="W1127" s="158"/>
      <c r="X1127" s="158"/>
      <c r="Y1127" s="153">
        <f t="shared" si="323"/>
        <v>0</v>
      </c>
      <c r="Z1127" s="229">
        <f t="shared" si="324"/>
        <v>0</v>
      </c>
      <c r="AA1127" s="153">
        <f t="shared" si="318"/>
        <v>18</v>
      </c>
      <c r="AB1127" s="223">
        <f t="shared" si="319"/>
        <v>100000000</v>
      </c>
      <c r="AC1127" s="148">
        <f t="shared" si="320"/>
        <v>36</v>
      </c>
      <c r="AD1127" s="292">
        <f t="shared" si="321"/>
        <v>35.318341874485675</v>
      </c>
      <c r="AE1127" s="369" t="s">
        <v>126</v>
      </c>
      <c r="AF1127" s="201"/>
      <c r="AG1127" s="201"/>
      <c r="AH1127" s="201"/>
      <c r="AI1127" s="201"/>
      <c r="AJ1127" s="201"/>
      <c r="AK1127" s="201"/>
      <c r="AL1127" s="201"/>
      <c r="AM1127" s="201"/>
      <c r="AN1127" s="201"/>
      <c r="AO1127" s="201"/>
      <c r="AP1127" s="201"/>
      <c r="AQ1127" s="201"/>
      <c r="AR1127" s="201"/>
      <c r="AS1127" s="201"/>
      <c r="AT1127" s="201"/>
      <c r="AU1127" s="201"/>
      <c r="AV1127" s="201"/>
      <c r="AW1127" s="201"/>
      <c r="AX1127" s="201"/>
      <c r="AY1127" s="201"/>
      <c r="AZ1127" s="201"/>
      <c r="BA1127" s="201"/>
      <c r="BB1127" s="201"/>
      <c r="BC1127" s="20"/>
      <c r="BD1127" s="20"/>
      <c r="BE1127" s="20"/>
      <c r="BF1127" s="20"/>
      <c r="BG1127" s="20"/>
      <c r="BH1127" s="20"/>
      <c r="BI1127" s="20"/>
      <c r="BJ1127" s="20"/>
      <c r="BK1127" s="20"/>
      <c r="BL1127" s="20"/>
      <c r="BM1127" s="20"/>
      <c r="BN1127" s="20"/>
      <c r="BO1127" s="20"/>
      <c r="BP1127" s="20"/>
      <c r="BQ1127" s="20"/>
    </row>
    <row r="1128" spans="1:70" ht="49.5">
      <c r="A1128" s="130"/>
      <c r="B1128" s="88"/>
      <c r="C1128" s="89"/>
      <c r="D1128" s="89"/>
      <c r="E1128" s="89"/>
      <c r="F1128" s="89"/>
      <c r="G1128" s="89"/>
      <c r="H1128" s="89"/>
      <c r="I1128" s="211" t="s">
        <v>628</v>
      </c>
      <c r="J1128" s="34" t="s">
        <v>1356</v>
      </c>
      <c r="K1128" s="115">
        <v>24</v>
      </c>
      <c r="L1128" s="203">
        <v>283139000</v>
      </c>
      <c r="M1128" s="100">
        <v>9</v>
      </c>
      <c r="N1128" s="203">
        <v>100000000</v>
      </c>
      <c r="O1128" s="125">
        <v>0</v>
      </c>
      <c r="P1128" s="125">
        <v>0</v>
      </c>
      <c r="Q1128" s="100"/>
      <c r="R1128" s="99"/>
      <c r="S1128" s="88"/>
      <c r="T1128" s="210"/>
      <c r="U1128" s="88"/>
      <c r="V1128" s="99"/>
      <c r="W1128" s="88"/>
      <c r="X1128" s="88"/>
      <c r="Y1128" s="100">
        <f t="shared" si="323"/>
        <v>0</v>
      </c>
      <c r="Z1128" s="206">
        <f t="shared" si="324"/>
        <v>0</v>
      </c>
      <c r="AA1128" s="100">
        <f t="shared" si="318"/>
        <v>9</v>
      </c>
      <c r="AB1128" s="218">
        <f t="shared" si="319"/>
        <v>100000000</v>
      </c>
      <c r="AC1128" s="1289">
        <f t="shared" si="320"/>
        <v>37.5</v>
      </c>
      <c r="AD1128" s="806">
        <f t="shared" si="321"/>
        <v>35.318341874485675</v>
      </c>
      <c r="AE1128" s="607"/>
      <c r="AF1128" s="201"/>
      <c r="AG1128" s="201"/>
      <c r="AH1128" s="201"/>
      <c r="AI1128" s="201"/>
      <c r="AJ1128" s="201"/>
      <c r="AK1128" s="201"/>
      <c r="AL1128" s="201"/>
      <c r="AM1128" s="201"/>
      <c r="AN1128" s="201"/>
      <c r="AO1128" s="201"/>
      <c r="AP1128" s="201"/>
      <c r="AQ1128" s="201"/>
      <c r="AR1128" s="201"/>
      <c r="AS1128" s="201"/>
      <c r="AT1128" s="201"/>
      <c r="AU1128" s="201"/>
      <c r="AV1128" s="201"/>
      <c r="AW1128" s="201"/>
      <c r="AX1128" s="201"/>
      <c r="AY1128" s="201"/>
      <c r="AZ1128" s="201"/>
      <c r="BA1128" s="201"/>
      <c r="BB1128" s="201"/>
      <c r="BC1128" s="20"/>
      <c r="BD1128" s="20"/>
      <c r="BE1128" s="20"/>
      <c r="BF1128" s="20"/>
      <c r="BG1128" s="20"/>
      <c r="BH1128" s="20"/>
      <c r="BI1128" s="20"/>
      <c r="BJ1128" s="20"/>
      <c r="BK1128" s="20"/>
      <c r="BL1128" s="20"/>
      <c r="BM1128" s="20"/>
      <c r="BN1128" s="20"/>
      <c r="BO1128" s="20"/>
      <c r="BP1128" s="20"/>
      <c r="BQ1128" s="20"/>
    </row>
    <row r="1129" spans="1:70" s="1315" customFormat="1" ht="66">
      <c r="A1129" s="2558">
        <v>4</v>
      </c>
      <c r="B1129" s="33"/>
      <c r="C1129" s="303" t="s">
        <v>28</v>
      </c>
      <c r="D1129" s="989">
        <v>1</v>
      </c>
      <c r="E1129" s="303" t="s">
        <v>28</v>
      </c>
      <c r="F1129" s="989">
        <v>11</v>
      </c>
      <c r="G1129" s="989"/>
      <c r="H1129" s="989"/>
      <c r="I1129" s="33" t="s">
        <v>1357</v>
      </c>
      <c r="J1129" s="33" t="s">
        <v>2690</v>
      </c>
      <c r="K1129" s="1770">
        <v>15640917</v>
      </c>
      <c r="L1129" s="222">
        <f>SUM(L1130)</f>
        <v>1275584000</v>
      </c>
      <c r="M1129" s="137">
        <v>8936767</v>
      </c>
      <c r="N1129" s="222">
        <v>1637259200</v>
      </c>
      <c r="O1129" s="230">
        <v>2801850</v>
      </c>
      <c r="P1129" s="230">
        <f>SUM(P1130)</f>
        <v>0</v>
      </c>
      <c r="Q1129" s="545"/>
      <c r="R1129" s="159">
        <f>SUM(R1130)</f>
        <v>0</v>
      </c>
      <c r="S1129" s="33"/>
      <c r="T1129" s="159">
        <f>SUM(T1130)</f>
        <v>0</v>
      </c>
      <c r="U1129" s="33"/>
      <c r="V1129" s="159">
        <f>SUM(V1130)</f>
        <v>0</v>
      </c>
      <c r="W1129" s="33"/>
      <c r="X1129" s="33"/>
      <c r="Y1129" s="545">
        <f t="shared" si="323"/>
        <v>0</v>
      </c>
      <c r="Z1129" s="223">
        <f>SUM(Z1130:Z1141)</f>
        <v>167616400</v>
      </c>
      <c r="AA1129" s="545">
        <f t="shared" si="318"/>
        <v>8936767</v>
      </c>
      <c r="AB1129" s="223">
        <f t="shared" si="319"/>
        <v>1804875600</v>
      </c>
      <c r="AC1129" s="148">
        <f t="shared" si="320"/>
        <v>57.137103917884104</v>
      </c>
      <c r="AD1129" s="292">
        <f t="shared" si="321"/>
        <v>141.49406075962071</v>
      </c>
      <c r="AE1129" s="369" t="s">
        <v>126</v>
      </c>
      <c r="AF1129" s="201"/>
      <c r="AG1129" s="201"/>
      <c r="AH1129" s="201"/>
      <c r="AI1129" s="201"/>
      <c r="AJ1129" s="201"/>
      <c r="AK1129" s="201"/>
      <c r="AL1129" s="201"/>
      <c r="AM1129" s="201"/>
      <c r="AN1129" s="201"/>
      <c r="AO1129" s="201"/>
      <c r="AP1129" s="201"/>
      <c r="AQ1129" s="201"/>
      <c r="AR1129" s="201"/>
      <c r="AS1129" s="201"/>
      <c r="AT1129" s="201"/>
      <c r="AU1129" s="201"/>
      <c r="AV1129" s="201"/>
      <c r="AW1129" s="201"/>
      <c r="AX1129" s="201"/>
      <c r="AY1129" s="201"/>
      <c r="AZ1129" s="201"/>
      <c r="BA1129" s="201"/>
      <c r="BB1129" s="201"/>
      <c r="BC1129" s="20"/>
      <c r="BD1129" s="20"/>
      <c r="BE1129" s="20"/>
      <c r="BF1129" s="20"/>
      <c r="BG1129" s="20"/>
      <c r="BH1129" s="20"/>
      <c r="BI1129" s="20"/>
      <c r="BJ1129" s="20"/>
      <c r="BK1129" s="20"/>
      <c r="BL1129" s="20"/>
      <c r="BM1129" s="20"/>
      <c r="BN1129" s="20"/>
      <c r="BO1129" s="20"/>
      <c r="BP1129" s="20"/>
      <c r="BQ1129" s="20"/>
      <c r="BR1129" s="1346"/>
    </row>
    <row r="1130" spans="1:70" ht="33">
      <c r="A1130" s="130"/>
      <c r="B1130" s="88"/>
      <c r="C1130" s="605" t="s">
        <v>28</v>
      </c>
      <c r="D1130" s="89">
        <v>1</v>
      </c>
      <c r="E1130" s="605" t="s">
        <v>28</v>
      </c>
      <c r="F1130" s="89">
        <v>11</v>
      </c>
      <c r="G1130" s="89"/>
      <c r="H1130" s="89">
        <v>10</v>
      </c>
      <c r="I1130" s="88" t="s">
        <v>998</v>
      </c>
      <c r="J1130" s="88" t="s">
        <v>3021</v>
      </c>
      <c r="K1130" s="115">
        <v>6</v>
      </c>
      <c r="L1130" s="203">
        <v>1275584000</v>
      </c>
      <c r="M1130" s="100">
        <v>3</v>
      </c>
      <c r="N1130" s="203">
        <v>367179800</v>
      </c>
      <c r="O1130" s="125">
        <v>0</v>
      </c>
      <c r="P1130" s="125">
        <v>0</v>
      </c>
      <c r="Q1130" s="100"/>
      <c r="R1130" s="99">
        <v>0</v>
      </c>
      <c r="S1130" s="88"/>
      <c r="T1130" s="99"/>
      <c r="U1130" s="88"/>
      <c r="V1130" s="99"/>
      <c r="W1130" s="88"/>
      <c r="X1130" s="88"/>
      <c r="Y1130" s="100">
        <f t="shared" si="323"/>
        <v>0</v>
      </c>
      <c r="Z1130" s="206">
        <f>R1130+T1130+V1130+X1130</f>
        <v>0</v>
      </c>
      <c r="AA1130" s="100">
        <f t="shared" si="318"/>
        <v>3</v>
      </c>
      <c r="AB1130" s="218">
        <f t="shared" si="319"/>
        <v>367179800</v>
      </c>
      <c r="AC1130" s="1289">
        <f t="shared" si="320"/>
        <v>50</v>
      </c>
      <c r="AD1130" s="806">
        <f t="shared" si="321"/>
        <v>28.785230921679794</v>
      </c>
      <c r="AE1130" s="607"/>
      <c r="AF1130" s="201"/>
      <c r="AG1130" s="201"/>
      <c r="AH1130" s="201"/>
      <c r="AI1130" s="201"/>
      <c r="AJ1130" s="201"/>
      <c r="AK1130" s="201"/>
      <c r="AL1130" s="201"/>
      <c r="AM1130" s="201"/>
      <c r="AN1130" s="201"/>
      <c r="AO1130" s="201"/>
      <c r="AP1130" s="201"/>
      <c r="AQ1130" s="201"/>
      <c r="AR1130" s="201"/>
      <c r="AS1130" s="201"/>
      <c r="AT1130" s="201"/>
      <c r="AU1130" s="201"/>
      <c r="AV1130" s="201"/>
      <c r="AW1130" s="201"/>
      <c r="AX1130" s="201"/>
      <c r="AY1130" s="201"/>
      <c r="AZ1130" s="201"/>
      <c r="BA1130" s="201"/>
      <c r="BB1130" s="201"/>
      <c r="BC1130" s="20"/>
      <c r="BD1130" s="20"/>
      <c r="BE1130" s="20"/>
      <c r="BF1130" s="20"/>
      <c r="BG1130" s="20"/>
      <c r="BH1130" s="20"/>
      <c r="BI1130" s="20"/>
      <c r="BJ1130" s="20"/>
      <c r="BK1130" s="20"/>
      <c r="BL1130" s="20"/>
      <c r="BM1130" s="20"/>
      <c r="BN1130" s="20"/>
      <c r="BO1130" s="20"/>
      <c r="BP1130" s="20"/>
      <c r="BQ1130" s="20"/>
    </row>
    <row r="1131" spans="1:70" s="1315" customFormat="1" ht="88.5" customHeight="1">
      <c r="A1131" s="2558">
        <v>5</v>
      </c>
      <c r="B1131" s="33"/>
      <c r="C1131" s="303" t="s">
        <v>28</v>
      </c>
      <c r="D1131" s="989">
        <v>1</v>
      </c>
      <c r="E1131" s="303" t="s">
        <v>28</v>
      </c>
      <c r="F1131" s="989">
        <v>11</v>
      </c>
      <c r="G1131" s="989">
        <v>15</v>
      </c>
      <c r="H1131" s="989"/>
      <c r="I1131" s="33" t="s">
        <v>1358</v>
      </c>
      <c r="J1131" s="33" t="s">
        <v>3022</v>
      </c>
      <c r="K1131" s="146">
        <v>1800</v>
      </c>
      <c r="L1131" s="222">
        <v>649835000</v>
      </c>
      <c r="M1131" s="545">
        <f>M1132</f>
        <v>204</v>
      </c>
      <c r="N1131" s="222">
        <v>98265000</v>
      </c>
      <c r="O1131" s="545">
        <f>O1132</f>
        <v>176</v>
      </c>
      <c r="P1131" s="230">
        <f>P1132+P1133</f>
        <v>38893200</v>
      </c>
      <c r="Q1131" s="545">
        <f>Q1132</f>
        <v>49</v>
      </c>
      <c r="R1131" s="230">
        <f>R1132+R1133</f>
        <v>1092000</v>
      </c>
      <c r="S1131" s="545">
        <f>S1132</f>
        <v>0</v>
      </c>
      <c r="T1131" s="230">
        <f>T1132+T1133</f>
        <v>10613250</v>
      </c>
      <c r="U1131" s="545">
        <f>U1132</f>
        <v>0</v>
      </c>
      <c r="V1131" s="230">
        <f>V1132+V1133</f>
        <v>0</v>
      </c>
      <c r="W1131" s="545">
        <f>W1132</f>
        <v>0</v>
      </c>
      <c r="X1131" s="230">
        <f>X1132+X1133</f>
        <v>0</v>
      </c>
      <c r="Y1131" s="545">
        <f>Y1132</f>
        <v>49</v>
      </c>
      <c r="Z1131" s="230">
        <f>Z1132+Z1133</f>
        <v>11705250</v>
      </c>
      <c r="AA1131" s="545">
        <f>AA1132</f>
        <v>253</v>
      </c>
      <c r="AB1131" s="230">
        <f>AB1132+AB1133</f>
        <v>109970250</v>
      </c>
      <c r="AC1131" s="148">
        <f t="shared" si="320"/>
        <v>14.055555555555554</v>
      </c>
      <c r="AD1131" s="292">
        <f t="shared" si="321"/>
        <v>16.922795786622757</v>
      </c>
      <c r="AE1131" s="369" t="s">
        <v>126</v>
      </c>
      <c r="AF1131" s="201"/>
      <c r="AG1131" s="201"/>
      <c r="AH1131" s="201"/>
      <c r="AI1131" s="201"/>
      <c r="AJ1131" s="201"/>
      <c r="AK1131" s="201"/>
      <c r="AL1131" s="201"/>
      <c r="AM1131" s="201"/>
      <c r="AN1131" s="201"/>
      <c r="AO1131" s="201"/>
      <c r="AP1131" s="201"/>
      <c r="AQ1131" s="201"/>
      <c r="AR1131" s="201"/>
      <c r="AS1131" s="201"/>
      <c r="AT1131" s="201"/>
      <c r="AU1131" s="201"/>
      <c r="AV1131" s="201"/>
      <c r="AW1131" s="201"/>
      <c r="AX1131" s="201"/>
      <c r="AY1131" s="201"/>
      <c r="AZ1131" s="201"/>
      <c r="BA1131" s="201"/>
      <c r="BB1131" s="201"/>
      <c r="BC1131" s="20"/>
      <c r="BD1131" s="20"/>
      <c r="BE1131" s="20"/>
      <c r="BF1131" s="20"/>
      <c r="BG1131" s="20"/>
      <c r="BH1131" s="20"/>
      <c r="BI1131" s="20"/>
      <c r="BJ1131" s="20"/>
      <c r="BK1131" s="20"/>
      <c r="BL1131" s="20"/>
      <c r="BM1131" s="20"/>
      <c r="BN1131" s="20"/>
      <c r="BO1131" s="20"/>
      <c r="BP1131" s="20"/>
      <c r="BQ1131" s="20"/>
      <c r="BR1131" s="1346"/>
    </row>
    <row r="1132" spans="1:70" ht="82.5">
      <c r="A1132" s="1119"/>
      <c r="B1132" s="88"/>
      <c r="C1132" s="89" t="s">
        <v>28</v>
      </c>
      <c r="D1132" s="89">
        <v>1</v>
      </c>
      <c r="E1132" s="89" t="s">
        <v>28</v>
      </c>
      <c r="F1132" s="89">
        <v>11</v>
      </c>
      <c r="G1132" s="89">
        <v>15</v>
      </c>
      <c r="H1132" s="605" t="s">
        <v>25</v>
      </c>
      <c r="I1132" s="88" t="s">
        <v>1359</v>
      </c>
      <c r="J1132" s="88" t="s">
        <v>3023</v>
      </c>
      <c r="K1132" s="115">
        <v>1800</v>
      </c>
      <c r="L1132" s="203">
        <v>649835000</v>
      </c>
      <c r="M1132" s="100">
        <v>204</v>
      </c>
      <c r="N1132" s="203">
        <v>98265000</v>
      </c>
      <c r="O1132" s="100">
        <v>176</v>
      </c>
      <c r="P1132" s="125">
        <v>0</v>
      </c>
      <c r="Q1132" s="100">
        <v>49</v>
      </c>
      <c r="R1132" s="99">
        <v>0</v>
      </c>
      <c r="S1132" s="88"/>
      <c r="T1132" s="99"/>
      <c r="U1132" s="88"/>
      <c r="V1132" s="99"/>
      <c r="W1132" s="88"/>
      <c r="X1132" s="99"/>
      <c r="Y1132" s="100">
        <f>Q1132+S1132+U1132+W1132</f>
        <v>49</v>
      </c>
      <c r="Z1132" s="206">
        <f>R1132+T1132+V1132+X1132</f>
        <v>0</v>
      </c>
      <c r="AA1132" s="100">
        <f t="shared" ref="AA1132:AB1139" si="325">M1132+Y1132</f>
        <v>253</v>
      </c>
      <c r="AB1132" s="206">
        <f t="shared" si="325"/>
        <v>98265000</v>
      </c>
      <c r="AC1132" s="117">
        <f t="shared" si="320"/>
        <v>14.055555555555554</v>
      </c>
      <c r="AD1132" s="1196">
        <f t="shared" si="321"/>
        <v>15.121530850138882</v>
      </c>
      <c r="AE1132" s="607"/>
      <c r="AF1132" s="201"/>
      <c r="AG1132" s="201"/>
      <c r="AH1132" s="201"/>
      <c r="AI1132" s="201"/>
      <c r="AJ1132" s="201"/>
      <c r="AK1132" s="201"/>
      <c r="AL1132" s="201"/>
      <c r="AM1132" s="201"/>
      <c r="AN1132" s="201"/>
      <c r="AO1132" s="201"/>
      <c r="AP1132" s="201"/>
      <c r="AQ1132" s="201"/>
      <c r="AR1132" s="201"/>
      <c r="AS1132" s="201"/>
      <c r="AT1132" s="201"/>
      <c r="AU1132" s="201"/>
      <c r="AV1132" s="201"/>
      <c r="AW1132" s="201"/>
      <c r="AX1132" s="201"/>
      <c r="AY1132" s="201"/>
      <c r="AZ1132" s="201"/>
      <c r="BA1132" s="201"/>
      <c r="BB1132" s="201"/>
      <c r="BC1132" s="20"/>
      <c r="BD1132" s="20"/>
      <c r="BE1132" s="20"/>
      <c r="BF1132" s="20"/>
      <c r="BG1132" s="20"/>
      <c r="BH1132" s="20"/>
      <c r="BI1132" s="20"/>
      <c r="BJ1132" s="20"/>
      <c r="BK1132" s="20"/>
      <c r="BL1132" s="20"/>
      <c r="BM1132" s="20"/>
      <c r="BN1132" s="20"/>
      <c r="BO1132" s="20"/>
      <c r="BP1132" s="20"/>
      <c r="BQ1132" s="20"/>
    </row>
    <row r="1133" spans="1:70" ht="66">
      <c r="A1133" s="1119"/>
      <c r="B1133" s="88"/>
      <c r="C1133" s="89" t="s">
        <v>28</v>
      </c>
      <c r="D1133" s="89">
        <v>1</v>
      </c>
      <c r="E1133" s="89" t="s">
        <v>28</v>
      </c>
      <c r="F1133" s="89">
        <v>11</v>
      </c>
      <c r="G1133" s="89">
        <v>15</v>
      </c>
      <c r="H1133" s="605" t="s">
        <v>30</v>
      </c>
      <c r="I1133" s="88" t="s">
        <v>1360</v>
      </c>
      <c r="J1133" s="88" t="s">
        <v>1361</v>
      </c>
      <c r="K1133" s="115">
        <v>5</v>
      </c>
      <c r="L1133" s="203">
        <f>3*P1133</f>
        <v>116679600</v>
      </c>
      <c r="M1133" s="100">
        <v>0</v>
      </c>
      <c r="N1133" s="203">
        <v>0</v>
      </c>
      <c r="O1133" s="100">
        <v>1</v>
      </c>
      <c r="P1133" s="125">
        <v>38893200</v>
      </c>
      <c r="Q1133" s="100"/>
      <c r="R1133" s="99">
        <v>1092000</v>
      </c>
      <c r="S1133" s="88"/>
      <c r="T1133" s="99">
        <v>10613250</v>
      </c>
      <c r="U1133" s="88"/>
      <c r="V1133" s="99"/>
      <c r="W1133" s="88"/>
      <c r="X1133" s="99"/>
      <c r="Y1133" s="100"/>
      <c r="Z1133" s="206">
        <f>R1133+T1133+V1133+X1133</f>
        <v>11705250</v>
      </c>
      <c r="AA1133" s="100">
        <f t="shared" si="325"/>
        <v>0</v>
      </c>
      <c r="AB1133" s="206">
        <f t="shared" si="325"/>
        <v>11705250</v>
      </c>
      <c r="AC1133" s="117">
        <f t="shared" si="320"/>
        <v>0</v>
      </c>
      <c r="AD1133" s="1196">
        <f t="shared" si="321"/>
        <v>10.031959314224595</v>
      </c>
      <c r="AE1133" s="607"/>
      <c r="AF1133" s="201"/>
      <c r="AG1133" s="201"/>
      <c r="AH1133" s="201"/>
      <c r="AI1133" s="201"/>
      <c r="AJ1133" s="201"/>
      <c r="AK1133" s="201"/>
      <c r="AL1133" s="201"/>
      <c r="AM1133" s="201"/>
      <c r="AN1133" s="201"/>
      <c r="AO1133" s="201"/>
      <c r="AP1133" s="201"/>
      <c r="AQ1133" s="201"/>
      <c r="AR1133" s="201"/>
      <c r="AS1133" s="201"/>
      <c r="AT1133" s="201"/>
      <c r="AU1133" s="201"/>
      <c r="AV1133" s="201"/>
      <c r="AW1133" s="201"/>
      <c r="AX1133" s="201"/>
      <c r="AY1133" s="201"/>
      <c r="AZ1133" s="201"/>
      <c r="BA1133" s="201"/>
      <c r="BB1133" s="201"/>
      <c r="BC1133" s="20"/>
      <c r="BD1133" s="20"/>
      <c r="BE1133" s="20"/>
      <c r="BF1133" s="20"/>
      <c r="BG1133" s="20"/>
      <c r="BH1133" s="20"/>
      <c r="BI1133" s="20"/>
      <c r="BJ1133" s="20"/>
      <c r="BK1133" s="20"/>
      <c r="BL1133" s="20"/>
      <c r="BM1133" s="20"/>
      <c r="BN1133" s="20"/>
      <c r="BO1133" s="20"/>
      <c r="BP1133" s="20"/>
      <c r="BQ1133" s="20"/>
    </row>
    <row r="1134" spans="1:70" s="1315" customFormat="1" ht="66">
      <c r="A1134" s="2558">
        <v>6</v>
      </c>
      <c r="B1134" s="33"/>
      <c r="C1134" s="303" t="s">
        <v>28</v>
      </c>
      <c r="D1134" s="989">
        <v>1</v>
      </c>
      <c r="E1134" s="303" t="s">
        <v>28</v>
      </c>
      <c r="F1134" s="989">
        <v>11</v>
      </c>
      <c r="G1134" s="989">
        <v>16</v>
      </c>
      <c r="H1134" s="989"/>
      <c r="I1134" s="33" t="s">
        <v>1362</v>
      </c>
      <c r="J1134" s="33" t="s">
        <v>3024</v>
      </c>
      <c r="K1134" s="222">
        <v>96</v>
      </c>
      <c r="L1134" s="222">
        <v>5414840000</v>
      </c>
      <c r="M1134" s="292">
        <v>97.5</v>
      </c>
      <c r="N1134" s="222">
        <v>577613700</v>
      </c>
      <c r="O1134" s="292">
        <v>-0.5</v>
      </c>
      <c r="P1134" s="230">
        <f>SUM(P1135:P1141)</f>
        <v>214730100</v>
      </c>
      <c r="Q1134" s="230">
        <v>0</v>
      </c>
      <c r="R1134" s="230">
        <f>SUM(R1135:R1141)</f>
        <v>12827200</v>
      </c>
      <c r="S1134" s="33"/>
      <c r="T1134" s="230">
        <f>SUM(T1135:T1141)</f>
        <v>59275750</v>
      </c>
      <c r="U1134" s="33"/>
      <c r="V1134" s="230">
        <f>SUM(V1135:V1141)</f>
        <v>0</v>
      </c>
      <c r="W1134" s="33"/>
      <c r="X1134" s="230">
        <f>SUM(X1135:X1141)</f>
        <v>0</v>
      </c>
      <c r="Y1134" s="545">
        <f>Q1134+S1134+U1134+W1134</f>
        <v>0</v>
      </c>
      <c r="Z1134" s="230">
        <f>SUM(Z1135:Z1141)</f>
        <v>72102950</v>
      </c>
      <c r="AA1134" s="545">
        <f t="shared" si="325"/>
        <v>97.5</v>
      </c>
      <c r="AB1134" s="223">
        <f t="shared" si="325"/>
        <v>649716650</v>
      </c>
      <c r="AC1134" s="148">
        <f t="shared" si="320"/>
        <v>101.5625</v>
      </c>
      <c r="AD1134" s="292">
        <f t="shared" si="321"/>
        <v>11.998815292787967</v>
      </c>
      <c r="AE1134" s="369" t="s">
        <v>126</v>
      </c>
      <c r="AF1134" s="201"/>
      <c r="AG1134" s="201"/>
      <c r="AH1134" s="201"/>
      <c r="AI1134" s="201"/>
      <c r="AJ1134" s="201"/>
      <c r="AK1134" s="201"/>
      <c r="AL1134" s="201"/>
      <c r="AM1134" s="201"/>
      <c r="AN1134" s="201"/>
      <c r="AO1134" s="201"/>
      <c r="AP1134" s="201"/>
      <c r="AQ1134" s="201"/>
      <c r="AR1134" s="201"/>
      <c r="AS1134" s="201"/>
      <c r="AT1134" s="201"/>
      <c r="AU1134" s="201"/>
      <c r="AV1134" s="201"/>
      <c r="AW1134" s="201"/>
      <c r="AX1134" s="201"/>
      <c r="AY1134" s="201"/>
      <c r="AZ1134" s="201"/>
      <c r="BA1134" s="201"/>
      <c r="BB1134" s="201"/>
      <c r="BC1134" s="20"/>
      <c r="BD1134" s="20"/>
      <c r="BE1134" s="20"/>
      <c r="BF1134" s="20"/>
      <c r="BG1134" s="20"/>
      <c r="BH1134" s="20"/>
      <c r="BI1134" s="20"/>
      <c r="BJ1134" s="20"/>
      <c r="BK1134" s="20"/>
      <c r="BL1134" s="20"/>
      <c r="BM1134" s="20"/>
      <c r="BN1134" s="20"/>
      <c r="BO1134" s="20"/>
      <c r="BP1134" s="20"/>
      <c r="BQ1134" s="20"/>
      <c r="BR1134" s="1346"/>
    </row>
    <row r="1135" spans="1:70" s="22" customFormat="1" ht="49.5">
      <c r="A1135" s="89"/>
      <c r="B1135" s="88"/>
      <c r="C1135" s="89" t="s">
        <v>28</v>
      </c>
      <c r="D1135" s="89">
        <v>1</v>
      </c>
      <c r="E1135" s="89" t="s">
        <v>28</v>
      </c>
      <c r="F1135" s="89">
        <v>11</v>
      </c>
      <c r="G1135" s="89">
        <v>16</v>
      </c>
      <c r="H1135" s="605" t="s">
        <v>39</v>
      </c>
      <c r="I1135" s="88" t="s">
        <v>1363</v>
      </c>
      <c r="J1135" s="88" t="s">
        <v>3025</v>
      </c>
      <c r="K1135" s="217" t="s">
        <v>1364</v>
      </c>
      <c r="L1135" s="203">
        <f>4*P1135</f>
        <v>361240400</v>
      </c>
      <c r="M1135" s="126">
        <v>0</v>
      </c>
      <c r="N1135" s="203">
        <v>0</v>
      </c>
      <c r="O1135" s="100">
        <v>30</v>
      </c>
      <c r="P1135" s="125">
        <v>90310100</v>
      </c>
      <c r="Q1135" s="125">
        <v>0</v>
      </c>
      <c r="R1135" s="99">
        <v>6763450</v>
      </c>
      <c r="S1135" s="88">
        <v>150</v>
      </c>
      <c r="T1135" s="99">
        <v>41345250</v>
      </c>
      <c r="U1135" s="88"/>
      <c r="V1135" s="99"/>
      <c r="W1135" s="88"/>
      <c r="X1135" s="202"/>
      <c r="Y1135" s="100"/>
      <c r="Z1135" s="206">
        <f t="shared" ref="Z1135:Z1141" si="326">R1135+T1135+V1135+X1135</f>
        <v>48108700</v>
      </c>
      <c r="AA1135" s="100">
        <f t="shared" si="325"/>
        <v>0</v>
      </c>
      <c r="AB1135" s="206">
        <f t="shared" si="325"/>
        <v>48108700</v>
      </c>
      <c r="AC1135" s="117">
        <f t="shared" si="320"/>
        <v>0</v>
      </c>
      <c r="AD1135" s="1196">
        <f t="shared" si="321"/>
        <v>13.317641105479897</v>
      </c>
      <c r="AE1135" s="607"/>
      <c r="AF1135" s="750"/>
      <c r="AG1135" s="750"/>
      <c r="AH1135" s="750"/>
      <c r="AI1135" s="750"/>
      <c r="AJ1135" s="750"/>
      <c r="AK1135" s="750"/>
      <c r="AL1135" s="750"/>
      <c r="AM1135" s="750"/>
      <c r="AN1135" s="750"/>
      <c r="AO1135" s="750"/>
      <c r="AP1135" s="750"/>
      <c r="AQ1135" s="750"/>
      <c r="AR1135" s="750"/>
      <c r="AS1135" s="750"/>
      <c r="AT1135" s="750"/>
      <c r="AU1135" s="750"/>
      <c r="AV1135" s="750"/>
      <c r="AW1135" s="750"/>
      <c r="AX1135" s="750"/>
      <c r="AY1135" s="750"/>
      <c r="AZ1135" s="750"/>
      <c r="BA1135" s="750"/>
      <c r="BB1135" s="750"/>
      <c r="BC1135" s="752"/>
      <c r="BD1135" s="752"/>
      <c r="BE1135" s="752"/>
      <c r="BF1135" s="752"/>
      <c r="BG1135" s="752"/>
      <c r="BH1135" s="752"/>
      <c r="BI1135" s="752"/>
      <c r="BJ1135" s="752"/>
      <c r="BK1135" s="752"/>
      <c r="BL1135" s="752"/>
      <c r="BM1135" s="752"/>
      <c r="BN1135" s="752"/>
      <c r="BO1135" s="752"/>
      <c r="BP1135" s="752"/>
      <c r="BQ1135" s="752"/>
      <c r="BR1135" s="752"/>
    </row>
    <row r="1136" spans="1:70" s="22" customFormat="1" ht="49.5">
      <c r="A1136" s="89"/>
      <c r="B1136" s="88"/>
      <c r="C1136" s="89" t="s">
        <v>28</v>
      </c>
      <c r="D1136" s="89">
        <v>1</v>
      </c>
      <c r="E1136" s="89" t="s">
        <v>28</v>
      </c>
      <c r="F1136" s="89">
        <v>11</v>
      </c>
      <c r="G1136" s="89">
        <v>16</v>
      </c>
      <c r="H1136" s="605" t="s">
        <v>56</v>
      </c>
      <c r="I1136" s="88" t="s">
        <v>1365</v>
      </c>
      <c r="J1136" s="88" t="s">
        <v>3026</v>
      </c>
      <c r="K1136" s="215">
        <v>360</v>
      </c>
      <c r="L1136" s="203">
        <f>4*N1136</f>
        <v>332462000</v>
      </c>
      <c r="M1136" s="216" t="s">
        <v>1366</v>
      </c>
      <c r="N1136" s="203">
        <v>83115500</v>
      </c>
      <c r="O1136" s="100">
        <v>60</v>
      </c>
      <c r="P1136" s="207">
        <v>81450000</v>
      </c>
      <c r="Q1136" s="125">
        <v>0</v>
      </c>
      <c r="R1136" s="99">
        <v>0</v>
      </c>
      <c r="S1136" s="88">
        <v>0</v>
      </c>
      <c r="T1136" s="99">
        <v>6906750</v>
      </c>
      <c r="U1136" s="41"/>
      <c r="V1136" s="99"/>
      <c r="W1136" s="41"/>
      <c r="X1136" s="99"/>
      <c r="Y1136" s="100">
        <f t="shared" ref="Y1136:Y1149" si="327">Q1136+S1136+U1136+W1136</f>
        <v>0</v>
      </c>
      <c r="Z1136" s="206">
        <f t="shared" si="326"/>
        <v>6906750</v>
      </c>
      <c r="AA1136" s="100">
        <f t="shared" si="325"/>
        <v>60</v>
      </c>
      <c r="AB1136" s="206">
        <f t="shared" si="325"/>
        <v>90022250</v>
      </c>
      <c r="AC1136" s="117">
        <f t="shared" si="320"/>
        <v>16.666666666666664</v>
      </c>
      <c r="AD1136" s="1196">
        <f t="shared" si="321"/>
        <v>27.077455468594909</v>
      </c>
      <c r="AE1136" s="607"/>
      <c r="AF1136" s="201"/>
      <c r="AG1136" s="201"/>
      <c r="AH1136" s="201"/>
      <c r="AI1136" s="201"/>
      <c r="AJ1136" s="201"/>
      <c r="AK1136" s="201"/>
      <c r="AL1136" s="201"/>
      <c r="AM1136" s="201"/>
      <c r="AN1136" s="201"/>
      <c r="AO1136" s="201"/>
      <c r="AP1136" s="201"/>
      <c r="AQ1136" s="201"/>
      <c r="AR1136" s="201"/>
      <c r="AS1136" s="201"/>
      <c r="AT1136" s="201"/>
      <c r="AU1136" s="201"/>
      <c r="AV1136" s="201"/>
      <c r="AW1136" s="201"/>
      <c r="AX1136" s="201"/>
      <c r="AY1136" s="201"/>
      <c r="AZ1136" s="201"/>
      <c r="BA1136" s="201"/>
      <c r="BB1136" s="201"/>
      <c r="BC1136" s="20"/>
      <c r="BD1136" s="20"/>
      <c r="BE1136" s="20"/>
      <c r="BF1136" s="20"/>
      <c r="BG1136" s="20"/>
      <c r="BH1136" s="20"/>
      <c r="BI1136" s="20"/>
      <c r="BJ1136" s="20"/>
      <c r="BK1136" s="20"/>
      <c r="BL1136" s="20"/>
      <c r="BM1136" s="20"/>
      <c r="BN1136" s="20"/>
      <c r="BO1136" s="20"/>
      <c r="BP1136" s="20"/>
      <c r="BQ1136" s="20"/>
      <c r="BR1136" s="752"/>
    </row>
    <row r="1137" spans="1:70" s="22" customFormat="1" ht="49.5">
      <c r="A1137" s="89"/>
      <c r="B1137" s="88"/>
      <c r="C1137" s="89" t="s">
        <v>28</v>
      </c>
      <c r="D1137" s="89">
        <v>1</v>
      </c>
      <c r="E1137" s="89" t="s">
        <v>28</v>
      </c>
      <c r="F1137" s="89">
        <v>11</v>
      </c>
      <c r="G1137" s="89">
        <v>16</v>
      </c>
      <c r="H1137" s="605" t="s">
        <v>58</v>
      </c>
      <c r="I1137" s="88" t="s">
        <v>1367</v>
      </c>
      <c r="J1137" s="88" t="s">
        <v>3027</v>
      </c>
      <c r="K1137" s="217">
        <v>0.05</v>
      </c>
      <c r="L1137" s="203">
        <v>755000000</v>
      </c>
      <c r="M1137" s="97">
        <v>2</v>
      </c>
      <c r="N1137" s="203">
        <v>91404500</v>
      </c>
      <c r="O1137" s="100">
        <v>1</v>
      </c>
      <c r="P1137" s="207">
        <v>42970000</v>
      </c>
      <c r="Q1137" s="125">
        <v>0</v>
      </c>
      <c r="R1137" s="99">
        <v>6063750</v>
      </c>
      <c r="S1137" s="88"/>
      <c r="T1137" s="99">
        <v>11023750</v>
      </c>
      <c r="U1137" s="88"/>
      <c r="V1137" s="99"/>
      <c r="W1137" s="88"/>
      <c r="X1137" s="99"/>
      <c r="Y1137" s="100">
        <f t="shared" si="327"/>
        <v>0</v>
      </c>
      <c r="Z1137" s="206">
        <f t="shared" si="326"/>
        <v>17087500</v>
      </c>
      <c r="AA1137" s="100">
        <f t="shared" si="325"/>
        <v>2</v>
      </c>
      <c r="AB1137" s="206">
        <f t="shared" si="325"/>
        <v>108492000</v>
      </c>
      <c r="AC1137" s="117">
        <f t="shared" si="320"/>
        <v>4000</v>
      </c>
      <c r="AD1137" s="1196">
        <f t="shared" si="321"/>
        <v>14.369801324503312</v>
      </c>
      <c r="AE1137" s="607"/>
      <c r="AF1137" s="750"/>
      <c r="AG1137" s="750"/>
      <c r="AH1137" s="750"/>
      <c r="AI1137" s="750"/>
      <c r="AJ1137" s="750"/>
      <c r="AK1137" s="750"/>
      <c r="AL1137" s="750"/>
      <c r="AM1137" s="750"/>
      <c r="AN1137" s="750"/>
      <c r="AO1137" s="750"/>
      <c r="AP1137" s="750"/>
      <c r="AQ1137" s="750"/>
      <c r="AR1137" s="750"/>
      <c r="AS1137" s="750"/>
      <c r="AT1137" s="750"/>
      <c r="AU1137" s="750"/>
      <c r="AV1137" s="750"/>
      <c r="AW1137" s="750"/>
      <c r="AX1137" s="750"/>
      <c r="AY1137" s="750"/>
      <c r="AZ1137" s="750"/>
      <c r="BA1137" s="750"/>
      <c r="BB1137" s="750"/>
      <c r="BC1137" s="752"/>
      <c r="BD1137" s="752"/>
      <c r="BE1137" s="752"/>
      <c r="BF1137" s="752"/>
      <c r="BG1137" s="752"/>
      <c r="BH1137" s="752"/>
      <c r="BI1137" s="752"/>
      <c r="BJ1137" s="752"/>
      <c r="BK1137" s="752"/>
      <c r="BL1137" s="752"/>
      <c r="BM1137" s="752"/>
      <c r="BN1137" s="752"/>
      <c r="BO1137" s="752"/>
      <c r="BP1137" s="752"/>
      <c r="BQ1137" s="752"/>
      <c r="BR1137" s="752"/>
    </row>
    <row r="1138" spans="1:70" s="22" customFormat="1" ht="33">
      <c r="A1138" s="89"/>
      <c r="B1138" s="88"/>
      <c r="C1138" s="89" t="s">
        <v>28</v>
      </c>
      <c r="D1138" s="89">
        <v>1</v>
      </c>
      <c r="E1138" s="89" t="s">
        <v>28</v>
      </c>
      <c r="F1138" s="89">
        <v>11</v>
      </c>
      <c r="G1138" s="89">
        <v>16</v>
      </c>
      <c r="H1138" s="605" t="s">
        <v>42</v>
      </c>
      <c r="I1138" s="88" t="s">
        <v>1368</v>
      </c>
      <c r="J1138" s="88" t="s">
        <v>1369</v>
      </c>
      <c r="K1138" s="217" t="s">
        <v>128</v>
      </c>
      <c r="L1138" s="203">
        <f>N1138*6</f>
        <v>940218000</v>
      </c>
      <c r="M1138" s="216" t="s">
        <v>107</v>
      </c>
      <c r="N1138" s="203">
        <v>156703000</v>
      </c>
      <c r="O1138" s="213">
        <v>0</v>
      </c>
      <c r="P1138" s="207">
        <v>0</v>
      </c>
      <c r="Q1138" s="212"/>
      <c r="R1138" s="214"/>
      <c r="S1138" s="41"/>
      <c r="T1138" s="214"/>
      <c r="U1138" s="41"/>
      <c r="V1138" s="214"/>
      <c r="W1138" s="41"/>
      <c r="X1138" s="41"/>
      <c r="Y1138" s="100">
        <f t="shared" si="327"/>
        <v>0</v>
      </c>
      <c r="Z1138" s="206">
        <f t="shared" si="326"/>
        <v>0</v>
      </c>
      <c r="AA1138" s="100">
        <f t="shared" si="325"/>
        <v>2</v>
      </c>
      <c r="AB1138" s="206">
        <f t="shared" si="325"/>
        <v>156703000</v>
      </c>
      <c r="AC1138" s="117">
        <f t="shared" si="320"/>
        <v>33.333333333333329</v>
      </c>
      <c r="AD1138" s="1196">
        <f t="shared" si="321"/>
        <v>16.666666666666664</v>
      </c>
      <c r="AE1138" s="607"/>
      <c r="AF1138" s="201"/>
      <c r="AG1138" s="201"/>
      <c r="AH1138" s="201"/>
      <c r="AI1138" s="201"/>
      <c r="AJ1138" s="201"/>
      <c r="AK1138" s="201"/>
      <c r="AL1138" s="201"/>
      <c r="AM1138" s="201"/>
      <c r="AN1138" s="201"/>
      <c r="AO1138" s="201"/>
      <c r="AP1138" s="201"/>
      <c r="AQ1138" s="201"/>
      <c r="AR1138" s="201"/>
      <c r="AS1138" s="201"/>
      <c r="AT1138" s="201"/>
      <c r="AU1138" s="201"/>
      <c r="AV1138" s="201"/>
      <c r="AW1138" s="201"/>
      <c r="AX1138" s="201"/>
      <c r="AY1138" s="201"/>
      <c r="AZ1138" s="201"/>
      <c r="BA1138" s="201"/>
      <c r="BB1138" s="201"/>
      <c r="BC1138" s="20"/>
      <c r="BD1138" s="20"/>
      <c r="BE1138" s="20"/>
      <c r="BF1138" s="20"/>
      <c r="BG1138" s="20"/>
      <c r="BH1138" s="20"/>
      <c r="BI1138" s="20"/>
      <c r="BJ1138" s="20"/>
      <c r="BK1138" s="20"/>
      <c r="BL1138" s="20"/>
      <c r="BM1138" s="20"/>
      <c r="BN1138" s="20"/>
      <c r="BO1138" s="20"/>
      <c r="BP1138" s="20"/>
      <c r="BQ1138" s="20"/>
      <c r="BR1138" s="752"/>
    </row>
    <row r="1139" spans="1:70" s="22" customFormat="1" ht="49.5">
      <c r="A1139" s="89"/>
      <c r="B1139" s="88"/>
      <c r="C1139" s="89" t="s">
        <v>28</v>
      </c>
      <c r="D1139" s="89">
        <v>1</v>
      </c>
      <c r="E1139" s="89" t="s">
        <v>28</v>
      </c>
      <c r="F1139" s="89">
        <v>11</v>
      </c>
      <c r="G1139" s="89">
        <v>16</v>
      </c>
      <c r="H1139" s="89">
        <v>17</v>
      </c>
      <c r="I1139" s="88" t="s">
        <v>1370</v>
      </c>
      <c r="J1139" s="88" t="s">
        <v>3028</v>
      </c>
      <c r="K1139" s="1679">
        <v>400</v>
      </c>
      <c r="L1139" s="203">
        <f>4*N1139</f>
        <v>273332000</v>
      </c>
      <c r="M1139" s="216" t="s">
        <v>1371</v>
      </c>
      <c r="N1139" s="203">
        <v>68333000</v>
      </c>
      <c r="O1139" s="125">
        <v>0</v>
      </c>
      <c r="P1139" s="207">
        <v>0</v>
      </c>
      <c r="Q1139" s="125">
        <v>0</v>
      </c>
      <c r="R1139" s="99">
        <v>0</v>
      </c>
      <c r="S1139" s="88"/>
      <c r="T1139" s="99"/>
      <c r="U1139" s="41"/>
      <c r="V1139" s="214"/>
      <c r="W1139" s="41"/>
      <c r="X1139" s="88"/>
      <c r="Y1139" s="100">
        <f t="shared" si="327"/>
        <v>0</v>
      </c>
      <c r="Z1139" s="206">
        <f t="shared" si="326"/>
        <v>0</v>
      </c>
      <c r="AA1139" s="100">
        <f t="shared" si="325"/>
        <v>90</v>
      </c>
      <c r="AB1139" s="206">
        <f t="shared" si="325"/>
        <v>68333000</v>
      </c>
      <c r="AC1139" s="117">
        <f t="shared" si="320"/>
        <v>22.5</v>
      </c>
      <c r="AD1139" s="125">
        <f t="shared" si="321"/>
        <v>25</v>
      </c>
      <c r="AE1139" s="607"/>
      <c r="AF1139" s="201"/>
      <c r="AG1139" s="201"/>
      <c r="AH1139" s="201"/>
      <c r="AI1139" s="201"/>
      <c r="AJ1139" s="201"/>
      <c r="AK1139" s="201"/>
      <c r="AL1139" s="201"/>
      <c r="AM1139" s="201"/>
      <c r="AN1139" s="201"/>
      <c r="AO1139" s="201"/>
      <c r="AP1139" s="201"/>
      <c r="AQ1139" s="201"/>
      <c r="AR1139" s="201"/>
      <c r="AS1139" s="201"/>
      <c r="AT1139" s="201"/>
      <c r="AU1139" s="201"/>
      <c r="AV1139" s="201"/>
      <c r="AW1139" s="201"/>
      <c r="AX1139" s="201"/>
      <c r="AY1139" s="201"/>
      <c r="AZ1139" s="201"/>
      <c r="BA1139" s="201"/>
      <c r="BB1139" s="201"/>
      <c r="BC1139" s="20"/>
      <c r="BD1139" s="20"/>
      <c r="BE1139" s="20"/>
      <c r="BF1139" s="20"/>
      <c r="BG1139" s="20"/>
      <c r="BH1139" s="20"/>
      <c r="BI1139" s="20"/>
      <c r="BJ1139" s="20"/>
      <c r="BK1139" s="20"/>
      <c r="BL1139" s="20"/>
      <c r="BM1139" s="20"/>
      <c r="BN1139" s="20"/>
      <c r="BO1139" s="20"/>
      <c r="BP1139" s="20"/>
      <c r="BQ1139" s="20"/>
      <c r="BR1139" s="752"/>
    </row>
    <row r="1140" spans="1:70" s="22" customFormat="1" ht="82.5">
      <c r="A1140" s="89"/>
      <c r="B1140" s="88"/>
      <c r="C1140" s="89" t="s">
        <v>28</v>
      </c>
      <c r="D1140" s="89">
        <v>1</v>
      </c>
      <c r="E1140" s="89" t="s">
        <v>28</v>
      </c>
      <c r="F1140" s="89">
        <v>11</v>
      </c>
      <c r="G1140" s="89">
        <v>16</v>
      </c>
      <c r="H1140" s="605" t="s">
        <v>35</v>
      </c>
      <c r="I1140" s="88" t="s">
        <v>1372</v>
      </c>
      <c r="J1140" s="88" t="s">
        <v>1373</v>
      </c>
      <c r="K1140" s="217" t="s">
        <v>1374</v>
      </c>
      <c r="L1140" s="203">
        <f>2*N1140</f>
        <v>593092000</v>
      </c>
      <c r="M1140" s="216" t="s">
        <v>1375</v>
      </c>
      <c r="N1140" s="203">
        <v>296546000</v>
      </c>
      <c r="O1140" s="125">
        <v>0</v>
      </c>
      <c r="P1140" s="207">
        <v>0</v>
      </c>
      <c r="Q1140" s="125">
        <v>0</v>
      </c>
      <c r="R1140" s="99">
        <v>0</v>
      </c>
      <c r="S1140" s="88"/>
      <c r="T1140" s="99"/>
      <c r="U1140" s="88"/>
      <c r="V1140" s="99"/>
      <c r="W1140" s="41"/>
      <c r="X1140" s="99"/>
      <c r="Y1140" s="100">
        <f t="shared" si="327"/>
        <v>0</v>
      </c>
      <c r="Z1140" s="206">
        <f t="shared" si="326"/>
        <v>0</v>
      </c>
      <c r="AA1140" s="100">
        <f t="shared" ref="AA1140:AA1149" si="328">M1140+Y1140</f>
        <v>288</v>
      </c>
      <c r="AB1140" s="206">
        <f>SUM(N1140)</f>
        <v>296546000</v>
      </c>
      <c r="AC1140" s="117">
        <f t="shared" si="320"/>
        <v>72</v>
      </c>
      <c r="AD1140" s="125">
        <f t="shared" si="321"/>
        <v>50</v>
      </c>
      <c r="AE1140" s="607"/>
      <c r="AF1140" s="201"/>
      <c r="AG1140" s="201"/>
      <c r="AH1140" s="201"/>
      <c r="AI1140" s="201"/>
      <c r="AJ1140" s="201"/>
      <c r="AK1140" s="201"/>
      <c r="AL1140" s="201"/>
      <c r="AM1140" s="201"/>
      <c r="AN1140" s="201"/>
      <c r="AO1140" s="201"/>
      <c r="AP1140" s="201"/>
      <c r="AQ1140" s="201"/>
      <c r="AR1140" s="201"/>
      <c r="AS1140" s="201"/>
      <c r="AT1140" s="201"/>
      <c r="AU1140" s="201"/>
      <c r="AV1140" s="201"/>
      <c r="AW1140" s="201"/>
      <c r="AX1140" s="201"/>
      <c r="AY1140" s="201"/>
      <c r="AZ1140" s="201"/>
      <c r="BA1140" s="201"/>
      <c r="BB1140" s="201"/>
      <c r="BC1140" s="20"/>
      <c r="BD1140" s="20"/>
      <c r="BE1140" s="20"/>
      <c r="BF1140" s="20"/>
      <c r="BG1140" s="20"/>
      <c r="BH1140" s="20"/>
      <c r="BI1140" s="20"/>
      <c r="BJ1140" s="20"/>
      <c r="BK1140" s="20"/>
      <c r="BL1140" s="20"/>
      <c r="BM1140" s="20"/>
      <c r="BN1140" s="20"/>
      <c r="BO1140" s="20"/>
      <c r="BP1140" s="20"/>
      <c r="BQ1140" s="20"/>
      <c r="BR1140" s="752"/>
    </row>
    <row r="1141" spans="1:70" ht="36" customHeight="1">
      <c r="A1141" s="130"/>
      <c r="B1141" s="88"/>
      <c r="C1141" s="89" t="s">
        <v>28</v>
      </c>
      <c r="D1141" s="89">
        <v>1</v>
      </c>
      <c r="E1141" s="89" t="s">
        <v>28</v>
      </c>
      <c r="F1141" s="89">
        <v>11</v>
      </c>
      <c r="G1141" s="89">
        <v>16</v>
      </c>
      <c r="H1141" s="605" t="s">
        <v>84</v>
      </c>
      <c r="I1141" s="88" t="s">
        <v>1376</v>
      </c>
      <c r="J1141" s="88" t="s">
        <v>3029</v>
      </c>
      <c r="K1141" s="1679">
        <v>400</v>
      </c>
      <c r="L1141" s="203">
        <f>N1141</f>
        <v>136254000</v>
      </c>
      <c r="M1141" s="216" t="s">
        <v>1377</v>
      </c>
      <c r="N1141" s="203">
        <v>136254000</v>
      </c>
      <c r="O1141" s="100">
        <v>0</v>
      </c>
      <c r="P1141" s="207">
        <v>0</v>
      </c>
      <c r="Q1141" s="100"/>
      <c r="R1141" s="99">
        <v>0</v>
      </c>
      <c r="S1141" s="88"/>
      <c r="T1141" s="99"/>
      <c r="U1141" s="41"/>
      <c r="V1141" s="99"/>
      <c r="W1141" s="41"/>
      <c r="X1141" s="99"/>
      <c r="Y1141" s="100">
        <f t="shared" si="327"/>
        <v>0</v>
      </c>
      <c r="Z1141" s="206">
        <f t="shared" si="326"/>
        <v>0</v>
      </c>
      <c r="AA1141" s="100">
        <f t="shared" si="328"/>
        <v>210</v>
      </c>
      <c r="AB1141" s="206">
        <f>SUM(N1141+Z1141)</f>
        <v>136254000</v>
      </c>
      <c r="AC1141" s="117">
        <f t="shared" si="320"/>
        <v>52.5</v>
      </c>
      <c r="AD1141" s="823">
        <f t="shared" si="321"/>
        <v>100</v>
      </c>
      <c r="AE1141" s="607"/>
      <c r="AF1141" s="201"/>
      <c r="AG1141" s="201"/>
      <c r="AH1141" s="201"/>
      <c r="AI1141" s="201"/>
      <c r="AJ1141" s="201"/>
      <c r="AK1141" s="201"/>
      <c r="AL1141" s="201"/>
      <c r="AM1141" s="201"/>
      <c r="AN1141" s="201"/>
      <c r="AO1141" s="201"/>
      <c r="AP1141" s="201"/>
      <c r="AQ1141" s="201"/>
      <c r="AR1141" s="201"/>
      <c r="AS1141" s="201"/>
      <c r="AT1141" s="201"/>
      <c r="AU1141" s="201"/>
      <c r="AV1141" s="201"/>
      <c r="AW1141" s="201"/>
      <c r="AX1141" s="201"/>
      <c r="AY1141" s="201"/>
      <c r="AZ1141" s="201"/>
      <c r="BA1141" s="201"/>
      <c r="BB1141" s="201"/>
      <c r="BC1141" s="20"/>
      <c r="BD1141" s="20"/>
      <c r="BE1141" s="20"/>
      <c r="BF1141" s="20"/>
      <c r="BG1141" s="20"/>
      <c r="BH1141" s="20"/>
      <c r="BI1141" s="20"/>
      <c r="BJ1141" s="20"/>
      <c r="BK1141" s="20"/>
      <c r="BL1141" s="20"/>
      <c r="BM1141" s="20"/>
      <c r="BN1141" s="20"/>
      <c r="BO1141" s="20"/>
      <c r="BP1141" s="20"/>
      <c r="BQ1141" s="20"/>
    </row>
    <row r="1142" spans="1:70" s="1315" customFormat="1" ht="66">
      <c r="A1142" s="2539">
        <v>7</v>
      </c>
      <c r="B1142" s="381"/>
      <c r="C1142" s="822" t="s">
        <v>28</v>
      </c>
      <c r="D1142" s="822">
        <v>1</v>
      </c>
      <c r="E1142" s="822" t="s">
        <v>28</v>
      </c>
      <c r="F1142" s="822">
        <v>11</v>
      </c>
      <c r="G1142" s="822">
        <v>18</v>
      </c>
      <c r="H1142" s="822"/>
      <c r="I1142" s="381" t="s">
        <v>1378</v>
      </c>
      <c r="J1142" s="33" t="s">
        <v>3030</v>
      </c>
      <c r="K1142" s="222">
        <v>51</v>
      </c>
      <c r="L1142" s="2908">
        <f>SUM(L1143:L1149)</f>
        <v>1002254000</v>
      </c>
      <c r="M1142" s="818">
        <v>45</v>
      </c>
      <c r="N1142" s="2908">
        <v>740229100</v>
      </c>
      <c r="O1142" s="230">
        <v>2</v>
      </c>
      <c r="P1142" s="2910">
        <f>SUM(P1144:P1149)</f>
        <v>385562900</v>
      </c>
      <c r="Q1142" s="230">
        <v>0</v>
      </c>
      <c r="R1142" s="2910">
        <f>SUM(R1143:R1149)</f>
        <v>31538600</v>
      </c>
      <c r="S1142" s="159"/>
      <c r="T1142" s="2910">
        <f>SUM(T1145:T1149)</f>
        <v>51473600</v>
      </c>
      <c r="U1142" s="33"/>
      <c r="V1142" s="2910"/>
      <c r="W1142" s="33"/>
      <c r="X1142" s="2920">
        <f>SUM(X1144:X1148)</f>
        <v>0</v>
      </c>
      <c r="Y1142" s="545">
        <f t="shared" si="327"/>
        <v>0</v>
      </c>
      <c r="Z1142" s="2918">
        <f>Z1144+Z1145+Z1146+Z1147+Z1148+Z1149</f>
        <v>83012200</v>
      </c>
      <c r="AA1142" s="545">
        <f t="shared" si="328"/>
        <v>45</v>
      </c>
      <c r="AB1142" s="2918">
        <f>N1142+Z1142</f>
        <v>823241300</v>
      </c>
      <c r="AC1142" s="148">
        <f t="shared" si="320"/>
        <v>88.235294117647058</v>
      </c>
      <c r="AD1142" s="2916">
        <f t="shared" si="321"/>
        <v>82.138988719426408</v>
      </c>
      <c r="AE1142" s="369" t="s">
        <v>126</v>
      </c>
      <c r="AF1142" s="201"/>
      <c r="AG1142" s="201"/>
      <c r="AH1142" s="201"/>
      <c r="AI1142" s="201"/>
      <c r="AJ1142" s="201"/>
      <c r="AK1142" s="201"/>
      <c r="AL1142" s="201"/>
      <c r="AM1142" s="201"/>
      <c r="AN1142" s="201"/>
      <c r="AO1142" s="201"/>
      <c r="AP1142" s="201"/>
      <c r="AQ1142" s="201"/>
      <c r="AR1142" s="201"/>
      <c r="AS1142" s="201"/>
      <c r="AT1142" s="201"/>
      <c r="AU1142" s="201"/>
      <c r="AV1142" s="201"/>
      <c r="AW1142" s="201"/>
      <c r="AX1142" s="201"/>
      <c r="AY1142" s="201"/>
      <c r="AZ1142" s="201"/>
      <c r="BA1142" s="201"/>
      <c r="BB1142" s="201"/>
      <c r="BC1142" s="20"/>
      <c r="BD1142" s="20"/>
      <c r="BE1142" s="20"/>
      <c r="BF1142" s="20"/>
      <c r="BG1142" s="20"/>
      <c r="BH1142" s="20"/>
      <c r="BI1142" s="20"/>
      <c r="BJ1142" s="20"/>
      <c r="BK1142" s="20"/>
      <c r="BL1142" s="20"/>
      <c r="BM1142" s="20"/>
      <c r="BN1142" s="20"/>
      <c r="BO1142" s="20"/>
      <c r="BP1142" s="20"/>
      <c r="BQ1142" s="20"/>
      <c r="BR1142" s="1346"/>
    </row>
    <row r="1143" spans="1:70" s="1315" customFormat="1" ht="66">
      <c r="A1143" s="1135"/>
      <c r="B1143" s="364"/>
      <c r="C1143" s="1136"/>
      <c r="D1143" s="1136"/>
      <c r="E1143" s="1136"/>
      <c r="F1143" s="1136"/>
      <c r="G1143" s="1136"/>
      <c r="H1143" s="1136"/>
      <c r="I1143" s="364"/>
      <c r="J1143" s="33" t="s">
        <v>3031</v>
      </c>
      <c r="K1143" s="1771" t="s">
        <v>474</v>
      </c>
      <c r="L1143" s="2909"/>
      <c r="M1143" s="230">
        <v>10</v>
      </c>
      <c r="N1143" s="2909"/>
      <c r="O1143" s="230">
        <v>5</v>
      </c>
      <c r="P1143" s="2911"/>
      <c r="Q1143" s="230">
        <v>0</v>
      </c>
      <c r="R1143" s="2911"/>
      <c r="S1143" s="159"/>
      <c r="T1143" s="2911"/>
      <c r="U1143" s="33"/>
      <c r="V1143" s="2911"/>
      <c r="W1143" s="33"/>
      <c r="X1143" s="2921"/>
      <c r="Y1143" s="545">
        <f t="shared" si="327"/>
        <v>0</v>
      </c>
      <c r="Z1143" s="2919"/>
      <c r="AA1143" s="545">
        <f t="shared" si="328"/>
        <v>10</v>
      </c>
      <c r="AB1143" s="2919"/>
      <c r="AC1143" s="148">
        <f t="shared" ref="AC1143:AC1149" si="329">AA1143/K1143*100</f>
        <v>40</v>
      </c>
      <c r="AD1143" s="2917"/>
      <c r="AE1143" s="369"/>
      <c r="AF1143" s="201"/>
      <c r="AG1143" s="201"/>
      <c r="AH1143" s="201"/>
      <c r="AI1143" s="201"/>
      <c r="AJ1143" s="201"/>
      <c r="AK1143" s="201"/>
      <c r="AL1143" s="201"/>
      <c r="AM1143" s="201"/>
      <c r="AN1143" s="201"/>
      <c r="AO1143" s="201"/>
      <c r="AP1143" s="201"/>
      <c r="AQ1143" s="201"/>
      <c r="AR1143" s="201"/>
      <c r="AS1143" s="201"/>
      <c r="AT1143" s="201"/>
      <c r="AU1143" s="201"/>
      <c r="AV1143" s="201"/>
      <c r="AW1143" s="201"/>
      <c r="AX1143" s="201"/>
      <c r="AY1143" s="201"/>
      <c r="AZ1143" s="201"/>
      <c r="BA1143" s="201"/>
      <c r="BB1143" s="201"/>
      <c r="BC1143" s="20"/>
      <c r="BD1143" s="20"/>
      <c r="BE1143" s="20"/>
      <c r="BF1143" s="20"/>
      <c r="BG1143" s="20"/>
      <c r="BH1143" s="20"/>
      <c r="BI1143" s="20"/>
      <c r="BJ1143" s="20"/>
      <c r="BK1143" s="20"/>
      <c r="BL1143" s="20"/>
      <c r="BM1143" s="20"/>
      <c r="BN1143" s="20"/>
      <c r="BO1143" s="20"/>
      <c r="BP1143" s="20"/>
      <c r="BQ1143" s="20"/>
      <c r="BR1143" s="1346"/>
    </row>
    <row r="1144" spans="1:70" ht="49.5">
      <c r="A1144" s="130"/>
      <c r="B1144" s="88"/>
      <c r="C1144" s="89" t="s">
        <v>28</v>
      </c>
      <c r="D1144" s="89">
        <v>1</v>
      </c>
      <c r="E1144" s="89" t="s">
        <v>28</v>
      </c>
      <c r="F1144" s="89">
        <v>11</v>
      </c>
      <c r="G1144" s="89">
        <v>18</v>
      </c>
      <c r="H1144" s="605" t="s">
        <v>78</v>
      </c>
      <c r="I1144" s="88" t="s">
        <v>1379</v>
      </c>
      <c r="J1144" s="88" t="s">
        <v>3032</v>
      </c>
      <c r="K1144" s="217" t="s">
        <v>129</v>
      </c>
      <c r="L1144" s="203">
        <v>303432000</v>
      </c>
      <c r="M1144" s="216" t="s">
        <v>1380</v>
      </c>
      <c r="N1144" s="203">
        <v>21642000</v>
      </c>
      <c r="O1144" s="100">
        <v>50</v>
      </c>
      <c r="P1144" s="207">
        <v>19335000</v>
      </c>
      <c r="Q1144" s="100">
        <v>0</v>
      </c>
      <c r="R1144" s="99">
        <v>1021250</v>
      </c>
      <c r="S1144" s="41"/>
      <c r="T1144" s="214"/>
      <c r="U1144" s="41"/>
      <c r="V1144" s="99"/>
      <c r="W1144" s="88"/>
      <c r="X1144" s="99"/>
      <c r="Y1144" s="100">
        <f t="shared" si="327"/>
        <v>0</v>
      </c>
      <c r="Z1144" s="206">
        <f>R1144+T1144+V1144+X1144</f>
        <v>1021250</v>
      </c>
      <c r="AA1144" s="100">
        <f t="shared" si="328"/>
        <v>120</v>
      </c>
      <c r="AB1144" s="206">
        <f>N1144+Z1144</f>
        <v>22663250</v>
      </c>
      <c r="AC1144" s="117">
        <f t="shared" si="329"/>
        <v>40</v>
      </c>
      <c r="AD1144" s="125">
        <f>AB1144/L1144*100</f>
        <v>7.4689716312056733</v>
      </c>
      <c r="AE1144" s="607"/>
      <c r="AF1144" s="201"/>
      <c r="AG1144" s="201"/>
      <c r="AH1144" s="201"/>
      <c r="AI1144" s="201"/>
      <c r="AJ1144" s="201"/>
      <c r="AK1144" s="201"/>
      <c r="AL1144" s="201"/>
      <c r="AM1144" s="201"/>
      <c r="AN1144" s="201"/>
      <c r="AO1144" s="201"/>
      <c r="AP1144" s="201"/>
      <c r="AQ1144" s="201"/>
      <c r="AR1144" s="201"/>
      <c r="AS1144" s="201"/>
      <c r="AT1144" s="201"/>
      <c r="AU1144" s="201"/>
      <c r="AV1144" s="201"/>
      <c r="AW1144" s="201"/>
      <c r="AX1144" s="201"/>
      <c r="AY1144" s="201"/>
      <c r="AZ1144" s="201"/>
      <c r="BA1144" s="201"/>
      <c r="BB1144" s="201"/>
      <c r="BC1144" s="20"/>
      <c r="BD1144" s="20"/>
      <c r="BE1144" s="20"/>
      <c r="BF1144" s="20"/>
      <c r="BG1144" s="20"/>
      <c r="BH1144" s="20"/>
      <c r="BI1144" s="20"/>
      <c r="BJ1144" s="20"/>
      <c r="BK1144" s="20"/>
      <c r="BL1144" s="20"/>
      <c r="BM1144" s="20"/>
      <c r="BN1144" s="20"/>
      <c r="BO1144" s="20"/>
      <c r="BP1144" s="20"/>
      <c r="BQ1144" s="20"/>
    </row>
    <row r="1145" spans="1:70" ht="82.5">
      <c r="A1145" s="1772"/>
      <c r="B1145" s="1147"/>
      <c r="C1145" s="1125" t="s">
        <v>28</v>
      </c>
      <c r="D1145" s="1125">
        <v>1</v>
      </c>
      <c r="E1145" s="1125" t="s">
        <v>28</v>
      </c>
      <c r="F1145" s="1125">
        <v>11</v>
      </c>
      <c r="G1145" s="1125">
        <v>18</v>
      </c>
      <c r="H1145" s="1431" t="s">
        <v>38</v>
      </c>
      <c r="I1145" s="2902" t="s">
        <v>1381</v>
      </c>
      <c r="J1145" s="88" t="s">
        <v>3033</v>
      </c>
      <c r="K1145" s="217" t="s">
        <v>44</v>
      </c>
      <c r="L1145" s="2904">
        <v>211160000</v>
      </c>
      <c r="M1145" s="216" t="s">
        <v>128</v>
      </c>
      <c r="N1145" s="2904">
        <v>339280500</v>
      </c>
      <c r="O1145" s="100">
        <v>3</v>
      </c>
      <c r="P1145" s="2796">
        <v>251618500</v>
      </c>
      <c r="Q1145" s="100">
        <v>0</v>
      </c>
      <c r="R1145" s="2906">
        <v>28228350</v>
      </c>
      <c r="S1145" s="88"/>
      <c r="T1145" s="2906">
        <v>37023900</v>
      </c>
      <c r="U1145" s="41"/>
      <c r="V1145" s="2906"/>
      <c r="W1145" s="41"/>
      <c r="X1145" s="2906"/>
      <c r="Y1145" s="100">
        <f t="shared" si="327"/>
        <v>0</v>
      </c>
      <c r="Z1145" s="2935">
        <f>R1145+T1145+V1145+X1145</f>
        <v>65252250</v>
      </c>
      <c r="AA1145" s="100">
        <f t="shared" si="328"/>
        <v>6</v>
      </c>
      <c r="AB1145" s="2935">
        <f>SUM(N1145+Z1145)</f>
        <v>404532750</v>
      </c>
      <c r="AC1145" s="117">
        <f t="shared" si="329"/>
        <v>33.333333333333329</v>
      </c>
      <c r="AD1145" s="2906">
        <f>AB1145/L1145*100</f>
        <v>191.57641125213109</v>
      </c>
      <c r="AE1145" s="607"/>
      <c r="AF1145" s="201"/>
      <c r="AG1145" s="201"/>
      <c r="AH1145" s="201"/>
      <c r="AI1145" s="201"/>
      <c r="AJ1145" s="201"/>
      <c r="AK1145" s="201"/>
      <c r="AL1145" s="201"/>
      <c r="AM1145" s="201"/>
      <c r="AN1145" s="201"/>
      <c r="AO1145" s="201"/>
      <c r="AP1145" s="201"/>
      <c r="AQ1145" s="201"/>
      <c r="AR1145" s="201"/>
      <c r="AS1145" s="201"/>
      <c r="AT1145" s="201"/>
      <c r="AU1145" s="201"/>
      <c r="AV1145" s="201"/>
      <c r="AW1145" s="201"/>
      <c r="AX1145" s="201"/>
      <c r="AY1145" s="201"/>
      <c r="AZ1145" s="201"/>
      <c r="BA1145" s="201"/>
      <c r="BB1145" s="201"/>
      <c r="BC1145" s="20"/>
      <c r="BD1145" s="20"/>
      <c r="BE1145" s="20"/>
      <c r="BF1145" s="20"/>
      <c r="BG1145" s="20"/>
      <c r="BH1145" s="20"/>
      <c r="BI1145" s="20"/>
      <c r="BJ1145" s="20"/>
      <c r="BK1145" s="20"/>
      <c r="BL1145" s="20"/>
      <c r="BM1145" s="20"/>
      <c r="BN1145" s="20"/>
      <c r="BO1145" s="20"/>
      <c r="BP1145" s="20"/>
      <c r="BQ1145" s="20"/>
    </row>
    <row r="1146" spans="1:70" ht="49.5">
      <c r="A1146" s="1773"/>
      <c r="B1146" s="328"/>
      <c r="C1146" s="930"/>
      <c r="D1146" s="930"/>
      <c r="E1146" s="930"/>
      <c r="F1146" s="930"/>
      <c r="G1146" s="930"/>
      <c r="H1146" s="930"/>
      <c r="I1146" s="2903"/>
      <c r="J1146" s="88" t="s">
        <v>3034</v>
      </c>
      <c r="K1146" s="217" t="s">
        <v>1382</v>
      </c>
      <c r="L1146" s="2905"/>
      <c r="M1146" s="216" t="s">
        <v>317</v>
      </c>
      <c r="N1146" s="2905"/>
      <c r="O1146" s="100">
        <v>60</v>
      </c>
      <c r="P1146" s="2797"/>
      <c r="Q1146" s="219" t="s">
        <v>31</v>
      </c>
      <c r="R1146" s="2907"/>
      <c r="S1146" s="100"/>
      <c r="T1146" s="2907"/>
      <c r="U1146" s="88"/>
      <c r="V1146" s="2907"/>
      <c r="W1146" s="88"/>
      <c r="X1146" s="2907"/>
      <c r="Y1146" s="100">
        <f t="shared" si="327"/>
        <v>10</v>
      </c>
      <c r="Z1146" s="2936"/>
      <c r="AA1146" s="100">
        <f t="shared" si="328"/>
        <v>188</v>
      </c>
      <c r="AB1146" s="2936"/>
      <c r="AC1146" s="117">
        <f t="shared" si="329"/>
        <v>53.714285714285715</v>
      </c>
      <c r="AD1146" s="2907"/>
      <c r="AE1146" s="607"/>
      <c r="AF1146" s="201"/>
      <c r="AG1146" s="201"/>
      <c r="AH1146" s="201"/>
      <c r="AI1146" s="201"/>
      <c r="AJ1146" s="201"/>
      <c r="AK1146" s="201"/>
      <c r="AL1146" s="201"/>
      <c r="AM1146" s="201"/>
      <c r="AN1146" s="201"/>
      <c r="AO1146" s="201"/>
      <c r="AP1146" s="201"/>
      <c r="AQ1146" s="201"/>
      <c r="AR1146" s="201"/>
      <c r="AS1146" s="201"/>
      <c r="AT1146" s="201"/>
      <c r="AU1146" s="201"/>
      <c r="AV1146" s="201"/>
      <c r="AW1146" s="201"/>
      <c r="AX1146" s="201"/>
      <c r="AY1146" s="201"/>
      <c r="AZ1146" s="201"/>
      <c r="BA1146" s="201"/>
      <c r="BB1146" s="201"/>
      <c r="BC1146" s="20"/>
      <c r="BD1146" s="20"/>
      <c r="BE1146" s="20"/>
      <c r="BF1146" s="20"/>
      <c r="BG1146" s="20"/>
      <c r="BH1146" s="20"/>
      <c r="BI1146" s="20"/>
      <c r="BJ1146" s="20"/>
      <c r="BK1146" s="20"/>
      <c r="BL1146" s="20"/>
      <c r="BM1146" s="20"/>
      <c r="BN1146" s="20"/>
      <c r="BO1146" s="20"/>
      <c r="BP1146" s="20"/>
      <c r="BQ1146" s="20"/>
    </row>
    <row r="1147" spans="1:70" ht="66">
      <c r="A1147" s="130"/>
      <c r="B1147" s="88"/>
      <c r="C1147" s="89" t="s">
        <v>28</v>
      </c>
      <c r="D1147" s="89">
        <v>1</v>
      </c>
      <c r="E1147" s="89" t="s">
        <v>28</v>
      </c>
      <c r="F1147" s="89">
        <v>11</v>
      </c>
      <c r="G1147" s="89">
        <v>18</v>
      </c>
      <c r="H1147" s="89">
        <v>11</v>
      </c>
      <c r="I1147" s="88" t="s">
        <v>1383</v>
      </c>
      <c r="J1147" s="88" t="s">
        <v>1384</v>
      </c>
      <c r="K1147" s="217" t="s">
        <v>1385</v>
      </c>
      <c r="L1147" s="203">
        <v>18280000</v>
      </c>
      <c r="M1147" s="216" t="s">
        <v>1371</v>
      </c>
      <c r="N1147" s="203">
        <v>175402200</v>
      </c>
      <c r="O1147" s="125">
        <v>0</v>
      </c>
      <c r="P1147" s="207">
        <v>0</v>
      </c>
      <c r="Q1147" s="125">
        <v>0</v>
      </c>
      <c r="R1147" s="99">
        <v>0</v>
      </c>
      <c r="S1147" s="100"/>
      <c r="T1147" s="99"/>
      <c r="U1147" s="41"/>
      <c r="V1147" s="99"/>
      <c r="W1147" s="41"/>
      <c r="X1147" s="99"/>
      <c r="Y1147" s="100">
        <f t="shared" si="327"/>
        <v>0</v>
      </c>
      <c r="Z1147" s="206">
        <f>R1147+T1147+V1147+X1147</f>
        <v>0</v>
      </c>
      <c r="AA1147" s="100">
        <f t="shared" si="328"/>
        <v>90</v>
      </c>
      <c r="AB1147" s="206">
        <f>SUM(N1147+Z1147)</f>
        <v>175402200</v>
      </c>
      <c r="AC1147" s="117">
        <f t="shared" si="329"/>
        <v>60</v>
      </c>
      <c r="AD1147" s="125">
        <f>AB1147/L1147*100</f>
        <v>959.53063457330416</v>
      </c>
      <c r="AE1147" s="607"/>
      <c r="AF1147" s="201"/>
      <c r="AG1147" s="201"/>
      <c r="AH1147" s="201"/>
      <c r="AI1147" s="201"/>
      <c r="AJ1147" s="201"/>
      <c r="AK1147" s="201"/>
      <c r="AL1147" s="201"/>
      <c r="AM1147" s="201"/>
      <c r="AN1147" s="201"/>
      <c r="AO1147" s="201"/>
      <c r="AP1147" s="201"/>
      <c r="AQ1147" s="201"/>
      <c r="AR1147" s="201"/>
      <c r="AS1147" s="201"/>
      <c r="AT1147" s="201"/>
      <c r="AU1147" s="201"/>
      <c r="AV1147" s="201"/>
      <c r="AW1147" s="201"/>
      <c r="AX1147" s="201"/>
      <c r="AY1147" s="201"/>
      <c r="AZ1147" s="201"/>
      <c r="BA1147" s="201"/>
      <c r="BB1147" s="201"/>
      <c r="BC1147" s="20"/>
      <c r="BD1147" s="20"/>
      <c r="BE1147" s="20"/>
      <c r="BF1147" s="20"/>
      <c r="BG1147" s="20"/>
      <c r="BH1147" s="20"/>
      <c r="BI1147" s="20"/>
      <c r="BJ1147" s="20"/>
      <c r="BK1147" s="20"/>
      <c r="BL1147" s="20"/>
      <c r="BM1147" s="20"/>
      <c r="BN1147" s="20"/>
      <c r="BO1147" s="20"/>
      <c r="BP1147" s="20"/>
      <c r="BQ1147" s="20"/>
    </row>
    <row r="1148" spans="1:70" ht="49.5">
      <c r="A1148" s="130"/>
      <c r="B1148" s="88"/>
      <c r="C1148" s="89" t="s">
        <v>28</v>
      </c>
      <c r="D1148" s="89">
        <v>1</v>
      </c>
      <c r="E1148" s="89" t="s">
        <v>28</v>
      </c>
      <c r="F1148" s="89">
        <v>11</v>
      </c>
      <c r="G1148" s="89">
        <v>18</v>
      </c>
      <c r="H1148" s="89">
        <v>25</v>
      </c>
      <c r="I1148" s="88" t="s">
        <v>1386</v>
      </c>
      <c r="J1148" s="88" t="s">
        <v>3035</v>
      </c>
      <c r="K1148" s="217" t="s">
        <v>129</v>
      </c>
      <c r="L1148" s="203">
        <v>182802000</v>
      </c>
      <c r="M1148" s="216" t="s">
        <v>346</v>
      </c>
      <c r="N1148" s="203">
        <v>85583000</v>
      </c>
      <c r="O1148" s="100">
        <v>40</v>
      </c>
      <c r="P1148" s="207">
        <v>55622200</v>
      </c>
      <c r="Q1148" s="100">
        <v>0</v>
      </c>
      <c r="R1148" s="99">
        <v>2289000</v>
      </c>
      <c r="S1148" s="88"/>
      <c r="T1148" s="99">
        <v>14449700</v>
      </c>
      <c r="U1148" s="41"/>
      <c r="V1148" s="99"/>
      <c r="W1148" s="41"/>
      <c r="X1148" s="99"/>
      <c r="Y1148" s="100">
        <f t="shared" si="327"/>
        <v>0</v>
      </c>
      <c r="Z1148" s="206">
        <f>R1148+T1148+V1148+X1148</f>
        <v>16738700</v>
      </c>
      <c r="AA1148" s="100">
        <f t="shared" si="328"/>
        <v>75</v>
      </c>
      <c r="AB1148" s="206">
        <f>SUM(N1148+Z1148)</f>
        <v>102321700</v>
      </c>
      <c r="AC1148" s="117">
        <f t="shared" si="329"/>
        <v>25</v>
      </c>
      <c r="AD1148" s="125">
        <f>AB1148/L1148*100</f>
        <v>55.974059364777197</v>
      </c>
      <c r="AE1148" s="607"/>
      <c r="AF1148" s="201"/>
      <c r="AG1148" s="201"/>
      <c r="AH1148" s="201"/>
      <c r="AI1148" s="201"/>
      <c r="AJ1148" s="201"/>
      <c r="AK1148" s="201"/>
      <c r="AL1148" s="201"/>
      <c r="AM1148" s="201"/>
      <c r="AN1148" s="201"/>
      <c r="AO1148" s="201"/>
      <c r="AP1148" s="201"/>
      <c r="AQ1148" s="201"/>
      <c r="AR1148" s="201"/>
      <c r="AS1148" s="201"/>
      <c r="AT1148" s="201"/>
      <c r="AU1148" s="201"/>
      <c r="AV1148" s="201"/>
      <c r="AW1148" s="201"/>
      <c r="AX1148" s="201"/>
      <c r="AY1148" s="201"/>
      <c r="AZ1148" s="201"/>
      <c r="BA1148" s="201"/>
      <c r="BB1148" s="201"/>
      <c r="BC1148" s="20"/>
      <c r="BD1148" s="20"/>
      <c r="BE1148" s="20"/>
      <c r="BF1148" s="20"/>
      <c r="BG1148" s="20"/>
      <c r="BH1148" s="20"/>
      <c r="BI1148" s="20"/>
      <c r="BJ1148" s="20"/>
      <c r="BK1148" s="20"/>
      <c r="BL1148" s="20"/>
      <c r="BM1148" s="20"/>
      <c r="BN1148" s="20"/>
      <c r="BO1148" s="20"/>
      <c r="BP1148" s="20"/>
      <c r="BQ1148" s="20"/>
    </row>
    <row r="1149" spans="1:70" ht="66">
      <c r="A1149" s="130"/>
      <c r="B1149" s="88"/>
      <c r="C1149" s="89" t="s">
        <v>28</v>
      </c>
      <c r="D1149" s="89">
        <v>1</v>
      </c>
      <c r="E1149" s="89" t="s">
        <v>28</v>
      </c>
      <c r="F1149" s="89">
        <v>11</v>
      </c>
      <c r="G1149" s="89">
        <v>18</v>
      </c>
      <c r="H1149" s="89">
        <v>27</v>
      </c>
      <c r="I1149" s="88" t="s">
        <v>1387</v>
      </c>
      <c r="J1149" s="88" t="s">
        <v>3036</v>
      </c>
      <c r="K1149" s="217" t="s">
        <v>129</v>
      </c>
      <c r="L1149" s="203">
        <v>286580000</v>
      </c>
      <c r="M1149" s="216" t="s">
        <v>1380</v>
      </c>
      <c r="N1149" s="203">
        <v>93166000</v>
      </c>
      <c r="O1149" s="100">
        <v>40</v>
      </c>
      <c r="P1149" s="207">
        <v>58987200</v>
      </c>
      <c r="Q1149" s="100">
        <v>0</v>
      </c>
      <c r="R1149" s="99">
        <v>0</v>
      </c>
      <c r="S1149" s="88"/>
      <c r="T1149" s="99"/>
      <c r="U1149" s="41"/>
      <c r="V1149" s="214"/>
      <c r="W1149" s="41"/>
      <c r="X1149" s="41"/>
      <c r="Y1149" s="100">
        <f t="shared" si="327"/>
        <v>0</v>
      </c>
      <c r="Z1149" s="206">
        <f>R1149+T1149+V1149+X1149</f>
        <v>0</v>
      </c>
      <c r="AA1149" s="100">
        <f t="shared" si="328"/>
        <v>120</v>
      </c>
      <c r="AB1149" s="206">
        <f>SUM(N1149)</f>
        <v>93166000</v>
      </c>
      <c r="AC1149" s="117">
        <f t="shared" si="329"/>
        <v>40</v>
      </c>
      <c r="AD1149" s="125">
        <f>AB1149/L1149*100</f>
        <v>32.50959592434922</v>
      </c>
      <c r="AE1149" s="607"/>
    </row>
    <row r="1150" spans="1:70" s="1235" customFormat="1" ht="24" customHeight="1">
      <c r="A1150" s="2737" t="s">
        <v>63</v>
      </c>
      <c r="B1150" s="2737"/>
      <c r="C1150" s="2741"/>
      <c r="D1150" s="2741"/>
      <c r="E1150" s="2741"/>
      <c r="F1150" s="2741"/>
      <c r="G1150" s="2741"/>
      <c r="H1150" s="2741"/>
      <c r="I1150" s="2741"/>
      <c r="J1150" s="2741"/>
      <c r="K1150" s="2741"/>
      <c r="L1150" s="2741"/>
      <c r="M1150" s="2741"/>
      <c r="N1150" s="2741"/>
      <c r="O1150" s="2741"/>
      <c r="P1150" s="2741"/>
      <c r="Q1150" s="2741"/>
      <c r="R1150" s="2741"/>
      <c r="S1150" s="2741"/>
      <c r="T1150" s="2741"/>
      <c r="U1150" s="2741"/>
      <c r="V1150" s="2741"/>
      <c r="W1150" s="2741"/>
      <c r="X1150" s="2741"/>
      <c r="Y1150" s="2741"/>
      <c r="Z1150" s="2741"/>
      <c r="AA1150" s="2741"/>
      <c r="AB1150" s="2741"/>
      <c r="AC1150" s="965">
        <f>(AC1110+AC1122+AC1127+AC1129+AC1131+AC1134+AC1142+AC1143)/8</f>
        <v>56.019640032219172</v>
      </c>
      <c r="AD1150" s="965">
        <f>(AD1110+AD1122+AD1127+AD1129+AD1131+AD1134+AD1142)/7</f>
        <v>73.681259345372482</v>
      </c>
      <c r="AE1150" s="1774"/>
      <c r="AF1150" s="861"/>
      <c r="AG1150" s="861"/>
      <c r="AH1150" s="861"/>
      <c r="AI1150" s="861"/>
      <c r="AJ1150" s="861"/>
      <c r="AK1150" s="861"/>
      <c r="AL1150" s="861"/>
      <c r="AM1150" s="861"/>
      <c r="AN1150" s="861"/>
      <c r="AO1150" s="861"/>
      <c r="AP1150" s="861"/>
      <c r="AQ1150" s="861"/>
      <c r="AR1150" s="861"/>
      <c r="AS1150" s="861"/>
      <c r="AT1150" s="861"/>
      <c r="AU1150" s="861"/>
      <c r="AV1150" s="861"/>
      <c r="AW1150" s="861"/>
      <c r="AX1150" s="861"/>
      <c r="AY1150" s="861"/>
      <c r="AZ1150" s="861"/>
      <c r="BA1150" s="861"/>
      <c r="BB1150" s="861"/>
      <c r="BC1150" s="862"/>
      <c r="BD1150" s="862"/>
      <c r="BE1150" s="862"/>
      <c r="BF1150" s="862"/>
      <c r="BG1150" s="862"/>
      <c r="BH1150" s="862"/>
      <c r="BI1150" s="862"/>
      <c r="BJ1150" s="862"/>
      <c r="BK1150" s="862"/>
      <c r="BL1150" s="862"/>
      <c r="BM1150" s="862"/>
      <c r="BN1150" s="862"/>
      <c r="BO1150" s="862"/>
      <c r="BP1150" s="862"/>
      <c r="BQ1150" s="862"/>
      <c r="BR1150" s="862"/>
    </row>
    <row r="1151" spans="1:70" s="1235" customFormat="1" ht="24.75" customHeight="1">
      <c r="A1151" s="2737" t="s">
        <v>64</v>
      </c>
      <c r="B1151" s="2737"/>
      <c r="C1151" s="2741"/>
      <c r="D1151" s="2741"/>
      <c r="E1151" s="2741"/>
      <c r="F1151" s="2741"/>
      <c r="G1151" s="2741"/>
      <c r="H1151" s="2741"/>
      <c r="I1151" s="2741"/>
      <c r="J1151" s="2741"/>
      <c r="K1151" s="2741"/>
      <c r="L1151" s="2741"/>
      <c r="M1151" s="2741"/>
      <c r="N1151" s="2741"/>
      <c r="O1151" s="2741"/>
      <c r="P1151" s="2741"/>
      <c r="Q1151" s="2741"/>
      <c r="R1151" s="2741"/>
      <c r="S1151" s="2741"/>
      <c r="T1151" s="2741"/>
      <c r="U1151" s="2741"/>
      <c r="V1151" s="2741"/>
      <c r="W1151" s="2741"/>
      <c r="X1151" s="2741"/>
      <c r="Y1151" s="2741"/>
      <c r="Z1151" s="2741"/>
      <c r="AA1151" s="2741"/>
      <c r="AB1151" s="2741"/>
      <c r="AC1151" s="604" t="str">
        <f>IF(AC1150&gt;=91,"ST",IF(AC1150&gt;=76,"T",IF(AC1150&gt;=66,"S",IF(AC1150&gt;=51,"R","SR"))))</f>
        <v>R</v>
      </c>
      <c r="AD1151" s="604" t="str">
        <f>IF(AD1150&gt;=91,"ST",IF(AD1150&gt;=76,"T",IF(AD1150&gt;=66,"S",IF(AD1150&gt;=51,"R","SR"))))</f>
        <v>S</v>
      </c>
      <c r="AE1151" s="1774"/>
      <c r="AF1151" s="861"/>
      <c r="AG1151" s="861"/>
      <c r="AH1151" s="861"/>
      <c r="AI1151" s="861"/>
      <c r="AJ1151" s="861"/>
      <c r="AK1151" s="861"/>
      <c r="AL1151" s="861"/>
      <c r="AM1151" s="861"/>
      <c r="AN1151" s="861"/>
      <c r="AO1151" s="861"/>
      <c r="AP1151" s="861"/>
      <c r="AQ1151" s="861"/>
      <c r="AR1151" s="861"/>
      <c r="AS1151" s="861"/>
      <c r="AT1151" s="861"/>
      <c r="AU1151" s="861"/>
      <c r="AV1151" s="861"/>
      <c r="AW1151" s="861"/>
      <c r="AX1151" s="861"/>
      <c r="AY1151" s="861"/>
      <c r="AZ1151" s="861"/>
      <c r="BA1151" s="861"/>
      <c r="BB1151" s="861"/>
      <c r="BC1151" s="862"/>
      <c r="BD1151" s="862"/>
      <c r="BE1151" s="862"/>
      <c r="BF1151" s="862"/>
      <c r="BG1151" s="862"/>
      <c r="BH1151" s="862"/>
      <c r="BI1151" s="862"/>
      <c r="BJ1151" s="862"/>
      <c r="BK1151" s="862"/>
      <c r="BL1151" s="862"/>
      <c r="BM1151" s="862"/>
      <c r="BN1151" s="862"/>
      <c r="BO1151" s="862"/>
      <c r="BP1151" s="862"/>
      <c r="BQ1151" s="862"/>
      <c r="BR1151" s="862"/>
    </row>
    <row r="1152" spans="1:70" ht="36" customHeight="1">
      <c r="A1152" s="1766" t="s">
        <v>130</v>
      </c>
      <c r="B1152" s="1767"/>
      <c r="C1152" s="1766"/>
      <c r="D1152" s="1766"/>
      <c r="E1152" s="1766"/>
      <c r="F1152" s="1766"/>
      <c r="G1152" s="1766"/>
      <c r="H1152" s="1766"/>
      <c r="I1152" s="2937" t="s">
        <v>2106</v>
      </c>
      <c r="J1152" s="2938"/>
      <c r="K1152" s="1673"/>
      <c r="L1152" s="1769">
        <f>L1153+L1167+L1172+L1175+L1182</f>
        <v>5196146197</v>
      </c>
      <c r="M1152" s="1673"/>
      <c r="N1152" s="1674">
        <v>3636949721</v>
      </c>
      <c r="O1152" s="1673"/>
      <c r="P1152" s="1775">
        <f>P1153+P1167+P1172+P1175+P1182+P1189</f>
        <v>1539240500</v>
      </c>
      <c r="Q1152" s="1776">
        <f t="shared" ref="Q1152:Q1189" si="330">R1152/P1152*100</f>
        <v>15.158496739138554</v>
      </c>
      <c r="R1152" s="1674">
        <f>R1153+R1167+R1172+R1175+R1182</f>
        <v>233325721</v>
      </c>
      <c r="S1152" s="1777"/>
      <c r="T1152" s="1674">
        <f>T1153+T1167+T1172+T1175+T1182</f>
        <v>577205618</v>
      </c>
      <c r="U1152" s="1778"/>
      <c r="V1152" s="1674"/>
      <c r="W1152" s="1779"/>
      <c r="X1152" s="1674"/>
      <c r="Y1152" s="2660">
        <v>6</v>
      </c>
      <c r="Z1152" s="1674">
        <f t="shared" ref="Z1152:Z1185" si="331">R1152+T1152+V1152+X1152</f>
        <v>810531339</v>
      </c>
      <c r="AA1152" s="1780"/>
      <c r="AB1152" s="1674">
        <f>AB1153+AB1167+AB1172+AB1175+AB1182</f>
        <v>3153638580</v>
      </c>
      <c r="AC1152" s="1673"/>
      <c r="AD1152" s="1673"/>
      <c r="AE1152" s="1766"/>
      <c r="AF1152" s="200"/>
      <c r="AG1152" s="200"/>
      <c r="AH1152" s="200"/>
      <c r="AI1152" s="200"/>
      <c r="AJ1152" s="200"/>
      <c r="AK1152" s="200"/>
      <c r="AL1152" s="200"/>
      <c r="AM1152" s="200"/>
      <c r="AN1152" s="200"/>
      <c r="AO1152" s="200"/>
      <c r="AP1152" s="200"/>
      <c r="AQ1152" s="200"/>
      <c r="AR1152" s="200"/>
      <c r="AS1152" s="200"/>
      <c r="AT1152" s="200"/>
      <c r="AU1152" s="200"/>
      <c r="AV1152" s="200"/>
      <c r="AW1152" s="200"/>
      <c r="AX1152" s="200"/>
      <c r="AY1152" s="200"/>
      <c r="AZ1152" s="200"/>
      <c r="BA1152" s="200"/>
      <c r="BB1152" s="200"/>
      <c r="BC1152" s="970"/>
      <c r="BD1152" s="970"/>
      <c r="BE1152" s="970"/>
      <c r="BF1152" s="970"/>
      <c r="BG1152" s="970"/>
      <c r="BH1152" s="970"/>
      <c r="BI1152" s="970"/>
      <c r="BJ1152" s="970"/>
      <c r="BK1152" s="970"/>
      <c r="BL1152" s="970"/>
      <c r="BM1152" s="970"/>
      <c r="BN1152" s="970"/>
      <c r="BO1152" s="970"/>
      <c r="BP1152" s="970"/>
      <c r="BQ1152" s="970"/>
    </row>
    <row r="1153" spans="1:69" s="1288" customFormat="1" ht="73.5" customHeight="1">
      <c r="A1153" s="303">
        <v>1</v>
      </c>
      <c r="B1153" s="33"/>
      <c r="C1153" s="753" t="s">
        <v>41</v>
      </c>
      <c r="D1153" s="753" t="s">
        <v>28</v>
      </c>
      <c r="E1153" s="753">
        <v>12</v>
      </c>
      <c r="F1153" s="286" t="s">
        <v>2114</v>
      </c>
      <c r="G1153" s="286"/>
      <c r="H1153" s="286"/>
      <c r="I1153" s="44" t="s">
        <v>957</v>
      </c>
      <c r="J1153" s="33" t="s">
        <v>2115</v>
      </c>
      <c r="K1153" s="135">
        <v>72</v>
      </c>
      <c r="L1153" s="160">
        <f>SUM(L1154:L1165)</f>
        <v>1125270969</v>
      </c>
      <c r="M1153" s="135">
        <v>36</v>
      </c>
      <c r="N1153" s="223">
        <v>1293842480</v>
      </c>
      <c r="O1153" s="135">
        <v>12</v>
      </c>
      <c r="P1153" s="281">
        <f>SUM(P1154:P1166)</f>
        <v>574652300</v>
      </c>
      <c r="Q1153" s="754">
        <v>3</v>
      </c>
      <c r="R1153" s="144">
        <f>SUM(R1154:R1165)</f>
        <v>118205773</v>
      </c>
      <c r="S1153" s="1240">
        <v>3</v>
      </c>
      <c r="T1153" s="144">
        <f>SUM(T1154:T1166)</f>
        <v>274298675</v>
      </c>
      <c r="U1153" s="144"/>
      <c r="V1153" s="144"/>
      <c r="W1153" s="144"/>
      <c r="X1153" s="144"/>
      <c r="Y1153" s="160">
        <f t="shared" ref="Y1153:Y1185" si="332">Q1153+S1153+U1153+W1153</f>
        <v>6</v>
      </c>
      <c r="Z1153" s="223">
        <f t="shared" si="331"/>
        <v>392504448</v>
      </c>
      <c r="AA1153" s="135">
        <f t="shared" ref="AA1153:AA1188" si="333">M1153+Y1153</f>
        <v>42</v>
      </c>
      <c r="AB1153" s="223">
        <f>R1153+T1153+V1153+X1153</f>
        <v>392504448</v>
      </c>
      <c r="AC1153" s="539">
        <f t="shared" ref="AC1153:AC1185" si="334">AA1153/K1153*100</f>
        <v>58.333333333333336</v>
      </c>
      <c r="AD1153" s="755">
        <f t="shared" ref="AD1153:AD1185" si="335">AB1153/L1153*100</f>
        <v>34.880882810725033</v>
      </c>
      <c r="AE1153" s="2558" t="s">
        <v>131</v>
      </c>
      <c r="AF1153" s="200"/>
      <c r="AG1153" s="200"/>
      <c r="AH1153" s="200"/>
      <c r="AI1153" s="200"/>
      <c r="AJ1153" s="200"/>
      <c r="AK1153" s="200"/>
      <c r="AL1153" s="200"/>
      <c r="AM1153" s="200"/>
      <c r="AN1153" s="200"/>
      <c r="AO1153" s="200"/>
      <c r="AP1153" s="200"/>
      <c r="AQ1153" s="200"/>
      <c r="AR1153" s="200"/>
      <c r="AS1153" s="200"/>
      <c r="AT1153" s="200"/>
      <c r="AU1153" s="200"/>
      <c r="AV1153" s="200"/>
      <c r="AW1153" s="200"/>
      <c r="AX1153" s="200"/>
      <c r="AY1153" s="200"/>
      <c r="AZ1153" s="200"/>
      <c r="BA1153" s="200"/>
      <c r="BB1153" s="200"/>
      <c r="BC1153" s="970"/>
      <c r="BD1153" s="970"/>
      <c r="BE1153" s="970"/>
      <c r="BF1153" s="970"/>
      <c r="BG1153" s="970"/>
      <c r="BH1153" s="970"/>
      <c r="BI1153" s="970"/>
      <c r="BJ1153" s="970"/>
      <c r="BK1153" s="970"/>
      <c r="BL1153" s="970"/>
      <c r="BM1153" s="970"/>
      <c r="BN1153" s="970"/>
      <c r="BO1153" s="970"/>
      <c r="BP1153" s="970"/>
      <c r="BQ1153" s="970"/>
    </row>
    <row r="1154" spans="1:69" s="1288" customFormat="1" ht="38.25" customHeight="1">
      <c r="A1154" s="779"/>
      <c r="B1154" s="11"/>
      <c r="C1154" s="756" t="s">
        <v>41</v>
      </c>
      <c r="D1154" s="756" t="s">
        <v>28</v>
      </c>
      <c r="E1154" s="756">
        <v>12</v>
      </c>
      <c r="F1154" s="450" t="s">
        <v>2114</v>
      </c>
      <c r="G1154" s="450"/>
      <c r="H1154" s="756" t="s">
        <v>28</v>
      </c>
      <c r="I1154" s="757" t="s">
        <v>613</v>
      </c>
      <c r="J1154" s="757" t="s">
        <v>2116</v>
      </c>
      <c r="K1154" s="758">
        <v>72</v>
      </c>
      <c r="L1154" s="13">
        <v>102021120</v>
      </c>
      <c r="M1154" s="502">
        <v>36</v>
      </c>
      <c r="N1154" s="265">
        <v>76675098</v>
      </c>
      <c r="O1154" s="758">
        <v>12</v>
      </c>
      <c r="P1154" s="271">
        <v>49800000</v>
      </c>
      <c r="Q1154" s="244">
        <v>3</v>
      </c>
      <c r="R1154" s="24">
        <v>5879373</v>
      </c>
      <c r="S1154" s="244">
        <v>3</v>
      </c>
      <c r="T1154" s="24">
        <v>15618945</v>
      </c>
      <c r="U1154" s="279"/>
      <c r="V1154" s="24"/>
      <c r="W1154" s="31"/>
      <c r="X1154" s="265"/>
      <c r="Y1154" s="14">
        <f t="shared" si="332"/>
        <v>6</v>
      </c>
      <c r="Z1154" s="265">
        <f t="shared" si="331"/>
        <v>21498318</v>
      </c>
      <c r="AA1154" s="529">
        <f t="shared" si="333"/>
        <v>42</v>
      </c>
      <c r="AB1154" s="265">
        <f t="shared" ref="AB1154:AB1185" si="336">N1154+Z1154</f>
        <v>98173416</v>
      </c>
      <c r="AC1154" s="759">
        <f t="shared" si="334"/>
        <v>58.333333333333336</v>
      </c>
      <c r="AD1154" s="760">
        <f t="shared" si="335"/>
        <v>96.228522094248731</v>
      </c>
      <c r="AE1154" s="779"/>
      <c r="AF1154" s="200"/>
      <c r="AG1154" s="200"/>
      <c r="AH1154" s="200"/>
      <c r="AI1154" s="200"/>
      <c r="AJ1154" s="200"/>
      <c r="AK1154" s="200"/>
      <c r="AL1154" s="200"/>
      <c r="AM1154" s="200"/>
      <c r="AN1154" s="200"/>
      <c r="AO1154" s="200"/>
      <c r="AP1154" s="200"/>
      <c r="AQ1154" s="200"/>
      <c r="AR1154" s="200"/>
      <c r="AS1154" s="200"/>
      <c r="AT1154" s="200"/>
      <c r="AU1154" s="200"/>
      <c r="AV1154" s="200"/>
      <c r="AW1154" s="200"/>
      <c r="AX1154" s="200"/>
      <c r="AY1154" s="200"/>
      <c r="AZ1154" s="200"/>
      <c r="BA1154" s="200"/>
      <c r="BB1154" s="200"/>
      <c r="BC1154" s="970"/>
      <c r="BD1154" s="970"/>
      <c r="BE1154" s="970"/>
      <c r="BF1154" s="970"/>
      <c r="BG1154" s="970"/>
      <c r="BH1154" s="970"/>
      <c r="BI1154" s="970"/>
      <c r="BJ1154" s="970"/>
      <c r="BK1154" s="970"/>
      <c r="BL1154" s="970"/>
      <c r="BM1154" s="970"/>
      <c r="BN1154" s="970"/>
      <c r="BO1154" s="970"/>
      <c r="BP1154" s="970"/>
      <c r="BQ1154" s="970"/>
    </row>
    <row r="1155" spans="1:69" s="1288" customFormat="1" ht="39" customHeight="1">
      <c r="A1155" s="779"/>
      <c r="B1155" s="11"/>
      <c r="C1155" s="756" t="s">
        <v>41</v>
      </c>
      <c r="D1155" s="756" t="s">
        <v>28</v>
      </c>
      <c r="E1155" s="756">
        <v>12</v>
      </c>
      <c r="F1155" s="450" t="s">
        <v>2114</v>
      </c>
      <c r="G1155" s="450"/>
      <c r="H1155" s="450" t="s">
        <v>2117</v>
      </c>
      <c r="I1155" s="761" t="s">
        <v>102</v>
      </c>
      <c r="J1155" s="761" t="s">
        <v>2118</v>
      </c>
      <c r="K1155" s="758">
        <v>72</v>
      </c>
      <c r="L1155" s="13">
        <v>120056200</v>
      </c>
      <c r="M1155" s="502">
        <v>36</v>
      </c>
      <c r="N1155" s="265">
        <v>143230000</v>
      </c>
      <c r="O1155" s="758">
        <v>12</v>
      </c>
      <c r="P1155" s="243">
        <v>81000000</v>
      </c>
      <c r="Q1155" s="244">
        <v>3</v>
      </c>
      <c r="R1155" s="24">
        <v>16000000</v>
      </c>
      <c r="S1155" s="244">
        <v>3</v>
      </c>
      <c r="T1155" s="24">
        <v>25350000</v>
      </c>
      <c r="U1155" s="279"/>
      <c r="V1155" s="24"/>
      <c r="W1155" s="11"/>
      <c r="X1155" s="265"/>
      <c r="Y1155" s="14">
        <f t="shared" si="332"/>
        <v>6</v>
      </c>
      <c r="Z1155" s="265">
        <f t="shared" si="331"/>
        <v>41350000</v>
      </c>
      <c r="AA1155" s="758">
        <f t="shared" si="333"/>
        <v>42</v>
      </c>
      <c r="AB1155" s="265">
        <f t="shared" si="336"/>
        <v>184580000</v>
      </c>
      <c r="AC1155" s="759">
        <f t="shared" si="334"/>
        <v>58.333333333333336</v>
      </c>
      <c r="AD1155" s="760">
        <f t="shared" si="335"/>
        <v>153.74466291620089</v>
      </c>
      <c r="AE1155" s="779"/>
      <c r="AF1155" s="200"/>
      <c r="AG1155" s="200"/>
      <c r="AH1155" s="200"/>
      <c r="AI1155" s="200"/>
      <c r="AJ1155" s="200"/>
      <c r="AK1155" s="200"/>
      <c r="AL1155" s="200"/>
      <c r="AM1155" s="200"/>
      <c r="AN1155" s="200"/>
      <c r="AO1155" s="200"/>
      <c r="AP1155" s="200"/>
      <c r="AQ1155" s="200"/>
      <c r="AR1155" s="200"/>
      <c r="AS1155" s="200"/>
      <c r="AT1155" s="200"/>
      <c r="AU1155" s="200"/>
      <c r="AV1155" s="200"/>
      <c r="AW1155" s="200"/>
      <c r="AX1155" s="200"/>
      <c r="AY1155" s="200"/>
      <c r="AZ1155" s="200"/>
      <c r="BA1155" s="200"/>
      <c r="BB1155" s="200"/>
      <c r="BC1155" s="970"/>
      <c r="BD1155" s="970"/>
      <c r="BE1155" s="970"/>
      <c r="BF1155" s="970"/>
      <c r="BG1155" s="970"/>
      <c r="BH1155" s="970"/>
      <c r="BI1155" s="970"/>
      <c r="BJ1155" s="970"/>
      <c r="BK1155" s="970"/>
      <c r="BL1155" s="970"/>
      <c r="BM1155" s="970"/>
      <c r="BN1155" s="970"/>
      <c r="BO1155" s="970"/>
      <c r="BP1155" s="970"/>
      <c r="BQ1155" s="970"/>
    </row>
    <row r="1156" spans="1:69" s="1288" customFormat="1" ht="49.5">
      <c r="A1156" s="779"/>
      <c r="B1156" s="11"/>
      <c r="C1156" s="756" t="s">
        <v>41</v>
      </c>
      <c r="D1156" s="756" t="s">
        <v>28</v>
      </c>
      <c r="E1156" s="756">
        <v>12</v>
      </c>
      <c r="F1156" s="450" t="s">
        <v>2114</v>
      </c>
      <c r="G1156" s="450"/>
      <c r="H1156" s="450" t="s">
        <v>2119</v>
      </c>
      <c r="I1156" s="757" t="s">
        <v>616</v>
      </c>
      <c r="J1156" s="761" t="s">
        <v>2120</v>
      </c>
      <c r="K1156" s="758">
        <v>72</v>
      </c>
      <c r="L1156" s="13">
        <v>32454950</v>
      </c>
      <c r="M1156" s="502">
        <v>36</v>
      </c>
      <c r="N1156" s="265">
        <v>121913000</v>
      </c>
      <c r="O1156" s="758">
        <v>12</v>
      </c>
      <c r="P1156" s="243">
        <v>151518500</v>
      </c>
      <c r="Q1156" s="244">
        <v>3</v>
      </c>
      <c r="R1156" s="24">
        <v>25740900</v>
      </c>
      <c r="S1156" s="244">
        <v>3</v>
      </c>
      <c r="T1156" s="24">
        <v>57240900</v>
      </c>
      <c r="U1156" s="279"/>
      <c r="V1156" s="24"/>
      <c r="W1156" s="31"/>
      <c r="X1156" s="265"/>
      <c r="Y1156" s="14">
        <f t="shared" si="332"/>
        <v>6</v>
      </c>
      <c r="Z1156" s="265">
        <f t="shared" si="331"/>
        <v>82981800</v>
      </c>
      <c r="AA1156" s="758">
        <f t="shared" si="333"/>
        <v>42</v>
      </c>
      <c r="AB1156" s="265">
        <f t="shared" si="336"/>
        <v>204894800</v>
      </c>
      <c r="AC1156" s="759">
        <f t="shared" si="334"/>
        <v>58.333333333333336</v>
      </c>
      <c r="AD1156" s="760">
        <f t="shared" si="335"/>
        <v>631.32064600315209</v>
      </c>
      <c r="AE1156" s="779"/>
      <c r="AF1156" s="200"/>
      <c r="AG1156" s="200"/>
      <c r="AH1156" s="200"/>
      <c r="AI1156" s="200"/>
      <c r="AJ1156" s="200"/>
      <c r="AK1156" s="200"/>
      <c r="AL1156" s="200"/>
      <c r="AM1156" s="200"/>
      <c r="AN1156" s="200"/>
      <c r="AO1156" s="200"/>
      <c r="AP1156" s="200"/>
      <c r="AQ1156" s="200"/>
      <c r="AR1156" s="200"/>
      <c r="AS1156" s="200"/>
      <c r="AT1156" s="200"/>
      <c r="AU1156" s="200"/>
      <c r="AV1156" s="200"/>
      <c r="AW1156" s="200"/>
      <c r="AX1156" s="200"/>
      <c r="AY1156" s="200"/>
      <c r="AZ1156" s="200"/>
      <c r="BA1156" s="200"/>
      <c r="BB1156" s="200"/>
      <c r="BC1156" s="970"/>
      <c r="BD1156" s="970"/>
      <c r="BE1156" s="970"/>
      <c r="BF1156" s="970"/>
      <c r="BG1156" s="970"/>
      <c r="BH1156" s="970"/>
      <c r="BI1156" s="970"/>
      <c r="BJ1156" s="970"/>
      <c r="BK1156" s="970"/>
      <c r="BL1156" s="970"/>
      <c r="BM1156" s="970"/>
      <c r="BN1156" s="970"/>
      <c r="BO1156" s="970"/>
      <c r="BP1156" s="970"/>
      <c r="BQ1156" s="970"/>
    </row>
    <row r="1157" spans="1:69" s="1288" customFormat="1" ht="49.5">
      <c r="A1157" s="779"/>
      <c r="B1157" s="11"/>
      <c r="C1157" s="756" t="s">
        <v>41</v>
      </c>
      <c r="D1157" s="756" t="s">
        <v>28</v>
      </c>
      <c r="E1157" s="756">
        <v>12</v>
      </c>
      <c r="F1157" s="450" t="s">
        <v>2114</v>
      </c>
      <c r="G1157" s="450"/>
      <c r="H1157" s="450" t="s">
        <v>2121</v>
      </c>
      <c r="I1157" s="757" t="s">
        <v>420</v>
      </c>
      <c r="J1157" s="761" t="s">
        <v>2122</v>
      </c>
      <c r="K1157" s="758">
        <v>72</v>
      </c>
      <c r="L1157" s="13">
        <v>22254320</v>
      </c>
      <c r="M1157" s="502">
        <v>36</v>
      </c>
      <c r="N1157" s="265">
        <v>20980000</v>
      </c>
      <c r="O1157" s="758">
        <v>12</v>
      </c>
      <c r="P1157" s="243">
        <v>13800000</v>
      </c>
      <c r="Q1157" s="244">
        <v>3</v>
      </c>
      <c r="R1157" s="24">
        <v>6000000</v>
      </c>
      <c r="S1157" s="244">
        <v>3</v>
      </c>
      <c r="T1157" s="24">
        <v>11050000</v>
      </c>
      <c r="U1157" s="279"/>
      <c r="V1157" s="24"/>
      <c r="W1157" s="31"/>
      <c r="X1157" s="265"/>
      <c r="Y1157" s="14">
        <f t="shared" si="332"/>
        <v>6</v>
      </c>
      <c r="Z1157" s="265">
        <f t="shared" si="331"/>
        <v>17050000</v>
      </c>
      <c r="AA1157" s="758">
        <f t="shared" si="333"/>
        <v>42</v>
      </c>
      <c r="AB1157" s="265">
        <f t="shared" si="336"/>
        <v>38030000</v>
      </c>
      <c r="AC1157" s="759">
        <f t="shared" si="334"/>
        <v>58.333333333333336</v>
      </c>
      <c r="AD1157" s="760">
        <f t="shared" si="335"/>
        <v>170.88816912851078</v>
      </c>
      <c r="AE1157" s="779"/>
      <c r="AF1157" s="200"/>
      <c r="AG1157" s="200"/>
      <c r="AH1157" s="200"/>
      <c r="AI1157" s="200"/>
      <c r="AJ1157" s="200"/>
      <c r="AK1157" s="200"/>
      <c r="AL1157" s="200"/>
      <c r="AM1157" s="200"/>
      <c r="AN1157" s="200"/>
      <c r="AO1157" s="200"/>
      <c r="AP1157" s="200"/>
      <c r="AQ1157" s="200"/>
      <c r="AR1157" s="200"/>
      <c r="AS1157" s="200"/>
      <c r="AT1157" s="200"/>
      <c r="AU1157" s="200"/>
      <c r="AV1157" s="200"/>
      <c r="AW1157" s="200"/>
      <c r="AX1157" s="200"/>
      <c r="AY1157" s="200"/>
      <c r="AZ1157" s="200"/>
      <c r="BA1157" s="200"/>
      <c r="BB1157" s="200"/>
      <c r="BC1157" s="970"/>
      <c r="BD1157" s="970"/>
      <c r="BE1157" s="970"/>
      <c r="BF1157" s="970"/>
      <c r="BG1157" s="970"/>
      <c r="BH1157" s="970"/>
      <c r="BI1157" s="970"/>
      <c r="BJ1157" s="970"/>
      <c r="BK1157" s="970"/>
      <c r="BL1157" s="970"/>
      <c r="BM1157" s="970"/>
      <c r="BN1157" s="970"/>
      <c r="BO1157" s="970"/>
      <c r="BP1157" s="970"/>
      <c r="BQ1157" s="970"/>
    </row>
    <row r="1158" spans="1:69" s="1288" customFormat="1" ht="33">
      <c r="A1158" s="779"/>
      <c r="B1158" s="11"/>
      <c r="C1158" s="756" t="s">
        <v>41</v>
      </c>
      <c r="D1158" s="756" t="s">
        <v>28</v>
      </c>
      <c r="E1158" s="756">
        <v>12</v>
      </c>
      <c r="F1158" s="450" t="s">
        <v>2114</v>
      </c>
      <c r="G1158" s="450"/>
      <c r="H1158" s="450" t="s">
        <v>2123</v>
      </c>
      <c r="I1158" s="757" t="s">
        <v>32</v>
      </c>
      <c r="J1158" s="761" t="s">
        <v>919</v>
      </c>
      <c r="K1158" s="758">
        <v>72</v>
      </c>
      <c r="L1158" s="13">
        <v>67330829</v>
      </c>
      <c r="M1158" s="502">
        <v>36</v>
      </c>
      <c r="N1158" s="265">
        <v>68742500</v>
      </c>
      <c r="O1158" s="758">
        <v>12</v>
      </c>
      <c r="P1158" s="243">
        <v>32760000</v>
      </c>
      <c r="Q1158" s="244">
        <v>3</v>
      </c>
      <c r="R1158" s="24">
        <v>7548000</v>
      </c>
      <c r="S1158" s="244">
        <v>3</v>
      </c>
      <c r="T1158" s="24">
        <v>11429500</v>
      </c>
      <c r="U1158" s="279"/>
      <c r="V1158" s="24"/>
      <c r="W1158" s="31"/>
      <c r="X1158" s="265"/>
      <c r="Y1158" s="14">
        <f t="shared" si="332"/>
        <v>6</v>
      </c>
      <c r="Z1158" s="265">
        <f t="shared" si="331"/>
        <v>18977500</v>
      </c>
      <c r="AA1158" s="758">
        <f t="shared" si="333"/>
        <v>42</v>
      </c>
      <c r="AB1158" s="265">
        <f t="shared" si="336"/>
        <v>87720000</v>
      </c>
      <c r="AC1158" s="759">
        <f t="shared" si="334"/>
        <v>58.333333333333336</v>
      </c>
      <c r="AD1158" s="760">
        <f t="shared" si="335"/>
        <v>130.28207331295445</v>
      </c>
      <c r="AE1158" s="779"/>
      <c r="AF1158" s="200"/>
      <c r="AG1158" s="200"/>
      <c r="AH1158" s="200"/>
      <c r="AI1158" s="200"/>
      <c r="AJ1158" s="200"/>
      <c r="AK1158" s="200"/>
      <c r="AL1158" s="200"/>
      <c r="AM1158" s="200"/>
      <c r="AN1158" s="200"/>
      <c r="AO1158" s="200"/>
      <c r="AP1158" s="200"/>
      <c r="AQ1158" s="200"/>
      <c r="AR1158" s="200"/>
      <c r="AS1158" s="200"/>
      <c r="AT1158" s="200"/>
      <c r="AU1158" s="200"/>
      <c r="AV1158" s="200"/>
      <c r="AW1158" s="200"/>
      <c r="AX1158" s="200"/>
      <c r="AY1158" s="200"/>
      <c r="AZ1158" s="200"/>
      <c r="BA1158" s="200"/>
      <c r="BB1158" s="200"/>
      <c r="BC1158" s="970"/>
      <c r="BD1158" s="970"/>
      <c r="BE1158" s="970"/>
      <c r="BF1158" s="970"/>
      <c r="BG1158" s="970"/>
      <c r="BH1158" s="970"/>
      <c r="BI1158" s="970"/>
      <c r="BJ1158" s="970"/>
      <c r="BK1158" s="970"/>
      <c r="BL1158" s="970"/>
      <c r="BM1158" s="970"/>
      <c r="BN1158" s="970"/>
      <c r="BO1158" s="970"/>
      <c r="BP1158" s="970"/>
      <c r="BQ1158" s="970"/>
    </row>
    <row r="1159" spans="1:69" s="1288" customFormat="1" ht="82.5">
      <c r="A1159" s="779"/>
      <c r="B1159" s="11"/>
      <c r="C1159" s="756" t="s">
        <v>41</v>
      </c>
      <c r="D1159" s="756" t="s">
        <v>28</v>
      </c>
      <c r="E1159" s="756">
        <v>12</v>
      </c>
      <c r="F1159" s="450" t="s">
        <v>2114</v>
      </c>
      <c r="G1159" s="450"/>
      <c r="H1159" s="450" t="s">
        <v>2124</v>
      </c>
      <c r="I1159" s="757" t="s">
        <v>617</v>
      </c>
      <c r="J1159" s="761" t="s">
        <v>2125</v>
      </c>
      <c r="K1159" s="758">
        <v>72</v>
      </c>
      <c r="L1159" s="13">
        <v>66396935</v>
      </c>
      <c r="M1159" s="502">
        <v>36</v>
      </c>
      <c r="N1159" s="265">
        <v>72106000</v>
      </c>
      <c r="O1159" s="758">
        <v>12</v>
      </c>
      <c r="P1159" s="243">
        <v>24880000</v>
      </c>
      <c r="Q1159" s="244">
        <v>3</v>
      </c>
      <c r="R1159" s="24">
        <v>3609000</v>
      </c>
      <c r="S1159" s="244">
        <v>3</v>
      </c>
      <c r="T1159" s="24">
        <v>9215200</v>
      </c>
      <c r="U1159" s="279"/>
      <c r="V1159" s="24"/>
      <c r="W1159" s="31"/>
      <c r="X1159" s="265"/>
      <c r="Y1159" s="14">
        <f t="shared" si="332"/>
        <v>6</v>
      </c>
      <c r="Z1159" s="265">
        <f t="shared" si="331"/>
        <v>12824200</v>
      </c>
      <c r="AA1159" s="758">
        <f t="shared" si="333"/>
        <v>42</v>
      </c>
      <c r="AB1159" s="265">
        <f t="shared" si="336"/>
        <v>84930200</v>
      </c>
      <c r="AC1159" s="759">
        <f t="shared" si="334"/>
        <v>58.333333333333336</v>
      </c>
      <c r="AD1159" s="760">
        <f t="shared" si="335"/>
        <v>127.91283212094051</v>
      </c>
      <c r="AE1159" s="779"/>
      <c r="AF1159" s="200"/>
      <c r="AG1159" s="200"/>
      <c r="AH1159" s="200"/>
      <c r="AI1159" s="200"/>
      <c r="AJ1159" s="200"/>
      <c r="AK1159" s="200"/>
      <c r="AL1159" s="200"/>
      <c r="AM1159" s="200"/>
      <c r="AN1159" s="200"/>
      <c r="AO1159" s="200"/>
      <c r="AP1159" s="200"/>
      <c r="AQ1159" s="200"/>
      <c r="AR1159" s="200"/>
      <c r="AS1159" s="200"/>
      <c r="AT1159" s="200"/>
      <c r="AU1159" s="200"/>
      <c r="AV1159" s="200"/>
      <c r="AW1159" s="200"/>
      <c r="AX1159" s="200"/>
      <c r="AY1159" s="200"/>
      <c r="AZ1159" s="200"/>
      <c r="BA1159" s="200"/>
      <c r="BB1159" s="200"/>
      <c r="BC1159" s="970"/>
      <c r="BD1159" s="970"/>
      <c r="BE1159" s="970"/>
      <c r="BF1159" s="970"/>
      <c r="BG1159" s="970"/>
      <c r="BH1159" s="970"/>
      <c r="BI1159" s="970"/>
      <c r="BJ1159" s="970"/>
      <c r="BK1159" s="970"/>
      <c r="BL1159" s="970"/>
      <c r="BM1159" s="970"/>
      <c r="BN1159" s="970"/>
      <c r="BO1159" s="970"/>
      <c r="BP1159" s="970"/>
      <c r="BQ1159" s="970"/>
    </row>
    <row r="1160" spans="1:69" s="1288" customFormat="1" ht="49.5">
      <c r="A1160" s="779"/>
      <c r="B1160" s="11"/>
      <c r="C1160" s="756" t="s">
        <v>41</v>
      </c>
      <c r="D1160" s="756" t="s">
        <v>28</v>
      </c>
      <c r="E1160" s="756">
        <v>12</v>
      </c>
      <c r="F1160" s="450" t="s">
        <v>2114</v>
      </c>
      <c r="G1160" s="450"/>
      <c r="H1160" s="450" t="s">
        <v>2126</v>
      </c>
      <c r="I1160" s="757" t="s">
        <v>618</v>
      </c>
      <c r="J1160" s="761" t="s">
        <v>2127</v>
      </c>
      <c r="K1160" s="758">
        <v>72</v>
      </c>
      <c r="L1160" s="13">
        <v>30735562</v>
      </c>
      <c r="M1160" s="502">
        <v>36</v>
      </c>
      <c r="N1160" s="265">
        <v>34745700</v>
      </c>
      <c r="O1160" s="758">
        <v>12</v>
      </c>
      <c r="P1160" s="243">
        <v>14831000</v>
      </c>
      <c r="Q1160" s="244">
        <v>3</v>
      </c>
      <c r="R1160" s="24">
        <v>9426000</v>
      </c>
      <c r="S1160" s="244">
        <v>3</v>
      </c>
      <c r="T1160" s="24">
        <v>14831000</v>
      </c>
      <c r="U1160" s="279"/>
      <c r="V1160" s="24"/>
      <c r="W1160" s="11"/>
      <c r="X1160" s="265"/>
      <c r="Y1160" s="14">
        <f t="shared" si="332"/>
        <v>6</v>
      </c>
      <c r="Z1160" s="265">
        <f t="shared" si="331"/>
        <v>24257000</v>
      </c>
      <c r="AA1160" s="758">
        <f t="shared" si="333"/>
        <v>42</v>
      </c>
      <c r="AB1160" s="265">
        <f t="shared" si="336"/>
        <v>59002700</v>
      </c>
      <c r="AC1160" s="759">
        <f t="shared" si="334"/>
        <v>58.333333333333336</v>
      </c>
      <c r="AD1160" s="760">
        <f t="shared" si="335"/>
        <v>191.96883401709067</v>
      </c>
      <c r="AE1160" s="779"/>
      <c r="AF1160" s="200"/>
      <c r="AG1160" s="200"/>
      <c r="AH1160" s="200"/>
      <c r="AI1160" s="200"/>
      <c r="AJ1160" s="200"/>
      <c r="AK1160" s="200"/>
      <c r="AL1160" s="200"/>
      <c r="AM1160" s="200"/>
      <c r="AN1160" s="200"/>
      <c r="AO1160" s="200"/>
      <c r="AP1160" s="200"/>
      <c r="AQ1160" s="200"/>
      <c r="AR1160" s="200"/>
      <c r="AS1160" s="200"/>
      <c r="AT1160" s="200"/>
      <c r="AU1160" s="200"/>
      <c r="AV1160" s="200"/>
      <c r="AW1160" s="200"/>
      <c r="AX1160" s="200"/>
      <c r="AY1160" s="200"/>
      <c r="AZ1160" s="200"/>
      <c r="BA1160" s="200"/>
      <c r="BB1160" s="200"/>
      <c r="BC1160" s="970"/>
      <c r="BD1160" s="970"/>
      <c r="BE1160" s="970"/>
      <c r="BF1160" s="970"/>
      <c r="BG1160" s="970"/>
      <c r="BH1160" s="970"/>
      <c r="BI1160" s="970"/>
      <c r="BJ1160" s="970"/>
      <c r="BK1160" s="970"/>
      <c r="BL1160" s="970"/>
      <c r="BM1160" s="970"/>
      <c r="BN1160" s="970"/>
      <c r="BO1160" s="970"/>
      <c r="BP1160" s="970"/>
      <c r="BQ1160" s="970"/>
    </row>
    <row r="1161" spans="1:69" s="1288" customFormat="1" ht="49.5">
      <c r="A1161" s="779"/>
      <c r="B1161" s="11"/>
      <c r="C1161" s="756" t="s">
        <v>41</v>
      </c>
      <c r="D1161" s="756" t="s">
        <v>28</v>
      </c>
      <c r="E1161" s="756">
        <v>12</v>
      </c>
      <c r="F1161" s="450" t="s">
        <v>2114</v>
      </c>
      <c r="G1161" s="450"/>
      <c r="H1161" s="450"/>
      <c r="I1161" s="757" t="s">
        <v>1148</v>
      </c>
      <c r="J1161" s="761" t="s">
        <v>3037</v>
      </c>
      <c r="K1161" s="758">
        <v>5</v>
      </c>
      <c r="L1161" s="13">
        <v>86000000</v>
      </c>
      <c r="M1161" s="502">
        <v>3</v>
      </c>
      <c r="N1161" s="265">
        <v>130886636</v>
      </c>
      <c r="O1161" s="758">
        <v>1</v>
      </c>
      <c r="P1161" s="243">
        <v>36750000</v>
      </c>
      <c r="Q1161" s="244">
        <f t="shared" si="330"/>
        <v>0</v>
      </c>
      <c r="R1161" s="24">
        <v>0</v>
      </c>
      <c r="S1161" s="244">
        <v>3</v>
      </c>
      <c r="T1161" s="24">
        <v>35800000</v>
      </c>
      <c r="U1161" s="279"/>
      <c r="V1161" s="24"/>
      <c r="W1161" s="31"/>
      <c r="X1161" s="265"/>
      <c r="Y1161" s="14">
        <f t="shared" si="332"/>
        <v>3</v>
      </c>
      <c r="Z1161" s="265">
        <f t="shared" si="331"/>
        <v>35800000</v>
      </c>
      <c r="AA1161" s="758">
        <f t="shared" si="333"/>
        <v>6</v>
      </c>
      <c r="AB1161" s="265">
        <f t="shared" si="336"/>
        <v>166686636</v>
      </c>
      <c r="AC1161" s="759">
        <f t="shared" si="334"/>
        <v>120</v>
      </c>
      <c r="AD1161" s="760">
        <f t="shared" si="335"/>
        <v>193.82166976744188</v>
      </c>
      <c r="AE1161" s="779"/>
      <c r="AF1161" s="200"/>
      <c r="AG1161" s="200"/>
      <c r="AH1161" s="200"/>
      <c r="AI1161" s="200"/>
      <c r="AJ1161" s="200"/>
      <c r="AK1161" s="200"/>
      <c r="AL1161" s="200"/>
      <c r="AM1161" s="200"/>
      <c r="AN1161" s="200"/>
      <c r="AO1161" s="200"/>
      <c r="AP1161" s="200"/>
      <c r="AQ1161" s="200"/>
      <c r="AR1161" s="200"/>
      <c r="AS1161" s="200"/>
      <c r="AT1161" s="200"/>
      <c r="AU1161" s="200"/>
      <c r="AV1161" s="200"/>
      <c r="AW1161" s="200"/>
      <c r="AX1161" s="200"/>
      <c r="AY1161" s="200"/>
      <c r="AZ1161" s="200"/>
      <c r="BA1161" s="200"/>
      <c r="BB1161" s="200"/>
      <c r="BC1161" s="970"/>
      <c r="BD1161" s="970"/>
      <c r="BE1161" s="970"/>
      <c r="BF1161" s="970"/>
      <c r="BG1161" s="970"/>
      <c r="BH1161" s="970"/>
      <c r="BI1161" s="970"/>
      <c r="BJ1161" s="970"/>
      <c r="BK1161" s="970"/>
      <c r="BL1161" s="970"/>
      <c r="BM1161" s="970"/>
      <c r="BN1161" s="970"/>
      <c r="BO1161" s="970"/>
      <c r="BP1161" s="970"/>
      <c r="BQ1161" s="970"/>
    </row>
    <row r="1162" spans="1:69" s="1288" customFormat="1" ht="49.5">
      <c r="A1162" s="779"/>
      <c r="B1162" s="11"/>
      <c r="C1162" s="756" t="s">
        <v>41</v>
      </c>
      <c r="D1162" s="756" t="s">
        <v>28</v>
      </c>
      <c r="E1162" s="756">
        <v>12</v>
      </c>
      <c r="F1162" s="450" t="s">
        <v>2114</v>
      </c>
      <c r="G1162" s="450"/>
      <c r="H1162" s="756" t="s">
        <v>45</v>
      </c>
      <c r="I1162" s="757" t="s">
        <v>619</v>
      </c>
      <c r="J1162" s="761" t="s">
        <v>2128</v>
      </c>
      <c r="K1162" s="758">
        <v>72</v>
      </c>
      <c r="L1162" s="13">
        <f>22254320*5</f>
        <v>111271600</v>
      </c>
      <c r="M1162" s="502">
        <v>36</v>
      </c>
      <c r="N1162" s="265">
        <v>36315000</v>
      </c>
      <c r="O1162" s="758">
        <v>12</v>
      </c>
      <c r="P1162" s="243">
        <v>18900000</v>
      </c>
      <c r="Q1162" s="244">
        <v>3</v>
      </c>
      <c r="R1162" s="24">
        <v>3570000</v>
      </c>
      <c r="S1162" s="244">
        <v>3</v>
      </c>
      <c r="T1162" s="24">
        <v>4450000</v>
      </c>
      <c r="U1162" s="279"/>
      <c r="V1162" s="24"/>
      <c r="W1162" s="31"/>
      <c r="X1162" s="265"/>
      <c r="Y1162" s="14">
        <f t="shared" si="332"/>
        <v>6</v>
      </c>
      <c r="Z1162" s="265">
        <f t="shared" si="331"/>
        <v>8020000</v>
      </c>
      <c r="AA1162" s="758">
        <f t="shared" si="333"/>
        <v>42</v>
      </c>
      <c r="AB1162" s="265">
        <f t="shared" si="336"/>
        <v>44335000</v>
      </c>
      <c r="AC1162" s="759">
        <f t="shared" si="334"/>
        <v>58.333333333333336</v>
      </c>
      <c r="AD1162" s="760">
        <f t="shared" si="335"/>
        <v>39.843949399487386</v>
      </c>
      <c r="AE1162" s="779"/>
      <c r="AF1162" s="200"/>
      <c r="AG1162" s="200"/>
      <c r="AH1162" s="200"/>
      <c r="AI1162" s="200"/>
      <c r="AJ1162" s="200"/>
      <c r="AK1162" s="200"/>
      <c r="AL1162" s="200"/>
      <c r="AM1162" s="200"/>
      <c r="AN1162" s="200"/>
      <c r="AO1162" s="200"/>
      <c r="AP1162" s="200"/>
      <c r="AQ1162" s="200"/>
      <c r="AR1162" s="200"/>
      <c r="AS1162" s="200"/>
      <c r="AT1162" s="200"/>
      <c r="AU1162" s="200"/>
      <c r="AV1162" s="200"/>
      <c r="AW1162" s="200"/>
      <c r="AX1162" s="200"/>
      <c r="AY1162" s="200"/>
      <c r="AZ1162" s="200"/>
      <c r="BA1162" s="200"/>
      <c r="BB1162" s="200"/>
      <c r="BC1162" s="970"/>
      <c r="BD1162" s="970"/>
      <c r="BE1162" s="970"/>
      <c r="BF1162" s="970"/>
      <c r="BG1162" s="970"/>
      <c r="BH1162" s="970"/>
      <c r="BI1162" s="970"/>
      <c r="BJ1162" s="970"/>
      <c r="BK1162" s="970"/>
      <c r="BL1162" s="970"/>
      <c r="BM1162" s="970"/>
      <c r="BN1162" s="970"/>
      <c r="BO1162" s="970"/>
      <c r="BP1162" s="970"/>
      <c r="BQ1162" s="970"/>
    </row>
    <row r="1163" spans="1:69" s="1288" customFormat="1" ht="33">
      <c r="A1163" s="779"/>
      <c r="B1163" s="11"/>
      <c r="C1163" s="756" t="s">
        <v>41</v>
      </c>
      <c r="D1163" s="756" t="s">
        <v>28</v>
      </c>
      <c r="E1163" s="756">
        <v>12</v>
      </c>
      <c r="F1163" s="450" t="s">
        <v>2114</v>
      </c>
      <c r="G1163" s="450"/>
      <c r="H1163" s="450" t="s">
        <v>2129</v>
      </c>
      <c r="I1163" s="757" t="s">
        <v>620</v>
      </c>
      <c r="J1163" s="761" t="s">
        <v>2130</v>
      </c>
      <c r="K1163" s="758">
        <v>72</v>
      </c>
      <c r="L1163" s="13">
        <v>57575733</v>
      </c>
      <c r="M1163" s="502">
        <v>36</v>
      </c>
      <c r="N1163" s="265">
        <v>45770000</v>
      </c>
      <c r="O1163" s="758">
        <v>12</v>
      </c>
      <c r="P1163" s="243">
        <v>25000000</v>
      </c>
      <c r="Q1163" s="244">
        <v>3</v>
      </c>
      <c r="R1163" s="24">
        <v>9197500</v>
      </c>
      <c r="S1163" s="244">
        <v>3</v>
      </c>
      <c r="T1163" s="24">
        <v>11307500</v>
      </c>
      <c r="U1163" s="279"/>
      <c r="V1163" s="24"/>
      <c r="W1163" s="31"/>
      <c r="X1163" s="265"/>
      <c r="Y1163" s="14">
        <f t="shared" si="332"/>
        <v>6</v>
      </c>
      <c r="Z1163" s="265">
        <f t="shared" si="331"/>
        <v>20505000</v>
      </c>
      <c r="AA1163" s="758">
        <f t="shared" si="333"/>
        <v>42</v>
      </c>
      <c r="AB1163" s="265">
        <f t="shared" si="336"/>
        <v>66275000</v>
      </c>
      <c r="AC1163" s="759">
        <f t="shared" si="334"/>
        <v>58.333333333333336</v>
      </c>
      <c r="AD1163" s="760">
        <f t="shared" si="335"/>
        <v>115.10925965979453</v>
      </c>
      <c r="AE1163" s="779"/>
      <c r="AF1163" s="200"/>
      <c r="AG1163" s="200"/>
      <c r="AH1163" s="200"/>
      <c r="AI1163" s="200"/>
      <c r="AJ1163" s="200"/>
      <c r="AK1163" s="200"/>
      <c r="AL1163" s="200"/>
      <c r="AM1163" s="200"/>
      <c r="AN1163" s="200"/>
      <c r="AO1163" s="200"/>
      <c r="AP1163" s="200"/>
      <c r="AQ1163" s="200"/>
      <c r="AR1163" s="200"/>
      <c r="AS1163" s="200"/>
      <c r="AT1163" s="200"/>
      <c r="AU1163" s="200"/>
      <c r="AV1163" s="200"/>
      <c r="AW1163" s="200"/>
      <c r="AX1163" s="200"/>
      <c r="AY1163" s="200"/>
      <c r="AZ1163" s="200"/>
      <c r="BA1163" s="200"/>
      <c r="BB1163" s="200"/>
      <c r="BC1163" s="970"/>
      <c r="BD1163" s="970"/>
      <c r="BE1163" s="970"/>
      <c r="BF1163" s="970"/>
      <c r="BG1163" s="970"/>
      <c r="BH1163" s="970"/>
      <c r="BI1163" s="970"/>
      <c r="BJ1163" s="970"/>
      <c r="BK1163" s="970"/>
      <c r="BL1163" s="970"/>
      <c r="BM1163" s="970"/>
      <c r="BN1163" s="970"/>
      <c r="BO1163" s="970"/>
      <c r="BP1163" s="970"/>
      <c r="BQ1163" s="970"/>
    </row>
    <row r="1164" spans="1:69" s="1288" customFormat="1" ht="49.5">
      <c r="A1164" s="779"/>
      <c r="B1164" s="11"/>
      <c r="C1164" s="756" t="s">
        <v>41</v>
      </c>
      <c r="D1164" s="756" t="s">
        <v>28</v>
      </c>
      <c r="E1164" s="756">
        <v>12</v>
      </c>
      <c r="F1164" s="450" t="s">
        <v>2114</v>
      </c>
      <c r="G1164" s="450"/>
      <c r="H1164" s="450" t="s">
        <v>2131</v>
      </c>
      <c r="I1164" s="757" t="s">
        <v>621</v>
      </c>
      <c r="J1164" s="761" t="s">
        <v>2132</v>
      </c>
      <c r="K1164" s="758">
        <v>72</v>
      </c>
      <c r="L1164" s="13">
        <v>291902400</v>
      </c>
      <c r="M1164" s="502">
        <v>36</v>
      </c>
      <c r="N1164" s="265">
        <v>371169996</v>
      </c>
      <c r="O1164" s="758">
        <v>12</v>
      </c>
      <c r="P1164" s="243">
        <v>39100000</v>
      </c>
      <c r="Q1164" s="244">
        <v>3</v>
      </c>
      <c r="R1164" s="24">
        <v>7675000</v>
      </c>
      <c r="S1164" s="244">
        <v>3</v>
      </c>
      <c r="T1164" s="24">
        <v>23535080</v>
      </c>
      <c r="U1164" s="279"/>
      <c r="V1164" s="24"/>
      <c r="W1164" s="31"/>
      <c r="X1164" s="265"/>
      <c r="Y1164" s="14">
        <f t="shared" si="332"/>
        <v>6</v>
      </c>
      <c r="Z1164" s="265">
        <f t="shared" si="331"/>
        <v>31210080</v>
      </c>
      <c r="AA1164" s="758">
        <f t="shared" si="333"/>
        <v>42</v>
      </c>
      <c r="AB1164" s="265">
        <f t="shared" si="336"/>
        <v>402380076</v>
      </c>
      <c r="AC1164" s="759">
        <f t="shared" si="334"/>
        <v>58.333333333333336</v>
      </c>
      <c r="AD1164" s="760">
        <f t="shared" si="335"/>
        <v>137.84747093549078</v>
      </c>
      <c r="AE1164" s="779"/>
      <c r="AF1164" s="200"/>
      <c r="AG1164" s="200"/>
      <c r="AH1164" s="200"/>
      <c r="AI1164" s="200"/>
      <c r="AJ1164" s="200"/>
      <c r="AK1164" s="200"/>
      <c r="AL1164" s="200"/>
      <c r="AM1164" s="200"/>
      <c r="AN1164" s="200"/>
      <c r="AO1164" s="200"/>
      <c r="AP1164" s="200"/>
      <c r="AQ1164" s="200"/>
      <c r="AR1164" s="200"/>
      <c r="AS1164" s="200"/>
      <c r="AT1164" s="200"/>
      <c r="AU1164" s="200"/>
      <c r="AV1164" s="200"/>
      <c r="AW1164" s="200"/>
      <c r="AX1164" s="200"/>
      <c r="AY1164" s="200"/>
      <c r="AZ1164" s="200"/>
      <c r="BA1164" s="200"/>
      <c r="BB1164" s="200"/>
      <c r="BC1164" s="970"/>
      <c r="BD1164" s="970"/>
      <c r="BE1164" s="970"/>
      <c r="BF1164" s="970"/>
      <c r="BG1164" s="970"/>
      <c r="BH1164" s="970"/>
      <c r="BI1164" s="970"/>
      <c r="BJ1164" s="970"/>
      <c r="BK1164" s="970"/>
      <c r="BL1164" s="970"/>
      <c r="BM1164" s="970"/>
      <c r="BN1164" s="970"/>
      <c r="BO1164" s="970"/>
      <c r="BP1164" s="970"/>
      <c r="BQ1164" s="970"/>
    </row>
    <row r="1165" spans="1:69" s="1288" customFormat="1" ht="33">
      <c r="A1165" s="779"/>
      <c r="B1165" s="11"/>
      <c r="C1165" s="756" t="s">
        <v>41</v>
      </c>
      <c r="D1165" s="756" t="s">
        <v>28</v>
      </c>
      <c r="E1165" s="756">
        <v>12</v>
      </c>
      <c r="F1165" s="450" t="s">
        <v>2114</v>
      </c>
      <c r="G1165" s="450"/>
      <c r="H1165" s="450" t="s">
        <v>2133</v>
      </c>
      <c r="I1165" s="757" t="s">
        <v>81</v>
      </c>
      <c r="J1165" s="761" t="s">
        <v>2134</v>
      </c>
      <c r="K1165" s="758">
        <v>72</v>
      </c>
      <c r="L1165" s="13">
        <v>137271320</v>
      </c>
      <c r="M1165" s="502">
        <v>36</v>
      </c>
      <c r="N1165" s="265">
        <v>133066050</v>
      </c>
      <c r="O1165" s="758">
        <v>12</v>
      </c>
      <c r="P1165" s="243">
        <v>54825000</v>
      </c>
      <c r="Q1165" s="244">
        <v>3</v>
      </c>
      <c r="R1165" s="24">
        <v>23560000</v>
      </c>
      <c r="S1165" s="244">
        <v>3</v>
      </c>
      <c r="T1165" s="24">
        <v>44610000</v>
      </c>
      <c r="U1165" s="279"/>
      <c r="V1165" s="24"/>
      <c r="W1165" s="31"/>
      <c r="X1165" s="265"/>
      <c r="Y1165" s="14">
        <f t="shared" si="332"/>
        <v>6</v>
      </c>
      <c r="Z1165" s="265">
        <f t="shared" si="331"/>
        <v>68170000</v>
      </c>
      <c r="AA1165" s="758">
        <f t="shared" si="333"/>
        <v>42</v>
      </c>
      <c r="AB1165" s="265">
        <f t="shared" si="336"/>
        <v>201236050</v>
      </c>
      <c r="AC1165" s="759">
        <f t="shared" si="334"/>
        <v>58.333333333333336</v>
      </c>
      <c r="AD1165" s="760">
        <f t="shared" si="335"/>
        <v>146.59730087828979</v>
      </c>
      <c r="AE1165" s="779"/>
      <c r="AF1165" s="200"/>
      <c r="AG1165" s="200"/>
      <c r="AH1165" s="200"/>
      <c r="AI1165" s="200"/>
      <c r="AJ1165" s="200"/>
      <c r="AK1165" s="200"/>
      <c r="AL1165" s="200"/>
      <c r="AM1165" s="200"/>
      <c r="AN1165" s="200"/>
      <c r="AO1165" s="200"/>
      <c r="AP1165" s="200"/>
      <c r="AQ1165" s="200"/>
      <c r="AR1165" s="200"/>
      <c r="AS1165" s="200"/>
      <c r="AT1165" s="200"/>
      <c r="AU1165" s="200"/>
      <c r="AV1165" s="200"/>
      <c r="AW1165" s="200"/>
      <c r="AX1165" s="200"/>
      <c r="AY1165" s="200"/>
      <c r="AZ1165" s="200"/>
      <c r="BA1165" s="200"/>
      <c r="BB1165" s="200"/>
      <c r="BC1165" s="970"/>
      <c r="BD1165" s="970"/>
      <c r="BE1165" s="970"/>
      <c r="BF1165" s="970"/>
      <c r="BG1165" s="970"/>
      <c r="BH1165" s="970"/>
      <c r="BI1165" s="970"/>
      <c r="BJ1165" s="970"/>
      <c r="BK1165" s="970"/>
      <c r="BL1165" s="970"/>
      <c r="BM1165" s="970"/>
      <c r="BN1165" s="970"/>
      <c r="BO1165" s="970"/>
      <c r="BP1165" s="970"/>
      <c r="BQ1165" s="970"/>
    </row>
    <row r="1166" spans="1:69" s="1288" customFormat="1" ht="66">
      <c r="A1166" s="779"/>
      <c r="B1166" s="11"/>
      <c r="C1166" s="756" t="s">
        <v>41</v>
      </c>
      <c r="D1166" s="756" t="s">
        <v>28</v>
      </c>
      <c r="E1166" s="756">
        <v>12</v>
      </c>
      <c r="F1166" s="450" t="s">
        <v>2114</v>
      </c>
      <c r="G1166" s="450"/>
      <c r="H1166" s="450" t="s">
        <v>2135</v>
      </c>
      <c r="I1166" s="757" t="s">
        <v>424</v>
      </c>
      <c r="J1166" s="761" t="s">
        <v>2136</v>
      </c>
      <c r="K1166" s="758">
        <v>36</v>
      </c>
      <c r="L1166" s="13">
        <f>4*P1166</f>
        <v>125951200</v>
      </c>
      <c r="M1166" s="502">
        <v>18</v>
      </c>
      <c r="N1166" s="265">
        <v>38242500</v>
      </c>
      <c r="O1166" s="758">
        <v>6</v>
      </c>
      <c r="P1166" s="243">
        <v>31487800</v>
      </c>
      <c r="Q1166" s="244">
        <v>2</v>
      </c>
      <c r="R1166" s="24">
        <v>4610550</v>
      </c>
      <c r="S1166" s="244">
        <v>3</v>
      </c>
      <c r="T1166" s="24">
        <v>9860550</v>
      </c>
      <c r="U1166" s="279"/>
      <c r="V1166" s="24"/>
      <c r="W1166" s="31"/>
      <c r="X1166" s="265"/>
      <c r="Y1166" s="14">
        <f t="shared" si="332"/>
        <v>5</v>
      </c>
      <c r="Z1166" s="265">
        <f t="shared" si="331"/>
        <v>14471100</v>
      </c>
      <c r="AA1166" s="758">
        <f t="shared" si="333"/>
        <v>23</v>
      </c>
      <c r="AB1166" s="265">
        <f t="shared" si="336"/>
        <v>52713600</v>
      </c>
      <c r="AC1166" s="759">
        <f t="shared" si="334"/>
        <v>63.888888888888886</v>
      </c>
      <c r="AD1166" s="760">
        <f t="shared" si="335"/>
        <v>41.852399977134006</v>
      </c>
      <c r="AE1166" s="779"/>
      <c r="AF1166" s="200"/>
      <c r="AG1166" s="200"/>
      <c r="AH1166" s="200"/>
      <c r="AI1166" s="200"/>
      <c r="AJ1166" s="200"/>
      <c r="AK1166" s="200"/>
      <c r="AL1166" s="200"/>
      <c r="AM1166" s="200"/>
      <c r="AN1166" s="200"/>
      <c r="AO1166" s="200"/>
      <c r="AP1166" s="200"/>
      <c r="AQ1166" s="200"/>
      <c r="AR1166" s="200"/>
      <c r="AS1166" s="200"/>
      <c r="AT1166" s="200"/>
      <c r="AU1166" s="200"/>
      <c r="AV1166" s="200"/>
      <c r="AW1166" s="200"/>
      <c r="AX1166" s="200"/>
      <c r="AY1166" s="200"/>
      <c r="AZ1166" s="200"/>
      <c r="BA1166" s="200"/>
      <c r="BB1166" s="200"/>
      <c r="BC1166" s="970"/>
      <c r="BD1166" s="970"/>
      <c r="BE1166" s="970"/>
      <c r="BF1166" s="970"/>
      <c r="BG1166" s="970"/>
      <c r="BH1166" s="970"/>
      <c r="BI1166" s="970"/>
      <c r="BJ1166" s="970"/>
      <c r="BK1166" s="970"/>
      <c r="BL1166" s="970"/>
      <c r="BM1166" s="970"/>
      <c r="BN1166" s="970"/>
      <c r="BO1166" s="970"/>
      <c r="BP1166" s="970"/>
      <c r="BQ1166" s="970"/>
    </row>
    <row r="1167" spans="1:69" s="1346" customFormat="1" ht="49.5">
      <c r="A1167" s="2558">
        <v>2</v>
      </c>
      <c r="B1167" s="33"/>
      <c r="C1167" s="753" t="s">
        <v>41</v>
      </c>
      <c r="D1167" s="753" t="s">
        <v>28</v>
      </c>
      <c r="E1167" s="753" t="s">
        <v>28</v>
      </c>
      <c r="F1167" s="594"/>
      <c r="G1167" s="594"/>
      <c r="H1167" s="594"/>
      <c r="I1167" s="44" t="s">
        <v>2804</v>
      </c>
      <c r="J1167" s="33" t="s">
        <v>2137</v>
      </c>
      <c r="K1167" s="135">
        <v>72</v>
      </c>
      <c r="L1167" s="230">
        <f>SUM(L1168:L1171)</f>
        <v>1183288762</v>
      </c>
      <c r="M1167" s="135">
        <v>36</v>
      </c>
      <c r="N1167" s="223">
        <v>695867381</v>
      </c>
      <c r="O1167" s="135">
        <v>12</v>
      </c>
      <c r="P1167" s="222">
        <f>SUM(P1168:P1171)</f>
        <v>191976000</v>
      </c>
      <c r="Q1167" s="1240">
        <f t="shared" si="330"/>
        <v>10.675161478518149</v>
      </c>
      <c r="R1167" s="159">
        <f>SUM(R1168:R1171)</f>
        <v>20493748</v>
      </c>
      <c r="S1167" s="762">
        <v>6</v>
      </c>
      <c r="T1167" s="159">
        <f>SUM(T1168:T1171)</f>
        <v>66865141</v>
      </c>
      <c r="U1167" s="762"/>
      <c r="V1167" s="159"/>
      <c r="W1167" s="151"/>
      <c r="X1167" s="223"/>
      <c r="Y1167" s="160">
        <f t="shared" si="332"/>
        <v>16.675161478518149</v>
      </c>
      <c r="Z1167" s="223">
        <f t="shared" si="331"/>
        <v>87358889</v>
      </c>
      <c r="AA1167" s="135">
        <f t="shared" si="333"/>
        <v>52.675161478518149</v>
      </c>
      <c r="AB1167" s="223">
        <f t="shared" si="336"/>
        <v>783226270</v>
      </c>
      <c r="AC1167" s="539">
        <f t="shared" si="334"/>
        <v>73.159946497941874</v>
      </c>
      <c r="AD1167" s="755">
        <f t="shared" si="335"/>
        <v>66.190628623581901</v>
      </c>
      <c r="AE1167" s="2558" t="s">
        <v>131</v>
      </c>
      <c r="AF1167" s="200"/>
      <c r="AG1167" s="200"/>
      <c r="AH1167" s="200"/>
      <c r="AI1167" s="200"/>
      <c r="AJ1167" s="200"/>
      <c r="AK1167" s="200"/>
      <c r="AL1167" s="200"/>
      <c r="AM1167" s="200"/>
      <c r="AN1167" s="200"/>
      <c r="AO1167" s="200"/>
      <c r="AP1167" s="200"/>
      <c r="AQ1167" s="200"/>
      <c r="AR1167" s="200"/>
      <c r="AS1167" s="200"/>
      <c r="AT1167" s="200"/>
      <c r="AU1167" s="200"/>
      <c r="AV1167" s="200"/>
      <c r="AW1167" s="200"/>
      <c r="AX1167" s="200"/>
      <c r="AY1167" s="200"/>
      <c r="AZ1167" s="200"/>
      <c r="BA1167" s="200"/>
      <c r="BB1167" s="200"/>
      <c r="BC1167" s="970"/>
      <c r="BD1167" s="970"/>
      <c r="BE1167" s="970"/>
      <c r="BF1167" s="970"/>
      <c r="BG1167" s="970"/>
      <c r="BH1167" s="970"/>
      <c r="BI1167" s="970"/>
      <c r="BJ1167" s="970"/>
      <c r="BK1167" s="970"/>
      <c r="BL1167" s="970"/>
      <c r="BM1167" s="970"/>
      <c r="BN1167" s="970"/>
      <c r="BO1167" s="970"/>
      <c r="BP1167" s="970"/>
      <c r="BQ1167" s="970"/>
    </row>
    <row r="1168" spans="1:69" s="1288" customFormat="1" ht="33">
      <c r="A1168" s="779"/>
      <c r="B1168" s="11"/>
      <c r="C1168" s="756" t="s">
        <v>41</v>
      </c>
      <c r="D1168" s="756" t="s">
        <v>28</v>
      </c>
      <c r="E1168" s="756">
        <v>12</v>
      </c>
      <c r="F1168" s="756" t="s">
        <v>28</v>
      </c>
      <c r="G1168" s="756"/>
      <c r="H1168" s="756" t="s">
        <v>61</v>
      </c>
      <c r="I1168" s="280" t="s">
        <v>973</v>
      </c>
      <c r="J1168" s="11" t="s">
        <v>2138</v>
      </c>
      <c r="K1168" s="758">
        <v>72</v>
      </c>
      <c r="L1168" s="13">
        <f>2*N1168</f>
        <v>236042000</v>
      </c>
      <c r="M1168" s="502">
        <v>36</v>
      </c>
      <c r="N1168" s="265">
        <v>118021000</v>
      </c>
      <c r="O1168" s="758">
        <v>12</v>
      </c>
      <c r="P1168" s="243">
        <v>87250000</v>
      </c>
      <c r="Q1168" s="244">
        <v>3</v>
      </c>
      <c r="R1168" s="24">
        <v>5500000</v>
      </c>
      <c r="S1168" s="248">
        <v>3</v>
      </c>
      <c r="T1168" s="24">
        <v>16500000</v>
      </c>
      <c r="U1168" s="279"/>
      <c r="V1168" s="24"/>
      <c r="W1168" s="31"/>
      <c r="X1168" s="265"/>
      <c r="Y1168" s="14">
        <f t="shared" si="332"/>
        <v>6</v>
      </c>
      <c r="Z1168" s="265">
        <f t="shared" si="331"/>
        <v>22000000</v>
      </c>
      <c r="AA1168" s="758">
        <f t="shared" si="333"/>
        <v>42</v>
      </c>
      <c r="AB1168" s="265">
        <f t="shared" si="336"/>
        <v>140021000</v>
      </c>
      <c r="AC1168" s="759">
        <f t="shared" si="334"/>
        <v>58.333333333333336</v>
      </c>
      <c r="AD1168" s="760">
        <f t="shared" si="335"/>
        <v>59.320375187466631</v>
      </c>
      <c r="AE1168" s="779"/>
      <c r="AF1168" s="200"/>
      <c r="AG1168" s="200"/>
      <c r="AH1168" s="200"/>
      <c r="AI1168" s="200"/>
      <c r="AJ1168" s="200"/>
      <c r="AK1168" s="200"/>
      <c r="AL1168" s="200"/>
      <c r="AM1168" s="200"/>
      <c r="AN1168" s="200"/>
      <c r="AO1168" s="200"/>
      <c r="AP1168" s="200"/>
      <c r="AQ1168" s="200"/>
      <c r="AR1168" s="200"/>
      <c r="AS1168" s="200"/>
      <c r="AT1168" s="200"/>
      <c r="AU1168" s="200"/>
      <c r="AV1168" s="200"/>
      <c r="AW1168" s="200"/>
      <c r="AX1168" s="200"/>
      <c r="AY1168" s="200"/>
      <c r="AZ1168" s="200"/>
      <c r="BA1168" s="200"/>
      <c r="BB1168" s="200"/>
      <c r="BC1168" s="970"/>
      <c r="BD1168" s="970"/>
      <c r="BE1168" s="970"/>
      <c r="BF1168" s="970"/>
      <c r="BG1168" s="970"/>
      <c r="BH1168" s="970"/>
      <c r="BI1168" s="970"/>
      <c r="BJ1168" s="970"/>
      <c r="BK1168" s="970"/>
      <c r="BL1168" s="970"/>
      <c r="BM1168" s="970"/>
      <c r="BN1168" s="970"/>
      <c r="BO1168" s="970"/>
      <c r="BP1168" s="970"/>
      <c r="BQ1168" s="970"/>
    </row>
    <row r="1169" spans="1:69" s="1288" customFormat="1" ht="49.5">
      <c r="A1169" s="779"/>
      <c r="B1169" s="11"/>
      <c r="C1169" s="756" t="s">
        <v>41</v>
      </c>
      <c r="D1169" s="756" t="s">
        <v>28</v>
      </c>
      <c r="E1169" s="756">
        <v>12</v>
      </c>
      <c r="F1169" s="756" t="s">
        <v>28</v>
      </c>
      <c r="G1169" s="756"/>
      <c r="H1169" s="756"/>
      <c r="I1169" s="280" t="s">
        <v>931</v>
      </c>
      <c r="J1169" s="11" t="s">
        <v>2139</v>
      </c>
      <c r="K1169" s="758">
        <v>12</v>
      </c>
      <c r="L1169" s="13">
        <v>230000000</v>
      </c>
      <c r="M1169" s="502">
        <v>10</v>
      </c>
      <c r="N1169" s="265">
        <v>185210000</v>
      </c>
      <c r="O1169" s="758">
        <v>2</v>
      </c>
      <c r="P1169" s="243">
        <v>27250000</v>
      </c>
      <c r="Q1169" s="244">
        <f t="shared" si="330"/>
        <v>0</v>
      </c>
      <c r="R1169" s="24">
        <v>0</v>
      </c>
      <c r="S1169" s="248">
        <v>0</v>
      </c>
      <c r="T1169" s="24">
        <v>0</v>
      </c>
      <c r="U1169" s="279"/>
      <c r="V1169" s="24"/>
      <c r="W1169" s="11"/>
      <c r="X1169" s="265"/>
      <c r="Y1169" s="14">
        <f t="shared" si="332"/>
        <v>0</v>
      </c>
      <c r="Z1169" s="265">
        <f t="shared" si="331"/>
        <v>0</v>
      </c>
      <c r="AA1169" s="758">
        <f t="shared" si="333"/>
        <v>10</v>
      </c>
      <c r="AB1169" s="265">
        <f t="shared" si="336"/>
        <v>185210000</v>
      </c>
      <c r="AC1169" s="759">
        <f t="shared" si="334"/>
        <v>83.333333333333343</v>
      </c>
      <c r="AD1169" s="760">
        <f t="shared" si="335"/>
        <v>80.526086956521738</v>
      </c>
      <c r="AE1169" s="779"/>
      <c r="AF1169" s="200"/>
      <c r="AG1169" s="200"/>
      <c r="AH1169" s="200"/>
      <c r="AI1169" s="200"/>
      <c r="AJ1169" s="200"/>
      <c r="AK1169" s="200"/>
      <c r="AL1169" s="200"/>
      <c r="AM1169" s="200"/>
      <c r="AN1169" s="200"/>
      <c r="AO1169" s="200"/>
      <c r="AP1169" s="200"/>
      <c r="AQ1169" s="200"/>
      <c r="AR1169" s="200"/>
      <c r="AS1169" s="200"/>
      <c r="AT1169" s="200"/>
      <c r="AU1169" s="200"/>
      <c r="AV1169" s="200"/>
      <c r="AW1169" s="200"/>
      <c r="AX1169" s="200"/>
      <c r="AY1169" s="200"/>
      <c r="AZ1169" s="200"/>
      <c r="BA1169" s="200"/>
      <c r="BB1169" s="200"/>
      <c r="BC1169" s="970"/>
      <c r="BD1169" s="970"/>
      <c r="BE1169" s="970"/>
      <c r="BF1169" s="970"/>
      <c r="BG1169" s="970"/>
      <c r="BH1169" s="970"/>
      <c r="BI1169" s="970"/>
      <c r="BJ1169" s="970"/>
      <c r="BK1169" s="970"/>
      <c r="BL1169" s="970"/>
      <c r="BM1169" s="970"/>
      <c r="BN1169" s="970"/>
      <c r="BO1169" s="970"/>
      <c r="BP1169" s="970"/>
      <c r="BQ1169" s="970"/>
    </row>
    <row r="1170" spans="1:69" s="1288" customFormat="1" ht="49.5">
      <c r="A1170" s="779"/>
      <c r="B1170" s="11"/>
      <c r="C1170" s="756" t="s">
        <v>41</v>
      </c>
      <c r="D1170" s="756" t="s">
        <v>28</v>
      </c>
      <c r="E1170" s="756">
        <v>12</v>
      </c>
      <c r="F1170" s="756" t="s">
        <v>28</v>
      </c>
      <c r="G1170" s="756"/>
      <c r="H1170" s="756" t="s">
        <v>99</v>
      </c>
      <c r="I1170" s="280" t="s">
        <v>1579</v>
      </c>
      <c r="J1170" s="11" t="s">
        <v>2140</v>
      </c>
      <c r="K1170" s="758">
        <v>4</v>
      </c>
      <c r="L1170" s="13">
        <v>458900000</v>
      </c>
      <c r="M1170" s="502">
        <v>1</v>
      </c>
      <c r="N1170" s="265">
        <v>263463000</v>
      </c>
      <c r="O1170" s="758">
        <v>0</v>
      </c>
      <c r="P1170" s="243">
        <v>0</v>
      </c>
      <c r="Q1170" s="244">
        <v>0</v>
      </c>
      <c r="R1170" s="24"/>
      <c r="S1170" s="248">
        <v>0</v>
      </c>
      <c r="T1170" s="24">
        <v>0</v>
      </c>
      <c r="U1170" s="279"/>
      <c r="V1170" s="24"/>
      <c r="W1170" s="31"/>
      <c r="X1170" s="265"/>
      <c r="Y1170" s="14">
        <f t="shared" si="332"/>
        <v>0</v>
      </c>
      <c r="Z1170" s="265">
        <f t="shared" si="331"/>
        <v>0</v>
      </c>
      <c r="AA1170" s="758">
        <f t="shared" si="333"/>
        <v>1</v>
      </c>
      <c r="AB1170" s="265">
        <f t="shared" si="336"/>
        <v>263463000</v>
      </c>
      <c r="AC1170" s="759">
        <f t="shared" si="334"/>
        <v>25</v>
      </c>
      <c r="AD1170" s="760">
        <f t="shared" si="335"/>
        <v>57.411854434517331</v>
      </c>
      <c r="AE1170" s="779"/>
      <c r="AF1170" s="200"/>
      <c r="AG1170" s="200"/>
      <c r="AH1170" s="200"/>
      <c r="AI1170" s="200"/>
      <c r="AJ1170" s="200"/>
      <c r="AK1170" s="200"/>
      <c r="AL1170" s="200"/>
      <c r="AM1170" s="200"/>
      <c r="AN1170" s="200"/>
      <c r="AO1170" s="200"/>
      <c r="AP1170" s="200"/>
      <c r="AQ1170" s="200"/>
      <c r="AR1170" s="200"/>
      <c r="AS1170" s="200"/>
      <c r="AT1170" s="200"/>
      <c r="AU1170" s="200"/>
      <c r="AV1170" s="200"/>
      <c r="AW1170" s="200"/>
      <c r="AX1170" s="200"/>
      <c r="AY1170" s="200"/>
      <c r="AZ1170" s="200"/>
      <c r="BA1170" s="200"/>
      <c r="BB1170" s="200"/>
      <c r="BC1170" s="970"/>
      <c r="BD1170" s="970"/>
      <c r="BE1170" s="970"/>
      <c r="BF1170" s="970"/>
      <c r="BG1170" s="970"/>
      <c r="BH1170" s="970"/>
      <c r="BI1170" s="970"/>
      <c r="BJ1170" s="970"/>
      <c r="BK1170" s="970"/>
      <c r="BL1170" s="970"/>
      <c r="BM1170" s="970"/>
      <c r="BN1170" s="970"/>
      <c r="BO1170" s="970"/>
      <c r="BP1170" s="970"/>
      <c r="BQ1170" s="970"/>
    </row>
    <row r="1171" spans="1:69" s="1288" customFormat="1" ht="66">
      <c r="A1171" s="779"/>
      <c r="B1171" s="11"/>
      <c r="C1171" s="756" t="s">
        <v>41</v>
      </c>
      <c r="D1171" s="756" t="s">
        <v>28</v>
      </c>
      <c r="E1171" s="756">
        <v>12</v>
      </c>
      <c r="F1171" s="756" t="s">
        <v>28</v>
      </c>
      <c r="G1171" s="756"/>
      <c r="H1171" s="756" t="s">
        <v>84</v>
      </c>
      <c r="I1171" s="280" t="s">
        <v>974</v>
      </c>
      <c r="J1171" s="11" t="s">
        <v>2141</v>
      </c>
      <c r="K1171" s="758">
        <v>72</v>
      </c>
      <c r="L1171" s="13">
        <f>2*N1171</f>
        <v>258346762</v>
      </c>
      <c r="M1171" s="502">
        <v>36</v>
      </c>
      <c r="N1171" s="265">
        <v>129173381</v>
      </c>
      <c r="O1171" s="758">
        <v>12</v>
      </c>
      <c r="P1171" s="243">
        <v>77476000</v>
      </c>
      <c r="Q1171" s="244">
        <v>3</v>
      </c>
      <c r="R1171" s="24">
        <v>14993748</v>
      </c>
      <c r="S1171" s="248">
        <v>3</v>
      </c>
      <c r="T1171" s="24">
        <v>50365141</v>
      </c>
      <c r="U1171" s="279"/>
      <c r="V1171" s="24"/>
      <c r="W1171" s="31"/>
      <c r="X1171" s="265"/>
      <c r="Y1171" s="14">
        <f t="shared" si="332"/>
        <v>6</v>
      </c>
      <c r="Z1171" s="265">
        <f t="shared" si="331"/>
        <v>65358889</v>
      </c>
      <c r="AA1171" s="758">
        <f t="shared" si="333"/>
        <v>42</v>
      </c>
      <c r="AB1171" s="265">
        <f t="shared" si="336"/>
        <v>194532270</v>
      </c>
      <c r="AC1171" s="759">
        <f t="shared" si="334"/>
        <v>58.333333333333336</v>
      </c>
      <c r="AD1171" s="760">
        <f t="shared" si="335"/>
        <v>75.298900010986017</v>
      </c>
      <c r="AE1171" s="779"/>
      <c r="AF1171" s="200"/>
      <c r="AG1171" s="200"/>
      <c r="AH1171" s="200"/>
      <c r="AI1171" s="200"/>
      <c r="AJ1171" s="200"/>
      <c r="AK1171" s="200"/>
      <c r="AL1171" s="200"/>
      <c r="AM1171" s="200"/>
      <c r="AN1171" s="200"/>
      <c r="AO1171" s="200"/>
      <c r="AP1171" s="200"/>
      <c r="AQ1171" s="200"/>
      <c r="AR1171" s="200"/>
      <c r="AS1171" s="200"/>
      <c r="AT1171" s="200"/>
      <c r="AU1171" s="200"/>
      <c r="AV1171" s="200"/>
      <c r="AW1171" s="200"/>
      <c r="AX1171" s="200"/>
      <c r="AY1171" s="200"/>
      <c r="AZ1171" s="200"/>
      <c r="BA1171" s="200"/>
      <c r="BB1171" s="200"/>
      <c r="BC1171" s="970"/>
      <c r="BD1171" s="970"/>
      <c r="BE1171" s="970"/>
      <c r="BF1171" s="970"/>
      <c r="BG1171" s="970"/>
      <c r="BH1171" s="970"/>
      <c r="BI1171" s="970"/>
      <c r="BJ1171" s="970"/>
      <c r="BK1171" s="970"/>
      <c r="BL1171" s="970"/>
      <c r="BM1171" s="970"/>
      <c r="BN1171" s="970"/>
      <c r="BO1171" s="970"/>
      <c r="BP1171" s="970"/>
      <c r="BQ1171" s="970"/>
    </row>
    <row r="1172" spans="1:69" s="1346" customFormat="1" ht="66">
      <c r="A1172" s="2558">
        <v>3</v>
      </c>
      <c r="B1172" s="33"/>
      <c r="C1172" s="753" t="s">
        <v>41</v>
      </c>
      <c r="D1172" s="753" t="s">
        <v>28</v>
      </c>
      <c r="E1172" s="753" t="s">
        <v>52</v>
      </c>
      <c r="F1172" s="753" t="s">
        <v>45</v>
      </c>
      <c r="G1172" s="753"/>
      <c r="H1172" s="594"/>
      <c r="I1172" s="763" t="s">
        <v>2142</v>
      </c>
      <c r="J1172" s="44" t="s">
        <v>2143</v>
      </c>
      <c r="K1172" s="135">
        <v>15</v>
      </c>
      <c r="L1172" s="230">
        <f>SUM(L1173:L1174)</f>
        <v>1126388150</v>
      </c>
      <c r="M1172" s="135">
        <v>12</v>
      </c>
      <c r="N1172" s="223">
        <v>580411610</v>
      </c>
      <c r="O1172" s="135">
        <v>1</v>
      </c>
      <c r="P1172" s="222">
        <f>SUM(P1173:P1174)</f>
        <v>209054400</v>
      </c>
      <c r="Q1172" s="1240">
        <v>0</v>
      </c>
      <c r="R1172" s="159">
        <f>SUM(R1173:R1174)</f>
        <v>17277700</v>
      </c>
      <c r="S1172" s="762">
        <v>0</v>
      </c>
      <c r="T1172" s="159">
        <f>SUM(T1173:T1174)</f>
        <v>45667600</v>
      </c>
      <c r="U1172" s="762"/>
      <c r="V1172" s="159"/>
      <c r="W1172" s="151"/>
      <c r="X1172" s="223"/>
      <c r="Y1172" s="539">
        <f t="shared" si="332"/>
        <v>0</v>
      </c>
      <c r="Z1172" s="223">
        <f t="shared" si="331"/>
        <v>62945300</v>
      </c>
      <c r="AA1172" s="135">
        <f t="shared" si="333"/>
        <v>12</v>
      </c>
      <c r="AB1172" s="223">
        <f t="shared" si="336"/>
        <v>643356910</v>
      </c>
      <c r="AC1172" s="539">
        <f t="shared" si="334"/>
        <v>80</v>
      </c>
      <c r="AD1172" s="755">
        <f t="shared" si="335"/>
        <v>57.116803830011889</v>
      </c>
      <c r="AE1172" s="2558" t="s">
        <v>131</v>
      </c>
      <c r="AF1172" s="200"/>
      <c r="AG1172" s="200"/>
      <c r="AH1172" s="200"/>
      <c r="AI1172" s="200"/>
      <c r="AJ1172" s="200"/>
      <c r="AK1172" s="200"/>
      <c r="AL1172" s="200"/>
      <c r="AM1172" s="200"/>
      <c r="AN1172" s="200"/>
      <c r="AO1172" s="200"/>
      <c r="AP1172" s="200"/>
      <c r="AQ1172" s="200"/>
      <c r="AR1172" s="200"/>
      <c r="AS1172" s="200"/>
      <c r="AT1172" s="200"/>
      <c r="AU1172" s="200"/>
      <c r="AV1172" s="200"/>
      <c r="AW1172" s="200"/>
      <c r="AX1172" s="200"/>
      <c r="AY1172" s="200"/>
      <c r="AZ1172" s="200"/>
      <c r="BA1172" s="200"/>
      <c r="BB1172" s="200"/>
      <c r="BC1172" s="970"/>
      <c r="BD1172" s="970"/>
      <c r="BE1172" s="970"/>
      <c r="BF1172" s="970"/>
      <c r="BG1172" s="970"/>
      <c r="BH1172" s="970"/>
      <c r="BI1172" s="970"/>
      <c r="BJ1172" s="970"/>
      <c r="BK1172" s="970"/>
      <c r="BL1172" s="970"/>
      <c r="BM1172" s="970"/>
      <c r="BN1172" s="970"/>
      <c r="BO1172" s="970"/>
      <c r="BP1172" s="970"/>
      <c r="BQ1172" s="970"/>
    </row>
    <row r="1173" spans="1:69" s="1288" customFormat="1" ht="48.75" customHeight="1">
      <c r="A1173" s="779"/>
      <c r="B1173" s="11"/>
      <c r="C1173" s="756" t="s">
        <v>41</v>
      </c>
      <c r="D1173" s="756" t="s">
        <v>28</v>
      </c>
      <c r="E1173" s="756">
        <v>12</v>
      </c>
      <c r="F1173" s="756" t="s">
        <v>45</v>
      </c>
      <c r="G1173" s="756"/>
      <c r="H1173" s="756" t="s">
        <v>41</v>
      </c>
      <c r="I1173" s="764" t="s">
        <v>2144</v>
      </c>
      <c r="J1173" s="11" t="s">
        <v>2145</v>
      </c>
      <c r="K1173" s="758">
        <v>15</v>
      </c>
      <c r="L1173" s="13">
        <v>806063750</v>
      </c>
      <c r="M1173" s="758">
        <v>5</v>
      </c>
      <c r="N1173" s="265">
        <v>633477114</v>
      </c>
      <c r="O1173" s="758">
        <v>2</v>
      </c>
      <c r="P1173" s="243">
        <f>'[5]LAP MARET'!$E$72</f>
        <v>155667000</v>
      </c>
      <c r="Q1173" s="244">
        <v>0</v>
      </c>
      <c r="R1173" s="24">
        <f>'[5]LAP MARET'!$J$72</f>
        <v>10267200</v>
      </c>
      <c r="S1173" s="248">
        <v>0</v>
      </c>
      <c r="T1173" s="24">
        <v>26692200</v>
      </c>
      <c r="U1173" s="279"/>
      <c r="V1173" s="24"/>
      <c r="W1173" s="31"/>
      <c r="X1173" s="265"/>
      <c r="Y1173" s="759">
        <f t="shared" si="332"/>
        <v>0</v>
      </c>
      <c r="Z1173" s="265">
        <f t="shared" si="331"/>
        <v>36959400</v>
      </c>
      <c r="AA1173" s="758">
        <f t="shared" si="333"/>
        <v>5</v>
      </c>
      <c r="AB1173" s="265">
        <f t="shared" si="336"/>
        <v>670436514</v>
      </c>
      <c r="AC1173" s="759">
        <f t="shared" si="334"/>
        <v>33.333333333333329</v>
      </c>
      <c r="AD1173" s="760">
        <f t="shared" si="335"/>
        <v>83.174130333984124</v>
      </c>
      <c r="AE1173" s="779"/>
      <c r="AF1173" s="200"/>
      <c r="AG1173" s="200"/>
      <c r="AH1173" s="200"/>
      <c r="AI1173" s="200"/>
      <c r="AJ1173" s="200"/>
      <c r="AK1173" s="200"/>
      <c r="AL1173" s="200"/>
      <c r="AM1173" s="200"/>
      <c r="AN1173" s="200"/>
      <c r="AO1173" s="200"/>
      <c r="AP1173" s="200"/>
      <c r="AQ1173" s="200"/>
      <c r="AR1173" s="200"/>
      <c r="AS1173" s="200"/>
      <c r="AT1173" s="200"/>
      <c r="AU1173" s="200"/>
      <c r="AV1173" s="200"/>
      <c r="AW1173" s="200"/>
      <c r="AX1173" s="200"/>
      <c r="AY1173" s="200"/>
      <c r="AZ1173" s="200"/>
      <c r="BA1173" s="200"/>
      <c r="BB1173" s="200"/>
      <c r="BC1173" s="970"/>
      <c r="BD1173" s="970"/>
      <c r="BE1173" s="970"/>
      <c r="BF1173" s="970"/>
      <c r="BG1173" s="970"/>
      <c r="BH1173" s="970"/>
      <c r="BI1173" s="970"/>
      <c r="BJ1173" s="970"/>
      <c r="BK1173" s="970"/>
      <c r="BL1173" s="970"/>
      <c r="BM1173" s="970"/>
      <c r="BN1173" s="970"/>
      <c r="BO1173" s="970"/>
      <c r="BP1173" s="970"/>
      <c r="BQ1173" s="970"/>
    </row>
    <row r="1174" spans="1:69" s="1288" customFormat="1" ht="82.5">
      <c r="A1174" s="779"/>
      <c r="B1174" s="11"/>
      <c r="C1174" s="756" t="s">
        <v>41</v>
      </c>
      <c r="D1174" s="756" t="s">
        <v>28</v>
      </c>
      <c r="E1174" s="756">
        <v>12</v>
      </c>
      <c r="F1174" s="756" t="s">
        <v>45</v>
      </c>
      <c r="G1174" s="756"/>
      <c r="H1174" s="756" t="s">
        <v>41</v>
      </c>
      <c r="I1174" s="764" t="s">
        <v>2146</v>
      </c>
      <c r="J1174" s="280" t="s">
        <v>2147</v>
      </c>
      <c r="K1174" s="758">
        <v>5</v>
      </c>
      <c r="L1174" s="13">
        <f>6*P1174</f>
        <v>320324400</v>
      </c>
      <c r="M1174" s="758">
        <v>1</v>
      </c>
      <c r="N1174" s="265">
        <v>143140304</v>
      </c>
      <c r="O1174" s="758">
        <v>1</v>
      </c>
      <c r="P1174" s="243">
        <f>'[5]LAP MARET'!$E$76</f>
        <v>53387400</v>
      </c>
      <c r="Q1174" s="244">
        <v>0</v>
      </c>
      <c r="R1174" s="24">
        <f>'[5]LAP MARET'!$J$76</f>
        <v>7010500</v>
      </c>
      <c r="S1174" s="248">
        <v>0</v>
      </c>
      <c r="T1174" s="24">
        <v>18975400</v>
      </c>
      <c r="U1174" s="279"/>
      <c r="V1174" s="24"/>
      <c r="W1174" s="31"/>
      <c r="X1174" s="265"/>
      <c r="Y1174" s="759">
        <f t="shared" si="332"/>
        <v>0</v>
      </c>
      <c r="Z1174" s="265">
        <f t="shared" si="331"/>
        <v>25985900</v>
      </c>
      <c r="AA1174" s="758">
        <f t="shared" si="333"/>
        <v>1</v>
      </c>
      <c r="AB1174" s="265">
        <f t="shared" si="336"/>
        <v>169126204</v>
      </c>
      <c r="AC1174" s="759">
        <f t="shared" si="334"/>
        <v>20</v>
      </c>
      <c r="AD1174" s="760">
        <f t="shared" si="335"/>
        <v>52.798414357445147</v>
      </c>
      <c r="AE1174" s="779"/>
      <c r="AF1174" s="200"/>
      <c r="AG1174" s="200"/>
      <c r="AH1174" s="200"/>
      <c r="AI1174" s="200"/>
      <c r="AJ1174" s="200"/>
      <c r="AK1174" s="200"/>
      <c r="AL1174" s="200"/>
      <c r="AM1174" s="200"/>
      <c r="AN1174" s="200"/>
      <c r="AO1174" s="200"/>
      <c r="AP1174" s="200"/>
      <c r="AQ1174" s="200"/>
      <c r="AR1174" s="200"/>
      <c r="AS1174" s="200"/>
      <c r="AT1174" s="200"/>
      <c r="AU1174" s="200"/>
      <c r="AV1174" s="200"/>
      <c r="AW1174" s="200"/>
      <c r="AX1174" s="200"/>
      <c r="AY1174" s="200"/>
      <c r="AZ1174" s="200"/>
      <c r="BA1174" s="200"/>
      <c r="BB1174" s="200"/>
      <c r="BC1174" s="970"/>
      <c r="BD1174" s="970"/>
      <c r="BE1174" s="970"/>
      <c r="BF1174" s="970"/>
      <c r="BG1174" s="970"/>
      <c r="BH1174" s="970"/>
      <c r="BI1174" s="970"/>
      <c r="BJ1174" s="970"/>
      <c r="BK1174" s="970"/>
      <c r="BL1174" s="970"/>
      <c r="BM1174" s="970"/>
      <c r="BN1174" s="970"/>
      <c r="BO1174" s="970"/>
      <c r="BP1174" s="970"/>
      <c r="BQ1174" s="970"/>
    </row>
    <row r="1175" spans="1:69" s="1346" customFormat="1" ht="82.5">
      <c r="A1175" s="2558">
        <v>4</v>
      </c>
      <c r="B1175" s="33"/>
      <c r="C1175" s="753" t="s">
        <v>41</v>
      </c>
      <c r="D1175" s="753" t="s">
        <v>28</v>
      </c>
      <c r="E1175" s="753" t="s">
        <v>52</v>
      </c>
      <c r="F1175" s="753" t="s">
        <v>42</v>
      </c>
      <c r="G1175" s="753"/>
      <c r="H1175" s="594"/>
      <c r="I1175" s="763" t="s">
        <v>3038</v>
      </c>
      <c r="J1175" s="44" t="s">
        <v>3039</v>
      </c>
      <c r="K1175" s="148">
        <v>500.5</v>
      </c>
      <c r="L1175" s="230">
        <f>SUM(L1176:L1181)</f>
        <v>948578614</v>
      </c>
      <c r="M1175" s="291">
        <v>272.5</v>
      </c>
      <c r="N1175" s="223">
        <v>565744962</v>
      </c>
      <c r="O1175" s="291">
        <v>74</v>
      </c>
      <c r="P1175" s="222">
        <f>SUM(P1176:P1181)</f>
        <v>202834300</v>
      </c>
      <c r="Q1175" s="1240">
        <v>10</v>
      </c>
      <c r="R1175" s="159">
        <f>SUM(R1176:R1181)</f>
        <v>37277250</v>
      </c>
      <c r="S1175" s="292"/>
      <c r="T1175" s="159">
        <f>SUM(T1176:T1181)</f>
        <v>82439600</v>
      </c>
      <c r="U1175" s="762"/>
      <c r="V1175" s="159"/>
      <c r="W1175" s="151"/>
      <c r="X1175" s="223"/>
      <c r="Y1175" s="160">
        <f t="shared" si="332"/>
        <v>10</v>
      </c>
      <c r="Z1175" s="223">
        <f t="shared" si="331"/>
        <v>119716850</v>
      </c>
      <c r="AA1175" s="135">
        <f t="shared" si="333"/>
        <v>282.5</v>
      </c>
      <c r="AB1175" s="223">
        <f t="shared" si="336"/>
        <v>685461812</v>
      </c>
      <c r="AC1175" s="539">
        <f t="shared" si="334"/>
        <v>56.443556443556439</v>
      </c>
      <c r="AD1175" s="755">
        <f t="shared" si="335"/>
        <v>72.261993037089496</v>
      </c>
      <c r="AE1175" s="2558" t="s">
        <v>131</v>
      </c>
      <c r="AF1175" s="200"/>
      <c r="AG1175" s="200"/>
      <c r="AH1175" s="200"/>
      <c r="AI1175" s="200"/>
      <c r="AJ1175" s="200"/>
      <c r="AK1175" s="200"/>
      <c r="AL1175" s="200"/>
      <c r="AM1175" s="200"/>
      <c r="AN1175" s="200"/>
      <c r="AO1175" s="200"/>
      <c r="AP1175" s="200"/>
      <c r="AQ1175" s="200"/>
      <c r="AR1175" s="200"/>
      <c r="AS1175" s="200"/>
      <c r="AT1175" s="200"/>
      <c r="AU1175" s="200"/>
      <c r="AV1175" s="200"/>
      <c r="AW1175" s="200"/>
      <c r="AX1175" s="200"/>
      <c r="AY1175" s="200"/>
      <c r="AZ1175" s="200"/>
      <c r="BA1175" s="200"/>
      <c r="BB1175" s="200"/>
      <c r="BC1175" s="970"/>
      <c r="BD1175" s="970"/>
      <c r="BE1175" s="970"/>
      <c r="BF1175" s="970"/>
      <c r="BG1175" s="970"/>
      <c r="BH1175" s="970"/>
      <c r="BI1175" s="970"/>
      <c r="BJ1175" s="970"/>
      <c r="BK1175" s="970"/>
      <c r="BL1175" s="970"/>
      <c r="BM1175" s="970"/>
      <c r="BN1175" s="970"/>
      <c r="BO1175" s="970"/>
      <c r="BP1175" s="970"/>
      <c r="BQ1175" s="970"/>
    </row>
    <row r="1176" spans="1:69" s="1288" customFormat="1" ht="66">
      <c r="A1176" s="779"/>
      <c r="B1176" s="11"/>
      <c r="C1176" s="756" t="s">
        <v>41</v>
      </c>
      <c r="D1176" s="756" t="s">
        <v>28</v>
      </c>
      <c r="E1176" s="756">
        <v>12</v>
      </c>
      <c r="F1176" s="756" t="s">
        <v>42</v>
      </c>
      <c r="G1176" s="756"/>
      <c r="H1176" s="756" t="s">
        <v>41</v>
      </c>
      <c r="I1176" s="764" t="s">
        <v>2148</v>
      </c>
      <c r="J1176" s="764" t="s">
        <v>3040</v>
      </c>
      <c r="K1176" s="758">
        <v>5</v>
      </c>
      <c r="L1176" s="13">
        <f>2*N1176</f>
        <v>100475200</v>
      </c>
      <c r="M1176" s="758">
        <v>2</v>
      </c>
      <c r="N1176" s="265">
        <v>50237600</v>
      </c>
      <c r="O1176" s="758">
        <v>1</v>
      </c>
      <c r="P1176" s="243">
        <f>'[5]LAP MARET'!$E$80</f>
        <v>27962500</v>
      </c>
      <c r="Q1176" s="244">
        <v>0</v>
      </c>
      <c r="R1176" s="24">
        <f>'[5]LAP MARET'!$J$80</f>
        <v>3214000</v>
      </c>
      <c r="S1176" s="248">
        <v>6</v>
      </c>
      <c r="T1176" s="24">
        <v>13588300</v>
      </c>
      <c r="U1176" s="279"/>
      <c r="V1176" s="24"/>
      <c r="W1176" s="31"/>
      <c r="X1176" s="265"/>
      <c r="Y1176" s="759">
        <f t="shared" si="332"/>
        <v>6</v>
      </c>
      <c r="Z1176" s="265">
        <f t="shared" si="331"/>
        <v>16802300</v>
      </c>
      <c r="AA1176" s="758">
        <f t="shared" si="333"/>
        <v>8</v>
      </c>
      <c r="AB1176" s="265">
        <f t="shared" si="336"/>
        <v>67039900</v>
      </c>
      <c r="AC1176" s="759">
        <f t="shared" si="334"/>
        <v>160</v>
      </c>
      <c r="AD1176" s="760">
        <f t="shared" si="335"/>
        <v>66.722833097122475</v>
      </c>
      <c r="AE1176" s="779"/>
      <c r="AF1176" s="200"/>
      <c r="AG1176" s="200"/>
      <c r="AH1176" s="200"/>
      <c r="AI1176" s="200"/>
      <c r="AJ1176" s="200"/>
      <c r="AK1176" s="200"/>
      <c r="AL1176" s="200"/>
      <c r="AM1176" s="200"/>
      <c r="AN1176" s="200"/>
      <c r="AO1176" s="200"/>
      <c r="AP1176" s="200"/>
      <c r="AQ1176" s="200"/>
      <c r="AR1176" s="200"/>
      <c r="AS1176" s="200"/>
      <c r="AT1176" s="200"/>
      <c r="AU1176" s="200"/>
      <c r="AV1176" s="200"/>
      <c r="AW1176" s="200"/>
      <c r="AX1176" s="200"/>
      <c r="AY1176" s="200"/>
      <c r="AZ1176" s="200"/>
      <c r="BA1176" s="200"/>
      <c r="BB1176" s="200"/>
      <c r="BC1176" s="970"/>
      <c r="BD1176" s="970"/>
      <c r="BE1176" s="970"/>
      <c r="BF1176" s="970"/>
      <c r="BG1176" s="970"/>
      <c r="BH1176" s="970"/>
      <c r="BI1176" s="970"/>
      <c r="BJ1176" s="970"/>
      <c r="BK1176" s="970"/>
      <c r="BL1176" s="970"/>
      <c r="BM1176" s="970"/>
      <c r="BN1176" s="970"/>
      <c r="BO1176" s="970"/>
      <c r="BP1176" s="970"/>
      <c r="BQ1176" s="970"/>
    </row>
    <row r="1177" spans="1:69" s="1288" customFormat="1" ht="99">
      <c r="A1177" s="779"/>
      <c r="B1177" s="11"/>
      <c r="C1177" s="756" t="s">
        <v>41</v>
      </c>
      <c r="D1177" s="756" t="s">
        <v>28</v>
      </c>
      <c r="E1177" s="756">
        <v>12</v>
      </c>
      <c r="F1177" s="756" t="s">
        <v>42</v>
      </c>
      <c r="G1177" s="756"/>
      <c r="H1177" s="756" t="s">
        <v>41</v>
      </c>
      <c r="I1177" s="267" t="s">
        <v>2149</v>
      </c>
      <c r="J1177" s="764" t="s">
        <v>3042</v>
      </c>
      <c r="K1177" s="758">
        <v>72</v>
      </c>
      <c r="L1177" s="13">
        <f>2*N1177</f>
        <v>242073400</v>
      </c>
      <c r="M1177" s="758">
        <v>24</v>
      </c>
      <c r="N1177" s="265">
        <v>121036700</v>
      </c>
      <c r="O1177" s="758">
        <v>12</v>
      </c>
      <c r="P1177" s="243">
        <f>'[5]LAP MARET'!$E$84</f>
        <v>53183600</v>
      </c>
      <c r="Q1177" s="244">
        <v>3</v>
      </c>
      <c r="R1177" s="24">
        <f>'[5]LAP MARET'!$J$84</f>
        <v>8685500</v>
      </c>
      <c r="S1177" s="248">
        <v>6</v>
      </c>
      <c r="T1177" s="24">
        <v>17235550</v>
      </c>
      <c r="U1177" s="279"/>
      <c r="V1177" s="24"/>
      <c r="W1177" s="31"/>
      <c r="X1177" s="265"/>
      <c r="Y1177" s="14">
        <f t="shared" si="332"/>
        <v>9</v>
      </c>
      <c r="Z1177" s="265">
        <f t="shared" si="331"/>
        <v>25921050</v>
      </c>
      <c r="AA1177" s="758">
        <f t="shared" si="333"/>
        <v>33</v>
      </c>
      <c r="AB1177" s="265">
        <f t="shared" si="336"/>
        <v>146957750</v>
      </c>
      <c r="AC1177" s="759">
        <f t="shared" si="334"/>
        <v>45.833333333333329</v>
      </c>
      <c r="AD1177" s="760">
        <f t="shared" si="335"/>
        <v>60.707929908862354</v>
      </c>
      <c r="AE1177" s="779"/>
      <c r="AF1177" s="200"/>
      <c r="AG1177" s="200"/>
      <c r="AH1177" s="200"/>
      <c r="AI1177" s="200"/>
      <c r="AJ1177" s="200"/>
      <c r="AK1177" s="200"/>
      <c r="AL1177" s="200"/>
      <c r="AM1177" s="200"/>
      <c r="AN1177" s="200"/>
      <c r="AO1177" s="200"/>
      <c r="AP1177" s="200"/>
      <c r="AQ1177" s="200"/>
      <c r="AR1177" s="200"/>
      <c r="AS1177" s="200"/>
      <c r="AT1177" s="200"/>
      <c r="AU1177" s="200"/>
      <c r="AV1177" s="200"/>
      <c r="AW1177" s="200"/>
      <c r="AX1177" s="200"/>
      <c r="AY1177" s="200"/>
      <c r="AZ1177" s="200"/>
      <c r="BA1177" s="200"/>
      <c r="BB1177" s="200"/>
      <c r="BC1177" s="970"/>
      <c r="BD1177" s="970"/>
      <c r="BE1177" s="970"/>
      <c r="BF1177" s="970"/>
      <c r="BG1177" s="970"/>
      <c r="BH1177" s="970"/>
      <c r="BI1177" s="970"/>
      <c r="BJ1177" s="970"/>
      <c r="BK1177" s="970"/>
      <c r="BL1177" s="970"/>
      <c r="BM1177" s="970"/>
      <c r="BN1177" s="970"/>
      <c r="BO1177" s="970"/>
      <c r="BP1177" s="970"/>
      <c r="BQ1177" s="970"/>
    </row>
    <row r="1178" spans="1:69" s="1288" customFormat="1" ht="82.5">
      <c r="A1178" s="779"/>
      <c r="B1178" s="11"/>
      <c r="C1178" s="756" t="s">
        <v>41</v>
      </c>
      <c r="D1178" s="756" t="s">
        <v>28</v>
      </c>
      <c r="E1178" s="756">
        <v>12</v>
      </c>
      <c r="F1178" s="756" t="s">
        <v>42</v>
      </c>
      <c r="G1178" s="756"/>
      <c r="H1178" s="756" t="s">
        <v>107</v>
      </c>
      <c r="I1178" s="764" t="s">
        <v>2150</v>
      </c>
      <c r="J1178" s="764" t="s">
        <v>3041</v>
      </c>
      <c r="K1178" s="758">
        <v>72</v>
      </c>
      <c r="L1178" s="13">
        <f>2*N1178</f>
        <v>283037400</v>
      </c>
      <c r="M1178" s="758">
        <v>24</v>
      </c>
      <c r="N1178" s="265">
        <v>141518700</v>
      </c>
      <c r="O1178" s="758">
        <v>12</v>
      </c>
      <c r="P1178" s="243">
        <f>'[5]LAP MARET'!$E$121</f>
        <v>68861200</v>
      </c>
      <c r="Q1178" s="244">
        <v>3</v>
      </c>
      <c r="R1178" s="24">
        <f>'[5]LAP MARET'!$I$121</f>
        <v>7350000</v>
      </c>
      <c r="S1178" s="248">
        <v>6</v>
      </c>
      <c r="T1178" s="24">
        <v>21064050</v>
      </c>
      <c r="U1178" s="279"/>
      <c r="V1178" s="24"/>
      <c r="W1178" s="31"/>
      <c r="X1178" s="265"/>
      <c r="Y1178" s="14">
        <f t="shared" si="332"/>
        <v>9</v>
      </c>
      <c r="Z1178" s="265">
        <f t="shared" si="331"/>
        <v>28414050</v>
      </c>
      <c r="AA1178" s="758">
        <f t="shared" si="333"/>
        <v>33</v>
      </c>
      <c r="AB1178" s="265">
        <f t="shared" si="336"/>
        <v>169932750</v>
      </c>
      <c r="AC1178" s="759">
        <f t="shared" si="334"/>
        <v>45.833333333333329</v>
      </c>
      <c r="AD1178" s="760">
        <f t="shared" si="335"/>
        <v>60.03897364800553</v>
      </c>
      <c r="AE1178" s="779"/>
      <c r="AF1178" s="200"/>
      <c r="AG1178" s="200"/>
      <c r="AH1178" s="200"/>
      <c r="AI1178" s="200"/>
      <c r="AJ1178" s="200"/>
      <c r="AK1178" s="200"/>
      <c r="AL1178" s="200"/>
      <c r="AM1178" s="200"/>
      <c r="AN1178" s="200"/>
      <c r="AO1178" s="200"/>
      <c r="AP1178" s="200"/>
      <c r="AQ1178" s="200"/>
      <c r="AR1178" s="200"/>
      <c r="AS1178" s="200"/>
      <c r="AT1178" s="200"/>
      <c r="AU1178" s="200"/>
      <c r="AV1178" s="200"/>
      <c r="AW1178" s="200"/>
      <c r="AX1178" s="200"/>
      <c r="AY1178" s="200"/>
      <c r="AZ1178" s="200"/>
      <c r="BA1178" s="200"/>
      <c r="BB1178" s="200"/>
      <c r="BC1178" s="970"/>
      <c r="BD1178" s="970"/>
      <c r="BE1178" s="970"/>
      <c r="BF1178" s="970"/>
      <c r="BG1178" s="970"/>
      <c r="BH1178" s="970"/>
      <c r="BI1178" s="970"/>
      <c r="BJ1178" s="970"/>
      <c r="BK1178" s="970"/>
      <c r="BL1178" s="970"/>
      <c r="BM1178" s="970"/>
      <c r="BN1178" s="970"/>
      <c r="BO1178" s="970"/>
      <c r="BP1178" s="970"/>
      <c r="BQ1178" s="970"/>
    </row>
    <row r="1179" spans="1:69" ht="33">
      <c r="A1179" s="779"/>
      <c r="B1179" s="11"/>
      <c r="C1179" s="756" t="s">
        <v>41</v>
      </c>
      <c r="D1179" s="756" t="s">
        <v>28</v>
      </c>
      <c r="E1179" s="756">
        <v>12</v>
      </c>
      <c r="F1179" s="756" t="s">
        <v>42</v>
      </c>
      <c r="G1179" s="756"/>
      <c r="H1179" s="756" t="s">
        <v>107</v>
      </c>
      <c r="I1179" s="764" t="s">
        <v>2151</v>
      </c>
      <c r="J1179" s="764" t="s">
        <v>3043</v>
      </c>
      <c r="K1179" s="758">
        <v>160</v>
      </c>
      <c r="L1179" s="13">
        <v>90000000</v>
      </c>
      <c r="M1179" s="758">
        <v>80</v>
      </c>
      <c r="N1179" s="265">
        <v>29925591</v>
      </c>
      <c r="O1179" s="758">
        <v>0</v>
      </c>
      <c r="P1179" s="243">
        <v>0</v>
      </c>
      <c r="Q1179" s="244">
        <v>0</v>
      </c>
      <c r="R1179" s="24">
        <v>0</v>
      </c>
      <c r="S1179" s="279"/>
      <c r="T1179" s="24"/>
      <c r="U1179" s="279"/>
      <c r="V1179" s="24"/>
      <c r="W1179" s="11"/>
      <c r="X1179" s="265"/>
      <c r="Y1179" s="14">
        <f t="shared" si="332"/>
        <v>0</v>
      </c>
      <c r="Z1179" s="265">
        <f t="shared" si="331"/>
        <v>0</v>
      </c>
      <c r="AA1179" s="758">
        <f t="shared" si="333"/>
        <v>80</v>
      </c>
      <c r="AB1179" s="265">
        <f t="shared" si="336"/>
        <v>29925591</v>
      </c>
      <c r="AC1179" s="759">
        <f t="shared" si="334"/>
        <v>50</v>
      </c>
      <c r="AD1179" s="760">
        <f t="shared" si="335"/>
        <v>33.250656666666664</v>
      </c>
      <c r="AE1179" s="779"/>
      <c r="AF1179" s="971"/>
    </row>
    <row r="1180" spans="1:69" ht="33">
      <c r="A1180" s="779"/>
      <c r="B1180" s="11"/>
      <c r="C1180" s="756" t="s">
        <v>41</v>
      </c>
      <c r="D1180" s="756" t="s">
        <v>28</v>
      </c>
      <c r="E1180" s="756">
        <v>12</v>
      </c>
      <c r="F1180" s="756" t="s">
        <v>42</v>
      </c>
      <c r="G1180" s="756"/>
      <c r="H1180" s="756" t="s">
        <v>107</v>
      </c>
      <c r="I1180" s="764" t="s">
        <v>2152</v>
      </c>
      <c r="J1180" s="764" t="s">
        <v>3044</v>
      </c>
      <c r="K1180" s="758">
        <v>72</v>
      </c>
      <c r="L1180" s="13">
        <v>105749014</v>
      </c>
      <c r="M1180" s="758">
        <v>24</v>
      </c>
      <c r="N1180" s="265">
        <v>138624971</v>
      </c>
      <c r="O1180" s="758">
        <v>12</v>
      </c>
      <c r="P1180" s="243">
        <f>'[5]LAP MARET'!$E$92</f>
        <v>24753000</v>
      </c>
      <c r="Q1180" s="244">
        <v>3</v>
      </c>
      <c r="R1180" s="24">
        <f>'[5]LAP MARET'!$I$92</f>
        <v>3690050</v>
      </c>
      <c r="S1180" s="248"/>
      <c r="T1180" s="24">
        <v>10243750</v>
      </c>
      <c r="U1180" s="279"/>
      <c r="V1180" s="24"/>
      <c r="W1180" s="31"/>
      <c r="X1180" s="265"/>
      <c r="Y1180" s="14">
        <f t="shared" si="332"/>
        <v>3</v>
      </c>
      <c r="Z1180" s="265">
        <f t="shared" si="331"/>
        <v>13933800</v>
      </c>
      <c r="AA1180" s="758">
        <f t="shared" si="333"/>
        <v>27</v>
      </c>
      <c r="AB1180" s="265">
        <f t="shared" si="336"/>
        <v>152558771</v>
      </c>
      <c r="AC1180" s="759">
        <f t="shared" si="334"/>
        <v>37.5</v>
      </c>
      <c r="AD1180" s="760">
        <f t="shared" si="335"/>
        <v>144.26495834750762</v>
      </c>
      <c r="AE1180" s="779"/>
      <c r="AG1180" s="1120"/>
    </row>
    <row r="1181" spans="1:69" ht="67.5" customHeight="1">
      <c r="A1181" s="779"/>
      <c r="B1181" s="11"/>
      <c r="C1181" s="756" t="s">
        <v>41</v>
      </c>
      <c r="D1181" s="756" t="s">
        <v>28</v>
      </c>
      <c r="E1181" s="756">
        <v>12</v>
      </c>
      <c r="F1181" s="756" t="s">
        <v>42</v>
      </c>
      <c r="G1181" s="756"/>
      <c r="H1181" s="756" t="s">
        <v>107</v>
      </c>
      <c r="I1181" s="6" t="s">
        <v>2153</v>
      </c>
      <c r="J1181" s="6" t="s">
        <v>3045</v>
      </c>
      <c r="K1181" s="758">
        <v>72</v>
      </c>
      <c r="L1181" s="13">
        <v>127243600</v>
      </c>
      <c r="M1181" s="758">
        <v>24</v>
      </c>
      <c r="N1181" s="265">
        <v>84401400</v>
      </c>
      <c r="O1181" s="758">
        <v>12</v>
      </c>
      <c r="P1181" s="243">
        <f>'[5]LAP MARET'!$E$96</f>
        <v>28074000</v>
      </c>
      <c r="Q1181" s="244">
        <v>3</v>
      </c>
      <c r="R1181" s="24">
        <f>'[5]LAP MARET'!$J$96</f>
        <v>14337700</v>
      </c>
      <c r="S1181" s="279"/>
      <c r="T1181" s="24">
        <v>20307950</v>
      </c>
      <c r="U1181" s="279"/>
      <c r="V1181" s="24"/>
      <c r="W1181" s="31"/>
      <c r="X1181" s="265"/>
      <c r="Y1181" s="14">
        <f t="shared" si="332"/>
        <v>3</v>
      </c>
      <c r="Z1181" s="265">
        <f t="shared" si="331"/>
        <v>34645650</v>
      </c>
      <c r="AA1181" s="758">
        <f t="shared" si="333"/>
        <v>27</v>
      </c>
      <c r="AB1181" s="265">
        <f t="shared" si="336"/>
        <v>119047050</v>
      </c>
      <c r="AC1181" s="759">
        <f t="shared" si="334"/>
        <v>37.5</v>
      </c>
      <c r="AD1181" s="760">
        <f t="shared" si="335"/>
        <v>93.55837936053365</v>
      </c>
      <c r="AE1181" s="779"/>
      <c r="AG1181" s="1120"/>
    </row>
    <row r="1182" spans="1:69" ht="79.5" customHeight="1">
      <c r="A1182" s="2558">
        <v>5</v>
      </c>
      <c r="B1182" s="33"/>
      <c r="C1182" s="753" t="s">
        <v>41</v>
      </c>
      <c r="D1182" s="753" t="s">
        <v>28</v>
      </c>
      <c r="E1182" s="753" t="s">
        <v>52</v>
      </c>
      <c r="F1182" s="753" t="s">
        <v>44</v>
      </c>
      <c r="G1182" s="753"/>
      <c r="H1182" s="286"/>
      <c r="I1182" s="763" t="s">
        <v>2154</v>
      </c>
      <c r="J1182" s="44" t="s">
        <v>2155</v>
      </c>
      <c r="K1182" s="230">
        <v>19500</v>
      </c>
      <c r="L1182" s="230">
        <f>SUM(L1183:L1188)</f>
        <v>812619702</v>
      </c>
      <c r="M1182" s="230">
        <v>10000</v>
      </c>
      <c r="N1182" s="223">
        <v>501083288</v>
      </c>
      <c r="O1182" s="230">
        <v>3000</v>
      </c>
      <c r="P1182" s="222">
        <f>SUM(P1183:P1188)</f>
        <v>300723500</v>
      </c>
      <c r="Q1182" s="226">
        <v>500</v>
      </c>
      <c r="R1182" s="159">
        <f>SUM(R1183:R1188)</f>
        <v>40071250</v>
      </c>
      <c r="S1182" s="762"/>
      <c r="T1182" s="159">
        <f>SUM(T1183:T1188)</f>
        <v>107934602</v>
      </c>
      <c r="U1182" s="762"/>
      <c r="V1182" s="159"/>
      <c r="W1182" s="159"/>
      <c r="X1182" s="159"/>
      <c r="Y1182" s="160">
        <f t="shared" si="332"/>
        <v>500</v>
      </c>
      <c r="Z1182" s="223">
        <f t="shared" si="331"/>
        <v>148005852</v>
      </c>
      <c r="AA1182" s="135">
        <f t="shared" si="333"/>
        <v>10500</v>
      </c>
      <c r="AB1182" s="223">
        <f t="shared" si="336"/>
        <v>649089140</v>
      </c>
      <c r="AC1182" s="539">
        <f t="shared" si="334"/>
        <v>53.846153846153847</v>
      </c>
      <c r="AD1182" s="765">
        <f t="shared" si="335"/>
        <v>79.876126360519876</v>
      </c>
      <c r="AE1182" s="2558" t="s">
        <v>131</v>
      </c>
      <c r="AG1182" s="1120"/>
    </row>
    <row r="1183" spans="1:69" ht="33">
      <c r="A1183" s="779"/>
      <c r="B1183" s="11"/>
      <c r="C1183" s="756" t="s">
        <v>41</v>
      </c>
      <c r="D1183" s="756" t="s">
        <v>28</v>
      </c>
      <c r="E1183" s="756">
        <v>12</v>
      </c>
      <c r="F1183" s="756" t="s">
        <v>44</v>
      </c>
      <c r="G1183" s="756"/>
      <c r="H1183" s="756"/>
      <c r="I1183" s="764" t="s">
        <v>2156</v>
      </c>
      <c r="J1183" s="764" t="s">
        <v>3046</v>
      </c>
      <c r="K1183" s="758">
        <v>72</v>
      </c>
      <c r="L1183" s="13">
        <v>303600000</v>
      </c>
      <c r="M1183" s="758">
        <v>36</v>
      </c>
      <c r="N1183" s="265">
        <v>205819908</v>
      </c>
      <c r="O1183" s="758">
        <v>12</v>
      </c>
      <c r="P1183" s="243">
        <f>'[5]LAP MARET'!$E$101</f>
        <v>105033000</v>
      </c>
      <c r="Q1183" s="244">
        <v>3</v>
      </c>
      <c r="R1183" s="24">
        <f>'[5]LAP MARET'!$I$101</f>
        <v>19479050</v>
      </c>
      <c r="S1183" s="248">
        <v>3</v>
      </c>
      <c r="T1183" s="24">
        <v>58795402</v>
      </c>
      <c r="U1183" s="279"/>
      <c r="V1183" s="24"/>
      <c r="W1183" s="31"/>
      <c r="X1183" s="265"/>
      <c r="Y1183" s="14">
        <f t="shared" si="332"/>
        <v>6</v>
      </c>
      <c r="Z1183" s="265">
        <f t="shared" si="331"/>
        <v>78274452</v>
      </c>
      <c r="AA1183" s="758">
        <f t="shared" si="333"/>
        <v>42</v>
      </c>
      <c r="AB1183" s="265">
        <f t="shared" si="336"/>
        <v>284094360</v>
      </c>
      <c r="AC1183" s="759">
        <f t="shared" si="334"/>
        <v>58.333333333333336</v>
      </c>
      <c r="AD1183" s="766">
        <f t="shared" si="335"/>
        <v>93.575217391304349</v>
      </c>
      <c r="AE1183" s="779"/>
      <c r="AG1183" s="1120"/>
    </row>
    <row r="1184" spans="1:69" ht="66">
      <c r="A1184" s="779"/>
      <c r="B1184" s="11"/>
      <c r="C1184" s="756" t="s">
        <v>41</v>
      </c>
      <c r="D1184" s="756" t="s">
        <v>28</v>
      </c>
      <c r="E1184" s="756">
        <v>12</v>
      </c>
      <c r="F1184" s="756" t="s">
        <v>44</v>
      </c>
      <c r="G1184" s="756"/>
      <c r="H1184" s="756"/>
      <c r="I1184" s="764" t="s">
        <v>2157</v>
      </c>
      <c r="J1184" s="764" t="s">
        <v>2158</v>
      </c>
      <c r="K1184" s="758">
        <v>24</v>
      </c>
      <c r="L1184" s="13">
        <v>141093801</v>
      </c>
      <c r="M1184" s="758">
        <v>8</v>
      </c>
      <c r="N1184" s="265">
        <v>74722300</v>
      </c>
      <c r="O1184" s="758">
        <v>4</v>
      </c>
      <c r="P1184" s="243">
        <f>'[5]LAP MARET'!$E$105</f>
        <v>61003000</v>
      </c>
      <c r="Q1184" s="244">
        <v>1</v>
      </c>
      <c r="R1184" s="24">
        <f>'[5]LAP MARET'!$J$105</f>
        <v>17205300</v>
      </c>
      <c r="S1184" s="244">
        <v>1</v>
      </c>
      <c r="T1184" s="24">
        <v>36383100</v>
      </c>
      <c r="U1184" s="279"/>
      <c r="V1184" s="24"/>
      <c r="W1184" s="31"/>
      <c r="X1184" s="265"/>
      <c r="Y1184" s="14">
        <f t="shared" si="332"/>
        <v>2</v>
      </c>
      <c r="Z1184" s="265">
        <f t="shared" si="331"/>
        <v>53588400</v>
      </c>
      <c r="AA1184" s="758">
        <f t="shared" si="333"/>
        <v>10</v>
      </c>
      <c r="AB1184" s="265">
        <f t="shared" si="336"/>
        <v>128310700</v>
      </c>
      <c r="AC1184" s="759">
        <f t="shared" si="334"/>
        <v>41.666666666666671</v>
      </c>
      <c r="AD1184" s="766">
        <f t="shared" si="335"/>
        <v>90.93999813641706</v>
      </c>
      <c r="AE1184" s="779"/>
      <c r="AG1184" s="1120"/>
    </row>
    <row r="1185" spans="1:70" ht="49.5">
      <c r="A1185" s="779"/>
      <c r="B1185" s="11"/>
      <c r="C1185" s="756" t="s">
        <v>41</v>
      </c>
      <c r="D1185" s="756" t="s">
        <v>28</v>
      </c>
      <c r="E1185" s="756">
        <v>12</v>
      </c>
      <c r="F1185" s="756" t="s">
        <v>44</v>
      </c>
      <c r="G1185" s="756"/>
      <c r="H1185" s="756"/>
      <c r="I1185" s="764" t="s">
        <v>2159</v>
      </c>
      <c r="J1185" s="764" t="s">
        <v>2160</v>
      </c>
      <c r="K1185" s="758">
        <v>6</v>
      </c>
      <c r="L1185" s="207">
        <v>52093801</v>
      </c>
      <c r="M1185" s="758">
        <v>2</v>
      </c>
      <c r="N1185" s="265">
        <v>78532600</v>
      </c>
      <c r="O1185" s="758">
        <v>1</v>
      </c>
      <c r="P1185" s="243">
        <f>'[5]LAP MARET'!$E$109</f>
        <v>27588500</v>
      </c>
      <c r="Q1185" s="244">
        <v>1</v>
      </c>
      <c r="R1185" s="24">
        <f>'[5]LAP MARET'!$J$109</f>
        <v>3386900</v>
      </c>
      <c r="S1185" s="244">
        <v>1</v>
      </c>
      <c r="T1185" s="24">
        <v>11264600</v>
      </c>
      <c r="U1185" s="279"/>
      <c r="V1185" s="24"/>
      <c r="W1185" s="31"/>
      <c r="X1185" s="265"/>
      <c r="Y1185" s="14">
        <f t="shared" si="332"/>
        <v>2</v>
      </c>
      <c r="Z1185" s="265">
        <f t="shared" si="331"/>
        <v>14651500</v>
      </c>
      <c r="AA1185" s="758">
        <f t="shared" si="333"/>
        <v>4</v>
      </c>
      <c r="AB1185" s="265">
        <f t="shared" si="336"/>
        <v>93184100</v>
      </c>
      <c r="AC1185" s="759">
        <f t="shared" si="334"/>
        <v>66.666666666666657</v>
      </c>
      <c r="AD1185" s="766">
        <f t="shared" si="335"/>
        <v>178.87752133886335</v>
      </c>
      <c r="AE1185" s="779"/>
      <c r="AG1185" s="1120"/>
    </row>
    <row r="1186" spans="1:70" ht="49.5">
      <c r="A1186" s="779"/>
      <c r="B1186" s="11"/>
      <c r="C1186" s="756" t="s">
        <v>41</v>
      </c>
      <c r="D1186" s="756" t="s">
        <v>28</v>
      </c>
      <c r="E1186" s="756">
        <v>12</v>
      </c>
      <c r="F1186" s="756" t="s">
        <v>44</v>
      </c>
      <c r="G1186" s="756"/>
      <c r="H1186" s="756"/>
      <c r="I1186" s="764" t="s">
        <v>2161</v>
      </c>
      <c r="J1186" s="764" t="s">
        <v>2162</v>
      </c>
      <c r="K1186" s="758">
        <v>1</v>
      </c>
      <c r="L1186" s="207">
        <v>71535100</v>
      </c>
      <c r="M1186" s="758">
        <v>1</v>
      </c>
      <c r="N1186" s="265">
        <v>70737766</v>
      </c>
      <c r="O1186" s="13">
        <v>0</v>
      </c>
      <c r="P1186" s="243">
        <v>0</v>
      </c>
      <c r="Q1186" s="244">
        <v>0</v>
      </c>
      <c r="R1186" s="24">
        <v>0</v>
      </c>
      <c r="S1186" s="248"/>
      <c r="T1186" s="24">
        <v>0</v>
      </c>
      <c r="U1186" s="279"/>
      <c r="V1186" s="24"/>
      <c r="W1186" s="31"/>
      <c r="X1186" s="265"/>
      <c r="Y1186" s="14">
        <f>Q1186+S1186+U1186+W1186</f>
        <v>0</v>
      </c>
      <c r="Z1186" s="265"/>
      <c r="AA1186" s="758">
        <f t="shared" si="333"/>
        <v>1</v>
      </c>
      <c r="AB1186" s="265"/>
      <c r="AC1186" s="759">
        <f>AA1186/K1186*100</f>
        <v>100</v>
      </c>
      <c r="AD1186" s="766"/>
      <c r="AE1186" s="779"/>
      <c r="AG1186" s="1120"/>
    </row>
    <row r="1187" spans="1:70" ht="49.5">
      <c r="A1187" s="779"/>
      <c r="B1187" s="11"/>
      <c r="C1187" s="756" t="s">
        <v>41</v>
      </c>
      <c r="D1187" s="756" t="s">
        <v>28</v>
      </c>
      <c r="E1187" s="756">
        <v>12</v>
      </c>
      <c r="F1187" s="756" t="s">
        <v>44</v>
      </c>
      <c r="G1187" s="756"/>
      <c r="H1187" s="756"/>
      <c r="I1187" s="764" t="s">
        <v>2163</v>
      </c>
      <c r="J1187" s="764" t="s">
        <v>3047</v>
      </c>
      <c r="K1187" s="758">
        <v>9</v>
      </c>
      <c r="L1187" s="767">
        <f>3*N1187</f>
        <v>205797000</v>
      </c>
      <c r="M1187" s="758">
        <v>3</v>
      </c>
      <c r="N1187" s="13">
        <f>P1187</f>
        <v>68599000</v>
      </c>
      <c r="O1187" s="758">
        <v>3</v>
      </c>
      <c r="P1187" s="243">
        <v>68599000</v>
      </c>
      <c r="Q1187" s="244">
        <f t="shared" si="330"/>
        <v>0</v>
      </c>
      <c r="R1187" s="24">
        <f>0</f>
        <v>0</v>
      </c>
      <c r="S1187" s="11"/>
      <c r="T1187" s="24"/>
      <c r="U1187" s="279"/>
      <c r="V1187" s="24"/>
      <c r="W1187" s="31"/>
      <c r="X1187" s="265"/>
      <c r="Y1187" s="14">
        <f>Q1187+S1187+U1187+W1187</f>
        <v>0</v>
      </c>
      <c r="Z1187" s="265">
        <f>R1187+T1187+V1187+X1187</f>
        <v>0</v>
      </c>
      <c r="AA1187" s="758">
        <f t="shared" si="333"/>
        <v>3</v>
      </c>
      <c r="AB1187" s="265">
        <f>N1187+Z1187</f>
        <v>68599000</v>
      </c>
      <c r="AC1187" s="759">
        <f>AA1187/K1187*100</f>
        <v>33.333333333333329</v>
      </c>
      <c r="AD1187" s="766">
        <f>AB1187/L1187*100</f>
        <v>33.333333333333329</v>
      </c>
      <c r="AE1187" s="779"/>
      <c r="AG1187" s="1120"/>
    </row>
    <row r="1188" spans="1:70" ht="49.5">
      <c r="A1188" s="779"/>
      <c r="B1188" s="11"/>
      <c r="C1188" s="756" t="s">
        <v>41</v>
      </c>
      <c r="D1188" s="756" t="s">
        <v>28</v>
      </c>
      <c r="E1188" s="756">
        <v>12</v>
      </c>
      <c r="F1188" s="756" t="s">
        <v>44</v>
      </c>
      <c r="G1188" s="756"/>
      <c r="H1188" s="756"/>
      <c r="I1188" s="764" t="s">
        <v>2164</v>
      </c>
      <c r="J1188" s="764" t="s">
        <v>3048</v>
      </c>
      <c r="K1188" s="758">
        <v>72</v>
      </c>
      <c r="L1188" s="207">
        <f>P1188</f>
        <v>38500000</v>
      </c>
      <c r="M1188" s="758">
        <v>36</v>
      </c>
      <c r="N1188" s="14">
        <f>L1188</f>
        <v>38500000</v>
      </c>
      <c r="O1188" s="758">
        <v>12</v>
      </c>
      <c r="P1188" s="243">
        <f>'[5]LAP MARET'!$E$113</f>
        <v>38500000</v>
      </c>
      <c r="Q1188" s="244">
        <v>3</v>
      </c>
      <c r="R1188" s="24">
        <f>0</f>
        <v>0</v>
      </c>
      <c r="S1188" s="11"/>
      <c r="T1188" s="24">
        <v>1491500</v>
      </c>
      <c r="U1188" s="279"/>
      <c r="V1188" s="24"/>
      <c r="W1188" s="31"/>
      <c r="X1188" s="265"/>
      <c r="Y1188" s="14">
        <f>Q1188+S1188+U1188+W1188</f>
        <v>3</v>
      </c>
      <c r="Z1188" s="265">
        <f>R1188+T1188+V1188+X1188</f>
        <v>1491500</v>
      </c>
      <c r="AA1188" s="758">
        <f t="shared" si="333"/>
        <v>39</v>
      </c>
      <c r="AB1188" s="265">
        <f>N1188+Z1188</f>
        <v>39991500</v>
      </c>
      <c r="AC1188" s="759">
        <f>AA1188/K1188*100</f>
        <v>54.166666666666664</v>
      </c>
      <c r="AD1188" s="766">
        <f>AB1188/L1188*100</f>
        <v>103.87402597402597</v>
      </c>
      <c r="AE1188" s="779"/>
      <c r="AG1188" s="1120"/>
    </row>
    <row r="1189" spans="1:70" s="22" customFormat="1" ht="35.25" customHeight="1">
      <c r="A1189" s="133">
        <v>6</v>
      </c>
      <c r="B1189" s="158"/>
      <c r="C1189" s="753" t="s">
        <v>41</v>
      </c>
      <c r="D1189" s="753" t="s">
        <v>28</v>
      </c>
      <c r="E1189" s="753" t="s">
        <v>52</v>
      </c>
      <c r="F1189" s="753" t="s">
        <v>44</v>
      </c>
      <c r="G1189" s="768"/>
      <c r="H1189" s="768"/>
      <c r="I1189" s="763" t="s">
        <v>3049</v>
      </c>
      <c r="J1189" s="769"/>
      <c r="K1189" s="154"/>
      <c r="L1189" s="225">
        <f>P1189</f>
        <v>60000000</v>
      </c>
      <c r="M1189" s="154"/>
      <c r="N1189" s="770">
        <f>P1189</f>
        <v>60000000</v>
      </c>
      <c r="O1189" s="154"/>
      <c r="P1189" s="222">
        <f>'[5]LAP MARET'!$E$125</f>
        <v>60000000</v>
      </c>
      <c r="Q1189" s="754">
        <f t="shared" si="330"/>
        <v>0</v>
      </c>
      <c r="R1189" s="227"/>
      <c r="S1189" s="158"/>
      <c r="T1189" s="159">
        <f>SUM(T1190)</f>
        <v>11360400</v>
      </c>
      <c r="U1189" s="771"/>
      <c r="V1189" s="227"/>
      <c r="W1189" s="366"/>
      <c r="X1189" s="229"/>
      <c r="Y1189" s="770"/>
      <c r="Z1189" s="229"/>
      <c r="AA1189" s="154"/>
      <c r="AB1189" s="229"/>
      <c r="AC1189" s="772"/>
      <c r="AD1189" s="773"/>
      <c r="AE1189" s="2558" t="s">
        <v>131</v>
      </c>
      <c r="AF1189" s="750"/>
      <c r="AG1189" s="1120"/>
      <c r="AH1189" s="750"/>
      <c r="AI1189" s="750"/>
      <c r="AJ1189" s="750"/>
      <c r="AK1189" s="750"/>
      <c r="AL1189" s="750"/>
      <c r="AM1189" s="750"/>
      <c r="AN1189" s="750"/>
      <c r="AO1189" s="750"/>
      <c r="AP1189" s="750"/>
      <c r="AQ1189" s="750"/>
      <c r="AR1189" s="750"/>
      <c r="AS1189" s="750"/>
      <c r="AT1189" s="750"/>
      <c r="AU1189" s="750"/>
      <c r="AV1189" s="750"/>
      <c r="AW1189" s="750"/>
      <c r="AX1189" s="750"/>
      <c r="AY1189" s="750"/>
      <c r="AZ1189" s="750"/>
      <c r="BA1189" s="750"/>
      <c r="BB1189" s="750"/>
      <c r="BC1189" s="752"/>
      <c r="BD1189" s="752"/>
      <c r="BE1189" s="752"/>
      <c r="BF1189" s="752"/>
      <c r="BG1189" s="752"/>
      <c r="BH1189" s="752"/>
      <c r="BI1189" s="752"/>
      <c r="BJ1189" s="752"/>
      <c r="BK1189" s="752"/>
      <c r="BL1189" s="752"/>
      <c r="BM1189" s="752"/>
      <c r="BN1189" s="752"/>
      <c r="BO1189" s="752"/>
      <c r="BP1189" s="752"/>
      <c r="BQ1189" s="752"/>
      <c r="BR1189" s="752"/>
    </row>
    <row r="1190" spans="1:70" ht="49.5">
      <c r="A1190" s="779"/>
      <c r="B1190" s="11"/>
      <c r="C1190" s="756"/>
      <c r="D1190" s="756"/>
      <c r="E1190" s="756"/>
      <c r="F1190" s="756"/>
      <c r="G1190" s="756"/>
      <c r="H1190" s="756"/>
      <c r="I1190" s="764" t="s">
        <v>2165</v>
      </c>
      <c r="J1190" s="764" t="s">
        <v>2993</v>
      </c>
      <c r="K1190" s="758">
        <v>10</v>
      </c>
      <c r="L1190" s="207">
        <f>P1190</f>
        <v>60000000</v>
      </c>
      <c r="M1190" s="758">
        <v>0</v>
      </c>
      <c r="N1190" s="14">
        <v>0</v>
      </c>
      <c r="O1190" s="758">
        <v>10</v>
      </c>
      <c r="P1190" s="243">
        <f>'[5]LAP MARET'!$E$126</f>
        <v>60000000</v>
      </c>
      <c r="Q1190" s="244">
        <v>0</v>
      </c>
      <c r="R1190" s="24">
        <f>'[5]LAP MARET'!$I$128</f>
        <v>8991700</v>
      </c>
      <c r="S1190" s="11">
        <v>1</v>
      </c>
      <c r="T1190" s="2278">
        <f>'[6]LAP JUNI'!$I$126</f>
        <v>11360400</v>
      </c>
      <c r="U1190" s="279"/>
      <c r="V1190" s="24"/>
      <c r="W1190" s="31"/>
      <c r="X1190" s="265"/>
      <c r="Y1190" s="14">
        <f>Q1190+S1190+U1190+W1190</f>
        <v>1</v>
      </c>
      <c r="Z1190" s="265">
        <f>R1190+T1190+V1190+X1190</f>
        <v>20352100</v>
      </c>
      <c r="AA1190" s="758">
        <f>M1190+Y1190</f>
        <v>1</v>
      </c>
      <c r="AB1190" s="265">
        <f>N1190+Z1190</f>
        <v>20352100</v>
      </c>
      <c r="AC1190" s="759">
        <f>AA1190/K1190*100</f>
        <v>10</v>
      </c>
      <c r="AD1190" s="766">
        <f>AB1190/L1190*100</f>
        <v>33.920166666666667</v>
      </c>
      <c r="AE1190" s="779"/>
      <c r="AG1190" s="1120"/>
    </row>
    <row r="1191" spans="1:70" s="1235" customFormat="1" ht="21.75" customHeight="1">
      <c r="A1191" s="2737" t="s">
        <v>63</v>
      </c>
      <c r="B1191" s="2737"/>
      <c r="C1191" s="2741"/>
      <c r="D1191" s="2741"/>
      <c r="E1191" s="2741"/>
      <c r="F1191" s="2741"/>
      <c r="G1191" s="2741"/>
      <c r="H1191" s="2741"/>
      <c r="I1191" s="2741"/>
      <c r="J1191" s="2741"/>
      <c r="K1191" s="2741"/>
      <c r="L1191" s="2741"/>
      <c r="M1191" s="2741"/>
      <c r="N1191" s="2741"/>
      <c r="O1191" s="2741"/>
      <c r="P1191" s="2741"/>
      <c r="Q1191" s="2741"/>
      <c r="R1191" s="2741"/>
      <c r="S1191" s="2741"/>
      <c r="T1191" s="2741"/>
      <c r="U1191" s="2741"/>
      <c r="V1191" s="2741"/>
      <c r="W1191" s="2741"/>
      <c r="X1191" s="2741"/>
      <c r="Y1191" s="2741"/>
      <c r="Z1191" s="2741"/>
      <c r="AA1191" s="2741"/>
      <c r="AB1191" s="2741"/>
      <c r="AC1191" s="1784">
        <f>(AC1153+AC1167+AC1172+AC1175+AC1182+AC1189)/6</f>
        <v>53.630498353497586</v>
      </c>
      <c r="AD1191" s="1784">
        <f>(AD1153+AD1167+AD1172+AD1175+AD1182+AD1189)/6</f>
        <v>51.721072443654698</v>
      </c>
      <c r="AE1191" s="131"/>
      <c r="AF1191" s="861"/>
      <c r="AG1191" s="1785"/>
      <c r="AH1191" s="861"/>
      <c r="AI1191" s="861"/>
      <c r="AJ1191" s="861"/>
      <c r="AK1191" s="861"/>
      <c r="AL1191" s="861"/>
      <c r="AM1191" s="861"/>
      <c r="AN1191" s="861"/>
      <c r="AO1191" s="861"/>
      <c r="AP1191" s="861"/>
      <c r="AQ1191" s="861"/>
      <c r="AR1191" s="861"/>
      <c r="AS1191" s="861"/>
      <c r="AT1191" s="861"/>
      <c r="AU1191" s="861"/>
      <c r="AV1191" s="861"/>
      <c r="AW1191" s="861"/>
      <c r="AX1191" s="861"/>
      <c r="AY1191" s="861"/>
      <c r="AZ1191" s="861"/>
      <c r="BA1191" s="861"/>
      <c r="BB1191" s="861"/>
      <c r="BC1191" s="862"/>
      <c r="BD1191" s="862"/>
      <c r="BE1191" s="862"/>
      <c r="BF1191" s="862"/>
      <c r="BG1191" s="862"/>
      <c r="BH1191" s="862"/>
      <c r="BI1191" s="862"/>
      <c r="BJ1191" s="862"/>
      <c r="BK1191" s="862"/>
      <c r="BL1191" s="862"/>
      <c r="BM1191" s="862"/>
      <c r="BN1191" s="862"/>
      <c r="BO1191" s="862"/>
      <c r="BP1191" s="862"/>
      <c r="BQ1191" s="862"/>
      <c r="BR1191" s="862"/>
    </row>
    <row r="1192" spans="1:70" s="1235" customFormat="1" ht="21" customHeight="1">
      <c r="A1192" s="2750" t="s">
        <v>64</v>
      </c>
      <c r="B1192" s="2751"/>
      <c r="C1192" s="2751"/>
      <c r="D1192" s="2751"/>
      <c r="E1192" s="2751"/>
      <c r="F1192" s="2751"/>
      <c r="G1192" s="2751"/>
      <c r="H1192" s="2751"/>
      <c r="I1192" s="2751"/>
      <c r="J1192" s="2751"/>
      <c r="K1192" s="2751"/>
      <c r="L1192" s="2751"/>
      <c r="M1192" s="2751"/>
      <c r="N1192" s="2751"/>
      <c r="O1192" s="2751"/>
      <c r="P1192" s="2751"/>
      <c r="Q1192" s="2751"/>
      <c r="R1192" s="2751"/>
      <c r="S1192" s="2751"/>
      <c r="T1192" s="2751"/>
      <c r="U1192" s="2751"/>
      <c r="V1192" s="2751"/>
      <c r="W1192" s="2751"/>
      <c r="X1192" s="2751"/>
      <c r="Y1192" s="2751"/>
      <c r="Z1192" s="2751"/>
      <c r="AA1192" s="2751"/>
      <c r="AB1192" s="2752"/>
      <c r="AC1192" s="604" t="str">
        <f>IF(AC1191&gt;=91,"ST",IF(AC1191&gt;=76,"T",IF(AC1191&gt;=66,"S",IF(AC1191&gt;=51,"R","SR"))))</f>
        <v>R</v>
      </c>
      <c r="AD1192" s="604" t="str">
        <f>IF(AD1191&gt;=91,"ST",IF(AD1191&gt;=76,"T",IF(AD1191&gt;=66,"S",IF(AD1191&gt;=51,"R","SR"))))</f>
        <v>R</v>
      </c>
      <c r="AE1192" s="603"/>
      <c r="AF1192" s="861"/>
      <c r="AG1192" s="861"/>
      <c r="AH1192" s="861"/>
      <c r="AI1192" s="861"/>
      <c r="AJ1192" s="861"/>
      <c r="AK1192" s="861"/>
      <c r="AL1192" s="861"/>
      <c r="AM1192" s="861"/>
      <c r="AN1192" s="861"/>
      <c r="AO1192" s="861"/>
      <c r="AP1192" s="861"/>
      <c r="AQ1192" s="861"/>
      <c r="AR1192" s="861"/>
      <c r="AS1192" s="861"/>
      <c r="AT1192" s="861"/>
      <c r="AU1192" s="861"/>
      <c r="AV1192" s="861"/>
      <c r="AW1192" s="861"/>
      <c r="AX1192" s="861"/>
      <c r="AY1192" s="861"/>
      <c r="AZ1192" s="861"/>
      <c r="BA1192" s="861"/>
      <c r="BB1192" s="861"/>
      <c r="BC1192" s="862"/>
      <c r="BD1192" s="862"/>
      <c r="BE1192" s="862"/>
      <c r="BF1192" s="862"/>
      <c r="BG1192" s="862"/>
      <c r="BH1192" s="862"/>
      <c r="BI1192" s="862"/>
      <c r="BJ1192" s="862"/>
      <c r="BK1192" s="862"/>
      <c r="BL1192" s="862"/>
      <c r="BM1192" s="862"/>
      <c r="BN1192" s="862"/>
      <c r="BO1192" s="862"/>
      <c r="BP1192" s="862"/>
      <c r="BQ1192" s="862"/>
      <c r="BR1192" s="862"/>
    </row>
    <row r="1193" spans="1:70" s="1235" customFormat="1" ht="29.25" customHeight="1">
      <c r="A1193" s="863" t="s">
        <v>135</v>
      </c>
      <c r="B1193" s="1618"/>
      <c r="C1193" s="863"/>
      <c r="D1193" s="863"/>
      <c r="E1193" s="863"/>
      <c r="F1193" s="863"/>
      <c r="G1193" s="863"/>
      <c r="H1193" s="863"/>
      <c r="I1193" s="2746" t="s">
        <v>4121</v>
      </c>
      <c r="J1193" s="2747"/>
      <c r="K1193" s="1665"/>
      <c r="L1193" s="1672">
        <f>SUM(L1194+L1207+L1210+L1215+L1218)</f>
        <v>13201323411</v>
      </c>
      <c r="M1193" s="1665"/>
      <c r="N1193" s="1672">
        <f>SUM(N1194+N1207+N1210+N1215+N1218)</f>
        <v>5372590025</v>
      </c>
      <c r="O1193" s="1666"/>
      <c r="P1193" s="1672">
        <f>SUM(P1194+P1207+P1210+P1215+P1218)</f>
        <v>3054686131</v>
      </c>
      <c r="Q1193" s="1667"/>
      <c r="R1193" s="1672">
        <f>SUM(R1194+R1207+R1210+R1215+R1218)</f>
        <v>266053383</v>
      </c>
      <c r="S1193" s="1618"/>
      <c r="T1193" s="1857">
        <f>T1194+T1207+T1210+T1218</f>
        <v>245708283</v>
      </c>
      <c r="U1193" s="1618"/>
      <c r="V1193" s="1680"/>
      <c r="W1193" s="1618"/>
      <c r="X1193" s="1619"/>
      <c r="Y1193" s="1667"/>
      <c r="Z1193" s="1672">
        <f>R1193+T1193</f>
        <v>511761666</v>
      </c>
      <c r="AA1193" s="1665"/>
      <c r="AB1193" s="1672">
        <f>SUM(AB1194+AB1207+AB1210+AB1215+AB1218)</f>
        <v>5638643408</v>
      </c>
      <c r="AC1193" s="1665"/>
      <c r="AD1193" s="1665"/>
      <c r="AE1193" s="1631"/>
      <c r="AF1193" s="200"/>
      <c r="AG1193" s="200"/>
      <c r="AH1193" s="200"/>
      <c r="AI1193" s="200"/>
      <c r="AJ1193" s="200"/>
      <c r="AK1193" s="200"/>
      <c r="AL1193" s="200"/>
      <c r="AM1193" s="200"/>
      <c r="AN1193" s="200"/>
      <c r="AO1193" s="200"/>
      <c r="AP1193" s="200"/>
      <c r="AQ1193" s="200"/>
      <c r="AR1193" s="200"/>
      <c r="AS1193" s="200"/>
      <c r="AT1193" s="200"/>
      <c r="AU1193" s="200"/>
      <c r="AV1193" s="200"/>
      <c r="AW1193" s="200"/>
      <c r="AX1193" s="200"/>
      <c r="AY1193" s="200"/>
      <c r="AZ1193" s="200"/>
      <c r="BA1193" s="200"/>
      <c r="BB1193" s="200"/>
      <c r="BC1193" s="970"/>
      <c r="BD1193" s="970"/>
      <c r="BE1193" s="970"/>
      <c r="BF1193" s="970"/>
      <c r="BG1193" s="970"/>
      <c r="BH1193" s="970"/>
      <c r="BI1193" s="970"/>
      <c r="BJ1193" s="970"/>
      <c r="BK1193" s="970"/>
      <c r="BL1193" s="970"/>
      <c r="BM1193" s="970"/>
      <c r="BN1193" s="970"/>
      <c r="BO1193" s="970"/>
      <c r="BP1193" s="970"/>
      <c r="BQ1193" s="970"/>
      <c r="BR1193" s="862"/>
    </row>
    <row r="1194" spans="1:70" s="20" customFormat="1" ht="40.5" customHeight="1">
      <c r="A1194" s="1781">
        <v>1</v>
      </c>
      <c r="B1194" s="1782"/>
      <c r="C1194" s="1171">
        <v>3</v>
      </c>
      <c r="D1194" s="1786" t="s">
        <v>34</v>
      </c>
      <c r="E1194" s="753" t="s">
        <v>78</v>
      </c>
      <c r="F1194" s="1786" t="s">
        <v>25</v>
      </c>
      <c r="G1194" s="1786" t="s">
        <v>25</v>
      </c>
      <c r="H1194" s="1136"/>
      <c r="I1194" s="44" t="s">
        <v>26</v>
      </c>
      <c r="J1194" s="44" t="s">
        <v>3050</v>
      </c>
      <c r="K1194" s="1787">
        <v>72</v>
      </c>
      <c r="L1194" s="1788">
        <f t="shared" ref="L1194:R1194" si="337">SUM(L1195:L1206)</f>
        <v>3298421316</v>
      </c>
      <c r="M1194" s="1782">
        <v>36</v>
      </c>
      <c r="N1194" s="1788">
        <f t="shared" si="337"/>
        <v>1543121720</v>
      </c>
      <c r="O1194" s="1782">
        <v>12</v>
      </c>
      <c r="P1194" s="1788">
        <f t="shared" si="337"/>
        <v>547584531</v>
      </c>
      <c r="Q1194" s="1791">
        <v>3</v>
      </c>
      <c r="R1194" s="1788">
        <f t="shared" si="337"/>
        <v>142287095</v>
      </c>
      <c r="S1194" s="1782"/>
      <c r="T1194" s="2697">
        <f>SUM(T1195:T1206)</f>
        <v>116482202</v>
      </c>
      <c r="U1194" s="1782"/>
      <c r="V1194" s="1782"/>
      <c r="W1194" s="1782"/>
      <c r="X1194" s="1782"/>
      <c r="Y1194" s="1789">
        <f>SUM(Y1195:Y1206)</f>
        <v>34</v>
      </c>
      <c r="Z1194" s="1788">
        <f>SUM(Z1195:Z1206)</f>
        <v>142287095</v>
      </c>
      <c r="AA1194" s="1789">
        <f>Y1194+M1194</f>
        <v>70</v>
      </c>
      <c r="AB1194" s="1788">
        <f>Z1194+N1194</f>
        <v>1685408815</v>
      </c>
      <c r="AC1194" s="1789">
        <f t="shared" ref="AC1194:AC1209" si="338">AA1194/K1194*100</f>
        <v>97.222222222222214</v>
      </c>
      <c r="AD1194" s="1789">
        <f t="shared" ref="AD1194:AD1209" si="339">AB1194/L1194*100</f>
        <v>51.097438851259234</v>
      </c>
      <c r="AE1194" s="1781" t="s">
        <v>132</v>
      </c>
      <c r="AF1194" s="201"/>
      <c r="AG1194" s="201"/>
      <c r="AH1194" s="201"/>
      <c r="AI1194" s="201"/>
      <c r="AJ1194" s="201"/>
      <c r="AK1194" s="201"/>
      <c r="AL1194" s="201"/>
      <c r="AM1194" s="201"/>
      <c r="AN1194" s="201"/>
      <c r="AO1194" s="201"/>
      <c r="AP1194" s="201"/>
      <c r="AQ1194" s="201"/>
      <c r="AR1194" s="201"/>
      <c r="AS1194" s="201"/>
      <c r="AT1194" s="201"/>
      <c r="AU1194" s="201"/>
      <c r="AV1194" s="201"/>
      <c r="AW1194" s="201"/>
      <c r="AX1194" s="201"/>
      <c r="AY1194" s="201"/>
      <c r="AZ1194" s="201"/>
      <c r="BA1194" s="201"/>
      <c r="BB1194" s="201"/>
    </row>
    <row r="1195" spans="1:70" s="1288" customFormat="1" ht="66">
      <c r="A1195" s="1428"/>
      <c r="B1195" s="491"/>
      <c r="C1195" s="779">
        <v>3</v>
      </c>
      <c r="D1195" s="779" t="s">
        <v>34</v>
      </c>
      <c r="E1195" s="779" t="s">
        <v>78</v>
      </c>
      <c r="F1195" s="779" t="s">
        <v>25</v>
      </c>
      <c r="G1195" s="779" t="s">
        <v>25</v>
      </c>
      <c r="H1195" s="1428"/>
      <c r="I1195" s="280" t="s">
        <v>1519</v>
      </c>
      <c r="J1195" s="280" t="s">
        <v>1764</v>
      </c>
      <c r="K1195" s="944">
        <v>72</v>
      </c>
      <c r="L1195" s="261">
        <v>309900000</v>
      </c>
      <c r="M1195" s="1790">
        <v>36</v>
      </c>
      <c r="N1195" s="24">
        <f>'[7]Setelah Perubahan'!$AB$31</f>
        <v>111119844</v>
      </c>
      <c r="O1195" s="11" t="s">
        <v>701</v>
      </c>
      <c r="P1195" s="30">
        <v>42540000</v>
      </c>
      <c r="Q1195" s="528">
        <v>3</v>
      </c>
      <c r="R1195" s="30">
        <v>7421995</v>
      </c>
      <c r="S1195" s="311">
        <v>3</v>
      </c>
      <c r="T1195" s="2698">
        <v>6561002</v>
      </c>
      <c r="U1195" s="311"/>
      <c r="V1195" s="311"/>
      <c r="W1195" s="311"/>
      <c r="X1195" s="311"/>
      <c r="Y1195" s="29">
        <f>Q1195</f>
        <v>3</v>
      </c>
      <c r="Z1195" s="30">
        <f>R1195</f>
        <v>7421995</v>
      </c>
      <c r="AA1195" s="29">
        <f t="shared" ref="AA1195:AA1207" si="340">Y1195+M1195</f>
        <v>39</v>
      </c>
      <c r="AB1195" s="30">
        <f t="shared" ref="AB1195:AB1206" si="341">N1195+Z1195</f>
        <v>118541839</v>
      </c>
      <c r="AC1195" s="29">
        <f t="shared" si="338"/>
        <v>54.166666666666664</v>
      </c>
      <c r="AD1195" s="29">
        <f t="shared" si="339"/>
        <v>38.25164214262665</v>
      </c>
      <c r="AE1195" s="779"/>
      <c r="AF1195" s="200"/>
      <c r="AG1195" s="200"/>
      <c r="AH1195" s="200"/>
      <c r="AI1195" s="200"/>
      <c r="AJ1195" s="200"/>
      <c r="AK1195" s="200"/>
      <c r="AL1195" s="200"/>
      <c r="AM1195" s="200"/>
      <c r="AN1195" s="200"/>
      <c r="AO1195" s="200"/>
      <c r="AP1195" s="200"/>
      <c r="AQ1195" s="200"/>
      <c r="AR1195" s="200"/>
      <c r="AS1195" s="200"/>
      <c r="AT1195" s="200"/>
      <c r="AU1195" s="200"/>
      <c r="AV1195" s="200"/>
      <c r="AW1195" s="200"/>
      <c r="AX1195" s="200"/>
      <c r="AY1195" s="200"/>
      <c r="AZ1195" s="200"/>
      <c r="BA1195" s="200"/>
      <c r="BB1195" s="200"/>
      <c r="BC1195" s="970"/>
      <c r="BD1195" s="970"/>
      <c r="BE1195" s="970"/>
      <c r="BF1195" s="970"/>
      <c r="BG1195" s="970"/>
      <c r="BH1195" s="970"/>
      <c r="BI1195" s="970"/>
      <c r="BJ1195" s="970"/>
      <c r="BK1195" s="970"/>
      <c r="BL1195" s="970"/>
      <c r="BM1195" s="970"/>
      <c r="BN1195" s="970"/>
      <c r="BO1195" s="970"/>
      <c r="BP1195" s="970"/>
      <c r="BQ1195" s="970"/>
    </row>
    <row r="1196" spans="1:70" s="1288" customFormat="1" ht="66">
      <c r="A1196" s="1428"/>
      <c r="B1196" s="491"/>
      <c r="C1196" s="779">
        <v>3</v>
      </c>
      <c r="D1196" s="779" t="s">
        <v>34</v>
      </c>
      <c r="E1196" s="779" t="s">
        <v>78</v>
      </c>
      <c r="F1196" s="779" t="s">
        <v>25</v>
      </c>
      <c r="G1196" s="779" t="s">
        <v>25</v>
      </c>
      <c r="H1196" s="1428"/>
      <c r="I1196" s="280" t="s">
        <v>614</v>
      </c>
      <c r="J1196" s="280" t="s">
        <v>3051</v>
      </c>
      <c r="K1196" s="944">
        <v>72</v>
      </c>
      <c r="L1196" s="24">
        <v>451800000</v>
      </c>
      <c r="M1196" s="1790">
        <v>36</v>
      </c>
      <c r="N1196" s="24">
        <f>'[7]Setelah Perubahan'!$AB$32</f>
        <v>215450000</v>
      </c>
      <c r="O1196" s="11">
        <v>12</v>
      </c>
      <c r="P1196" s="30">
        <v>123600000</v>
      </c>
      <c r="Q1196" s="528">
        <v>3</v>
      </c>
      <c r="R1196" s="30">
        <v>27000000</v>
      </c>
      <c r="S1196" s="311"/>
      <c r="T1196" s="2698">
        <v>20500000</v>
      </c>
      <c r="U1196" s="311"/>
      <c r="V1196" s="311"/>
      <c r="W1196" s="311"/>
      <c r="X1196" s="311"/>
      <c r="Y1196" s="29">
        <f>Q1196</f>
        <v>3</v>
      </c>
      <c r="Z1196" s="30">
        <f>R1196</f>
        <v>27000000</v>
      </c>
      <c r="AA1196" s="29">
        <f t="shared" si="340"/>
        <v>39</v>
      </c>
      <c r="AB1196" s="30">
        <f t="shared" si="341"/>
        <v>242450000</v>
      </c>
      <c r="AC1196" s="29">
        <f t="shared" si="338"/>
        <v>54.166666666666664</v>
      </c>
      <c r="AD1196" s="29">
        <f t="shared" si="339"/>
        <v>53.663125276671096</v>
      </c>
      <c r="AE1196" s="779"/>
      <c r="AF1196" s="200"/>
      <c r="AG1196" s="200"/>
      <c r="AH1196" s="200"/>
      <c r="AI1196" s="200"/>
      <c r="AJ1196" s="200"/>
      <c r="AK1196" s="200"/>
      <c r="AL1196" s="200"/>
      <c r="AM1196" s="200"/>
      <c r="AN1196" s="200"/>
      <c r="AO1196" s="200"/>
      <c r="AP1196" s="200"/>
      <c r="AQ1196" s="200"/>
      <c r="AR1196" s="200"/>
      <c r="AS1196" s="200"/>
      <c r="AT1196" s="200"/>
      <c r="AU1196" s="200"/>
      <c r="AV1196" s="200"/>
      <c r="AW1196" s="200"/>
      <c r="AX1196" s="200"/>
      <c r="AY1196" s="200"/>
      <c r="AZ1196" s="200"/>
      <c r="BA1196" s="200"/>
      <c r="BB1196" s="200"/>
      <c r="BC1196" s="970"/>
      <c r="BD1196" s="970"/>
      <c r="BE1196" s="970"/>
      <c r="BF1196" s="970"/>
      <c r="BG1196" s="970"/>
      <c r="BH1196" s="970"/>
      <c r="BI1196" s="970"/>
      <c r="BJ1196" s="970"/>
      <c r="BK1196" s="970"/>
      <c r="BL1196" s="970"/>
      <c r="BM1196" s="970"/>
      <c r="BN1196" s="970"/>
      <c r="BO1196" s="970"/>
      <c r="BP1196" s="970"/>
      <c r="BQ1196" s="970"/>
    </row>
    <row r="1197" spans="1:70" s="1288" customFormat="1" ht="49.5">
      <c r="A1197" s="1428"/>
      <c r="B1197" s="491"/>
      <c r="C1197" s="779">
        <v>3</v>
      </c>
      <c r="D1197" s="779" t="s">
        <v>34</v>
      </c>
      <c r="E1197" s="779" t="s">
        <v>78</v>
      </c>
      <c r="F1197" s="779" t="s">
        <v>25</v>
      </c>
      <c r="G1197" s="779" t="s">
        <v>25</v>
      </c>
      <c r="H1197" s="1428"/>
      <c r="I1197" s="280" t="s">
        <v>616</v>
      </c>
      <c r="J1197" s="305" t="s">
        <v>3052</v>
      </c>
      <c r="K1197" s="944">
        <v>72</v>
      </c>
      <c r="L1197" s="24">
        <v>259514000</v>
      </c>
      <c r="M1197" s="1790">
        <v>36</v>
      </c>
      <c r="N1197" s="24">
        <f>'[7]Setelah Perubahan'!$AB$33</f>
        <v>153042500</v>
      </c>
      <c r="O1197" s="11">
        <v>12</v>
      </c>
      <c r="P1197" s="30">
        <v>59999680</v>
      </c>
      <c r="Q1197" s="528">
        <v>3</v>
      </c>
      <c r="R1197" s="30">
        <v>15631000</v>
      </c>
      <c r="S1197" s="311"/>
      <c r="T1197" s="2698">
        <v>12000000</v>
      </c>
      <c r="U1197" s="311"/>
      <c r="V1197" s="311"/>
      <c r="W1197" s="311"/>
      <c r="X1197" s="311"/>
      <c r="Y1197" s="29">
        <f t="shared" ref="Y1197:Z1206" si="342">Q1197</f>
        <v>3</v>
      </c>
      <c r="Z1197" s="30">
        <f t="shared" si="342"/>
        <v>15631000</v>
      </c>
      <c r="AA1197" s="29">
        <f t="shared" si="340"/>
        <v>39</v>
      </c>
      <c r="AB1197" s="30">
        <f t="shared" si="341"/>
        <v>168673500</v>
      </c>
      <c r="AC1197" s="29">
        <f t="shared" si="338"/>
        <v>54.166666666666664</v>
      </c>
      <c r="AD1197" s="29">
        <f t="shared" si="339"/>
        <v>64.995915441941477</v>
      </c>
      <c r="AE1197" s="779"/>
      <c r="AF1197" s="200"/>
      <c r="AG1197" s="200"/>
      <c r="AH1197" s="200"/>
      <c r="AI1197" s="200"/>
      <c r="AJ1197" s="200"/>
      <c r="AK1197" s="200"/>
      <c r="AL1197" s="200"/>
      <c r="AM1197" s="200"/>
      <c r="AN1197" s="200"/>
      <c r="AO1197" s="200"/>
      <c r="AP1197" s="200"/>
      <c r="AQ1197" s="200"/>
      <c r="AR1197" s="200"/>
      <c r="AS1197" s="200"/>
      <c r="AT1197" s="200"/>
      <c r="AU1197" s="200"/>
      <c r="AV1197" s="200"/>
      <c r="AW1197" s="200"/>
      <c r="AX1197" s="200"/>
      <c r="AY1197" s="200"/>
      <c r="AZ1197" s="200"/>
      <c r="BA1197" s="200"/>
      <c r="BB1197" s="200"/>
      <c r="BC1197" s="970"/>
      <c r="BD1197" s="970"/>
      <c r="BE1197" s="970"/>
      <c r="BF1197" s="970"/>
      <c r="BG1197" s="970"/>
      <c r="BH1197" s="970"/>
      <c r="BI1197" s="970"/>
      <c r="BJ1197" s="970"/>
      <c r="BK1197" s="970"/>
      <c r="BL1197" s="970"/>
      <c r="BM1197" s="970"/>
      <c r="BN1197" s="970"/>
      <c r="BO1197" s="970"/>
      <c r="BP1197" s="970"/>
      <c r="BQ1197" s="970"/>
    </row>
    <row r="1198" spans="1:70" s="1288" customFormat="1" ht="49.5">
      <c r="A1198" s="1428"/>
      <c r="B1198" s="491"/>
      <c r="C1198" s="779">
        <v>3</v>
      </c>
      <c r="D1198" s="779" t="s">
        <v>34</v>
      </c>
      <c r="E1198" s="779" t="s">
        <v>78</v>
      </c>
      <c r="F1198" s="779" t="s">
        <v>25</v>
      </c>
      <c r="G1198" s="779" t="s">
        <v>25</v>
      </c>
      <c r="H1198" s="1428"/>
      <c r="I1198" s="280" t="str">
        <f>'[8]April 2018'!$C$28</f>
        <v>Penyediaan Jasa Perbaikan Peralatan Kerja</v>
      </c>
      <c r="J1198" s="305" t="s">
        <v>3053</v>
      </c>
      <c r="K1198" s="944">
        <v>72</v>
      </c>
      <c r="L1198" s="24">
        <v>128883000</v>
      </c>
      <c r="M1198" s="1790">
        <v>36</v>
      </c>
      <c r="N1198" s="24">
        <f>'[7]Setelah Perubahan'!$AB$34</f>
        <v>65729220</v>
      </c>
      <c r="O1198" s="11">
        <v>12</v>
      </c>
      <c r="P1198" s="30">
        <v>14188000</v>
      </c>
      <c r="Q1198" s="528">
        <v>3</v>
      </c>
      <c r="R1198" s="30">
        <v>1400000</v>
      </c>
      <c r="S1198" s="311"/>
      <c r="T1198" s="2698"/>
      <c r="U1198" s="311"/>
      <c r="V1198" s="311"/>
      <c r="W1198" s="311"/>
      <c r="X1198" s="311"/>
      <c r="Y1198" s="29">
        <f t="shared" si="342"/>
        <v>3</v>
      </c>
      <c r="Z1198" s="30">
        <f t="shared" si="342"/>
        <v>1400000</v>
      </c>
      <c r="AA1198" s="29">
        <f t="shared" si="340"/>
        <v>39</v>
      </c>
      <c r="AB1198" s="30">
        <f t="shared" si="341"/>
        <v>67129220</v>
      </c>
      <c r="AC1198" s="29">
        <f t="shared" si="338"/>
        <v>54.166666666666664</v>
      </c>
      <c r="AD1198" s="29">
        <f t="shared" si="339"/>
        <v>52.085395280991285</v>
      </c>
      <c r="AE1198" s="779"/>
      <c r="AF1198" s="200"/>
      <c r="AG1198" s="200"/>
      <c r="AH1198" s="200"/>
      <c r="AI1198" s="200"/>
      <c r="AJ1198" s="200"/>
      <c r="AK1198" s="200"/>
      <c r="AL1198" s="200"/>
      <c r="AM1198" s="200"/>
      <c r="AN1198" s="200"/>
      <c r="AO1198" s="200"/>
      <c r="AP1198" s="200"/>
      <c r="AQ1198" s="200"/>
      <c r="AR1198" s="200"/>
      <c r="AS1198" s="200"/>
      <c r="AT1198" s="200"/>
      <c r="AU1198" s="200"/>
      <c r="AV1198" s="200"/>
      <c r="AW1198" s="200"/>
      <c r="AX1198" s="200"/>
      <c r="AY1198" s="200"/>
      <c r="AZ1198" s="200"/>
      <c r="BA1198" s="200"/>
      <c r="BB1198" s="200"/>
      <c r="BC1198" s="970"/>
      <c r="BD1198" s="970"/>
      <c r="BE1198" s="970"/>
      <c r="BF1198" s="970"/>
      <c r="BG1198" s="970"/>
      <c r="BH1198" s="970"/>
      <c r="BI1198" s="970"/>
      <c r="BJ1198" s="970"/>
      <c r="BK1198" s="970"/>
      <c r="BL1198" s="970"/>
      <c r="BM1198" s="970"/>
      <c r="BN1198" s="970"/>
      <c r="BO1198" s="970"/>
      <c r="BP1198" s="970"/>
      <c r="BQ1198" s="970"/>
    </row>
    <row r="1199" spans="1:70" s="1288" customFormat="1" ht="49.5">
      <c r="A1199" s="1428"/>
      <c r="B1199" s="491"/>
      <c r="C1199" s="779">
        <v>3</v>
      </c>
      <c r="D1199" s="779" t="s">
        <v>34</v>
      </c>
      <c r="E1199" s="779" t="s">
        <v>78</v>
      </c>
      <c r="F1199" s="779" t="s">
        <v>25</v>
      </c>
      <c r="G1199" s="779" t="s">
        <v>25</v>
      </c>
      <c r="H1199" s="1428"/>
      <c r="I1199" s="280" t="s">
        <v>32</v>
      </c>
      <c r="J1199" s="305" t="s">
        <v>3054</v>
      </c>
      <c r="K1199" s="944">
        <v>72</v>
      </c>
      <c r="L1199" s="24">
        <v>189374496</v>
      </c>
      <c r="M1199" s="528">
        <v>36</v>
      </c>
      <c r="N1199" s="30">
        <f>'[7]Setelah Perubahan'!$AB$37</f>
        <v>96667300</v>
      </c>
      <c r="O1199" s="11">
        <v>12</v>
      </c>
      <c r="P1199" s="30">
        <v>46307671</v>
      </c>
      <c r="Q1199" s="528">
        <v>3</v>
      </c>
      <c r="R1199" s="30">
        <v>8221900</v>
      </c>
      <c r="S1199" s="311"/>
      <c r="T1199" s="2698">
        <v>6144800</v>
      </c>
      <c r="U1199" s="311"/>
      <c r="V1199" s="311"/>
      <c r="W1199" s="311"/>
      <c r="X1199" s="311"/>
      <c r="Y1199" s="29">
        <f t="shared" si="342"/>
        <v>3</v>
      </c>
      <c r="Z1199" s="30">
        <f t="shared" si="342"/>
        <v>8221900</v>
      </c>
      <c r="AA1199" s="29">
        <f t="shared" si="340"/>
        <v>39</v>
      </c>
      <c r="AB1199" s="30">
        <f t="shared" si="341"/>
        <v>104889200</v>
      </c>
      <c r="AC1199" s="29">
        <f t="shared" si="338"/>
        <v>54.166666666666664</v>
      </c>
      <c r="AD1199" s="29">
        <f t="shared" si="339"/>
        <v>55.387183710313352</v>
      </c>
      <c r="AE1199" s="779"/>
      <c r="AF1199" s="200"/>
      <c r="AG1199" s="200"/>
      <c r="AH1199" s="200"/>
      <c r="AI1199" s="200"/>
      <c r="AJ1199" s="200"/>
      <c r="AK1199" s="200"/>
      <c r="AL1199" s="200"/>
      <c r="AM1199" s="200"/>
      <c r="AN1199" s="200"/>
      <c r="AO1199" s="200"/>
      <c r="AP1199" s="200"/>
      <c r="AQ1199" s="200"/>
      <c r="AR1199" s="200"/>
      <c r="AS1199" s="200"/>
      <c r="AT1199" s="200"/>
      <c r="AU1199" s="200"/>
      <c r="AV1199" s="200"/>
      <c r="AW1199" s="200"/>
      <c r="AX1199" s="200"/>
      <c r="AY1199" s="200"/>
      <c r="AZ1199" s="200"/>
      <c r="BA1199" s="200"/>
      <c r="BB1199" s="200"/>
      <c r="BC1199" s="970"/>
      <c r="BD1199" s="970"/>
      <c r="BE1199" s="970"/>
      <c r="BF1199" s="970"/>
      <c r="BG1199" s="970"/>
      <c r="BH1199" s="970"/>
      <c r="BI1199" s="970"/>
      <c r="BJ1199" s="970"/>
      <c r="BK1199" s="970"/>
      <c r="BL1199" s="970"/>
      <c r="BM1199" s="970"/>
      <c r="BN1199" s="970"/>
      <c r="BO1199" s="970"/>
      <c r="BP1199" s="970"/>
      <c r="BQ1199" s="970"/>
    </row>
    <row r="1200" spans="1:70" s="1288" customFormat="1" ht="66">
      <c r="A1200" s="1428"/>
      <c r="B1200" s="491"/>
      <c r="C1200" s="779">
        <v>3</v>
      </c>
      <c r="D1200" s="779" t="s">
        <v>34</v>
      </c>
      <c r="E1200" s="779" t="s">
        <v>78</v>
      </c>
      <c r="F1200" s="779" t="s">
        <v>25</v>
      </c>
      <c r="G1200" s="779" t="s">
        <v>25</v>
      </c>
      <c r="H1200" s="1428"/>
      <c r="I1200" s="280" t="s">
        <v>617</v>
      </c>
      <c r="J1200" s="305" t="s">
        <v>3055</v>
      </c>
      <c r="K1200" s="944">
        <v>72</v>
      </c>
      <c r="L1200" s="24">
        <v>175469200</v>
      </c>
      <c r="M1200" s="528">
        <v>36</v>
      </c>
      <c r="N1200" s="30">
        <f>'[7]Setelah Perubahan'!$AB$38</f>
        <v>98367100</v>
      </c>
      <c r="O1200" s="11">
        <v>12</v>
      </c>
      <c r="P1200" s="30">
        <v>22821000</v>
      </c>
      <c r="Q1200" s="528">
        <v>3</v>
      </c>
      <c r="R1200" s="30">
        <v>2990400</v>
      </c>
      <c r="S1200" s="311"/>
      <c r="T1200" s="2698">
        <v>3950400</v>
      </c>
      <c r="U1200" s="311"/>
      <c r="V1200" s="311"/>
      <c r="W1200" s="311"/>
      <c r="X1200" s="311"/>
      <c r="Y1200" s="29">
        <f t="shared" si="342"/>
        <v>3</v>
      </c>
      <c r="Z1200" s="30">
        <f t="shared" si="342"/>
        <v>2990400</v>
      </c>
      <c r="AA1200" s="29">
        <f t="shared" si="340"/>
        <v>39</v>
      </c>
      <c r="AB1200" s="30">
        <f t="shared" si="341"/>
        <v>101357500</v>
      </c>
      <c r="AC1200" s="29">
        <f t="shared" si="338"/>
        <v>54.166666666666664</v>
      </c>
      <c r="AD1200" s="29">
        <f t="shared" si="339"/>
        <v>57.763698700398706</v>
      </c>
      <c r="AE1200" s="779"/>
      <c r="AF1200" s="200"/>
      <c r="AG1200" s="200"/>
      <c r="AH1200" s="200"/>
      <c r="AI1200" s="200"/>
      <c r="AJ1200" s="200"/>
      <c r="AK1200" s="200"/>
      <c r="AL1200" s="200"/>
      <c r="AM1200" s="200"/>
      <c r="AN1200" s="200"/>
      <c r="AO1200" s="200"/>
      <c r="AP1200" s="200"/>
      <c r="AQ1200" s="200"/>
      <c r="AR1200" s="200"/>
      <c r="AS1200" s="200"/>
      <c r="AT1200" s="200"/>
      <c r="AU1200" s="200"/>
      <c r="AV1200" s="200"/>
      <c r="AW1200" s="200"/>
      <c r="AX1200" s="200"/>
      <c r="AY1200" s="200"/>
      <c r="AZ1200" s="200"/>
      <c r="BA1200" s="200"/>
      <c r="BB1200" s="200"/>
      <c r="BC1200" s="970"/>
      <c r="BD1200" s="970"/>
      <c r="BE1200" s="970"/>
      <c r="BF1200" s="970"/>
      <c r="BG1200" s="970"/>
      <c r="BH1200" s="970"/>
      <c r="BI1200" s="970"/>
      <c r="BJ1200" s="970"/>
      <c r="BK1200" s="970"/>
      <c r="BL1200" s="970"/>
      <c r="BM1200" s="970"/>
      <c r="BN1200" s="970"/>
      <c r="BO1200" s="970"/>
      <c r="BP1200" s="970"/>
      <c r="BQ1200" s="970"/>
    </row>
    <row r="1201" spans="1:70" s="1288" customFormat="1" ht="66">
      <c r="A1201" s="1428"/>
      <c r="B1201" s="491"/>
      <c r="C1201" s="779">
        <v>3</v>
      </c>
      <c r="D1201" s="779" t="s">
        <v>34</v>
      </c>
      <c r="E1201" s="779" t="s">
        <v>78</v>
      </c>
      <c r="F1201" s="779" t="s">
        <v>25</v>
      </c>
      <c r="G1201" s="779" t="s">
        <v>25</v>
      </c>
      <c r="H1201" s="1428"/>
      <c r="I1201" s="280" t="s">
        <v>618</v>
      </c>
      <c r="J1201" s="305" t="s">
        <v>3056</v>
      </c>
      <c r="K1201" s="944">
        <v>72</v>
      </c>
      <c r="L1201" s="24">
        <v>60452620</v>
      </c>
      <c r="M1201" s="528">
        <v>36</v>
      </c>
      <c r="N1201" s="30">
        <f>'[7]Setelah Perubahan'!$AB$39</f>
        <v>27865000</v>
      </c>
      <c r="O1201" s="11">
        <v>12</v>
      </c>
      <c r="P1201" s="30">
        <v>10785180</v>
      </c>
      <c r="Q1201" s="528">
        <v>3</v>
      </c>
      <c r="R1201" s="30">
        <v>0</v>
      </c>
      <c r="S1201" s="311"/>
      <c r="T1201" s="2698">
        <v>1397000</v>
      </c>
      <c r="U1201" s="311"/>
      <c r="V1201" s="311"/>
      <c r="W1201" s="311"/>
      <c r="X1201" s="311"/>
      <c r="Y1201" s="29">
        <f t="shared" si="342"/>
        <v>3</v>
      </c>
      <c r="Z1201" s="30">
        <f t="shared" si="342"/>
        <v>0</v>
      </c>
      <c r="AA1201" s="29">
        <f t="shared" si="340"/>
        <v>39</v>
      </c>
      <c r="AB1201" s="30">
        <f t="shared" si="341"/>
        <v>27865000</v>
      </c>
      <c r="AC1201" s="29">
        <f t="shared" si="338"/>
        <v>54.166666666666664</v>
      </c>
      <c r="AD1201" s="29">
        <f t="shared" si="339"/>
        <v>46.093949277963468</v>
      </c>
      <c r="AE1201" s="779"/>
      <c r="AF1201" s="200"/>
      <c r="AG1201" s="200"/>
      <c r="AH1201" s="200"/>
      <c r="AI1201" s="200"/>
      <c r="AJ1201" s="200"/>
      <c r="AK1201" s="200"/>
      <c r="AL1201" s="200"/>
      <c r="AM1201" s="200"/>
      <c r="AN1201" s="200"/>
      <c r="AO1201" s="200"/>
      <c r="AP1201" s="200"/>
      <c r="AQ1201" s="200"/>
      <c r="AR1201" s="200"/>
      <c r="AS1201" s="200"/>
      <c r="AT1201" s="200"/>
      <c r="AU1201" s="200"/>
      <c r="AV1201" s="200"/>
      <c r="AW1201" s="200"/>
      <c r="AX1201" s="200"/>
      <c r="AY1201" s="200"/>
      <c r="AZ1201" s="200"/>
      <c r="BA1201" s="200"/>
      <c r="BB1201" s="200"/>
      <c r="BC1201" s="970"/>
      <c r="BD1201" s="970"/>
      <c r="BE1201" s="970"/>
      <c r="BF1201" s="970"/>
      <c r="BG1201" s="970"/>
      <c r="BH1201" s="970"/>
      <c r="BI1201" s="970"/>
      <c r="BJ1201" s="970"/>
      <c r="BK1201" s="970"/>
      <c r="BL1201" s="970"/>
      <c r="BM1201" s="970"/>
      <c r="BN1201" s="970"/>
      <c r="BO1201" s="970"/>
      <c r="BP1201" s="970"/>
      <c r="BQ1201" s="970"/>
    </row>
    <row r="1202" spans="1:70" ht="49.5">
      <c r="A1202" s="1428"/>
      <c r="B1202" s="491"/>
      <c r="C1202" s="779">
        <v>3</v>
      </c>
      <c r="D1202" s="779" t="s">
        <v>34</v>
      </c>
      <c r="E1202" s="779" t="s">
        <v>78</v>
      </c>
      <c r="F1202" s="779" t="s">
        <v>25</v>
      </c>
      <c r="G1202" s="779" t="s">
        <v>25</v>
      </c>
      <c r="H1202" s="1428"/>
      <c r="I1202" s="280" t="s">
        <v>33</v>
      </c>
      <c r="J1202" s="280" t="s">
        <v>3057</v>
      </c>
      <c r="K1202" s="944">
        <v>6</v>
      </c>
      <c r="L1202" s="24">
        <v>100000000</v>
      </c>
      <c r="M1202" s="528">
        <v>0</v>
      </c>
      <c r="N1202" s="30">
        <v>0</v>
      </c>
      <c r="O1202" s="11">
        <v>2</v>
      </c>
      <c r="P1202" s="30">
        <v>64818000</v>
      </c>
      <c r="Q1202" s="528">
        <v>1</v>
      </c>
      <c r="R1202" s="30">
        <v>39128000</v>
      </c>
      <c r="S1202" s="311"/>
      <c r="T1202" s="2698"/>
      <c r="U1202" s="311"/>
      <c r="V1202" s="311"/>
      <c r="W1202" s="311"/>
      <c r="X1202" s="311"/>
      <c r="Y1202" s="29">
        <f t="shared" si="342"/>
        <v>1</v>
      </c>
      <c r="Z1202" s="30">
        <f t="shared" si="342"/>
        <v>39128000</v>
      </c>
      <c r="AA1202" s="29">
        <f t="shared" si="340"/>
        <v>1</v>
      </c>
      <c r="AB1202" s="30">
        <f t="shared" si="341"/>
        <v>39128000</v>
      </c>
      <c r="AC1202" s="29">
        <f t="shared" si="338"/>
        <v>16.666666666666664</v>
      </c>
      <c r="AD1202" s="29">
        <f t="shared" si="339"/>
        <v>39.128</v>
      </c>
      <c r="AE1202" s="779"/>
      <c r="AF1202" s="200"/>
      <c r="AG1202" s="200"/>
      <c r="AH1202" s="200"/>
      <c r="AI1202" s="200"/>
      <c r="AJ1202" s="200"/>
      <c r="AK1202" s="200"/>
      <c r="AL1202" s="200"/>
      <c r="AM1202" s="200"/>
      <c r="AN1202" s="200"/>
      <c r="AO1202" s="200"/>
      <c r="AP1202" s="200"/>
      <c r="AQ1202" s="200"/>
      <c r="AR1202" s="200"/>
      <c r="AS1202" s="200"/>
      <c r="AT1202" s="200"/>
      <c r="AU1202" s="200"/>
      <c r="AV1202" s="200"/>
      <c r="AW1202" s="200"/>
      <c r="AX1202" s="200"/>
      <c r="AY1202" s="200"/>
      <c r="AZ1202" s="200"/>
      <c r="BA1202" s="200"/>
      <c r="BB1202" s="200"/>
      <c r="BC1202" s="970"/>
      <c r="BD1202" s="970"/>
      <c r="BE1202" s="970"/>
      <c r="BF1202" s="970"/>
      <c r="BG1202" s="970"/>
      <c r="BH1202" s="970"/>
      <c r="BI1202" s="970"/>
      <c r="BJ1202" s="970"/>
      <c r="BK1202" s="970"/>
      <c r="BL1202" s="970"/>
      <c r="BM1202" s="970"/>
      <c r="BN1202" s="970"/>
      <c r="BO1202" s="970"/>
      <c r="BP1202" s="970"/>
      <c r="BQ1202" s="970"/>
    </row>
    <row r="1203" spans="1:70" ht="99">
      <c r="A1203" s="1428"/>
      <c r="B1203" s="491"/>
      <c r="C1203" s="779">
        <v>3</v>
      </c>
      <c r="D1203" s="779" t="s">
        <v>34</v>
      </c>
      <c r="E1203" s="779" t="s">
        <v>78</v>
      </c>
      <c r="F1203" s="779" t="s">
        <v>25</v>
      </c>
      <c r="G1203" s="779" t="s">
        <v>25</v>
      </c>
      <c r="H1203" s="1428"/>
      <c r="I1203" s="280" t="s">
        <v>1520</v>
      </c>
      <c r="J1203" s="305" t="s">
        <v>1521</v>
      </c>
      <c r="K1203" s="944">
        <v>72</v>
      </c>
      <c r="L1203" s="24">
        <v>79065000</v>
      </c>
      <c r="M1203" s="528">
        <v>36</v>
      </c>
      <c r="N1203" s="30">
        <f>'[7]Setelah Perubahan'!$AB$40</f>
        <v>43690000</v>
      </c>
      <c r="O1203" s="11">
        <v>12</v>
      </c>
      <c r="P1203" s="30">
        <v>14400000</v>
      </c>
      <c r="Q1203" s="528">
        <v>3</v>
      </c>
      <c r="R1203" s="30">
        <v>3490000</v>
      </c>
      <c r="S1203" s="311"/>
      <c r="T1203" s="2698">
        <v>8750000</v>
      </c>
      <c r="U1203" s="311"/>
      <c r="V1203" s="311"/>
      <c r="W1203" s="311"/>
      <c r="X1203" s="311"/>
      <c r="Y1203" s="29">
        <f t="shared" si="342"/>
        <v>3</v>
      </c>
      <c r="Z1203" s="30">
        <f t="shared" si="342"/>
        <v>3490000</v>
      </c>
      <c r="AA1203" s="29">
        <f t="shared" si="340"/>
        <v>39</v>
      </c>
      <c r="AB1203" s="30">
        <f t="shared" si="341"/>
        <v>47180000</v>
      </c>
      <c r="AC1203" s="29">
        <f t="shared" si="338"/>
        <v>54.166666666666664</v>
      </c>
      <c r="AD1203" s="29">
        <f t="shared" si="339"/>
        <v>59.672421425409475</v>
      </c>
      <c r="AE1203" s="779"/>
      <c r="AF1203" s="200"/>
      <c r="AG1203" s="200"/>
      <c r="AH1203" s="200"/>
      <c r="AI1203" s="200"/>
      <c r="AJ1203" s="200"/>
      <c r="AK1203" s="200"/>
      <c r="AL1203" s="200"/>
      <c r="AM1203" s="200"/>
      <c r="AN1203" s="200"/>
      <c r="AO1203" s="200"/>
      <c r="AP1203" s="200"/>
      <c r="AQ1203" s="200"/>
      <c r="AR1203" s="200"/>
      <c r="AS1203" s="200"/>
      <c r="AT1203" s="200"/>
      <c r="AU1203" s="200"/>
      <c r="AV1203" s="200"/>
      <c r="AW1203" s="200"/>
      <c r="AX1203" s="200"/>
      <c r="AY1203" s="200"/>
      <c r="AZ1203" s="200"/>
      <c r="BA1203" s="200"/>
      <c r="BB1203" s="200"/>
      <c r="BC1203" s="970"/>
      <c r="BD1203" s="970"/>
      <c r="BE1203" s="970"/>
      <c r="BF1203" s="970"/>
      <c r="BG1203" s="970"/>
      <c r="BH1203" s="970"/>
      <c r="BI1203" s="970"/>
      <c r="BJ1203" s="970"/>
      <c r="BK1203" s="970"/>
      <c r="BL1203" s="970"/>
      <c r="BM1203" s="970"/>
      <c r="BN1203" s="970"/>
      <c r="BO1203" s="970"/>
      <c r="BP1203" s="970"/>
      <c r="BQ1203" s="970"/>
    </row>
    <row r="1204" spans="1:70" s="22" customFormat="1" ht="66">
      <c r="A1204" s="779"/>
      <c r="B1204" s="88"/>
      <c r="C1204" s="779">
        <v>3</v>
      </c>
      <c r="D1204" s="779" t="s">
        <v>34</v>
      </c>
      <c r="E1204" s="779" t="s">
        <v>78</v>
      </c>
      <c r="F1204" s="779" t="s">
        <v>25</v>
      </c>
      <c r="G1204" s="779" t="s">
        <v>25</v>
      </c>
      <c r="H1204" s="779"/>
      <c r="I1204" s="280" t="s">
        <v>620</v>
      </c>
      <c r="J1204" s="280" t="s">
        <v>3058</v>
      </c>
      <c r="K1204" s="944">
        <v>72</v>
      </c>
      <c r="L1204" s="24">
        <v>316641000</v>
      </c>
      <c r="M1204" s="528">
        <v>36</v>
      </c>
      <c r="N1204" s="30">
        <f>'[7]Setelah Perubahan'!$AB$39</f>
        <v>27865000</v>
      </c>
      <c r="O1204" s="11">
        <v>12</v>
      </c>
      <c r="P1204" s="30">
        <v>40000000</v>
      </c>
      <c r="Q1204" s="528">
        <v>3</v>
      </c>
      <c r="R1204" s="30">
        <v>4089800</v>
      </c>
      <c r="S1204" s="11"/>
      <c r="T1204" s="24">
        <v>594000</v>
      </c>
      <c r="U1204" s="11"/>
      <c r="V1204" s="11"/>
      <c r="W1204" s="11"/>
      <c r="X1204" s="11"/>
      <c r="Y1204" s="29">
        <f t="shared" si="342"/>
        <v>3</v>
      </c>
      <c r="Z1204" s="30">
        <f t="shared" si="342"/>
        <v>4089800</v>
      </c>
      <c r="AA1204" s="29">
        <f t="shared" si="340"/>
        <v>39</v>
      </c>
      <c r="AB1204" s="30">
        <f t="shared" si="341"/>
        <v>31954800</v>
      </c>
      <c r="AC1204" s="29">
        <f t="shared" si="338"/>
        <v>54.166666666666664</v>
      </c>
      <c r="AD1204" s="29">
        <f t="shared" si="339"/>
        <v>10.09180744123471</v>
      </c>
      <c r="AE1204" s="779"/>
      <c r="AF1204" s="201"/>
      <c r="AG1204" s="201"/>
      <c r="AH1204" s="201"/>
      <c r="AI1204" s="201"/>
      <c r="AJ1204" s="201"/>
      <c r="AK1204" s="201"/>
      <c r="AL1204" s="201"/>
      <c r="AM1204" s="201"/>
      <c r="AN1204" s="201"/>
      <c r="AO1204" s="201"/>
      <c r="AP1204" s="201"/>
      <c r="AQ1204" s="201"/>
      <c r="AR1204" s="201"/>
      <c r="AS1204" s="201"/>
      <c r="AT1204" s="201"/>
      <c r="AU1204" s="201"/>
      <c r="AV1204" s="201"/>
      <c r="AW1204" s="201"/>
      <c r="AX1204" s="201"/>
      <c r="AY1204" s="201"/>
      <c r="AZ1204" s="201"/>
      <c r="BA1204" s="201"/>
      <c r="BB1204" s="201"/>
      <c r="BC1204" s="20"/>
      <c r="BD1204" s="20"/>
      <c r="BE1204" s="20"/>
      <c r="BF1204" s="20"/>
      <c r="BG1204" s="20"/>
      <c r="BH1204" s="20"/>
      <c r="BI1204" s="20"/>
      <c r="BJ1204" s="20"/>
      <c r="BK1204" s="20"/>
      <c r="BL1204" s="20"/>
      <c r="BM1204" s="20"/>
      <c r="BN1204" s="20"/>
      <c r="BO1204" s="20"/>
      <c r="BP1204" s="20"/>
      <c r="BQ1204" s="20"/>
      <c r="BR1204" s="752"/>
    </row>
    <row r="1205" spans="1:70" ht="49.5">
      <c r="A1205" s="1428"/>
      <c r="B1205" s="491"/>
      <c r="C1205" s="779">
        <v>3</v>
      </c>
      <c r="D1205" s="779" t="s">
        <v>34</v>
      </c>
      <c r="E1205" s="779" t="s">
        <v>78</v>
      </c>
      <c r="F1205" s="779" t="s">
        <v>25</v>
      </c>
      <c r="G1205" s="779" t="s">
        <v>25</v>
      </c>
      <c r="H1205" s="1428"/>
      <c r="I1205" s="280" t="s">
        <v>1522</v>
      </c>
      <c r="J1205" s="305" t="s">
        <v>3059</v>
      </c>
      <c r="K1205" s="944">
        <v>72</v>
      </c>
      <c r="L1205" s="24">
        <v>798022000</v>
      </c>
      <c r="M1205" s="528">
        <v>36</v>
      </c>
      <c r="N1205" s="349">
        <v>450730756</v>
      </c>
      <c r="O1205" s="11">
        <v>12</v>
      </c>
      <c r="P1205" s="30">
        <v>47725000</v>
      </c>
      <c r="Q1205" s="528">
        <v>3</v>
      </c>
      <c r="R1205" s="30">
        <v>15925000</v>
      </c>
      <c r="S1205" s="311"/>
      <c r="T1205" s="2698">
        <v>25250000</v>
      </c>
      <c r="U1205" s="311"/>
      <c r="V1205" s="311"/>
      <c r="W1205" s="311"/>
      <c r="X1205" s="311"/>
      <c r="Y1205" s="29">
        <f t="shared" si="342"/>
        <v>3</v>
      </c>
      <c r="Z1205" s="30">
        <f t="shared" si="342"/>
        <v>15925000</v>
      </c>
      <c r="AA1205" s="29">
        <f t="shared" si="340"/>
        <v>39</v>
      </c>
      <c r="AB1205" s="30">
        <f t="shared" si="341"/>
        <v>466655756</v>
      </c>
      <c r="AC1205" s="29">
        <f t="shared" si="338"/>
        <v>54.166666666666664</v>
      </c>
      <c r="AD1205" s="29">
        <f t="shared" si="339"/>
        <v>58.47655277674049</v>
      </c>
      <c r="AE1205" s="779"/>
      <c r="AF1205" s="200"/>
      <c r="AG1205" s="200"/>
      <c r="AH1205" s="200"/>
      <c r="AI1205" s="200"/>
      <c r="AJ1205" s="200"/>
      <c r="AK1205" s="200"/>
      <c r="AL1205" s="200"/>
      <c r="AM1205" s="200"/>
      <c r="AN1205" s="200"/>
      <c r="AO1205" s="200"/>
      <c r="AP1205" s="200"/>
      <c r="AQ1205" s="200"/>
      <c r="AR1205" s="200"/>
      <c r="AS1205" s="200"/>
      <c r="AT1205" s="200"/>
      <c r="AU1205" s="200"/>
      <c r="AV1205" s="200"/>
      <c r="AW1205" s="200"/>
      <c r="AX1205" s="200"/>
      <c r="AY1205" s="200"/>
      <c r="AZ1205" s="200"/>
      <c r="BA1205" s="200"/>
      <c r="BB1205" s="200"/>
      <c r="BC1205" s="970"/>
      <c r="BD1205" s="970"/>
      <c r="BE1205" s="970"/>
      <c r="BF1205" s="970"/>
      <c r="BG1205" s="970"/>
      <c r="BH1205" s="970"/>
      <c r="BI1205" s="970"/>
      <c r="BJ1205" s="970"/>
      <c r="BK1205" s="970"/>
      <c r="BL1205" s="970"/>
      <c r="BM1205" s="970"/>
      <c r="BN1205" s="970"/>
      <c r="BO1205" s="970"/>
      <c r="BP1205" s="970"/>
      <c r="BQ1205" s="970"/>
    </row>
    <row r="1206" spans="1:70" ht="49.5">
      <c r="A1206" s="1428"/>
      <c r="B1206" s="306"/>
      <c r="C1206" s="779">
        <v>3</v>
      </c>
      <c r="D1206" s="779" t="s">
        <v>34</v>
      </c>
      <c r="E1206" s="779" t="s">
        <v>78</v>
      </c>
      <c r="F1206" s="779" t="s">
        <v>25</v>
      </c>
      <c r="G1206" s="779" t="s">
        <v>25</v>
      </c>
      <c r="H1206" s="1428"/>
      <c r="I1206" s="280" t="s">
        <v>1523</v>
      </c>
      <c r="J1206" s="305" t="s">
        <v>3060</v>
      </c>
      <c r="K1206" s="944">
        <v>72</v>
      </c>
      <c r="L1206" s="24">
        <v>429300000</v>
      </c>
      <c r="M1206" s="528">
        <v>36</v>
      </c>
      <c r="N1206" s="30">
        <f>'[7]Setelah Perubahan'!$AB$46</f>
        <v>252595000</v>
      </c>
      <c r="O1206" s="11">
        <v>12</v>
      </c>
      <c r="P1206" s="30">
        <v>60400000</v>
      </c>
      <c r="Q1206" s="528">
        <v>3</v>
      </c>
      <c r="R1206" s="30">
        <v>16989000</v>
      </c>
      <c r="S1206" s="311"/>
      <c r="T1206" s="2698">
        <v>31335000</v>
      </c>
      <c r="U1206" s="311"/>
      <c r="V1206" s="311"/>
      <c r="W1206" s="311"/>
      <c r="X1206" s="311"/>
      <c r="Y1206" s="29">
        <f t="shared" si="342"/>
        <v>3</v>
      </c>
      <c r="Z1206" s="30">
        <f t="shared" si="342"/>
        <v>16989000</v>
      </c>
      <c r="AA1206" s="29">
        <f t="shared" si="340"/>
        <v>39</v>
      </c>
      <c r="AB1206" s="30">
        <f t="shared" si="341"/>
        <v>269584000</v>
      </c>
      <c r="AC1206" s="29">
        <f t="shared" si="338"/>
        <v>54.166666666666664</v>
      </c>
      <c r="AD1206" s="29">
        <f t="shared" si="339"/>
        <v>62.796179827626361</v>
      </c>
      <c r="AE1206" s="779"/>
      <c r="AF1206" s="200"/>
      <c r="AG1206" s="200"/>
      <c r="AH1206" s="200"/>
      <c r="AI1206" s="200"/>
      <c r="AJ1206" s="200"/>
      <c r="AK1206" s="200"/>
      <c r="AL1206" s="200"/>
      <c r="AM1206" s="200"/>
      <c r="AN1206" s="200"/>
      <c r="AO1206" s="200"/>
      <c r="AP1206" s="200"/>
      <c r="AQ1206" s="200"/>
      <c r="AR1206" s="200"/>
      <c r="AS1206" s="200"/>
      <c r="AT1206" s="200"/>
      <c r="AU1206" s="200"/>
      <c r="AV1206" s="200"/>
      <c r="AW1206" s="200"/>
      <c r="AX1206" s="200"/>
      <c r="AY1206" s="200"/>
      <c r="AZ1206" s="200"/>
      <c r="BA1206" s="200"/>
      <c r="BB1206" s="200"/>
      <c r="BC1206" s="970"/>
      <c r="BD1206" s="970"/>
      <c r="BE1206" s="970"/>
      <c r="BF1206" s="970"/>
      <c r="BG1206" s="970"/>
      <c r="BH1206" s="970"/>
      <c r="BI1206" s="970"/>
      <c r="BJ1206" s="970"/>
      <c r="BK1206" s="970"/>
      <c r="BL1206" s="970"/>
      <c r="BM1206" s="970"/>
      <c r="BN1206" s="970"/>
      <c r="BO1206" s="970"/>
      <c r="BP1206" s="970"/>
      <c r="BQ1206" s="970"/>
    </row>
    <row r="1207" spans="1:70" s="1346" customFormat="1" ht="82.5">
      <c r="A1207" s="2558">
        <v>2</v>
      </c>
      <c r="B1207" s="33"/>
      <c r="C1207" s="1171">
        <v>3</v>
      </c>
      <c r="D1207" s="1786" t="s">
        <v>34</v>
      </c>
      <c r="E1207" s="753" t="s">
        <v>78</v>
      </c>
      <c r="F1207" s="1786" t="s">
        <v>25</v>
      </c>
      <c r="G1207" s="1786" t="s">
        <v>28</v>
      </c>
      <c r="H1207" s="1136"/>
      <c r="I1207" s="44" t="s">
        <v>36</v>
      </c>
      <c r="J1207" s="44" t="s">
        <v>2837</v>
      </c>
      <c r="K1207" s="33">
        <v>72</v>
      </c>
      <c r="L1207" s="144">
        <f t="shared" ref="L1207:R1207" si="343">SUM(L1208:L1209)</f>
        <v>1703685150</v>
      </c>
      <c r="M1207" s="531">
        <v>36</v>
      </c>
      <c r="N1207" s="144">
        <f t="shared" si="343"/>
        <v>858650535</v>
      </c>
      <c r="O1207" s="33">
        <v>12</v>
      </c>
      <c r="P1207" s="144">
        <f t="shared" si="343"/>
        <v>281494000</v>
      </c>
      <c r="Q1207" s="531">
        <v>3</v>
      </c>
      <c r="R1207" s="144">
        <f t="shared" si="343"/>
        <v>60112788</v>
      </c>
      <c r="S1207" s="33"/>
      <c r="T1207" s="144">
        <f>SUM(T1208:T1209)</f>
        <v>73026902</v>
      </c>
      <c r="U1207" s="33"/>
      <c r="V1207" s="33"/>
      <c r="W1207" s="33"/>
      <c r="X1207" s="33"/>
      <c r="Y1207" s="532">
        <f>SUM(Y1208:Y1209)</f>
        <v>6</v>
      </c>
      <c r="Z1207" s="144">
        <f>SUM(Z1208:Z1209)</f>
        <v>60112788</v>
      </c>
      <c r="AA1207" s="532">
        <f t="shared" si="340"/>
        <v>42</v>
      </c>
      <c r="AB1207" s="144">
        <f>Z1207+N1207</f>
        <v>918763323</v>
      </c>
      <c r="AC1207" s="532">
        <f t="shared" si="338"/>
        <v>58.333333333333336</v>
      </c>
      <c r="AD1207" s="532">
        <f t="shared" si="339"/>
        <v>53.927999724597001</v>
      </c>
      <c r="AE1207" s="2558" t="s">
        <v>132</v>
      </c>
      <c r="AF1207" s="201"/>
      <c r="AG1207" s="200"/>
      <c r="AH1207" s="200"/>
      <c r="AI1207" s="200"/>
      <c r="AJ1207" s="200"/>
      <c r="AK1207" s="200"/>
      <c r="AL1207" s="200"/>
      <c r="AM1207" s="200"/>
      <c r="AN1207" s="200"/>
      <c r="AO1207" s="200"/>
      <c r="AP1207" s="200"/>
      <c r="AQ1207" s="200"/>
      <c r="AR1207" s="200"/>
      <c r="AS1207" s="200"/>
      <c r="AT1207" s="200"/>
      <c r="AU1207" s="200"/>
      <c r="AV1207" s="200"/>
      <c r="AW1207" s="200"/>
      <c r="AX1207" s="200"/>
      <c r="AY1207" s="200"/>
      <c r="AZ1207" s="200"/>
      <c r="BA1207" s="200"/>
      <c r="BB1207" s="200"/>
      <c r="BC1207" s="970"/>
      <c r="BD1207" s="970"/>
      <c r="BE1207" s="970"/>
      <c r="BF1207" s="970"/>
      <c r="BG1207" s="970"/>
      <c r="BH1207" s="970"/>
      <c r="BI1207" s="970"/>
      <c r="BJ1207" s="970"/>
      <c r="BK1207" s="970"/>
      <c r="BL1207" s="970"/>
      <c r="BM1207" s="970"/>
      <c r="BN1207" s="970"/>
      <c r="BO1207" s="970"/>
      <c r="BP1207" s="970"/>
      <c r="BQ1207" s="970"/>
    </row>
    <row r="1208" spans="1:70" ht="49.5">
      <c r="A1208" s="779"/>
      <c r="B1208" s="11"/>
      <c r="C1208" s="779">
        <v>3</v>
      </c>
      <c r="D1208" s="779" t="s">
        <v>34</v>
      </c>
      <c r="E1208" s="779" t="s">
        <v>78</v>
      </c>
      <c r="F1208" s="779" t="s">
        <v>25</v>
      </c>
      <c r="G1208" s="779" t="s">
        <v>28</v>
      </c>
      <c r="H1208" s="1428"/>
      <c r="I1208" s="280" t="s">
        <v>134</v>
      </c>
      <c r="J1208" s="1291" t="s">
        <v>3061</v>
      </c>
      <c r="K1208" s="11">
        <v>72</v>
      </c>
      <c r="L1208" s="24">
        <v>404720000</v>
      </c>
      <c r="M1208" s="528">
        <v>36</v>
      </c>
      <c r="N1208" s="30">
        <f>'[7]Setelah Perubahan'!$AB$48</f>
        <v>246182000</v>
      </c>
      <c r="O1208" s="11">
        <v>12</v>
      </c>
      <c r="P1208" s="30">
        <v>75000000</v>
      </c>
      <c r="Q1208" s="528">
        <v>3</v>
      </c>
      <c r="R1208" s="30">
        <v>11949000</v>
      </c>
      <c r="S1208" s="311"/>
      <c r="T1208" s="2698">
        <v>26549000</v>
      </c>
      <c r="U1208" s="311"/>
      <c r="V1208" s="311"/>
      <c r="W1208" s="311"/>
      <c r="X1208" s="311"/>
      <c r="Y1208" s="29">
        <f>Q1208</f>
        <v>3</v>
      </c>
      <c r="Z1208" s="30">
        <f>R1208</f>
        <v>11949000</v>
      </c>
      <c r="AA1208" s="29">
        <f>M1208+Y1208</f>
        <v>39</v>
      </c>
      <c r="AB1208" s="30">
        <f>N1208+Z1208</f>
        <v>258131000</v>
      </c>
      <c r="AC1208" s="29">
        <f t="shared" si="338"/>
        <v>54.166666666666664</v>
      </c>
      <c r="AD1208" s="29">
        <f t="shared" si="339"/>
        <v>63.780144297291955</v>
      </c>
      <c r="AE1208" s="779"/>
      <c r="AF1208" s="200"/>
      <c r="AG1208" s="200"/>
      <c r="AH1208" s="200"/>
      <c r="AI1208" s="200"/>
      <c r="AJ1208" s="200"/>
      <c r="AK1208" s="200"/>
      <c r="AL1208" s="200"/>
      <c r="AM1208" s="200"/>
      <c r="AN1208" s="200"/>
      <c r="AO1208" s="200"/>
      <c r="AP1208" s="200"/>
      <c r="AQ1208" s="200"/>
      <c r="AR1208" s="200"/>
      <c r="AS1208" s="200"/>
      <c r="AT1208" s="200"/>
      <c r="AU1208" s="200"/>
      <c r="AV1208" s="200"/>
      <c r="AW1208" s="200"/>
      <c r="AX1208" s="200"/>
      <c r="AY1208" s="200"/>
      <c r="AZ1208" s="200"/>
      <c r="BA1208" s="200"/>
      <c r="BB1208" s="200"/>
      <c r="BC1208" s="970"/>
      <c r="BD1208" s="970"/>
      <c r="BE1208" s="970"/>
      <c r="BF1208" s="970"/>
      <c r="BG1208" s="970"/>
      <c r="BH1208" s="970"/>
      <c r="BI1208" s="970"/>
      <c r="BJ1208" s="970"/>
      <c r="BK1208" s="970"/>
      <c r="BL1208" s="970"/>
      <c r="BM1208" s="970"/>
      <c r="BN1208" s="970"/>
      <c r="BO1208" s="970"/>
      <c r="BP1208" s="970"/>
      <c r="BQ1208" s="970"/>
    </row>
    <row r="1209" spans="1:70" ht="49.5">
      <c r="A1209" s="779"/>
      <c r="B1209" s="11"/>
      <c r="C1209" s="779">
        <v>3</v>
      </c>
      <c r="D1209" s="779" t="s">
        <v>34</v>
      </c>
      <c r="E1209" s="779" t="s">
        <v>78</v>
      </c>
      <c r="F1209" s="779" t="s">
        <v>25</v>
      </c>
      <c r="G1209" s="779" t="s">
        <v>28</v>
      </c>
      <c r="H1209" s="1428"/>
      <c r="I1209" s="280" t="s">
        <v>1524</v>
      </c>
      <c r="J1209" s="1291" t="s">
        <v>3020</v>
      </c>
      <c r="K1209" s="11">
        <v>72</v>
      </c>
      <c r="L1209" s="24">
        <v>1298965150</v>
      </c>
      <c r="M1209" s="528">
        <v>36</v>
      </c>
      <c r="N1209" s="30">
        <f>'[7]Setelah Perubahan'!$AB$49</f>
        <v>612468535</v>
      </c>
      <c r="O1209" s="11">
        <v>12</v>
      </c>
      <c r="P1209" s="30">
        <v>206494000</v>
      </c>
      <c r="Q1209" s="528">
        <v>3</v>
      </c>
      <c r="R1209" s="30">
        <v>48163788</v>
      </c>
      <c r="S1209" s="311"/>
      <c r="T1209" s="2698">
        <v>46477902</v>
      </c>
      <c r="U1209" s="311"/>
      <c r="V1209" s="311"/>
      <c r="W1209" s="311"/>
      <c r="X1209" s="311"/>
      <c r="Y1209" s="29">
        <f>Q1209</f>
        <v>3</v>
      </c>
      <c r="Z1209" s="30">
        <f>R1209</f>
        <v>48163788</v>
      </c>
      <c r="AA1209" s="29">
        <f>M1209+Y1209</f>
        <v>39</v>
      </c>
      <c r="AB1209" s="30">
        <f>N1209+Z1209</f>
        <v>660632323</v>
      </c>
      <c r="AC1209" s="29">
        <f t="shared" si="338"/>
        <v>54.166666666666664</v>
      </c>
      <c r="AD1209" s="29">
        <f t="shared" si="339"/>
        <v>50.858356207631893</v>
      </c>
      <c r="AE1209" s="779"/>
      <c r="AF1209" s="200"/>
      <c r="AG1209" s="200"/>
      <c r="AH1209" s="200"/>
      <c r="AI1209" s="200"/>
      <c r="AJ1209" s="200"/>
      <c r="AK1209" s="200"/>
      <c r="AL1209" s="200"/>
      <c r="AM1209" s="200"/>
      <c r="AN1209" s="200"/>
      <c r="AO1209" s="200"/>
      <c r="AP1209" s="200"/>
      <c r="AQ1209" s="200"/>
      <c r="AR1209" s="200"/>
      <c r="AS1209" s="200"/>
      <c r="AT1209" s="200"/>
      <c r="AU1209" s="200"/>
      <c r="AV1209" s="200"/>
      <c r="AW1209" s="200"/>
      <c r="AX1209" s="200"/>
      <c r="AY1209" s="200"/>
      <c r="AZ1209" s="200"/>
      <c r="BA1209" s="200"/>
      <c r="BB1209" s="200"/>
      <c r="BC1209" s="970"/>
      <c r="BD1209" s="970"/>
      <c r="BE1209" s="970"/>
      <c r="BF1209" s="970"/>
      <c r="BG1209" s="970"/>
      <c r="BH1209" s="970"/>
      <c r="BI1209" s="970"/>
      <c r="BJ1209" s="970"/>
      <c r="BK1209" s="970"/>
      <c r="BL1209" s="970"/>
      <c r="BM1209" s="970"/>
      <c r="BN1209" s="970"/>
      <c r="BO1209" s="970"/>
      <c r="BP1209" s="970"/>
      <c r="BQ1209" s="970"/>
    </row>
    <row r="1210" spans="1:70" s="16" customFormat="1" ht="47.25" customHeight="1">
      <c r="A1210" s="2558">
        <v>3</v>
      </c>
      <c r="B1210" s="33"/>
      <c r="C1210" s="303">
        <v>13</v>
      </c>
      <c r="D1210" s="303">
        <v>1</v>
      </c>
      <c r="E1210" s="303">
        <v>2</v>
      </c>
      <c r="F1210" s="303">
        <v>13</v>
      </c>
      <c r="G1210" s="303">
        <v>16</v>
      </c>
      <c r="H1210" s="989"/>
      <c r="I1210" s="368" t="s">
        <v>1547</v>
      </c>
      <c r="J1210" s="134" t="s">
        <v>3062</v>
      </c>
      <c r="K1210" s="1793" t="s">
        <v>1905</v>
      </c>
      <c r="L1210" s="159">
        <f>SUM(L1211:L1214)</f>
        <v>2982801000</v>
      </c>
      <c r="M1210" s="545" t="s">
        <v>3063</v>
      </c>
      <c r="N1210" s="159">
        <f>SUM(N1211:N1214)</f>
        <v>1763500521</v>
      </c>
      <c r="O1210" s="545" t="s">
        <v>3063</v>
      </c>
      <c r="P1210" s="159">
        <f>SUM(P1211:P1214)</f>
        <v>1077217000</v>
      </c>
      <c r="Q1210" s="545" t="s">
        <v>3063</v>
      </c>
      <c r="R1210" s="159">
        <f>SUM(R1211:R1212)</f>
        <v>44604500</v>
      </c>
      <c r="S1210" s="33"/>
      <c r="T1210" s="144">
        <f>SUM(T1211:T1212)</f>
        <v>50103679</v>
      </c>
      <c r="U1210" s="33"/>
      <c r="V1210" s="33"/>
      <c r="W1210" s="33"/>
      <c r="X1210" s="33"/>
      <c r="Y1210" s="545" t="s">
        <v>3063</v>
      </c>
      <c r="Z1210" s="159">
        <f>R1210</f>
        <v>44604500</v>
      </c>
      <c r="AA1210" s="545" t="s">
        <v>3063</v>
      </c>
      <c r="AB1210" s="159">
        <f t="shared" ref="AB1210:AB1218" si="344">N1210+Z1210</f>
        <v>1808105021</v>
      </c>
      <c r="AC1210" s="532">
        <v>100</v>
      </c>
      <c r="AD1210" s="532">
        <f t="shared" ref="AD1210:AD1218" si="345">AB1210/L1210*100</f>
        <v>60.61768857526868</v>
      </c>
      <c r="AE1210" s="2558" t="s">
        <v>132</v>
      </c>
      <c r="AF1210" s="201"/>
      <c r="AG1210" s="201"/>
      <c r="AH1210" s="201"/>
      <c r="AI1210" s="201"/>
      <c r="AJ1210" s="201"/>
      <c r="AK1210" s="201"/>
      <c r="AL1210" s="201"/>
      <c r="AM1210" s="201"/>
      <c r="AN1210" s="201"/>
      <c r="AO1210" s="201"/>
      <c r="AP1210" s="201"/>
      <c r="AQ1210" s="201"/>
      <c r="AR1210" s="201"/>
      <c r="AS1210" s="201"/>
      <c r="AT1210" s="201"/>
      <c r="AU1210" s="201"/>
      <c r="AV1210" s="201"/>
      <c r="AW1210" s="201"/>
      <c r="AX1210" s="201"/>
      <c r="AY1210" s="201"/>
      <c r="AZ1210" s="201"/>
      <c r="BA1210" s="201"/>
      <c r="BB1210" s="201"/>
      <c r="BC1210" s="20"/>
      <c r="BD1210" s="20"/>
      <c r="BE1210" s="20"/>
      <c r="BF1210" s="20"/>
      <c r="BG1210" s="20"/>
      <c r="BH1210" s="20"/>
      <c r="BI1210" s="20"/>
      <c r="BJ1210" s="20"/>
      <c r="BK1210" s="20"/>
      <c r="BL1210" s="20"/>
      <c r="BM1210" s="20"/>
      <c r="BN1210" s="20"/>
      <c r="BO1210" s="20"/>
      <c r="BP1210" s="20"/>
      <c r="BQ1210" s="20"/>
      <c r="BR1210" s="20"/>
    </row>
    <row r="1211" spans="1:70" ht="49.5">
      <c r="A1211" s="779"/>
      <c r="B1211" s="199"/>
      <c r="C1211" s="304">
        <v>13</v>
      </c>
      <c r="D1211" s="304">
        <v>1</v>
      </c>
      <c r="E1211" s="304">
        <v>2</v>
      </c>
      <c r="F1211" s="304">
        <v>13</v>
      </c>
      <c r="G1211" s="304">
        <v>16</v>
      </c>
      <c r="H1211" s="239">
        <v>2</v>
      </c>
      <c r="I1211" s="344" t="s">
        <v>1548</v>
      </c>
      <c r="J1211" s="345" t="s">
        <v>1549</v>
      </c>
      <c r="K1211" s="314">
        <v>5</v>
      </c>
      <c r="L1211" s="358">
        <f>3*P1211</f>
        <v>2512101000</v>
      </c>
      <c r="M1211" s="528">
        <v>2</v>
      </c>
      <c r="N1211" s="30">
        <f>'[7]Setelah Perubahan'!$AB$81</f>
        <v>1649147733</v>
      </c>
      <c r="O1211" s="314">
        <v>1</v>
      </c>
      <c r="P1211" s="24">
        <v>837367000</v>
      </c>
      <c r="Q1211" s="29">
        <v>0</v>
      </c>
      <c r="R1211" s="24">
        <v>37945250</v>
      </c>
      <c r="S1211" s="11"/>
      <c r="T1211" s="24">
        <v>22340429</v>
      </c>
      <c r="U1211" s="11"/>
      <c r="V1211" s="11"/>
      <c r="W1211" s="11"/>
      <c r="X1211" s="11"/>
      <c r="Y1211" s="29">
        <f t="shared" ref="Y1211:Y1221" si="346">Q1211</f>
        <v>0</v>
      </c>
      <c r="Z1211" s="24">
        <f t="shared" ref="Z1211:Z1221" si="347">R1211</f>
        <v>37945250</v>
      </c>
      <c r="AA1211" s="29">
        <f t="shared" ref="AA1211:AA1218" si="348">M1211+Y1211</f>
        <v>2</v>
      </c>
      <c r="AB1211" s="24">
        <f t="shared" si="344"/>
        <v>1687092983</v>
      </c>
      <c r="AC1211" s="29">
        <f t="shared" ref="AC1211:AC1218" si="349">AA1211/K1211*100</f>
        <v>40</v>
      </c>
      <c r="AD1211" s="29">
        <f t="shared" si="345"/>
        <v>67.158644616597812</v>
      </c>
      <c r="AE1211" s="102"/>
      <c r="AF1211" s="200"/>
      <c r="AG1211" s="200"/>
      <c r="AH1211" s="200"/>
      <c r="AI1211" s="200"/>
      <c r="AJ1211" s="200"/>
      <c r="AK1211" s="200"/>
      <c r="AL1211" s="200"/>
      <c r="AM1211" s="200"/>
      <c r="AN1211" s="200"/>
      <c r="AO1211" s="200"/>
      <c r="AP1211" s="200"/>
      <c r="AQ1211" s="200"/>
      <c r="AR1211" s="200"/>
      <c r="AS1211" s="200"/>
      <c r="AT1211" s="200"/>
      <c r="AU1211" s="200"/>
      <c r="AV1211" s="200"/>
      <c r="AW1211" s="200"/>
      <c r="AX1211" s="200"/>
      <c r="AY1211" s="200"/>
      <c r="AZ1211" s="200"/>
      <c r="BA1211" s="200"/>
      <c r="BB1211" s="200"/>
      <c r="BC1211" s="970"/>
      <c r="BD1211" s="970"/>
      <c r="BE1211" s="970"/>
      <c r="BF1211" s="970"/>
      <c r="BG1211" s="970"/>
      <c r="BH1211" s="970"/>
      <c r="BI1211" s="970"/>
      <c r="BJ1211" s="970"/>
      <c r="BK1211" s="970"/>
      <c r="BL1211" s="970"/>
      <c r="BM1211" s="970"/>
      <c r="BN1211" s="970"/>
      <c r="BO1211" s="970"/>
      <c r="BP1211" s="970"/>
      <c r="BQ1211" s="970"/>
    </row>
    <row r="1212" spans="1:70" ht="49.5">
      <c r="A1212" s="779"/>
      <c r="B1212" s="199"/>
      <c r="C1212" s="304">
        <v>13</v>
      </c>
      <c r="D1212" s="304">
        <v>1</v>
      </c>
      <c r="E1212" s="304">
        <v>2</v>
      </c>
      <c r="F1212" s="304">
        <v>13</v>
      </c>
      <c r="G1212" s="304">
        <v>16</v>
      </c>
      <c r="H1212" s="239">
        <v>3</v>
      </c>
      <c r="I1212" s="359" t="s">
        <v>1550</v>
      </c>
      <c r="J1212" s="250" t="s">
        <v>3064</v>
      </c>
      <c r="K1212" s="314">
        <v>3</v>
      </c>
      <c r="L1212" s="360">
        <v>100000000</v>
      </c>
      <c r="M1212" s="11">
        <v>0</v>
      </c>
      <c r="N1212" s="24">
        <v>0</v>
      </c>
      <c r="O1212" s="314">
        <v>1</v>
      </c>
      <c r="P1212" s="24">
        <v>50000000</v>
      </c>
      <c r="Q1212" s="29">
        <v>0</v>
      </c>
      <c r="R1212" s="24">
        <v>6659250</v>
      </c>
      <c r="S1212" s="11"/>
      <c r="T1212" s="24">
        <v>27763250</v>
      </c>
      <c r="U1212" s="11"/>
      <c r="V1212" s="11"/>
      <c r="W1212" s="11"/>
      <c r="X1212" s="11"/>
      <c r="Y1212" s="29">
        <f t="shared" si="346"/>
        <v>0</v>
      </c>
      <c r="Z1212" s="24">
        <f t="shared" si="347"/>
        <v>6659250</v>
      </c>
      <c r="AA1212" s="29">
        <f t="shared" si="348"/>
        <v>0</v>
      </c>
      <c r="AB1212" s="24">
        <f t="shared" si="344"/>
        <v>6659250</v>
      </c>
      <c r="AC1212" s="29">
        <f t="shared" si="349"/>
        <v>0</v>
      </c>
      <c r="AD1212" s="29">
        <f t="shared" si="345"/>
        <v>6.6592500000000001</v>
      </c>
      <c r="AE1212" s="102"/>
      <c r="AF1212" s="200"/>
      <c r="AG1212" s="200"/>
      <c r="AH1212" s="200"/>
      <c r="AI1212" s="200"/>
      <c r="AJ1212" s="200"/>
      <c r="AK1212" s="200"/>
      <c r="AL1212" s="200"/>
      <c r="AM1212" s="200"/>
      <c r="AN1212" s="200"/>
      <c r="AO1212" s="200"/>
      <c r="AP1212" s="200"/>
      <c r="AQ1212" s="200"/>
      <c r="AR1212" s="200"/>
      <c r="AS1212" s="200"/>
      <c r="AT1212" s="200"/>
      <c r="AU1212" s="200"/>
      <c r="AV1212" s="200"/>
      <c r="AW1212" s="200"/>
      <c r="AX1212" s="200"/>
      <c r="AY1212" s="200"/>
      <c r="AZ1212" s="200"/>
      <c r="BA1212" s="200"/>
      <c r="BB1212" s="200"/>
      <c r="BC1212" s="970"/>
      <c r="BD1212" s="970"/>
      <c r="BE1212" s="970"/>
      <c r="BF1212" s="970"/>
      <c r="BG1212" s="970"/>
      <c r="BH1212" s="970"/>
      <c r="BI1212" s="970"/>
      <c r="BJ1212" s="970"/>
      <c r="BK1212" s="970"/>
      <c r="BL1212" s="970"/>
      <c r="BM1212" s="970"/>
      <c r="BN1212" s="970"/>
      <c r="BO1212" s="970"/>
      <c r="BP1212" s="970"/>
      <c r="BQ1212" s="970"/>
    </row>
    <row r="1213" spans="1:70" ht="35.25" customHeight="1">
      <c r="A1213" s="1125"/>
      <c r="B1213" s="361"/>
      <c r="C1213" s="1429">
        <v>13</v>
      </c>
      <c r="D1213" s="1430">
        <v>1</v>
      </c>
      <c r="E1213" s="1430">
        <v>2</v>
      </c>
      <c r="F1213" s="1430">
        <v>13</v>
      </c>
      <c r="G1213" s="304">
        <v>16</v>
      </c>
      <c r="H1213" s="239">
        <v>15</v>
      </c>
      <c r="I1213" s="240" t="s">
        <v>1551</v>
      </c>
      <c r="J1213" s="362" t="s">
        <v>3065</v>
      </c>
      <c r="K1213" s="314">
        <v>5</v>
      </c>
      <c r="L1213" s="342">
        <f>2*P1213</f>
        <v>245700000</v>
      </c>
      <c r="M1213" s="30">
        <v>3</v>
      </c>
      <c r="N1213" s="30">
        <f>'[7]Setelah Perubahan'!$AB$91</f>
        <v>47734188</v>
      </c>
      <c r="O1213" s="314">
        <v>1</v>
      </c>
      <c r="P1213" s="24">
        <v>122850000</v>
      </c>
      <c r="Q1213" s="29">
        <f t="shared" ref="Q1213:Q1214" si="350">R1213/P1213*100</f>
        <v>0</v>
      </c>
      <c r="R1213" s="24">
        <v>0</v>
      </c>
      <c r="S1213" s="11"/>
      <c r="T1213" s="11"/>
      <c r="U1213" s="11"/>
      <c r="V1213" s="11"/>
      <c r="W1213" s="11"/>
      <c r="X1213" s="11"/>
      <c r="Y1213" s="29">
        <f t="shared" si="346"/>
        <v>0</v>
      </c>
      <c r="Z1213" s="24">
        <f t="shared" si="347"/>
        <v>0</v>
      </c>
      <c r="AA1213" s="29">
        <f t="shared" si="348"/>
        <v>3</v>
      </c>
      <c r="AB1213" s="24">
        <f t="shared" si="344"/>
        <v>47734188</v>
      </c>
      <c r="AC1213" s="29">
        <f t="shared" si="349"/>
        <v>60</v>
      </c>
      <c r="AD1213" s="29">
        <f t="shared" si="345"/>
        <v>19.427833943833946</v>
      </c>
      <c r="AE1213" s="102"/>
      <c r="AF1213" s="200"/>
      <c r="AG1213" s="200"/>
      <c r="AH1213" s="200"/>
      <c r="AI1213" s="200"/>
      <c r="AJ1213" s="200"/>
      <c r="AK1213" s="200"/>
      <c r="AL1213" s="200"/>
      <c r="AM1213" s="200"/>
      <c r="AN1213" s="200"/>
      <c r="AO1213" s="200"/>
      <c r="AP1213" s="200"/>
      <c r="AQ1213" s="200"/>
      <c r="AR1213" s="200"/>
      <c r="AS1213" s="200"/>
      <c r="AT1213" s="200"/>
      <c r="AU1213" s="200"/>
      <c r="AV1213" s="200"/>
      <c r="AW1213" s="200"/>
      <c r="AX1213" s="200"/>
      <c r="AY1213" s="200"/>
      <c r="AZ1213" s="200"/>
      <c r="BA1213" s="200"/>
      <c r="BB1213" s="200"/>
      <c r="BC1213" s="970"/>
      <c r="BD1213" s="970"/>
      <c r="BE1213" s="970"/>
      <c r="BF1213" s="970"/>
      <c r="BG1213" s="970"/>
      <c r="BH1213" s="970"/>
      <c r="BI1213" s="970"/>
      <c r="BJ1213" s="970"/>
      <c r="BK1213" s="970"/>
      <c r="BL1213" s="970"/>
      <c r="BM1213" s="970"/>
      <c r="BN1213" s="970"/>
      <c r="BO1213" s="970"/>
      <c r="BP1213" s="970"/>
      <c r="BQ1213" s="970"/>
    </row>
    <row r="1214" spans="1:70" ht="66">
      <c r="A1214" s="89"/>
      <c r="B1214" s="88"/>
      <c r="C1214" s="1431">
        <v>13</v>
      </c>
      <c r="D1214" s="1431">
        <v>1</v>
      </c>
      <c r="E1214" s="1431">
        <v>2</v>
      </c>
      <c r="F1214" s="1431">
        <v>13</v>
      </c>
      <c r="G1214" s="605">
        <v>16</v>
      </c>
      <c r="H1214" s="239">
        <v>20</v>
      </c>
      <c r="I1214" s="240" t="s">
        <v>1552</v>
      </c>
      <c r="J1214" s="345" t="s">
        <v>1553</v>
      </c>
      <c r="K1214" s="314">
        <v>5</v>
      </c>
      <c r="L1214" s="342">
        <v>125000000</v>
      </c>
      <c r="M1214" s="29">
        <v>1</v>
      </c>
      <c r="N1214" s="30">
        <f>'[7]Setelah Perubahan'!$AB$92</f>
        <v>66618600</v>
      </c>
      <c r="O1214" s="314">
        <v>1</v>
      </c>
      <c r="P1214" s="24">
        <v>67000000</v>
      </c>
      <c r="Q1214" s="29">
        <f t="shared" si="350"/>
        <v>0</v>
      </c>
      <c r="R1214" s="24">
        <v>0</v>
      </c>
      <c r="S1214" s="11"/>
      <c r="T1214" s="11"/>
      <c r="U1214" s="11"/>
      <c r="V1214" s="11"/>
      <c r="W1214" s="11"/>
      <c r="X1214" s="11"/>
      <c r="Y1214" s="29">
        <f t="shared" si="346"/>
        <v>0</v>
      </c>
      <c r="Z1214" s="24">
        <f t="shared" si="347"/>
        <v>0</v>
      </c>
      <c r="AA1214" s="29">
        <f t="shared" si="348"/>
        <v>1</v>
      </c>
      <c r="AB1214" s="24">
        <f t="shared" si="344"/>
        <v>66618600</v>
      </c>
      <c r="AC1214" s="29">
        <f t="shared" si="349"/>
        <v>20</v>
      </c>
      <c r="AD1214" s="29">
        <f t="shared" si="345"/>
        <v>53.294879999999999</v>
      </c>
      <c r="AE1214" s="102"/>
      <c r="AF1214" s="200"/>
      <c r="AG1214" s="200"/>
      <c r="AH1214" s="200"/>
      <c r="AI1214" s="200"/>
      <c r="AJ1214" s="200"/>
      <c r="AK1214" s="200"/>
      <c r="AL1214" s="200"/>
      <c r="AM1214" s="200"/>
      <c r="AN1214" s="200"/>
      <c r="AO1214" s="200"/>
      <c r="AP1214" s="200"/>
      <c r="AQ1214" s="200"/>
      <c r="AR1214" s="200"/>
      <c r="AS1214" s="200"/>
      <c r="AT1214" s="200"/>
      <c r="AU1214" s="200"/>
      <c r="AV1214" s="200"/>
      <c r="AW1214" s="200"/>
      <c r="AX1214" s="200"/>
      <c r="AY1214" s="200"/>
      <c r="AZ1214" s="200"/>
      <c r="BA1214" s="200"/>
      <c r="BB1214" s="200"/>
      <c r="BC1214" s="970"/>
      <c r="BD1214" s="970"/>
      <c r="BE1214" s="970"/>
      <c r="BF1214" s="970"/>
      <c r="BG1214" s="970"/>
      <c r="BH1214" s="970"/>
      <c r="BI1214" s="970"/>
      <c r="BJ1214" s="970"/>
      <c r="BK1214" s="970"/>
      <c r="BL1214" s="970"/>
      <c r="BM1214" s="970"/>
      <c r="BN1214" s="970"/>
      <c r="BO1214" s="970"/>
      <c r="BP1214" s="970"/>
      <c r="BQ1214" s="970"/>
    </row>
    <row r="1215" spans="1:70" s="16" customFormat="1" ht="66">
      <c r="A1215" s="2539">
        <v>4</v>
      </c>
      <c r="B1215" s="1794"/>
      <c r="C1215" s="990">
        <v>13</v>
      </c>
      <c r="D1215" s="990">
        <v>1</v>
      </c>
      <c r="E1215" s="990">
        <v>2</v>
      </c>
      <c r="F1215" s="990">
        <v>13</v>
      </c>
      <c r="G1215" s="822">
        <v>20</v>
      </c>
      <c r="H1215" s="822"/>
      <c r="I1215" s="381" t="s">
        <v>1554</v>
      </c>
      <c r="J1215" s="630" t="s">
        <v>3066</v>
      </c>
      <c r="K1215" s="1795">
        <v>7</v>
      </c>
      <c r="L1215" s="1796">
        <f>SUM(L1216:L1217)</f>
        <v>981022500</v>
      </c>
      <c r="M1215" s="381">
        <v>4</v>
      </c>
      <c r="N1215" s="1796">
        <f>SUM(N1216:N1217)</f>
        <v>223341000</v>
      </c>
      <c r="O1215" s="381">
        <v>1</v>
      </c>
      <c r="P1215" s="1796">
        <f>P1216+P1217</f>
        <v>370000000</v>
      </c>
      <c r="Q1215" s="381">
        <v>0</v>
      </c>
      <c r="R1215" s="1796">
        <f>SUM(R1216)</f>
        <v>19049000</v>
      </c>
      <c r="S1215" s="381"/>
      <c r="T1215" s="381"/>
      <c r="U1215" s="381"/>
      <c r="V1215" s="381"/>
      <c r="W1215" s="381"/>
      <c r="X1215" s="381"/>
      <c r="Y1215" s="381">
        <f t="shared" si="346"/>
        <v>0</v>
      </c>
      <c r="Z1215" s="1796">
        <f t="shared" si="347"/>
        <v>19049000</v>
      </c>
      <c r="AA1215" s="381">
        <f t="shared" si="348"/>
        <v>4</v>
      </c>
      <c r="AB1215" s="1796">
        <f t="shared" si="344"/>
        <v>242390000</v>
      </c>
      <c r="AC1215" s="1797">
        <f t="shared" si="349"/>
        <v>57.142857142857139</v>
      </c>
      <c r="AD1215" s="1797">
        <f t="shared" si="345"/>
        <v>24.707894059514434</v>
      </c>
      <c r="AE1215" s="2539" t="s">
        <v>132</v>
      </c>
      <c r="AF1215" s="201"/>
      <c r="AG1215" s="201"/>
      <c r="AH1215" s="201"/>
      <c r="AI1215" s="201"/>
      <c r="AJ1215" s="201"/>
      <c r="AK1215" s="201"/>
      <c r="AL1215" s="201"/>
      <c r="AM1215" s="201"/>
      <c r="AN1215" s="201"/>
      <c r="AO1215" s="201"/>
      <c r="AP1215" s="201"/>
      <c r="AQ1215" s="201"/>
      <c r="AR1215" s="201"/>
      <c r="AS1215" s="201"/>
      <c r="AT1215" s="201"/>
      <c r="AU1215" s="201"/>
      <c r="AV1215" s="201"/>
      <c r="AW1215" s="201"/>
      <c r="AX1215" s="201"/>
      <c r="AY1215" s="201"/>
      <c r="AZ1215" s="201"/>
      <c r="BA1215" s="201"/>
      <c r="BB1215" s="201"/>
      <c r="BC1215" s="20"/>
      <c r="BD1215" s="20"/>
      <c r="BE1215" s="20"/>
      <c r="BF1215" s="20"/>
      <c r="BG1215" s="20"/>
      <c r="BH1215" s="20"/>
      <c r="BI1215" s="20"/>
      <c r="BJ1215" s="20"/>
      <c r="BK1215" s="20"/>
      <c r="BL1215" s="20"/>
      <c r="BM1215" s="20"/>
      <c r="BN1215" s="20"/>
      <c r="BO1215" s="20"/>
      <c r="BP1215" s="20"/>
      <c r="BQ1215" s="20"/>
      <c r="BR1215" s="20"/>
    </row>
    <row r="1216" spans="1:70" s="22" customFormat="1" ht="49.5">
      <c r="A1216" s="2576"/>
      <c r="B1216" s="943"/>
      <c r="C1216" s="1432">
        <v>13</v>
      </c>
      <c r="D1216" s="1432">
        <v>1</v>
      </c>
      <c r="E1216" s="1432">
        <v>2</v>
      </c>
      <c r="F1216" s="1432">
        <v>13</v>
      </c>
      <c r="G1216" s="550">
        <v>20</v>
      </c>
      <c r="H1216" s="779">
        <v>37</v>
      </c>
      <c r="I1216" s="240" t="s">
        <v>3067</v>
      </c>
      <c r="J1216" s="250" t="s">
        <v>3068</v>
      </c>
      <c r="K1216" s="1798">
        <v>100</v>
      </c>
      <c r="L1216" s="370">
        <v>500000000</v>
      </c>
      <c r="M1216" s="371">
        <v>20</v>
      </c>
      <c r="N1216" s="372">
        <f>'[7]Setelah Perubahan'!$AB$96</f>
        <v>127136500</v>
      </c>
      <c r="O1216" s="314">
        <v>20</v>
      </c>
      <c r="P1216" s="24">
        <v>120000000</v>
      </c>
      <c r="Q1216" s="11">
        <v>4</v>
      </c>
      <c r="R1216" s="24">
        <v>19049000</v>
      </c>
      <c r="S1216" s="11"/>
      <c r="T1216" s="11"/>
      <c r="U1216" s="11"/>
      <c r="V1216" s="11"/>
      <c r="W1216" s="11"/>
      <c r="X1216" s="11"/>
      <c r="Y1216" s="11">
        <f t="shared" si="346"/>
        <v>4</v>
      </c>
      <c r="Z1216" s="24">
        <f t="shared" si="347"/>
        <v>19049000</v>
      </c>
      <c r="AA1216" s="29">
        <f t="shared" si="348"/>
        <v>24</v>
      </c>
      <c r="AB1216" s="24">
        <f t="shared" si="344"/>
        <v>146185500</v>
      </c>
      <c r="AC1216" s="29">
        <f t="shared" si="349"/>
        <v>24</v>
      </c>
      <c r="AD1216" s="29">
        <f t="shared" si="345"/>
        <v>29.237099999999998</v>
      </c>
      <c r="AE1216" s="102"/>
      <c r="AF1216" s="201"/>
      <c r="AG1216" s="201"/>
      <c r="AH1216" s="201"/>
      <c r="AI1216" s="201"/>
      <c r="AJ1216" s="201"/>
      <c r="AK1216" s="201"/>
      <c r="AL1216" s="201"/>
      <c r="AM1216" s="201"/>
      <c r="AN1216" s="201"/>
      <c r="AO1216" s="201"/>
      <c r="AP1216" s="201"/>
      <c r="AQ1216" s="201"/>
      <c r="AR1216" s="201"/>
      <c r="AS1216" s="201"/>
      <c r="AT1216" s="201"/>
      <c r="AU1216" s="201"/>
      <c r="AV1216" s="201"/>
      <c r="AW1216" s="201"/>
      <c r="AX1216" s="201"/>
      <c r="AY1216" s="201"/>
      <c r="AZ1216" s="201"/>
      <c r="BA1216" s="201"/>
      <c r="BB1216" s="201"/>
      <c r="BC1216" s="20"/>
      <c r="BD1216" s="20"/>
      <c r="BE1216" s="20"/>
      <c r="BF1216" s="20"/>
      <c r="BG1216" s="20"/>
      <c r="BH1216" s="20"/>
      <c r="BI1216" s="20"/>
      <c r="BJ1216" s="20"/>
      <c r="BK1216" s="20"/>
      <c r="BL1216" s="20"/>
      <c r="BM1216" s="20"/>
      <c r="BN1216" s="20"/>
      <c r="BO1216" s="20"/>
      <c r="BP1216" s="20"/>
      <c r="BQ1216" s="20"/>
      <c r="BR1216" s="752"/>
    </row>
    <row r="1217" spans="1:70" s="22" customFormat="1" ht="82.5">
      <c r="A1217" s="2576"/>
      <c r="B1217" s="943"/>
      <c r="C1217" s="1432">
        <v>13</v>
      </c>
      <c r="D1217" s="1432">
        <v>1</v>
      </c>
      <c r="E1217" s="1432">
        <v>2</v>
      </c>
      <c r="F1217" s="1432">
        <v>13</v>
      </c>
      <c r="G1217" s="550">
        <v>20</v>
      </c>
      <c r="H1217" s="779">
        <v>38</v>
      </c>
      <c r="I1217" s="373" t="s">
        <v>1555</v>
      </c>
      <c r="J1217" s="362" t="s">
        <v>3069</v>
      </c>
      <c r="K1217" s="1798">
        <v>50</v>
      </c>
      <c r="L1217" s="370">
        <f>N1217*5</f>
        <v>481022500</v>
      </c>
      <c r="M1217" s="374">
        <v>10</v>
      </c>
      <c r="N1217" s="375">
        <f>'[7]Setelah Perubahan'!$AB$97</f>
        <v>96204500</v>
      </c>
      <c r="O1217" s="314">
        <v>20</v>
      </c>
      <c r="P1217" s="24">
        <v>250000000</v>
      </c>
      <c r="Q1217" s="11">
        <f>R1217/P1217*100</f>
        <v>0</v>
      </c>
      <c r="R1217" s="24">
        <v>0</v>
      </c>
      <c r="S1217" s="11"/>
      <c r="T1217" s="11"/>
      <c r="U1217" s="11"/>
      <c r="V1217" s="11"/>
      <c r="W1217" s="11"/>
      <c r="X1217" s="11"/>
      <c r="Y1217" s="11">
        <f t="shared" si="346"/>
        <v>0</v>
      </c>
      <c r="Z1217" s="24">
        <f t="shared" si="347"/>
        <v>0</v>
      </c>
      <c r="AA1217" s="29">
        <f t="shared" si="348"/>
        <v>10</v>
      </c>
      <c r="AB1217" s="24">
        <f t="shared" si="344"/>
        <v>96204500</v>
      </c>
      <c r="AC1217" s="29">
        <f t="shared" si="349"/>
        <v>20</v>
      </c>
      <c r="AD1217" s="29">
        <f t="shared" si="345"/>
        <v>20</v>
      </c>
      <c r="AE1217" s="102"/>
      <c r="AF1217" s="201"/>
      <c r="AG1217" s="201"/>
      <c r="AH1217" s="201"/>
      <c r="AI1217" s="201"/>
      <c r="AJ1217" s="201"/>
      <c r="AK1217" s="201"/>
      <c r="AL1217" s="201"/>
      <c r="AM1217" s="201"/>
      <c r="AN1217" s="201"/>
      <c r="AO1217" s="201"/>
      <c r="AP1217" s="201"/>
      <c r="AQ1217" s="201"/>
      <c r="AR1217" s="201"/>
      <c r="AS1217" s="201"/>
      <c r="AT1217" s="201"/>
      <c r="AU1217" s="201"/>
      <c r="AV1217" s="201"/>
      <c r="AW1217" s="201"/>
      <c r="AX1217" s="201"/>
      <c r="AY1217" s="201"/>
      <c r="AZ1217" s="201"/>
      <c r="BA1217" s="201"/>
      <c r="BB1217" s="201"/>
      <c r="BC1217" s="20"/>
      <c r="BD1217" s="20"/>
      <c r="BE1217" s="20"/>
      <c r="BF1217" s="20"/>
      <c r="BG1217" s="20"/>
      <c r="BH1217" s="20"/>
      <c r="BI1217" s="20"/>
      <c r="BJ1217" s="20"/>
      <c r="BK1217" s="20"/>
      <c r="BL1217" s="20"/>
      <c r="BM1217" s="20"/>
      <c r="BN1217" s="20"/>
      <c r="BO1217" s="20"/>
      <c r="BP1217" s="20"/>
      <c r="BQ1217" s="20"/>
      <c r="BR1217" s="752"/>
    </row>
    <row r="1218" spans="1:70" s="1315" customFormat="1" ht="33">
      <c r="A1218" s="2539">
        <v>5</v>
      </c>
      <c r="B1218" s="1799"/>
      <c r="C1218" s="990">
        <v>13</v>
      </c>
      <c r="D1218" s="990">
        <v>1</v>
      </c>
      <c r="E1218" s="990">
        <v>2</v>
      </c>
      <c r="F1218" s="990">
        <v>13</v>
      </c>
      <c r="G1218" s="822">
        <v>22</v>
      </c>
      <c r="H1218" s="822"/>
      <c r="I1218" s="1800" t="s">
        <v>2111</v>
      </c>
      <c r="J1218" s="383" t="s">
        <v>3070</v>
      </c>
      <c r="K1218" s="1793">
        <v>77</v>
      </c>
      <c r="L1218" s="159">
        <f>SUM(L1220:L1221)</f>
        <v>4235393445</v>
      </c>
      <c r="M1218" s="33">
        <v>24</v>
      </c>
      <c r="N1218" s="159">
        <f>SUM(N1220:N1221)</f>
        <v>983976249</v>
      </c>
      <c r="O1218" s="33">
        <v>3</v>
      </c>
      <c r="P1218" s="159">
        <f>SUM(P1220:P1221)</f>
        <v>778390600</v>
      </c>
      <c r="Q1218" s="159">
        <v>0</v>
      </c>
      <c r="R1218" s="159">
        <f>SUM(R1220:R1221)</f>
        <v>0</v>
      </c>
      <c r="S1218" s="33"/>
      <c r="T1218" s="159">
        <f>SUM(T1220:T1221)</f>
        <v>6095500</v>
      </c>
      <c r="U1218" s="159"/>
      <c r="V1218" s="159">
        <f>SUM(V1220:V1221)</f>
        <v>0</v>
      </c>
      <c r="W1218" s="159"/>
      <c r="X1218" s="159">
        <f>SUM(X1220:X1221)</f>
        <v>0</v>
      </c>
      <c r="Y1218" s="159">
        <f t="shared" si="346"/>
        <v>0</v>
      </c>
      <c r="Z1218" s="159">
        <f t="shared" si="347"/>
        <v>0</v>
      </c>
      <c r="AA1218" s="33">
        <f t="shared" si="348"/>
        <v>24</v>
      </c>
      <c r="AB1218" s="159">
        <f t="shared" si="344"/>
        <v>983976249</v>
      </c>
      <c r="AC1218" s="532">
        <f t="shared" si="349"/>
        <v>31.168831168831169</v>
      </c>
      <c r="AD1218" s="532">
        <f t="shared" si="345"/>
        <v>23.232227696853318</v>
      </c>
      <c r="AE1218" s="2925" t="s">
        <v>132</v>
      </c>
      <c r="AF1218" s="977"/>
      <c r="AG1218" s="201"/>
      <c r="AH1218" s="201"/>
      <c r="AI1218" s="201"/>
      <c r="AJ1218" s="201"/>
      <c r="AK1218" s="201"/>
      <c r="AL1218" s="201"/>
      <c r="AM1218" s="201"/>
      <c r="AN1218" s="201"/>
      <c r="AO1218" s="201"/>
      <c r="AP1218" s="201"/>
      <c r="AQ1218" s="201"/>
      <c r="AR1218" s="201"/>
      <c r="AS1218" s="201"/>
      <c r="AT1218" s="201"/>
      <c r="AU1218" s="201"/>
      <c r="AV1218" s="201"/>
      <c r="AW1218" s="201"/>
      <c r="AX1218" s="201"/>
      <c r="AY1218" s="201"/>
      <c r="AZ1218" s="201"/>
      <c r="BA1218" s="201"/>
      <c r="BB1218" s="201"/>
      <c r="BC1218" s="20"/>
      <c r="BD1218" s="20"/>
      <c r="BE1218" s="20"/>
      <c r="BF1218" s="20"/>
      <c r="BG1218" s="20"/>
      <c r="BH1218" s="20"/>
      <c r="BI1218" s="20"/>
      <c r="BJ1218" s="20"/>
      <c r="BK1218" s="20"/>
      <c r="BL1218" s="20"/>
      <c r="BM1218" s="20"/>
      <c r="BN1218" s="20"/>
      <c r="BO1218" s="20"/>
      <c r="BP1218" s="20"/>
      <c r="BQ1218" s="20"/>
      <c r="BR1218" s="1346"/>
    </row>
    <row r="1219" spans="1:70" s="1315" customFormat="1" ht="49.5">
      <c r="A1219" s="2540"/>
      <c r="B1219" s="1801"/>
      <c r="C1219" s="998"/>
      <c r="D1219" s="998"/>
      <c r="E1219" s="998"/>
      <c r="F1219" s="998"/>
      <c r="G1219" s="1136"/>
      <c r="H1219" s="1136"/>
      <c r="I1219" s="382"/>
      <c r="J1219" s="383" t="s">
        <v>3071</v>
      </c>
      <c r="K1219" s="1808">
        <v>50</v>
      </c>
      <c r="L1219" s="159"/>
      <c r="M1219" s="33">
        <v>35</v>
      </c>
      <c r="N1219" s="159"/>
      <c r="O1219" s="33">
        <v>5</v>
      </c>
      <c r="P1219" s="159"/>
      <c r="Q1219" s="159">
        <v>0</v>
      </c>
      <c r="R1219" s="159"/>
      <c r="S1219" s="33"/>
      <c r="T1219" s="33"/>
      <c r="U1219" s="33"/>
      <c r="V1219" s="33"/>
      <c r="W1219" s="33"/>
      <c r="X1219" s="33"/>
      <c r="Y1219" s="33"/>
      <c r="Z1219" s="159"/>
      <c r="AA1219" s="33"/>
      <c r="AB1219" s="159"/>
      <c r="AC1219" s="532"/>
      <c r="AD1219" s="532"/>
      <c r="AE1219" s="2926"/>
      <c r="AF1219" s="977"/>
      <c r="AG1219" s="201"/>
      <c r="AH1219" s="201"/>
      <c r="AI1219" s="201"/>
      <c r="AJ1219" s="201"/>
      <c r="AK1219" s="201"/>
      <c r="AL1219" s="201"/>
      <c r="AM1219" s="201"/>
      <c r="AN1219" s="201"/>
      <c r="AO1219" s="201"/>
      <c r="AP1219" s="201"/>
      <c r="AQ1219" s="201"/>
      <c r="AR1219" s="201"/>
      <c r="AS1219" s="201"/>
      <c r="AT1219" s="201"/>
      <c r="AU1219" s="201"/>
      <c r="AV1219" s="201"/>
      <c r="AW1219" s="201"/>
      <c r="AX1219" s="201"/>
      <c r="AY1219" s="201"/>
      <c r="AZ1219" s="201"/>
      <c r="BA1219" s="201"/>
      <c r="BB1219" s="201"/>
      <c r="BC1219" s="20"/>
      <c r="BD1219" s="20"/>
      <c r="BE1219" s="20"/>
      <c r="BF1219" s="20"/>
      <c r="BG1219" s="20"/>
      <c r="BH1219" s="20"/>
      <c r="BI1219" s="20"/>
      <c r="BJ1219" s="20"/>
      <c r="BK1219" s="20"/>
      <c r="BL1219" s="20"/>
      <c r="BM1219" s="20"/>
      <c r="BN1219" s="20"/>
      <c r="BO1219" s="20"/>
      <c r="BP1219" s="20"/>
      <c r="BQ1219" s="20"/>
      <c r="BR1219" s="1346"/>
    </row>
    <row r="1220" spans="1:70" s="22" customFormat="1" ht="82.5">
      <c r="A1220" s="551"/>
      <c r="B1220" s="323"/>
      <c r="C1220" s="1802">
        <v>13</v>
      </c>
      <c r="D1220" s="1803">
        <v>1</v>
      </c>
      <c r="E1220" s="1803">
        <v>2</v>
      </c>
      <c r="F1220" s="1803">
        <v>13</v>
      </c>
      <c r="G1220" s="1433">
        <v>20</v>
      </c>
      <c r="H1220" s="551">
        <v>19</v>
      </c>
      <c r="I1220" s="376" t="s">
        <v>1556</v>
      </c>
      <c r="J1220" s="362" t="s">
        <v>1557</v>
      </c>
      <c r="K1220" s="1806">
        <v>6</v>
      </c>
      <c r="L1220" s="377">
        <v>2085681345</v>
      </c>
      <c r="M1220" s="378">
        <v>3</v>
      </c>
      <c r="N1220" s="378">
        <f>'[7]Setelah Perubahan'!$AB$94</f>
        <v>672501689</v>
      </c>
      <c r="O1220" s="379">
        <v>1</v>
      </c>
      <c r="P1220" s="27">
        <v>398290600</v>
      </c>
      <c r="Q1220" s="32">
        <v>0</v>
      </c>
      <c r="R1220" s="27">
        <v>0</v>
      </c>
      <c r="S1220" s="19"/>
      <c r="T1220" s="27">
        <v>6095500</v>
      </c>
      <c r="U1220" s="19"/>
      <c r="V1220" s="19"/>
      <c r="W1220" s="19"/>
      <c r="X1220" s="19"/>
      <c r="Y1220" s="32">
        <f t="shared" si="346"/>
        <v>0</v>
      </c>
      <c r="Z1220" s="27">
        <f t="shared" si="347"/>
        <v>0</v>
      </c>
      <c r="AA1220" s="32">
        <f>M1220+Y1220</f>
        <v>3</v>
      </c>
      <c r="AB1220" s="27">
        <f>N1220+Z1220</f>
        <v>672501689</v>
      </c>
      <c r="AC1220" s="32">
        <f>AA1220/K1220*100</f>
        <v>50</v>
      </c>
      <c r="AD1220" s="32">
        <f>AB1220/L1220*100</f>
        <v>32.24374090568471</v>
      </c>
      <c r="AE1220" s="520"/>
      <c r="AF1220" s="750"/>
      <c r="AG1220" s="750"/>
      <c r="AH1220" s="750"/>
      <c r="AI1220" s="750"/>
      <c r="AJ1220" s="750"/>
      <c r="AK1220" s="750"/>
      <c r="AL1220" s="750"/>
      <c r="AM1220" s="750"/>
      <c r="AN1220" s="750"/>
      <c r="AO1220" s="750"/>
      <c r="AP1220" s="750"/>
      <c r="AQ1220" s="750"/>
      <c r="AR1220" s="750"/>
      <c r="AS1220" s="750"/>
      <c r="AT1220" s="750"/>
      <c r="AU1220" s="750"/>
      <c r="AV1220" s="750"/>
      <c r="AW1220" s="750"/>
      <c r="AX1220" s="750"/>
      <c r="AY1220" s="750"/>
      <c r="AZ1220" s="750"/>
      <c r="BA1220" s="750"/>
      <c r="BB1220" s="750"/>
      <c r="BC1220" s="752"/>
      <c r="BD1220" s="752"/>
      <c r="BE1220" s="752"/>
      <c r="BF1220" s="752"/>
      <c r="BG1220" s="752"/>
      <c r="BH1220" s="752"/>
      <c r="BI1220" s="752"/>
      <c r="BJ1220" s="752"/>
      <c r="BK1220" s="752"/>
      <c r="BL1220" s="752"/>
      <c r="BM1220" s="752"/>
      <c r="BN1220" s="752"/>
      <c r="BO1220" s="752"/>
      <c r="BP1220" s="752"/>
      <c r="BQ1220" s="752"/>
      <c r="BR1220" s="752"/>
    </row>
    <row r="1221" spans="1:70" s="22" customFormat="1" ht="66">
      <c r="A1221" s="779"/>
      <c r="B1221" s="199"/>
      <c r="C1221" s="1432">
        <v>13</v>
      </c>
      <c r="D1221" s="1432">
        <v>1</v>
      </c>
      <c r="E1221" s="1432">
        <v>2</v>
      </c>
      <c r="F1221" s="1432">
        <v>13</v>
      </c>
      <c r="G1221" s="550">
        <v>20</v>
      </c>
      <c r="H1221" s="550">
        <v>20</v>
      </c>
      <c r="I1221" s="351" t="s">
        <v>1558</v>
      </c>
      <c r="J1221" s="352" t="s">
        <v>1559</v>
      </c>
      <c r="K1221" s="1807">
        <v>5</v>
      </c>
      <c r="L1221" s="358">
        <v>2149712100</v>
      </c>
      <c r="M1221" s="1809">
        <v>2</v>
      </c>
      <c r="N1221" s="1127">
        <f>'[7]Setelah Perubahan'!$AB$95</f>
        <v>311474560</v>
      </c>
      <c r="O1221" s="350">
        <v>1</v>
      </c>
      <c r="P1221" s="28">
        <v>380100000</v>
      </c>
      <c r="Q1221" s="354">
        <v>0</v>
      </c>
      <c r="R1221" s="28">
        <v>0</v>
      </c>
      <c r="S1221" s="350"/>
      <c r="T1221" s="350"/>
      <c r="U1221" s="350"/>
      <c r="V1221" s="350"/>
      <c r="W1221" s="350"/>
      <c r="X1221" s="350"/>
      <c r="Y1221" s="354">
        <f t="shared" si="346"/>
        <v>0</v>
      </c>
      <c r="Z1221" s="28">
        <f t="shared" si="347"/>
        <v>0</v>
      </c>
      <c r="AA1221" s="354">
        <f>M1221+Y1221</f>
        <v>2</v>
      </c>
      <c r="AB1221" s="28">
        <f>N1221+Z1221</f>
        <v>311474560</v>
      </c>
      <c r="AC1221" s="354">
        <f>AA1221/K1221*100</f>
        <v>40</v>
      </c>
      <c r="AD1221" s="354">
        <f>AB1221/L1221*100</f>
        <v>14.489129032673725</v>
      </c>
      <c r="AE1221" s="2594"/>
      <c r="AF1221" s="750"/>
      <c r="AG1221" s="750"/>
      <c r="AH1221" s="750"/>
      <c r="AI1221" s="750"/>
      <c r="AJ1221" s="750"/>
      <c r="AK1221" s="750"/>
      <c r="AL1221" s="750"/>
      <c r="AM1221" s="750"/>
      <c r="AN1221" s="750"/>
      <c r="AO1221" s="750"/>
      <c r="AP1221" s="750"/>
      <c r="AQ1221" s="750"/>
      <c r="AR1221" s="750"/>
      <c r="AS1221" s="750"/>
      <c r="AT1221" s="750"/>
      <c r="AU1221" s="750"/>
      <c r="AV1221" s="750"/>
      <c r="AW1221" s="750"/>
      <c r="AX1221" s="750"/>
      <c r="AY1221" s="750"/>
      <c r="AZ1221" s="750"/>
      <c r="BA1221" s="750"/>
      <c r="BB1221" s="750"/>
      <c r="BC1221" s="752"/>
      <c r="BD1221" s="752"/>
      <c r="BE1221" s="752"/>
      <c r="BF1221" s="752"/>
      <c r="BG1221" s="752"/>
      <c r="BH1221" s="752"/>
      <c r="BI1221" s="752"/>
      <c r="BJ1221" s="752"/>
      <c r="BK1221" s="752"/>
      <c r="BL1221" s="752"/>
      <c r="BM1221" s="752"/>
      <c r="BN1221" s="752"/>
      <c r="BO1221" s="752"/>
      <c r="BP1221" s="752"/>
      <c r="BQ1221" s="752"/>
      <c r="BR1221" s="752"/>
    </row>
    <row r="1222" spans="1:70" s="1235" customFormat="1" ht="21.75" customHeight="1">
      <c r="A1222" s="2750" t="s">
        <v>63</v>
      </c>
      <c r="B1222" s="2751"/>
      <c r="C1222" s="2751"/>
      <c r="D1222" s="2751"/>
      <c r="E1222" s="2751"/>
      <c r="F1222" s="2751"/>
      <c r="G1222" s="2751"/>
      <c r="H1222" s="2751"/>
      <c r="I1222" s="2751"/>
      <c r="J1222" s="2751"/>
      <c r="K1222" s="2751"/>
      <c r="L1222" s="2751"/>
      <c r="M1222" s="2751"/>
      <c r="N1222" s="2751"/>
      <c r="O1222" s="2751"/>
      <c r="P1222" s="2751"/>
      <c r="Q1222" s="2751"/>
      <c r="R1222" s="2751"/>
      <c r="S1222" s="2751"/>
      <c r="T1222" s="2751"/>
      <c r="U1222" s="2751"/>
      <c r="V1222" s="2751"/>
      <c r="W1222" s="2751"/>
      <c r="X1222" s="2751"/>
      <c r="Y1222" s="2751"/>
      <c r="Z1222" s="2751"/>
      <c r="AA1222" s="2751"/>
      <c r="AB1222" s="2752"/>
      <c r="AC1222" s="1810">
        <f>(AC1194+AC1207+AC1210+AC1215+AC1218)/5</f>
        <v>68.773448773448763</v>
      </c>
      <c r="AD1222" s="1810">
        <f>(AD1194+AD1207+AD1210+AD1215+AD1218)/5</f>
        <v>42.716649781498539</v>
      </c>
      <c r="AE1222" s="131"/>
      <c r="AF1222" s="200"/>
      <c r="AG1222" s="200"/>
      <c r="AH1222" s="200"/>
      <c r="AI1222" s="200"/>
      <c r="AJ1222" s="200"/>
      <c r="AK1222" s="200"/>
      <c r="AL1222" s="200"/>
      <c r="AM1222" s="200"/>
      <c r="AN1222" s="200"/>
      <c r="AO1222" s="200"/>
      <c r="AP1222" s="200"/>
      <c r="AQ1222" s="200"/>
      <c r="AR1222" s="200"/>
      <c r="AS1222" s="200"/>
      <c r="AT1222" s="200"/>
      <c r="AU1222" s="200"/>
      <c r="AV1222" s="200"/>
      <c r="AW1222" s="200"/>
      <c r="AX1222" s="200"/>
      <c r="AY1222" s="200"/>
      <c r="AZ1222" s="200"/>
      <c r="BA1222" s="200"/>
      <c r="BB1222" s="200"/>
      <c r="BC1222" s="970"/>
      <c r="BD1222" s="970"/>
      <c r="BE1222" s="970"/>
      <c r="BF1222" s="970"/>
      <c r="BG1222" s="970"/>
      <c r="BH1222" s="970"/>
      <c r="BI1222" s="970"/>
      <c r="BJ1222" s="970"/>
      <c r="BK1222" s="970"/>
      <c r="BL1222" s="970"/>
      <c r="BM1222" s="970"/>
      <c r="BN1222" s="970"/>
      <c r="BO1222" s="970"/>
      <c r="BP1222" s="970"/>
      <c r="BQ1222" s="970"/>
      <c r="BR1222" s="862"/>
    </row>
    <row r="1223" spans="1:70" s="1235" customFormat="1" ht="24.75" customHeight="1">
      <c r="A1223" s="849"/>
      <c r="B1223" s="2750" t="s">
        <v>395</v>
      </c>
      <c r="C1223" s="2751"/>
      <c r="D1223" s="2751"/>
      <c r="E1223" s="2751"/>
      <c r="F1223" s="2751"/>
      <c r="G1223" s="2751"/>
      <c r="H1223" s="2751"/>
      <c r="I1223" s="2751"/>
      <c r="J1223" s="2751"/>
      <c r="K1223" s="2751"/>
      <c r="L1223" s="2751"/>
      <c r="M1223" s="2751"/>
      <c r="N1223" s="2751"/>
      <c r="O1223" s="2751"/>
      <c r="P1223" s="2751"/>
      <c r="Q1223" s="2751"/>
      <c r="R1223" s="2751"/>
      <c r="S1223" s="2751"/>
      <c r="T1223" s="2751"/>
      <c r="U1223" s="2751"/>
      <c r="V1223" s="2751"/>
      <c r="W1223" s="2751"/>
      <c r="X1223" s="2751"/>
      <c r="Y1223" s="2751"/>
      <c r="Z1223" s="2751"/>
      <c r="AA1223" s="2751"/>
      <c r="AB1223" s="2752"/>
      <c r="AC1223" s="604" t="str">
        <f>IF(AC1222&gt;=91,"ST",IF(AC1222&gt;=76,"T",IF(AC1222&gt;=66,"S",IF(AC1222&gt;=51,"R","SR"))))</f>
        <v>S</v>
      </c>
      <c r="AD1223" s="604" t="str">
        <f>IF(AD1222&gt;=91,"ST",IF(AD1222&gt;=76,"T",IF(AD1222&gt;=66,"S",IF(AD1222&gt;=51,"R","SR"))))</f>
        <v>SR</v>
      </c>
      <c r="AE1223" s="131"/>
      <c r="AF1223" s="861"/>
      <c r="AG1223" s="861"/>
      <c r="AH1223" s="861"/>
      <c r="AI1223" s="861"/>
      <c r="AJ1223" s="861"/>
      <c r="AK1223" s="861"/>
      <c r="AL1223" s="861"/>
      <c r="AM1223" s="861"/>
      <c r="AN1223" s="861"/>
      <c r="AO1223" s="861"/>
      <c r="AP1223" s="861"/>
      <c r="AQ1223" s="861"/>
      <c r="AR1223" s="861"/>
      <c r="AS1223" s="861"/>
      <c r="AT1223" s="861"/>
      <c r="AU1223" s="861"/>
      <c r="AV1223" s="861"/>
      <c r="AW1223" s="861"/>
      <c r="AX1223" s="861"/>
      <c r="AY1223" s="861"/>
      <c r="AZ1223" s="861"/>
      <c r="BA1223" s="861"/>
      <c r="BB1223" s="861"/>
      <c r="BC1223" s="862"/>
      <c r="BD1223" s="862"/>
      <c r="BE1223" s="862"/>
      <c r="BF1223" s="862"/>
      <c r="BG1223" s="862"/>
      <c r="BH1223" s="862"/>
      <c r="BI1223" s="862"/>
      <c r="BJ1223" s="862"/>
      <c r="BK1223" s="862"/>
      <c r="BL1223" s="862"/>
      <c r="BM1223" s="862"/>
      <c r="BN1223" s="862"/>
      <c r="BO1223" s="862"/>
      <c r="BP1223" s="862"/>
      <c r="BQ1223" s="862"/>
      <c r="BR1223" s="862"/>
    </row>
    <row r="1224" spans="1:70" s="1235" customFormat="1" ht="27.75" customHeight="1">
      <c r="A1224" s="863" t="s">
        <v>137</v>
      </c>
      <c r="B1224" s="1618"/>
      <c r="C1224" s="863"/>
      <c r="D1224" s="863"/>
      <c r="E1224" s="863"/>
      <c r="F1224" s="863"/>
      <c r="G1224" s="863"/>
      <c r="H1224" s="863"/>
      <c r="I1224" s="2746" t="s">
        <v>136</v>
      </c>
      <c r="J1224" s="2747"/>
      <c r="K1224" s="1665"/>
      <c r="L1224" s="1672">
        <f>SUM(L1225)</f>
        <v>319558000</v>
      </c>
      <c r="M1224" s="1665"/>
      <c r="N1224" s="1286">
        <f>SUM(N1225)</f>
        <v>114778000</v>
      </c>
      <c r="O1224" s="1666"/>
      <c r="P1224" s="1517">
        <f>SUM(P1225)</f>
        <v>287729500</v>
      </c>
      <c r="Q1224" s="1667"/>
      <c r="R1224" s="1320">
        <f>SUM(R1225)</f>
        <v>9422700</v>
      </c>
      <c r="S1224" s="1618"/>
      <c r="T1224" s="1320">
        <f>SUM(T1225)</f>
        <v>15626900</v>
      </c>
      <c r="U1224" s="1618"/>
      <c r="V1224" s="1680"/>
      <c r="W1224" s="1618"/>
      <c r="X1224" s="1669"/>
      <c r="Y1224" s="1667"/>
      <c r="Z1224" s="1320">
        <f>R1224+T1224</f>
        <v>25049600</v>
      </c>
      <c r="AA1224" s="1665"/>
      <c r="AB1224" s="1320">
        <f>SUM(AB1225)</f>
        <v>139827600</v>
      </c>
      <c r="AC1224" s="1665"/>
      <c r="AD1224" s="1665"/>
      <c r="AE1224" s="1631"/>
      <c r="AF1224" s="861"/>
      <c r="AG1224" s="861"/>
      <c r="AH1224" s="861"/>
      <c r="AI1224" s="861"/>
      <c r="AJ1224" s="861"/>
      <c r="AK1224" s="861"/>
      <c r="AL1224" s="861"/>
      <c r="AM1224" s="861"/>
      <c r="AN1224" s="861"/>
      <c r="AO1224" s="861"/>
      <c r="AP1224" s="861"/>
      <c r="AQ1224" s="861"/>
      <c r="AR1224" s="861"/>
      <c r="AS1224" s="861"/>
      <c r="AT1224" s="861"/>
      <c r="AU1224" s="861"/>
      <c r="AV1224" s="861"/>
      <c r="AW1224" s="861"/>
      <c r="AX1224" s="861"/>
      <c r="AY1224" s="861"/>
      <c r="AZ1224" s="861"/>
      <c r="BA1224" s="861"/>
      <c r="BB1224" s="861"/>
      <c r="BC1224" s="862"/>
      <c r="BD1224" s="862"/>
      <c r="BE1224" s="862"/>
      <c r="BF1224" s="862"/>
      <c r="BG1224" s="862"/>
      <c r="BH1224" s="862"/>
      <c r="BI1224" s="862"/>
      <c r="BJ1224" s="862"/>
      <c r="BK1224" s="862"/>
      <c r="BL1224" s="862"/>
      <c r="BM1224" s="862"/>
      <c r="BN1224" s="862"/>
      <c r="BO1224" s="862"/>
      <c r="BP1224" s="862"/>
      <c r="BQ1224" s="862"/>
      <c r="BR1224" s="862"/>
    </row>
    <row r="1225" spans="1:70" ht="49.5">
      <c r="A1225" s="2558">
        <v>1</v>
      </c>
      <c r="B1225" s="33"/>
      <c r="C1225" s="303">
        <v>1</v>
      </c>
      <c r="D1225" s="303" t="s">
        <v>28</v>
      </c>
      <c r="E1225" s="303">
        <v>10</v>
      </c>
      <c r="F1225" s="303" t="s">
        <v>25</v>
      </c>
      <c r="G1225" s="303">
        <v>19</v>
      </c>
      <c r="H1225" s="303"/>
      <c r="I1225" s="33" t="s">
        <v>2087</v>
      </c>
      <c r="J1225" s="33" t="s">
        <v>3072</v>
      </c>
      <c r="K1225" s="545" t="s">
        <v>3074</v>
      </c>
      <c r="L1225" s="230">
        <f>SUM(L1226:L1228)</f>
        <v>319558000</v>
      </c>
      <c r="M1225" s="545" t="s">
        <v>3074</v>
      </c>
      <c r="N1225" s="230">
        <f>SUM(N1226:N1228)</f>
        <v>114778000</v>
      </c>
      <c r="O1225" s="545" t="s">
        <v>3074</v>
      </c>
      <c r="P1225" s="230">
        <f>SUM(P1227:P1228)</f>
        <v>287729500</v>
      </c>
      <c r="Q1225" s="538">
        <v>0</v>
      </c>
      <c r="R1225" s="159">
        <f>SUM(R1226:R1228)</f>
        <v>9422700</v>
      </c>
      <c r="S1225" s="33">
        <v>0</v>
      </c>
      <c r="T1225" s="144">
        <f>SUM(T1227)</f>
        <v>15626900</v>
      </c>
      <c r="U1225" s="33"/>
      <c r="V1225" s="223">
        <f>SUM(V1226:V1228)</f>
        <v>0</v>
      </c>
      <c r="W1225" s="33"/>
      <c r="X1225" s="33"/>
      <c r="Y1225" s="538">
        <f t="shared" ref="Y1225:Z1225" si="351">Q1225+S1225+U1225+W1225</f>
        <v>0</v>
      </c>
      <c r="Z1225" s="223">
        <f t="shared" si="351"/>
        <v>25049600</v>
      </c>
      <c r="AA1225" s="2699" t="s">
        <v>4129</v>
      </c>
      <c r="AB1225" s="223">
        <f>N1225+Z1225</f>
        <v>139827600</v>
      </c>
      <c r="AC1225" s="148">
        <v>80</v>
      </c>
      <c r="AD1225" s="148">
        <f>AB1225/L1225*100</f>
        <v>43.75656375368478</v>
      </c>
      <c r="AE1225" s="2558" t="s">
        <v>124</v>
      </c>
    </row>
    <row r="1226" spans="1:70" ht="49.5">
      <c r="A1226" s="102"/>
      <c r="B1226" s="8"/>
      <c r="C1226" s="628">
        <v>1</v>
      </c>
      <c r="D1226" s="628" t="s">
        <v>28</v>
      </c>
      <c r="E1226" s="628">
        <v>10</v>
      </c>
      <c r="F1226" s="628" t="s">
        <v>25</v>
      </c>
      <c r="G1226" s="628">
        <v>19</v>
      </c>
      <c r="H1226" s="628">
        <v>21</v>
      </c>
      <c r="I1226" s="8" t="s">
        <v>2108</v>
      </c>
      <c r="J1226" s="8" t="s">
        <v>3073</v>
      </c>
      <c r="K1226" s="107">
        <v>1</v>
      </c>
      <c r="L1226" s="238">
        <v>86215000</v>
      </c>
      <c r="M1226" s="107">
        <v>0</v>
      </c>
      <c r="N1226" s="238">
        <v>0</v>
      </c>
      <c r="O1226" s="107">
        <v>0</v>
      </c>
      <c r="P1226" s="238">
        <v>0</v>
      </c>
      <c r="Q1226" s="107">
        <v>0</v>
      </c>
      <c r="R1226" s="25">
        <v>0</v>
      </c>
      <c r="S1226" s="8">
        <v>0</v>
      </c>
      <c r="T1226" s="25">
        <v>0</v>
      </c>
      <c r="U1226" s="8"/>
      <c r="V1226" s="514">
        <v>0</v>
      </c>
      <c r="W1226" s="8"/>
      <c r="X1226" s="8"/>
      <c r="Y1226" s="107">
        <f t="shared" ref="Y1226:Y1228" si="352">Q1226</f>
        <v>0</v>
      </c>
      <c r="Z1226" s="514">
        <f t="shared" ref="Z1226:Z1228" si="353">R1226</f>
        <v>0</v>
      </c>
      <c r="AA1226" s="107">
        <f t="shared" ref="AA1226:AA1228" si="354">M1226+Y1226</f>
        <v>0</v>
      </c>
      <c r="AB1226" s="514">
        <f t="shared" ref="AB1226:AB1228" si="355">N1226+Z1226</f>
        <v>0</v>
      </c>
      <c r="AC1226" s="499">
        <f t="shared" ref="AC1226:AC1228" si="356">AA1226/K1226*100</f>
        <v>0</v>
      </c>
      <c r="AD1226" s="499">
        <f t="shared" ref="AD1226:AD1228" si="357">AB1226/L1226*100</f>
        <v>0</v>
      </c>
      <c r="AE1226" s="102"/>
      <c r="AF1226" s="750"/>
      <c r="AG1226" s="750"/>
      <c r="AH1226" s="750"/>
      <c r="AI1226" s="750"/>
      <c r="AJ1226" s="750"/>
      <c r="AK1226" s="750"/>
      <c r="AL1226" s="750"/>
      <c r="AM1226" s="750"/>
      <c r="AN1226" s="750"/>
      <c r="AO1226" s="750"/>
      <c r="AP1226" s="750"/>
      <c r="AQ1226" s="750"/>
      <c r="AR1226" s="750"/>
      <c r="AS1226" s="750"/>
      <c r="AT1226" s="750"/>
      <c r="AU1226" s="750"/>
      <c r="AV1226" s="750"/>
      <c r="AW1226" s="750"/>
      <c r="AX1226" s="750"/>
      <c r="AY1226" s="750"/>
      <c r="AZ1226" s="750"/>
      <c r="BA1226" s="750"/>
      <c r="BB1226" s="750"/>
      <c r="BC1226" s="750"/>
      <c r="BD1226" s="750"/>
      <c r="BE1226" s="750"/>
      <c r="BF1226" s="750"/>
      <c r="BG1226" s="750"/>
      <c r="BH1226" s="750"/>
      <c r="BI1226" s="750"/>
      <c r="BJ1226" s="750"/>
      <c r="BK1226" s="750"/>
      <c r="BL1226" s="750"/>
      <c r="BM1226" s="750"/>
      <c r="BN1226" s="750"/>
      <c r="BO1226" s="750"/>
      <c r="BP1226" s="750"/>
      <c r="BQ1226" s="750"/>
    </row>
    <row r="1227" spans="1:70" ht="49.5">
      <c r="A1227" s="102"/>
      <c r="B1227" s="8"/>
      <c r="C1227" s="628">
        <v>1</v>
      </c>
      <c r="D1227" s="628" t="s">
        <v>28</v>
      </c>
      <c r="E1227" s="628">
        <v>10</v>
      </c>
      <c r="F1227" s="628" t="s">
        <v>25</v>
      </c>
      <c r="G1227" s="628">
        <v>19</v>
      </c>
      <c r="H1227" s="628">
        <v>21</v>
      </c>
      <c r="I1227" s="8" t="s">
        <v>2096</v>
      </c>
      <c r="J1227" s="8" t="s">
        <v>2109</v>
      </c>
      <c r="K1227" s="408">
        <f>250*4</f>
        <v>1000</v>
      </c>
      <c r="L1227" s="238">
        <v>72969000</v>
      </c>
      <c r="M1227" s="107">
        <v>250</v>
      </c>
      <c r="N1227" s="238">
        <v>57389000</v>
      </c>
      <c r="O1227" s="107">
        <v>250</v>
      </c>
      <c r="P1227" s="238">
        <v>214912500</v>
      </c>
      <c r="Q1227" s="107">
        <v>0</v>
      </c>
      <c r="R1227" s="632">
        <v>2475000</v>
      </c>
      <c r="S1227" s="8">
        <v>0</v>
      </c>
      <c r="T1227" s="25">
        <v>15626900</v>
      </c>
      <c r="U1227" s="8"/>
      <c r="V1227" s="514">
        <v>0</v>
      </c>
      <c r="W1227" s="8"/>
      <c r="X1227" s="8"/>
      <c r="Y1227" s="107">
        <f t="shared" si="352"/>
        <v>0</v>
      </c>
      <c r="Z1227" s="514">
        <f t="shared" si="353"/>
        <v>2475000</v>
      </c>
      <c r="AA1227" s="107">
        <f t="shared" si="354"/>
        <v>250</v>
      </c>
      <c r="AB1227" s="514">
        <f t="shared" si="355"/>
        <v>59864000</v>
      </c>
      <c r="AC1227" s="499">
        <f t="shared" si="356"/>
        <v>25</v>
      </c>
      <c r="AD1227" s="499">
        <f t="shared" si="357"/>
        <v>82.040318491414169</v>
      </c>
      <c r="AE1227" s="102"/>
      <c r="AF1227" s="750"/>
      <c r="AG1227" s="750"/>
      <c r="AH1227" s="750"/>
      <c r="AI1227" s="750"/>
      <c r="AJ1227" s="750"/>
      <c r="AK1227" s="750"/>
      <c r="AL1227" s="750"/>
      <c r="AM1227" s="750"/>
      <c r="AN1227" s="750"/>
      <c r="AO1227" s="750"/>
      <c r="AP1227" s="750"/>
      <c r="AQ1227" s="750"/>
      <c r="AR1227" s="750"/>
      <c r="AS1227" s="750"/>
      <c r="AT1227" s="750"/>
      <c r="AU1227" s="750"/>
      <c r="AV1227" s="750"/>
      <c r="AW1227" s="750"/>
      <c r="AX1227" s="750"/>
      <c r="AY1227" s="750"/>
      <c r="AZ1227" s="750"/>
      <c r="BA1227" s="750"/>
      <c r="BB1227" s="750"/>
      <c r="BC1227" s="750"/>
      <c r="BD1227" s="750"/>
      <c r="BE1227" s="750"/>
      <c r="BF1227" s="750"/>
      <c r="BG1227" s="750"/>
      <c r="BH1227" s="750"/>
      <c r="BI1227" s="750"/>
      <c r="BJ1227" s="750"/>
      <c r="BK1227" s="750"/>
      <c r="BL1227" s="750"/>
      <c r="BM1227" s="750"/>
      <c r="BN1227" s="750"/>
      <c r="BO1227" s="750"/>
      <c r="BP1227" s="750"/>
      <c r="BQ1227" s="750"/>
    </row>
    <row r="1228" spans="1:70" ht="49.5">
      <c r="A1228" s="102"/>
      <c r="B1228" s="8"/>
      <c r="C1228" s="628">
        <v>1</v>
      </c>
      <c r="D1228" s="628" t="s">
        <v>28</v>
      </c>
      <c r="E1228" s="628">
        <v>10</v>
      </c>
      <c r="F1228" s="628" t="s">
        <v>25</v>
      </c>
      <c r="G1228" s="628">
        <v>19</v>
      </c>
      <c r="H1228" s="628">
        <v>21</v>
      </c>
      <c r="I1228" s="8" t="s">
        <v>2110</v>
      </c>
      <c r="J1228" s="8" t="s">
        <v>3075</v>
      </c>
      <c r="K1228" s="408">
        <v>48</v>
      </c>
      <c r="L1228" s="238">
        <f>53458000*3</f>
        <v>160374000</v>
      </c>
      <c r="M1228" s="107">
        <v>12</v>
      </c>
      <c r="N1228" s="238">
        <v>57389000</v>
      </c>
      <c r="O1228" s="107">
        <v>12</v>
      </c>
      <c r="P1228" s="238">
        <v>72817000</v>
      </c>
      <c r="Q1228" s="107">
        <v>3</v>
      </c>
      <c r="R1228" s="632">
        <v>6947700</v>
      </c>
      <c r="S1228" s="8">
        <v>0</v>
      </c>
      <c r="T1228" s="25">
        <v>0</v>
      </c>
      <c r="U1228" s="8"/>
      <c r="V1228" s="514">
        <v>0</v>
      </c>
      <c r="W1228" s="8"/>
      <c r="X1228" s="8"/>
      <c r="Y1228" s="107">
        <f t="shared" si="352"/>
        <v>3</v>
      </c>
      <c r="Z1228" s="514">
        <f t="shared" si="353"/>
        <v>6947700</v>
      </c>
      <c r="AA1228" s="107">
        <f t="shared" si="354"/>
        <v>15</v>
      </c>
      <c r="AB1228" s="514">
        <f t="shared" si="355"/>
        <v>64336700</v>
      </c>
      <c r="AC1228" s="499">
        <f t="shared" si="356"/>
        <v>31.25</v>
      </c>
      <c r="AD1228" s="499">
        <f t="shared" si="357"/>
        <v>40.116664796039259</v>
      </c>
      <c r="AE1228" s="102"/>
    </row>
    <row r="1229" spans="1:70" ht="21" customHeight="1">
      <c r="A1229" s="2717" t="s">
        <v>2107</v>
      </c>
      <c r="B1229" s="2717"/>
      <c r="C1229" s="2780"/>
      <c r="D1229" s="2780"/>
      <c r="E1229" s="2780"/>
      <c r="F1229" s="2780"/>
      <c r="G1229" s="2780"/>
      <c r="H1229" s="2780"/>
      <c r="I1229" s="2780"/>
      <c r="J1229" s="2780"/>
      <c r="K1229" s="2780"/>
      <c r="L1229" s="2780"/>
      <c r="M1229" s="2780"/>
      <c r="N1229" s="2780"/>
      <c r="O1229" s="2780"/>
      <c r="P1229" s="2780"/>
      <c r="Q1229" s="2780"/>
      <c r="R1229" s="2780"/>
      <c r="S1229" s="2780"/>
      <c r="T1229" s="2780"/>
      <c r="U1229" s="2780"/>
      <c r="V1229" s="2780"/>
      <c r="W1229" s="2780"/>
      <c r="X1229" s="2780"/>
      <c r="Y1229" s="2780"/>
      <c r="Z1229" s="2780"/>
      <c r="AA1229" s="2780"/>
      <c r="AB1229" s="2780"/>
      <c r="AC1229" s="785">
        <f>AC1225</f>
        <v>80</v>
      </c>
      <c r="AD1229" s="785">
        <f>AD1225</f>
        <v>43.75656375368478</v>
      </c>
      <c r="AE1229" s="102"/>
      <c r="AF1229" s="201"/>
      <c r="AG1229" s="201"/>
      <c r="AH1229" s="201"/>
      <c r="AI1229" s="201"/>
      <c r="AJ1229" s="201"/>
      <c r="AK1229" s="201"/>
      <c r="AL1229" s="201"/>
      <c r="AM1229" s="201"/>
      <c r="AN1229" s="201"/>
      <c r="AO1229" s="201"/>
      <c r="AP1229" s="201"/>
      <c r="AQ1229" s="201"/>
      <c r="AR1229" s="201"/>
      <c r="AS1229" s="201"/>
      <c r="AT1229" s="201"/>
      <c r="AU1229" s="201"/>
      <c r="AV1229" s="201"/>
      <c r="AW1229" s="201"/>
      <c r="AX1229" s="201"/>
      <c r="AY1229" s="201"/>
      <c r="AZ1229" s="201"/>
      <c r="BA1229" s="201"/>
      <c r="BB1229" s="201"/>
      <c r="BC1229" s="20"/>
      <c r="BD1229" s="20"/>
      <c r="BE1229" s="20"/>
      <c r="BF1229" s="20"/>
      <c r="BG1229" s="20"/>
      <c r="BH1229" s="20"/>
      <c r="BI1229" s="20"/>
      <c r="BJ1229" s="20"/>
      <c r="BK1229" s="20"/>
      <c r="BL1229" s="20"/>
      <c r="BM1229" s="20"/>
      <c r="BN1229" s="20"/>
      <c r="BO1229" s="20"/>
      <c r="BP1229" s="20"/>
      <c r="BQ1229" s="20"/>
    </row>
    <row r="1230" spans="1:70" ht="21.75" customHeight="1">
      <c r="A1230" s="2717" t="s">
        <v>64</v>
      </c>
      <c r="B1230" s="2717"/>
      <c r="C1230" s="2780"/>
      <c r="D1230" s="2780"/>
      <c r="E1230" s="2780"/>
      <c r="F1230" s="2780"/>
      <c r="G1230" s="2780"/>
      <c r="H1230" s="2780"/>
      <c r="I1230" s="2780"/>
      <c r="J1230" s="2780"/>
      <c r="K1230" s="2780"/>
      <c r="L1230" s="2780"/>
      <c r="M1230" s="2780"/>
      <c r="N1230" s="2780"/>
      <c r="O1230" s="2780"/>
      <c r="P1230" s="2780"/>
      <c r="Q1230" s="2780"/>
      <c r="R1230" s="2780"/>
      <c r="S1230" s="2780"/>
      <c r="T1230" s="2780"/>
      <c r="U1230" s="2780"/>
      <c r="V1230" s="2780"/>
      <c r="W1230" s="2780"/>
      <c r="X1230" s="2780"/>
      <c r="Y1230" s="2780"/>
      <c r="Z1230" s="2780"/>
      <c r="AA1230" s="2780"/>
      <c r="AB1230" s="2780"/>
      <c r="AC1230" s="524" t="str">
        <f>IF(AC1229&gt;=91,"ST",IF(AC1229&gt;=76,"T",IF(AC1229&gt;=66,"S",IF(AC1229&gt;=51,"R","SR"))))</f>
        <v>T</v>
      </c>
      <c r="AD1230" s="524" t="str">
        <f>IF(AD1229&gt;=91,"ST",IF(AD1229&gt;=76,"T",IF(AD1229&gt;=66,"S",IF(AD1229&gt;=51,"R","SR"))))</f>
        <v>SR</v>
      </c>
      <c r="AE1230" s="102"/>
      <c r="AF1230" s="750"/>
      <c r="AG1230" s="750"/>
      <c r="AH1230" s="750"/>
      <c r="AI1230" s="750"/>
      <c r="AJ1230" s="750"/>
      <c r="AK1230" s="750"/>
      <c r="AL1230" s="750"/>
      <c r="AM1230" s="750"/>
      <c r="AN1230" s="750"/>
      <c r="AO1230" s="750"/>
      <c r="AP1230" s="750"/>
      <c r="AQ1230" s="750"/>
      <c r="AR1230" s="750"/>
      <c r="AS1230" s="750"/>
      <c r="AT1230" s="750"/>
      <c r="AU1230" s="750"/>
      <c r="AV1230" s="750"/>
      <c r="AW1230" s="750"/>
      <c r="AX1230" s="750"/>
      <c r="AY1230" s="750"/>
      <c r="AZ1230" s="750"/>
      <c r="BA1230" s="750"/>
      <c r="BB1230" s="750"/>
      <c r="BC1230" s="752"/>
      <c r="BD1230" s="752"/>
      <c r="BE1230" s="752"/>
      <c r="BF1230" s="752"/>
      <c r="BG1230" s="752"/>
      <c r="BH1230" s="752"/>
      <c r="BI1230" s="752"/>
      <c r="BJ1230" s="752"/>
      <c r="BK1230" s="752"/>
      <c r="BL1230" s="752"/>
      <c r="BM1230" s="752"/>
      <c r="BN1230" s="752"/>
      <c r="BO1230" s="752"/>
      <c r="BP1230" s="752"/>
      <c r="BQ1230" s="752"/>
    </row>
    <row r="1231" spans="1:70" ht="24.75" customHeight="1">
      <c r="A1231" s="863" t="s">
        <v>147</v>
      </c>
      <c r="B1231" s="1618"/>
      <c r="C1231" s="863"/>
      <c r="D1231" s="863"/>
      <c r="E1231" s="863"/>
      <c r="F1231" s="863"/>
      <c r="G1231" s="863"/>
      <c r="H1231" s="863"/>
      <c r="I1231" s="2746" t="s">
        <v>138</v>
      </c>
      <c r="J1231" s="2747"/>
      <c r="K1231" s="1665"/>
      <c r="L1231" s="1672">
        <f>L1232+L1243</f>
        <v>8139588000</v>
      </c>
      <c r="M1231" s="1665"/>
      <c r="N1231" s="1286">
        <f>SUM(N1232+N1243)</f>
        <v>5846812933</v>
      </c>
      <c r="O1231" s="1665"/>
      <c r="P1231" s="1286">
        <f>SUM(P1232+P1243)</f>
        <v>2086507915</v>
      </c>
      <c r="Q1231" s="1665"/>
      <c r="R1231" s="1320">
        <f>R1232+R1243</f>
        <v>697788326</v>
      </c>
      <c r="S1231" s="1618"/>
      <c r="T1231" s="1320">
        <f>T1232+T1243</f>
        <v>879335276</v>
      </c>
      <c r="U1231" s="1618"/>
      <c r="V1231" s="1618"/>
      <c r="W1231" s="1618"/>
      <c r="X1231" s="1618"/>
      <c r="Y1231" s="1665"/>
      <c r="Z1231" s="1320">
        <f>Z1232+Z1243</f>
        <v>1577123602</v>
      </c>
      <c r="AA1231" s="1665"/>
      <c r="AB1231" s="1320">
        <f>AB1232+AB1243</f>
        <v>8350428635</v>
      </c>
      <c r="AC1231" s="1665"/>
      <c r="AD1231" s="1665"/>
      <c r="AE1231" s="1631"/>
      <c r="AF1231" s="1128"/>
      <c r="AG1231" s="200"/>
      <c r="AH1231" s="200"/>
      <c r="AI1231" s="200"/>
      <c r="AJ1231" s="200"/>
      <c r="AK1231" s="200"/>
      <c r="AL1231" s="200"/>
      <c r="AM1231" s="200"/>
      <c r="AN1231" s="200"/>
      <c r="AO1231" s="200"/>
      <c r="AP1231" s="200"/>
      <c r="AQ1231" s="200"/>
      <c r="AR1231" s="200"/>
      <c r="AS1231" s="200"/>
      <c r="AT1231" s="200"/>
      <c r="AU1231" s="200"/>
      <c r="AV1231" s="200"/>
      <c r="AW1231" s="200"/>
      <c r="AX1231" s="200"/>
      <c r="AY1231" s="200"/>
      <c r="AZ1231" s="200"/>
      <c r="BA1231" s="200"/>
      <c r="BB1231" s="200"/>
      <c r="BC1231" s="200"/>
      <c r="BD1231" s="200"/>
      <c r="BE1231" s="200"/>
      <c r="BF1231" s="200"/>
      <c r="BG1231" s="200"/>
      <c r="BH1231" s="200"/>
      <c r="BI1231" s="200"/>
      <c r="BJ1231" s="200"/>
      <c r="BK1231" s="200"/>
      <c r="BL1231" s="200"/>
      <c r="BM1231" s="200"/>
      <c r="BN1231" s="200"/>
      <c r="BO1231" s="200"/>
      <c r="BP1231" s="200"/>
      <c r="BQ1231" s="200"/>
    </row>
    <row r="1232" spans="1:70" ht="99">
      <c r="A1232" s="2554">
        <v>1</v>
      </c>
      <c r="B1232" s="44"/>
      <c r="C1232" s="753" t="s">
        <v>25</v>
      </c>
      <c r="D1232" s="753" t="s">
        <v>25</v>
      </c>
      <c r="E1232" s="753" t="s">
        <v>25</v>
      </c>
      <c r="F1232" s="753" t="s">
        <v>25</v>
      </c>
      <c r="G1232" s="753" t="s">
        <v>45</v>
      </c>
      <c r="H1232" s="753"/>
      <c r="I1232" s="562" t="s">
        <v>139</v>
      </c>
      <c r="J1232" s="44" t="s">
        <v>3076</v>
      </c>
      <c r="K1232" s="578">
        <v>71</v>
      </c>
      <c r="L1232" s="578">
        <f>SUM(L1233:L1238)</f>
        <v>7960866000</v>
      </c>
      <c r="M1232" s="775">
        <v>65</v>
      </c>
      <c r="N1232" s="578">
        <f>SUM(N1233:N1238)</f>
        <v>5771709489</v>
      </c>
      <c r="O1232" s="775">
        <v>4</v>
      </c>
      <c r="P1232" s="578">
        <f>SUM(P1233:P1242)</f>
        <v>2021145600</v>
      </c>
      <c r="Q1232" s="578">
        <v>0</v>
      </c>
      <c r="R1232" s="578">
        <f>SUM(R1233:R1242)</f>
        <v>690727250</v>
      </c>
      <c r="S1232" s="286"/>
      <c r="T1232" s="282">
        <f>SUM(T1233:T1242)</f>
        <v>859791350</v>
      </c>
      <c r="U1232" s="146"/>
      <c r="V1232" s="146"/>
      <c r="W1232" s="146"/>
      <c r="X1232" s="146"/>
      <c r="Y1232" s="868">
        <f t="shared" ref="Y1232:Y1245" si="358">Q1232+S1232+U1232+W1232</f>
        <v>0</v>
      </c>
      <c r="Z1232" s="833">
        <f>SUM(Z1233:Z1242)</f>
        <v>1550518600</v>
      </c>
      <c r="AA1232" s="868">
        <f t="shared" ref="AA1232:AA1245" si="359">M1232+Y1232</f>
        <v>65</v>
      </c>
      <c r="AB1232" s="833">
        <f>SUM(AB1233:AB1242)</f>
        <v>8248720189</v>
      </c>
      <c r="AC1232" s="868">
        <f t="shared" ref="AC1232:AC1245" si="360">AA1232/K1232*100</f>
        <v>91.549295774647888</v>
      </c>
      <c r="AD1232" s="868">
        <f t="shared" ref="AD1232:AD1245" si="361">AB1232/L1232*100</f>
        <v>103.61586527144158</v>
      </c>
      <c r="AE1232" s="482" t="s">
        <v>27</v>
      </c>
      <c r="AF1232" s="971"/>
      <c r="AG1232" s="750"/>
      <c r="AH1232" s="750"/>
      <c r="AI1232" s="750"/>
      <c r="AJ1232" s="750"/>
      <c r="AK1232" s="750"/>
      <c r="AL1232" s="750"/>
      <c r="AM1232" s="750"/>
      <c r="AN1232" s="750"/>
      <c r="AO1232" s="750"/>
      <c r="AP1232" s="750"/>
      <c r="AQ1232" s="750"/>
      <c r="AR1232" s="750"/>
      <c r="AS1232" s="750"/>
      <c r="AT1232" s="750"/>
      <c r="AU1232" s="750"/>
      <c r="AV1232" s="750"/>
      <c r="AW1232" s="750"/>
      <c r="AX1232" s="750"/>
      <c r="AY1232" s="750"/>
      <c r="AZ1232" s="750"/>
      <c r="BA1232" s="750"/>
      <c r="BB1232" s="750"/>
      <c r="BC1232" s="750"/>
      <c r="BD1232" s="750"/>
      <c r="BE1232" s="750"/>
      <c r="BF1232" s="750"/>
      <c r="BG1232" s="750"/>
      <c r="BH1232" s="750"/>
      <c r="BI1232" s="750"/>
      <c r="BJ1232" s="750"/>
      <c r="BK1232" s="750"/>
      <c r="BL1232" s="750"/>
      <c r="BM1232" s="750"/>
      <c r="BN1232" s="750"/>
      <c r="BO1232" s="750"/>
      <c r="BP1232" s="750"/>
      <c r="BQ1232" s="750"/>
    </row>
    <row r="1233" spans="1:76" ht="33">
      <c r="A1233" s="1129"/>
      <c r="B1233" s="34"/>
      <c r="C1233" s="577" t="s">
        <v>25</v>
      </c>
      <c r="D1233" s="577" t="s">
        <v>25</v>
      </c>
      <c r="E1233" s="577" t="s">
        <v>25</v>
      </c>
      <c r="F1233" s="577" t="s">
        <v>25</v>
      </c>
      <c r="G1233" s="577" t="s">
        <v>45</v>
      </c>
      <c r="H1233" s="577">
        <v>15</v>
      </c>
      <c r="I1233" s="35" t="s">
        <v>142</v>
      </c>
      <c r="J1233" s="35" t="s">
        <v>3077</v>
      </c>
      <c r="K1233" s="115">
        <v>12</v>
      </c>
      <c r="L1233" s="558">
        <v>1254144000</v>
      </c>
      <c r="M1233" s="115">
        <v>6</v>
      </c>
      <c r="N1233" s="558">
        <v>1302018720</v>
      </c>
      <c r="O1233" s="574">
        <v>2</v>
      </c>
      <c r="P1233" s="575">
        <v>364700000</v>
      </c>
      <c r="Q1233" s="599">
        <v>1</v>
      </c>
      <c r="R1233" s="36">
        <v>229196000</v>
      </c>
      <c r="S1233" s="451">
        <v>0</v>
      </c>
      <c r="T1233" s="581">
        <v>347624900</v>
      </c>
      <c r="U1233" s="115"/>
      <c r="V1233" s="567"/>
      <c r="W1233" s="115"/>
      <c r="X1233" s="567"/>
      <c r="Y1233" s="874">
        <f t="shared" si="358"/>
        <v>1</v>
      </c>
      <c r="Z1233" s="888">
        <f>R1233+T1233+V1233+X1233</f>
        <v>576820900</v>
      </c>
      <c r="AA1233" s="115">
        <f t="shared" si="359"/>
        <v>7</v>
      </c>
      <c r="AB1233" s="888">
        <f t="shared" ref="AB1233:AB1245" si="362">N1233+Z1233</f>
        <v>1878839620</v>
      </c>
      <c r="AC1233" s="874">
        <f t="shared" si="360"/>
        <v>58.333333333333336</v>
      </c>
      <c r="AD1233" s="874">
        <f t="shared" si="361"/>
        <v>149.81051777148397</v>
      </c>
      <c r="AE1233" s="490"/>
      <c r="AF1233" s="987"/>
      <c r="AG1233" s="750"/>
      <c r="AH1233" s="750"/>
      <c r="AI1233" s="750"/>
      <c r="AJ1233" s="750"/>
      <c r="AK1233" s="750"/>
      <c r="AL1233" s="750"/>
      <c r="AM1233" s="750"/>
      <c r="AN1233" s="750"/>
      <c r="AO1233" s="750"/>
      <c r="AP1233" s="750"/>
      <c r="AQ1233" s="750"/>
      <c r="AR1233" s="750"/>
      <c r="AS1233" s="750"/>
      <c r="AT1233" s="750"/>
      <c r="AU1233" s="750"/>
      <c r="AV1233" s="750"/>
      <c r="AW1233" s="750"/>
      <c r="AX1233" s="750"/>
      <c r="AY1233" s="750"/>
      <c r="AZ1233" s="750"/>
      <c r="BA1233" s="750"/>
      <c r="BB1233" s="750"/>
      <c r="BC1233" s="750"/>
      <c r="BD1233" s="750"/>
      <c r="BE1233" s="750"/>
      <c r="BF1233" s="750"/>
      <c r="BG1233" s="750"/>
      <c r="BH1233" s="750"/>
      <c r="BI1233" s="750"/>
      <c r="BJ1233" s="750"/>
      <c r="BK1233" s="750"/>
      <c r="BL1233" s="750"/>
      <c r="BM1233" s="750"/>
      <c r="BN1233" s="750"/>
      <c r="BO1233" s="750"/>
      <c r="BP1233" s="750"/>
      <c r="BQ1233" s="750"/>
    </row>
    <row r="1234" spans="1:76" ht="49.5">
      <c r="A1234" s="451"/>
      <c r="B1234" s="34"/>
      <c r="C1234" s="577" t="s">
        <v>25</v>
      </c>
      <c r="D1234" s="577" t="s">
        <v>25</v>
      </c>
      <c r="E1234" s="577" t="s">
        <v>25</v>
      </c>
      <c r="F1234" s="577" t="s">
        <v>25</v>
      </c>
      <c r="G1234" s="577" t="s">
        <v>45</v>
      </c>
      <c r="H1234" s="577">
        <v>17</v>
      </c>
      <c r="I1234" s="34" t="s">
        <v>143</v>
      </c>
      <c r="J1234" s="35" t="s">
        <v>2899</v>
      </c>
      <c r="K1234" s="115">
        <v>6</v>
      </c>
      <c r="L1234" s="558">
        <v>1226048000</v>
      </c>
      <c r="M1234" s="115">
        <v>3</v>
      </c>
      <c r="N1234" s="558">
        <v>1079135100</v>
      </c>
      <c r="O1234" s="573">
        <v>1</v>
      </c>
      <c r="P1234" s="558">
        <v>367462000</v>
      </c>
      <c r="Q1234" s="599">
        <v>0</v>
      </c>
      <c r="R1234" s="36">
        <v>0</v>
      </c>
      <c r="S1234" s="451">
        <v>0</v>
      </c>
      <c r="T1234" s="581">
        <v>0</v>
      </c>
      <c r="U1234" s="115"/>
      <c r="V1234" s="567"/>
      <c r="W1234" s="115"/>
      <c r="X1234" s="567"/>
      <c r="Y1234" s="874">
        <f t="shared" si="358"/>
        <v>0</v>
      </c>
      <c r="Z1234" s="888">
        <f>R1234+T1234+V1234+X1234</f>
        <v>0</v>
      </c>
      <c r="AA1234" s="115">
        <f t="shared" si="359"/>
        <v>3</v>
      </c>
      <c r="AB1234" s="888">
        <f t="shared" si="362"/>
        <v>1079135100</v>
      </c>
      <c r="AC1234" s="874">
        <f t="shared" si="360"/>
        <v>50</v>
      </c>
      <c r="AD1234" s="874">
        <f t="shared" si="361"/>
        <v>88.01736147361278</v>
      </c>
      <c r="AE1234" s="490"/>
      <c r="AF1234" s="750"/>
      <c r="AG1234" s="750"/>
      <c r="AH1234" s="750"/>
      <c r="AI1234" s="750"/>
      <c r="AJ1234" s="750"/>
      <c r="AK1234" s="750"/>
      <c r="AL1234" s="750"/>
      <c r="AM1234" s="750"/>
      <c r="AN1234" s="750"/>
      <c r="AO1234" s="750"/>
      <c r="AP1234" s="750"/>
      <c r="AQ1234" s="750"/>
      <c r="AR1234" s="750"/>
      <c r="AS1234" s="750"/>
      <c r="AT1234" s="750"/>
      <c r="AU1234" s="750"/>
      <c r="AV1234" s="750"/>
      <c r="AW1234" s="750"/>
      <c r="AX1234" s="750"/>
      <c r="AY1234" s="750"/>
      <c r="AZ1234" s="750"/>
      <c r="BA1234" s="750"/>
      <c r="BB1234" s="750"/>
      <c r="BC1234" s="750"/>
      <c r="BD1234" s="750"/>
      <c r="BE1234" s="750"/>
      <c r="BF1234" s="750"/>
      <c r="BG1234" s="750"/>
      <c r="BH1234" s="750"/>
      <c r="BI1234" s="750"/>
      <c r="BJ1234" s="750"/>
      <c r="BK1234" s="750"/>
      <c r="BL1234" s="750"/>
      <c r="BM1234" s="750"/>
      <c r="BN1234" s="750"/>
      <c r="BO1234" s="750"/>
      <c r="BP1234" s="750"/>
      <c r="BQ1234" s="750"/>
    </row>
    <row r="1235" spans="1:76" ht="49.5">
      <c r="A1235" s="451"/>
      <c r="B1235" s="34"/>
      <c r="C1235" s="577" t="s">
        <v>25</v>
      </c>
      <c r="D1235" s="577" t="s">
        <v>25</v>
      </c>
      <c r="E1235" s="577" t="s">
        <v>25</v>
      </c>
      <c r="F1235" s="577" t="s">
        <v>25</v>
      </c>
      <c r="G1235" s="577" t="s">
        <v>45</v>
      </c>
      <c r="H1235" s="577">
        <v>21</v>
      </c>
      <c r="I1235" s="211" t="s">
        <v>387</v>
      </c>
      <c r="J1235" s="34" t="s">
        <v>3078</v>
      </c>
      <c r="K1235" s="115">
        <v>100</v>
      </c>
      <c r="L1235" s="558">
        <v>2457348000</v>
      </c>
      <c r="M1235" s="115">
        <v>40</v>
      </c>
      <c r="N1235" s="558">
        <v>2774121284</v>
      </c>
      <c r="O1235" s="573">
        <v>20</v>
      </c>
      <c r="P1235" s="558">
        <v>94000000</v>
      </c>
      <c r="Q1235" s="969">
        <v>3.04</v>
      </c>
      <c r="R1235" s="558">
        <v>7498200</v>
      </c>
      <c r="S1235" s="451">
        <v>40</v>
      </c>
      <c r="T1235" s="581">
        <v>39988900</v>
      </c>
      <c r="U1235" s="115"/>
      <c r="V1235" s="115"/>
      <c r="W1235" s="115"/>
      <c r="X1235" s="567"/>
      <c r="Y1235" s="874">
        <f t="shared" si="358"/>
        <v>43.04</v>
      </c>
      <c r="Z1235" s="888">
        <f>SUM(R1235+T1235)</f>
        <v>47487100</v>
      </c>
      <c r="AA1235" s="874">
        <f t="shared" si="359"/>
        <v>83.039999999999992</v>
      </c>
      <c r="AB1235" s="888">
        <f t="shared" si="362"/>
        <v>2821608384</v>
      </c>
      <c r="AC1235" s="874">
        <f t="shared" si="360"/>
        <v>83.039999999999992</v>
      </c>
      <c r="AD1235" s="874">
        <f t="shared" si="361"/>
        <v>114.82331293736175</v>
      </c>
      <c r="AE1235" s="490"/>
      <c r="AF1235" s="750"/>
      <c r="AG1235" s="750"/>
      <c r="AH1235" s="750"/>
      <c r="AI1235" s="750"/>
      <c r="AJ1235" s="750"/>
      <c r="AK1235" s="750"/>
      <c r="AL1235" s="750"/>
      <c r="AM1235" s="750"/>
      <c r="AN1235" s="750"/>
      <c r="AO1235" s="750"/>
      <c r="AP1235" s="750"/>
      <c r="AQ1235" s="750"/>
      <c r="AR1235" s="750"/>
      <c r="AS1235" s="750"/>
      <c r="AT1235" s="750"/>
      <c r="AU1235" s="750"/>
      <c r="AV1235" s="750"/>
      <c r="AW1235" s="750"/>
      <c r="AX1235" s="750"/>
      <c r="AY1235" s="750"/>
      <c r="AZ1235" s="750"/>
      <c r="BA1235" s="750"/>
      <c r="BB1235" s="750"/>
      <c r="BC1235" s="750"/>
      <c r="BD1235" s="750"/>
      <c r="BE1235" s="750"/>
      <c r="BF1235" s="750"/>
      <c r="BG1235" s="750"/>
      <c r="BH1235" s="750"/>
      <c r="BI1235" s="750"/>
      <c r="BJ1235" s="750"/>
      <c r="BK1235" s="750"/>
      <c r="BL1235" s="750"/>
      <c r="BM1235" s="750"/>
      <c r="BN1235" s="750"/>
      <c r="BO1235" s="750"/>
      <c r="BP1235" s="750"/>
      <c r="BQ1235" s="750"/>
    </row>
    <row r="1236" spans="1:76" ht="49.5">
      <c r="A1236" s="451"/>
      <c r="B1236" s="34"/>
      <c r="C1236" s="577" t="s">
        <v>25</v>
      </c>
      <c r="D1236" s="577" t="s">
        <v>25</v>
      </c>
      <c r="E1236" s="577" t="s">
        <v>25</v>
      </c>
      <c r="F1236" s="577" t="s">
        <v>25</v>
      </c>
      <c r="G1236" s="577" t="s">
        <v>45</v>
      </c>
      <c r="H1236" s="577">
        <v>24</v>
      </c>
      <c r="I1236" s="35" t="s">
        <v>140</v>
      </c>
      <c r="J1236" s="35" t="s">
        <v>2899</v>
      </c>
      <c r="K1236" s="115">
        <v>6</v>
      </c>
      <c r="L1236" s="558">
        <v>400000000</v>
      </c>
      <c r="M1236" s="115">
        <v>3</v>
      </c>
      <c r="N1236" s="558">
        <v>312122800</v>
      </c>
      <c r="O1236" s="574">
        <v>1</v>
      </c>
      <c r="P1236" s="575">
        <v>152416600</v>
      </c>
      <c r="Q1236" s="875">
        <v>0</v>
      </c>
      <c r="R1236" s="558">
        <v>2800000</v>
      </c>
      <c r="S1236" s="451">
        <v>40</v>
      </c>
      <c r="T1236" s="581">
        <v>40845400</v>
      </c>
      <c r="U1236" s="115"/>
      <c r="V1236" s="115"/>
      <c r="W1236" s="115"/>
      <c r="X1236" s="567"/>
      <c r="Y1236" s="874">
        <f t="shared" si="358"/>
        <v>40</v>
      </c>
      <c r="Z1236" s="888">
        <f>SUM(R1236+T1236+V1236+X1236)</f>
        <v>43645400</v>
      </c>
      <c r="AA1236" s="874">
        <f t="shared" si="359"/>
        <v>43</v>
      </c>
      <c r="AB1236" s="888">
        <f t="shared" si="362"/>
        <v>355768200</v>
      </c>
      <c r="AC1236" s="874">
        <f t="shared" si="360"/>
        <v>716.66666666666674</v>
      </c>
      <c r="AD1236" s="874">
        <f t="shared" si="361"/>
        <v>88.942049999999995</v>
      </c>
      <c r="AE1236" s="490"/>
      <c r="AF1236" s="987"/>
      <c r="AG1236" s="750"/>
      <c r="AH1236" s="750"/>
      <c r="AI1236" s="750"/>
      <c r="AJ1236" s="750"/>
      <c r="AK1236" s="750"/>
      <c r="AL1236" s="750"/>
      <c r="AM1236" s="750"/>
      <c r="AN1236" s="750"/>
      <c r="AO1236" s="750"/>
      <c r="AP1236" s="750"/>
      <c r="AQ1236" s="750"/>
      <c r="AR1236" s="750"/>
      <c r="AS1236" s="750"/>
      <c r="AT1236" s="750"/>
      <c r="AU1236" s="750"/>
      <c r="AV1236" s="750"/>
      <c r="AW1236" s="750"/>
      <c r="AX1236" s="750"/>
      <c r="AY1236" s="750"/>
      <c r="AZ1236" s="750"/>
      <c r="BA1236" s="750"/>
      <c r="BB1236" s="750"/>
      <c r="BC1236" s="750"/>
      <c r="BD1236" s="750"/>
      <c r="BE1236" s="750"/>
      <c r="BF1236" s="750"/>
      <c r="BG1236" s="750"/>
      <c r="BH1236" s="750"/>
      <c r="BI1236" s="750"/>
      <c r="BJ1236" s="750"/>
      <c r="BK1236" s="750"/>
      <c r="BL1236" s="750"/>
      <c r="BM1236" s="750"/>
      <c r="BN1236" s="750"/>
      <c r="BO1236" s="750"/>
      <c r="BP1236" s="750"/>
      <c r="BQ1236" s="750"/>
    </row>
    <row r="1237" spans="1:76" ht="49.5">
      <c r="A1237" s="451"/>
      <c r="B1237" s="34"/>
      <c r="C1237" s="577" t="s">
        <v>25</v>
      </c>
      <c r="D1237" s="577" t="s">
        <v>25</v>
      </c>
      <c r="E1237" s="577" t="s">
        <v>25</v>
      </c>
      <c r="F1237" s="577" t="s">
        <v>25</v>
      </c>
      <c r="G1237" s="577" t="s">
        <v>45</v>
      </c>
      <c r="H1237" s="577">
        <v>28</v>
      </c>
      <c r="I1237" s="34" t="s">
        <v>141</v>
      </c>
      <c r="J1237" s="34" t="s">
        <v>3079</v>
      </c>
      <c r="K1237" s="115">
        <v>6</v>
      </c>
      <c r="L1237" s="558">
        <v>2161326000</v>
      </c>
      <c r="M1237" s="115">
        <v>3</v>
      </c>
      <c r="N1237" s="558">
        <v>304311585</v>
      </c>
      <c r="O1237" s="573">
        <v>1</v>
      </c>
      <c r="P1237" s="558">
        <v>285500000</v>
      </c>
      <c r="Q1237" s="599">
        <v>1</v>
      </c>
      <c r="R1237" s="36">
        <v>204467800</v>
      </c>
      <c r="S1237" s="451">
        <v>0</v>
      </c>
      <c r="T1237" s="581">
        <v>73167700</v>
      </c>
      <c r="U1237" s="115"/>
      <c r="V1237" s="115"/>
      <c r="W1237" s="115"/>
      <c r="X1237" s="567"/>
      <c r="Y1237" s="874">
        <f t="shared" si="358"/>
        <v>1</v>
      </c>
      <c r="Z1237" s="888">
        <f t="shared" ref="Z1237:Z1242" si="363">R1237+T1237+V1237+X1237</f>
        <v>277635500</v>
      </c>
      <c r="AA1237" s="115">
        <f t="shared" si="359"/>
        <v>4</v>
      </c>
      <c r="AB1237" s="888">
        <f t="shared" si="362"/>
        <v>581947085</v>
      </c>
      <c r="AC1237" s="874">
        <f t="shared" si="360"/>
        <v>66.666666666666657</v>
      </c>
      <c r="AD1237" s="874">
        <f t="shared" si="361"/>
        <v>26.925465431869139</v>
      </c>
      <c r="AE1237" s="490"/>
      <c r="AF1237" s="750"/>
      <c r="AG1237" s="750"/>
      <c r="AH1237" s="750"/>
      <c r="AI1237" s="750"/>
      <c r="AJ1237" s="750"/>
      <c r="AK1237" s="750"/>
      <c r="AL1237" s="750"/>
      <c r="AM1237" s="750"/>
      <c r="AN1237" s="750"/>
      <c r="AO1237" s="750"/>
      <c r="AP1237" s="750"/>
      <c r="AQ1237" s="750"/>
      <c r="AR1237" s="750"/>
      <c r="AS1237" s="750"/>
      <c r="AT1237" s="750"/>
      <c r="AU1237" s="750"/>
      <c r="AV1237" s="750"/>
      <c r="AW1237" s="750"/>
      <c r="AX1237" s="750"/>
      <c r="AY1237" s="750"/>
      <c r="AZ1237" s="750"/>
      <c r="BA1237" s="750"/>
      <c r="BB1237" s="750"/>
      <c r="BC1237" s="750"/>
      <c r="BD1237" s="750"/>
      <c r="BE1237" s="750"/>
      <c r="BF1237" s="750"/>
      <c r="BG1237" s="750"/>
      <c r="BH1237" s="750"/>
      <c r="BI1237" s="750"/>
      <c r="BJ1237" s="750"/>
      <c r="BK1237" s="750"/>
      <c r="BL1237" s="750"/>
      <c r="BM1237" s="750"/>
      <c r="BN1237" s="750"/>
      <c r="BO1237" s="750"/>
      <c r="BP1237" s="750"/>
      <c r="BQ1237" s="750"/>
    </row>
    <row r="1238" spans="1:76" ht="49.5">
      <c r="A1238" s="451"/>
      <c r="B1238" s="34"/>
      <c r="C1238" s="577" t="s">
        <v>25</v>
      </c>
      <c r="D1238" s="577" t="s">
        <v>25</v>
      </c>
      <c r="E1238" s="577" t="s">
        <v>25</v>
      </c>
      <c r="F1238" s="577" t="s">
        <v>25</v>
      </c>
      <c r="G1238" s="577" t="s">
        <v>45</v>
      </c>
      <c r="H1238" s="577">
        <v>33</v>
      </c>
      <c r="I1238" s="34" t="s">
        <v>388</v>
      </c>
      <c r="J1238" s="774" t="s">
        <v>389</v>
      </c>
      <c r="K1238" s="115">
        <f>20+20+18+25+25+25</f>
        <v>133</v>
      </c>
      <c r="L1238" s="558">
        <v>462000000</v>
      </c>
      <c r="M1238" s="115">
        <v>0</v>
      </c>
      <c r="N1238" s="558">
        <v>0</v>
      </c>
      <c r="O1238" s="573">
        <v>100</v>
      </c>
      <c r="P1238" s="558">
        <v>40400000</v>
      </c>
      <c r="Q1238" s="599">
        <v>2.31</v>
      </c>
      <c r="R1238" s="36">
        <v>931400</v>
      </c>
      <c r="S1238" s="451">
        <v>5</v>
      </c>
      <c r="T1238" s="581">
        <v>931400</v>
      </c>
      <c r="U1238" s="115"/>
      <c r="V1238" s="115"/>
      <c r="W1238" s="115"/>
      <c r="X1238" s="567"/>
      <c r="Y1238" s="874">
        <f t="shared" si="358"/>
        <v>7.3100000000000005</v>
      </c>
      <c r="Z1238" s="888">
        <f t="shared" si="363"/>
        <v>1862800</v>
      </c>
      <c r="AA1238" s="115">
        <f t="shared" si="359"/>
        <v>7.3100000000000005</v>
      </c>
      <c r="AB1238" s="888">
        <f t="shared" si="362"/>
        <v>1862800</v>
      </c>
      <c r="AC1238" s="874">
        <f t="shared" si="360"/>
        <v>5.496240601503759</v>
      </c>
      <c r="AD1238" s="874">
        <f t="shared" si="361"/>
        <v>0.40320346320346323</v>
      </c>
      <c r="AE1238" s="490"/>
      <c r="AF1238" s="750"/>
      <c r="AG1238" s="750"/>
      <c r="AH1238" s="750"/>
      <c r="AI1238" s="750"/>
      <c r="AJ1238" s="750"/>
      <c r="AK1238" s="750"/>
      <c r="AL1238" s="750"/>
      <c r="AM1238" s="750"/>
      <c r="AN1238" s="750"/>
      <c r="AO1238" s="750"/>
      <c r="AP1238" s="750"/>
      <c r="AQ1238" s="750"/>
      <c r="AR1238" s="750"/>
      <c r="AS1238" s="750"/>
      <c r="AT1238" s="750"/>
      <c r="AU1238" s="750"/>
      <c r="AV1238" s="750"/>
      <c r="AW1238" s="750"/>
      <c r="AX1238" s="750"/>
      <c r="AY1238" s="750"/>
      <c r="AZ1238" s="750"/>
      <c r="BA1238" s="750"/>
      <c r="BB1238" s="750"/>
      <c r="BC1238" s="750"/>
      <c r="BD1238" s="750"/>
      <c r="BE1238" s="750"/>
      <c r="BF1238" s="750"/>
      <c r="BG1238" s="750"/>
      <c r="BH1238" s="750"/>
      <c r="BI1238" s="750"/>
      <c r="BJ1238" s="750"/>
      <c r="BK1238" s="750"/>
      <c r="BL1238" s="750"/>
      <c r="BM1238" s="750"/>
      <c r="BN1238" s="750"/>
      <c r="BO1238" s="750"/>
      <c r="BP1238" s="750"/>
      <c r="BQ1238" s="750"/>
    </row>
    <row r="1239" spans="1:76" ht="33">
      <c r="A1239" s="451"/>
      <c r="B1239" s="34"/>
      <c r="C1239" s="577" t="s">
        <v>25</v>
      </c>
      <c r="D1239" s="577" t="s">
        <v>25</v>
      </c>
      <c r="E1239" s="577" t="s">
        <v>25</v>
      </c>
      <c r="F1239" s="577" t="s">
        <v>25</v>
      </c>
      <c r="G1239" s="577" t="s">
        <v>45</v>
      </c>
      <c r="H1239" s="577">
        <v>35</v>
      </c>
      <c r="I1239" s="35" t="s">
        <v>146</v>
      </c>
      <c r="J1239" s="35" t="s">
        <v>390</v>
      </c>
      <c r="K1239" s="115">
        <v>100</v>
      </c>
      <c r="L1239" s="1311">
        <f>12*125000000</f>
        <v>1500000000</v>
      </c>
      <c r="M1239" s="115">
        <v>24</v>
      </c>
      <c r="N1239" s="558">
        <v>926492100</v>
      </c>
      <c r="O1239" s="574">
        <v>100</v>
      </c>
      <c r="P1239" s="575">
        <v>58500000</v>
      </c>
      <c r="Q1239" s="599">
        <v>75.91</v>
      </c>
      <c r="R1239" s="36">
        <v>44406000</v>
      </c>
      <c r="S1239" s="451">
        <v>10</v>
      </c>
      <c r="T1239" s="581">
        <v>6683300</v>
      </c>
      <c r="U1239" s="115"/>
      <c r="V1239" s="115"/>
      <c r="W1239" s="115"/>
      <c r="X1239" s="567"/>
      <c r="Y1239" s="874">
        <f t="shared" si="358"/>
        <v>85.91</v>
      </c>
      <c r="Z1239" s="888">
        <f t="shared" si="363"/>
        <v>51089300</v>
      </c>
      <c r="AA1239" s="115">
        <f t="shared" si="359"/>
        <v>109.91</v>
      </c>
      <c r="AB1239" s="888">
        <f t="shared" si="362"/>
        <v>977581400</v>
      </c>
      <c r="AC1239" s="874">
        <f t="shared" si="360"/>
        <v>109.91</v>
      </c>
      <c r="AD1239" s="874">
        <f t="shared" si="361"/>
        <v>65.172093333333336</v>
      </c>
      <c r="AE1239" s="490"/>
      <c r="AF1239" s="1130"/>
      <c r="AG1239" s="201"/>
      <c r="AH1239" s="201"/>
      <c r="AI1239" s="201"/>
      <c r="AJ1239" s="201"/>
      <c r="AK1239" s="201"/>
      <c r="AL1239" s="201"/>
      <c r="AM1239" s="201"/>
      <c r="AN1239" s="201"/>
      <c r="AO1239" s="201"/>
      <c r="AP1239" s="201"/>
      <c r="AQ1239" s="201"/>
      <c r="AR1239" s="201"/>
      <c r="AS1239" s="201"/>
      <c r="AT1239" s="201"/>
      <c r="AU1239" s="201"/>
      <c r="AV1239" s="201"/>
      <c r="AW1239" s="201"/>
      <c r="AX1239" s="201"/>
      <c r="AY1239" s="201"/>
      <c r="AZ1239" s="201"/>
      <c r="BA1239" s="201"/>
      <c r="BB1239" s="201"/>
      <c r="BC1239" s="201"/>
      <c r="BD1239" s="201"/>
      <c r="BE1239" s="201"/>
      <c r="BF1239" s="201"/>
      <c r="BG1239" s="201"/>
      <c r="BH1239" s="201"/>
      <c r="BI1239" s="201"/>
      <c r="BJ1239" s="201"/>
      <c r="BK1239" s="201"/>
      <c r="BL1239" s="201"/>
      <c r="BM1239" s="201"/>
      <c r="BN1239" s="201"/>
      <c r="BO1239" s="201"/>
      <c r="BP1239" s="201"/>
      <c r="BQ1239" s="201"/>
    </row>
    <row r="1240" spans="1:76" ht="49.5">
      <c r="A1240" s="451"/>
      <c r="B1240" s="34"/>
      <c r="C1240" s="577" t="s">
        <v>25</v>
      </c>
      <c r="D1240" s="577" t="s">
        <v>25</v>
      </c>
      <c r="E1240" s="577" t="s">
        <v>25</v>
      </c>
      <c r="F1240" s="577" t="s">
        <v>25</v>
      </c>
      <c r="G1240" s="577" t="s">
        <v>45</v>
      </c>
      <c r="H1240" s="577">
        <v>36</v>
      </c>
      <c r="I1240" s="34" t="s">
        <v>391</v>
      </c>
      <c r="J1240" s="774" t="s">
        <v>2999</v>
      </c>
      <c r="K1240" s="115">
        <v>4</v>
      </c>
      <c r="L1240" s="558">
        <v>500000000</v>
      </c>
      <c r="M1240" s="115">
        <v>0</v>
      </c>
      <c r="N1240" s="558">
        <v>0</v>
      </c>
      <c r="O1240" s="573">
        <v>2</v>
      </c>
      <c r="P1240" s="558">
        <v>325000000</v>
      </c>
      <c r="Q1240" s="599">
        <v>1</v>
      </c>
      <c r="R1240" s="36">
        <v>198421000</v>
      </c>
      <c r="S1240" s="451">
        <v>37</v>
      </c>
      <c r="T1240" s="581">
        <v>312583250</v>
      </c>
      <c r="U1240" s="115"/>
      <c r="V1240" s="115"/>
      <c r="W1240" s="115"/>
      <c r="X1240" s="567"/>
      <c r="Y1240" s="874">
        <f t="shared" si="358"/>
        <v>38</v>
      </c>
      <c r="Z1240" s="888">
        <f t="shared" si="363"/>
        <v>511004250</v>
      </c>
      <c r="AA1240" s="115">
        <f t="shared" si="359"/>
        <v>38</v>
      </c>
      <c r="AB1240" s="888">
        <f t="shared" si="362"/>
        <v>511004250</v>
      </c>
      <c r="AC1240" s="874">
        <f t="shared" si="360"/>
        <v>950</v>
      </c>
      <c r="AD1240" s="874">
        <f t="shared" si="361"/>
        <v>102.20085</v>
      </c>
      <c r="AE1240" s="490"/>
      <c r="AF1240" s="750"/>
      <c r="AG1240" s="750"/>
      <c r="AH1240" s="750"/>
      <c r="AI1240" s="750"/>
      <c r="AJ1240" s="750"/>
      <c r="AK1240" s="750"/>
      <c r="AL1240" s="750"/>
      <c r="AM1240" s="750"/>
      <c r="AN1240" s="750"/>
      <c r="AO1240" s="750"/>
      <c r="AP1240" s="750"/>
      <c r="AQ1240" s="750"/>
      <c r="AR1240" s="750"/>
      <c r="AS1240" s="750"/>
      <c r="AT1240" s="750"/>
      <c r="AU1240" s="750"/>
      <c r="AV1240" s="750"/>
      <c r="AW1240" s="750"/>
      <c r="AX1240" s="750"/>
      <c r="AY1240" s="750"/>
      <c r="AZ1240" s="750"/>
      <c r="BA1240" s="750"/>
      <c r="BB1240" s="750"/>
      <c r="BC1240" s="750"/>
      <c r="BD1240" s="750"/>
      <c r="BE1240" s="750"/>
      <c r="BF1240" s="750"/>
      <c r="BG1240" s="750"/>
      <c r="BH1240" s="750"/>
      <c r="BI1240" s="750"/>
      <c r="BJ1240" s="750"/>
      <c r="BK1240" s="750"/>
      <c r="BL1240" s="750"/>
      <c r="BM1240" s="750"/>
      <c r="BN1240" s="750"/>
      <c r="BO1240" s="750"/>
      <c r="BP1240" s="750"/>
      <c r="BQ1240" s="750"/>
    </row>
    <row r="1241" spans="1:76" ht="33">
      <c r="A1241" s="451"/>
      <c r="B1241" s="34"/>
      <c r="C1241" s="577" t="s">
        <v>25</v>
      </c>
      <c r="D1241" s="577" t="s">
        <v>25</v>
      </c>
      <c r="E1241" s="577" t="s">
        <v>25</v>
      </c>
      <c r="F1241" s="577" t="s">
        <v>25</v>
      </c>
      <c r="G1241" s="577" t="s">
        <v>45</v>
      </c>
      <c r="H1241" s="577">
        <v>37</v>
      </c>
      <c r="I1241" s="34" t="s">
        <v>392</v>
      </c>
      <c r="J1241" s="774" t="s">
        <v>3080</v>
      </c>
      <c r="K1241" s="115">
        <v>2</v>
      </c>
      <c r="L1241" s="558">
        <v>500000000</v>
      </c>
      <c r="M1241" s="115">
        <v>0</v>
      </c>
      <c r="N1241" s="558">
        <v>0</v>
      </c>
      <c r="O1241" s="573">
        <v>1</v>
      </c>
      <c r="P1241" s="558">
        <v>290000000</v>
      </c>
      <c r="Q1241" s="1679">
        <v>0</v>
      </c>
      <c r="R1241" s="36">
        <v>0</v>
      </c>
      <c r="S1241" s="451">
        <v>0</v>
      </c>
      <c r="T1241" s="581">
        <v>0</v>
      </c>
      <c r="U1241" s="115"/>
      <c r="V1241" s="115"/>
      <c r="W1241" s="115"/>
      <c r="X1241" s="567"/>
      <c r="Y1241" s="874">
        <f t="shared" si="358"/>
        <v>0</v>
      </c>
      <c r="Z1241" s="888">
        <f t="shared" si="363"/>
        <v>0</v>
      </c>
      <c r="AA1241" s="115">
        <f t="shared" si="359"/>
        <v>0</v>
      </c>
      <c r="AB1241" s="888">
        <f t="shared" si="362"/>
        <v>0</v>
      </c>
      <c r="AC1241" s="874">
        <f t="shared" si="360"/>
        <v>0</v>
      </c>
      <c r="AD1241" s="874">
        <f t="shared" si="361"/>
        <v>0</v>
      </c>
      <c r="AE1241" s="490"/>
      <c r="AF1241" s="750"/>
      <c r="AG1241" s="750"/>
      <c r="AH1241" s="750"/>
      <c r="AI1241" s="750"/>
      <c r="AJ1241" s="750"/>
      <c r="AK1241" s="750"/>
      <c r="AL1241" s="750"/>
      <c r="AM1241" s="750"/>
      <c r="AN1241" s="750"/>
      <c r="AO1241" s="750"/>
      <c r="AP1241" s="750"/>
      <c r="AQ1241" s="750"/>
      <c r="AR1241" s="750"/>
      <c r="AS1241" s="750"/>
      <c r="AT1241" s="750"/>
      <c r="AU1241" s="750"/>
      <c r="AV1241" s="750"/>
      <c r="AW1241" s="750"/>
      <c r="AX1241" s="750"/>
      <c r="AY1241" s="750"/>
      <c r="AZ1241" s="750"/>
      <c r="BA1241" s="750"/>
      <c r="BB1241" s="750"/>
      <c r="BC1241" s="750"/>
      <c r="BD1241" s="750"/>
      <c r="BE1241" s="750"/>
      <c r="BF1241" s="750"/>
      <c r="BG1241" s="750"/>
      <c r="BH1241" s="750"/>
      <c r="BI1241" s="750"/>
      <c r="BJ1241" s="750"/>
      <c r="BK1241" s="750"/>
      <c r="BL1241" s="750"/>
      <c r="BM1241" s="750"/>
      <c r="BN1241" s="750"/>
      <c r="BO1241" s="750"/>
      <c r="BP1241" s="750"/>
      <c r="BQ1241" s="750"/>
    </row>
    <row r="1242" spans="1:76" ht="66">
      <c r="A1242" s="451"/>
      <c r="B1242" s="34"/>
      <c r="C1242" s="577" t="s">
        <v>25</v>
      </c>
      <c r="D1242" s="577" t="s">
        <v>25</v>
      </c>
      <c r="E1242" s="577" t="s">
        <v>25</v>
      </c>
      <c r="F1242" s="577" t="s">
        <v>25</v>
      </c>
      <c r="G1242" s="577" t="s">
        <v>45</v>
      </c>
      <c r="H1242" s="577">
        <v>41</v>
      </c>
      <c r="I1242" s="34" t="s">
        <v>393</v>
      </c>
      <c r="J1242" s="774" t="s">
        <v>3080</v>
      </c>
      <c r="K1242" s="115">
        <v>1</v>
      </c>
      <c r="L1242" s="558">
        <v>60000000</v>
      </c>
      <c r="M1242" s="115">
        <v>0</v>
      </c>
      <c r="N1242" s="558">
        <v>0</v>
      </c>
      <c r="O1242" s="573">
        <v>1</v>
      </c>
      <c r="P1242" s="558">
        <v>43167000</v>
      </c>
      <c r="Q1242" s="599">
        <v>0</v>
      </c>
      <c r="R1242" s="36">
        <v>3006850</v>
      </c>
      <c r="S1242" s="451">
        <v>90</v>
      </c>
      <c r="T1242" s="581">
        <v>37966500</v>
      </c>
      <c r="U1242" s="115"/>
      <c r="V1242" s="115"/>
      <c r="W1242" s="115"/>
      <c r="X1242" s="567"/>
      <c r="Y1242" s="874">
        <f t="shared" si="358"/>
        <v>90</v>
      </c>
      <c r="Z1242" s="888">
        <f t="shared" si="363"/>
        <v>40973350</v>
      </c>
      <c r="AA1242" s="115">
        <f t="shared" si="359"/>
        <v>90</v>
      </c>
      <c r="AB1242" s="888">
        <f t="shared" si="362"/>
        <v>40973350</v>
      </c>
      <c r="AC1242" s="874">
        <f t="shared" si="360"/>
        <v>9000</v>
      </c>
      <c r="AD1242" s="874">
        <f t="shared" si="361"/>
        <v>68.288916666666665</v>
      </c>
      <c r="AE1242" s="490"/>
      <c r="AF1242" s="750"/>
      <c r="AG1242" s="750"/>
      <c r="AH1242" s="750"/>
      <c r="AI1242" s="750"/>
      <c r="AJ1242" s="750"/>
      <c r="AK1242" s="750"/>
      <c r="AL1242" s="750"/>
      <c r="AM1242" s="750"/>
      <c r="AN1242" s="750"/>
      <c r="AO1242" s="750"/>
      <c r="AP1242" s="750"/>
      <c r="AQ1242" s="750"/>
      <c r="AR1242" s="750"/>
      <c r="AS1242" s="750"/>
      <c r="AT1242" s="750"/>
      <c r="AU1242" s="750"/>
      <c r="AV1242" s="750"/>
      <c r="AW1242" s="750"/>
      <c r="AX1242" s="750"/>
      <c r="AY1242" s="750"/>
      <c r="AZ1242" s="750"/>
      <c r="BA1242" s="750"/>
      <c r="BB1242" s="750"/>
      <c r="BC1242" s="750"/>
      <c r="BD1242" s="750"/>
      <c r="BE1242" s="750"/>
      <c r="BF1242" s="750"/>
      <c r="BG1242" s="750"/>
      <c r="BH1242" s="750"/>
      <c r="BI1242" s="750"/>
      <c r="BJ1242" s="750"/>
      <c r="BK1242" s="750"/>
      <c r="BL1242" s="750"/>
      <c r="BM1242" s="750"/>
      <c r="BN1242" s="750"/>
      <c r="BO1242" s="750"/>
      <c r="BP1242" s="750"/>
      <c r="BQ1242" s="750"/>
    </row>
    <row r="1243" spans="1:76" ht="66">
      <c r="A1243" s="2554">
        <v>2</v>
      </c>
      <c r="B1243" s="44"/>
      <c r="C1243" s="753" t="s">
        <v>25</v>
      </c>
      <c r="D1243" s="753" t="s">
        <v>25</v>
      </c>
      <c r="E1243" s="753" t="s">
        <v>25</v>
      </c>
      <c r="F1243" s="753" t="s">
        <v>25</v>
      </c>
      <c r="G1243" s="753">
        <v>16</v>
      </c>
      <c r="H1243" s="753"/>
      <c r="I1243" s="44" t="s">
        <v>144</v>
      </c>
      <c r="J1243" s="44" t="s">
        <v>3081</v>
      </c>
      <c r="K1243" s="578">
        <v>33</v>
      </c>
      <c r="L1243" s="578">
        <f>SUM(L1244:L1245)</f>
        <v>178722000</v>
      </c>
      <c r="M1243" s="775">
        <v>20</v>
      </c>
      <c r="N1243" s="578">
        <f>SUM(N1244:N1245)</f>
        <v>75103444</v>
      </c>
      <c r="O1243" s="775">
        <v>5</v>
      </c>
      <c r="P1243" s="578">
        <f>SUM(P1244:P1245)</f>
        <v>65362315</v>
      </c>
      <c r="Q1243" s="584">
        <v>0</v>
      </c>
      <c r="R1243" s="776">
        <f>SUM(R1244:R1245)</f>
        <v>7061076</v>
      </c>
      <c r="S1243" s="563"/>
      <c r="T1243" s="282">
        <f>SUM(T1244:T1245)</f>
        <v>19543926</v>
      </c>
      <c r="U1243" s="286"/>
      <c r="V1243" s="146"/>
      <c r="W1243" s="286"/>
      <c r="X1243" s="146"/>
      <c r="Y1243" s="868">
        <f t="shared" si="358"/>
        <v>0</v>
      </c>
      <c r="Z1243" s="867">
        <f>SUM(Z1244:Z1245)</f>
        <v>26605002</v>
      </c>
      <c r="AA1243" s="146">
        <f t="shared" si="359"/>
        <v>20</v>
      </c>
      <c r="AB1243" s="867">
        <f t="shared" si="362"/>
        <v>101708446</v>
      </c>
      <c r="AC1243" s="868">
        <f t="shared" si="360"/>
        <v>60.606060606060609</v>
      </c>
      <c r="AD1243" s="868">
        <f t="shared" si="361"/>
        <v>56.908744306800507</v>
      </c>
      <c r="AE1243" s="482" t="s">
        <v>27</v>
      </c>
      <c r="AF1243" s="977"/>
      <c r="AG1243" s="750"/>
      <c r="AH1243" s="750"/>
      <c r="AI1243" s="750"/>
      <c r="AJ1243" s="750"/>
      <c r="AK1243" s="750"/>
      <c r="AL1243" s="750"/>
      <c r="AM1243" s="750"/>
      <c r="AN1243" s="750"/>
      <c r="AO1243" s="750"/>
      <c r="AP1243" s="750"/>
      <c r="AQ1243" s="750"/>
      <c r="AR1243" s="750"/>
      <c r="AS1243" s="750"/>
      <c r="AT1243" s="750"/>
      <c r="AU1243" s="750"/>
      <c r="AV1243" s="750"/>
      <c r="AW1243" s="750"/>
      <c r="AX1243" s="750"/>
      <c r="AY1243" s="750"/>
      <c r="AZ1243" s="750"/>
      <c r="BA1243" s="750"/>
      <c r="BB1243" s="750"/>
      <c r="BC1243" s="750"/>
      <c r="BD1243" s="750"/>
      <c r="BE1243" s="750"/>
      <c r="BF1243" s="750"/>
      <c r="BG1243" s="750"/>
      <c r="BH1243" s="750"/>
      <c r="BI1243" s="750"/>
      <c r="BJ1243" s="750"/>
      <c r="BK1243" s="750"/>
      <c r="BL1243" s="750"/>
      <c r="BM1243" s="750"/>
      <c r="BN1243" s="750"/>
      <c r="BO1243" s="750"/>
      <c r="BP1243" s="750"/>
      <c r="BQ1243" s="750"/>
    </row>
    <row r="1244" spans="1:76" ht="72" customHeight="1">
      <c r="A1244" s="451"/>
      <c r="B1244" s="34"/>
      <c r="C1244" s="577" t="s">
        <v>25</v>
      </c>
      <c r="D1244" s="577" t="s">
        <v>25</v>
      </c>
      <c r="E1244" s="577" t="s">
        <v>25</v>
      </c>
      <c r="F1244" s="577" t="s">
        <v>25</v>
      </c>
      <c r="G1244" s="577">
        <v>16</v>
      </c>
      <c r="H1244" s="577">
        <v>15</v>
      </c>
      <c r="I1244" s="34" t="s">
        <v>145</v>
      </c>
      <c r="J1244" s="34" t="s">
        <v>3082</v>
      </c>
      <c r="K1244" s="115">
        <v>1</v>
      </c>
      <c r="L1244" s="558">
        <v>128722000</v>
      </c>
      <c r="M1244" s="115">
        <v>0</v>
      </c>
      <c r="N1244" s="558">
        <v>75103444</v>
      </c>
      <c r="O1244" s="573">
        <v>1</v>
      </c>
      <c r="P1244" s="558">
        <v>28142315</v>
      </c>
      <c r="Q1244" s="115">
        <v>0</v>
      </c>
      <c r="R1244" s="558">
        <v>7061076</v>
      </c>
      <c r="S1244" s="451">
        <v>1</v>
      </c>
      <c r="T1244" s="581">
        <v>12397826</v>
      </c>
      <c r="U1244" s="451"/>
      <c r="V1244" s="115"/>
      <c r="W1244" s="451"/>
      <c r="X1244" s="567"/>
      <c r="Y1244" s="874">
        <f t="shared" si="358"/>
        <v>1</v>
      </c>
      <c r="Z1244" s="888">
        <f>SUM(R1244+T1244+V1244+X1244)</f>
        <v>19458902</v>
      </c>
      <c r="AA1244" s="115">
        <f t="shared" si="359"/>
        <v>1</v>
      </c>
      <c r="AB1244" s="888">
        <f t="shared" si="362"/>
        <v>94562346</v>
      </c>
      <c r="AC1244" s="874">
        <f t="shared" si="360"/>
        <v>100</v>
      </c>
      <c r="AD1244" s="874">
        <f t="shared" si="361"/>
        <v>73.462458631780109</v>
      </c>
      <c r="AE1244" s="490"/>
      <c r="AF1244" s="201"/>
      <c r="AG1244" s="201"/>
      <c r="AH1244" s="201"/>
      <c r="AI1244" s="201"/>
      <c r="AJ1244" s="201"/>
      <c r="AK1244" s="201"/>
      <c r="AL1244" s="201"/>
      <c r="AM1244" s="201"/>
      <c r="AN1244" s="201"/>
      <c r="AO1244" s="201"/>
      <c r="AP1244" s="201"/>
      <c r="AQ1244" s="201"/>
      <c r="AR1244" s="201"/>
      <c r="AS1244" s="201"/>
      <c r="AT1244" s="201"/>
      <c r="AU1244" s="201"/>
      <c r="AV1244" s="201"/>
      <c r="AW1244" s="201"/>
      <c r="AX1244" s="201"/>
      <c r="AY1244" s="201"/>
      <c r="AZ1244" s="201"/>
      <c r="BA1244" s="201"/>
      <c r="BB1244" s="201"/>
      <c r="BC1244" s="20"/>
      <c r="BD1244" s="20"/>
      <c r="BE1244" s="20"/>
      <c r="BF1244" s="20"/>
      <c r="BG1244" s="20"/>
      <c r="BH1244" s="20"/>
      <c r="BI1244" s="20"/>
      <c r="BJ1244" s="20"/>
      <c r="BK1244" s="20"/>
      <c r="BL1244" s="20"/>
      <c r="BM1244" s="20"/>
      <c r="BN1244" s="20"/>
      <c r="BO1244" s="20"/>
      <c r="BP1244" s="20"/>
      <c r="BQ1244" s="20"/>
    </row>
    <row r="1245" spans="1:76" ht="49.5">
      <c r="A1245" s="451"/>
      <c r="B1245" s="34"/>
      <c r="C1245" s="577" t="s">
        <v>25</v>
      </c>
      <c r="D1245" s="577" t="s">
        <v>25</v>
      </c>
      <c r="E1245" s="577" t="s">
        <v>25</v>
      </c>
      <c r="F1245" s="577" t="s">
        <v>25</v>
      </c>
      <c r="G1245" s="577">
        <v>16</v>
      </c>
      <c r="H1245" s="577">
        <v>31</v>
      </c>
      <c r="I1245" s="35" t="s">
        <v>394</v>
      </c>
      <c r="J1245" s="35" t="s">
        <v>3083</v>
      </c>
      <c r="K1245" s="115">
        <v>1</v>
      </c>
      <c r="L1245" s="558">
        <v>50000000</v>
      </c>
      <c r="M1245" s="115">
        <v>0</v>
      </c>
      <c r="N1245" s="558">
        <v>0</v>
      </c>
      <c r="O1245" s="574">
        <v>1</v>
      </c>
      <c r="P1245" s="890">
        <v>37220000</v>
      </c>
      <c r="Q1245" s="115">
        <v>0</v>
      </c>
      <c r="R1245" s="558">
        <v>0</v>
      </c>
      <c r="S1245" s="451">
        <v>25</v>
      </c>
      <c r="T1245" s="581">
        <v>7146100</v>
      </c>
      <c r="U1245" s="451"/>
      <c r="V1245" s="115"/>
      <c r="W1245" s="451"/>
      <c r="X1245" s="115"/>
      <c r="Y1245" s="874">
        <f t="shared" si="358"/>
        <v>25</v>
      </c>
      <c r="Z1245" s="888">
        <f>SUM(R1245+T1245+V1245+X1245)</f>
        <v>7146100</v>
      </c>
      <c r="AA1245" s="874">
        <f t="shared" si="359"/>
        <v>25</v>
      </c>
      <c r="AB1245" s="888">
        <f t="shared" si="362"/>
        <v>7146100</v>
      </c>
      <c r="AC1245" s="874">
        <f t="shared" si="360"/>
        <v>2500</v>
      </c>
      <c r="AD1245" s="874">
        <f t="shared" si="361"/>
        <v>14.292199999999999</v>
      </c>
      <c r="AE1245" s="490"/>
      <c r="AF1245" s="750"/>
      <c r="AG1245" s="750"/>
      <c r="AH1245" s="750"/>
      <c r="AI1245" s="750"/>
      <c r="AJ1245" s="750"/>
      <c r="AK1245" s="750"/>
      <c r="AL1245" s="750"/>
      <c r="AM1245" s="750"/>
      <c r="AN1245" s="750"/>
      <c r="AO1245" s="750"/>
      <c r="AP1245" s="750"/>
      <c r="AQ1245" s="750"/>
      <c r="AR1245" s="750"/>
      <c r="AS1245" s="750"/>
      <c r="AT1245" s="750"/>
      <c r="AU1245" s="750"/>
      <c r="AV1245" s="750"/>
      <c r="AW1245" s="750"/>
      <c r="AX1245" s="750"/>
      <c r="AY1245" s="750"/>
      <c r="AZ1245" s="750"/>
      <c r="BA1245" s="750"/>
      <c r="BB1245" s="750"/>
      <c r="BC1245" s="752"/>
      <c r="BD1245" s="752"/>
      <c r="BE1245" s="752"/>
      <c r="BF1245" s="752"/>
      <c r="BG1245" s="752"/>
      <c r="BH1245" s="752"/>
      <c r="BI1245" s="752"/>
      <c r="BJ1245" s="752"/>
      <c r="BK1245" s="752"/>
      <c r="BL1245" s="752"/>
      <c r="BM1245" s="752"/>
      <c r="BN1245" s="752"/>
      <c r="BO1245" s="752"/>
      <c r="BP1245" s="752"/>
      <c r="BQ1245" s="752"/>
    </row>
    <row r="1246" spans="1:76" s="1312" customFormat="1" ht="19.5" customHeight="1">
      <c r="A1246" s="2832" t="s">
        <v>63</v>
      </c>
      <c r="B1246" s="2833"/>
      <c r="C1246" s="2833"/>
      <c r="D1246" s="2833"/>
      <c r="E1246" s="2833"/>
      <c r="F1246" s="2833"/>
      <c r="G1246" s="2833"/>
      <c r="H1246" s="2833"/>
      <c r="I1246" s="2833"/>
      <c r="J1246" s="2833"/>
      <c r="K1246" s="2833"/>
      <c r="L1246" s="2833"/>
      <c r="M1246" s="2833"/>
      <c r="N1246" s="2833"/>
      <c r="O1246" s="2833"/>
      <c r="P1246" s="2833"/>
      <c r="Q1246" s="2833"/>
      <c r="R1246" s="2833"/>
      <c r="S1246" s="2833"/>
      <c r="T1246" s="2833"/>
      <c r="U1246" s="2833"/>
      <c r="V1246" s="2833"/>
      <c r="W1246" s="2833"/>
      <c r="X1246" s="2833"/>
      <c r="Y1246" s="2833"/>
      <c r="Z1246" s="2833"/>
      <c r="AA1246" s="2833"/>
      <c r="AB1246" s="2834"/>
      <c r="AC1246" s="1811">
        <f>(AC1232+AC1243)/2</f>
        <v>76.077678190354248</v>
      </c>
      <c r="AD1246" s="1811">
        <f>(AD1232+AD1243)/2</f>
        <v>80.262304789121046</v>
      </c>
      <c r="AE1246" s="1297"/>
      <c r="AF1246" s="201"/>
      <c r="AG1246" s="201"/>
      <c r="AH1246" s="201"/>
      <c r="AI1246" s="201"/>
      <c r="AJ1246" s="201"/>
      <c r="AK1246" s="201"/>
      <c r="AL1246" s="201"/>
      <c r="AM1246" s="201"/>
      <c r="AN1246" s="201"/>
      <c r="AO1246" s="201"/>
      <c r="AP1246" s="201"/>
      <c r="AQ1246" s="201"/>
      <c r="AR1246" s="201"/>
      <c r="AS1246" s="201"/>
      <c r="AT1246" s="201"/>
      <c r="AU1246" s="201"/>
      <c r="AV1246" s="201"/>
      <c r="AW1246" s="201"/>
      <c r="AX1246" s="201"/>
      <c r="AY1246" s="201"/>
      <c r="AZ1246" s="201"/>
      <c r="BA1246" s="201"/>
      <c r="BB1246" s="201"/>
      <c r="BC1246" s="1298"/>
      <c r="BD1246" s="1298"/>
      <c r="BE1246" s="1298"/>
      <c r="BF1246" s="1298"/>
      <c r="BG1246" s="1298"/>
      <c r="BH1246" s="1298"/>
      <c r="BI1246" s="1298"/>
      <c r="BJ1246" s="1298"/>
      <c r="BK1246" s="1298"/>
      <c r="BL1246" s="1298"/>
      <c r="BM1246" s="1298"/>
      <c r="BN1246" s="1298"/>
      <c r="BO1246" s="1298"/>
      <c r="BP1246" s="1298"/>
      <c r="BQ1246" s="1298"/>
      <c r="BR1246" s="1844"/>
    </row>
    <row r="1247" spans="1:76" s="1313" customFormat="1" ht="21.75" customHeight="1">
      <c r="A1247" s="2832" t="s">
        <v>395</v>
      </c>
      <c r="B1247" s="2833"/>
      <c r="C1247" s="2833"/>
      <c r="D1247" s="2833"/>
      <c r="E1247" s="2833"/>
      <c r="F1247" s="2833"/>
      <c r="G1247" s="2833"/>
      <c r="H1247" s="2833"/>
      <c r="I1247" s="2833"/>
      <c r="J1247" s="2833"/>
      <c r="K1247" s="2833"/>
      <c r="L1247" s="2833"/>
      <c r="M1247" s="2833"/>
      <c r="N1247" s="2833"/>
      <c r="O1247" s="2833"/>
      <c r="P1247" s="2833"/>
      <c r="Q1247" s="2833"/>
      <c r="R1247" s="2833"/>
      <c r="S1247" s="2833"/>
      <c r="T1247" s="2833"/>
      <c r="U1247" s="2833"/>
      <c r="V1247" s="2833"/>
      <c r="W1247" s="2833"/>
      <c r="X1247" s="2833"/>
      <c r="Y1247" s="2833"/>
      <c r="Z1247" s="2833"/>
      <c r="AA1247" s="2833"/>
      <c r="AB1247" s="2834"/>
      <c r="AC1247" s="604" t="str">
        <f>IF(AC1246&gt;=91,"ST",IF(AC1246&gt;=76,"T",IF(AC1246&gt;=66,"S",IF(AC1246&gt;=51,"R","SR"))))</f>
        <v>T</v>
      </c>
      <c r="AD1247" s="604" t="str">
        <f>IF(AD1246&gt;=91,"ST",IF(AD1246&gt;=76,"T",IF(AD1246&gt;=66,"S",IF(AD1246&gt;=51,"R","SR"))))</f>
        <v>T</v>
      </c>
      <c r="AE1247" s="1297"/>
      <c r="AF1247" s="201"/>
      <c r="AG1247" s="201"/>
      <c r="AH1247" s="201"/>
      <c r="AI1247" s="201"/>
      <c r="AJ1247" s="201"/>
      <c r="AK1247" s="201"/>
      <c r="AL1247" s="201"/>
      <c r="AM1247" s="201"/>
      <c r="AN1247" s="201"/>
      <c r="AO1247" s="201"/>
      <c r="AP1247" s="201"/>
      <c r="AQ1247" s="201"/>
      <c r="AR1247" s="201"/>
      <c r="AS1247" s="201"/>
      <c r="AT1247" s="201"/>
      <c r="AU1247" s="201"/>
      <c r="AV1247" s="201"/>
      <c r="AW1247" s="201"/>
      <c r="AX1247" s="201"/>
      <c r="AY1247" s="201"/>
      <c r="AZ1247" s="201"/>
      <c r="BA1247" s="201"/>
      <c r="BB1247" s="201"/>
      <c r="BC1247" s="1299"/>
      <c r="BD1247" s="1299"/>
      <c r="BE1247" s="1299"/>
      <c r="BF1247" s="1299"/>
      <c r="BG1247" s="1299"/>
      <c r="BH1247" s="1299"/>
      <c r="BI1247" s="1299"/>
      <c r="BJ1247" s="1299"/>
      <c r="BK1247" s="1299"/>
      <c r="BL1247" s="1299"/>
      <c r="BM1247" s="1299"/>
      <c r="BN1247" s="1299"/>
      <c r="BO1247" s="1299"/>
      <c r="BP1247" s="1299"/>
      <c r="BQ1247" s="1299"/>
      <c r="BR1247" s="1845"/>
    </row>
    <row r="1248" spans="1:76" s="2070" customFormat="1" ht="30" customHeight="1">
      <c r="A1248" s="2071" t="s">
        <v>3084</v>
      </c>
      <c r="B1248" s="2072"/>
      <c r="C1248" s="2071"/>
      <c r="D1248" s="2071"/>
      <c r="E1248" s="2071"/>
      <c r="F1248" s="2071"/>
      <c r="G1248" s="2071"/>
      <c r="H1248" s="2071"/>
      <c r="I1248" s="2746" t="s">
        <v>148</v>
      </c>
      <c r="J1248" s="2747"/>
      <c r="K1248" s="2073"/>
      <c r="L1248" s="2074">
        <f>L1249</f>
        <v>4157013394</v>
      </c>
      <c r="M1248" s="2073"/>
      <c r="N1248" s="2074">
        <f>N1249</f>
        <v>1934794598</v>
      </c>
      <c r="O1248" s="2075"/>
      <c r="P1248" s="2076">
        <f>P1249</f>
        <v>657781100</v>
      </c>
      <c r="Q1248" s="2077"/>
      <c r="R1248" s="2076">
        <f>R1249</f>
        <v>79795350</v>
      </c>
      <c r="S1248" s="2072"/>
      <c r="T1248" s="2078">
        <f>T1249</f>
        <v>199044800</v>
      </c>
      <c r="U1248" s="2072"/>
      <c r="V1248" s="2079">
        <f>V1249</f>
        <v>0</v>
      </c>
      <c r="W1248" s="2072"/>
      <c r="X1248" s="2080">
        <f>X1249</f>
        <v>0</v>
      </c>
      <c r="Y1248" s="2077"/>
      <c r="Z1248" s="2076">
        <f>Z1249</f>
        <v>278840150</v>
      </c>
      <c r="AA1248" s="2073"/>
      <c r="AB1248" s="2076">
        <f>AB1249</f>
        <v>2213634748</v>
      </c>
      <c r="AC1248" s="2073"/>
      <c r="AD1248" s="2073"/>
      <c r="AE1248" s="1631"/>
      <c r="AF1248" s="1941"/>
      <c r="AG1248" s="1941"/>
      <c r="AH1248" s="1941"/>
      <c r="AI1248" s="1941"/>
      <c r="AJ1248" s="1941"/>
      <c r="AK1248" s="1941"/>
      <c r="AL1248" s="1941"/>
      <c r="AM1248" s="1941"/>
      <c r="AN1248" s="1941"/>
      <c r="AO1248" s="1941"/>
      <c r="AP1248" s="1941"/>
      <c r="AQ1248" s="1941"/>
      <c r="AR1248" s="1941"/>
      <c r="AS1248" s="1941"/>
      <c r="AT1248" s="1941"/>
      <c r="AU1248" s="1941"/>
      <c r="AV1248" s="1941"/>
      <c r="AW1248" s="1941"/>
      <c r="AX1248" s="1941"/>
      <c r="AY1248" s="1941"/>
      <c r="AZ1248" s="1941"/>
      <c r="BA1248" s="1941"/>
      <c r="BB1248" s="1941"/>
      <c r="BC1248" s="1941"/>
      <c r="BD1248" s="1941"/>
      <c r="BE1248" s="1941"/>
      <c r="BF1248" s="1941"/>
      <c r="BG1248" s="1941"/>
      <c r="BH1248" s="1941"/>
      <c r="BI1248" s="1941"/>
      <c r="BJ1248" s="1941"/>
      <c r="BK1248" s="1941"/>
      <c r="BL1248" s="1941"/>
      <c r="BM1248" s="1941"/>
      <c r="BN1248" s="1941"/>
      <c r="BO1248" s="1941"/>
      <c r="BP1248" s="1941"/>
      <c r="BQ1248" s="1941"/>
      <c r="BR1248" s="1941"/>
      <c r="BS1248" s="1941"/>
      <c r="BT1248" s="1941"/>
      <c r="BU1248" s="1941"/>
      <c r="BV1248" s="1941"/>
      <c r="BW1248" s="1941"/>
      <c r="BX1248" s="1941"/>
    </row>
    <row r="1249" spans="1:76" s="2084" customFormat="1" ht="115.5">
      <c r="A1249" s="1420">
        <v>2</v>
      </c>
      <c r="B1249" s="487"/>
      <c r="C1249" s="1999">
        <v>18</v>
      </c>
      <c r="D1249" s="1999">
        <v>19</v>
      </c>
      <c r="E1249" s="1999"/>
      <c r="F1249" s="1999"/>
      <c r="G1249" s="2000"/>
      <c r="H1249" s="2000"/>
      <c r="I1249" s="487" t="s">
        <v>3443</v>
      </c>
      <c r="J1249" s="487" t="s">
        <v>3444</v>
      </c>
      <c r="K1249" s="2081">
        <v>160160</v>
      </c>
      <c r="L1249" s="2001">
        <f>SUM(L1250:L1261)</f>
        <v>4157013394</v>
      </c>
      <c r="M1249" s="2002">
        <v>30000</v>
      </c>
      <c r="N1249" s="2002">
        <f>SUM(N1250:N1261)</f>
        <v>1934794598</v>
      </c>
      <c r="O1249" s="2002">
        <v>30000</v>
      </c>
      <c r="P1249" s="2002">
        <f>SUM(P1250:P1261)</f>
        <v>657781100</v>
      </c>
      <c r="Q1249" s="2082">
        <v>0</v>
      </c>
      <c r="R1249" s="2002">
        <f>SUM(R1250:R1261)</f>
        <v>79795350</v>
      </c>
      <c r="S1249" s="2003"/>
      <c r="T1249" s="2002">
        <f>SUM(T1250:T1261)</f>
        <v>199044800</v>
      </c>
      <c r="U1249" s="2002"/>
      <c r="V1249" s="2002">
        <f>SUM(V1250:V1261)</f>
        <v>0</v>
      </c>
      <c r="W1249" s="2002">
        <f>(W1252+W1254+W1255+W1256+W1257+W1261)/6</f>
        <v>0</v>
      </c>
      <c r="X1249" s="2004">
        <f>SUM(X1250:X1261)</f>
        <v>0</v>
      </c>
      <c r="Y1249" s="2083">
        <f t="shared" ref="Y1249:Y1261" si="364">Q1249+S1249+U1249+W1249</f>
        <v>0</v>
      </c>
      <c r="Z1249" s="2002">
        <f>X1249+V1249+T1249+R1249</f>
        <v>278840150</v>
      </c>
      <c r="AA1249" s="2002">
        <f t="shared" ref="AA1249:AA1261" si="365">M1249+Y1249</f>
        <v>30000</v>
      </c>
      <c r="AB1249" s="2004">
        <f t="shared" ref="AB1249:AB1261" si="366">N1249+Z1249</f>
        <v>2213634748</v>
      </c>
      <c r="AC1249" s="2005">
        <f t="shared" ref="AC1249:AC1261" si="367">AA1249/K1249*100</f>
        <v>18.731268731268731</v>
      </c>
      <c r="AD1249" s="2005">
        <f t="shared" ref="AD1249:AD1261" si="368">AB1249/L1249*100</f>
        <v>53.250604176427153</v>
      </c>
      <c r="AE1249" s="2534" t="s">
        <v>3424</v>
      </c>
      <c r="AF1249" s="1941"/>
      <c r="AG1249" s="1941"/>
      <c r="AH1249" s="1941"/>
      <c r="AI1249" s="1941"/>
      <c r="AJ1249" s="1941"/>
      <c r="AK1249" s="1941"/>
      <c r="AL1249" s="1941"/>
      <c r="AM1249" s="1941"/>
      <c r="AN1249" s="1941"/>
      <c r="AO1249" s="1941"/>
      <c r="AP1249" s="1941"/>
      <c r="AQ1249" s="1941"/>
      <c r="AR1249" s="1941"/>
      <c r="AS1249" s="1941"/>
      <c r="AT1249" s="1941"/>
      <c r="AU1249" s="1941"/>
      <c r="AV1249" s="1941"/>
      <c r="AW1249" s="1941"/>
      <c r="AX1249" s="1941"/>
      <c r="AY1249" s="1941"/>
      <c r="AZ1249" s="1941"/>
      <c r="BA1249" s="1941"/>
      <c r="BB1249" s="1941"/>
      <c r="BC1249" s="1941"/>
      <c r="BD1249" s="1941"/>
      <c r="BE1249" s="1941"/>
      <c r="BF1249" s="1941"/>
      <c r="BG1249" s="1941"/>
      <c r="BH1249" s="1941"/>
      <c r="BI1249" s="1941"/>
      <c r="BJ1249" s="1941"/>
      <c r="BK1249" s="1941"/>
      <c r="BL1249" s="1941"/>
      <c r="BM1249" s="1941"/>
      <c r="BN1249" s="1941"/>
      <c r="BO1249" s="1941"/>
      <c r="BP1249" s="1941"/>
      <c r="BQ1249" s="1941"/>
      <c r="BR1249" s="1941"/>
      <c r="BS1249" s="1941"/>
      <c r="BT1249" s="1941"/>
      <c r="BU1249" s="1941"/>
      <c r="BV1249" s="1941"/>
      <c r="BW1249" s="1941"/>
      <c r="BX1249" s="1941"/>
    </row>
    <row r="1250" spans="1:76" s="2086" customFormat="1" ht="71.25" customHeight="1">
      <c r="A1250" s="437"/>
      <c r="B1250" s="2006"/>
      <c r="C1250" s="1955">
        <v>18</v>
      </c>
      <c r="D1250" s="1955">
        <v>19</v>
      </c>
      <c r="E1250" s="1955" t="s">
        <v>25</v>
      </c>
      <c r="F1250" s="1975"/>
      <c r="G1250" s="1975"/>
      <c r="H1250" s="2007"/>
      <c r="I1250" s="1964" t="s">
        <v>3445</v>
      </c>
      <c r="J1250" s="1965" t="s">
        <v>3478</v>
      </c>
      <c r="K1250" s="1956">
        <v>2</v>
      </c>
      <c r="L1250" s="1957">
        <v>377725000</v>
      </c>
      <c r="M1250" s="1551">
        <v>2</v>
      </c>
      <c r="N1250" s="1541">
        <v>207725000</v>
      </c>
      <c r="O1250" s="1389">
        <v>0</v>
      </c>
      <c r="P1250" s="1958">
        <v>0</v>
      </c>
      <c r="Q1250" s="1959">
        <v>0</v>
      </c>
      <c r="R1250" s="1958">
        <v>0</v>
      </c>
      <c r="S1250" s="1985">
        <v>0</v>
      </c>
      <c r="T1250" s="1958">
        <v>0</v>
      </c>
      <c r="U1250" s="1958">
        <v>0</v>
      </c>
      <c r="V1250" s="1958">
        <v>0</v>
      </c>
      <c r="W1250" s="1958">
        <v>0</v>
      </c>
      <c r="X1250" s="1960">
        <v>0</v>
      </c>
      <c r="Y1250" s="1959">
        <f t="shared" si="364"/>
        <v>0</v>
      </c>
      <c r="Z1250" s="1958">
        <f>X1250+V1250+T1250+R1250</f>
        <v>0</v>
      </c>
      <c r="AA1250" s="1961">
        <f t="shared" si="365"/>
        <v>2</v>
      </c>
      <c r="AB1250" s="1960">
        <f t="shared" si="366"/>
        <v>207725000</v>
      </c>
      <c r="AC1250" s="1961">
        <f t="shared" si="367"/>
        <v>100</v>
      </c>
      <c r="AD1250" s="1961">
        <f t="shared" si="368"/>
        <v>54.993712356873395</v>
      </c>
      <c r="AE1250" s="437"/>
      <c r="AF1250" s="2085"/>
      <c r="AG1250" s="2085"/>
      <c r="AH1250" s="2085"/>
      <c r="AI1250" s="2085"/>
      <c r="AJ1250" s="2085"/>
      <c r="AK1250" s="2085"/>
      <c r="AL1250" s="2085"/>
      <c r="AM1250" s="2085"/>
      <c r="AN1250" s="2085"/>
      <c r="AO1250" s="2085"/>
      <c r="AP1250" s="2085"/>
      <c r="AQ1250" s="2085"/>
      <c r="AR1250" s="2085"/>
      <c r="AS1250" s="2085"/>
      <c r="AT1250" s="2085"/>
      <c r="AU1250" s="2085"/>
      <c r="AV1250" s="2085"/>
      <c r="AW1250" s="2085"/>
      <c r="AX1250" s="2085"/>
      <c r="AY1250" s="2085"/>
      <c r="AZ1250" s="2085"/>
      <c r="BA1250" s="2085"/>
      <c r="BB1250" s="2085"/>
      <c r="BC1250" s="2085"/>
      <c r="BD1250" s="2085"/>
      <c r="BE1250" s="2085"/>
      <c r="BF1250" s="2085"/>
      <c r="BG1250" s="2085"/>
      <c r="BH1250" s="2085"/>
      <c r="BI1250" s="2085"/>
      <c r="BJ1250" s="2085"/>
      <c r="BK1250" s="2085"/>
      <c r="BL1250" s="2085"/>
      <c r="BM1250" s="2085"/>
      <c r="BN1250" s="2085"/>
      <c r="BO1250" s="2085"/>
      <c r="BP1250" s="2085"/>
      <c r="BQ1250" s="2085"/>
      <c r="BR1250" s="2085"/>
      <c r="BS1250" s="2085"/>
      <c r="BT1250" s="2085"/>
      <c r="BU1250" s="2085"/>
      <c r="BV1250" s="2085"/>
      <c r="BW1250" s="2085"/>
      <c r="BX1250" s="2085"/>
    </row>
    <row r="1251" spans="1:76" s="2086" customFormat="1" ht="39" customHeight="1">
      <c r="A1251" s="437"/>
      <c r="B1251" s="2006"/>
      <c r="C1251" s="1955">
        <v>18</v>
      </c>
      <c r="D1251" s="1955">
        <v>19</v>
      </c>
      <c r="E1251" s="1955" t="s">
        <v>28</v>
      </c>
      <c r="F1251" s="1975"/>
      <c r="G1251" s="1975"/>
      <c r="H1251" s="2007"/>
      <c r="I1251" s="428" t="s">
        <v>3446</v>
      </c>
      <c r="J1251" s="421" t="s">
        <v>3479</v>
      </c>
      <c r="K1251" s="1956">
        <v>100</v>
      </c>
      <c r="L1251" s="1978">
        <v>197152000</v>
      </c>
      <c r="M1251" s="1551">
        <f>100/6*3</f>
        <v>50</v>
      </c>
      <c r="N1251" s="1541">
        <v>122152000</v>
      </c>
      <c r="O1251" s="1389">
        <v>0</v>
      </c>
      <c r="P1251" s="1958">
        <v>0</v>
      </c>
      <c r="Q1251" s="1959">
        <v>0</v>
      </c>
      <c r="R1251" s="1958">
        <v>0</v>
      </c>
      <c r="S1251" s="1985">
        <v>0</v>
      </c>
      <c r="T1251" s="1958">
        <v>0</v>
      </c>
      <c r="U1251" s="1958">
        <v>0</v>
      </c>
      <c r="V1251" s="1958">
        <v>0</v>
      </c>
      <c r="W1251" s="1958">
        <v>0</v>
      </c>
      <c r="X1251" s="1960">
        <v>0</v>
      </c>
      <c r="Y1251" s="1959">
        <f t="shared" si="364"/>
        <v>0</v>
      </c>
      <c r="Z1251" s="1958">
        <f>X1251+V1251+T1251+R1251</f>
        <v>0</v>
      </c>
      <c r="AA1251" s="1961">
        <f t="shared" si="365"/>
        <v>50</v>
      </c>
      <c r="AB1251" s="1960">
        <f t="shared" si="366"/>
        <v>122152000</v>
      </c>
      <c r="AC1251" s="1961">
        <f t="shared" si="367"/>
        <v>50</v>
      </c>
      <c r="AD1251" s="1961">
        <f t="shared" si="368"/>
        <v>61.958285992533682</v>
      </c>
      <c r="AE1251" s="437"/>
      <c r="AF1251" s="2085"/>
      <c r="AG1251" s="2085"/>
      <c r="AH1251" s="2085"/>
      <c r="AI1251" s="2085"/>
      <c r="AJ1251" s="2085"/>
      <c r="AK1251" s="2085"/>
      <c r="AL1251" s="2085"/>
      <c r="AM1251" s="2085"/>
      <c r="AN1251" s="2085"/>
      <c r="AO1251" s="2085"/>
      <c r="AP1251" s="2085"/>
      <c r="AQ1251" s="2085"/>
      <c r="AR1251" s="2085"/>
      <c r="AS1251" s="2085"/>
      <c r="AT1251" s="2085"/>
      <c r="AU1251" s="2085"/>
      <c r="AV1251" s="2085"/>
      <c r="AW1251" s="2085"/>
      <c r="AX1251" s="2085"/>
      <c r="AY1251" s="2085"/>
      <c r="AZ1251" s="2085"/>
      <c r="BA1251" s="2085"/>
      <c r="BB1251" s="2085"/>
      <c r="BC1251" s="2085"/>
      <c r="BD1251" s="2085"/>
      <c r="BE1251" s="2085"/>
      <c r="BF1251" s="2085"/>
      <c r="BG1251" s="2085"/>
      <c r="BH1251" s="2085"/>
      <c r="BI1251" s="2085"/>
      <c r="BJ1251" s="2085"/>
      <c r="BK1251" s="2085"/>
      <c r="BL1251" s="2085"/>
      <c r="BM1251" s="2085"/>
      <c r="BN1251" s="2085"/>
      <c r="BO1251" s="2085"/>
      <c r="BP1251" s="2085"/>
      <c r="BQ1251" s="2085"/>
      <c r="BR1251" s="2085"/>
      <c r="BS1251" s="2085"/>
      <c r="BT1251" s="2085"/>
      <c r="BU1251" s="2085"/>
      <c r="BV1251" s="2085"/>
      <c r="BW1251" s="2085"/>
      <c r="BX1251" s="2085"/>
    </row>
    <row r="1252" spans="1:76" s="2086" customFormat="1" ht="49.5">
      <c r="A1252" s="437"/>
      <c r="B1252" s="2006"/>
      <c r="C1252" s="1955">
        <v>18</v>
      </c>
      <c r="D1252" s="1955">
        <v>19</v>
      </c>
      <c r="E1252" s="1955" t="s">
        <v>39</v>
      </c>
      <c r="F1252" s="1975"/>
      <c r="G1252" s="1975"/>
      <c r="H1252" s="2007"/>
      <c r="I1252" s="1964" t="s">
        <v>3447</v>
      </c>
      <c r="J1252" s="1965" t="s">
        <v>3480</v>
      </c>
      <c r="K1252" s="1956">
        <v>4</v>
      </c>
      <c r="L1252" s="1978">
        <v>305759454</v>
      </c>
      <c r="M1252" s="1551">
        <v>2</v>
      </c>
      <c r="N1252" s="1541">
        <f>148626000+77133464</f>
        <v>225759464</v>
      </c>
      <c r="O1252" s="1389">
        <v>0</v>
      </c>
      <c r="P1252" s="1958">
        <v>0</v>
      </c>
      <c r="Q1252" s="1959">
        <v>0</v>
      </c>
      <c r="R1252" s="1958">
        <v>0</v>
      </c>
      <c r="S1252" s="1371"/>
      <c r="T1252" s="1958">
        <v>0</v>
      </c>
      <c r="U1252" s="1958"/>
      <c r="V1252" s="1958">
        <v>0</v>
      </c>
      <c r="W1252" s="1958"/>
      <c r="X1252" s="1960">
        <v>0</v>
      </c>
      <c r="Y1252" s="1959">
        <f t="shared" si="364"/>
        <v>0</v>
      </c>
      <c r="Z1252" s="1958">
        <f>X1252+V1252+T1252+R1252</f>
        <v>0</v>
      </c>
      <c r="AA1252" s="1961">
        <f t="shared" si="365"/>
        <v>2</v>
      </c>
      <c r="AB1252" s="1960">
        <f t="shared" si="366"/>
        <v>225759464</v>
      </c>
      <c r="AC1252" s="1961">
        <f t="shared" si="367"/>
        <v>50</v>
      </c>
      <c r="AD1252" s="1961">
        <f t="shared" si="368"/>
        <v>73.835644669878292</v>
      </c>
      <c r="AE1252" s="437"/>
      <c r="AF1252" s="2085"/>
      <c r="AG1252" s="2085"/>
      <c r="AH1252" s="2085"/>
      <c r="AI1252" s="2085"/>
      <c r="AJ1252" s="2085"/>
      <c r="AK1252" s="2085"/>
      <c r="AL1252" s="2085"/>
      <c r="AM1252" s="2085"/>
      <c r="AN1252" s="2085"/>
      <c r="AO1252" s="2085"/>
      <c r="AP1252" s="2085"/>
      <c r="AQ1252" s="2085"/>
      <c r="AR1252" s="2085"/>
      <c r="AS1252" s="2085"/>
      <c r="AT1252" s="2085"/>
      <c r="AU1252" s="2085"/>
      <c r="AV1252" s="2085"/>
      <c r="AW1252" s="2085"/>
      <c r="AX1252" s="2085"/>
      <c r="AY1252" s="2085"/>
      <c r="AZ1252" s="2085"/>
      <c r="BA1252" s="2085"/>
      <c r="BB1252" s="2085"/>
      <c r="BC1252" s="2085"/>
      <c r="BD1252" s="2085"/>
      <c r="BE1252" s="2085"/>
      <c r="BF1252" s="2085"/>
      <c r="BG1252" s="2085"/>
      <c r="BH1252" s="2085"/>
      <c r="BI1252" s="2085"/>
      <c r="BJ1252" s="2085"/>
      <c r="BK1252" s="2085"/>
      <c r="BL1252" s="2085"/>
      <c r="BM1252" s="2085"/>
      <c r="BN1252" s="2085"/>
      <c r="BO1252" s="2085"/>
      <c r="BP1252" s="2085"/>
      <c r="BQ1252" s="2085"/>
      <c r="BR1252" s="2085"/>
      <c r="BS1252" s="2085"/>
      <c r="BT1252" s="2085"/>
      <c r="BU1252" s="2085"/>
      <c r="BV1252" s="2085"/>
      <c r="BW1252" s="2085"/>
      <c r="BX1252" s="2085"/>
    </row>
    <row r="1253" spans="1:76" s="2086" customFormat="1" ht="82.5">
      <c r="A1253" s="437"/>
      <c r="B1253" s="2006"/>
      <c r="C1253" s="1955">
        <v>18</v>
      </c>
      <c r="D1253" s="1955" t="s">
        <v>25</v>
      </c>
      <c r="E1253" s="1955">
        <v>16</v>
      </c>
      <c r="F1253" s="2008" t="s">
        <v>39</v>
      </c>
      <c r="G1253" s="1975"/>
      <c r="H1253" s="2007"/>
      <c r="I1253" s="428" t="s">
        <v>3448</v>
      </c>
      <c r="J1253" s="421" t="s">
        <v>3481</v>
      </c>
      <c r="K1253" s="1956">
        <v>200</v>
      </c>
      <c r="L1253" s="1978">
        <v>50000000</v>
      </c>
      <c r="M1253" s="1551">
        <v>0</v>
      </c>
      <c r="N1253" s="1541">
        <v>0</v>
      </c>
      <c r="O1253" s="460">
        <v>100</v>
      </c>
      <c r="P1253" s="1958">
        <v>12155000</v>
      </c>
      <c r="Q1253" s="1959">
        <v>7</v>
      </c>
      <c r="R1253" s="1958">
        <f>0+660500</f>
        <v>660500</v>
      </c>
      <c r="S1253" s="1958">
        <v>58</v>
      </c>
      <c r="T1253" s="1958">
        <v>7895850</v>
      </c>
      <c r="U1253" s="1958"/>
      <c r="V1253" s="1958"/>
      <c r="W1253" s="1958"/>
      <c r="X1253" s="1960"/>
      <c r="Y1253" s="1959">
        <f t="shared" si="364"/>
        <v>65</v>
      </c>
      <c r="Z1253" s="1958">
        <f>R1253</f>
        <v>660500</v>
      </c>
      <c r="AA1253" s="1961">
        <f t="shared" si="365"/>
        <v>65</v>
      </c>
      <c r="AB1253" s="1960">
        <f t="shared" si="366"/>
        <v>660500</v>
      </c>
      <c r="AC1253" s="1961">
        <f t="shared" si="367"/>
        <v>32.5</v>
      </c>
      <c r="AD1253" s="1961">
        <f t="shared" si="368"/>
        <v>1.321</v>
      </c>
      <c r="AE1253" s="437"/>
      <c r="AF1253" s="2085"/>
      <c r="AG1253" s="2085"/>
      <c r="AH1253" s="2085"/>
      <c r="AI1253" s="2085"/>
      <c r="AJ1253" s="2085"/>
      <c r="AK1253" s="2085"/>
      <c r="AL1253" s="2085"/>
      <c r="AM1253" s="2085"/>
      <c r="AN1253" s="2085"/>
      <c r="AO1253" s="2085"/>
      <c r="AP1253" s="2085"/>
      <c r="AQ1253" s="2085"/>
      <c r="AR1253" s="2085"/>
      <c r="AS1253" s="2085"/>
      <c r="AT1253" s="2085"/>
      <c r="AU1253" s="2085"/>
      <c r="AV1253" s="2085"/>
      <c r="AW1253" s="2085"/>
      <c r="AX1253" s="2085"/>
      <c r="AY1253" s="2085"/>
      <c r="AZ1253" s="2085"/>
      <c r="BA1253" s="2085"/>
      <c r="BB1253" s="2085"/>
      <c r="BC1253" s="2085"/>
      <c r="BD1253" s="2085"/>
      <c r="BE1253" s="2085"/>
      <c r="BF1253" s="2085"/>
      <c r="BG1253" s="2085"/>
      <c r="BH1253" s="2085"/>
      <c r="BI1253" s="2085"/>
      <c r="BJ1253" s="2085"/>
      <c r="BK1253" s="2085"/>
      <c r="BL1253" s="2085"/>
      <c r="BM1253" s="2085"/>
      <c r="BN1253" s="2085"/>
      <c r="BO1253" s="2085"/>
      <c r="BP1253" s="2085"/>
      <c r="BQ1253" s="2085"/>
      <c r="BR1253" s="2085"/>
      <c r="BS1253" s="2085"/>
      <c r="BT1253" s="2085"/>
      <c r="BU1253" s="2085"/>
      <c r="BV1253" s="2085"/>
      <c r="BW1253" s="2085"/>
      <c r="BX1253" s="2085"/>
    </row>
    <row r="1254" spans="1:76" s="2086" customFormat="1" ht="63" customHeight="1">
      <c r="A1254" s="437"/>
      <c r="B1254" s="2006"/>
      <c r="C1254" s="1955">
        <v>18</v>
      </c>
      <c r="D1254" s="1955">
        <v>19</v>
      </c>
      <c r="E1254" s="1955" t="s">
        <v>38</v>
      </c>
      <c r="F1254" s="1975"/>
      <c r="G1254" s="1975"/>
      <c r="H1254" s="2009"/>
      <c r="I1254" s="428" t="s">
        <v>3449</v>
      </c>
      <c r="J1254" s="421" t="s">
        <v>3482</v>
      </c>
      <c r="K1254" s="1956">
        <v>6</v>
      </c>
      <c r="L1254" s="1978">
        <v>924898054</v>
      </c>
      <c r="M1254" s="1551">
        <v>3</v>
      </c>
      <c r="N1254" s="1535">
        <f>227200500+92697554</f>
        <v>319898054</v>
      </c>
      <c r="O1254" s="460">
        <v>1</v>
      </c>
      <c r="P1254" s="1958">
        <v>72862000</v>
      </c>
      <c r="Q1254" s="1959">
        <v>0</v>
      </c>
      <c r="R1254" s="1958">
        <f>2450000+1675000</f>
        <v>4125000</v>
      </c>
      <c r="S1254" s="1371"/>
      <c r="T1254" s="1958">
        <v>60964800</v>
      </c>
      <c r="U1254" s="1958"/>
      <c r="V1254" s="1958">
        <v>0</v>
      </c>
      <c r="W1254" s="1958"/>
      <c r="X1254" s="1960">
        <v>0</v>
      </c>
      <c r="Y1254" s="1959">
        <f t="shared" si="364"/>
        <v>0</v>
      </c>
      <c r="Z1254" s="1958">
        <f t="shared" ref="Z1254:Z1261" si="369">X1254+V1254+T1254+R1254</f>
        <v>65089800</v>
      </c>
      <c r="AA1254" s="1961">
        <f t="shared" si="365"/>
        <v>3</v>
      </c>
      <c r="AB1254" s="1960">
        <f t="shared" si="366"/>
        <v>384987854</v>
      </c>
      <c r="AC1254" s="1961">
        <f t="shared" si="367"/>
        <v>50</v>
      </c>
      <c r="AD1254" s="1961">
        <f t="shared" si="368"/>
        <v>41.624896099089426</v>
      </c>
      <c r="AE1254" s="437"/>
      <c r="AF1254" s="2085"/>
      <c r="AG1254" s="2085"/>
      <c r="AH1254" s="2085"/>
      <c r="AI1254" s="2085"/>
      <c r="AJ1254" s="2085"/>
      <c r="AK1254" s="2085"/>
      <c r="AL1254" s="2085"/>
      <c r="AM1254" s="2085"/>
      <c r="AN1254" s="2085"/>
      <c r="AO1254" s="2085"/>
      <c r="AP1254" s="2085"/>
      <c r="AQ1254" s="2085"/>
      <c r="AR1254" s="2085"/>
      <c r="AS1254" s="2085"/>
      <c r="AT1254" s="2085"/>
      <c r="AU1254" s="2085"/>
      <c r="AV1254" s="2085"/>
      <c r="AW1254" s="2085"/>
      <c r="AX1254" s="2085"/>
      <c r="AY1254" s="2085"/>
      <c r="AZ1254" s="2085"/>
      <c r="BA1254" s="2085"/>
      <c r="BB1254" s="2085"/>
      <c r="BC1254" s="2085"/>
      <c r="BD1254" s="2085"/>
      <c r="BE1254" s="2085"/>
      <c r="BF1254" s="2085"/>
      <c r="BG1254" s="2085"/>
      <c r="BH1254" s="2085"/>
      <c r="BI1254" s="2085"/>
      <c r="BJ1254" s="2085"/>
      <c r="BK1254" s="2085"/>
      <c r="BL1254" s="2085"/>
      <c r="BM1254" s="2085"/>
      <c r="BN1254" s="2085"/>
      <c r="BO1254" s="2085"/>
      <c r="BP1254" s="2085"/>
      <c r="BQ1254" s="2085"/>
      <c r="BR1254" s="2085"/>
      <c r="BS1254" s="2085"/>
      <c r="BT1254" s="2085"/>
      <c r="BU1254" s="2085"/>
      <c r="BV1254" s="2085"/>
      <c r="BW1254" s="2085"/>
      <c r="BX1254" s="2085"/>
    </row>
    <row r="1255" spans="1:76" s="2086" customFormat="1" ht="69" customHeight="1">
      <c r="A1255" s="437"/>
      <c r="B1255" s="2006"/>
      <c r="C1255" s="1955">
        <v>18</v>
      </c>
      <c r="D1255" s="1955">
        <v>19</v>
      </c>
      <c r="E1255" s="1955" t="s">
        <v>56</v>
      </c>
      <c r="F1255" s="1975"/>
      <c r="G1255" s="1975"/>
      <c r="H1255" s="2009"/>
      <c r="I1255" s="428" t="s">
        <v>3450</v>
      </c>
      <c r="J1255" s="421" t="s">
        <v>3483</v>
      </c>
      <c r="K1255" s="1956">
        <v>72</v>
      </c>
      <c r="L1255" s="1957">
        <v>311000000</v>
      </c>
      <c r="M1255" s="1551">
        <v>36</v>
      </c>
      <c r="N1255" s="1541">
        <v>56638958</v>
      </c>
      <c r="O1255" s="460">
        <v>12</v>
      </c>
      <c r="P1255" s="1958">
        <v>90185200</v>
      </c>
      <c r="Q1255" s="1959">
        <v>3</v>
      </c>
      <c r="R1255" s="1958">
        <f>2000000+6564700</f>
        <v>8564700</v>
      </c>
      <c r="S1255" s="1371">
        <v>25</v>
      </c>
      <c r="T1255" s="1958">
        <v>17837700</v>
      </c>
      <c r="U1255" s="1958"/>
      <c r="V1255" s="1958">
        <v>0</v>
      </c>
      <c r="W1255" s="1958"/>
      <c r="X1255" s="1960">
        <v>0</v>
      </c>
      <c r="Y1255" s="1959">
        <f t="shared" si="364"/>
        <v>28</v>
      </c>
      <c r="Z1255" s="1958">
        <f t="shared" si="369"/>
        <v>26402400</v>
      </c>
      <c r="AA1255" s="1961">
        <f t="shared" si="365"/>
        <v>64</v>
      </c>
      <c r="AB1255" s="1960">
        <f t="shared" si="366"/>
        <v>83041358</v>
      </c>
      <c r="AC1255" s="1961">
        <f t="shared" si="367"/>
        <v>88.888888888888886</v>
      </c>
      <c r="AD1255" s="1961">
        <f t="shared" si="368"/>
        <v>26.701401286173631</v>
      </c>
      <c r="AE1255" s="437"/>
      <c r="AF1255" s="2085"/>
      <c r="AG1255" s="2085"/>
      <c r="AH1255" s="2085"/>
      <c r="AI1255" s="2085"/>
      <c r="AJ1255" s="2085"/>
      <c r="AK1255" s="2085"/>
      <c r="AL1255" s="2085"/>
      <c r="AM1255" s="2085"/>
      <c r="AN1255" s="2085"/>
      <c r="AO1255" s="2085"/>
      <c r="AP1255" s="2085"/>
      <c r="AQ1255" s="2085"/>
      <c r="AR1255" s="2085"/>
      <c r="AS1255" s="2085"/>
      <c r="AT1255" s="2085"/>
      <c r="AU1255" s="2085"/>
      <c r="AV1255" s="2085"/>
      <c r="AW1255" s="2085"/>
      <c r="AX1255" s="2085"/>
      <c r="AY1255" s="2085"/>
      <c r="AZ1255" s="2085"/>
      <c r="BA1255" s="2085"/>
      <c r="BB1255" s="2085"/>
      <c r="BC1255" s="2085"/>
      <c r="BD1255" s="2085"/>
      <c r="BE1255" s="2085"/>
      <c r="BF1255" s="2085"/>
      <c r="BG1255" s="2085"/>
      <c r="BH1255" s="2085"/>
      <c r="BI1255" s="2085"/>
      <c r="BJ1255" s="2085"/>
      <c r="BK1255" s="2085"/>
      <c r="BL1255" s="2085"/>
      <c r="BM1255" s="2085"/>
      <c r="BN1255" s="2085"/>
      <c r="BO1255" s="2085"/>
      <c r="BP1255" s="2085"/>
      <c r="BQ1255" s="2085"/>
      <c r="BR1255" s="2085"/>
      <c r="BS1255" s="2085"/>
      <c r="BT1255" s="2085"/>
      <c r="BU1255" s="2085"/>
      <c r="BV1255" s="2085"/>
      <c r="BW1255" s="2085"/>
      <c r="BX1255" s="2085"/>
    </row>
    <row r="1256" spans="1:76" s="2086" customFormat="1" ht="62.25" customHeight="1">
      <c r="A1256" s="437"/>
      <c r="B1256" s="2006"/>
      <c r="C1256" s="1955">
        <v>18</v>
      </c>
      <c r="D1256" s="1955">
        <v>19</v>
      </c>
      <c r="E1256" s="1955" t="s">
        <v>29</v>
      </c>
      <c r="F1256" s="1955"/>
      <c r="G1256" s="1975"/>
      <c r="H1256" s="2007"/>
      <c r="I1256" s="1964" t="s">
        <v>3451</v>
      </c>
      <c r="J1256" s="421" t="s">
        <v>3484</v>
      </c>
      <c r="K1256" s="1956">
        <v>72</v>
      </c>
      <c r="L1256" s="1978">
        <v>833244056</v>
      </c>
      <c r="M1256" s="1551">
        <v>36</v>
      </c>
      <c r="N1256" s="1541">
        <f>379094510+243345696</f>
        <v>622440206</v>
      </c>
      <c r="O1256" s="460">
        <v>12</v>
      </c>
      <c r="P1256" s="1958">
        <v>228498000</v>
      </c>
      <c r="Q1256" s="1959">
        <v>3</v>
      </c>
      <c r="R1256" s="1958">
        <f>24609050+19279400</f>
        <v>43888450</v>
      </c>
      <c r="S1256" s="1978">
        <v>25</v>
      </c>
      <c r="T1256" s="1958">
        <v>43712250</v>
      </c>
      <c r="U1256" s="1958"/>
      <c r="V1256" s="1958">
        <v>0</v>
      </c>
      <c r="W1256" s="1958"/>
      <c r="X1256" s="1960">
        <v>0</v>
      </c>
      <c r="Y1256" s="1959">
        <f t="shared" si="364"/>
        <v>28</v>
      </c>
      <c r="Z1256" s="1958">
        <f t="shared" si="369"/>
        <v>87600700</v>
      </c>
      <c r="AA1256" s="1961">
        <f t="shared" si="365"/>
        <v>64</v>
      </c>
      <c r="AB1256" s="1960">
        <f t="shared" si="366"/>
        <v>710040906</v>
      </c>
      <c r="AC1256" s="1961">
        <f t="shared" si="367"/>
        <v>88.888888888888886</v>
      </c>
      <c r="AD1256" s="1961">
        <f t="shared" si="368"/>
        <v>85.214037938483656</v>
      </c>
      <c r="AE1256" s="437"/>
      <c r="AF1256" s="2085"/>
      <c r="AG1256" s="2085"/>
      <c r="AH1256" s="2085"/>
      <c r="AI1256" s="2085"/>
      <c r="AJ1256" s="2085"/>
      <c r="AK1256" s="2085"/>
      <c r="AL1256" s="2085"/>
      <c r="AM1256" s="2085"/>
      <c r="AN1256" s="2085"/>
      <c r="AO1256" s="2085"/>
      <c r="AP1256" s="2085"/>
      <c r="AQ1256" s="2085"/>
      <c r="AR1256" s="2085"/>
      <c r="AS1256" s="2085"/>
      <c r="AT1256" s="2085"/>
      <c r="AU1256" s="2085"/>
      <c r="AV1256" s="2085"/>
      <c r="AW1256" s="2085"/>
      <c r="AX1256" s="2085"/>
      <c r="AY1256" s="2085"/>
      <c r="AZ1256" s="2085"/>
      <c r="BA1256" s="2085"/>
      <c r="BB1256" s="2085"/>
      <c r="BC1256" s="2085"/>
      <c r="BD1256" s="2085"/>
      <c r="BE1256" s="2085"/>
      <c r="BF1256" s="2085"/>
      <c r="BG1256" s="2085"/>
      <c r="BH1256" s="2085"/>
      <c r="BI1256" s="2085"/>
      <c r="BJ1256" s="2085"/>
      <c r="BK1256" s="2085"/>
      <c r="BL1256" s="2085"/>
      <c r="BM1256" s="2085"/>
      <c r="BN1256" s="2085"/>
      <c r="BO1256" s="2085"/>
      <c r="BP1256" s="2085"/>
      <c r="BQ1256" s="2085"/>
      <c r="BR1256" s="2085"/>
      <c r="BS1256" s="2085"/>
      <c r="BT1256" s="2085"/>
      <c r="BU1256" s="2085"/>
      <c r="BV1256" s="2085"/>
      <c r="BW1256" s="2085"/>
      <c r="BX1256" s="2085"/>
    </row>
    <row r="1257" spans="1:76" s="2086" customFormat="1" ht="70.5" customHeight="1">
      <c r="A1257" s="437"/>
      <c r="B1257" s="2006"/>
      <c r="C1257" s="1955">
        <v>18</v>
      </c>
      <c r="D1257" s="1955">
        <v>19</v>
      </c>
      <c r="E1257" s="2010">
        <v>13</v>
      </c>
      <c r="F1257" s="1955"/>
      <c r="G1257" s="1975"/>
      <c r="H1257" s="2831"/>
      <c r="I1257" s="1964" t="s">
        <v>3452</v>
      </c>
      <c r="J1257" s="421" t="s">
        <v>3485</v>
      </c>
      <c r="K1257" s="1956">
        <v>72</v>
      </c>
      <c r="L1257" s="1978">
        <v>607575430</v>
      </c>
      <c r="M1257" s="1551">
        <v>36</v>
      </c>
      <c r="N1257" s="1541">
        <f>135223000+153227430</f>
        <v>288450430</v>
      </c>
      <c r="O1257" s="460">
        <v>12</v>
      </c>
      <c r="P1257" s="1958">
        <v>157014900</v>
      </c>
      <c r="Q1257" s="1959">
        <v>3</v>
      </c>
      <c r="R1257" s="1958">
        <f>9465000+12366700</f>
        <v>21831700</v>
      </c>
      <c r="S1257" s="1371">
        <v>25</v>
      </c>
      <c r="T1257" s="1958">
        <v>31270000</v>
      </c>
      <c r="U1257" s="1958"/>
      <c r="V1257" s="1958">
        <v>0</v>
      </c>
      <c r="W1257" s="1958"/>
      <c r="X1257" s="1960">
        <v>0</v>
      </c>
      <c r="Y1257" s="1959">
        <f t="shared" si="364"/>
        <v>28</v>
      </c>
      <c r="Z1257" s="1958">
        <f t="shared" si="369"/>
        <v>53101700</v>
      </c>
      <c r="AA1257" s="1961">
        <f t="shared" si="365"/>
        <v>64</v>
      </c>
      <c r="AB1257" s="1960">
        <f t="shared" si="366"/>
        <v>341552130</v>
      </c>
      <c r="AC1257" s="1961">
        <f t="shared" si="367"/>
        <v>88.888888888888886</v>
      </c>
      <c r="AD1257" s="1961">
        <f t="shared" si="368"/>
        <v>56.215592852396945</v>
      </c>
      <c r="AE1257" s="437"/>
      <c r="AF1257" s="2085"/>
      <c r="AG1257" s="2085"/>
      <c r="AH1257" s="2085"/>
      <c r="AI1257" s="2085"/>
      <c r="AJ1257" s="2085"/>
      <c r="AK1257" s="2085"/>
      <c r="AL1257" s="2085"/>
      <c r="AM1257" s="2085"/>
      <c r="AN1257" s="2085"/>
      <c r="AO1257" s="2085"/>
      <c r="AP1257" s="2085"/>
      <c r="AQ1257" s="2085"/>
      <c r="AR1257" s="2085"/>
      <c r="AS1257" s="2085"/>
      <c r="AT1257" s="2085"/>
      <c r="AU1257" s="2085"/>
      <c r="AV1257" s="2085"/>
      <c r="AW1257" s="2085"/>
      <c r="AX1257" s="2085"/>
      <c r="AY1257" s="2085"/>
      <c r="AZ1257" s="2085"/>
      <c r="BA1257" s="2085"/>
      <c r="BB1257" s="2085"/>
      <c r="BC1257" s="2085"/>
      <c r="BD1257" s="2085"/>
      <c r="BE1257" s="2085"/>
      <c r="BF1257" s="2085"/>
      <c r="BG1257" s="2085"/>
      <c r="BH1257" s="2085"/>
      <c r="BI1257" s="2085"/>
      <c r="BJ1257" s="2085"/>
      <c r="BK1257" s="2085"/>
      <c r="BL1257" s="2085"/>
      <c r="BM1257" s="2085"/>
      <c r="BN1257" s="2085"/>
      <c r="BO1257" s="2085"/>
      <c r="BP1257" s="2085"/>
      <c r="BQ1257" s="2085"/>
      <c r="BR1257" s="2085"/>
      <c r="BS1257" s="2085"/>
      <c r="BT1257" s="2085"/>
      <c r="BU1257" s="2085"/>
      <c r="BV1257" s="2085"/>
      <c r="BW1257" s="2085"/>
      <c r="BX1257" s="2085"/>
    </row>
    <row r="1258" spans="1:76" s="2086" customFormat="1" ht="49.5">
      <c r="A1258" s="437"/>
      <c r="B1258" s="2006"/>
      <c r="C1258" s="1955">
        <v>18</v>
      </c>
      <c r="D1258" s="1955">
        <v>19</v>
      </c>
      <c r="E1258" s="2010">
        <v>10</v>
      </c>
      <c r="F1258" s="1955"/>
      <c r="G1258" s="1975"/>
      <c r="H1258" s="2831"/>
      <c r="I1258" s="1964" t="s">
        <v>3453</v>
      </c>
      <c r="J1258" s="421" t="s">
        <v>3478</v>
      </c>
      <c r="K1258" s="1956">
        <v>6</v>
      </c>
      <c r="L1258" s="1978">
        <v>299286500</v>
      </c>
      <c r="M1258" s="1551">
        <v>3</v>
      </c>
      <c r="N1258" s="1541">
        <v>19286500</v>
      </c>
      <c r="O1258" s="460">
        <v>3</v>
      </c>
      <c r="P1258" s="1958">
        <v>56095000</v>
      </c>
      <c r="Q1258" s="1959">
        <v>0</v>
      </c>
      <c r="R1258" s="1958">
        <f>0+0</f>
        <v>0</v>
      </c>
      <c r="S1258" s="1958">
        <v>0</v>
      </c>
      <c r="T1258" s="1958">
        <v>0</v>
      </c>
      <c r="U1258" s="1958">
        <v>0</v>
      </c>
      <c r="V1258" s="1958">
        <v>0</v>
      </c>
      <c r="W1258" s="1958">
        <v>0</v>
      </c>
      <c r="X1258" s="1960">
        <v>0</v>
      </c>
      <c r="Y1258" s="1959">
        <f t="shared" si="364"/>
        <v>0</v>
      </c>
      <c r="Z1258" s="1958">
        <f t="shared" si="369"/>
        <v>0</v>
      </c>
      <c r="AA1258" s="1961">
        <f t="shared" si="365"/>
        <v>3</v>
      </c>
      <c r="AB1258" s="1960">
        <f t="shared" si="366"/>
        <v>19286500</v>
      </c>
      <c r="AC1258" s="1961">
        <f t="shared" si="367"/>
        <v>50</v>
      </c>
      <c r="AD1258" s="1961">
        <f t="shared" si="368"/>
        <v>6.4441596931368448</v>
      </c>
      <c r="AE1258" s="437"/>
      <c r="AF1258" s="2085"/>
      <c r="AG1258" s="2085"/>
      <c r="AH1258" s="2085"/>
      <c r="AI1258" s="2085"/>
      <c r="AJ1258" s="2085"/>
      <c r="AK1258" s="2085"/>
      <c r="AL1258" s="2085"/>
      <c r="AM1258" s="2085"/>
      <c r="AN1258" s="2085"/>
      <c r="AO1258" s="2085"/>
      <c r="AP1258" s="2085"/>
      <c r="AQ1258" s="2085"/>
      <c r="AR1258" s="2085"/>
      <c r="AS1258" s="2085"/>
      <c r="AT1258" s="2085"/>
      <c r="AU1258" s="2085"/>
      <c r="AV1258" s="2085"/>
      <c r="AW1258" s="2085"/>
      <c r="AX1258" s="2085"/>
      <c r="AY1258" s="2085"/>
      <c r="AZ1258" s="2085"/>
      <c r="BA1258" s="2085"/>
      <c r="BB1258" s="2085"/>
      <c r="BC1258" s="2085"/>
      <c r="BD1258" s="2085"/>
      <c r="BE1258" s="2085"/>
      <c r="BF1258" s="2085"/>
      <c r="BG1258" s="2085"/>
      <c r="BH1258" s="2085"/>
      <c r="BI1258" s="2085"/>
      <c r="BJ1258" s="2085"/>
      <c r="BK1258" s="2085"/>
      <c r="BL1258" s="2085"/>
      <c r="BM1258" s="2085"/>
      <c r="BN1258" s="2085"/>
      <c r="BO1258" s="2085"/>
      <c r="BP1258" s="2085"/>
      <c r="BQ1258" s="2085"/>
      <c r="BR1258" s="2085"/>
      <c r="BS1258" s="2085"/>
      <c r="BT1258" s="2085"/>
      <c r="BU1258" s="2085"/>
      <c r="BV1258" s="2085"/>
      <c r="BW1258" s="2085"/>
      <c r="BX1258" s="2085"/>
    </row>
    <row r="1259" spans="1:76" s="2086" customFormat="1" ht="61.5" customHeight="1">
      <c r="A1259" s="437"/>
      <c r="B1259" s="2006"/>
      <c r="C1259" s="1955">
        <v>18</v>
      </c>
      <c r="D1259" s="1955">
        <v>19</v>
      </c>
      <c r="E1259" s="2010">
        <v>12</v>
      </c>
      <c r="F1259" s="1955"/>
      <c r="G1259" s="1975"/>
      <c r="H1259" s="2007"/>
      <c r="I1259" s="428" t="s">
        <v>3454</v>
      </c>
      <c r="J1259" s="1965" t="s">
        <v>3486</v>
      </c>
      <c r="K1259" s="1956">
        <v>5</v>
      </c>
      <c r="L1259" s="1978">
        <v>90373000</v>
      </c>
      <c r="M1259" s="1551">
        <v>1</v>
      </c>
      <c r="N1259" s="1541">
        <v>20373000</v>
      </c>
      <c r="O1259" s="1389">
        <v>0</v>
      </c>
      <c r="P1259" s="1958">
        <v>0</v>
      </c>
      <c r="Q1259" s="1959">
        <v>0</v>
      </c>
      <c r="R1259" s="1958">
        <v>0</v>
      </c>
      <c r="S1259" s="1958">
        <v>0</v>
      </c>
      <c r="T1259" s="1958">
        <v>0</v>
      </c>
      <c r="U1259" s="1958">
        <v>0</v>
      </c>
      <c r="V1259" s="1958">
        <v>0</v>
      </c>
      <c r="W1259" s="1958">
        <v>0</v>
      </c>
      <c r="X1259" s="1960">
        <v>0</v>
      </c>
      <c r="Y1259" s="1959">
        <f t="shared" si="364"/>
        <v>0</v>
      </c>
      <c r="Z1259" s="1958">
        <f t="shared" si="369"/>
        <v>0</v>
      </c>
      <c r="AA1259" s="1961">
        <f t="shared" si="365"/>
        <v>1</v>
      </c>
      <c r="AB1259" s="1960">
        <f t="shared" si="366"/>
        <v>20373000</v>
      </c>
      <c r="AC1259" s="1961">
        <f t="shared" si="367"/>
        <v>20</v>
      </c>
      <c r="AD1259" s="1961">
        <f t="shared" si="368"/>
        <v>22.543237471368659</v>
      </c>
      <c r="AE1259" s="437"/>
      <c r="AF1259" s="2085"/>
      <c r="AG1259" s="2085"/>
      <c r="AH1259" s="2085"/>
      <c r="AI1259" s="2085"/>
      <c r="AJ1259" s="2085"/>
      <c r="AK1259" s="2085"/>
      <c r="AL1259" s="2085"/>
      <c r="AM1259" s="2085"/>
      <c r="AN1259" s="2085"/>
      <c r="AO1259" s="2085"/>
      <c r="AP1259" s="2085"/>
      <c r="AQ1259" s="2085"/>
      <c r="AR1259" s="2085"/>
      <c r="AS1259" s="2085"/>
      <c r="AT1259" s="2085"/>
      <c r="AU1259" s="2085"/>
      <c r="AV1259" s="2085"/>
      <c r="AW1259" s="2085"/>
      <c r="AX1259" s="2085"/>
      <c r="AY1259" s="2085"/>
      <c r="AZ1259" s="2085"/>
      <c r="BA1259" s="2085"/>
      <c r="BB1259" s="2085"/>
      <c r="BC1259" s="2085"/>
      <c r="BD1259" s="2085"/>
      <c r="BE1259" s="2085"/>
      <c r="BF1259" s="2085"/>
      <c r="BG1259" s="2085"/>
      <c r="BH1259" s="2085"/>
      <c r="BI1259" s="2085"/>
      <c r="BJ1259" s="2085"/>
      <c r="BK1259" s="2085"/>
      <c r="BL1259" s="2085"/>
      <c r="BM1259" s="2085"/>
      <c r="BN1259" s="2085"/>
      <c r="BO1259" s="2085"/>
      <c r="BP1259" s="2085"/>
      <c r="BQ1259" s="2085"/>
      <c r="BR1259" s="2085"/>
      <c r="BS1259" s="2085"/>
      <c r="BT1259" s="2085"/>
      <c r="BU1259" s="2085"/>
      <c r="BV1259" s="2085"/>
      <c r="BW1259" s="2085"/>
      <c r="BX1259" s="2085"/>
    </row>
    <row r="1260" spans="1:76" s="2086" customFormat="1" ht="54" customHeight="1">
      <c r="A1260" s="437"/>
      <c r="B1260" s="421"/>
      <c r="C1260" s="1955" t="s">
        <v>28</v>
      </c>
      <c r="D1260" s="1955">
        <v>18</v>
      </c>
      <c r="E1260" s="2010">
        <v>16</v>
      </c>
      <c r="F1260" s="1955">
        <v>13</v>
      </c>
      <c r="G1260" s="1975"/>
      <c r="H1260" s="2007"/>
      <c r="I1260" s="428" t="s">
        <v>3455</v>
      </c>
      <c r="J1260" s="421" t="s">
        <v>3456</v>
      </c>
      <c r="K1260" s="1956">
        <v>1</v>
      </c>
      <c r="L1260" s="2011">
        <v>59999900</v>
      </c>
      <c r="M1260" s="1551">
        <v>1</v>
      </c>
      <c r="N1260" s="1541">
        <v>15884740</v>
      </c>
      <c r="O1260" s="1389">
        <v>0</v>
      </c>
      <c r="P1260" s="1958">
        <v>0</v>
      </c>
      <c r="Q1260" s="1959"/>
      <c r="R1260" s="1958">
        <v>0</v>
      </c>
      <c r="S1260" s="1958">
        <v>0</v>
      </c>
      <c r="T1260" s="1958">
        <v>0</v>
      </c>
      <c r="U1260" s="1958">
        <v>0</v>
      </c>
      <c r="V1260" s="1958">
        <v>0</v>
      </c>
      <c r="W1260" s="1958">
        <v>0</v>
      </c>
      <c r="X1260" s="1960">
        <v>0</v>
      </c>
      <c r="Y1260" s="1959">
        <f t="shared" si="364"/>
        <v>0</v>
      </c>
      <c r="Z1260" s="1958">
        <f t="shared" si="369"/>
        <v>0</v>
      </c>
      <c r="AA1260" s="1961">
        <f t="shared" si="365"/>
        <v>1</v>
      </c>
      <c r="AB1260" s="1960">
        <f t="shared" si="366"/>
        <v>15884740</v>
      </c>
      <c r="AC1260" s="1961">
        <f t="shared" si="367"/>
        <v>100</v>
      </c>
      <c r="AD1260" s="1961">
        <f t="shared" si="368"/>
        <v>26.474610791017984</v>
      </c>
      <c r="AE1260" s="437"/>
      <c r="AF1260" s="2085"/>
      <c r="AG1260" s="2085"/>
      <c r="AH1260" s="2085"/>
      <c r="AI1260" s="2085"/>
      <c r="AJ1260" s="2085"/>
      <c r="AK1260" s="2085"/>
      <c r="AL1260" s="2085"/>
      <c r="AM1260" s="2085"/>
      <c r="AN1260" s="2085"/>
      <c r="AO1260" s="2085"/>
      <c r="AP1260" s="2085"/>
      <c r="AQ1260" s="2085"/>
      <c r="AR1260" s="2085"/>
      <c r="AS1260" s="2085"/>
      <c r="AT1260" s="2085"/>
      <c r="AU1260" s="2085"/>
      <c r="AV1260" s="2085"/>
      <c r="AW1260" s="2085"/>
      <c r="AX1260" s="2085"/>
      <c r="AY1260" s="2085"/>
      <c r="AZ1260" s="2085"/>
      <c r="BA1260" s="2085"/>
      <c r="BB1260" s="2085"/>
      <c r="BC1260" s="2085"/>
      <c r="BD1260" s="2085"/>
      <c r="BE1260" s="2085"/>
      <c r="BF1260" s="2085"/>
      <c r="BG1260" s="2085"/>
      <c r="BH1260" s="2085"/>
      <c r="BI1260" s="2085"/>
      <c r="BJ1260" s="2085"/>
      <c r="BK1260" s="2085"/>
      <c r="BL1260" s="2085"/>
      <c r="BM1260" s="2085"/>
      <c r="BN1260" s="2085"/>
      <c r="BO1260" s="2085"/>
      <c r="BP1260" s="2085"/>
      <c r="BQ1260" s="2085"/>
      <c r="BR1260" s="2085"/>
      <c r="BS1260" s="2085"/>
      <c r="BT1260" s="2085"/>
      <c r="BU1260" s="2085"/>
      <c r="BV1260" s="2085"/>
      <c r="BW1260" s="2085"/>
      <c r="BX1260" s="2085"/>
    </row>
    <row r="1261" spans="1:76" s="2086" customFormat="1" ht="54.75" customHeight="1">
      <c r="A1261" s="2087"/>
      <c r="B1261" s="341"/>
      <c r="C1261" s="1987">
        <v>18</v>
      </c>
      <c r="D1261" s="1987">
        <v>19</v>
      </c>
      <c r="E1261" s="2012">
        <v>23</v>
      </c>
      <c r="F1261" s="1987"/>
      <c r="G1261" s="2013"/>
      <c r="H1261" s="1988"/>
      <c r="I1261" s="2014" t="s">
        <v>3457</v>
      </c>
      <c r="J1261" s="341" t="s">
        <v>3487</v>
      </c>
      <c r="K1261" s="1988">
        <v>200</v>
      </c>
      <c r="L1261" s="1991">
        <v>100000000</v>
      </c>
      <c r="M1261" s="1992">
        <f t="shared" ref="M1261" si="370">100/6*3</f>
        <v>50</v>
      </c>
      <c r="N1261" s="1993">
        <v>36186246</v>
      </c>
      <c r="O1261" s="2015">
        <v>20</v>
      </c>
      <c r="P1261" s="1990">
        <v>40971000</v>
      </c>
      <c r="Q1261" s="1995">
        <v>9</v>
      </c>
      <c r="R1261" s="1990">
        <f>0+725000</f>
        <v>725000</v>
      </c>
      <c r="S1261" s="1990">
        <v>100</v>
      </c>
      <c r="T1261" s="1990">
        <v>37364200</v>
      </c>
      <c r="U1261" s="1990"/>
      <c r="V1261" s="1990">
        <v>0</v>
      </c>
      <c r="W1261" s="1990"/>
      <c r="X1261" s="1997">
        <v>0</v>
      </c>
      <c r="Y1261" s="1995">
        <f t="shared" si="364"/>
        <v>109</v>
      </c>
      <c r="Z1261" s="1990">
        <f t="shared" si="369"/>
        <v>38089200</v>
      </c>
      <c r="AA1261" s="1998">
        <f t="shared" si="365"/>
        <v>159</v>
      </c>
      <c r="AB1261" s="1997">
        <f t="shared" si="366"/>
        <v>74275446</v>
      </c>
      <c r="AC1261" s="1998">
        <f t="shared" si="367"/>
        <v>79.5</v>
      </c>
      <c r="AD1261" s="1998">
        <f t="shared" si="368"/>
        <v>74.275446000000002</v>
      </c>
      <c r="AE1261" s="2087"/>
      <c r="AF1261" s="2085"/>
      <c r="AG1261" s="2085"/>
      <c r="AH1261" s="2085"/>
      <c r="AI1261" s="2085"/>
      <c r="AJ1261" s="2085"/>
      <c r="AK1261" s="2085"/>
      <c r="AL1261" s="2085"/>
      <c r="AM1261" s="2085"/>
      <c r="AN1261" s="2085"/>
      <c r="AO1261" s="2085"/>
      <c r="AP1261" s="2085"/>
      <c r="AQ1261" s="2085"/>
      <c r="AR1261" s="2085"/>
      <c r="AS1261" s="2085"/>
      <c r="AT1261" s="2085"/>
      <c r="AU1261" s="2085"/>
      <c r="AV1261" s="2085"/>
      <c r="AW1261" s="2085"/>
      <c r="AX1261" s="2085"/>
      <c r="AY1261" s="2085"/>
      <c r="AZ1261" s="2085"/>
      <c r="BA1261" s="2085"/>
      <c r="BB1261" s="2085"/>
      <c r="BC1261" s="2085"/>
      <c r="BD1261" s="2085"/>
      <c r="BE1261" s="2085"/>
      <c r="BF1261" s="2085"/>
      <c r="BG1261" s="2085"/>
      <c r="BH1261" s="2085"/>
      <c r="BI1261" s="2085"/>
      <c r="BJ1261" s="2085"/>
      <c r="BK1261" s="2085"/>
      <c r="BL1261" s="2085"/>
      <c r="BM1261" s="2085"/>
      <c r="BN1261" s="2085"/>
      <c r="BO1261" s="2085"/>
      <c r="BP1261" s="2085"/>
      <c r="BQ1261" s="2085"/>
      <c r="BR1261" s="2085"/>
      <c r="BS1261" s="2085"/>
      <c r="BT1261" s="2085"/>
      <c r="BU1261" s="2085"/>
      <c r="BV1261" s="2085"/>
      <c r="BW1261" s="2085"/>
      <c r="BX1261" s="2085"/>
    </row>
    <row r="1262" spans="1:76" s="1" customFormat="1" ht="20.100000000000001" customHeight="1">
      <c r="A1262" s="2832" t="s">
        <v>63</v>
      </c>
      <c r="B1262" s="2833"/>
      <c r="C1262" s="2833"/>
      <c r="D1262" s="2833"/>
      <c r="E1262" s="2833"/>
      <c r="F1262" s="2833"/>
      <c r="G1262" s="2833"/>
      <c r="H1262" s="2833"/>
      <c r="I1262" s="2833"/>
      <c r="J1262" s="2833"/>
      <c r="K1262" s="2833"/>
      <c r="L1262" s="2833"/>
      <c r="M1262" s="2833"/>
      <c r="N1262" s="2833"/>
      <c r="O1262" s="2833"/>
      <c r="P1262" s="2833"/>
      <c r="Q1262" s="2833"/>
      <c r="R1262" s="2833"/>
      <c r="S1262" s="2833"/>
      <c r="T1262" s="2833"/>
      <c r="U1262" s="2833"/>
      <c r="V1262" s="2833"/>
      <c r="W1262" s="2833"/>
      <c r="X1262" s="2833"/>
      <c r="Y1262" s="2833"/>
      <c r="Z1262" s="2833"/>
      <c r="AA1262" s="2833"/>
      <c r="AB1262" s="2834"/>
      <c r="AC1262" s="1811">
        <f>AC1249</f>
        <v>18.731268731268731</v>
      </c>
      <c r="AD1262" s="1811">
        <f>AD1249</f>
        <v>53.250604176427153</v>
      </c>
      <c r="AE1262" s="745"/>
      <c r="AF1262" s="2017"/>
      <c r="AG1262" s="2017"/>
      <c r="AH1262" s="2017"/>
      <c r="AI1262" s="2017"/>
      <c r="AJ1262" s="2017"/>
      <c r="AK1262" s="2017"/>
      <c r="AL1262" s="2017"/>
      <c r="AM1262" s="2017"/>
      <c r="AN1262" s="2017"/>
      <c r="AO1262" s="2017"/>
      <c r="AP1262" s="2017"/>
      <c r="AQ1262" s="2017"/>
      <c r="AR1262" s="2017"/>
      <c r="AS1262" s="2017"/>
      <c r="AT1262" s="2017"/>
      <c r="AU1262" s="2017"/>
      <c r="AV1262" s="2017"/>
      <c r="AW1262" s="2017"/>
      <c r="AX1262" s="2017"/>
      <c r="AY1262" s="2017"/>
      <c r="AZ1262" s="2017"/>
      <c r="BA1262" s="2017"/>
      <c r="BB1262" s="2017"/>
      <c r="BC1262" s="2017"/>
      <c r="BD1262" s="2017"/>
      <c r="BE1262" s="2017"/>
      <c r="BF1262" s="2017"/>
      <c r="BG1262" s="2017"/>
      <c r="BH1262" s="2017"/>
      <c r="BI1262" s="2017"/>
      <c r="BJ1262" s="2018"/>
      <c r="BK1262" s="2018"/>
      <c r="BL1262" s="2018"/>
      <c r="BM1262" s="2018"/>
      <c r="BN1262" s="2018"/>
      <c r="BO1262" s="2018"/>
      <c r="BP1262" s="2018"/>
      <c r="BQ1262" s="2018"/>
      <c r="BR1262" s="2018"/>
      <c r="BS1262" s="2018"/>
      <c r="BT1262" s="2018"/>
      <c r="BU1262" s="2018"/>
      <c r="BV1262" s="2018"/>
      <c r="BW1262" s="2018"/>
      <c r="BX1262" s="2018"/>
    </row>
    <row r="1263" spans="1:76" s="1" customFormat="1" ht="20.100000000000001" customHeight="1">
      <c r="A1263" s="2832" t="s">
        <v>395</v>
      </c>
      <c r="B1263" s="2833"/>
      <c r="C1263" s="2833"/>
      <c r="D1263" s="2833"/>
      <c r="E1263" s="2833"/>
      <c r="F1263" s="2833"/>
      <c r="G1263" s="2833"/>
      <c r="H1263" s="2833"/>
      <c r="I1263" s="2833"/>
      <c r="J1263" s="2833"/>
      <c r="K1263" s="2833"/>
      <c r="L1263" s="2833"/>
      <c r="M1263" s="2833"/>
      <c r="N1263" s="2833"/>
      <c r="O1263" s="2833"/>
      <c r="P1263" s="2833"/>
      <c r="Q1263" s="2833"/>
      <c r="R1263" s="2833"/>
      <c r="S1263" s="2833"/>
      <c r="T1263" s="2833"/>
      <c r="U1263" s="2833"/>
      <c r="V1263" s="2833"/>
      <c r="W1263" s="2833"/>
      <c r="X1263" s="2833"/>
      <c r="Y1263" s="2833"/>
      <c r="Z1263" s="2833"/>
      <c r="AA1263" s="2833"/>
      <c r="AB1263" s="2834"/>
      <c r="AC1263" s="604" t="str">
        <f>IF(AC1262&gt;=91,"ST",IF(AC1262&gt;=76,"T",IF(AC1262&gt;=66,"S",IF(AC1262&gt;=51,"R","SR"))))</f>
        <v>SR</v>
      </c>
      <c r="AD1263" s="604" t="str">
        <f>IF(AD1262&gt;=91,"ST",IF(AD1262&gt;=76,"T",IF(AD1262&gt;=66,"S",IF(AD1262&gt;=51,"R","SR"))))</f>
        <v>R</v>
      </c>
      <c r="AE1263" s="745"/>
      <c r="AF1263" s="2019"/>
      <c r="AG1263" s="2019"/>
      <c r="AH1263" s="2019"/>
      <c r="AI1263" s="2019"/>
      <c r="AJ1263" s="2019"/>
      <c r="AK1263" s="2019"/>
      <c r="AL1263" s="2019"/>
      <c r="AM1263" s="2019"/>
      <c r="AN1263" s="2019"/>
      <c r="AO1263" s="2019"/>
      <c r="AP1263" s="2019"/>
      <c r="AQ1263" s="2019"/>
      <c r="AR1263" s="2019"/>
      <c r="AS1263" s="2019"/>
      <c r="AT1263" s="2019"/>
      <c r="AU1263" s="2019"/>
      <c r="AV1263" s="2019"/>
      <c r="AW1263" s="2019"/>
      <c r="AX1263" s="2019"/>
      <c r="AY1263" s="2019"/>
      <c r="AZ1263" s="2019"/>
      <c r="BA1263" s="2019"/>
      <c r="BB1263" s="2019"/>
      <c r="BC1263" s="2019"/>
      <c r="BD1263" s="2019"/>
      <c r="BE1263" s="2019"/>
      <c r="BF1263" s="2019"/>
      <c r="BG1263" s="2019"/>
      <c r="BH1263" s="2019"/>
      <c r="BI1263" s="2019"/>
      <c r="BJ1263" s="2020"/>
      <c r="BK1263" s="2020"/>
      <c r="BL1263" s="2020"/>
      <c r="BM1263" s="2020"/>
      <c r="BN1263" s="2020"/>
      <c r="BO1263" s="2020"/>
      <c r="BP1263" s="2020"/>
      <c r="BQ1263" s="2020"/>
      <c r="BR1263" s="2020"/>
      <c r="BS1263" s="2020"/>
      <c r="BT1263" s="2020"/>
      <c r="BU1263" s="2020"/>
      <c r="BV1263" s="2020"/>
      <c r="BW1263" s="2020"/>
      <c r="BX1263" s="2020"/>
    </row>
    <row r="1264" spans="1:76" s="1" customFormat="1" ht="29.25" customHeight="1">
      <c r="A1264" s="2071" t="s">
        <v>147</v>
      </c>
      <c r="B1264" s="2072"/>
      <c r="C1264" s="2071"/>
      <c r="D1264" s="2071"/>
      <c r="E1264" s="2071"/>
      <c r="F1264" s="2071"/>
      <c r="G1264" s="2071"/>
      <c r="H1264" s="2071"/>
      <c r="I1264" s="2746" t="s">
        <v>2168</v>
      </c>
      <c r="J1264" s="2747"/>
      <c r="K1264" s="2073"/>
      <c r="L1264" s="2080">
        <f>L1265+L1279+L1283+L1286+L1292+L1298+L1300+L1302</f>
        <v>6452185029</v>
      </c>
      <c r="M1264" s="2072"/>
      <c r="N1264" s="2080">
        <f>N1265+N1279+N1283+N1286+N1292+N1298+N1300+N1302</f>
        <v>2966158253</v>
      </c>
      <c r="O1264" s="2089"/>
      <c r="P1264" s="2078">
        <f>P1265+P1279+P1283+P1286+P1292+P1298+P1300+P1302</f>
        <v>1308449500</v>
      </c>
      <c r="Q1264" s="2090"/>
      <c r="R1264" s="2078">
        <f>R1265+R1279+R1283+R1286+R1292+R1298+R1300+R1302</f>
        <v>113781845</v>
      </c>
      <c r="S1264" s="2072"/>
      <c r="T1264" s="2078">
        <f>T1265+T1279+T1283+T1286+T1292+T1298+T1300+T1302</f>
        <v>413089102</v>
      </c>
      <c r="U1264" s="2072"/>
      <c r="V1264" s="2079">
        <f>V1265+V1279+V1283+V1286+V1292+V1298+V1300+V1302</f>
        <v>0</v>
      </c>
      <c r="W1264" s="2072"/>
      <c r="X1264" s="2079">
        <f>X1265+X1279+X1283+X1286+X1292+X1298+X1300+X1302</f>
        <v>0</v>
      </c>
      <c r="Y1264" s="2077"/>
      <c r="Z1264" s="2091">
        <f>Z1265+Z1279+Z1283+Z1286+Z1292+Z1298+Z1300+Z1302</f>
        <v>526870947</v>
      </c>
      <c r="AA1264" s="2073"/>
      <c r="AB1264" s="2091">
        <f>AB1265+AB1279+AB1283+AB1286+AB1292+AB1298+AB1300+AB1302</f>
        <v>3493029200</v>
      </c>
      <c r="AC1264" s="2073"/>
      <c r="AD1264" s="2073"/>
      <c r="AE1264" s="1631"/>
      <c r="AF1264" s="2021"/>
      <c r="AG1264" s="1941"/>
      <c r="AH1264" s="1941"/>
      <c r="AI1264" s="1941"/>
      <c r="AJ1264" s="1941"/>
      <c r="AK1264" s="1941"/>
      <c r="AL1264" s="1941"/>
      <c r="AM1264" s="1941"/>
      <c r="AN1264" s="1941"/>
      <c r="AO1264" s="1941"/>
      <c r="AP1264" s="1941"/>
      <c r="AQ1264" s="1941"/>
      <c r="AR1264" s="1941"/>
      <c r="AS1264" s="1941"/>
      <c r="AT1264" s="1941"/>
      <c r="AU1264" s="1941"/>
      <c r="AV1264" s="1941"/>
      <c r="AW1264" s="1941"/>
      <c r="AX1264" s="1941"/>
      <c r="AY1264" s="1941"/>
      <c r="AZ1264" s="1941"/>
      <c r="BA1264" s="1941"/>
      <c r="BB1264" s="1941"/>
      <c r="BC1264" s="1941"/>
      <c r="BD1264" s="1941"/>
      <c r="BE1264" s="1941"/>
      <c r="BF1264" s="1941"/>
      <c r="BG1264" s="1941"/>
      <c r="BH1264" s="1941"/>
      <c r="BI1264" s="1941"/>
      <c r="BJ1264" s="1941"/>
      <c r="BK1264" s="1941"/>
      <c r="BL1264" s="1941"/>
      <c r="BM1264" s="1941"/>
      <c r="BN1264" s="1941"/>
      <c r="BO1264" s="1941"/>
      <c r="BP1264" s="1941"/>
      <c r="BQ1264" s="1941"/>
      <c r="BR1264" s="1941"/>
      <c r="BS1264" s="1941"/>
      <c r="BT1264" s="1941"/>
      <c r="BU1264" s="1941"/>
      <c r="BV1264" s="1941"/>
      <c r="BW1264" s="1941"/>
      <c r="BX1264" s="1941"/>
    </row>
    <row r="1265" spans="1:76" s="2115" customFormat="1" ht="82.5">
      <c r="A1265" s="2577">
        <v>1</v>
      </c>
      <c r="B1265" s="1942"/>
      <c r="C1265" s="1943">
        <v>18</v>
      </c>
      <c r="D1265" s="1943" t="s">
        <v>25</v>
      </c>
      <c r="E1265" s="1943"/>
      <c r="F1265" s="1943" t="s">
        <v>3422</v>
      </c>
      <c r="G1265" s="1943"/>
      <c r="H1265" s="1944"/>
      <c r="I1265" s="1945" t="s">
        <v>3423</v>
      </c>
      <c r="J1265" s="1942" t="s">
        <v>3477</v>
      </c>
      <c r="K1265" s="1946">
        <v>72</v>
      </c>
      <c r="L1265" s="1947">
        <f>SUM(L1266:L1278)</f>
        <v>4361769359</v>
      </c>
      <c r="M1265" s="1948">
        <v>36</v>
      </c>
      <c r="N1265" s="1949">
        <f>SUM(N1266:N1278)</f>
        <v>2107127109</v>
      </c>
      <c r="O1265" s="1950">
        <v>2</v>
      </c>
      <c r="P1265" s="1949">
        <f>SUM(P1266:P1278)</f>
        <v>841905400</v>
      </c>
      <c r="Q1265" s="2114">
        <v>3</v>
      </c>
      <c r="R1265" s="1949">
        <f>SUM(R1266:R1278)</f>
        <v>91780695</v>
      </c>
      <c r="S1265" s="1949"/>
      <c r="T1265" s="1949">
        <f>SUM(T1266:T1278)</f>
        <v>380998802</v>
      </c>
      <c r="U1265" s="1949"/>
      <c r="V1265" s="1949">
        <f>SUM(V1266:V1278)</f>
        <v>0</v>
      </c>
      <c r="W1265" s="1949">
        <v>0</v>
      </c>
      <c r="X1265" s="1951">
        <f>SUM(X1266:X1278)</f>
        <v>0</v>
      </c>
      <c r="Y1265" s="2114">
        <f t="shared" ref="Y1265:Y1285" si="371">Q1265+S1265+U1265+W1265</f>
        <v>3</v>
      </c>
      <c r="Z1265" s="1949">
        <f>SUM(Z1266:Z1278)</f>
        <v>472779497</v>
      </c>
      <c r="AA1265" s="1952">
        <f t="shared" ref="AA1265:AA1285" si="372">M1265+Y1265</f>
        <v>39</v>
      </c>
      <c r="AB1265" s="1951">
        <f t="shared" ref="AB1265:AB1285" si="373">N1265+Z1265</f>
        <v>2579906606</v>
      </c>
      <c r="AC1265" s="1952">
        <f t="shared" ref="AC1265:AC1285" si="374">AA1265/K1265*100</f>
        <v>54.166666666666664</v>
      </c>
      <c r="AD1265" s="1952">
        <f t="shared" ref="AD1265:AD1285" si="375">AB1265/L1265*100</f>
        <v>59.148166573197294</v>
      </c>
      <c r="AE1265" s="2534" t="s">
        <v>3424</v>
      </c>
      <c r="AF1265" s="1941"/>
      <c r="AG1265" s="1941"/>
      <c r="AH1265" s="1941"/>
      <c r="AI1265" s="1941"/>
      <c r="AJ1265" s="1941"/>
      <c r="AK1265" s="1941"/>
      <c r="AL1265" s="1941"/>
      <c r="AM1265" s="1941"/>
      <c r="AN1265" s="1941"/>
      <c r="AO1265" s="1941"/>
      <c r="AP1265" s="1941"/>
      <c r="AQ1265" s="1941"/>
      <c r="AR1265" s="1941"/>
      <c r="AS1265" s="1941"/>
      <c r="AT1265" s="1941"/>
      <c r="AU1265" s="1941"/>
      <c r="AV1265" s="1941"/>
      <c r="AW1265" s="1941"/>
      <c r="AX1265" s="1941"/>
      <c r="AY1265" s="1941"/>
      <c r="AZ1265" s="1941"/>
      <c r="BA1265" s="1941"/>
      <c r="BB1265" s="1941"/>
      <c r="BC1265" s="1941"/>
      <c r="BD1265" s="1941"/>
      <c r="BE1265" s="1941"/>
      <c r="BF1265" s="1941"/>
      <c r="BG1265" s="1941"/>
      <c r="BH1265" s="1941"/>
      <c r="BI1265" s="1941"/>
      <c r="BJ1265" s="1941"/>
      <c r="BK1265" s="1941"/>
      <c r="BL1265" s="1941"/>
      <c r="BM1265" s="1941"/>
      <c r="BN1265" s="1941"/>
      <c r="BO1265" s="1941"/>
      <c r="BP1265" s="1941"/>
      <c r="BQ1265" s="1941"/>
      <c r="BR1265" s="1941"/>
      <c r="BS1265" s="1941"/>
      <c r="BT1265" s="1941"/>
      <c r="BU1265" s="1941"/>
      <c r="BV1265" s="1941"/>
      <c r="BW1265" s="1941"/>
      <c r="BX1265" s="1941"/>
    </row>
    <row r="1266" spans="1:76" s="2016" customFormat="1" ht="51.75" customHeight="1">
      <c r="A1266" s="1953"/>
      <c r="B1266" s="1954"/>
      <c r="C1266" s="1955">
        <v>18</v>
      </c>
      <c r="D1266" s="1955" t="s">
        <v>25</v>
      </c>
      <c r="E1266" s="1955" t="s">
        <v>28</v>
      </c>
      <c r="F1266" s="1955"/>
      <c r="G1266" s="1955"/>
      <c r="H1266" s="1956"/>
      <c r="I1266" s="428" t="s">
        <v>67</v>
      </c>
      <c r="J1266" s="421" t="s">
        <v>3425</v>
      </c>
      <c r="K1266" s="1956">
        <v>72</v>
      </c>
      <c r="L1266" s="1957">
        <v>270119972</v>
      </c>
      <c r="M1266" s="1551">
        <f t="shared" ref="M1266:M1278" si="376">3*12</f>
        <v>36</v>
      </c>
      <c r="N1266" s="1541">
        <f>60119972+49200000</f>
        <v>109319972</v>
      </c>
      <c r="O1266" s="460">
        <v>12</v>
      </c>
      <c r="P1266" s="1958">
        <v>55200000</v>
      </c>
      <c r="Q1266" s="1959">
        <v>3</v>
      </c>
      <c r="R1266" s="1958">
        <f>10359063+5468632</f>
        <v>15827695</v>
      </c>
      <c r="S1266" s="1958">
        <v>3</v>
      </c>
      <c r="T1266" s="1958">
        <v>14441002</v>
      </c>
      <c r="U1266" s="1958"/>
      <c r="V1266" s="1958">
        <v>0</v>
      </c>
      <c r="W1266" s="1958"/>
      <c r="X1266" s="1960">
        <v>0</v>
      </c>
      <c r="Y1266" s="1959">
        <f t="shared" si="371"/>
        <v>6</v>
      </c>
      <c r="Z1266" s="1958">
        <f t="shared" ref="Z1266:Z1303" si="377">X1266+V1266+T1266+R1266</f>
        <v>30268697</v>
      </c>
      <c r="AA1266" s="1961">
        <f t="shared" si="372"/>
        <v>42</v>
      </c>
      <c r="AB1266" s="1960">
        <f t="shared" si="373"/>
        <v>139588669</v>
      </c>
      <c r="AC1266" s="1961">
        <f t="shared" si="374"/>
        <v>58.333333333333336</v>
      </c>
      <c r="AD1266" s="1961">
        <f t="shared" si="375"/>
        <v>51.676545042733821</v>
      </c>
      <c r="AE1266" s="437"/>
      <c r="AF1266" s="1941"/>
      <c r="AG1266" s="1941"/>
      <c r="AH1266" s="1941"/>
      <c r="AI1266" s="1941"/>
      <c r="AJ1266" s="1941"/>
      <c r="AK1266" s="1941"/>
      <c r="AL1266" s="1941"/>
      <c r="AM1266" s="1941"/>
      <c r="AN1266" s="1941"/>
      <c r="AO1266" s="1941"/>
      <c r="AP1266" s="1941"/>
      <c r="AQ1266" s="1941"/>
      <c r="AR1266" s="1941"/>
      <c r="AS1266" s="1941"/>
      <c r="AT1266" s="1941"/>
      <c r="AU1266" s="1941"/>
      <c r="AV1266" s="1941"/>
      <c r="AW1266" s="1941"/>
      <c r="AX1266" s="1941"/>
      <c r="AY1266" s="1941"/>
      <c r="AZ1266" s="1941"/>
      <c r="BA1266" s="1941"/>
      <c r="BB1266" s="1941"/>
      <c r="BC1266" s="1941"/>
      <c r="BD1266" s="1941"/>
      <c r="BE1266" s="1941"/>
      <c r="BF1266" s="1941"/>
      <c r="BG1266" s="1941"/>
      <c r="BH1266" s="1941"/>
      <c r="BI1266" s="1941"/>
      <c r="BJ1266" s="1941"/>
      <c r="BK1266" s="1941"/>
      <c r="BL1266" s="1941"/>
      <c r="BM1266" s="1941"/>
      <c r="BN1266" s="1941"/>
      <c r="BO1266" s="1941"/>
      <c r="BP1266" s="1941"/>
      <c r="BQ1266" s="1941"/>
      <c r="BR1266" s="1941"/>
      <c r="BS1266" s="1941"/>
      <c r="BT1266" s="1941"/>
      <c r="BU1266" s="1941"/>
      <c r="BV1266" s="1941"/>
      <c r="BW1266" s="1941"/>
      <c r="BX1266" s="1941"/>
    </row>
    <row r="1267" spans="1:76" s="2016" customFormat="1" ht="63.75" customHeight="1">
      <c r="A1267" s="1953"/>
      <c r="B1267" s="1954"/>
      <c r="C1267" s="1955">
        <v>18</v>
      </c>
      <c r="D1267" s="1955" t="s">
        <v>25</v>
      </c>
      <c r="E1267" s="1955" t="s">
        <v>39</v>
      </c>
      <c r="F1267" s="1955"/>
      <c r="G1267" s="1955"/>
      <c r="H1267" s="1956"/>
      <c r="I1267" s="1962" t="s">
        <v>3426</v>
      </c>
      <c r="J1267" s="1963" t="s">
        <v>3427</v>
      </c>
      <c r="K1267" s="1956">
        <v>72</v>
      </c>
      <c r="L1267" s="1957">
        <v>799867570</v>
      </c>
      <c r="M1267" s="1551">
        <f t="shared" si="376"/>
        <v>36</v>
      </c>
      <c r="N1267" s="1535">
        <f>325728570+104739000</f>
        <v>430467570</v>
      </c>
      <c r="O1267" s="460">
        <v>12</v>
      </c>
      <c r="P1267" s="1958">
        <v>235750000</v>
      </c>
      <c r="Q1267" s="1959">
        <v>3</v>
      </c>
      <c r="R1267" s="1958">
        <f>957000+0</f>
        <v>957000</v>
      </c>
      <c r="S1267" s="1958">
        <v>3</v>
      </c>
      <c r="T1267" s="1958">
        <v>180644000</v>
      </c>
      <c r="U1267" s="1958"/>
      <c r="V1267" s="1958">
        <v>0</v>
      </c>
      <c r="W1267" s="1958"/>
      <c r="X1267" s="1960">
        <v>0</v>
      </c>
      <c r="Y1267" s="1959">
        <f t="shared" si="371"/>
        <v>6</v>
      </c>
      <c r="Z1267" s="1958">
        <f t="shared" si="377"/>
        <v>181601000</v>
      </c>
      <c r="AA1267" s="1961">
        <f t="shared" si="372"/>
        <v>42</v>
      </c>
      <c r="AB1267" s="1960">
        <f t="shared" si="373"/>
        <v>612068570</v>
      </c>
      <c r="AC1267" s="1961">
        <f t="shared" si="374"/>
        <v>58.333333333333336</v>
      </c>
      <c r="AD1267" s="1961">
        <f t="shared" si="375"/>
        <v>76.521238384499085</v>
      </c>
      <c r="AE1267" s="2595"/>
      <c r="AF1267" s="1941"/>
      <c r="AG1267" s="1941"/>
      <c r="AH1267" s="1941"/>
      <c r="AI1267" s="1941"/>
      <c r="AJ1267" s="1941"/>
      <c r="AK1267" s="1941"/>
      <c r="AL1267" s="1941"/>
      <c r="AM1267" s="1941"/>
      <c r="AN1267" s="1941"/>
      <c r="AO1267" s="1941"/>
      <c r="AP1267" s="1941"/>
      <c r="AQ1267" s="1941"/>
      <c r="AR1267" s="1941"/>
      <c r="AS1267" s="1941"/>
      <c r="AT1267" s="1941"/>
      <c r="AU1267" s="1941"/>
      <c r="AV1267" s="1941"/>
      <c r="AW1267" s="1941"/>
      <c r="AX1267" s="1941"/>
      <c r="AY1267" s="1941"/>
      <c r="AZ1267" s="1941"/>
      <c r="BA1267" s="1941"/>
      <c r="BB1267" s="1941"/>
      <c r="BC1267" s="1941"/>
      <c r="BD1267" s="1941"/>
      <c r="BE1267" s="1941"/>
      <c r="BF1267" s="1941"/>
      <c r="BG1267" s="1941"/>
      <c r="BH1267" s="1941"/>
      <c r="BI1267" s="1941"/>
      <c r="BJ1267" s="1941"/>
      <c r="BK1267" s="1941"/>
      <c r="BL1267" s="1941"/>
      <c r="BM1267" s="1941"/>
      <c r="BN1267" s="1941"/>
      <c r="BO1267" s="1941"/>
      <c r="BP1267" s="1941"/>
      <c r="BQ1267" s="1941"/>
      <c r="BR1267" s="1941"/>
      <c r="BS1267" s="1941"/>
      <c r="BT1267" s="1941"/>
      <c r="BU1267" s="1941"/>
      <c r="BV1267" s="1941"/>
      <c r="BW1267" s="1941"/>
      <c r="BX1267" s="1941"/>
    </row>
    <row r="1268" spans="1:76" s="2016" customFormat="1" ht="65.25" customHeight="1">
      <c r="A1268" s="1953"/>
      <c r="B1268" s="1954"/>
      <c r="C1268" s="1955">
        <v>18</v>
      </c>
      <c r="D1268" s="1955" t="s">
        <v>25</v>
      </c>
      <c r="E1268" s="1955" t="s">
        <v>56</v>
      </c>
      <c r="F1268" s="1955"/>
      <c r="G1268" s="1955"/>
      <c r="H1268" s="1956"/>
      <c r="I1268" s="1962" t="s">
        <v>3428</v>
      </c>
      <c r="J1268" s="1963" t="s">
        <v>3429</v>
      </c>
      <c r="K1268" s="1956">
        <v>72</v>
      </c>
      <c r="L1268" s="1957">
        <v>612779217</v>
      </c>
      <c r="M1268" s="1551">
        <f t="shared" si="376"/>
        <v>36</v>
      </c>
      <c r="N1268" s="1541">
        <f>126354217+167275000</f>
        <v>293629217</v>
      </c>
      <c r="O1268" s="460">
        <v>12</v>
      </c>
      <c r="P1268" s="1958">
        <v>178364000</v>
      </c>
      <c r="Q1268" s="1959">
        <v>3</v>
      </c>
      <c r="R1268" s="1958">
        <f>7767000+18061900</f>
        <v>25828900</v>
      </c>
      <c r="S1268" s="1958">
        <v>3</v>
      </c>
      <c r="T1268" s="1958">
        <v>63745800</v>
      </c>
      <c r="U1268" s="1958"/>
      <c r="V1268" s="1958">
        <v>0</v>
      </c>
      <c r="W1268" s="1958"/>
      <c r="X1268" s="1960">
        <v>0</v>
      </c>
      <c r="Y1268" s="1959">
        <f t="shared" si="371"/>
        <v>6</v>
      </c>
      <c r="Z1268" s="1958">
        <f t="shared" si="377"/>
        <v>89574700</v>
      </c>
      <c r="AA1268" s="1961">
        <f t="shared" si="372"/>
        <v>42</v>
      </c>
      <c r="AB1268" s="1960">
        <f t="shared" si="373"/>
        <v>383203917</v>
      </c>
      <c r="AC1268" s="1961">
        <f t="shared" si="374"/>
        <v>58.333333333333336</v>
      </c>
      <c r="AD1268" s="1961">
        <f t="shared" si="375"/>
        <v>62.535397149410834</v>
      </c>
      <c r="AE1268" s="437"/>
      <c r="AF1268" s="1941"/>
      <c r="AG1268" s="1941"/>
      <c r="AH1268" s="1941"/>
      <c r="AI1268" s="1941"/>
      <c r="AJ1268" s="1941"/>
      <c r="AK1268" s="1941"/>
      <c r="AL1268" s="1941"/>
      <c r="AM1268" s="1941"/>
      <c r="AN1268" s="1941"/>
      <c r="AO1268" s="1941"/>
      <c r="AP1268" s="1941"/>
      <c r="AQ1268" s="1941"/>
      <c r="AR1268" s="1941"/>
      <c r="AS1268" s="1941"/>
      <c r="AT1268" s="1941"/>
      <c r="AU1268" s="1941"/>
      <c r="AV1268" s="1941"/>
      <c r="AW1268" s="1941"/>
      <c r="AX1268" s="1941"/>
      <c r="AY1268" s="1941"/>
      <c r="AZ1268" s="1941"/>
      <c r="BA1268" s="1941"/>
      <c r="BB1268" s="1941"/>
      <c r="BC1268" s="1941"/>
      <c r="BD1268" s="1941"/>
      <c r="BE1268" s="1941"/>
      <c r="BF1268" s="1941"/>
      <c r="BG1268" s="1941"/>
      <c r="BH1268" s="1941"/>
      <c r="BI1268" s="1941"/>
      <c r="BJ1268" s="1941"/>
      <c r="BK1268" s="1941"/>
      <c r="BL1268" s="1941"/>
      <c r="BM1268" s="1941"/>
      <c r="BN1268" s="1941"/>
      <c r="BO1268" s="1941"/>
      <c r="BP1268" s="1941"/>
      <c r="BQ1268" s="1941"/>
      <c r="BR1268" s="1941"/>
      <c r="BS1268" s="1941"/>
      <c r="BT1268" s="1941"/>
      <c r="BU1268" s="1941"/>
      <c r="BV1268" s="1941"/>
      <c r="BW1268" s="1941"/>
      <c r="BX1268" s="1941"/>
    </row>
    <row r="1269" spans="1:76" s="2016" customFormat="1" ht="45.75" customHeight="1">
      <c r="A1269" s="1953"/>
      <c r="B1269" s="421"/>
      <c r="C1269" s="1955">
        <v>18</v>
      </c>
      <c r="D1269" s="1955" t="s">
        <v>25</v>
      </c>
      <c r="E1269" s="1955" t="s">
        <v>29</v>
      </c>
      <c r="F1269" s="1955"/>
      <c r="G1269" s="1955"/>
      <c r="H1269" s="1956"/>
      <c r="I1269" s="428" t="s">
        <v>68</v>
      </c>
      <c r="J1269" s="421" t="s">
        <v>3430</v>
      </c>
      <c r="K1269" s="1956">
        <v>72</v>
      </c>
      <c r="L1269" s="1957">
        <v>412000000</v>
      </c>
      <c r="M1269" s="1551">
        <f t="shared" si="376"/>
        <v>36</v>
      </c>
      <c r="N1269" s="1541">
        <f>155800000+73200000</f>
        <v>229000000</v>
      </c>
      <c r="O1269" s="460">
        <v>12</v>
      </c>
      <c r="P1269" s="1958">
        <v>76200000</v>
      </c>
      <c r="Q1269" s="1959">
        <v>3</v>
      </c>
      <c r="R1269" s="1958">
        <f>5750000+5150000</f>
        <v>10900000</v>
      </c>
      <c r="S1269" s="1958">
        <v>3</v>
      </c>
      <c r="T1269" s="1958">
        <v>22850000</v>
      </c>
      <c r="U1269" s="1958"/>
      <c r="V1269" s="1958">
        <v>0</v>
      </c>
      <c r="W1269" s="1958"/>
      <c r="X1269" s="1960">
        <v>0</v>
      </c>
      <c r="Y1269" s="1959">
        <f t="shared" si="371"/>
        <v>6</v>
      </c>
      <c r="Z1269" s="1958">
        <f t="shared" si="377"/>
        <v>33750000</v>
      </c>
      <c r="AA1269" s="1961">
        <f t="shared" si="372"/>
        <v>42</v>
      </c>
      <c r="AB1269" s="1960">
        <f t="shared" si="373"/>
        <v>262750000</v>
      </c>
      <c r="AC1269" s="1961">
        <f t="shared" si="374"/>
        <v>58.333333333333336</v>
      </c>
      <c r="AD1269" s="1961">
        <f t="shared" si="375"/>
        <v>63.774271844660191</v>
      </c>
      <c r="AE1269" s="437"/>
      <c r="AF1269" s="1941"/>
      <c r="AG1269" s="1941"/>
      <c r="AH1269" s="1941"/>
      <c r="AI1269" s="1941"/>
      <c r="AJ1269" s="1941"/>
      <c r="AK1269" s="1941"/>
      <c r="AL1269" s="1941"/>
      <c r="AM1269" s="1941"/>
      <c r="AN1269" s="1941"/>
      <c r="AO1269" s="1941"/>
      <c r="AP1269" s="1941"/>
      <c r="AQ1269" s="1941"/>
      <c r="AR1269" s="1941"/>
      <c r="AS1269" s="1941"/>
      <c r="AT1269" s="1941"/>
      <c r="AU1269" s="1941"/>
      <c r="AV1269" s="1941"/>
      <c r="AW1269" s="1941"/>
      <c r="AX1269" s="1941"/>
      <c r="AY1269" s="1941"/>
      <c r="AZ1269" s="1941"/>
      <c r="BA1269" s="1941"/>
      <c r="BB1269" s="1941"/>
      <c r="BC1269" s="1941"/>
      <c r="BD1269" s="1941"/>
      <c r="BE1269" s="1941"/>
      <c r="BF1269" s="1941"/>
      <c r="BG1269" s="1941"/>
      <c r="BH1269" s="1941"/>
      <c r="BI1269" s="1941"/>
      <c r="BJ1269" s="1941"/>
      <c r="BK1269" s="1941"/>
      <c r="BL1269" s="1941"/>
      <c r="BM1269" s="1941"/>
      <c r="BN1269" s="1941"/>
      <c r="BO1269" s="1941"/>
      <c r="BP1269" s="1941"/>
      <c r="BQ1269" s="1941"/>
      <c r="BR1269" s="1941"/>
      <c r="BS1269" s="1941"/>
      <c r="BT1269" s="1941"/>
      <c r="BU1269" s="1941"/>
      <c r="BV1269" s="1941"/>
      <c r="BW1269" s="1941"/>
      <c r="BX1269" s="1941"/>
    </row>
    <row r="1270" spans="1:76" s="2016" customFormat="1" ht="35.25" customHeight="1">
      <c r="A1270" s="1953"/>
      <c r="B1270" s="421"/>
      <c r="C1270" s="1955">
        <v>18</v>
      </c>
      <c r="D1270" s="1955" t="s">
        <v>25</v>
      </c>
      <c r="E1270" s="1955" t="s">
        <v>30</v>
      </c>
      <c r="F1270" s="1955"/>
      <c r="G1270" s="1955"/>
      <c r="H1270" s="1956"/>
      <c r="I1270" s="1964" t="s">
        <v>69</v>
      </c>
      <c r="J1270" s="1965" t="s">
        <v>3431</v>
      </c>
      <c r="K1270" s="1956">
        <v>72</v>
      </c>
      <c r="L1270" s="1957">
        <v>191499000</v>
      </c>
      <c r="M1270" s="1551">
        <f t="shared" si="376"/>
        <v>36</v>
      </c>
      <c r="N1270" s="1541">
        <f>50079000+58920000</f>
        <v>108999000</v>
      </c>
      <c r="O1270" s="460">
        <v>12</v>
      </c>
      <c r="P1270" s="1958">
        <v>61619000</v>
      </c>
      <c r="Q1270" s="1959">
        <v>3</v>
      </c>
      <c r="R1270" s="1958">
        <f>5399000+4000000</f>
        <v>9399000</v>
      </c>
      <c r="S1270" s="1958">
        <v>3</v>
      </c>
      <c r="T1270" s="1958">
        <v>17466000</v>
      </c>
      <c r="U1270" s="1958"/>
      <c r="V1270" s="1958">
        <v>0</v>
      </c>
      <c r="W1270" s="1958"/>
      <c r="X1270" s="1960">
        <v>0</v>
      </c>
      <c r="Y1270" s="1959">
        <f t="shared" si="371"/>
        <v>6</v>
      </c>
      <c r="Z1270" s="1958">
        <f t="shared" si="377"/>
        <v>26865000</v>
      </c>
      <c r="AA1270" s="1961">
        <f t="shared" si="372"/>
        <v>42</v>
      </c>
      <c r="AB1270" s="1960">
        <f t="shared" si="373"/>
        <v>135864000</v>
      </c>
      <c r="AC1270" s="1961">
        <f t="shared" si="374"/>
        <v>58.333333333333336</v>
      </c>
      <c r="AD1270" s="1961">
        <f t="shared" si="375"/>
        <v>70.947628969341878</v>
      </c>
      <c r="AE1270" s="437"/>
      <c r="AF1270" s="1941"/>
      <c r="AG1270" s="1941"/>
      <c r="AH1270" s="1941"/>
      <c r="AI1270" s="1941"/>
      <c r="AJ1270" s="1941"/>
      <c r="AK1270" s="1941"/>
      <c r="AL1270" s="1941"/>
      <c r="AM1270" s="1941"/>
      <c r="AN1270" s="1941"/>
      <c r="AO1270" s="1941"/>
      <c r="AP1270" s="1941"/>
      <c r="AQ1270" s="1941"/>
      <c r="AR1270" s="1941"/>
      <c r="AS1270" s="1941"/>
      <c r="AT1270" s="1941"/>
      <c r="AU1270" s="1941"/>
      <c r="AV1270" s="1941"/>
      <c r="AW1270" s="1941"/>
      <c r="AX1270" s="1941"/>
      <c r="AY1270" s="1941"/>
      <c r="AZ1270" s="1941"/>
      <c r="BA1270" s="1941"/>
      <c r="BB1270" s="1941"/>
      <c r="BC1270" s="1941"/>
      <c r="BD1270" s="1941"/>
      <c r="BE1270" s="1941"/>
      <c r="BF1270" s="1941"/>
      <c r="BG1270" s="1941"/>
      <c r="BH1270" s="1941"/>
      <c r="BI1270" s="1941"/>
      <c r="BJ1270" s="1941"/>
      <c r="BK1270" s="1941"/>
      <c r="BL1270" s="1941"/>
      <c r="BM1270" s="1941"/>
      <c r="BN1270" s="1941"/>
      <c r="BO1270" s="1941"/>
      <c r="BP1270" s="1941"/>
      <c r="BQ1270" s="1941"/>
      <c r="BR1270" s="1941"/>
      <c r="BS1270" s="1941"/>
      <c r="BT1270" s="1941"/>
      <c r="BU1270" s="1941"/>
      <c r="BV1270" s="1941"/>
      <c r="BW1270" s="1941"/>
      <c r="BX1270" s="1941"/>
    </row>
    <row r="1271" spans="1:76" s="2016" customFormat="1" ht="51.75" customHeight="1">
      <c r="A1271" s="1953"/>
      <c r="B1271" s="421"/>
      <c r="C1271" s="1955">
        <v>18</v>
      </c>
      <c r="D1271" s="1955" t="s">
        <v>25</v>
      </c>
      <c r="E1271" s="1955" t="s">
        <v>43</v>
      </c>
      <c r="F1271" s="1955"/>
      <c r="G1271" s="1955"/>
      <c r="H1271" s="1956"/>
      <c r="I1271" s="428" t="s">
        <v>3432</v>
      </c>
      <c r="J1271" s="421" t="s">
        <v>3433</v>
      </c>
      <c r="K1271" s="1956">
        <v>72</v>
      </c>
      <c r="L1271" s="1957">
        <v>300150000</v>
      </c>
      <c r="M1271" s="1551">
        <f t="shared" si="376"/>
        <v>36</v>
      </c>
      <c r="N1271" s="1535">
        <f>41086750+3850000</f>
        <v>44936750</v>
      </c>
      <c r="O1271" s="460">
        <v>12</v>
      </c>
      <c r="P1271" s="1959">
        <v>8500000</v>
      </c>
      <c r="Q1271" s="1959">
        <v>3</v>
      </c>
      <c r="R1271" s="1958">
        <f>1350000+0</f>
        <v>1350000</v>
      </c>
      <c r="S1271" s="1958">
        <v>3</v>
      </c>
      <c r="T1271" s="1958">
        <v>390000</v>
      </c>
      <c r="U1271" s="1958"/>
      <c r="V1271" s="1958">
        <v>0</v>
      </c>
      <c r="W1271" s="1958"/>
      <c r="X1271" s="1960">
        <v>0</v>
      </c>
      <c r="Y1271" s="1959">
        <f t="shared" si="371"/>
        <v>6</v>
      </c>
      <c r="Z1271" s="1958">
        <f t="shared" si="377"/>
        <v>1740000</v>
      </c>
      <c r="AA1271" s="1961">
        <f t="shared" si="372"/>
        <v>42</v>
      </c>
      <c r="AB1271" s="1960">
        <f t="shared" si="373"/>
        <v>46676750</v>
      </c>
      <c r="AC1271" s="1961">
        <f t="shared" si="374"/>
        <v>58.333333333333336</v>
      </c>
      <c r="AD1271" s="1961">
        <f t="shared" si="375"/>
        <v>15.551141096118606</v>
      </c>
      <c r="AE1271" s="437"/>
      <c r="AF1271" s="1941"/>
      <c r="AG1271" s="1941"/>
      <c r="AH1271" s="1941"/>
      <c r="AI1271" s="1941"/>
      <c r="AJ1271" s="1941"/>
      <c r="AK1271" s="1941"/>
      <c r="AL1271" s="1941"/>
      <c r="AM1271" s="1941"/>
      <c r="AN1271" s="1941"/>
      <c r="AO1271" s="1941"/>
      <c r="AP1271" s="1941"/>
      <c r="AQ1271" s="1941"/>
      <c r="AR1271" s="1941"/>
      <c r="AS1271" s="1941"/>
      <c r="AT1271" s="1941"/>
      <c r="AU1271" s="1941"/>
      <c r="AV1271" s="1941"/>
      <c r="AW1271" s="1941"/>
      <c r="AX1271" s="1941"/>
      <c r="AY1271" s="1941"/>
      <c r="AZ1271" s="1941"/>
      <c r="BA1271" s="1941"/>
      <c r="BB1271" s="1941"/>
      <c r="BC1271" s="1941"/>
      <c r="BD1271" s="1941"/>
      <c r="BE1271" s="1941"/>
      <c r="BF1271" s="1941"/>
      <c r="BG1271" s="1941"/>
      <c r="BH1271" s="1941"/>
      <c r="BI1271" s="1941"/>
      <c r="BJ1271" s="1941"/>
      <c r="BK1271" s="1941"/>
      <c r="BL1271" s="1941"/>
      <c r="BM1271" s="1941"/>
      <c r="BN1271" s="1941"/>
      <c r="BO1271" s="1941"/>
      <c r="BP1271" s="1941"/>
      <c r="BQ1271" s="1941"/>
      <c r="BR1271" s="1941"/>
      <c r="BS1271" s="1941"/>
      <c r="BT1271" s="1941"/>
      <c r="BU1271" s="1941"/>
      <c r="BV1271" s="1941"/>
      <c r="BW1271" s="1941"/>
      <c r="BX1271" s="1941"/>
    </row>
    <row r="1272" spans="1:76" s="2016" customFormat="1" ht="32.25" customHeight="1">
      <c r="A1272" s="1953"/>
      <c r="B1272" s="421"/>
      <c r="C1272" s="1955">
        <v>18</v>
      </c>
      <c r="D1272" s="1955" t="s">
        <v>25</v>
      </c>
      <c r="E1272" s="1955" t="s">
        <v>31</v>
      </c>
      <c r="F1272" s="1955"/>
      <c r="G1272" s="1955"/>
      <c r="H1272" s="1956"/>
      <c r="I1272" s="1966" t="s">
        <v>70</v>
      </c>
      <c r="J1272" s="1967" t="s">
        <v>3434</v>
      </c>
      <c r="K1272" s="1956">
        <v>72</v>
      </c>
      <c r="L1272" s="1957">
        <v>137746669</v>
      </c>
      <c r="M1272" s="1551">
        <f t="shared" si="376"/>
        <v>36</v>
      </c>
      <c r="N1272" s="1541">
        <f>48163000+24583669</f>
        <v>72746669</v>
      </c>
      <c r="O1272" s="460">
        <v>12</v>
      </c>
      <c r="P1272" s="1958">
        <v>39322000</v>
      </c>
      <c r="Q1272" s="1959">
        <v>3</v>
      </c>
      <c r="R1272" s="1958">
        <f>4007600+0</f>
        <v>4007600</v>
      </c>
      <c r="S1272" s="1958">
        <v>3</v>
      </c>
      <c r="T1272" s="1958">
        <v>10215500</v>
      </c>
      <c r="U1272" s="1958"/>
      <c r="V1272" s="1958">
        <v>0</v>
      </c>
      <c r="W1272" s="1958"/>
      <c r="X1272" s="1960">
        <v>0</v>
      </c>
      <c r="Y1272" s="1959">
        <f t="shared" si="371"/>
        <v>6</v>
      </c>
      <c r="Z1272" s="1958">
        <f t="shared" si="377"/>
        <v>14223100</v>
      </c>
      <c r="AA1272" s="1961">
        <f t="shared" si="372"/>
        <v>42</v>
      </c>
      <c r="AB1272" s="1960">
        <f t="shared" si="373"/>
        <v>86969769</v>
      </c>
      <c r="AC1272" s="1961">
        <f t="shared" si="374"/>
        <v>58.333333333333336</v>
      </c>
      <c r="AD1272" s="1961">
        <f t="shared" si="375"/>
        <v>63.137475215462381</v>
      </c>
      <c r="AE1272" s="437"/>
      <c r="AF1272" s="1941"/>
      <c r="AG1272" s="1941"/>
      <c r="AH1272" s="1941"/>
      <c r="AI1272" s="1941"/>
      <c r="AJ1272" s="1941"/>
      <c r="AK1272" s="1941"/>
      <c r="AL1272" s="1941"/>
      <c r="AM1272" s="1941"/>
      <c r="AN1272" s="1941"/>
      <c r="AO1272" s="1941"/>
      <c r="AP1272" s="1941"/>
      <c r="AQ1272" s="1941"/>
      <c r="AR1272" s="1941"/>
      <c r="AS1272" s="1941"/>
      <c r="AT1272" s="1941"/>
      <c r="AU1272" s="1941"/>
      <c r="AV1272" s="1941"/>
      <c r="AW1272" s="1941"/>
      <c r="AX1272" s="1941"/>
      <c r="AY1272" s="1941"/>
      <c r="AZ1272" s="1941"/>
      <c r="BA1272" s="1941"/>
      <c r="BB1272" s="1941"/>
      <c r="BC1272" s="1941"/>
      <c r="BD1272" s="1941"/>
      <c r="BE1272" s="1941"/>
      <c r="BF1272" s="1941"/>
      <c r="BG1272" s="1941"/>
      <c r="BH1272" s="1941"/>
      <c r="BI1272" s="1941"/>
      <c r="BJ1272" s="1941"/>
      <c r="BK1272" s="1941"/>
      <c r="BL1272" s="1941"/>
      <c r="BM1272" s="1941"/>
      <c r="BN1272" s="1941"/>
      <c r="BO1272" s="1941"/>
      <c r="BP1272" s="1941"/>
      <c r="BQ1272" s="1941"/>
      <c r="BR1272" s="1941"/>
      <c r="BS1272" s="1941"/>
      <c r="BT1272" s="1941"/>
      <c r="BU1272" s="1941"/>
      <c r="BV1272" s="1941"/>
      <c r="BW1272" s="1941"/>
      <c r="BX1272" s="1941"/>
    </row>
    <row r="1273" spans="1:76" s="2016" customFormat="1" ht="54.75" customHeight="1">
      <c r="A1273" s="1953"/>
      <c r="B1273" s="421"/>
      <c r="C1273" s="1955">
        <v>18</v>
      </c>
      <c r="D1273" s="1955" t="s">
        <v>25</v>
      </c>
      <c r="E1273" s="1955">
        <v>11</v>
      </c>
      <c r="F1273" s="1955"/>
      <c r="G1273" s="1955"/>
      <c r="H1273" s="1956"/>
      <c r="I1273" s="428" t="s">
        <v>71</v>
      </c>
      <c r="J1273" s="421" t="s">
        <v>3435</v>
      </c>
      <c r="K1273" s="1956">
        <v>72</v>
      </c>
      <c r="L1273" s="1957">
        <v>137268275</v>
      </c>
      <c r="M1273" s="1551">
        <f t="shared" si="376"/>
        <v>36</v>
      </c>
      <c r="N1273" s="1541">
        <f>49260875+19622400</f>
        <v>68883275</v>
      </c>
      <c r="O1273" s="460">
        <v>12</v>
      </c>
      <c r="P1273" s="1958">
        <v>12448400</v>
      </c>
      <c r="Q1273" s="1959">
        <v>3</v>
      </c>
      <c r="R1273" s="1958">
        <f>1200000+0</f>
        <v>1200000</v>
      </c>
      <c r="S1273" s="1958">
        <v>3</v>
      </c>
      <c r="T1273" s="1958">
        <v>4424000</v>
      </c>
      <c r="U1273" s="1958"/>
      <c r="V1273" s="1958">
        <v>0</v>
      </c>
      <c r="W1273" s="1958"/>
      <c r="X1273" s="1960">
        <v>0</v>
      </c>
      <c r="Y1273" s="1959">
        <f t="shared" si="371"/>
        <v>6</v>
      </c>
      <c r="Z1273" s="1958">
        <f t="shared" si="377"/>
        <v>5624000</v>
      </c>
      <c r="AA1273" s="1961">
        <f t="shared" si="372"/>
        <v>42</v>
      </c>
      <c r="AB1273" s="1960">
        <f t="shared" si="373"/>
        <v>74507275</v>
      </c>
      <c r="AC1273" s="1961">
        <f t="shared" si="374"/>
        <v>58.333333333333336</v>
      </c>
      <c r="AD1273" s="1961">
        <f t="shared" si="375"/>
        <v>54.27858330703144</v>
      </c>
      <c r="AE1273" s="437"/>
      <c r="AF1273" s="1941"/>
      <c r="AG1273" s="1941"/>
      <c r="AH1273" s="1941"/>
      <c r="AI1273" s="1941"/>
      <c r="AJ1273" s="1941"/>
      <c r="AK1273" s="1941"/>
      <c r="AL1273" s="1941"/>
      <c r="AM1273" s="1941"/>
      <c r="AN1273" s="1941"/>
      <c r="AO1273" s="1941"/>
      <c r="AP1273" s="1941"/>
      <c r="AQ1273" s="1941"/>
      <c r="AR1273" s="1941"/>
      <c r="AS1273" s="1941"/>
      <c r="AT1273" s="1941"/>
      <c r="AU1273" s="1941"/>
      <c r="AV1273" s="1941"/>
      <c r="AW1273" s="1941"/>
      <c r="AX1273" s="1941"/>
      <c r="AY1273" s="1941"/>
      <c r="AZ1273" s="1941"/>
      <c r="BA1273" s="1941"/>
      <c r="BB1273" s="1941"/>
      <c r="BC1273" s="1941"/>
      <c r="BD1273" s="1941"/>
      <c r="BE1273" s="1941"/>
      <c r="BF1273" s="1941"/>
      <c r="BG1273" s="1941"/>
      <c r="BH1273" s="1941"/>
      <c r="BI1273" s="1941"/>
      <c r="BJ1273" s="1941"/>
      <c r="BK1273" s="1941"/>
      <c r="BL1273" s="1941"/>
      <c r="BM1273" s="1941"/>
      <c r="BN1273" s="1941"/>
      <c r="BO1273" s="1941"/>
      <c r="BP1273" s="1941"/>
      <c r="BQ1273" s="1941"/>
      <c r="BR1273" s="1941"/>
      <c r="BS1273" s="1941"/>
      <c r="BT1273" s="1941"/>
      <c r="BU1273" s="1941"/>
      <c r="BV1273" s="1941"/>
      <c r="BW1273" s="1941"/>
      <c r="BX1273" s="1941"/>
    </row>
    <row r="1274" spans="1:76" s="2016" customFormat="1" ht="51.75" customHeight="1">
      <c r="A1274" s="1953"/>
      <c r="B1274" s="421"/>
      <c r="C1274" s="1955">
        <v>18</v>
      </c>
      <c r="D1274" s="1955" t="s">
        <v>25</v>
      </c>
      <c r="E1274" s="1955">
        <v>12</v>
      </c>
      <c r="F1274" s="1955"/>
      <c r="G1274" s="1955"/>
      <c r="H1274" s="1956"/>
      <c r="I1274" s="428" t="s">
        <v>72</v>
      </c>
      <c r="J1274" s="421" t="s">
        <v>3436</v>
      </c>
      <c r="K1274" s="1956">
        <v>72</v>
      </c>
      <c r="L1274" s="1957">
        <v>134993500</v>
      </c>
      <c r="M1274" s="1551">
        <f t="shared" si="376"/>
        <v>36</v>
      </c>
      <c r="N1274" s="1541">
        <f>69544500+17280000</f>
        <v>86824500</v>
      </c>
      <c r="O1274" s="460">
        <v>12</v>
      </c>
      <c r="P1274" s="1958">
        <v>8532000</v>
      </c>
      <c r="Q1274" s="1959">
        <v>3</v>
      </c>
      <c r="R1274" s="1958">
        <f>0+0</f>
        <v>0</v>
      </c>
      <c r="S1274" s="1958">
        <v>3</v>
      </c>
      <c r="T1274" s="1958">
        <v>3842500</v>
      </c>
      <c r="U1274" s="1958"/>
      <c r="V1274" s="1958">
        <v>0</v>
      </c>
      <c r="W1274" s="1958"/>
      <c r="X1274" s="1960">
        <v>0</v>
      </c>
      <c r="Y1274" s="1959">
        <f t="shared" si="371"/>
        <v>6</v>
      </c>
      <c r="Z1274" s="1958">
        <f t="shared" si="377"/>
        <v>3842500</v>
      </c>
      <c r="AA1274" s="1961">
        <f t="shared" si="372"/>
        <v>42</v>
      </c>
      <c r="AB1274" s="1960">
        <f t="shared" si="373"/>
        <v>90667000</v>
      </c>
      <c r="AC1274" s="1961">
        <f t="shared" si="374"/>
        <v>58.333333333333336</v>
      </c>
      <c r="AD1274" s="1961">
        <f t="shared" si="375"/>
        <v>67.163974561738158</v>
      </c>
      <c r="AE1274" s="437"/>
      <c r="AF1274" s="1941"/>
      <c r="AG1274" s="1941"/>
      <c r="AH1274" s="1941"/>
      <c r="AI1274" s="1941"/>
      <c r="AJ1274" s="1941"/>
      <c r="AK1274" s="1941"/>
      <c r="AL1274" s="1941"/>
      <c r="AM1274" s="1941"/>
      <c r="AN1274" s="1941"/>
      <c r="AO1274" s="1941"/>
      <c r="AP1274" s="1941"/>
      <c r="AQ1274" s="1941"/>
      <c r="AR1274" s="1941"/>
      <c r="AS1274" s="1941"/>
      <c r="AT1274" s="1941"/>
      <c r="AU1274" s="1941"/>
      <c r="AV1274" s="1941"/>
      <c r="AW1274" s="1941"/>
      <c r="AX1274" s="1941"/>
      <c r="AY1274" s="1941"/>
      <c r="AZ1274" s="1941"/>
      <c r="BA1274" s="1941"/>
      <c r="BB1274" s="1941"/>
      <c r="BC1274" s="1941"/>
      <c r="BD1274" s="1941"/>
      <c r="BE1274" s="1941"/>
      <c r="BF1274" s="1941"/>
      <c r="BG1274" s="1941"/>
      <c r="BH1274" s="1941"/>
      <c r="BI1274" s="1941"/>
      <c r="BJ1274" s="1941"/>
      <c r="BK1274" s="1941"/>
      <c r="BL1274" s="1941"/>
      <c r="BM1274" s="1941"/>
      <c r="BN1274" s="1941"/>
      <c r="BO1274" s="1941"/>
      <c r="BP1274" s="1941"/>
      <c r="BQ1274" s="1941"/>
      <c r="BR1274" s="1941"/>
      <c r="BS1274" s="1941"/>
      <c r="BT1274" s="1941"/>
      <c r="BU1274" s="1941"/>
      <c r="BV1274" s="1941"/>
      <c r="BW1274" s="1941"/>
      <c r="BX1274" s="1941"/>
    </row>
    <row r="1275" spans="1:76" s="2016" customFormat="1" ht="53.25" customHeight="1">
      <c r="A1275" s="1953"/>
      <c r="B1275" s="421"/>
      <c r="C1275" s="1955">
        <v>18</v>
      </c>
      <c r="D1275" s="1955" t="s">
        <v>25</v>
      </c>
      <c r="E1275" s="1955">
        <v>15</v>
      </c>
      <c r="F1275" s="1955"/>
      <c r="G1275" s="1955"/>
      <c r="H1275" s="1956"/>
      <c r="I1275" s="1962" t="s">
        <v>2876</v>
      </c>
      <c r="J1275" s="1963" t="s">
        <v>3437</v>
      </c>
      <c r="K1275" s="1956">
        <v>72</v>
      </c>
      <c r="L1275" s="1957">
        <v>83140000</v>
      </c>
      <c r="M1275" s="1551">
        <f t="shared" si="376"/>
        <v>36</v>
      </c>
      <c r="N1275" s="1541">
        <f>23140000+49200000</f>
        <v>72340000</v>
      </c>
      <c r="O1275" s="460">
        <v>12</v>
      </c>
      <c r="P1275" s="1958">
        <v>5100000</v>
      </c>
      <c r="Q1275" s="1959">
        <v>3</v>
      </c>
      <c r="R1275" s="1958">
        <f>0+0</f>
        <v>0</v>
      </c>
      <c r="S1275" s="1958">
        <v>3</v>
      </c>
      <c r="T1275" s="1958">
        <v>0</v>
      </c>
      <c r="U1275" s="1958"/>
      <c r="V1275" s="1958">
        <v>0</v>
      </c>
      <c r="W1275" s="1958"/>
      <c r="X1275" s="1960">
        <v>0</v>
      </c>
      <c r="Y1275" s="1959">
        <f t="shared" si="371"/>
        <v>6</v>
      </c>
      <c r="Z1275" s="1958">
        <f t="shared" si="377"/>
        <v>0</v>
      </c>
      <c r="AA1275" s="1961">
        <f t="shared" si="372"/>
        <v>42</v>
      </c>
      <c r="AB1275" s="1960">
        <f t="shared" si="373"/>
        <v>72340000</v>
      </c>
      <c r="AC1275" s="1961">
        <f t="shared" si="374"/>
        <v>58.333333333333336</v>
      </c>
      <c r="AD1275" s="1961">
        <f t="shared" si="375"/>
        <v>87.009862881885979</v>
      </c>
      <c r="AE1275" s="437"/>
      <c r="AF1275" s="1941"/>
      <c r="AG1275" s="1941"/>
      <c r="AH1275" s="1941"/>
      <c r="AI1275" s="1941"/>
      <c r="AJ1275" s="1941"/>
      <c r="AK1275" s="1941"/>
      <c r="AL1275" s="1941"/>
      <c r="AM1275" s="1941"/>
      <c r="AN1275" s="1941"/>
      <c r="AO1275" s="1941"/>
      <c r="AP1275" s="1941"/>
      <c r="AQ1275" s="1941"/>
      <c r="AR1275" s="1941"/>
      <c r="AS1275" s="1941"/>
      <c r="AT1275" s="1941"/>
      <c r="AU1275" s="1941"/>
      <c r="AV1275" s="1941"/>
      <c r="AW1275" s="1941"/>
      <c r="AX1275" s="1941"/>
      <c r="AY1275" s="1941"/>
      <c r="AZ1275" s="1941"/>
      <c r="BA1275" s="1941"/>
      <c r="BB1275" s="1941"/>
      <c r="BC1275" s="1941"/>
      <c r="BD1275" s="1941"/>
      <c r="BE1275" s="1941"/>
      <c r="BF1275" s="1941"/>
      <c r="BG1275" s="1941"/>
      <c r="BH1275" s="1941"/>
      <c r="BI1275" s="1941"/>
      <c r="BJ1275" s="1941"/>
      <c r="BK1275" s="1941"/>
      <c r="BL1275" s="1941"/>
      <c r="BM1275" s="1941"/>
      <c r="BN1275" s="1941"/>
      <c r="BO1275" s="1941"/>
      <c r="BP1275" s="1941"/>
      <c r="BQ1275" s="1941"/>
      <c r="BR1275" s="1941"/>
      <c r="BS1275" s="1941"/>
      <c r="BT1275" s="1941"/>
      <c r="BU1275" s="1941"/>
      <c r="BV1275" s="1941"/>
      <c r="BW1275" s="1941"/>
      <c r="BX1275" s="1941"/>
    </row>
    <row r="1276" spans="1:76" s="2016" customFormat="1" ht="57" customHeight="1">
      <c r="A1276" s="1953"/>
      <c r="B1276" s="1968"/>
      <c r="C1276" s="1955">
        <v>18</v>
      </c>
      <c r="D1276" s="1955" t="s">
        <v>25</v>
      </c>
      <c r="E1276" s="1955">
        <v>17</v>
      </c>
      <c r="F1276" s="1955"/>
      <c r="G1276" s="1955"/>
      <c r="H1276" s="1956"/>
      <c r="I1276" s="1964" t="s">
        <v>75</v>
      </c>
      <c r="J1276" s="421" t="s">
        <v>3438</v>
      </c>
      <c r="K1276" s="1956">
        <v>72</v>
      </c>
      <c r="L1276" s="1957">
        <v>135557500</v>
      </c>
      <c r="M1276" s="1551">
        <f t="shared" si="376"/>
        <v>36</v>
      </c>
      <c r="N1276" s="1541">
        <f>34182500+15325000</f>
        <v>49507500</v>
      </c>
      <c r="O1276" s="460">
        <v>12</v>
      </c>
      <c r="P1276" s="1958">
        <v>16720000</v>
      </c>
      <c r="Q1276" s="1959">
        <v>3</v>
      </c>
      <c r="R1276" s="1958">
        <f>2062500+1513000</f>
        <v>3575500</v>
      </c>
      <c r="S1276" s="1958">
        <v>3</v>
      </c>
      <c r="T1276" s="1958">
        <v>32255000</v>
      </c>
      <c r="U1276" s="1958"/>
      <c r="V1276" s="1958">
        <v>0</v>
      </c>
      <c r="W1276" s="1958"/>
      <c r="X1276" s="1960">
        <v>0</v>
      </c>
      <c r="Y1276" s="1959">
        <f t="shared" si="371"/>
        <v>6</v>
      </c>
      <c r="Z1276" s="1958">
        <f t="shared" si="377"/>
        <v>35830500</v>
      </c>
      <c r="AA1276" s="1961">
        <f t="shared" si="372"/>
        <v>42</v>
      </c>
      <c r="AB1276" s="1960">
        <f t="shared" si="373"/>
        <v>85338000</v>
      </c>
      <c r="AC1276" s="1961">
        <f t="shared" si="374"/>
        <v>58.333333333333336</v>
      </c>
      <c r="AD1276" s="1961">
        <f t="shared" si="375"/>
        <v>62.953359275584162</v>
      </c>
      <c r="AE1276" s="437"/>
      <c r="AF1276" s="1941"/>
      <c r="AG1276" s="1941"/>
      <c r="AH1276" s="1941"/>
      <c r="AI1276" s="1941"/>
      <c r="AJ1276" s="1941"/>
      <c r="AK1276" s="1941"/>
      <c r="AL1276" s="1941"/>
      <c r="AM1276" s="1941"/>
      <c r="AN1276" s="1941"/>
      <c r="AO1276" s="1941"/>
      <c r="AP1276" s="1941"/>
      <c r="AQ1276" s="1941"/>
      <c r="AR1276" s="1941"/>
      <c r="AS1276" s="1941"/>
      <c r="AT1276" s="1941"/>
      <c r="AU1276" s="1941"/>
      <c r="AV1276" s="1941"/>
      <c r="AW1276" s="1941"/>
      <c r="AX1276" s="1941"/>
      <c r="AY1276" s="1941"/>
      <c r="AZ1276" s="1941"/>
      <c r="BA1276" s="1941"/>
      <c r="BB1276" s="1941"/>
      <c r="BC1276" s="1941"/>
      <c r="BD1276" s="1941"/>
      <c r="BE1276" s="1941"/>
      <c r="BF1276" s="1941"/>
      <c r="BG1276" s="1941"/>
      <c r="BH1276" s="1941"/>
      <c r="BI1276" s="1941"/>
      <c r="BJ1276" s="1941"/>
      <c r="BK1276" s="1941"/>
      <c r="BL1276" s="1941"/>
      <c r="BM1276" s="1941"/>
      <c r="BN1276" s="1941"/>
      <c r="BO1276" s="1941"/>
      <c r="BP1276" s="1941"/>
      <c r="BQ1276" s="1941"/>
      <c r="BR1276" s="1941"/>
      <c r="BS1276" s="1941"/>
      <c r="BT1276" s="1941"/>
      <c r="BU1276" s="1941"/>
      <c r="BV1276" s="1941"/>
      <c r="BW1276" s="1941"/>
      <c r="BX1276" s="1941"/>
    </row>
    <row r="1277" spans="1:76" s="2016" customFormat="1" ht="63.75" customHeight="1">
      <c r="A1277" s="1953"/>
      <c r="B1277" s="421"/>
      <c r="C1277" s="1955">
        <v>18</v>
      </c>
      <c r="D1277" s="1955" t="s">
        <v>25</v>
      </c>
      <c r="E1277" s="1955">
        <v>18</v>
      </c>
      <c r="F1277" s="1955"/>
      <c r="G1277" s="1955"/>
      <c r="H1277" s="1956"/>
      <c r="I1277" s="428" t="s">
        <v>76</v>
      </c>
      <c r="J1277" s="421" t="s">
        <v>3489</v>
      </c>
      <c r="K1277" s="1956">
        <v>72</v>
      </c>
      <c r="L1277" s="1957">
        <v>669957656</v>
      </c>
      <c r="M1277" s="1551">
        <f t="shared" si="376"/>
        <v>36</v>
      </c>
      <c r="N1277" s="1541">
        <f>217757656+107200000</f>
        <v>324957656</v>
      </c>
      <c r="O1277" s="460">
        <v>12</v>
      </c>
      <c r="P1277" s="1958">
        <v>63900000</v>
      </c>
      <c r="Q1277" s="1959">
        <v>3</v>
      </c>
      <c r="R1277" s="1958">
        <f>1775000+5435000</f>
        <v>7210000</v>
      </c>
      <c r="S1277" s="1958">
        <v>3</v>
      </c>
      <c r="T1277" s="1958">
        <v>7905000</v>
      </c>
      <c r="U1277" s="1958"/>
      <c r="V1277" s="1958">
        <v>0</v>
      </c>
      <c r="W1277" s="1958"/>
      <c r="X1277" s="1960">
        <v>0</v>
      </c>
      <c r="Y1277" s="1959">
        <f t="shared" si="371"/>
        <v>6</v>
      </c>
      <c r="Z1277" s="1958">
        <f t="shared" si="377"/>
        <v>15115000</v>
      </c>
      <c r="AA1277" s="1961">
        <f t="shared" si="372"/>
        <v>42</v>
      </c>
      <c r="AB1277" s="1960">
        <f t="shared" si="373"/>
        <v>340072656</v>
      </c>
      <c r="AC1277" s="1961">
        <f t="shared" si="374"/>
        <v>58.333333333333336</v>
      </c>
      <c r="AD1277" s="1961">
        <f t="shared" si="375"/>
        <v>50.76032088810102</v>
      </c>
      <c r="AE1277" s="437"/>
      <c r="AF1277" s="1941"/>
      <c r="AG1277" s="1941"/>
      <c r="AH1277" s="1941"/>
      <c r="AI1277" s="1941"/>
      <c r="AJ1277" s="1941"/>
      <c r="AK1277" s="1941"/>
      <c r="AL1277" s="1941"/>
      <c r="AM1277" s="1941"/>
      <c r="AN1277" s="1941"/>
      <c r="AO1277" s="1941"/>
      <c r="AP1277" s="1941"/>
      <c r="AQ1277" s="1941"/>
      <c r="AR1277" s="1941"/>
      <c r="AS1277" s="1941"/>
      <c r="AT1277" s="1941"/>
      <c r="AU1277" s="1941"/>
      <c r="AV1277" s="1941"/>
      <c r="AW1277" s="1941"/>
      <c r="AX1277" s="1941"/>
      <c r="AY1277" s="1941"/>
      <c r="AZ1277" s="1941"/>
      <c r="BA1277" s="1941"/>
      <c r="BB1277" s="1941"/>
      <c r="BC1277" s="1941"/>
      <c r="BD1277" s="1941"/>
      <c r="BE1277" s="1941"/>
      <c r="BF1277" s="1941"/>
      <c r="BG1277" s="1941"/>
      <c r="BH1277" s="1941"/>
      <c r="BI1277" s="1941"/>
      <c r="BJ1277" s="1941"/>
      <c r="BK1277" s="1941"/>
      <c r="BL1277" s="1941"/>
      <c r="BM1277" s="1941"/>
      <c r="BN1277" s="1941"/>
      <c r="BO1277" s="1941"/>
      <c r="BP1277" s="1941"/>
      <c r="BQ1277" s="1941"/>
      <c r="BR1277" s="1941"/>
      <c r="BS1277" s="1941"/>
      <c r="BT1277" s="1941"/>
      <c r="BU1277" s="1941"/>
      <c r="BV1277" s="1941"/>
      <c r="BW1277" s="1941"/>
      <c r="BX1277" s="1941"/>
    </row>
    <row r="1278" spans="1:76" s="2016" customFormat="1" ht="66" customHeight="1">
      <c r="A1278" s="1953"/>
      <c r="B1278" s="421"/>
      <c r="C1278" s="1955">
        <v>18</v>
      </c>
      <c r="D1278" s="1955" t="s">
        <v>25</v>
      </c>
      <c r="E1278" s="1955">
        <v>20</v>
      </c>
      <c r="F1278" s="1955"/>
      <c r="G1278" s="1955"/>
      <c r="H1278" s="1956"/>
      <c r="I1278" s="428" t="s">
        <v>77</v>
      </c>
      <c r="J1278" s="421" t="s">
        <v>3488</v>
      </c>
      <c r="K1278" s="1956">
        <v>72</v>
      </c>
      <c r="L1278" s="1957">
        <v>476690000</v>
      </c>
      <c r="M1278" s="1551">
        <f t="shared" si="376"/>
        <v>36</v>
      </c>
      <c r="N1278" s="1541">
        <f>133290000+82225000</f>
        <v>215515000</v>
      </c>
      <c r="O1278" s="460">
        <v>12</v>
      </c>
      <c r="P1278" s="1958">
        <v>80250000</v>
      </c>
      <c r="Q1278" s="1959">
        <v>3</v>
      </c>
      <c r="R1278" s="1958">
        <f>6150000+5375000</f>
        <v>11525000</v>
      </c>
      <c r="S1278" s="1958">
        <v>3</v>
      </c>
      <c r="T1278" s="1958">
        <v>22820000</v>
      </c>
      <c r="U1278" s="1958"/>
      <c r="V1278" s="1958">
        <v>0</v>
      </c>
      <c r="W1278" s="1958"/>
      <c r="X1278" s="1960">
        <v>0</v>
      </c>
      <c r="Y1278" s="1959">
        <f t="shared" si="371"/>
        <v>6</v>
      </c>
      <c r="Z1278" s="1958">
        <f t="shared" si="377"/>
        <v>34345000</v>
      </c>
      <c r="AA1278" s="1961">
        <f t="shared" si="372"/>
        <v>42</v>
      </c>
      <c r="AB1278" s="1960">
        <f t="shared" si="373"/>
        <v>249860000</v>
      </c>
      <c r="AC1278" s="1961">
        <f t="shared" si="374"/>
        <v>58.333333333333336</v>
      </c>
      <c r="AD1278" s="1961">
        <f t="shared" si="375"/>
        <v>52.415616018796285</v>
      </c>
      <c r="AE1278" s="437"/>
      <c r="AF1278" s="1941"/>
      <c r="AG1278" s="1941"/>
      <c r="AH1278" s="1941"/>
      <c r="AI1278" s="1941"/>
      <c r="AJ1278" s="1941"/>
      <c r="AK1278" s="1941"/>
      <c r="AL1278" s="1941"/>
      <c r="AM1278" s="1941"/>
      <c r="AN1278" s="1941"/>
      <c r="AO1278" s="1941"/>
      <c r="AP1278" s="1941"/>
      <c r="AQ1278" s="1941"/>
      <c r="AR1278" s="1941"/>
      <c r="AS1278" s="1941"/>
      <c r="AT1278" s="1941"/>
      <c r="AU1278" s="1941"/>
      <c r="AV1278" s="1941"/>
      <c r="AW1278" s="1941"/>
      <c r="AX1278" s="1941"/>
      <c r="AY1278" s="1941"/>
      <c r="AZ1278" s="1941"/>
      <c r="BA1278" s="1941"/>
      <c r="BB1278" s="1941"/>
      <c r="BC1278" s="1941"/>
      <c r="BD1278" s="1941"/>
      <c r="BE1278" s="1941"/>
      <c r="BF1278" s="1941"/>
      <c r="BG1278" s="1941"/>
      <c r="BH1278" s="1941"/>
      <c r="BI1278" s="1941"/>
      <c r="BJ1278" s="1941"/>
      <c r="BK1278" s="1941"/>
      <c r="BL1278" s="1941"/>
      <c r="BM1278" s="1941"/>
      <c r="BN1278" s="1941"/>
      <c r="BO1278" s="1941"/>
      <c r="BP1278" s="1941"/>
      <c r="BQ1278" s="1941"/>
      <c r="BR1278" s="1941"/>
      <c r="BS1278" s="1941"/>
      <c r="BT1278" s="1941"/>
      <c r="BU1278" s="1941"/>
      <c r="BV1278" s="1941"/>
      <c r="BW1278" s="1941"/>
      <c r="BX1278" s="1941"/>
    </row>
    <row r="1279" spans="1:76" s="2088" customFormat="1" ht="84" customHeight="1">
      <c r="A1279" s="194">
        <v>2</v>
      </c>
      <c r="B1279" s="186"/>
      <c r="C1279" s="1969">
        <v>18</v>
      </c>
      <c r="D1279" s="1969" t="s">
        <v>28</v>
      </c>
      <c r="E1279" s="1969"/>
      <c r="F1279" s="1970"/>
      <c r="G1279" s="1970"/>
      <c r="H1279" s="1970"/>
      <c r="I1279" s="186" t="s">
        <v>3490</v>
      </c>
      <c r="J1279" s="186" t="s">
        <v>2837</v>
      </c>
      <c r="K1279" s="1589">
        <v>72</v>
      </c>
      <c r="L1279" s="1971">
        <f>SUM(L1280:L1282)</f>
        <v>980852000</v>
      </c>
      <c r="M1279" s="1970">
        <v>36</v>
      </c>
      <c r="N1279" s="1589">
        <f>SUM(N1280:N1282)</f>
        <v>448252000</v>
      </c>
      <c r="O1279" s="1555">
        <v>12</v>
      </c>
      <c r="P1279" s="1589">
        <f>SUM(P1280:P1282)</f>
        <v>206100000</v>
      </c>
      <c r="Q1279" s="1972">
        <v>3</v>
      </c>
      <c r="R1279" s="1589">
        <f>SUM(R1280:R1282)</f>
        <v>4440000</v>
      </c>
      <c r="S1279" s="1589">
        <f>S1280</f>
        <v>3</v>
      </c>
      <c r="T1279" s="1589">
        <f>SUM(T1280:T1282)</f>
        <v>3700000</v>
      </c>
      <c r="U1279" s="1589">
        <f>U1280</f>
        <v>0</v>
      </c>
      <c r="V1279" s="1589">
        <f>SUM(V1280:V1282)</f>
        <v>0</v>
      </c>
      <c r="W1279" s="1589">
        <f>W1280</f>
        <v>0</v>
      </c>
      <c r="X1279" s="1973">
        <f>SUM(X1280:X1282)</f>
        <v>0</v>
      </c>
      <c r="Y1279" s="1972">
        <f t="shared" si="371"/>
        <v>6</v>
      </c>
      <c r="Z1279" s="1589">
        <f t="shared" si="377"/>
        <v>8140000</v>
      </c>
      <c r="AA1279" s="1974">
        <f t="shared" si="372"/>
        <v>42</v>
      </c>
      <c r="AB1279" s="1973">
        <f t="shared" si="373"/>
        <v>456392000</v>
      </c>
      <c r="AC1279" s="1590">
        <f t="shared" si="374"/>
        <v>58.333333333333336</v>
      </c>
      <c r="AD1279" s="1590">
        <f t="shared" si="375"/>
        <v>46.530159493990936</v>
      </c>
      <c r="AE1279" s="2534" t="s">
        <v>3424</v>
      </c>
      <c r="AF1279" s="2085"/>
      <c r="AG1279" s="2085"/>
      <c r="AH1279" s="2085"/>
      <c r="AI1279" s="2085"/>
      <c r="AJ1279" s="2085"/>
      <c r="AK1279" s="2085"/>
      <c r="AL1279" s="2085"/>
      <c r="AM1279" s="2085"/>
      <c r="AN1279" s="2085"/>
      <c r="AO1279" s="2085"/>
      <c r="AP1279" s="2085"/>
      <c r="AQ1279" s="2085"/>
      <c r="AR1279" s="2085"/>
      <c r="AS1279" s="2085"/>
      <c r="AT1279" s="2085"/>
      <c r="AU1279" s="2085"/>
      <c r="AV1279" s="2085"/>
      <c r="AW1279" s="2085"/>
      <c r="AX1279" s="2085"/>
      <c r="AY1279" s="2085"/>
      <c r="AZ1279" s="2085"/>
      <c r="BA1279" s="2085"/>
      <c r="BB1279" s="2085"/>
      <c r="BC1279" s="2085"/>
      <c r="BD1279" s="2085"/>
      <c r="BE1279" s="2085"/>
      <c r="BF1279" s="2085"/>
      <c r="BG1279" s="2085"/>
      <c r="BH1279" s="2085"/>
      <c r="BI1279" s="2085"/>
      <c r="BJ1279" s="2085"/>
      <c r="BK1279" s="2085"/>
      <c r="BL1279" s="2085"/>
      <c r="BM1279" s="2085"/>
      <c r="BN1279" s="2085"/>
      <c r="BO1279" s="2085"/>
      <c r="BP1279" s="2085"/>
      <c r="BQ1279" s="2085"/>
      <c r="BR1279" s="2085"/>
      <c r="BS1279" s="2085"/>
      <c r="BT1279" s="2085"/>
      <c r="BU1279" s="2085"/>
      <c r="BV1279" s="2085"/>
      <c r="BW1279" s="2085"/>
      <c r="BX1279" s="2085"/>
    </row>
    <row r="1280" spans="1:76" s="2016" customFormat="1" ht="65.25" customHeight="1">
      <c r="A1280" s="1953"/>
      <c r="B1280" s="421"/>
      <c r="C1280" s="1955">
        <v>18</v>
      </c>
      <c r="D1280" s="1955" t="s">
        <v>28</v>
      </c>
      <c r="E1280" s="1955">
        <v>22</v>
      </c>
      <c r="F1280" s="1955"/>
      <c r="G1280" s="1955"/>
      <c r="H1280" s="1956"/>
      <c r="I1280" s="1976" t="s">
        <v>3491</v>
      </c>
      <c r="J1280" s="1963" t="s">
        <v>3439</v>
      </c>
      <c r="K1280" s="1956">
        <v>72</v>
      </c>
      <c r="L1280" s="1957">
        <v>407300000</v>
      </c>
      <c r="M1280" s="1551">
        <v>36</v>
      </c>
      <c r="N1280" s="1541">
        <f>247300000+81500000</f>
        <v>328800000</v>
      </c>
      <c r="O1280" s="1977">
        <v>12</v>
      </c>
      <c r="P1280" s="1958">
        <v>21000000</v>
      </c>
      <c r="Q1280" s="1959">
        <v>3</v>
      </c>
      <c r="R1280" s="1958">
        <f>0+4440000</f>
        <v>4440000</v>
      </c>
      <c r="S1280" s="1958">
        <v>3</v>
      </c>
      <c r="T1280" s="1958">
        <v>3700000</v>
      </c>
      <c r="U1280" s="1958"/>
      <c r="V1280" s="1958">
        <v>0</v>
      </c>
      <c r="W1280" s="1958"/>
      <c r="X1280" s="1960">
        <v>0</v>
      </c>
      <c r="Y1280" s="1959">
        <f t="shared" si="371"/>
        <v>6</v>
      </c>
      <c r="Z1280" s="1958">
        <f t="shared" si="377"/>
        <v>8140000</v>
      </c>
      <c r="AA1280" s="1961">
        <f t="shared" si="372"/>
        <v>42</v>
      </c>
      <c r="AB1280" s="1960">
        <f t="shared" si="373"/>
        <v>336940000</v>
      </c>
      <c r="AC1280" s="1961">
        <f t="shared" si="374"/>
        <v>58.333333333333336</v>
      </c>
      <c r="AD1280" s="1961">
        <f t="shared" si="375"/>
        <v>82.725263933218756</v>
      </c>
      <c r="AE1280" s="437"/>
      <c r="AF1280" s="1941"/>
      <c r="AG1280" s="1941"/>
      <c r="AH1280" s="1941"/>
      <c r="AI1280" s="1941"/>
      <c r="AJ1280" s="1941"/>
      <c r="AK1280" s="1941"/>
      <c r="AL1280" s="1941"/>
      <c r="AM1280" s="1941"/>
      <c r="AN1280" s="1941"/>
      <c r="AO1280" s="1941"/>
      <c r="AP1280" s="1941"/>
      <c r="AQ1280" s="1941"/>
      <c r="AR1280" s="1941"/>
      <c r="AS1280" s="1941"/>
      <c r="AT1280" s="1941"/>
      <c r="AU1280" s="1941"/>
      <c r="AV1280" s="1941"/>
      <c r="AW1280" s="1941"/>
      <c r="AX1280" s="1941"/>
      <c r="AY1280" s="1941"/>
      <c r="AZ1280" s="1941"/>
      <c r="BA1280" s="1941"/>
      <c r="BB1280" s="1941"/>
      <c r="BC1280" s="1941"/>
      <c r="BD1280" s="1941"/>
      <c r="BE1280" s="1941"/>
      <c r="BF1280" s="1941"/>
      <c r="BG1280" s="1941"/>
      <c r="BH1280" s="1941"/>
      <c r="BI1280" s="1941"/>
      <c r="BJ1280" s="1941"/>
      <c r="BK1280" s="1941"/>
      <c r="BL1280" s="1941"/>
      <c r="BM1280" s="1941"/>
      <c r="BN1280" s="1941"/>
      <c r="BO1280" s="1941"/>
      <c r="BP1280" s="1941"/>
      <c r="BQ1280" s="1941"/>
      <c r="BR1280" s="1941"/>
      <c r="BS1280" s="1941"/>
      <c r="BT1280" s="1941"/>
      <c r="BU1280" s="1941"/>
      <c r="BV1280" s="1941"/>
      <c r="BW1280" s="1941"/>
      <c r="BX1280" s="1941"/>
    </row>
    <row r="1281" spans="1:76" s="2016" customFormat="1" ht="73.5" customHeight="1">
      <c r="A1281" s="1953"/>
      <c r="B1281" s="421"/>
      <c r="C1281" s="1955">
        <v>18</v>
      </c>
      <c r="D1281" s="1955" t="s">
        <v>25</v>
      </c>
      <c r="E1281" s="1955" t="s">
        <v>28</v>
      </c>
      <c r="F1281" s="1955">
        <v>61</v>
      </c>
      <c r="G1281" s="1955"/>
      <c r="H1281" s="1956"/>
      <c r="I1281" s="1964" t="s">
        <v>3440</v>
      </c>
      <c r="J1281" s="421" t="s">
        <v>3492</v>
      </c>
      <c r="K1281" s="1956">
        <v>3</v>
      </c>
      <c r="L1281" s="1978">
        <v>500000000</v>
      </c>
      <c r="M1281" s="1551">
        <v>1</v>
      </c>
      <c r="N1281" s="1541">
        <v>45900000</v>
      </c>
      <c r="O1281" s="1389">
        <v>1</v>
      </c>
      <c r="P1281" s="1958">
        <v>185100000</v>
      </c>
      <c r="Q1281" s="1959">
        <v>0</v>
      </c>
      <c r="R1281" s="1958">
        <f>0+0</f>
        <v>0</v>
      </c>
      <c r="S1281" s="1958">
        <v>0</v>
      </c>
      <c r="T1281" s="1958">
        <v>0</v>
      </c>
      <c r="U1281" s="1958">
        <v>0</v>
      </c>
      <c r="V1281" s="1958">
        <v>0</v>
      </c>
      <c r="W1281" s="1958">
        <v>0</v>
      </c>
      <c r="X1281" s="1960">
        <v>0</v>
      </c>
      <c r="Y1281" s="1959">
        <f t="shared" si="371"/>
        <v>0</v>
      </c>
      <c r="Z1281" s="1958">
        <f t="shared" si="377"/>
        <v>0</v>
      </c>
      <c r="AA1281" s="1961">
        <f t="shared" si="372"/>
        <v>1</v>
      </c>
      <c r="AB1281" s="1960">
        <f t="shared" si="373"/>
        <v>45900000</v>
      </c>
      <c r="AC1281" s="1961">
        <f t="shared" si="374"/>
        <v>33.333333333333329</v>
      </c>
      <c r="AD1281" s="1961">
        <f t="shared" si="375"/>
        <v>9.1800000000000015</v>
      </c>
      <c r="AE1281" s="437"/>
      <c r="AF1281" s="1941"/>
      <c r="AG1281" s="1941"/>
      <c r="AH1281" s="1941"/>
      <c r="AI1281" s="1941"/>
      <c r="AJ1281" s="1941"/>
      <c r="AK1281" s="1941"/>
      <c r="AL1281" s="1941"/>
      <c r="AM1281" s="1941"/>
      <c r="AN1281" s="1941"/>
      <c r="AO1281" s="1941"/>
      <c r="AP1281" s="1941"/>
      <c r="AQ1281" s="1941"/>
      <c r="AR1281" s="1941"/>
      <c r="AS1281" s="1941"/>
      <c r="AT1281" s="1941"/>
      <c r="AU1281" s="1941"/>
      <c r="AV1281" s="1941"/>
      <c r="AW1281" s="1941"/>
      <c r="AX1281" s="1941"/>
      <c r="AY1281" s="1941"/>
      <c r="AZ1281" s="1941"/>
      <c r="BA1281" s="1941"/>
      <c r="BB1281" s="1941"/>
      <c r="BC1281" s="1941"/>
      <c r="BD1281" s="1941"/>
      <c r="BE1281" s="1941"/>
      <c r="BF1281" s="1941"/>
      <c r="BG1281" s="1941"/>
      <c r="BH1281" s="1941"/>
      <c r="BI1281" s="1941"/>
      <c r="BJ1281" s="1941"/>
      <c r="BK1281" s="1941"/>
      <c r="BL1281" s="1941"/>
      <c r="BM1281" s="1941"/>
      <c r="BN1281" s="1941"/>
      <c r="BO1281" s="1941"/>
      <c r="BP1281" s="1941"/>
      <c r="BQ1281" s="1941"/>
      <c r="BR1281" s="1941"/>
      <c r="BS1281" s="1941"/>
      <c r="BT1281" s="1941"/>
      <c r="BU1281" s="1941"/>
      <c r="BV1281" s="1941"/>
      <c r="BW1281" s="1941"/>
      <c r="BX1281" s="1941"/>
    </row>
    <row r="1282" spans="1:76" s="2016" customFormat="1" ht="68.25" customHeight="1">
      <c r="A1282" s="1953"/>
      <c r="B1282" s="1979"/>
      <c r="C1282" s="1955">
        <v>18</v>
      </c>
      <c r="D1282" s="1955" t="s">
        <v>25</v>
      </c>
      <c r="E1282" s="1955" t="s">
        <v>28</v>
      </c>
      <c r="F1282" s="1955">
        <v>90</v>
      </c>
      <c r="G1282" s="1955"/>
      <c r="H1282" s="1956"/>
      <c r="I1282" s="1980" t="s">
        <v>3441</v>
      </c>
      <c r="J1282" s="1963" t="s">
        <v>3493</v>
      </c>
      <c r="K1282" s="1956">
        <v>1</v>
      </c>
      <c r="L1282" s="1978">
        <f>N1282+P1282</f>
        <v>73552000</v>
      </c>
      <c r="M1282" s="1551">
        <v>1</v>
      </c>
      <c r="N1282" s="1541">
        <v>73552000</v>
      </c>
      <c r="O1282" s="1389">
        <v>0</v>
      </c>
      <c r="P1282" s="1958">
        <v>0</v>
      </c>
      <c r="Q1282" s="1959">
        <v>0</v>
      </c>
      <c r="R1282" s="1958">
        <v>0</v>
      </c>
      <c r="S1282" s="1958">
        <v>0</v>
      </c>
      <c r="T1282" s="1958">
        <v>0</v>
      </c>
      <c r="U1282" s="1958">
        <v>0</v>
      </c>
      <c r="V1282" s="1958">
        <v>0</v>
      </c>
      <c r="W1282" s="1958">
        <v>0</v>
      </c>
      <c r="X1282" s="1960">
        <v>0</v>
      </c>
      <c r="Y1282" s="1959">
        <f t="shared" si="371"/>
        <v>0</v>
      </c>
      <c r="Z1282" s="1958">
        <f t="shared" si="377"/>
        <v>0</v>
      </c>
      <c r="AA1282" s="1961">
        <f t="shared" si="372"/>
        <v>1</v>
      </c>
      <c r="AB1282" s="1960">
        <f t="shared" si="373"/>
        <v>73552000</v>
      </c>
      <c r="AC1282" s="1961">
        <f t="shared" si="374"/>
        <v>100</v>
      </c>
      <c r="AD1282" s="1961">
        <f t="shared" si="375"/>
        <v>100</v>
      </c>
      <c r="AE1282" s="437"/>
      <c r="AF1282" s="1941"/>
      <c r="AG1282" s="1941"/>
      <c r="AH1282" s="1941"/>
      <c r="AI1282" s="1941"/>
      <c r="AJ1282" s="1941"/>
      <c r="AK1282" s="1941"/>
      <c r="AL1282" s="1941"/>
      <c r="AM1282" s="1941"/>
      <c r="AN1282" s="1941"/>
      <c r="AO1282" s="1941"/>
      <c r="AP1282" s="1941"/>
      <c r="AQ1282" s="1941"/>
      <c r="AR1282" s="1941"/>
      <c r="AS1282" s="1941"/>
      <c r="AT1282" s="1941"/>
      <c r="AU1282" s="1941"/>
      <c r="AV1282" s="1941"/>
      <c r="AW1282" s="1941"/>
      <c r="AX1282" s="1941"/>
      <c r="AY1282" s="1941"/>
      <c r="AZ1282" s="1941"/>
      <c r="BA1282" s="1941"/>
      <c r="BB1282" s="1941"/>
      <c r="BC1282" s="1941"/>
      <c r="BD1282" s="1941"/>
      <c r="BE1282" s="1941"/>
      <c r="BF1282" s="1941"/>
      <c r="BG1282" s="1941"/>
      <c r="BH1282" s="1941"/>
      <c r="BI1282" s="1941"/>
      <c r="BJ1282" s="1941"/>
      <c r="BK1282" s="1941"/>
      <c r="BL1282" s="1941"/>
      <c r="BM1282" s="1941"/>
      <c r="BN1282" s="1941"/>
      <c r="BO1282" s="1941"/>
      <c r="BP1282" s="1941"/>
      <c r="BQ1282" s="1941"/>
      <c r="BR1282" s="1941"/>
      <c r="BS1282" s="1941"/>
      <c r="BT1282" s="1941"/>
      <c r="BU1282" s="1941"/>
      <c r="BV1282" s="1941"/>
      <c r="BW1282" s="1941"/>
      <c r="BX1282" s="1941"/>
    </row>
    <row r="1283" spans="1:76" s="2117" customFormat="1" ht="64.5" customHeight="1">
      <c r="A1283" s="1398">
        <v>3</v>
      </c>
      <c r="B1283" s="439"/>
      <c r="C1283" s="1981">
        <v>18</v>
      </c>
      <c r="D1283" s="1981" t="s">
        <v>38</v>
      </c>
      <c r="E1283" s="1981"/>
      <c r="F1283" s="1351"/>
      <c r="G1283" s="1351"/>
      <c r="H1283" s="1351"/>
      <c r="I1283" s="440" t="s">
        <v>3494</v>
      </c>
      <c r="J1283" s="439" t="s">
        <v>2781</v>
      </c>
      <c r="K1283" s="1387">
        <v>100</v>
      </c>
      <c r="L1283" s="1396">
        <f>SUM(L1284:L1285)</f>
        <v>140418479</v>
      </c>
      <c r="M1283" s="1970">
        <f>(M1284+M1285)/2</f>
        <v>50</v>
      </c>
      <c r="N1283" s="1589">
        <f>SUM(N1284:N1285)</f>
        <v>56918479</v>
      </c>
      <c r="O1283" s="1387">
        <v>0</v>
      </c>
      <c r="P1283" s="1387">
        <v>0</v>
      </c>
      <c r="Q1283" s="1982">
        <v>0</v>
      </c>
      <c r="R1283" s="1387">
        <f>R1284+R1285</f>
        <v>0</v>
      </c>
      <c r="S1283" s="1395">
        <v>0</v>
      </c>
      <c r="T1283" s="1387">
        <v>0</v>
      </c>
      <c r="U1283" s="1387">
        <v>0</v>
      </c>
      <c r="V1283" s="1387">
        <v>0</v>
      </c>
      <c r="W1283" s="1387">
        <v>0</v>
      </c>
      <c r="X1283" s="1983">
        <v>0</v>
      </c>
      <c r="Y1283" s="1982">
        <f t="shared" si="371"/>
        <v>0</v>
      </c>
      <c r="Z1283" s="1387">
        <f t="shared" si="377"/>
        <v>0</v>
      </c>
      <c r="AA1283" s="1984">
        <f t="shared" si="372"/>
        <v>50</v>
      </c>
      <c r="AB1283" s="1983">
        <f t="shared" si="373"/>
        <v>56918479</v>
      </c>
      <c r="AC1283" s="1984">
        <f t="shared" si="374"/>
        <v>50</v>
      </c>
      <c r="AD1283" s="1984">
        <f t="shared" si="375"/>
        <v>40.534892134816531</v>
      </c>
      <c r="AE1283" s="2534" t="s">
        <v>3424</v>
      </c>
      <c r="AF1283" s="2085"/>
      <c r="AG1283" s="2085"/>
      <c r="AH1283" s="2085"/>
      <c r="AI1283" s="2085"/>
      <c r="AJ1283" s="2085"/>
      <c r="AK1283" s="2085"/>
      <c r="AL1283" s="2085"/>
      <c r="AM1283" s="2085"/>
      <c r="AN1283" s="2085"/>
      <c r="AO1283" s="2085"/>
      <c r="AP1283" s="2085"/>
      <c r="AQ1283" s="2085"/>
      <c r="AR1283" s="2085"/>
      <c r="AS1283" s="2085"/>
      <c r="AT1283" s="2085"/>
      <c r="AU1283" s="2085"/>
      <c r="AV1283" s="2085"/>
      <c r="AW1283" s="2085"/>
      <c r="AX1283" s="2085"/>
      <c r="AY1283" s="2085"/>
      <c r="AZ1283" s="2085"/>
      <c r="BA1283" s="2085"/>
      <c r="BB1283" s="2085"/>
      <c r="BC1283" s="2085"/>
      <c r="BD1283" s="2085"/>
      <c r="BE1283" s="2085"/>
      <c r="BF1283" s="2085"/>
      <c r="BG1283" s="2085"/>
      <c r="BH1283" s="2085"/>
      <c r="BI1283" s="2085"/>
      <c r="BJ1283" s="2085"/>
      <c r="BK1283" s="2085"/>
      <c r="BL1283" s="2085"/>
      <c r="BM1283" s="2085"/>
      <c r="BN1283" s="2085"/>
      <c r="BO1283" s="2085"/>
      <c r="BP1283" s="2085"/>
      <c r="BQ1283" s="2085"/>
      <c r="BR1283" s="2085"/>
      <c r="BS1283" s="2085"/>
      <c r="BT1283" s="2085"/>
      <c r="BU1283" s="2085"/>
      <c r="BV1283" s="2085"/>
      <c r="BW1283" s="2085"/>
      <c r="BX1283" s="2085"/>
    </row>
    <row r="1284" spans="1:76" s="2016" customFormat="1" ht="70.5" customHeight="1">
      <c r="A1284" s="1953"/>
      <c r="B1284" s="421"/>
      <c r="C1284" s="1955">
        <v>18</v>
      </c>
      <c r="D1284" s="1955" t="s">
        <v>38</v>
      </c>
      <c r="E1284" s="1955" t="s">
        <v>25</v>
      </c>
      <c r="F1284" s="1955"/>
      <c r="G1284" s="1955"/>
      <c r="H1284" s="1956"/>
      <c r="I1284" s="1964" t="s">
        <v>628</v>
      </c>
      <c r="J1284" s="421" t="s">
        <v>2889</v>
      </c>
      <c r="K1284" s="1956">
        <v>100</v>
      </c>
      <c r="L1284" s="1978">
        <v>122190829</v>
      </c>
      <c r="M1284" s="1551">
        <f>100/6*3</f>
        <v>50</v>
      </c>
      <c r="N1284" s="1541">
        <v>38690829</v>
      </c>
      <c r="O1284" s="1389">
        <v>0</v>
      </c>
      <c r="P1284" s="1958">
        <v>0</v>
      </c>
      <c r="Q1284" s="1959">
        <v>0</v>
      </c>
      <c r="R1284" s="1958">
        <v>0</v>
      </c>
      <c r="S1284" s="1985"/>
      <c r="T1284" s="1958">
        <v>0</v>
      </c>
      <c r="U1284" s="1958">
        <v>0</v>
      </c>
      <c r="V1284" s="1958">
        <v>0</v>
      </c>
      <c r="W1284" s="1958">
        <v>0</v>
      </c>
      <c r="X1284" s="1960">
        <v>0</v>
      </c>
      <c r="Y1284" s="1959">
        <f t="shared" si="371"/>
        <v>0</v>
      </c>
      <c r="Z1284" s="1958">
        <f t="shared" si="377"/>
        <v>0</v>
      </c>
      <c r="AA1284" s="1961">
        <f t="shared" si="372"/>
        <v>50</v>
      </c>
      <c r="AB1284" s="1960">
        <f t="shared" si="373"/>
        <v>38690829</v>
      </c>
      <c r="AC1284" s="1961">
        <f t="shared" si="374"/>
        <v>50</v>
      </c>
      <c r="AD1284" s="1961">
        <f t="shared" si="375"/>
        <v>31.664265900021022</v>
      </c>
      <c r="AE1284" s="437"/>
      <c r="AF1284" s="1941"/>
      <c r="AG1284" s="1941"/>
      <c r="AH1284" s="1941"/>
      <c r="AI1284" s="1941"/>
      <c r="AJ1284" s="1941"/>
      <c r="AK1284" s="1941"/>
      <c r="AL1284" s="1941"/>
      <c r="AM1284" s="1941"/>
      <c r="AN1284" s="1941"/>
      <c r="AO1284" s="1941"/>
      <c r="AP1284" s="1941"/>
      <c r="AQ1284" s="1941"/>
      <c r="AR1284" s="1941"/>
      <c r="AS1284" s="1941"/>
      <c r="AT1284" s="1941"/>
      <c r="AU1284" s="1941"/>
      <c r="AV1284" s="1941"/>
      <c r="AW1284" s="1941"/>
      <c r="AX1284" s="1941"/>
      <c r="AY1284" s="1941"/>
      <c r="AZ1284" s="1941"/>
      <c r="BA1284" s="1941"/>
      <c r="BB1284" s="1941"/>
      <c r="BC1284" s="1941"/>
      <c r="BD1284" s="1941"/>
      <c r="BE1284" s="1941"/>
      <c r="BF1284" s="1941"/>
      <c r="BG1284" s="1941"/>
      <c r="BH1284" s="1941"/>
      <c r="BI1284" s="1941"/>
      <c r="BJ1284" s="1941"/>
      <c r="BK1284" s="1941"/>
      <c r="BL1284" s="1941"/>
      <c r="BM1284" s="1941"/>
      <c r="BN1284" s="1941"/>
      <c r="BO1284" s="1941"/>
      <c r="BP1284" s="1941"/>
      <c r="BQ1284" s="1941"/>
      <c r="BR1284" s="1941"/>
      <c r="BS1284" s="1941"/>
      <c r="BT1284" s="1941"/>
      <c r="BU1284" s="1941"/>
      <c r="BV1284" s="1941"/>
      <c r="BW1284" s="1941"/>
      <c r="BX1284" s="1941"/>
    </row>
    <row r="1285" spans="1:76" s="2016" customFormat="1" ht="80.25" customHeight="1">
      <c r="A1285" s="1986"/>
      <c r="B1285" s="341"/>
      <c r="C1285" s="1987">
        <v>18</v>
      </c>
      <c r="D1285" s="1987" t="s">
        <v>25</v>
      </c>
      <c r="E1285" s="1987" t="s">
        <v>38</v>
      </c>
      <c r="F1285" s="1988"/>
      <c r="G1285" s="1988"/>
      <c r="H1285" s="1988"/>
      <c r="I1285" s="1989" t="s">
        <v>3442</v>
      </c>
      <c r="J1285" s="341" t="s">
        <v>3495</v>
      </c>
      <c r="K1285" s="1990">
        <v>50</v>
      </c>
      <c r="L1285" s="1991">
        <f>N1285+P1285</f>
        <v>18227650</v>
      </c>
      <c r="M1285" s="1992">
        <f>100/6*3</f>
        <v>50</v>
      </c>
      <c r="N1285" s="1993">
        <v>18227650</v>
      </c>
      <c r="O1285" s="1994">
        <v>0</v>
      </c>
      <c r="P1285" s="1990">
        <v>0</v>
      </c>
      <c r="Q1285" s="1995">
        <v>0</v>
      </c>
      <c r="R1285" s="1990">
        <v>0</v>
      </c>
      <c r="S1285" s="1996"/>
      <c r="T1285" s="1990">
        <v>0</v>
      </c>
      <c r="U1285" s="1990">
        <v>0</v>
      </c>
      <c r="V1285" s="1990">
        <v>0</v>
      </c>
      <c r="W1285" s="1990">
        <v>0</v>
      </c>
      <c r="X1285" s="1997">
        <v>0</v>
      </c>
      <c r="Y1285" s="1995">
        <f t="shared" si="371"/>
        <v>0</v>
      </c>
      <c r="Z1285" s="1990">
        <f t="shared" si="377"/>
        <v>0</v>
      </c>
      <c r="AA1285" s="1998">
        <f t="shared" si="372"/>
        <v>50</v>
      </c>
      <c r="AB1285" s="1997">
        <f t="shared" si="373"/>
        <v>18227650</v>
      </c>
      <c r="AC1285" s="1998">
        <f t="shared" si="374"/>
        <v>100</v>
      </c>
      <c r="AD1285" s="1998">
        <f t="shared" si="375"/>
        <v>100</v>
      </c>
      <c r="AE1285" s="2087"/>
      <c r="AF1285" s="1941"/>
      <c r="AG1285" s="1941"/>
      <c r="AH1285" s="1941"/>
      <c r="AI1285" s="1941"/>
      <c r="AJ1285" s="1941"/>
      <c r="AK1285" s="1941"/>
      <c r="AL1285" s="1941"/>
      <c r="AM1285" s="1941"/>
      <c r="AN1285" s="1941"/>
      <c r="AO1285" s="1941"/>
      <c r="AP1285" s="1941"/>
      <c r="AQ1285" s="1941"/>
      <c r="AR1285" s="1941"/>
      <c r="AS1285" s="1941"/>
      <c r="AT1285" s="1941"/>
      <c r="AU1285" s="1941"/>
      <c r="AV1285" s="1941"/>
      <c r="AW1285" s="1941"/>
      <c r="AX1285" s="1941"/>
      <c r="AY1285" s="1941"/>
      <c r="AZ1285" s="1941"/>
      <c r="BA1285" s="1941"/>
      <c r="BB1285" s="1941"/>
      <c r="BC1285" s="1941"/>
      <c r="BD1285" s="1941"/>
      <c r="BE1285" s="1941"/>
      <c r="BF1285" s="1941"/>
      <c r="BG1285" s="1941"/>
      <c r="BH1285" s="1941"/>
      <c r="BI1285" s="1941"/>
      <c r="BJ1285" s="1941"/>
      <c r="BK1285" s="1941"/>
      <c r="BL1285" s="1941"/>
      <c r="BM1285" s="1941"/>
      <c r="BN1285" s="1941"/>
      <c r="BO1285" s="1941"/>
      <c r="BP1285" s="1941"/>
      <c r="BQ1285" s="1941"/>
      <c r="BR1285" s="1941"/>
      <c r="BS1285" s="1941"/>
      <c r="BT1285" s="1941"/>
      <c r="BU1285" s="1941"/>
      <c r="BV1285" s="1941"/>
      <c r="BW1285" s="1941"/>
      <c r="BX1285" s="1941"/>
    </row>
    <row r="1286" spans="1:76" s="2123" customFormat="1" ht="81.75" customHeight="1">
      <c r="A1286" s="303">
        <v>4</v>
      </c>
      <c r="B1286" s="989"/>
      <c r="C1286" s="2094">
        <v>18</v>
      </c>
      <c r="D1286" s="2094">
        <v>16</v>
      </c>
      <c r="E1286" s="2094"/>
      <c r="F1286" s="2094"/>
      <c r="G1286" s="2022"/>
      <c r="H1286" s="545"/>
      <c r="I1286" s="2095" t="s">
        <v>3496</v>
      </c>
      <c r="J1286" s="2096" t="s">
        <v>3461</v>
      </c>
      <c r="K1286" s="2022" t="s">
        <v>3367</v>
      </c>
      <c r="L1286" s="2023">
        <f>SUM(L1287:L1288)</f>
        <v>505447843</v>
      </c>
      <c r="M1286" s="2024" t="s">
        <v>3367</v>
      </c>
      <c r="N1286" s="2025">
        <f>N1287</f>
        <v>151392500</v>
      </c>
      <c r="O1286" s="2096" t="s">
        <v>3367</v>
      </c>
      <c r="P1286" s="2027">
        <f>SUM(P1289:P1291)</f>
        <v>135209100</v>
      </c>
      <c r="Q1286" s="2055" t="s">
        <v>3367</v>
      </c>
      <c r="R1286" s="2118">
        <f>R1287+R1288+R1289+R1290+R1291</f>
        <v>12566400</v>
      </c>
      <c r="S1286" s="2027">
        <f>S1288</f>
        <v>0</v>
      </c>
      <c r="T1286" s="2027">
        <f>SUM(T1289:T1291)</f>
        <v>18704600</v>
      </c>
      <c r="U1286" s="2027">
        <f>SUM(U1287:U1288)</f>
        <v>0</v>
      </c>
      <c r="V1286" s="2027">
        <f>SUM(V1287:V1288)</f>
        <v>0</v>
      </c>
      <c r="W1286" s="2027">
        <f>W1288</f>
        <v>0</v>
      </c>
      <c r="X1286" s="2029">
        <f>X1288</f>
        <v>0</v>
      </c>
      <c r="Y1286" s="2119" t="s">
        <v>3367</v>
      </c>
      <c r="Z1286" s="2120">
        <f t="shared" si="377"/>
        <v>31271000</v>
      </c>
      <c r="AA1286" s="2034" t="s">
        <v>3367</v>
      </c>
      <c r="AB1286" s="2033">
        <f t="shared" ref="AB1286:AB1303" si="378">N1286+Z1286</f>
        <v>182663500</v>
      </c>
      <c r="AC1286" s="2034">
        <v>100</v>
      </c>
      <c r="AD1286" s="2034">
        <f t="shared" ref="AD1286:AD1303" si="379">AB1286/L1286*100</f>
        <v>36.13894144167908</v>
      </c>
      <c r="AE1286" s="2534" t="s">
        <v>3424</v>
      </c>
      <c r="AF1286" s="2121"/>
      <c r="AG1286" s="2085"/>
      <c r="AH1286" s="2085"/>
      <c r="AI1286" s="2085"/>
      <c r="AJ1286" s="2085"/>
      <c r="AK1286" s="2085"/>
      <c r="AL1286" s="2085"/>
      <c r="AM1286" s="2085"/>
      <c r="AN1286" s="2085"/>
      <c r="AO1286" s="2085"/>
      <c r="AP1286" s="2085"/>
      <c r="AQ1286" s="2085"/>
      <c r="AR1286" s="2085"/>
      <c r="AS1286" s="2085"/>
      <c r="AT1286" s="2085"/>
      <c r="AU1286" s="2085"/>
      <c r="AV1286" s="2085"/>
      <c r="AW1286" s="2085"/>
      <c r="AX1286" s="2085"/>
      <c r="AY1286" s="2085"/>
      <c r="AZ1286" s="2085"/>
      <c r="BA1286" s="2085"/>
      <c r="BB1286" s="2085"/>
      <c r="BC1286" s="2085"/>
      <c r="BD1286" s="2085"/>
      <c r="BE1286" s="2085"/>
      <c r="BF1286" s="2085"/>
      <c r="BG1286" s="2085"/>
      <c r="BH1286" s="2085"/>
      <c r="BI1286" s="2085"/>
      <c r="BJ1286" s="2085"/>
      <c r="BK1286" s="2085"/>
      <c r="BL1286" s="2085"/>
      <c r="BM1286" s="2085"/>
      <c r="BN1286" s="2085"/>
      <c r="BO1286" s="2085"/>
      <c r="BP1286" s="2085"/>
      <c r="BQ1286" s="2085"/>
      <c r="BR1286" s="2085"/>
      <c r="BS1286" s="2085"/>
      <c r="BT1286" s="2085"/>
      <c r="BU1286" s="2085"/>
      <c r="BV1286" s="2085"/>
      <c r="BW1286" s="2085"/>
      <c r="BX1286" s="2085"/>
    </row>
    <row r="1287" spans="1:76" s="2092" customFormat="1" ht="49.5">
      <c r="A1287" s="2578"/>
      <c r="B1287" s="513"/>
      <c r="C1287" s="2099">
        <v>18</v>
      </c>
      <c r="D1287" s="2099">
        <v>16</v>
      </c>
      <c r="E1287" s="2099" t="s">
        <v>28</v>
      </c>
      <c r="F1287" s="2099"/>
      <c r="G1287" s="2093"/>
      <c r="H1287" s="787"/>
      <c r="I1287" s="2100" t="s">
        <v>3462</v>
      </c>
      <c r="J1287" s="2045" t="s">
        <v>3497</v>
      </c>
      <c r="K1287" s="2035">
        <v>72</v>
      </c>
      <c r="L1287" s="2036">
        <v>281392500</v>
      </c>
      <c r="M1287" s="2037">
        <v>36</v>
      </c>
      <c r="N1287" s="2038">
        <v>151392500</v>
      </c>
      <c r="O1287" s="2039">
        <v>0</v>
      </c>
      <c r="P1287" s="319">
        <v>0</v>
      </c>
      <c r="Q1287" s="2040">
        <v>0</v>
      </c>
      <c r="R1287" s="319">
        <v>0</v>
      </c>
      <c r="S1287" s="319">
        <v>0</v>
      </c>
      <c r="T1287" s="319">
        <v>0</v>
      </c>
      <c r="U1287" s="319">
        <v>0</v>
      </c>
      <c r="V1287" s="319">
        <v>0</v>
      </c>
      <c r="W1287" s="319">
        <v>0</v>
      </c>
      <c r="X1287" s="310">
        <v>0</v>
      </c>
      <c r="Y1287" s="2041">
        <f t="shared" ref="Y1287:Y1303" si="380">Q1287+S1287+U1287+W1287</f>
        <v>0</v>
      </c>
      <c r="Z1287" s="2042">
        <f t="shared" si="377"/>
        <v>0</v>
      </c>
      <c r="AA1287" s="2043">
        <f t="shared" ref="AA1287:AA1303" si="381">M1287+Y1287</f>
        <v>36</v>
      </c>
      <c r="AB1287" s="2044">
        <f t="shared" si="378"/>
        <v>151392500</v>
      </c>
      <c r="AC1287" s="2043">
        <f t="shared" ref="AC1287:AC1303" si="382">AA1287/K1287*100</f>
        <v>50</v>
      </c>
      <c r="AD1287" s="2043">
        <f t="shared" si="379"/>
        <v>53.801185177287948</v>
      </c>
      <c r="AE1287" s="2535"/>
      <c r="AF1287" s="2097"/>
      <c r="AG1287" s="2098"/>
      <c r="AH1287" s="2098"/>
      <c r="AI1287" s="2098"/>
      <c r="AJ1287" s="2098"/>
      <c r="AK1287" s="2098"/>
      <c r="AL1287" s="2098"/>
      <c r="AM1287" s="2098"/>
      <c r="AN1287" s="2098"/>
      <c r="AO1287" s="2098"/>
      <c r="AP1287" s="2098"/>
      <c r="AQ1287" s="2098"/>
      <c r="AR1287" s="2098"/>
      <c r="AS1287" s="2098"/>
      <c r="AT1287" s="2098"/>
      <c r="AU1287" s="2098"/>
      <c r="AV1287" s="2098"/>
      <c r="AW1287" s="2098"/>
      <c r="AX1287" s="2098"/>
      <c r="AY1287" s="2098"/>
      <c r="AZ1287" s="2098"/>
      <c r="BA1287" s="2098"/>
      <c r="BB1287" s="2098"/>
      <c r="BC1287" s="2098"/>
      <c r="BD1287" s="2098"/>
      <c r="BE1287" s="2098"/>
      <c r="BF1287" s="2098"/>
      <c r="BG1287" s="2098"/>
      <c r="BH1287" s="2098"/>
      <c r="BI1287" s="2098"/>
      <c r="BJ1287" s="2098"/>
      <c r="BK1287" s="2098"/>
      <c r="BL1287" s="2098"/>
      <c r="BM1287" s="2098"/>
      <c r="BN1287" s="2098"/>
      <c r="BO1287" s="2098"/>
      <c r="BP1287" s="2098"/>
      <c r="BQ1287" s="2098"/>
      <c r="BR1287" s="2098"/>
      <c r="BS1287" s="2098"/>
      <c r="BT1287" s="2098"/>
      <c r="BU1287" s="2098"/>
      <c r="BV1287" s="2098"/>
      <c r="BW1287" s="2098"/>
      <c r="BX1287" s="2098"/>
    </row>
    <row r="1288" spans="1:76" s="2092" customFormat="1" ht="49.5">
      <c r="A1288" s="2578"/>
      <c r="B1288" s="513"/>
      <c r="C1288" s="2099">
        <v>18</v>
      </c>
      <c r="D1288" s="2099">
        <v>16</v>
      </c>
      <c r="E1288" s="2099">
        <v>14</v>
      </c>
      <c r="F1288" s="2099"/>
      <c r="G1288" s="2093"/>
      <c r="H1288" s="787"/>
      <c r="I1288" s="2100" t="s">
        <v>3463</v>
      </c>
      <c r="J1288" s="2101" t="s">
        <v>3495</v>
      </c>
      <c r="K1288" s="2035">
        <v>50</v>
      </c>
      <c r="L1288" s="2036">
        <f>N1288+P1288</f>
        <v>224055343</v>
      </c>
      <c r="M1288" s="2037">
        <f>100/6*3</f>
        <v>50</v>
      </c>
      <c r="N1288" s="2038">
        <v>224055343</v>
      </c>
      <c r="O1288" s="2039">
        <v>0</v>
      </c>
      <c r="P1288" s="319">
        <v>0</v>
      </c>
      <c r="Q1288" s="2040"/>
      <c r="R1288" s="319">
        <v>0</v>
      </c>
      <c r="S1288" s="319"/>
      <c r="T1288" s="319">
        <v>0</v>
      </c>
      <c r="U1288" s="319"/>
      <c r="V1288" s="319">
        <v>0</v>
      </c>
      <c r="W1288" s="319"/>
      <c r="X1288" s="310">
        <v>0</v>
      </c>
      <c r="Y1288" s="2041">
        <f t="shared" si="380"/>
        <v>0</v>
      </c>
      <c r="Z1288" s="2042">
        <f t="shared" si="377"/>
        <v>0</v>
      </c>
      <c r="AA1288" s="2043">
        <f t="shared" si="381"/>
        <v>50</v>
      </c>
      <c r="AB1288" s="2044">
        <f t="shared" si="378"/>
        <v>224055343</v>
      </c>
      <c r="AC1288" s="2043">
        <f t="shared" si="382"/>
        <v>100</v>
      </c>
      <c r="AD1288" s="2043">
        <f t="shared" si="379"/>
        <v>100</v>
      </c>
      <c r="AE1288" s="2535"/>
      <c r="AF1288" s="2097"/>
      <c r="AG1288" s="2098"/>
      <c r="AH1288" s="2098"/>
      <c r="AI1288" s="2098"/>
      <c r="AJ1288" s="2098"/>
      <c r="AK1288" s="2098"/>
      <c r="AL1288" s="2098"/>
      <c r="AM1288" s="2098"/>
      <c r="AN1288" s="2098"/>
      <c r="AO1288" s="2098"/>
      <c r="AP1288" s="2098"/>
      <c r="AQ1288" s="2098"/>
      <c r="AR1288" s="2098"/>
      <c r="AS1288" s="2098"/>
      <c r="AT1288" s="2098"/>
      <c r="AU1288" s="2098"/>
      <c r="AV1288" s="2098"/>
      <c r="AW1288" s="2098"/>
      <c r="AX1288" s="2098"/>
      <c r="AY1288" s="2098"/>
      <c r="AZ1288" s="2098"/>
      <c r="BA1288" s="2098"/>
      <c r="BB1288" s="2098"/>
      <c r="BC1288" s="2098"/>
      <c r="BD1288" s="2098"/>
      <c r="BE1288" s="2098"/>
      <c r="BF1288" s="2098"/>
      <c r="BG1288" s="2098"/>
      <c r="BH1288" s="2098"/>
      <c r="BI1288" s="2098"/>
      <c r="BJ1288" s="2098"/>
      <c r="BK1288" s="2098"/>
      <c r="BL1288" s="2098"/>
      <c r="BM1288" s="2098"/>
      <c r="BN1288" s="2098"/>
      <c r="BO1288" s="2098"/>
      <c r="BP1288" s="2098"/>
      <c r="BQ1288" s="2098"/>
      <c r="BR1288" s="2098"/>
      <c r="BS1288" s="2098"/>
      <c r="BT1288" s="2098"/>
      <c r="BU1288" s="2098"/>
      <c r="BV1288" s="2098"/>
      <c r="BW1288" s="2098"/>
      <c r="BX1288" s="2098"/>
    </row>
    <row r="1289" spans="1:76" s="2092" customFormat="1" ht="54" customHeight="1">
      <c r="A1289" s="2578"/>
      <c r="B1289" s="513"/>
      <c r="C1289" s="2099">
        <v>18</v>
      </c>
      <c r="D1289" s="2099" t="s">
        <v>25</v>
      </c>
      <c r="E1289" s="2099">
        <v>16</v>
      </c>
      <c r="F1289" s="2099" t="s">
        <v>29</v>
      </c>
      <c r="G1289" s="2093"/>
      <c r="H1289" s="787"/>
      <c r="I1289" s="2101" t="s">
        <v>3464</v>
      </c>
      <c r="J1289" s="2101" t="s">
        <v>3465</v>
      </c>
      <c r="K1289" s="2035">
        <v>100</v>
      </c>
      <c r="L1289" s="2036">
        <v>75000000</v>
      </c>
      <c r="M1289" s="2038">
        <v>0</v>
      </c>
      <c r="N1289" s="2038">
        <v>0</v>
      </c>
      <c r="O1289" s="2046">
        <v>100</v>
      </c>
      <c r="P1289" s="319">
        <v>46925000</v>
      </c>
      <c r="Q1289" s="2047">
        <v>20</v>
      </c>
      <c r="R1289" s="319">
        <f>0+5364000</f>
        <v>5364000</v>
      </c>
      <c r="S1289" s="319">
        <v>30</v>
      </c>
      <c r="T1289" s="319">
        <v>10832800</v>
      </c>
      <c r="U1289" s="319"/>
      <c r="V1289" s="319"/>
      <c r="W1289" s="319"/>
      <c r="X1289" s="310"/>
      <c r="Y1289" s="2041">
        <f t="shared" si="380"/>
        <v>50</v>
      </c>
      <c r="Z1289" s="2042">
        <f t="shared" si="377"/>
        <v>16196800</v>
      </c>
      <c r="AA1289" s="2043">
        <f t="shared" si="381"/>
        <v>50</v>
      </c>
      <c r="AB1289" s="2044">
        <f t="shared" si="378"/>
        <v>16196800</v>
      </c>
      <c r="AC1289" s="2043">
        <f t="shared" si="382"/>
        <v>50</v>
      </c>
      <c r="AD1289" s="2043">
        <f t="shared" si="379"/>
        <v>21.595733333333335</v>
      </c>
      <c r="AE1289" s="2535"/>
      <c r="AF1289" s="2097"/>
      <c r="AG1289" s="2098"/>
      <c r="AH1289" s="2098"/>
      <c r="AI1289" s="2098"/>
      <c r="AJ1289" s="2098"/>
      <c r="AK1289" s="2098"/>
      <c r="AL1289" s="2098"/>
      <c r="AM1289" s="2098"/>
      <c r="AN1289" s="2098"/>
      <c r="AO1289" s="2098"/>
      <c r="AP1289" s="2098"/>
      <c r="AQ1289" s="2098"/>
      <c r="AR1289" s="2098"/>
      <c r="AS1289" s="2098"/>
      <c r="AT1289" s="2098"/>
      <c r="AU1289" s="2098"/>
      <c r="AV1289" s="2098"/>
      <c r="AW1289" s="2098"/>
      <c r="AX1289" s="2098"/>
      <c r="AY1289" s="2098"/>
      <c r="AZ1289" s="2098"/>
      <c r="BA1289" s="2098"/>
      <c r="BB1289" s="2098"/>
      <c r="BC1289" s="2098"/>
      <c r="BD1289" s="2098"/>
      <c r="BE1289" s="2098"/>
      <c r="BF1289" s="2098"/>
      <c r="BG1289" s="2098"/>
      <c r="BH1289" s="2098"/>
      <c r="BI1289" s="2098"/>
      <c r="BJ1289" s="2098"/>
      <c r="BK1289" s="2098"/>
      <c r="BL1289" s="2098"/>
      <c r="BM1289" s="2098"/>
      <c r="BN1289" s="2098"/>
      <c r="BO1289" s="2098"/>
      <c r="BP1289" s="2098"/>
      <c r="BQ1289" s="2098"/>
      <c r="BR1289" s="2098"/>
      <c r="BS1289" s="2098"/>
      <c r="BT1289" s="2098"/>
      <c r="BU1289" s="2098"/>
      <c r="BV1289" s="2098"/>
      <c r="BW1289" s="2098"/>
      <c r="BX1289" s="2098"/>
    </row>
    <row r="1290" spans="1:76" s="2092" customFormat="1" ht="64.5" customHeight="1">
      <c r="A1290" s="2578"/>
      <c r="B1290" s="513"/>
      <c r="C1290" s="2099">
        <v>18</v>
      </c>
      <c r="D1290" s="2099" t="s">
        <v>25</v>
      </c>
      <c r="E1290" s="2099">
        <v>16</v>
      </c>
      <c r="F1290" s="2099">
        <v>13</v>
      </c>
      <c r="G1290" s="2093"/>
      <c r="H1290" s="787"/>
      <c r="I1290" s="2100" t="s">
        <v>3466</v>
      </c>
      <c r="J1290" s="2101" t="s">
        <v>3498</v>
      </c>
      <c r="K1290" s="2035">
        <v>36</v>
      </c>
      <c r="L1290" s="2036">
        <v>40000000</v>
      </c>
      <c r="M1290" s="2038">
        <v>0</v>
      </c>
      <c r="N1290" s="2038">
        <v>0</v>
      </c>
      <c r="O1290" s="2046">
        <v>12</v>
      </c>
      <c r="P1290" s="319">
        <v>41703100</v>
      </c>
      <c r="Q1290" s="2047">
        <v>3</v>
      </c>
      <c r="R1290" s="319">
        <f>3000000+2470400</f>
        <v>5470400</v>
      </c>
      <c r="S1290" s="319">
        <v>25</v>
      </c>
      <c r="T1290" s="319">
        <v>6371800</v>
      </c>
      <c r="U1290" s="319"/>
      <c r="V1290" s="319"/>
      <c r="W1290" s="319"/>
      <c r="X1290" s="310"/>
      <c r="Y1290" s="2041">
        <f t="shared" si="380"/>
        <v>28</v>
      </c>
      <c r="Z1290" s="2042">
        <f t="shared" si="377"/>
        <v>11842200</v>
      </c>
      <c r="AA1290" s="2043">
        <f t="shared" si="381"/>
        <v>28</v>
      </c>
      <c r="AB1290" s="2044">
        <f t="shared" si="378"/>
        <v>11842200</v>
      </c>
      <c r="AC1290" s="2043">
        <f t="shared" si="382"/>
        <v>77.777777777777786</v>
      </c>
      <c r="AD1290" s="2043">
        <f t="shared" si="379"/>
        <v>29.605500000000003</v>
      </c>
      <c r="AE1290" s="2535"/>
      <c r="AF1290" s="2097"/>
      <c r="AG1290" s="2098"/>
      <c r="AH1290" s="2098"/>
      <c r="AI1290" s="2098"/>
      <c r="AJ1290" s="2098"/>
      <c r="AK1290" s="2098"/>
      <c r="AL1290" s="2098"/>
      <c r="AM1290" s="2098"/>
      <c r="AN1290" s="2098"/>
      <c r="AO1290" s="2098"/>
      <c r="AP1290" s="2098"/>
      <c r="AQ1290" s="2098"/>
      <c r="AR1290" s="2098"/>
      <c r="AS1290" s="2098"/>
      <c r="AT1290" s="2098"/>
      <c r="AU1290" s="2098"/>
      <c r="AV1290" s="2098"/>
      <c r="AW1290" s="2098"/>
      <c r="AX1290" s="2098"/>
      <c r="AY1290" s="2098"/>
      <c r="AZ1290" s="2098"/>
      <c r="BA1290" s="2098"/>
      <c r="BB1290" s="2098"/>
      <c r="BC1290" s="2098"/>
      <c r="BD1290" s="2098"/>
      <c r="BE1290" s="2098"/>
      <c r="BF1290" s="2098"/>
      <c r="BG1290" s="2098"/>
      <c r="BH1290" s="2098"/>
      <c r="BI1290" s="2098"/>
      <c r="BJ1290" s="2098"/>
      <c r="BK1290" s="2098"/>
      <c r="BL1290" s="2098"/>
      <c r="BM1290" s="2098"/>
      <c r="BN1290" s="2098"/>
      <c r="BO1290" s="2098"/>
      <c r="BP1290" s="2098"/>
      <c r="BQ1290" s="2098"/>
      <c r="BR1290" s="2098"/>
      <c r="BS1290" s="2098"/>
      <c r="BT1290" s="2098"/>
      <c r="BU1290" s="2098"/>
      <c r="BV1290" s="2098"/>
      <c r="BW1290" s="2098"/>
      <c r="BX1290" s="2098"/>
    </row>
    <row r="1291" spans="1:76" s="2092" customFormat="1" ht="39.75" customHeight="1">
      <c r="A1291" s="2578"/>
      <c r="B1291" s="513"/>
      <c r="C1291" s="2099">
        <v>18</v>
      </c>
      <c r="D1291" s="2099" t="s">
        <v>25</v>
      </c>
      <c r="E1291" s="2099">
        <v>16</v>
      </c>
      <c r="F1291" s="2099">
        <v>15</v>
      </c>
      <c r="G1291" s="2093"/>
      <c r="H1291" s="787"/>
      <c r="I1291" s="2101" t="s">
        <v>3467</v>
      </c>
      <c r="J1291" s="2101" t="s">
        <v>3468</v>
      </c>
      <c r="K1291" s="2035">
        <v>3</v>
      </c>
      <c r="L1291" s="2036">
        <v>85000000</v>
      </c>
      <c r="M1291" s="2038">
        <v>0</v>
      </c>
      <c r="N1291" s="2038">
        <v>0</v>
      </c>
      <c r="O1291" s="2046">
        <v>1</v>
      </c>
      <c r="P1291" s="319">
        <v>46581000</v>
      </c>
      <c r="Q1291" s="2047">
        <v>0</v>
      </c>
      <c r="R1291" s="319">
        <f>732000+1000000</f>
        <v>1732000</v>
      </c>
      <c r="S1291" s="319">
        <v>15</v>
      </c>
      <c r="T1291" s="319">
        <v>1500000</v>
      </c>
      <c r="U1291" s="319"/>
      <c r="V1291" s="319"/>
      <c r="W1291" s="319"/>
      <c r="X1291" s="310"/>
      <c r="Y1291" s="2041">
        <f t="shared" si="380"/>
        <v>15</v>
      </c>
      <c r="Z1291" s="2042">
        <f t="shared" si="377"/>
        <v>3232000</v>
      </c>
      <c r="AA1291" s="2043">
        <f t="shared" si="381"/>
        <v>15</v>
      </c>
      <c r="AB1291" s="2044">
        <f t="shared" si="378"/>
        <v>3232000</v>
      </c>
      <c r="AC1291" s="2043">
        <f t="shared" si="382"/>
        <v>500</v>
      </c>
      <c r="AD1291" s="2043">
        <f t="shared" si="379"/>
        <v>3.8023529411764705</v>
      </c>
      <c r="AE1291" s="2535"/>
      <c r="AF1291" s="2097"/>
      <c r="AG1291" s="2098"/>
      <c r="AH1291" s="2098"/>
      <c r="AI1291" s="2098"/>
      <c r="AJ1291" s="2098"/>
      <c r="AK1291" s="2098"/>
      <c r="AL1291" s="2098"/>
      <c r="AM1291" s="2098"/>
      <c r="AN1291" s="2098"/>
      <c r="AO1291" s="2098"/>
      <c r="AP1291" s="2098"/>
      <c r="AQ1291" s="2098"/>
      <c r="AR1291" s="2098"/>
      <c r="AS1291" s="2098"/>
      <c r="AT1291" s="2098"/>
      <c r="AU1291" s="2098"/>
      <c r="AV1291" s="2098"/>
      <c r="AW1291" s="2098"/>
      <c r="AX1291" s="2098"/>
      <c r="AY1291" s="2098"/>
      <c r="AZ1291" s="2098"/>
      <c r="BA1291" s="2098"/>
      <c r="BB1291" s="2098"/>
      <c r="BC1291" s="2098"/>
      <c r="BD1291" s="2098"/>
      <c r="BE1291" s="2098"/>
      <c r="BF1291" s="2098"/>
      <c r="BG1291" s="2098"/>
      <c r="BH1291" s="2098"/>
      <c r="BI1291" s="2098"/>
      <c r="BJ1291" s="2098"/>
      <c r="BK1291" s="2098"/>
      <c r="BL1291" s="2098"/>
      <c r="BM1291" s="2098"/>
      <c r="BN1291" s="2098"/>
      <c r="BO1291" s="2098"/>
      <c r="BP1291" s="2098"/>
      <c r="BQ1291" s="2098"/>
      <c r="BR1291" s="2098"/>
      <c r="BS1291" s="2098"/>
      <c r="BT1291" s="2098"/>
      <c r="BU1291" s="2098"/>
      <c r="BV1291" s="2098"/>
      <c r="BW1291" s="2098"/>
      <c r="BX1291" s="2098"/>
    </row>
    <row r="1292" spans="1:76" s="2092" customFormat="1" ht="55.5" customHeight="1">
      <c r="A1292" s="303">
        <v>5</v>
      </c>
      <c r="B1292" s="989"/>
      <c r="C1292" s="2094">
        <v>18</v>
      </c>
      <c r="D1292" s="2094">
        <v>18</v>
      </c>
      <c r="E1292" s="2094"/>
      <c r="F1292" s="2094"/>
      <c r="G1292" s="2103"/>
      <c r="H1292" s="2124"/>
      <c r="I1292" s="2125" t="s">
        <v>3458</v>
      </c>
      <c r="J1292" s="2107" t="s">
        <v>3459</v>
      </c>
      <c r="K1292" s="2022">
        <f>K1293</f>
        <v>50</v>
      </c>
      <c r="L1292" s="2023">
        <f>SUM(L1293:L1294)</f>
        <v>283697348</v>
      </c>
      <c r="M1292" s="2024">
        <f>(M1293+M1294+M1296+M1297)/4</f>
        <v>25.25</v>
      </c>
      <c r="N1292" s="2025">
        <f>SUM(N1293)</f>
        <v>138392500</v>
      </c>
      <c r="O1292" s="2096">
        <v>100</v>
      </c>
      <c r="P1292" s="2027">
        <f>P1293+P1294+P1296+P1297</f>
        <v>42409000</v>
      </c>
      <c r="Q1292" s="2028">
        <f>Q1297</f>
        <v>7</v>
      </c>
      <c r="R1292" s="2027">
        <f>R1293+R1294+R1296+R1297</f>
        <v>1902000</v>
      </c>
      <c r="S1292" s="2053">
        <f>S1294</f>
        <v>0</v>
      </c>
      <c r="T1292" s="2027">
        <f>SUM(T1297)</f>
        <v>5555900</v>
      </c>
      <c r="U1292" s="2027">
        <v>0</v>
      </c>
      <c r="V1292" s="2027"/>
      <c r="W1292" s="2027">
        <v>0</v>
      </c>
      <c r="X1292" s="2029">
        <f>SUM(X1293:X1294)</f>
        <v>0</v>
      </c>
      <c r="Y1292" s="2119">
        <f t="shared" si="380"/>
        <v>7</v>
      </c>
      <c r="Z1292" s="2031">
        <f t="shared" si="377"/>
        <v>7457900</v>
      </c>
      <c r="AA1292" s="2032">
        <f t="shared" si="381"/>
        <v>32.25</v>
      </c>
      <c r="AB1292" s="2033">
        <f t="shared" si="378"/>
        <v>145850400</v>
      </c>
      <c r="AC1292" s="2034">
        <f t="shared" si="382"/>
        <v>64.5</v>
      </c>
      <c r="AD1292" s="2034">
        <f t="shared" si="379"/>
        <v>51.410561652483267</v>
      </c>
      <c r="AE1292" s="2534" t="s">
        <v>3424</v>
      </c>
      <c r="AF1292" s="2097"/>
      <c r="AG1292" s="2098"/>
      <c r="AH1292" s="2098"/>
      <c r="AI1292" s="2098"/>
      <c r="AJ1292" s="2098"/>
      <c r="AK1292" s="2098"/>
      <c r="AL1292" s="2098"/>
      <c r="AM1292" s="2098"/>
      <c r="AN1292" s="2098"/>
      <c r="AO1292" s="2098"/>
      <c r="AP1292" s="2098"/>
      <c r="AQ1292" s="2098"/>
      <c r="AR1292" s="2098"/>
      <c r="AS1292" s="2098"/>
      <c r="AT1292" s="2098"/>
      <c r="AU1292" s="2098"/>
      <c r="AV1292" s="2098"/>
      <c r="AW1292" s="2098"/>
      <c r="AX1292" s="2098"/>
      <c r="AY1292" s="2098"/>
      <c r="AZ1292" s="2098"/>
      <c r="BA1292" s="2098"/>
      <c r="BB1292" s="2098"/>
      <c r="BC1292" s="2098"/>
      <c r="BD1292" s="2098"/>
      <c r="BE1292" s="2098"/>
      <c r="BF1292" s="2098"/>
      <c r="BG1292" s="2098"/>
      <c r="BH1292" s="2098"/>
      <c r="BI1292" s="2098"/>
      <c r="BJ1292" s="2098"/>
      <c r="BK1292" s="2098"/>
      <c r="BL1292" s="2098"/>
      <c r="BM1292" s="2098"/>
      <c r="BN1292" s="2098"/>
      <c r="BO1292" s="2098"/>
      <c r="BP1292" s="2098"/>
      <c r="BQ1292" s="2098"/>
      <c r="BR1292" s="2098"/>
      <c r="BS1292" s="2098"/>
      <c r="BT1292" s="2098"/>
      <c r="BU1292" s="2098"/>
      <c r="BV1292" s="2098"/>
      <c r="BW1292" s="2098"/>
      <c r="BX1292" s="2098"/>
    </row>
    <row r="1293" spans="1:76" s="2092" customFormat="1" ht="66">
      <c r="A1293" s="2578"/>
      <c r="B1293" s="513"/>
      <c r="C1293" s="2099">
        <v>18</v>
      </c>
      <c r="D1293" s="2099">
        <v>18</v>
      </c>
      <c r="E1293" s="2099" t="s">
        <v>39</v>
      </c>
      <c r="F1293" s="2093"/>
      <c r="G1293" s="2093"/>
      <c r="H1293" s="787"/>
      <c r="I1293" s="2100" t="s">
        <v>3460</v>
      </c>
      <c r="J1293" s="2045" t="s">
        <v>3277</v>
      </c>
      <c r="K1293" s="2035">
        <v>50</v>
      </c>
      <c r="L1293" s="2036">
        <f>N1293+P1293</f>
        <v>138392500</v>
      </c>
      <c r="M1293" s="2037">
        <f>100/6*3</f>
        <v>50</v>
      </c>
      <c r="N1293" s="2038">
        <v>138392500</v>
      </c>
      <c r="O1293" s="2039">
        <v>0</v>
      </c>
      <c r="P1293" s="319">
        <v>0</v>
      </c>
      <c r="Q1293" s="2040">
        <v>0</v>
      </c>
      <c r="R1293" s="319">
        <v>0</v>
      </c>
      <c r="S1293" s="319"/>
      <c r="T1293" s="319">
        <v>0</v>
      </c>
      <c r="U1293" s="319">
        <v>0</v>
      </c>
      <c r="V1293" s="319">
        <v>0</v>
      </c>
      <c r="W1293" s="319">
        <v>0</v>
      </c>
      <c r="X1293" s="310">
        <v>0</v>
      </c>
      <c r="Y1293" s="2041">
        <f t="shared" si="380"/>
        <v>0</v>
      </c>
      <c r="Z1293" s="2042">
        <f t="shared" si="377"/>
        <v>0</v>
      </c>
      <c r="AA1293" s="2043">
        <f t="shared" si="381"/>
        <v>50</v>
      </c>
      <c r="AB1293" s="2044">
        <f t="shared" si="378"/>
        <v>138392500</v>
      </c>
      <c r="AC1293" s="2043">
        <f t="shared" si="382"/>
        <v>100</v>
      </c>
      <c r="AD1293" s="2043">
        <f t="shared" si="379"/>
        <v>100</v>
      </c>
      <c r="AE1293" s="2535"/>
      <c r="AF1293" s="2097"/>
      <c r="AG1293" s="2098"/>
      <c r="AH1293" s="2098"/>
      <c r="AI1293" s="2098"/>
      <c r="AJ1293" s="2098"/>
      <c r="AK1293" s="2098"/>
      <c r="AL1293" s="2098"/>
      <c r="AM1293" s="2098"/>
      <c r="AN1293" s="2098"/>
      <c r="AO1293" s="2098"/>
      <c r="AP1293" s="2098"/>
      <c r="AQ1293" s="2098"/>
      <c r="AR1293" s="2098"/>
      <c r="AS1293" s="2098"/>
      <c r="AT1293" s="2098"/>
      <c r="AU1293" s="2098"/>
      <c r="AV1293" s="2098"/>
      <c r="AW1293" s="2098"/>
      <c r="AX1293" s="2098"/>
      <c r="AY1293" s="2098"/>
      <c r="AZ1293" s="2098"/>
      <c r="BA1293" s="2098"/>
      <c r="BB1293" s="2098"/>
      <c r="BC1293" s="2098"/>
      <c r="BD1293" s="2098"/>
      <c r="BE1293" s="2098"/>
      <c r="BF1293" s="2098"/>
      <c r="BG1293" s="2098"/>
      <c r="BH1293" s="2098"/>
      <c r="BI1293" s="2098"/>
      <c r="BJ1293" s="2098"/>
      <c r="BK1293" s="2098"/>
      <c r="BL1293" s="2098"/>
      <c r="BM1293" s="2098"/>
      <c r="BN1293" s="2098"/>
      <c r="BO1293" s="2098"/>
      <c r="BP1293" s="2098"/>
      <c r="BQ1293" s="2098"/>
      <c r="BR1293" s="2098"/>
      <c r="BS1293" s="2098"/>
      <c r="BT1293" s="2098"/>
      <c r="BU1293" s="2098"/>
      <c r="BV1293" s="2098"/>
      <c r="BW1293" s="2098"/>
      <c r="BX1293" s="2098"/>
    </row>
    <row r="1294" spans="1:76" s="2116" customFormat="1" ht="39" customHeight="1">
      <c r="A1294" s="2578"/>
      <c r="B1294" s="513"/>
      <c r="C1294" s="2099">
        <v>18</v>
      </c>
      <c r="D1294" s="2099">
        <v>18</v>
      </c>
      <c r="E1294" s="2099" t="s">
        <v>43</v>
      </c>
      <c r="F1294" s="2093"/>
      <c r="G1294" s="2093"/>
      <c r="H1294" s="787"/>
      <c r="I1294" s="2100" t="s">
        <v>3469</v>
      </c>
      <c r="J1294" s="2111" t="s">
        <v>3499</v>
      </c>
      <c r="K1294" s="2035">
        <v>1</v>
      </c>
      <c r="L1294" s="2036">
        <f>N1294+P1294</f>
        <v>145304848</v>
      </c>
      <c r="M1294" s="2037">
        <v>1</v>
      </c>
      <c r="N1294" s="2038">
        <v>145304848</v>
      </c>
      <c r="O1294" s="2039">
        <v>0</v>
      </c>
      <c r="P1294" s="319">
        <v>0</v>
      </c>
      <c r="Q1294" s="2040">
        <v>0</v>
      </c>
      <c r="R1294" s="319"/>
      <c r="S1294" s="2048">
        <v>0</v>
      </c>
      <c r="T1294" s="319">
        <v>0</v>
      </c>
      <c r="U1294" s="319">
        <v>0</v>
      </c>
      <c r="V1294" s="319">
        <v>0</v>
      </c>
      <c r="W1294" s="319">
        <v>0</v>
      </c>
      <c r="X1294" s="310">
        <v>0</v>
      </c>
      <c r="Y1294" s="2041">
        <f t="shared" si="380"/>
        <v>0</v>
      </c>
      <c r="Z1294" s="2042">
        <f t="shared" si="377"/>
        <v>0</v>
      </c>
      <c r="AA1294" s="2043">
        <f t="shared" si="381"/>
        <v>1</v>
      </c>
      <c r="AB1294" s="2044">
        <f t="shared" si="378"/>
        <v>145304848</v>
      </c>
      <c r="AC1294" s="2043">
        <f t="shared" si="382"/>
        <v>100</v>
      </c>
      <c r="AD1294" s="2043">
        <f t="shared" si="379"/>
        <v>100</v>
      </c>
      <c r="AE1294" s="2535"/>
      <c r="AF1294" s="2097"/>
      <c r="AG1294" s="2098"/>
      <c r="AH1294" s="2098"/>
      <c r="AI1294" s="2098"/>
      <c r="AJ1294" s="2098"/>
      <c r="AK1294" s="2098"/>
      <c r="AL1294" s="2098"/>
      <c r="AM1294" s="2098"/>
      <c r="AN1294" s="2098"/>
      <c r="AO1294" s="2098"/>
      <c r="AP1294" s="2098"/>
      <c r="AQ1294" s="2098"/>
      <c r="AR1294" s="2098"/>
      <c r="AS1294" s="2098"/>
      <c r="AT1294" s="2098"/>
      <c r="AU1294" s="2098"/>
      <c r="AV1294" s="2098"/>
      <c r="AW1294" s="2098"/>
      <c r="AX1294" s="2098"/>
      <c r="AY1294" s="2098"/>
      <c r="AZ1294" s="2098"/>
      <c r="BA1294" s="2098"/>
      <c r="BB1294" s="2098"/>
      <c r="BC1294" s="2098"/>
      <c r="BD1294" s="2098"/>
      <c r="BE1294" s="2098"/>
      <c r="BF1294" s="2098"/>
      <c r="BG1294" s="2098"/>
      <c r="BH1294" s="2098"/>
      <c r="BI1294" s="2098"/>
      <c r="BJ1294" s="2098"/>
      <c r="BK1294" s="2098"/>
      <c r="BL1294" s="2098"/>
      <c r="BM1294" s="2098"/>
      <c r="BN1294" s="2098"/>
      <c r="BO1294" s="2098"/>
      <c r="BP1294" s="2098"/>
      <c r="BQ1294" s="2098"/>
      <c r="BR1294" s="2098"/>
      <c r="BS1294" s="2098"/>
      <c r="BT1294" s="2098"/>
      <c r="BU1294" s="2098"/>
      <c r="BV1294" s="2098"/>
      <c r="BW1294" s="2098"/>
      <c r="BX1294" s="2098"/>
    </row>
    <row r="1295" spans="1:76" s="2092" customFormat="1" ht="52.5" customHeight="1">
      <c r="A1295" s="2578"/>
      <c r="B1295" s="513"/>
      <c r="C1295" s="2099" t="s">
        <v>28</v>
      </c>
      <c r="D1295" s="2099">
        <v>18</v>
      </c>
      <c r="E1295" s="2099">
        <v>18</v>
      </c>
      <c r="F1295" s="2099" t="s">
        <v>38</v>
      </c>
      <c r="G1295" s="2093"/>
      <c r="H1295" s="787"/>
      <c r="I1295" s="2100" t="s">
        <v>3470</v>
      </c>
      <c r="J1295" s="2927" t="s">
        <v>3500</v>
      </c>
      <c r="K1295" s="2049">
        <v>1</v>
      </c>
      <c r="L1295" s="2036">
        <v>59999900</v>
      </c>
      <c r="M1295" s="2037">
        <v>1</v>
      </c>
      <c r="N1295" s="2038">
        <v>39689590</v>
      </c>
      <c r="O1295" s="2039">
        <v>0</v>
      </c>
      <c r="P1295" s="319">
        <v>0</v>
      </c>
      <c r="Q1295" s="2040">
        <v>0</v>
      </c>
      <c r="R1295" s="319">
        <v>0</v>
      </c>
      <c r="S1295" s="319"/>
      <c r="T1295" s="319">
        <v>0</v>
      </c>
      <c r="U1295" s="319"/>
      <c r="V1295" s="319">
        <v>0</v>
      </c>
      <c r="W1295" s="319"/>
      <c r="X1295" s="310"/>
      <c r="Y1295" s="2041">
        <f t="shared" si="380"/>
        <v>0</v>
      </c>
      <c r="Z1295" s="2042">
        <f t="shared" si="377"/>
        <v>0</v>
      </c>
      <c r="AA1295" s="2043">
        <f t="shared" si="381"/>
        <v>1</v>
      </c>
      <c r="AB1295" s="2044">
        <f t="shared" si="378"/>
        <v>39689590</v>
      </c>
      <c r="AC1295" s="2043">
        <f t="shared" si="382"/>
        <v>100</v>
      </c>
      <c r="AD1295" s="2050">
        <f t="shared" si="379"/>
        <v>66.14942691571153</v>
      </c>
      <c r="AE1295" s="2535"/>
      <c r="AF1295" s="2097"/>
      <c r="AG1295" s="2098"/>
      <c r="AH1295" s="2098"/>
      <c r="AI1295" s="2098"/>
      <c r="AJ1295" s="2098"/>
      <c r="AK1295" s="2098"/>
      <c r="AL1295" s="2098"/>
      <c r="AM1295" s="2098"/>
      <c r="AN1295" s="2098"/>
      <c r="AO1295" s="2098"/>
      <c r="AP1295" s="2098"/>
      <c r="AQ1295" s="2098"/>
      <c r="AR1295" s="2098"/>
      <c r="AS1295" s="2098"/>
      <c r="AT1295" s="2098"/>
      <c r="AU1295" s="2098"/>
      <c r="AV1295" s="2098"/>
      <c r="AW1295" s="2098"/>
      <c r="AX1295" s="2098"/>
      <c r="AY1295" s="2098"/>
      <c r="AZ1295" s="2098"/>
      <c r="BA1295" s="2098"/>
      <c r="BB1295" s="2098"/>
      <c r="BC1295" s="2098"/>
      <c r="BD1295" s="2098"/>
      <c r="BE1295" s="2098"/>
      <c r="BF1295" s="2098"/>
      <c r="BG1295" s="2098"/>
      <c r="BH1295" s="2098"/>
      <c r="BI1295" s="2098"/>
      <c r="BJ1295" s="2098"/>
      <c r="BK1295" s="2098"/>
      <c r="BL1295" s="2098"/>
      <c r="BM1295" s="2098"/>
      <c r="BN1295" s="2098"/>
      <c r="BO1295" s="2098"/>
      <c r="BP1295" s="2098"/>
      <c r="BQ1295" s="2098"/>
      <c r="BR1295" s="2098"/>
      <c r="BS1295" s="2098"/>
      <c r="BT1295" s="2098"/>
      <c r="BU1295" s="2098"/>
      <c r="BV1295" s="2098"/>
      <c r="BW1295" s="2098"/>
      <c r="BX1295" s="2098"/>
    </row>
    <row r="1296" spans="1:76" s="2092" customFormat="1" ht="6.75" hidden="1" customHeight="1">
      <c r="A1296" s="2578"/>
      <c r="B1296" s="513"/>
      <c r="C1296" s="2099"/>
      <c r="D1296" s="2099"/>
      <c r="E1296" s="2099"/>
      <c r="F1296" s="2099"/>
      <c r="G1296" s="2093"/>
      <c r="H1296" s="787"/>
      <c r="I1296" s="2102"/>
      <c r="J1296" s="2927"/>
      <c r="K1296" s="2049">
        <v>100</v>
      </c>
      <c r="L1296" s="2036">
        <v>59999900</v>
      </c>
      <c r="M1296" s="2037">
        <f>100/6*3</f>
        <v>50</v>
      </c>
      <c r="N1296" s="2038">
        <v>39689590</v>
      </c>
      <c r="O1296" s="2039">
        <v>0</v>
      </c>
      <c r="P1296" s="319">
        <v>0</v>
      </c>
      <c r="Q1296" s="2040">
        <v>0</v>
      </c>
      <c r="R1296" s="319">
        <v>0</v>
      </c>
      <c r="S1296" s="319"/>
      <c r="T1296" s="319">
        <v>0</v>
      </c>
      <c r="U1296" s="319"/>
      <c r="V1296" s="319">
        <v>0</v>
      </c>
      <c r="W1296" s="319"/>
      <c r="X1296" s="310"/>
      <c r="Y1296" s="2041">
        <f t="shared" si="380"/>
        <v>0</v>
      </c>
      <c r="Z1296" s="2042">
        <f t="shared" si="377"/>
        <v>0</v>
      </c>
      <c r="AA1296" s="2043">
        <f t="shared" si="381"/>
        <v>50</v>
      </c>
      <c r="AB1296" s="2044">
        <f t="shared" si="378"/>
        <v>39689590</v>
      </c>
      <c r="AC1296" s="2043">
        <f t="shared" si="382"/>
        <v>50</v>
      </c>
      <c r="AD1296" s="2043">
        <f t="shared" si="379"/>
        <v>66.14942691571153</v>
      </c>
      <c r="AE1296" s="2535"/>
      <c r="AF1296" s="2097"/>
      <c r="AG1296" s="2098"/>
      <c r="AH1296" s="2098"/>
      <c r="AI1296" s="2098"/>
      <c r="AJ1296" s="2098"/>
      <c r="AK1296" s="2098"/>
      <c r="AL1296" s="2098"/>
      <c r="AM1296" s="2098"/>
      <c r="AN1296" s="2098"/>
      <c r="AO1296" s="2098"/>
      <c r="AP1296" s="2098"/>
      <c r="AQ1296" s="2098"/>
      <c r="AR1296" s="2098"/>
      <c r="AS1296" s="2098"/>
      <c r="AT1296" s="2098"/>
      <c r="AU1296" s="2098"/>
      <c r="AV1296" s="2098"/>
      <c r="AW1296" s="2098"/>
      <c r="AX1296" s="2098"/>
      <c r="AY1296" s="2098"/>
      <c r="AZ1296" s="2098"/>
      <c r="BA1296" s="2098"/>
      <c r="BB1296" s="2098"/>
      <c r="BC1296" s="2098"/>
      <c r="BD1296" s="2098"/>
      <c r="BE1296" s="2098"/>
      <c r="BF1296" s="2098"/>
      <c r="BG1296" s="2098"/>
      <c r="BH1296" s="2098"/>
      <c r="BI1296" s="2098"/>
      <c r="BJ1296" s="2098"/>
      <c r="BK1296" s="2098"/>
      <c r="BL1296" s="2098"/>
      <c r="BM1296" s="2098"/>
      <c r="BN1296" s="2098"/>
      <c r="BO1296" s="2098"/>
      <c r="BP1296" s="2098"/>
      <c r="BQ1296" s="2098"/>
      <c r="BR1296" s="2098"/>
      <c r="BS1296" s="2098"/>
      <c r="BT1296" s="2098"/>
      <c r="BU1296" s="2098"/>
      <c r="BV1296" s="2098"/>
      <c r="BW1296" s="2098"/>
      <c r="BX1296" s="2098"/>
    </row>
    <row r="1297" spans="1:76" s="2092" customFormat="1" ht="69" customHeight="1">
      <c r="A1297" s="2578"/>
      <c r="B1297" s="513"/>
      <c r="C1297" s="2099" t="s">
        <v>28</v>
      </c>
      <c r="D1297" s="2099">
        <v>18</v>
      </c>
      <c r="E1297" s="2099">
        <v>18</v>
      </c>
      <c r="F1297" s="2099" t="s">
        <v>38</v>
      </c>
      <c r="G1297" s="2093"/>
      <c r="H1297" s="787"/>
      <c r="I1297" s="2102" t="s">
        <v>3471</v>
      </c>
      <c r="J1297" s="2045" t="s">
        <v>3472</v>
      </c>
      <c r="K1297" s="2049">
        <v>100</v>
      </c>
      <c r="L1297" s="2036">
        <v>60000000</v>
      </c>
      <c r="M1297" s="2038">
        <v>0</v>
      </c>
      <c r="N1297" s="2038">
        <v>0</v>
      </c>
      <c r="O1297" s="2046">
        <v>100</v>
      </c>
      <c r="P1297" s="319">
        <v>42409000</v>
      </c>
      <c r="Q1297" s="2040">
        <v>7</v>
      </c>
      <c r="R1297" s="319">
        <f>902000+1000000</f>
        <v>1902000</v>
      </c>
      <c r="S1297" s="319">
        <v>20</v>
      </c>
      <c r="T1297" s="319">
        <v>5555900</v>
      </c>
      <c r="U1297" s="319"/>
      <c r="V1297" s="319"/>
      <c r="W1297" s="319"/>
      <c r="X1297" s="310"/>
      <c r="Y1297" s="2041">
        <f t="shared" si="380"/>
        <v>27</v>
      </c>
      <c r="Z1297" s="2042">
        <f t="shared" si="377"/>
        <v>7457900</v>
      </c>
      <c r="AA1297" s="2043">
        <f t="shared" si="381"/>
        <v>27</v>
      </c>
      <c r="AB1297" s="2044">
        <f t="shared" si="378"/>
        <v>7457900</v>
      </c>
      <c r="AC1297" s="2043">
        <f t="shared" si="382"/>
        <v>27</v>
      </c>
      <c r="AD1297" s="2043">
        <f t="shared" si="379"/>
        <v>12.429833333333333</v>
      </c>
      <c r="AE1297" s="2535"/>
      <c r="AF1297" s="2097"/>
      <c r="AG1297" s="2098"/>
      <c r="AH1297" s="2098"/>
      <c r="AI1297" s="2098"/>
      <c r="AJ1297" s="2098"/>
      <c r="AK1297" s="2098"/>
      <c r="AL1297" s="2098"/>
      <c r="AM1297" s="2098"/>
      <c r="AN1297" s="2098"/>
      <c r="AO1297" s="2098"/>
      <c r="AP1297" s="2098"/>
      <c r="AQ1297" s="2098"/>
      <c r="AR1297" s="2098"/>
      <c r="AS1297" s="2098"/>
      <c r="AT1297" s="2098"/>
      <c r="AU1297" s="2098"/>
      <c r="AV1297" s="2098"/>
      <c r="AW1297" s="2098"/>
      <c r="AX1297" s="2098"/>
      <c r="AY1297" s="2098"/>
      <c r="AZ1297" s="2098"/>
      <c r="BA1297" s="2098"/>
      <c r="BB1297" s="2098"/>
      <c r="BC1297" s="2098"/>
      <c r="BD1297" s="2098"/>
      <c r="BE1297" s="2098"/>
      <c r="BF1297" s="2098"/>
      <c r="BG1297" s="2098"/>
      <c r="BH1297" s="2098"/>
      <c r="BI1297" s="2098"/>
      <c r="BJ1297" s="2098"/>
      <c r="BK1297" s="2098"/>
      <c r="BL1297" s="2098"/>
      <c r="BM1297" s="2098"/>
      <c r="BN1297" s="2098"/>
      <c r="BO1297" s="2098"/>
      <c r="BP1297" s="2098"/>
      <c r="BQ1297" s="2098"/>
      <c r="BR1297" s="2098"/>
      <c r="BS1297" s="2098"/>
      <c r="BT1297" s="2098"/>
      <c r="BU1297" s="2098"/>
      <c r="BV1297" s="2098"/>
      <c r="BW1297" s="2098"/>
      <c r="BX1297" s="2098"/>
    </row>
    <row r="1298" spans="1:76" s="2092" customFormat="1" ht="85.5" customHeight="1">
      <c r="A1298" s="303">
        <v>6</v>
      </c>
      <c r="B1298" s="989"/>
      <c r="C1298" s="2094">
        <v>18</v>
      </c>
      <c r="D1298" s="2094" t="s">
        <v>25</v>
      </c>
      <c r="E1298" s="2094">
        <v>17</v>
      </c>
      <c r="F1298" s="2094"/>
      <c r="G1298" s="2103"/>
      <c r="H1298" s="545"/>
      <c r="I1298" s="2095" t="s">
        <v>3501</v>
      </c>
      <c r="J1298" s="2096" t="s">
        <v>3502</v>
      </c>
      <c r="K1298" s="2051">
        <v>90</v>
      </c>
      <c r="L1298" s="2023">
        <f>L1299</f>
        <v>120000000</v>
      </c>
      <c r="M1298" s="2024">
        <v>80</v>
      </c>
      <c r="N1298" s="2025">
        <f>N1299</f>
        <v>64075665</v>
      </c>
      <c r="O1298" s="2026">
        <v>10</v>
      </c>
      <c r="P1298" s="2027">
        <f>P1299</f>
        <v>30436000</v>
      </c>
      <c r="Q1298" s="2028">
        <f>Q1299</f>
        <v>3</v>
      </c>
      <c r="R1298" s="2052">
        <f>R1299</f>
        <v>0</v>
      </c>
      <c r="S1298" s="2053">
        <f>S1299</f>
        <v>3</v>
      </c>
      <c r="T1298" s="2027">
        <f>SUM(T1299)</f>
        <v>874700</v>
      </c>
      <c r="U1298" s="2027">
        <f>U1299</f>
        <v>0</v>
      </c>
      <c r="V1298" s="2027">
        <f>SUM(V1299)</f>
        <v>0</v>
      </c>
      <c r="W1298" s="2027">
        <f t="shared" ref="W1298:X1298" si="383">W1299</f>
        <v>0</v>
      </c>
      <c r="X1298" s="2029">
        <f t="shared" si="383"/>
        <v>0</v>
      </c>
      <c r="Y1298" s="2030">
        <f t="shared" si="380"/>
        <v>6</v>
      </c>
      <c r="Z1298" s="2031">
        <f t="shared" si="377"/>
        <v>874700</v>
      </c>
      <c r="AA1298" s="2032">
        <f t="shared" si="381"/>
        <v>86</v>
      </c>
      <c r="AB1298" s="2033">
        <f t="shared" si="378"/>
        <v>64950365</v>
      </c>
      <c r="AC1298" s="2034">
        <f t="shared" si="382"/>
        <v>95.555555555555557</v>
      </c>
      <c r="AD1298" s="2034">
        <f t="shared" si="379"/>
        <v>54.125304166666666</v>
      </c>
      <c r="AE1298" s="2534" t="s">
        <v>3424</v>
      </c>
      <c r="AF1298" s="2097"/>
      <c r="AG1298" s="2098"/>
      <c r="AH1298" s="2098"/>
      <c r="AI1298" s="2098"/>
      <c r="AJ1298" s="2098"/>
      <c r="AK1298" s="2098"/>
      <c r="AL1298" s="2098"/>
      <c r="AM1298" s="2098"/>
      <c r="AN1298" s="2098"/>
      <c r="AO1298" s="2098"/>
      <c r="AP1298" s="2098"/>
      <c r="AQ1298" s="2098"/>
      <c r="AR1298" s="2098"/>
      <c r="AS1298" s="2098"/>
      <c r="AT1298" s="2098"/>
      <c r="AU1298" s="2098"/>
      <c r="AV1298" s="2098"/>
      <c r="AW1298" s="2098"/>
      <c r="AX1298" s="2098"/>
      <c r="AY1298" s="2098"/>
      <c r="AZ1298" s="2098"/>
      <c r="BA1298" s="2098"/>
      <c r="BB1298" s="2098"/>
      <c r="BC1298" s="2098"/>
      <c r="BD1298" s="2098"/>
      <c r="BE1298" s="2098"/>
      <c r="BF1298" s="2098"/>
      <c r="BG1298" s="2098"/>
      <c r="BH1298" s="2098"/>
      <c r="BI1298" s="2098"/>
      <c r="BJ1298" s="2098"/>
      <c r="BK1298" s="2098"/>
      <c r="BL1298" s="2098"/>
      <c r="BM1298" s="2098"/>
      <c r="BN1298" s="2098"/>
      <c r="BO1298" s="2098"/>
      <c r="BP1298" s="2098"/>
      <c r="BQ1298" s="2098"/>
      <c r="BR1298" s="2098"/>
      <c r="BS1298" s="2098"/>
      <c r="BT1298" s="2098"/>
      <c r="BU1298" s="2098"/>
      <c r="BV1298" s="2098"/>
      <c r="BW1298" s="2098"/>
      <c r="BX1298" s="2098"/>
    </row>
    <row r="1299" spans="1:76" s="2092" customFormat="1" ht="66.75" customHeight="1">
      <c r="A1299" s="2578"/>
      <c r="B1299" s="513"/>
      <c r="C1299" s="2099">
        <v>18</v>
      </c>
      <c r="D1299" s="2099" t="s">
        <v>25</v>
      </c>
      <c r="E1299" s="2099">
        <v>17</v>
      </c>
      <c r="F1299" s="2099" t="s">
        <v>78</v>
      </c>
      <c r="G1299" s="2093"/>
      <c r="H1299" s="787"/>
      <c r="I1299" s="2100" t="s">
        <v>3473</v>
      </c>
      <c r="J1299" s="2045" t="s">
        <v>3503</v>
      </c>
      <c r="K1299" s="2044">
        <v>72</v>
      </c>
      <c r="L1299" s="2036">
        <v>120000000</v>
      </c>
      <c r="M1299" s="2037">
        <v>36</v>
      </c>
      <c r="N1299" s="2038">
        <f>33448000+30627665</f>
        <v>64075665</v>
      </c>
      <c r="O1299" s="2046">
        <v>12</v>
      </c>
      <c r="P1299" s="319">
        <v>30436000</v>
      </c>
      <c r="Q1299" s="2040">
        <v>3</v>
      </c>
      <c r="R1299" s="2039">
        <f>0+0</f>
        <v>0</v>
      </c>
      <c r="S1299" s="2048">
        <v>3</v>
      </c>
      <c r="T1299" s="319">
        <v>874700</v>
      </c>
      <c r="U1299" s="319"/>
      <c r="V1299" s="319">
        <v>0</v>
      </c>
      <c r="W1299" s="319"/>
      <c r="X1299" s="310">
        <v>0</v>
      </c>
      <c r="Y1299" s="2041">
        <f t="shared" si="380"/>
        <v>6</v>
      </c>
      <c r="Z1299" s="2042">
        <f t="shared" si="377"/>
        <v>874700</v>
      </c>
      <c r="AA1299" s="2043">
        <f t="shared" si="381"/>
        <v>42</v>
      </c>
      <c r="AB1299" s="2044">
        <f t="shared" si="378"/>
        <v>64950365</v>
      </c>
      <c r="AC1299" s="2043">
        <f t="shared" si="382"/>
        <v>58.333333333333336</v>
      </c>
      <c r="AD1299" s="2043">
        <f t="shared" si="379"/>
        <v>54.125304166666666</v>
      </c>
      <c r="AE1299" s="2535"/>
      <c r="AF1299" s="2097"/>
      <c r="AG1299" s="2098"/>
      <c r="AH1299" s="2098"/>
      <c r="AI1299" s="2098"/>
      <c r="AJ1299" s="2098"/>
      <c r="AK1299" s="2098"/>
      <c r="AL1299" s="2098"/>
      <c r="AM1299" s="2098"/>
      <c r="AN1299" s="2098"/>
      <c r="AO1299" s="2098"/>
      <c r="AP1299" s="2098"/>
      <c r="AQ1299" s="2098"/>
      <c r="AR1299" s="2098"/>
      <c r="AS1299" s="2098"/>
      <c r="AT1299" s="2098"/>
      <c r="AU1299" s="2098"/>
      <c r="AV1299" s="2098"/>
      <c r="AW1299" s="2098"/>
      <c r="AX1299" s="2098"/>
      <c r="AY1299" s="2098"/>
      <c r="AZ1299" s="2098"/>
      <c r="BA1299" s="2098"/>
      <c r="BB1299" s="2098"/>
      <c r="BC1299" s="2098"/>
      <c r="BD1299" s="2098"/>
      <c r="BE1299" s="2098"/>
      <c r="BF1299" s="2098"/>
      <c r="BG1299" s="2098"/>
      <c r="BH1299" s="2098"/>
      <c r="BI1299" s="2098"/>
      <c r="BJ1299" s="2098"/>
      <c r="BK1299" s="2098"/>
      <c r="BL1299" s="2098"/>
      <c r="BM1299" s="2098"/>
      <c r="BN1299" s="2098"/>
      <c r="BO1299" s="2098"/>
      <c r="BP1299" s="2098"/>
      <c r="BQ1299" s="2098"/>
      <c r="BR1299" s="2098"/>
      <c r="BS1299" s="2098"/>
      <c r="BT1299" s="2098"/>
      <c r="BU1299" s="2098"/>
      <c r="BV1299" s="2098"/>
      <c r="BW1299" s="2098"/>
      <c r="BX1299" s="2098"/>
    </row>
    <row r="1300" spans="1:76" s="2092" customFormat="1" ht="77.25" customHeight="1">
      <c r="A1300" s="303">
        <v>7</v>
      </c>
      <c r="B1300" s="629"/>
      <c r="C1300" s="2104">
        <v>1</v>
      </c>
      <c r="D1300" s="2094" t="s">
        <v>28</v>
      </c>
      <c r="E1300" s="2094">
        <v>18</v>
      </c>
      <c r="F1300" s="2094">
        <v>1</v>
      </c>
      <c r="G1300" s="2105" t="s">
        <v>28</v>
      </c>
      <c r="H1300" s="545"/>
      <c r="I1300" s="2106" t="s">
        <v>3474</v>
      </c>
      <c r="J1300" s="2107" t="s">
        <v>3504</v>
      </c>
      <c r="K1300" s="2126">
        <v>28.89</v>
      </c>
      <c r="L1300" s="2023">
        <f t="shared" ref="L1300:R1300" si="384">L1301</f>
        <v>30000000</v>
      </c>
      <c r="M1300" s="2127">
        <v>13.33</v>
      </c>
      <c r="N1300" s="2025">
        <f t="shared" si="384"/>
        <v>0</v>
      </c>
      <c r="O1300" s="2128">
        <f>23.67-M1300</f>
        <v>10.340000000000002</v>
      </c>
      <c r="P1300" s="2027">
        <f t="shared" si="384"/>
        <v>28790000</v>
      </c>
      <c r="Q1300" s="2055">
        <v>0</v>
      </c>
      <c r="R1300" s="2027">
        <f t="shared" si="384"/>
        <v>3092750</v>
      </c>
      <c r="S1300" s="2027"/>
      <c r="T1300" s="2027">
        <f>SUM(T1301)</f>
        <v>3255100</v>
      </c>
      <c r="U1300" s="2027"/>
      <c r="V1300" s="2027"/>
      <c r="W1300" s="2056"/>
      <c r="X1300" s="2057"/>
      <c r="Y1300" s="2058">
        <f t="shared" si="380"/>
        <v>0</v>
      </c>
      <c r="Z1300" s="2056">
        <f t="shared" si="377"/>
        <v>6347850</v>
      </c>
      <c r="AA1300" s="2054">
        <f t="shared" si="381"/>
        <v>13.33</v>
      </c>
      <c r="AB1300" s="2057">
        <f t="shared" si="378"/>
        <v>6347850</v>
      </c>
      <c r="AC1300" s="2059">
        <f t="shared" si="382"/>
        <v>46.140533056420907</v>
      </c>
      <c r="AD1300" s="2059">
        <f t="shared" si="379"/>
        <v>21.159500000000001</v>
      </c>
      <c r="AE1300" s="2534" t="s">
        <v>3424</v>
      </c>
      <c r="AF1300" s="2097"/>
      <c r="AG1300" s="2098"/>
      <c r="AH1300" s="2098"/>
      <c r="AI1300" s="2098"/>
      <c r="AJ1300" s="2098"/>
      <c r="AK1300" s="2098"/>
      <c r="AL1300" s="2098"/>
      <c r="AM1300" s="2098"/>
      <c r="AN1300" s="2098"/>
      <c r="AO1300" s="2098"/>
      <c r="AP1300" s="2098"/>
      <c r="AQ1300" s="2098"/>
      <c r="AR1300" s="2098"/>
      <c r="AS1300" s="2098"/>
      <c r="AT1300" s="2098"/>
      <c r="AU1300" s="2098"/>
      <c r="AV1300" s="2098"/>
      <c r="AW1300" s="2098"/>
      <c r="AX1300" s="2098"/>
      <c r="AY1300" s="2098"/>
      <c r="AZ1300" s="2098"/>
      <c r="BA1300" s="2098"/>
      <c r="BB1300" s="2098"/>
      <c r="BC1300" s="2098"/>
      <c r="BD1300" s="2098"/>
      <c r="BE1300" s="2098"/>
      <c r="BF1300" s="2098"/>
      <c r="BG1300" s="2098"/>
      <c r="BH1300" s="2098"/>
      <c r="BI1300" s="2098"/>
      <c r="BJ1300" s="2098"/>
      <c r="BK1300" s="2098"/>
      <c r="BL1300" s="2098"/>
      <c r="BM1300" s="2098"/>
      <c r="BN1300" s="2098"/>
      <c r="BO1300" s="2098"/>
      <c r="BP1300" s="2098"/>
      <c r="BQ1300" s="2098"/>
      <c r="BR1300" s="2098"/>
      <c r="BS1300" s="2098"/>
      <c r="BT1300" s="2098"/>
      <c r="BU1300" s="2098"/>
      <c r="BV1300" s="2098"/>
      <c r="BW1300" s="2098"/>
      <c r="BX1300" s="2098"/>
    </row>
    <row r="1301" spans="1:76" s="2092" customFormat="1" ht="68.25" customHeight="1">
      <c r="A1301" s="2578"/>
      <c r="B1301" s="513"/>
      <c r="C1301" s="2108">
        <v>18</v>
      </c>
      <c r="D1301" s="2109" t="s">
        <v>25</v>
      </c>
      <c r="E1301" s="2093">
        <v>15</v>
      </c>
      <c r="F1301" s="2093">
        <v>15</v>
      </c>
      <c r="G1301" s="2093"/>
      <c r="H1301" s="787"/>
      <c r="I1301" s="2110" t="s">
        <v>3475</v>
      </c>
      <c r="J1301" s="2111" t="s">
        <v>3476</v>
      </c>
      <c r="K1301" s="2047">
        <v>1</v>
      </c>
      <c r="L1301" s="2040">
        <v>30000000</v>
      </c>
      <c r="M1301" s="2040">
        <v>0</v>
      </c>
      <c r="N1301" s="2040">
        <v>0</v>
      </c>
      <c r="O1301" s="2040">
        <v>1</v>
      </c>
      <c r="P1301" s="2040">
        <v>28790000</v>
      </c>
      <c r="Q1301" s="2040">
        <v>0</v>
      </c>
      <c r="R1301" s="2040">
        <f>1661000+1431750</f>
        <v>3092750</v>
      </c>
      <c r="S1301" s="2040"/>
      <c r="T1301" s="2040">
        <v>3255100</v>
      </c>
      <c r="U1301" s="2040"/>
      <c r="V1301" s="2040"/>
      <c r="W1301" s="2040"/>
      <c r="X1301" s="2040"/>
      <c r="Y1301" s="2041">
        <f t="shared" si="380"/>
        <v>0</v>
      </c>
      <c r="Z1301" s="2042">
        <f t="shared" si="377"/>
        <v>6347850</v>
      </c>
      <c r="AA1301" s="2043">
        <f t="shared" si="381"/>
        <v>0</v>
      </c>
      <c r="AB1301" s="2044">
        <f t="shared" si="378"/>
        <v>6347850</v>
      </c>
      <c r="AC1301" s="2043">
        <f t="shared" si="382"/>
        <v>0</v>
      </c>
      <c r="AD1301" s="2043">
        <f t="shared" si="379"/>
        <v>21.159500000000001</v>
      </c>
      <c r="AE1301" s="2041"/>
      <c r="AF1301" s="2097"/>
      <c r="AG1301" s="2098"/>
      <c r="AH1301" s="2098"/>
      <c r="AI1301" s="2098"/>
      <c r="AJ1301" s="2098"/>
      <c r="AK1301" s="2098"/>
      <c r="AL1301" s="2098"/>
      <c r="AM1301" s="2098"/>
      <c r="AN1301" s="2098"/>
      <c r="AO1301" s="2098"/>
      <c r="AP1301" s="2098"/>
      <c r="AQ1301" s="2098"/>
      <c r="AR1301" s="2098"/>
      <c r="AS1301" s="2098"/>
      <c r="AT1301" s="2098"/>
      <c r="AU1301" s="2098"/>
      <c r="AV1301" s="2098"/>
      <c r="AW1301" s="2098"/>
      <c r="AX1301" s="2098"/>
      <c r="AY1301" s="2098"/>
      <c r="AZ1301" s="2098"/>
      <c r="BA1301" s="2098"/>
      <c r="BB1301" s="2098"/>
      <c r="BC1301" s="2098"/>
      <c r="BD1301" s="2098"/>
      <c r="BE1301" s="2098"/>
      <c r="BF1301" s="2098"/>
      <c r="BG1301" s="2098"/>
      <c r="BH1301" s="2098"/>
      <c r="BI1301" s="2098"/>
      <c r="BJ1301" s="2098"/>
      <c r="BK1301" s="2098"/>
      <c r="BL1301" s="2098"/>
      <c r="BM1301" s="2098"/>
      <c r="BN1301" s="2098"/>
      <c r="BO1301" s="2098"/>
      <c r="BP1301" s="2098"/>
      <c r="BQ1301" s="2098"/>
      <c r="BR1301" s="2098"/>
      <c r="BS1301" s="2098"/>
      <c r="BT1301" s="2098"/>
      <c r="BU1301" s="2098"/>
      <c r="BV1301" s="2098"/>
      <c r="BW1301" s="2098"/>
      <c r="BX1301" s="2098"/>
    </row>
    <row r="1302" spans="1:76" s="2122" customFormat="1" ht="69.75" customHeight="1">
      <c r="A1302" s="303">
        <v>8</v>
      </c>
      <c r="B1302" s="989"/>
      <c r="C1302" s="2112">
        <v>3</v>
      </c>
      <c r="D1302" s="2105" t="s">
        <v>34</v>
      </c>
      <c r="E1302" s="2105" t="s">
        <v>28</v>
      </c>
      <c r="F1302" s="2103">
        <v>1</v>
      </c>
      <c r="G1302" s="2105" t="s">
        <v>28</v>
      </c>
      <c r="H1302" s="545"/>
      <c r="I1302" s="1746" t="s">
        <v>3505</v>
      </c>
      <c r="J1302" s="2107" t="s">
        <v>3506</v>
      </c>
      <c r="K1302" s="2060">
        <f>K1303</f>
        <v>3</v>
      </c>
      <c r="L1302" s="2055">
        <f t="shared" ref="L1302:R1302" si="385">L1303</f>
        <v>30000000</v>
      </c>
      <c r="M1302" s="2055">
        <f t="shared" si="385"/>
        <v>0</v>
      </c>
      <c r="N1302" s="2055">
        <f t="shared" si="385"/>
        <v>0</v>
      </c>
      <c r="O1302" s="2055">
        <v>80</v>
      </c>
      <c r="P1302" s="2055">
        <f t="shared" si="385"/>
        <v>23600000</v>
      </c>
      <c r="Q1302" s="2055">
        <v>0</v>
      </c>
      <c r="R1302" s="2055">
        <f t="shared" si="385"/>
        <v>0</v>
      </c>
      <c r="S1302" s="2055"/>
      <c r="T1302" s="2055"/>
      <c r="U1302" s="2055"/>
      <c r="V1302" s="2055"/>
      <c r="W1302" s="2055"/>
      <c r="X1302" s="2055"/>
      <c r="Y1302" s="2055">
        <f t="shared" si="380"/>
        <v>0</v>
      </c>
      <c r="Z1302" s="2055">
        <f t="shared" si="377"/>
        <v>0</v>
      </c>
      <c r="AA1302" s="2055">
        <f t="shared" si="381"/>
        <v>0</v>
      </c>
      <c r="AB1302" s="2055">
        <f t="shared" si="378"/>
        <v>0</v>
      </c>
      <c r="AC1302" s="2055">
        <f t="shared" si="382"/>
        <v>0</v>
      </c>
      <c r="AD1302" s="2055">
        <f t="shared" si="379"/>
        <v>0</v>
      </c>
      <c r="AE1302" s="2534" t="s">
        <v>3424</v>
      </c>
      <c r="AF1302" s="2121"/>
      <c r="AG1302" s="2085"/>
      <c r="AH1302" s="2085"/>
      <c r="AI1302" s="2085"/>
      <c r="AJ1302" s="2085"/>
      <c r="AK1302" s="2085"/>
      <c r="AL1302" s="2085"/>
      <c r="AM1302" s="2085"/>
      <c r="AN1302" s="2085"/>
      <c r="AO1302" s="2085"/>
      <c r="AP1302" s="2085"/>
      <c r="AQ1302" s="2085"/>
      <c r="AR1302" s="2085"/>
      <c r="AS1302" s="2085"/>
      <c r="AT1302" s="2085"/>
      <c r="AU1302" s="2085"/>
      <c r="AV1302" s="2085"/>
      <c r="AW1302" s="2085"/>
      <c r="AX1302" s="2085"/>
      <c r="AY1302" s="2085"/>
      <c r="AZ1302" s="2085"/>
      <c r="BA1302" s="2085"/>
      <c r="BB1302" s="2085"/>
      <c r="BC1302" s="2085"/>
      <c r="BD1302" s="2085"/>
      <c r="BE1302" s="2085"/>
      <c r="BF1302" s="2085"/>
      <c r="BG1302" s="2085"/>
      <c r="BH1302" s="2085"/>
      <c r="BI1302" s="2085"/>
      <c r="BJ1302" s="2085"/>
      <c r="BK1302" s="2085"/>
      <c r="BL1302" s="2085"/>
      <c r="BM1302" s="2085"/>
      <c r="BN1302" s="2085"/>
      <c r="BO1302" s="2085"/>
      <c r="BP1302" s="2085"/>
      <c r="BQ1302" s="2085"/>
      <c r="BR1302" s="2085"/>
      <c r="BS1302" s="2085"/>
      <c r="BT1302" s="2085"/>
      <c r="BU1302" s="2085"/>
      <c r="BV1302" s="2085"/>
      <c r="BW1302" s="2085"/>
      <c r="BX1302" s="2085"/>
    </row>
    <row r="1303" spans="1:76" s="2092" customFormat="1" ht="50.25" customHeight="1">
      <c r="A1303" s="2578"/>
      <c r="B1303" s="513"/>
      <c r="C1303" s="2108">
        <v>18</v>
      </c>
      <c r="D1303" s="2109" t="s">
        <v>25</v>
      </c>
      <c r="E1303" s="2093">
        <v>15</v>
      </c>
      <c r="F1303" s="2093">
        <v>11</v>
      </c>
      <c r="G1303" s="2093"/>
      <c r="H1303" s="787"/>
      <c r="I1303" s="2110" t="s">
        <v>585</v>
      </c>
      <c r="J1303" s="2113" t="s">
        <v>2086</v>
      </c>
      <c r="K1303" s="2061">
        <v>3</v>
      </c>
      <c r="L1303" s="2062">
        <v>30000000</v>
      </c>
      <c r="M1303" s="2062">
        <v>0</v>
      </c>
      <c r="N1303" s="2062">
        <v>0</v>
      </c>
      <c r="O1303" s="2062">
        <v>1</v>
      </c>
      <c r="P1303" s="2062">
        <v>23600000</v>
      </c>
      <c r="Q1303" s="2062">
        <v>7</v>
      </c>
      <c r="R1303" s="2063">
        <f>0+0</f>
        <v>0</v>
      </c>
      <c r="S1303" s="2062"/>
      <c r="T1303" s="2062"/>
      <c r="U1303" s="2062"/>
      <c r="V1303" s="2062"/>
      <c r="W1303" s="2062"/>
      <c r="X1303" s="2062"/>
      <c r="Y1303" s="2064">
        <f t="shared" si="380"/>
        <v>7</v>
      </c>
      <c r="Z1303" s="2065">
        <f t="shared" si="377"/>
        <v>0</v>
      </c>
      <c r="AA1303" s="2066">
        <f t="shared" si="381"/>
        <v>7</v>
      </c>
      <c r="AB1303" s="2067">
        <f t="shared" si="378"/>
        <v>0</v>
      </c>
      <c r="AC1303" s="2066">
        <f t="shared" si="382"/>
        <v>233.33333333333334</v>
      </c>
      <c r="AD1303" s="2066">
        <f t="shared" si="379"/>
        <v>0</v>
      </c>
      <c r="AE1303" s="2596"/>
      <c r="AF1303" s="2097"/>
      <c r="AG1303" s="2098"/>
      <c r="AH1303" s="2098"/>
      <c r="AI1303" s="2098"/>
      <c r="AJ1303" s="2098"/>
      <c r="AK1303" s="2098"/>
      <c r="AL1303" s="2098"/>
      <c r="AM1303" s="2098"/>
      <c r="AN1303" s="2098"/>
      <c r="AO1303" s="2098"/>
      <c r="AP1303" s="2098"/>
      <c r="AQ1303" s="2098"/>
      <c r="AR1303" s="2098"/>
      <c r="AS1303" s="2098"/>
      <c r="AT1303" s="2098"/>
      <c r="AU1303" s="2098"/>
      <c r="AV1303" s="2098"/>
      <c r="AW1303" s="2098"/>
      <c r="AX1303" s="2098"/>
      <c r="AY1303" s="2098"/>
      <c r="AZ1303" s="2098"/>
      <c r="BA1303" s="2098"/>
      <c r="BB1303" s="2098"/>
      <c r="BC1303" s="2098"/>
      <c r="BD1303" s="2098"/>
      <c r="BE1303" s="2098"/>
      <c r="BF1303" s="2098"/>
      <c r="BG1303" s="2098"/>
      <c r="BH1303" s="2098"/>
      <c r="BI1303" s="2098"/>
      <c r="BJ1303" s="2098"/>
      <c r="BK1303" s="2098"/>
      <c r="BL1303" s="2098"/>
      <c r="BM1303" s="2098"/>
      <c r="BN1303" s="2098"/>
      <c r="BO1303" s="2098"/>
      <c r="BP1303" s="2098"/>
      <c r="BQ1303" s="2098"/>
      <c r="BR1303" s="2098"/>
      <c r="BS1303" s="2098"/>
      <c r="BT1303" s="2098"/>
      <c r="BU1303" s="2098"/>
      <c r="BV1303" s="2098"/>
      <c r="BW1303" s="2098"/>
      <c r="BX1303" s="2098"/>
    </row>
    <row r="1304" spans="1:76" s="1" customFormat="1" ht="21.75" customHeight="1">
      <c r="A1304" s="2928" t="s">
        <v>63</v>
      </c>
      <c r="B1304" s="2928"/>
      <c r="C1304" s="2929"/>
      <c r="D1304" s="2929"/>
      <c r="E1304" s="2929"/>
      <c r="F1304" s="2929"/>
      <c r="G1304" s="2929"/>
      <c r="H1304" s="2929"/>
      <c r="I1304" s="2929"/>
      <c r="J1304" s="2929"/>
      <c r="K1304" s="2929"/>
      <c r="L1304" s="2929"/>
      <c r="M1304" s="2929"/>
      <c r="N1304" s="2929"/>
      <c r="O1304" s="2929"/>
      <c r="P1304" s="2929"/>
      <c r="Q1304" s="2929"/>
      <c r="R1304" s="2929"/>
      <c r="S1304" s="2929"/>
      <c r="T1304" s="2929"/>
      <c r="U1304" s="2929"/>
      <c r="V1304" s="2929"/>
      <c r="W1304" s="2929"/>
      <c r="X1304" s="2929"/>
      <c r="Y1304" s="2929"/>
      <c r="Z1304" s="2929"/>
      <c r="AA1304" s="2929"/>
      <c r="AB1304" s="2929"/>
      <c r="AC1304" s="1811">
        <f>(AC1265+AC1279+AC1283+AC1286+AC1292+AC1298+AC1300+AC1302)/8</f>
        <v>58.587011076497056</v>
      </c>
      <c r="AD1304" s="1811">
        <f>(AD1265+AD1279+AD1283+AD1286+AD1292+AD1298+AD1300+AD1302)/8</f>
        <v>38.630940682854224</v>
      </c>
      <c r="AE1304" s="745"/>
      <c r="AF1304" s="2068"/>
      <c r="AG1304" s="2017"/>
      <c r="AH1304" s="2069"/>
      <c r="AI1304" s="2017"/>
      <c r="AJ1304" s="2017"/>
      <c r="AK1304" s="2017"/>
      <c r="AL1304" s="2017"/>
      <c r="AM1304" s="2017"/>
      <c r="AN1304" s="2017"/>
      <c r="AO1304" s="2017"/>
      <c r="AP1304" s="2017"/>
      <c r="AQ1304" s="2017"/>
      <c r="AR1304" s="2017"/>
      <c r="AS1304" s="2017"/>
      <c r="AT1304" s="2017"/>
      <c r="AU1304" s="2017"/>
      <c r="AV1304" s="2017"/>
      <c r="AW1304" s="2017"/>
      <c r="AX1304" s="2017"/>
      <c r="AY1304" s="2017"/>
      <c r="AZ1304" s="2017"/>
      <c r="BA1304" s="2017"/>
      <c r="BB1304" s="2017"/>
      <c r="BC1304" s="2017"/>
      <c r="BD1304" s="2017"/>
      <c r="BE1304" s="2017"/>
      <c r="BF1304" s="2017"/>
      <c r="BG1304" s="2017"/>
      <c r="BH1304" s="2017"/>
      <c r="BI1304" s="2017"/>
      <c r="BJ1304" s="2018"/>
      <c r="BK1304" s="2018"/>
      <c r="BL1304" s="2018"/>
      <c r="BM1304" s="2018"/>
      <c r="BN1304" s="2018"/>
      <c r="BO1304" s="2018"/>
      <c r="BP1304" s="2018"/>
      <c r="BQ1304" s="2018"/>
      <c r="BR1304" s="2018"/>
      <c r="BS1304" s="2018"/>
      <c r="BT1304" s="2018"/>
      <c r="BU1304" s="2018"/>
      <c r="BV1304" s="2018"/>
      <c r="BW1304" s="2018"/>
      <c r="BX1304" s="2018"/>
    </row>
    <row r="1305" spans="1:76" s="1" customFormat="1" ht="24" customHeight="1">
      <c r="A1305" s="2928" t="s">
        <v>64</v>
      </c>
      <c r="B1305" s="2928"/>
      <c r="C1305" s="2929"/>
      <c r="D1305" s="2929"/>
      <c r="E1305" s="2929"/>
      <c r="F1305" s="2929"/>
      <c r="G1305" s="2929"/>
      <c r="H1305" s="2929"/>
      <c r="I1305" s="2929"/>
      <c r="J1305" s="2929"/>
      <c r="K1305" s="2929"/>
      <c r="L1305" s="2929"/>
      <c r="M1305" s="2929"/>
      <c r="N1305" s="2929"/>
      <c r="O1305" s="2929"/>
      <c r="P1305" s="2929"/>
      <c r="Q1305" s="2929"/>
      <c r="R1305" s="2929"/>
      <c r="S1305" s="2929"/>
      <c r="T1305" s="2929"/>
      <c r="U1305" s="2929"/>
      <c r="V1305" s="2929"/>
      <c r="W1305" s="2929"/>
      <c r="X1305" s="2929"/>
      <c r="Y1305" s="2929"/>
      <c r="Z1305" s="2929"/>
      <c r="AA1305" s="2929"/>
      <c r="AB1305" s="2929"/>
      <c r="AC1305" s="604" t="str">
        <f>IF(AC1304&gt;=91,"ST",IF(AC1304&gt;=76,"T",IF(AC1304&gt;=66,"S",IF(AC1304&gt;=51,"R","SR"))))</f>
        <v>R</v>
      </c>
      <c r="AD1305" s="604" t="str">
        <f>IF(AD1304&gt;=91,"ST",IF(AD1304&gt;=76,"T",IF(AD1304&gt;=66,"S",IF(AD1304&gt;=51,"R","SR"))))</f>
        <v>SR</v>
      </c>
      <c r="AE1305" s="745"/>
      <c r="AF1305" s="2019"/>
      <c r="AG1305" s="2019"/>
      <c r="AH1305" s="2019"/>
      <c r="AI1305" s="2019"/>
      <c r="AJ1305" s="2019"/>
      <c r="AK1305" s="2019"/>
      <c r="AL1305" s="2019"/>
      <c r="AM1305" s="2019"/>
      <c r="AN1305" s="2019"/>
      <c r="AO1305" s="2019"/>
      <c r="AP1305" s="2019"/>
      <c r="AQ1305" s="2019"/>
      <c r="AR1305" s="2019"/>
      <c r="AS1305" s="2019"/>
      <c r="AT1305" s="2019"/>
      <c r="AU1305" s="2019"/>
      <c r="AV1305" s="2019"/>
      <c r="AW1305" s="2019"/>
      <c r="AX1305" s="2019"/>
      <c r="AY1305" s="2019"/>
      <c r="AZ1305" s="2019"/>
      <c r="BA1305" s="2019"/>
      <c r="BB1305" s="2019"/>
      <c r="BC1305" s="2019"/>
      <c r="BD1305" s="2019"/>
      <c r="BE1305" s="2019"/>
      <c r="BF1305" s="2019"/>
      <c r="BG1305" s="2019"/>
      <c r="BH1305" s="2019"/>
      <c r="BI1305" s="2019"/>
      <c r="BJ1305" s="2020"/>
      <c r="BK1305" s="2020"/>
      <c r="BL1305" s="2020"/>
      <c r="BM1305" s="2020"/>
      <c r="BN1305" s="2020"/>
      <c r="BO1305" s="2020"/>
      <c r="BP1305" s="2020"/>
      <c r="BQ1305" s="2020"/>
      <c r="BR1305" s="2020"/>
      <c r="BS1305" s="2020"/>
      <c r="BT1305" s="2020"/>
      <c r="BU1305" s="2020"/>
      <c r="BV1305" s="2020"/>
      <c r="BW1305" s="2020"/>
      <c r="BX1305" s="2020"/>
    </row>
    <row r="1306" spans="1:76" s="1235" customFormat="1" ht="26.25" customHeight="1">
      <c r="A1306" s="477"/>
      <c r="B1306" s="906"/>
      <c r="C1306" s="477"/>
      <c r="D1306" s="477"/>
      <c r="E1306" s="477"/>
      <c r="F1306" s="477"/>
      <c r="G1306" s="477"/>
      <c r="H1306" s="477"/>
      <c r="I1306" s="2748" t="s">
        <v>150</v>
      </c>
      <c r="J1306" s="2749"/>
      <c r="K1306" s="907"/>
      <c r="L1306" s="907"/>
      <c r="M1306" s="907"/>
      <c r="N1306" s="907"/>
      <c r="O1306" s="933"/>
      <c r="P1306" s="1133"/>
      <c r="Q1306" s="934"/>
      <c r="R1306" s="906"/>
      <c r="S1306" s="906"/>
      <c r="T1306" s="906"/>
      <c r="U1306" s="906"/>
      <c r="V1306" s="935"/>
      <c r="W1306" s="906"/>
      <c r="X1306" s="906"/>
      <c r="Y1306" s="934"/>
      <c r="Z1306" s="2536"/>
      <c r="AA1306" s="907"/>
      <c r="AB1306" s="908"/>
      <c r="AC1306" s="907"/>
      <c r="AD1306" s="907"/>
      <c r="AE1306" s="479"/>
      <c r="AF1306" s="861"/>
      <c r="AG1306" s="861"/>
      <c r="AH1306" s="861"/>
      <c r="AI1306" s="861"/>
      <c r="AJ1306" s="861"/>
      <c r="AK1306" s="861"/>
      <c r="AL1306" s="861"/>
      <c r="AM1306" s="861"/>
      <c r="AN1306" s="861"/>
      <c r="AO1306" s="861"/>
      <c r="AP1306" s="861"/>
      <c r="AQ1306" s="861"/>
      <c r="AR1306" s="861"/>
      <c r="AS1306" s="861"/>
      <c r="AT1306" s="861"/>
      <c r="AU1306" s="861"/>
      <c r="AV1306" s="861"/>
      <c r="AW1306" s="861"/>
      <c r="AX1306" s="861"/>
      <c r="AY1306" s="861"/>
      <c r="AZ1306" s="861"/>
      <c r="BA1306" s="861"/>
      <c r="BB1306" s="861"/>
      <c r="BC1306" s="861"/>
      <c r="BD1306" s="861"/>
      <c r="BE1306" s="861"/>
      <c r="BF1306" s="861"/>
      <c r="BG1306" s="861"/>
      <c r="BH1306" s="861"/>
      <c r="BI1306" s="861"/>
      <c r="BJ1306" s="861"/>
      <c r="BK1306" s="861"/>
      <c r="BL1306" s="861"/>
      <c r="BM1306" s="861"/>
      <c r="BN1306" s="861"/>
      <c r="BO1306" s="861"/>
      <c r="BP1306" s="861"/>
      <c r="BQ1306" s="861"/>
      <c r="BR1306" s="862"/>
    </row>
    <row r="1307" spans="1:76" s="1235" customFormat="1" ht="24" customHeight="1">
      <c r="A1307" s="863" t="s">
        <v>13</v>
      </c>
      <c r="B1307" s="1618"/>
      <c r="C1307" s="863"/>
      <c r="D1307" s="863"/>
      <c r="E1307" s="863"/>
      <c r="F1307" s="863"/>
      <c r="G1307" s="863"/>
      <c r="H1307" s="863"/>
      <c r="I1307" s="2746" t="s">
        <v>151</v>
      </c>
      <c r="J1307" s="2747"/>
      <c r="K1307" s="1665"/>
      <c r="L1307" s="1812">
        <f>L1308+L1320+L1325+L1329+L1343+L1346+L1348+L1350+L1356+L1361</f>
        <v>12039332453</v>
      </c>
      <c r="M1307" s="1665"/>
      <c r="N1307" s="1286">
        <f>N1308+N1320+N1325+N1329+N1343+N1346+N1348+N1350+N1356+N1361</f>
        <v>5105179161</v>
      </c>
      <c r="O1307" s="1665"/>
      <c r="P1307" s="1286">
        <f>+P1308+P1320+P1325+P1329+P1335+P1340+P1343+P1346+P1350+P1356+P1361</f>
        <v>8625906900</v>
      </c>
      <c r="Q1307" s="1665"/>
      <c r="R1307" s="1286">
        <f>+R1308+R1320+R1325+R1329+R1335+R1340+R1343+R1346+R1350+R1356+R1361</f>
        <v>307910249</v>
      </c>
      <c r="S1307" s="1618"/>
      <c r="T1307" s="1286">
        <f>+T1308+T1320+T1325+T1329+T1335+T1340+T1343+T1346+T1350+T1356+T1361</f>
        <v>644780615</v>
      </c>
      <c r="U1307" s="1618"/>
      <c r="V1307" s="1286">
        <f>+V1308+V1320+V1325+V1329+V1335+V1340+V1343+V1346+V1350+V1356+V1361</f>
        <v>0</v>
      </c>
      <c r="W1307" s="1618"/>
      <c r="X1307" s="1286">
        <f>+X1308+X1320+X1325+X1329+X1335+X1340+X1343+X1346+X1350+X1356+X1361</f>
        <v>0</v>
      </c>
      <c r="Y1307" s="1665"/>
      <c r="Z1307" s="1286">
        <f>R1307+T1307</f>
        <v>952690864</v>
      </c>
      <c r="AA1307" s="1665"/>
      <c r="AB1307" s="1286">
        <f>SUM(AB1308+AB1320+AB1325+AB1329+AB1335+AB1340+AB1343+AB1346+AB1348+AB1350+AB1356+AB1361)</f>
        <v>12333677227</v>
      </c>
      <c r="AC1307" s="1665"/>
      <c r="AD1307" s="1665"/>
      <c r="AE1307" s="1631"/>
      <c r="AF1307" s="200"/>
      <c r="AG1307" s="200"/>
      <c r="AH1307" s="200"/>
      <c r="AI1307" s="200"/>
      <c r="AJ1307" s="200"/>
      <c r="AK1307" s="200"/>
      <c r="AL1307" s="200"/>
      <c r="AM1307" s="200"/>
      <c r="AN1307" s="200"/>
      <c r="AO1307" s="200"/>
      <c r="AP1307" s="200"/>
      <c r="AQ1307" s="200"/>
      <c r="AR1307" s="200"/>
      <c r="AS1307" s="200"/>
      <c r="AT1307" s="200"/>
      <c r="AU1307" s="200"/>
      <c r="AV1307" s="200"/>
      <c r="AW1307" s="200"/>
      <c r="AX1307" s="200"/>
      <c r="AY1307" s="200"/>
      <c r="AZ1307" s="200"/>
      <c r="BA1307" s="200"/>
      <c r="BB1307" s="200"/>
      <c r="BC1307" s="200"/>
      <c r="BD1307" s="200"/>
      <c r="BE1307" s="200"/>
      <c r="BF1307" s="200"/>
      <c r="BG1307" s="200"/>
      <c r="BH1307" s="200"/>
      <c r="BI1307" s="200"/>
      <c r="BJ1307" s="200"/>
      <c r="BK1307" s="200"/>
      <c r="BL1307" s="200"/>
      <c r="BM1307" s="200"/>
      <c r="BN1307" s="200"/>
      <c r="BO1307" s="200"/>
      <c r="BP1307" s="200"/>
      <c r="BQ1307" s="200"/>
      <c r="BR1307" s="862"/>
    </row>
    <row r="1308" spans="1:76" ht="82.5">
      <c r="A1308" s="2558">
        <v>1</v>
      </c>
      <c r="B1308" s="33"/>
      <c r="C1308" s="161"/>
      <c r="D1308" s="161"/>
      <c r="E1308" s="161"/>
      <c r="F1308" s="161"/>
      <c r="G1308" s="161"/>
      <c r="H1308" s="161"/>
      <c r="I1308" s="44" t="s">
        <v>957</v>
      </c>
      <c r="J1308" s="46" t="s">
        <v>3085</v>
      </c>
      <c r="K1308" s="149">
        <v>72</v>
      </c>
      <c r="L1308" s="222">
        <f>SUM(L1309:L1319)</f>
        <v>3164718528</v>
      </c>
      <c r="M1308" s="146">
        <v>36</v>
      </c>
      <c r="N1308" s="222">
        <f>SUM(N1309:N1319)</f>
        <v>1902100895</v>
      </c>
      <c r="O1308" s="146">
        <v>12</v>
      </c>
      <c r="P1308" s="281">
        <f>SUM(P1309:P1319)</f>
        <v>520291600</v>
      </c>
      <c r="Q1308" s="282">
        <v>3</v>
      </c>
      <c r="R1308" s="281">
        <f>SUM(R1309:R1319)</f>
        <v>127509432</v>
      </c>
      <c r="S1308" s="283">
        <v>0</v>
      </c>
      <c r="T1308" s="281">
        <f>SUM(T1309:T1319)</f>
        <v>127623454</v>
      </c>
      <c r="U1308" s="283">
        <v>0</v>
      </c>
      <c r="V1308" s="281">
        <f>SUM(V1309:V1319)</f>
        <v>0</v>
      </c>
      <c r="W1308" s="283">
        <v>0</v>
      </c>
      <c r="X1308" s="281">
        <f>SUM(X1309:X1319)</f>
        <v>0</v>
      </c>
      <c r="Y1308" s="282">
        <f t="shared" ref="Y1308:Y1323" si="386">Q1308+S1308+U1308+W1308</f>
        <v>3</v>
      </c>
      <c r="Z1308" s="281">
        <f>SUM(Z1309:Z1319)</f>
        <v>255132886</v>
      </c>
      <c r="AA1308" s="284">
        <f t="shared" ref="AA1308:AA1324" si="387">M1308+Y1308</f>
        <v>39</v>
      </c>
      <c r="AB1308" s="285">
        <f>SUM(AB1309:AB1319)</f>
        <v>2157233781</v>
      </c>
      <c r="AC1308" s="284">
        <f t="shared" ref="AC1308:AC1323" si="388">AA1308/K1308*100</f>
        <v>54.166666666666664</v>
      </c>
      <c r="AD1308" s="284">
        <f t="shared" ref="AD1308:AD1323" si="389">AB1308/L1308*100</f>
        <v>68.165107320406847</v>
      </c>
      <c r="AE1308" s="482" t="s">
        <v>152</v>
      </c>
      <c r="AF1308" s="971"/>
      <c r="AG1308" s="750"/>
      <c r="AH1308" s="750"/>
      <c r="AI1308" s="750"/>
      <c r="AJ1308" s="750"/>
      <c r="AK1308" s="750"/>
      <c r="AL1308" s="750"/>
      <c r="AM1308" s="750"/>
      <c r="AN1308" s="750"/>
      <c r="AO1308" s="750"/>
      <c r="AP1308" s="750"/>
      <c r="AQ1308" s="750"/>
      <c r="AR1308" s="750"/>
      <c r="AS1308" s="750"/>
      <c r="AT1308" s="750"/>
      <c r="AU1308" s="750"/>
      <c r="AV1308" s="750"/>
      <c r="AW1308" s="750"/>
      <c r="AX1308" s="750"/>
      <c r="AY1308" s="750"/>
      <c r="AZ1308" s="750"/>
      <c r="BA1308" s="750"/>
      <c r="BB1308" s="750"/>
      <c r="BC1308" s="750"/>
      <c r="BD1308" s="750"/>
      <c r="BE1308" s="750"/>
      <c r="BF1308" s="750"/>
      <c r="BG1308" s="750"/>
      <c r="BH1308" s="750"/>
      <c r="BI1308" s="750"/>
      <c r="BJ1308" s="750"/>
      <c r="BK1308" s="750"/>
      <c r="BL1308" s="750"/>
      <c r="BM1308" s="750"/>
      <c r="BN1308" s="750"/>
      <c r="BO1308" s="750"/>
      <c r="BP1308" s="750"/>
      <c r="BQ1308" s="750"/>
    </row>
    <row r="1309" spans="1:76" ht="82.5">
      <c r="A1309" s="779"/>
      <c r="B1309" s="11"/>
      <c r="C1309" s="239"/>
      <c r="D1309" s="239"/>
      <c r="E1309" s="239"/>
      <c r="F1309" s="239"/>
      <c r="G1309" s="239"/>
      <c r="H1309" s="239"/>
      <c r="I1309" s="240" t="s">
        <v>67</v>
      </c>
      <c r="J1309" s="241" t="s">
        <v>1451</v>
      </c>
      <c r="K1309" s="12">
        <v>72</v>
      </c>
      <c r="L1309" s="13">
        <v>287694015</v>
      </c>
      <c r="M1309" s="242">
        <v>36</v>
      </c>
      <c r="N1309" s="243">
        <v>130194015</v>
      </c>
      <c r="O1309" s="100">
        <v>12</v>
      </c>
      <c r="P1309" s="111">
        <v>49980000</v>
      </c>
      <c r="Q1309" s="244">
        <v>3</v>
      </c>
      <c r="R1309" s="24">
        <v>15260791</v>
      </c>
      <c r="S1309" s="245">
        <v>3</v>
      </c>
      <c r="T1309" s="245">
        <v>16074754</v>
      </c>
      <c r="U1309" s="245">
        <v>0</v>
      </c>
      <c r="V1309" s="246">
        <v>0</v>
      </c>
      <c r="W1309" s="245">
        <v>0</v>
      </c>
      <c r="X1309" s="245">
        <v>0</v>
      </c>
      <c r="Y1309" s="247">
        <f t="shared" si="386"/>
        <v>6</v>
      </c>
      <c r="Z1309" s="246">
        <f t="shared" ref="Z1309:Z1319" si="390">R1309+T1309+V1309+X1309</f>
        <v>31335545</v>
      </c>
      <c r="AA1309" s="248">
        <f t="shared" si="387"/>
        <v>42</v>
      </c>
      <c r="AB1309" s="246">
        <f t="shared" ref="AB1309:AB1319" si="391">N1309+Z1309</f>
        <v>161529560</v>
      </c>
      <c r="AC1309" s="249">
        <f t="shared" si="388"/>
        <v>58.333333333333336</v>
      </c>
      <c r="AD1309" s="249">
        <f t="shared" si="389"/>
        <v>56.146305302875341</v>
      </c>
      <c r="AE1309" s="483"/>
      <c r="AF1309" s="750"/>
      <c r="AG1309" s="750"/>
      <c r="AH1309" s="750"/>
      <c r="AI1309" s="750"/>
      <c r="AJ1309" s="750"/>
      <c r="AK1309" s="750"/>
      <c r="AL1309" s="750"/>
      <c r="AM1309" s="750"/>
      <c r="AN1309" s="750"/>
      <c r="AO1309" s="750"/>
      <c r="AP1309" s="750"/>
      <c r="AQ1309" s="750"/>
      <c r="AR1309" s="750"/>
      <c r="AS1309" s="750"/>
      <c r="AT1309" s="750"/>
      <c r="AU1309" s="750"/>
      <c r="AV1309" s="750"/>
      <c r="AW1309" s="750"/>
      <c r="AX1309" s="750"/>
      <c r="AY1309" s="750"/>
      <c r="AZ1309" s="750"/>
      <c r="BA1309" s="750"/>
      <c r="BB1309" s="750"/>
      <c r="BC1309" s="750"/>
      <c r="BD1309" s="750"/>
      <c r="BE1309" s="750"/>
      <c r="BF1309" s="750"/>
      <c r="BG1309" s="750"/>
      <c r="BH1309" s="750"/>
      <c r="BI1309" s="750"/>
      <c r="BJ1309" s="750"/>
      <c r="BK1309" s="750"/>
      <c r="BL1309" s="750"/>
      <c r="BM1309" s="750"/>
      <c r="BN1309" s="750"/>
      <c r="BO1309" s="750"/>
      <c r="BP1309" s="750"/>
      <c r="BQ1309" s="750"/>
    </row>
    <row r="1310" spans="1:76" ht="49.5">
      <c r="A1310" s="779"/>
      <c r="B1310" s="11"/>
      <c r="C1310" s="239"/>
      <c r="D1310" s="239"/>
      <c r="E1310" s="239"/>
      <c r="F1310" s="239"/>
      <c r="G1310" s="239"/>
      <c r="H1310" s="239"/>
      <c r="I1310" s="250" t="s">
        <v>68</v>
      </c>
      <c r="J1310" s="1813" t="s">
        <v>1452</v>
      </c>
      <c r="K1310" s="12">
        <v>72</v>
      </c>
      <c r="L1310" s="13">
        <v>677317000</v>
      </c>
      <c r="M1310" s="242">
        <v>36</v>
      </c>
      <c r="N1310" s="243">
        <v>302467000</v>
      </c>
      <c r="O1310" s="100">
        <v>12</v>
      </c>
      <c r="P1310" s="111">
        <v>128600000</v>
      </c>
      <c r="Q1310" s="244">
        <v>3</v>
      </c>
      <c r="R1310" s="24">
        <v>17500000</v>
      </c>
      <c r="S1310" s="245">
        <v>3</v>
      </c>
      <c r="T1310" s="245">
        <v>21250000</v>
      </c>
      <c r="U1310" s="245">
        <v>0</v>
      </c>
      <c r="V1310" s="246">
        <v>0</v>
      </c>
      <c r="W1310" s="245">
        <v>0</v>
      </c>
      <c r="X1310" s="245">
        <v>0</v>
      </c>
      <c r="Y1310" s="247">
        <f t="shared" si="386"/>
        <v>6</v>
      </c>
      <c r="Z1310" s="246">
        <f t="shared" si="390"/>
        <v>38750000</v>
      </c>
      <c r="AA1310" s="248">
        <f t="shared" si="387"/>
        <v>42</v>
      </c>
      <c r="AB1310" s="246">
        <f t="shared" si="391"/>
        <v>341217000</v>
      </c>
      <c r="AC1310" s="249">
        <f t="shared" si="388"/>
        <v>58.333333333333336</v>
      </c>
      <c r="AD1310" s="249">
        <f t="shared" si="389"/>
        <v>50.377740408110242</v>
      </c>
      <c r="AE1310" s="483"/>
      <c r="AF1310" s="750"/>
      <c r="AG1310" s="750"/>
      <c r="AH1310" s="750"/>
      <c r="AI1310" s="750"/>
      <c r="AJ1310" s="750"/>
      <c r="AK1310" s="750"/>
      <c r="AL1310" s="750"/>
      <c r="AM1310" s="750"/>
      <c r="AN1310" s="750"/>
      <c r="AO1310" s="750"/>
      <c r="AP1310" s="750"/>
      <c r="AQ1310" s="750"/>
      <c r="AR1310" s="750"/>
      <c r="AS1310" s="750"/>
      <c r="AT1310" s="750"/>
      <c r="AU1310" s="750"/>
      <c r="AV1310" s="750"/>
      <c r="AW1310" s="750"/>
      <c r="AX1310" s="750"/>
      <c r="AY1310" s="750"/>
      <c r="AZ1310" s="750"/>
      <c r="BA1310" s="750"/>
      <c r="BB1310" s="750"/>
      <c r="BC1310" s="750"/>
      <c r="BD1310" s="750"/>
      <c r="BE1310" s="750"/>
      <c r="BF1310" s="750"/>
      <c r="BG1310" s="750"/>
      <c r="BH1310" s="750"/>
      <c r="BI1310" s="750"/>
      <c r="BJ1310" s="750"/>
      <c r="BK1310" s="750"/>
      <c r="BL1310" s="750"/>
      <c r="BM1310" s="750"/>
      <c r="BN1310" s="750"/>
      <c r="BO1310" s="750"/>
      <c r="BP1310" s="750"/>
      <c r="BQ1310" s="750"/>
    </row>
    <row r="1311" spans="1:76" ht="49.5">
      <c r="A1311" s="779"/>
      <c r="B1311" s="11"/>
      <c r="C1311" s="239"/>
      <c r="D1311" s="239"/>
      <c r="E1311" s="239"/>
      <c r="F1311" s="239"/>
      <c r="G1311" s="239"/>
      <c r="H1311" s="239"/>
      <c r="I1311" s="250" t="s">
        <v>69</v>
      </c>
      <c r="J1311" s="1813" t="s">
        <v>1453</v>
      </c>
      <c r="K1311" s="12">
        <v>72</v>
      </c>
      <c r="L1311" s="13">
        <v>429470000</v>
      </c>
      <c r="M1311" s="242">
        <v>36</v>
      </c>
      <c r="N1311" s="243">
        <v>208449000</v>
      </c>
      <c r="O1311" s="100">
        <v>12</v>
      </c>
      <c r="P1311" s="111">
        <v>75000000</v>
      </c>
      <c r="Q1311" s="244">
        <v>3</v>
      </c>
      <c r="R1311" s="24">
        <v>13113545</v>
      </c>
      <c r="S1311" s="245">
        <v>3</v>
      </c>
      <c r="T1311" s="245">
        <v>18851550</v>
      </c>
      <c r="U1311" s="245">
        <v>0</v>
      </c>
      <c r="V1311" s="246">
        <v>0</v>
      </c>
      <c r="W1311" s="245">
        <v>0</v>
      </c>
      <c r="X1311" s="245">
        <v>0</v>
      </c>
      <c r="Y1311" s="247">
        <f t="shared" si="386"/>
        <v>6</v>
      </c>
      <c r="Z1311" s="246">
        <f t="shared" si="390"/>
        <v>31965095</v>
      </c>
      <c r="AA1311" s="248">
        <f t="shared" si="387"/>
        <v>42</v>
      </c>
      <c r="AB1311" s="246">
        <f t="shared" si="391"/>
        <v>240414095</v>
      </c>
      <c r="AC1311" s="249">
        <f t="shared" si="388"/>
        <v>58.333333333333336</v>
      </c>
      <c r="AD1311" s="249">
        <f t="shared" si="389"/>
        <v>55.979252334272481</v>
      </c>
      <c r="AE1311" s="483"/>
      <c r="AF1311" s="750"/>
      <c r="AG1311" s="750"/>
      <c r="AH1311" s="750"/>
      <c r="AI1311" s="750"/>
      <c r="AJ1311" s="750"/>
      <c r="AK1311" s="750"/>
      <c r="AL1311" s="750"/>
      <c r="AM1311" s="750"/>
      <c r="AN1311" s="750"/>
      <c r="AO1311" s="750"/>
      <c r="AP1311" s="750"/>
      <c r="AQ1311" s="750"/>
      <c r="AR1311" s="750"/>
      <c r="AS1311" s="750"/>
      <c r="AT1311" s="750"/>
      <c r="AU1311" s="750"/>
      <c r="AV1311" s="750"/>
      <c r="AW1311" s="750"/>
      <c r="AX1311" s="750"/>
      <c r="AY1311" s="750"/>
      <c r="AZ1311" s="750"/>
      <c r="BA1311" s="750"/>
      <c r="BB1311" s="750"/>
      <c r="BC1311" s="750"/>
      <c r="BD1311" s="750"/>
      <c r="BE1311" s="750"/>
      <c r="BF1311" s="750"/>
      <c r="BG1311" s="750"/>
      <c r="BH1311" s="750"/>
      <c r="BI1311" s="750"/>
      <c r="BJ1311" s="750"/>
      <c r="BK1311" s="750"/>
      <c r="BL1311" s="750"/>
      <c r="BM1311" s="750"/>
      <c r="BN1311" s="750"/>
      <c r="BO1311" s="750"/>
      <c r="BP1311" s="750"/>
      <c r="BQ1311" s="750"/>
    </row>
    <row r="1312" spans="1:76" ht="66">
      <c r="A1312" s="779"/>
      <c r="B1312" s="11"/>
      <c r="C1312" s="239"/>
      <c r="D1312" s="239"/>
      <c r="E1312" s="239"/>
      <c r="F1312" s="239"/>
      <c r="G1312" s="239"/>
      <c r="H1312" s="239"/>
      <c r="I1312" s="11" t="s">
        <v>420</v>
      </c>
      <c r="J1312" s="1813" t="s">
        <v>1454</v>
      </c>
      <c r="K1312" s="12">
        <v>72</v>
      </c>
      <c r="L1312" s="13">
        <v>127430000</v>
      </c>
      <c r="M1312" s="242">
        <v>36</v>
      </c>
      <c r="N1312" s="243">
        <v>59401150</v>
      </c>
      <c r="O1312" s="100">
        <v>12</v>
      </c>
      <c r="P1312" s="111">
        <v>22050000</v>
      </c>
      <c r="Q1312" s="244">
        <v>3</v>
      </c>
      <c r="R1312" s="24">
        <v>8840500</v>
      </c>
      <c r="S1312" s="245">
        <v>3</v>
      </c>
      <c r="T1312" s="245">
        <v>9498000</v>
      </c>
      <c r="U1312" s="245">
        <v>0</v>
      </c>
      <c r="V1312" s="246">
        <v>0</v>
      </c>
      <c r="W1312" s="245">
        <v>0</v>
      </c>
      <c r="X1312" s="245">
        <v>0</v>
      </c>
      <c r="Y1312" s="247">
        <f t="shared" si="386"/>
        <v>6</v>
      </c>
      <c r="Z1312" s="246">
        <f t="shared" si="390"/>
        <v>18338500</v>
      </c>
      <c r="AA1312" s="248">
        <f t="shared" si="387"/>
        <v>42</v>
      </c>
      <c r="AB1312" s="246">
        <f t="shared" si="391"/>
        <v>77739650</v>
      </c>
      <c r="AC1312" s="249">
        <f t="shared" si="388"/>
        <v>58.333333333333336</v>
      </c>
      <c r="AD1312" s="249">
        <f t="shared" si="389"/>
        <v>61.005767872557485</v>
      </c>
      <c r="AE1312" s="483"/>
      <c r="AF1312" s="750"/>
      <c r="AG1312" s="750"/>
      <c r="AH1312" s="750"/>
      <c r="AI1312" s="750"/>
      <c r="AJ1312" s="750"/>
      <c r="AK1312" s="750"/>
      <c r="AL1312" s="750"/>
      <c r="AM1312" s="750"/>
      <c r="AN1312" s="750"/>
      <c r="AO1312" s="750"/>
      <c r="AP1312" s="750"/>
      <c r="AQ1312" s="750"/>
      <c r="AR1312" s="750"/>
      <c r="AS1312" s="750"/>
      <c r="AT1312" s="750"/>
      <c r="AU1312" s="750"/>
      <c r="AV1312" s="750"/>
      <c r="AW1312" s="750"/>
      <c r="AX1312" s="750"/>
      <c r="AY1312" s="750"/>
      <c r="AZ1312" s="750"/>
      <c r="BA1312" s="750"/>
      <c r="BB1312" s="750"/>
      <c r="BC1312" s="750"/>
      <c r="BD1312" s="750"/>
      <c r="BE1312" s="750"/>
      <c r="BF1312" s="750"/>
      <c r="BG1312" s="750"/>
      <c r="BH1312" s="750"/>
      <c r="BI1312" s="750"/>
      <c r="BJ1312" s="750"/>
      <c r="BK1312" s="750"/>
      <c r="BL1312" s="750"/>
      <c r="BM1312" s="750"/>
      <c r="BN1312" s="750"/>
      <c r="BO1312" s="750"/>
      <c r="BP1312" s="750"/>
      <c r="BQ1312" s="750"/>
    </row>
    <row r="1313" spans="1:69" ht="33">
      <c r="A1313" s="779"/>
      <c r="B1313" s="11"/>
      <c r="C1313" s="239"/>
      <c r="D1313" s="239"/>
      <c r="E1313" s="239"/>
      <c r="F1313" s="239"/>
      <c r="G1313" s="239"/>
      <c r="H1313" s="239"/>
      <c r="I1313" s="250" t="s">
        <v>70</v>
      </c>
      <c r="J1313" s="1813" t="s">
        <v>1455</v>
      </c>
      <c r="K1313" s="12">
        <v>72</v>
      </c>
      <c r="L1313" s="13">
        <v>224562833</v>
      </c>
      <c r="M1313" s="242">
        <v>36</v>
      </c>
      <c r="N1313" s="243">
        <v>101974333</v>
      </c>
      <c r="O1313" s="100">
        <v>12</v>
      </c>
      <c r="P1313" s="111">
        <v>61314600</v>
      </c>
      <c r="Q1313" s="244">
        <v>3</v>
      </c>
      <c r="R1313" s="24">
        <v>19968596</v>
      </c>
      <c r="S1313" s="245">
        <v>3</v>
      </c>
      <c r="T1313" s="245">
        <v>16245950</v>
      </c>
      <c r="U1313" s="245">
        <v>0</v>
      </c>
      <c r="V1313" s="246">
        <v>0</v>
      </c>
      <c r="W1313" s="245">
        <v>0</v>
      </c>
      <c r="X1313" s="245">
        <v>0</v>
      </c>
      <c r="Y1313" s="247">
        <f t="shared" si="386"/>
        <v>6</v>
      </c>
      <c r="Z1313" s="246">
        <f t="shared" si="390"/>
        <v>36214546</v>
      </c>
      <c r="AA1313" s="248">
        <f t="shared" si="387"/>
        <v>42</v>
      </c>
      <c r="AB1313" s="246">
        <f t="shared" si="391"/>
        <v>138188879</v>
      </c>
      <c r="AC1313" s="249">
        <f t="shared" si="388"/>
        <v>58.333333333333336</v>
      </c>
      <c r="AD1313" s="249">
        <f t="shared" si="389"/>
        <v>61.536843454410814</v>
      </c>
      <c r="AE1313" s="483"/>
      <c r="AF1313" s="750"/>
      <c r="AG1313" s="750"/>
      <c r="AH1313" s="750"/>
      <c r="AI1313" s="750"/>
      <c r="AJ1313" s="750"/>
      <c r="AK1313" s="750"/>
      <c r="AL1313" s="750"/>
      <c r="AM1313" s="750"/>
      <c r="AN1313" s="750"/>
      <c r="AO1313" s="750"/>
      <c r="AP1313" s="750"/>
      <c r="AQ1313" s="750"/>
      <c r="AR1313" s="750"/>
      <c r="AS1313" s="750"/>
      <c r="AT1313" s="750"/>
      <c r="AU1313" s="750"/>
      <c r="AV1313" s="750"/>
      <c r="AW1313" s="750"/>
      <c r="AX1313" s="750"/>
      <c r="AY1313" s="750"/>
      <c r="AZ1313" s="750"/>
      <c r="BA1313" s="750"/>
      <c r="BB1313" s="750"/>
      <c r="BC1313" s="750"/>
      <c r="BD1313" s="750"/>
      <c r="BE1313" s="750"/>
      <c r="BF1313" s="750"/>
      <c r="BG1313" s="750"/>
      <c r="BH1313" s="750"/>
      <c r="BI1313" s="750"/>
      <c r="BJ1313" s="750"/>
      <c r="BK1313" s="750"/>
      <c r="BL1313" s="750"/>
      <c r="BM1313" s="750"/>
      <c r="BN1313" s="750"/>
      <c r="BO1313" s="750"/>
      <c r="BP1313" s="750"/>
      <c r="BQ1313" s="750"/>
    </row>
    <row r="1314" spans="1:69" ht="82.5">
      <c r="A1314" s="779"/>
      <c r="B1314" s="11"/>
      <c r="C1314" s="239"/>
      <c r="D1314" s="239"/>
      <c r="E1314" s="239"/>
      <c r="F1314" s="239"/>
      <c r="G1314" s="239"/>
      <c r="H1314" s="239"/>
      <c r="I1314" s="250" t="s">
        <v>71</v>
      </c>
      <c r="J1314" s="1813" t="s">
        <v>1023</v>
      </c>
      <c r="K1314" s="12">
        <v>72</v>
      </c>
      <c r="L1314" s="13">
        <v>179993000</v>
      </c>
      <c r="M1314" s="242">
        <v>36</v>
      </c>
      <c r="N1314" s="243">
        <v>77223000</v>
      </c>
      <c r="O1314" s="100">
        <v>12</v>
      </c>
      <c r="P1314" s="111">
        <v>22122000</v>
      </c>
      <c r="Q1314" s="244">
        <v>3</v>
      </c>
      <c r="R1314" s="24">
        <v>8610000</v>
      </c>
      <c r="S1314" s="245">
        <v>3</v>
      </c>
      <c r="T1314" s="245">
        <v>5540600</v>
      </c>
      <c r="U1314" s="245">
        <v>0</v>
      </c>
      <c r="V1314" s="246">
        <v>0</v>
      </c>
      <c r="W1314" s="245">
        <v>0</v>
      </c>
      <c r="X1314" s="245">
        <v>0</v>
      </c>
      <c r="Y1314" s="247">
        <f t="shared" si="386"/>
        <v>6</v>
      </c>
      <c r="Z1314" s="246">
        <f t="shared" si="390"/>
        <v>14150600</v>
      </c>
      <c r="AA1314" s="248">
        <f t="shared" si="387"/>
        <v>42</v>
      </c>
      <c r="AB1314" s="246">
        <f t="shared" si="391"/>
        <v>91373600</v>
      </c>
      <c r="AC1314" s="249">
        <f t="shared" si="388"/>
        <v>58.333333333333336</v>
      </c>
      <c r="AD1314" s="249">
        <f t="shared" si="389"/>
        <v>50.765085308873125</v>
      </c>
      <c r="AE1314" s="483"/>
      <c r="AF1314" s="750"/>
      <c r="AG1314" s="750"/>
      <c r="AH1314" s="750"/>
      <c r="AI1314" s="750"/>
      <c r="AJ1314" s="750"/>
      <c r="AK1314" s="750"/>
      <c r="AL1314" s="750"/>
      <c r="AM1314" s="750"/>
      <c r="AN1314" s="750"/>
      <c r="AO1314" s="750"/>
      <c r="AP1314" s="750"/>
      <c r="AQ1314" s="750"/>
      <c r="AR1314" s="750"/>
      <c r="AS1314" s="750"/>
      <c r="AT1314" s="750"/>
      <c r="AU1314" s="750"/>
      <c r="AV1314" s="750"/>
      <c r="AW1314" s="750"/>
      <c r="AX1314" s="750"/>
      <c r="AY1314" s="750"/>
      <c r="AZ1314" s="750"/>
      <c r="BA1314" s="750"/>
      <c r="BB1314" s="750"/>
      <c r="BC1314" s="750"/>
      <c r="BD1314" s="750"/>
      <c r="BE1314" s="750"/>
      <c r="BF1314" s="750"/>
      <c r="BG1314" s="750"/>
      <c r="BH1314" s="750"/>
      <c r="BI1314" s="750"/>
      <c r="BJ1314" s="750"/>
      <c r="BK1314" s="750"/>
      <c r="BL1314" s="750"/>
      <c r="BM1314" s="750"/>
      <c r="BN1314" s="750"/>
      <c r="BO1314" s="750"/>
      <c r="BP1314" s="750"/>
      <c r="BQ1314" s="750"/>
    </row>
    <row r="1315" spans="1:69" ht="99">
      <c r="A1315" s="779"/>
      <c r="B1315" s="11"/>
      <c r="C1315" s="239"/>
      <c r="D1315" s="239"/>
      <c r="E1315" s="239"/>
      <c r="F1315" s="239"/>
      <c r="G1315" s="239"/>
      <c r="H1315" s="239"/>
      <c r="I1315" s="250" t="s">
        <v>72</v>
      </c>
      <c r="J1315" s="1813" t="s">
        <v>1456</v>
      </c>
      <c r="K1315" s="12">
        <v>72</v>
      </c>
      <c r="L1315" s="13">
        <v>148343180</v>
      </c>
      <c r="M1315" s="242">
        <v>36</v>
      </c>
      <c r="N1315" s="243">
        <v>130322160</v>
      </c>
      <c r="O1315" s="100">
        <v>12</v>
      </c>
      <c r="P1315" s="111">
        <v>8000000</v>
      </c>
      <c r="Q1315" s="244">
        <v>3</v>
      </c>
      <c r="R1315" s="24">
        <v>2341000</v>
      </c>
      <c r="S1315" s="245">
        <v>3</v>
      </c>
      <c r="T1315" s="245">
        <v>3510100</v>
      </c>
      <c r="U1315" s="245">
        <v>0</v>
      </c>
      <c r="V1315" s="246">
        <v>0</v>
      </c>
      <c r="W1315" s="245">
        <v>0</v>
      </c>
      <c r="X1315" s="245">
        <v>0</v>
      </c>
      <c r="Y1315" s="247">
        <f t="shared" si="386"/>
        <v>6</v>
      </c>
      <c r="Z1315" s="246">
        <f t="shared" si="390"/>
        <v>5851100</v>
      </c>
      <c r="AA1315" s="248">
        <f t="shared" si="387"/>
        <v>42</v>
      </c>
      <c r="AB1315" s="246">
        <f t="shared" si="391"/>
        <v>136173260</v>
      </c>
      <c r="AC1315" s="249">
        <f t="shared" si="388"/>
        <v>58.333333333333336</v>
      </c>
      <c r="AD1315" s="249">
        <f t="shared" si="389"/>
        <v>91.79610414176102</v>
      </c>
      <c r="AE1315" s="483"/>
      <c r="AF1315" s="750"/>
      <c r="AG1315" s="750"/>
      <c r="AH1315" s="750"/>
      <c r="AI1315" s="750"/>
      <c r="AJ1315" s="750"/>
      <c r="AK1315" s="750"/>
      <c r="AL1315" s="750"/>
      <c r="AM1315" s="750"/>
      <c r="AN1315" s="750"/>
      <c r="AO1315" s="750"/>
      <c r="AP1315" s="750"/>
      <c r="AQ1315" s="750"/>
      <c r="AR1315" s="750"/>
      <c r="AS1315" s="750"/>
      <c r="AT1315" s="750"/>
      <c r="AU1315" s="750"/>
      <c r="AV1315" s="750"/>
      <c r="AW1315" s="750"/>
      <c r="AX1315" s="750"/>
      <c r="AY1315" s="750"/>
      <c r="AZ1315" s="750"/>
      <c r="BA1315" s="750"/>
      <c r="BB1315" s="750"/>
      <c r="BC1315" s="750"/>
      <c r="BD1315" s="750"/>
      <c r="BE1315" s="750"/>
      <c r="BF1315" s="750"/>
      <c r="BG1315" s="750"/>
      <c r="BH1315" s="750"/>
      <c r="BI1315" s="750"/>
      <c r="BJ1315" s="750"/>
      <c r="BK1315" s="750"/>
      <c r="BL1315" s="750"/>
      <c r="BM1315" s="750"/>
      <c r="BN1315" s="750"/>
      <c r="BO1315" s="750"/>
      <c r="BP1315" s="750"/>
      <c r="BQ1315" s="750"/>
    </row>
    <row r="1316" spans="1:69" ht="66">
      <c r="A1316" s="779"/>
      <c r="B1316" s="11"/>
      <c r="C1316" s="239"/>
      <c r="D1316" s="239"/>
      <c r="E1316" s="239"/>
      <c r="F1316" s="239"/>
      <c r="G1316" s="239"/>
      <c r="H1316" s="239"/>
      <c r="I1316" s="250" t="s">
        <v>73</v>
      </c>
      <c r="J1316" s="1813" t="s">
        <v>3086</v>
      </c>
      <c r="K1316" s="12">
        <v>72</v>
      </c>
      <c r="L1316" s="13">
        <v>57115000</v>
      </c>
      <c r="M1316" s="242">
        <v>36</v>
      </c>
      <c r="N1316" s="243">
        <v>29585000</v>
      </c>
      <c r="O1316" s="100">
        <v>12</v>
      </c>
      <c r="P1316" s="111">
        <v>5400000</v>
      </c>
      <c r="Q1316" s="244">
        <v>3</v>
      </c>
      <c r="R1316" s="24">
        <v>1260000</v>
      </c>
      <c r="S1316" s="245">
        <v>3</v>
      </c>
      <c r="T1316" s="245">
        <v>1140000</v>
      </c>
      <c r="U1316" s="245">
        <v>0</v>
      </c>
      <c r="V1316" s="246">
        <v>0</v>
      </c>
      <c r="W1316" s="245">
        <v>0</v>
      </c>
      <c r="X1316" s="245">
        <v>0</v>
      </c>
      <c r="Y1316" s="247">
        <f t="shared" si="386"/>
        <v>6</v>
      </c>
      <c r="Z1316" s="246">
        <f t="shared" si="390"/>
        <v>2400000</v>
      </c>
      <c r="AA1316" s="248">
        <f t="shared" si="387"/>
        <v>42</v>
      </c>
      <c r="AB1316" s="246">
        <f t="shared" si="391"/>
        <v>31985000</v>
      </c>
      <c r="AC1316" s="249">
        <f t="shared" si="388"/>
        <v>58.333333333333336</v>
      </c>
      <c r="AD1316" s="249">
        <f t="shared" si="389"/>
        <v>56.001050512124664</v>
      </c>
      <c r="AE1316" s="483"/>
      <c r="AF1316" s="750"/>
      <c r="AG1316" s="750"/>
      <c r="AH1316" s="750"/>
      <c r="AI1316" s="750"/>
      <c r="AJ1316" s="750"/>
      <c r="AK1316" s="750"/>
      <c r="AL1316" s="750"/>
      <c r="AM1316" s="750"/>
      <c r="AN1316" s="750"/>
      <c r="AO1316" s="750"/>
      <c r="AP1316" s="750"/>
      <c r="AQ1316" s="750"/>
      <c r="AR1316" s="750"/>
      <c r="AS1316" s="750"/>
      <c r="AT1316" s="750"/>
      <c r="AU1316" s="750"/>
      <c r="AV1316" s="750"/>
      <c r="AW1316" s="750"/>
      <c r="AX1316" s="750"/>
      <c r="AY1316" s="750"/>
      <c r="AZ1316" s="750"/>
      <c r="BA1316" s="750"/>
      <c r="BB1316" s="750"/>
      <c r="BC1316" s="750"/>
      <c r="BD1316" s="750"/>
      <c r="BE1316" s="750"/>
      <c r="BF1316" s="750"/>
      <c r="BG1316" s="750"/>
      <c r="BH1316" s="750"/>
      <c r="BI1316" s="750"/>
      <c r="BJ1316" s="750"/>
      <c r="BK1316" s="750"/>
      <c r="BL1316" s="750"/>
      <c r="BM1316" s="750"/>
      <c r="BN1316" s="750"/>
      <c r="BO1316" s="750"/>
      <c r="BP1316" s="750"/>
      <c r="BQ1316" s="750"/>
    </row>
    <row r="1317" spans="1:69" ht="49.5">
      <c r="A1317" s="779"/>
      <c r="B1317" s="11"/>
      <c r="C1317" s="239"/>
      <c r="D1317" s="239"/>
      <c r="E1317" s="239"/>
      <c r="F1317" s="239"/>
      <c r="G1317" s="239"/>
      <c r="H1317" s="239"/>
      <c r="I1317" s="250" t="s">
        <v>75</v>
      </c>
      <c r="J1317" s="1813" t="s">
        <v>1457</v>
      </c>
      <c r="K1317" s="12">
        <v>72</v>
      </c>
      <c r="L1317" s="13">
        <v>326243500</v>
      </c>
      <c r="M1317" s="242">
        <v>36</v>
      </c>
      <c r="N1317" s="243">
        <v>131173500</v>
      </c>
      <c r="O1317" s="100">
        <v>12</v>
      </c>
      <c r="P1317" s="111">
        <v>40800000</v>
      </c>
      <c r="Q1317" s="244">
        <v>3</v>
      </c>
      <c r="R1317" s="24">
        <v>4880000</v>
      </c>
      <c r="S1317" s="245">
        <v>3</v>
      </c>
      <c r="T1317" s="245">
        <v>7512500</v>
      </c>
      <c r="U1317" s="245">
        <v>0</v>
      </c>
      <c r="V1317" s="246">
        <v>0</v>
      </c>
      <c r="W1317" s="245">
        <v>0</v>
      </c>
      <c r="X1317" s="245">
        <v>0</v>
      </c>
      <c r="Y1317" s="247">
        <f t="shared" si="386"/>
        <v>6</v>
      </c>
      <c r="Z1317" s="246">
        <f t="shared" si="390"/>
        <v>12392500</v>
      </c>
      <c r="AA1317" s="248">
        <f t="shared" si="387"/>
        <v>42</v>
      </c>
      <c r="AB1317" s="246">
        <f t="shared" si="391"/>
        <v>143566000</v>
      </c>
      <c r="AC1317" s="249">
        <f t="shared" si="388"/>
        <v>58.333333333333336</v>
      </c>
      <c r="AD1317" s="249">
        <f t="shared" si="389"/>
        <v>44.005780958088053</v>
      </c>
      <c r="AE1317" s="483"/>
      <c r="AF1317" s="750"/>
      <c r="AG1317" s="750"/>
      <c r="AH1317" s="750"/>
      <c r="AI1317" s="750"/>
      <c r="AJ1317" s="750"/>
      <c r="AK1317" s="750"/>
      <c r="AL1317" s="750"/>
      <c r="AM1317" s="750"/>
      <c r="AN1317" s="750"/>
      <c r="AO1317" s="750"/>
      <c r="AP1317" s="750"/>
      <c r="AQ1317" s="750"/>
      <c r="AR1317" s="750"/>
      <c r="AS1317" s="750"/>
      <c r="AT1317" s="750"/>
      <c r="AU1317" s="750"/>
      <c r="AV1317" s="750"/>
      <c r="AW1317" s="750"/>
      <c r="AX1317" s="750"/>
      <c r="AY1317" s="750"/>
      <c r="AZ1317" s="750"/>
      <c r="BA1317" s="750"/>
      <c r="BB1317" s="750"/>
      <c r="BC1317" s="750"/>
      <c r="BD1317" s="750"/>
      <c r="BE1317" s="750"/>
      <c r="BF1317" s="750"/>
      <c r="BG1317" s="750"/>
      <c r="BH1317" s="750"/>
      <c r="BI1317" s="750"/>
      <c r="BJ1317" s="750"/>
      <c r="BK1317" s="750"/>
      <c r="BL1317" s="750"/>
      <c r="BM1317" s="750"/>
      <c r="BN1317" s="750"/>
      <c r="BO1317" s="750"/>
      <c r="BP1317" s="750"/>
      <c r="BQ1317" s="750"/>
    </row>
    <row r="1318" spans="1:69" ht="82.5">
      <c r="A1318" s="779"/>
      <c r="B1318" s="11"/>
      <c r="C1318" s="239"/>
      <c r="D1318" s="239"/>
      <c r="E1318" s="239"/>
      <c r="F1318" s="239"/>
      <c r="G1318" s="239"/>
      <c r="H1318" s="239"/>
      <c r="I1318" s="250" t="s">
        <v>76</v>
      </c>
      <c r="J1318" s="1813" t="s">
        <v>1458</v>
      </c>
      <c r="K1318" s="12">
        <v>72</v>
      </c>
      <c r="L1318" s="13">
        <f>6*P1318</f>
        <v>282150000</v>
      </c>
      <c r="M1318" s="242">
        <v>36</v>
      </c>
      <c r="N1318" s="243">
        <v>484491737</v>
      </c>
      <c r="O1318" s="100">
        <v>12</v>
      </c>
      <c r="P1318" s="111">
        <v>47025000</v>
      </c>
      <c r="Q1318" s="244">
        <v>3</v>
      </c>
      <c r="R1318" s="24">
        <v>12850000</v>
      </c>
      <c r="S1318" s="245">
        <v>3</v>
      </c>
      <c r="T1318" s="245">
        <v>12860000</v>
      </c>
      <c r="U1318" s="245">
        <v>0</v>
      </c>
      <c r="V1318" s="246">
        <v>0</v>
      </c>
      <c r="W1318" s="245">
        <v>0</v>
      </c>
      <c r="X1318" s="245">
        <v>0</v>
      </c>
      <c r="Y1318" s="247">
        <f t="shared" si="386"/>
        <v>6</v>
      </c>
      <c r="Z1318" s="246">
        <f t="shared" si="390"/>
        <v>25710000</v>
      </c>
      <c r="AA1318" s="248">
        <f t="shared" si="387"/>
        <v>42</v>
      </c>
      <c r="AB1318" s="246">
        <f t="shared" si="391"/>
        <v>510201737</v>
      </c>
      <c r="AC1318" s="249">
        <f t="shared" si="388"/>
        <v>58.333333333333336</v>
      </c>
      <c r="AD1318" s="249">
        <f t="shared" si="389"/>
        <v>180.82641750841751</v>
      </c>
      <c r="AE1318" s="483"/>
      <c r="AF1318" s="750"/>
      <c r="AG1318" s="750"/>
      <c r="AH1318" s="750"/>
      <c r="AI1318" s="750"/>
      <c r="AJ1318" s="750"/>
      <c r="AK1318" s="750"/>
      <c r="AL1318" s="750"/>
      <c r="AM1318" s="750"/>
      <c r="AN1318" s="750"/>
      <c r="AO1318" s="750"/>
      <c r="AP1318" s="750"/>
      <c r="AQ1318" s="750"/>
      <c r="AR1318" s="750"/>
      <c r="AS1318" s="750"/>
      <c r="AT1318" s="750"/>
      <c r="AU1318" s="750"/>
      <c r="AV1318" s="750"/>
      <c r="AW1318" s="750"/>
      <c r="AX1318" s="750"/>
      <c r="AY1318" s="750"/>
      <c r="AZ1318" s="750"/>
      <c r="BA1318" s="750"/>
      <c r="BB1318" s="750"/>
      <c r="BC1318" s="750"/>
      <c r="BD1318" s="750"/>
      <c r="BE1318" s="750"/>
      <c r="BF1318" s="750"/>
      <c r="BG1318" s="750"/>
      <c r="BH1318" s="750"/>
      <c r="BI1318" s="750"/>
      <c r="BJ1318" s="750"/>
      <c r="BK1318" s="750"/>
      <c r="BL1318" s="750"/>
      <c r="BM1318" s="750"/>
      <c r="BN1318" s="750"/>
      <c r="BO1318" s="750"/>
      <c r="BP1318" s="750"/>
      <c r="BQ1318" s="750"/>
    </row>
    <row r="1319" spans="1:69" ht="69.75" customHeight="1">
      <c r="A1319" s="779"/>
      <c r="B1319" s="11"/>
      <c r="C1319" s="239"/>
      <c r="D1319" s="239"/>
      <c r="E1319" s="239"/>
      <c r="F1319" s="239"/>
      <c r="G1319" s="239"/>
      <c r="H1319" s="239"/>
      <c r="I1319" s="250" t="s">
        <v>77</v>
      </c>
      <c r="J1319" s="1813" t="s">
        <v>1459</v>
      </c>
      <c r="K1319" s="12">
        <v>72</v>
      </c>
      <c r="L1319" s="13">
        <v>424400000</v>
      </c>
      <c r="M1319" s="242">
        <v>36</v>
      </c>
      <c r="N1319" s="243">
        <v>246820000</v>
      </c>
      <c r="O1319" s="100">
        <v>12</v>
      </c>
      <c r="P1319" s="111">
        <v>60000000</v>
      </c>
      <c r="Q1319" s="244">
        <v>3</v>
      </c>
      <c r="R1319" s="24">
        <v>22885000</v>
      </c>
      <c r="S1319" s="245">
        <v>3</v>
      </c>
      <c r="T1319" s="245">
        <v>15140000</v>
      </c>
      <c r="U1319" s="245">
        <v>0</v>
      </c>
      <c r="V1319" s="246">
        <v>0</v>
      </c>
      <c r="W1319" s="245">
        <v>0</v>
      </c>
      <c r="X1319" s="245">
        <v>0</v>
      </c>
      <c r="Y1319" s="247">
        <f t="shared" si="386"/>
        <v>6</v>
      </c>
      <c r="Z1319" s="246">
        <f t="shared" si="390"/>
        <v>38025000</v>
      </c>
      <c r="AA1319" s="248">
        <f t="shared" si="387"/>
        <v>42</v>
      </c>
      <c r="AB1319" s="246">
        <f t="shared" si="391"/>
        <v>284845000</v>
      </c>
      <c r="AC1319" s="249">
        <f t="shared" si="388"/>
        <v>58.333333333333336</v>
      </c>
      <c r="AD1319" s="249">
        <f t="shared" si="389"/>
        <v>67.117106503298771</v>
      </c>
      <c r="AE1319" s="483"/>
      <c r="AF1319" s="750"/>
      <c r="AG1319" s="750"/>
      <c r="AH1319" s="750"/>
      <c r="AI1319" s="750"/>
      <c r="AJ1319" s="750"/>
      <c r="AK1319" s="750"/>
      <c r="AL1319" s="750"/>
      <c r="AM1319" s="750"/>
      <c r="AN1319" s="750"/>
      <c r="AO1319" s="750"/>
      <c r="AP1319" s="750"/>
      <c r="AQ1319" s="750"/>
      <c r="AR1319" s="750"/>
      <c r="AS1319" s="750"/>
      <c r="AT1319" s="750"/>
      <c r="AU1319" s="750"/>
      <c r="AV1319" s="750"/>
      <c r="AW1319" s="750"/>
      <c r="AX1319" s="750"/>
      <c r="AY1319" s="750"/>
      <c r="AZ1319" s="750"/>
      <c r="BA1319" s="750"/>
      <c r="BB1319" s="750"/>
      <c r="BC1319" s="750"/>
      <c r="BD1319" s="750"/>
      <c r="BE1319" s="750"/>
      <c r="BF1319" s="750"/>
      <c r="BG1319" s="750"/>
      <c r="BH1319" s="750"/>
      <c r="BI1319" s="750"/>
      <c r="BJ1319" s="750"/>
      <c r="BK1319" s="750"/>
      <c r="BL1319" s="750"/>
      <c r="BM1319" s="750"/>
      <c r="BN1319" s="750"/>
      <c r="BO1319" s="750"/>
      <c r="BP1319" s="750"/>
      <c r="BQ1319" s="750"/>
    </row>
    <row r="1320" spans="1:69" ht="66">
      <c r="A1320" s="2558">
        <v>2</v>
      </c>
      <c r="B1320" s="33"/>
      <c r="C1320" s="161"/>
      <c r="D1320" s="161"/>
      <c r="E1320" s="161"/>
      <c r="F1320" s="161"/>
      <c r="G1320" s="161"/>
      <c r="H1320" s="161"/>
      <c r="I1320" s="44" t="s">
        <v>2804</v>
      </c>
      <c r="J1320" s="46" t="s">
        <v>3087</v>
      </c>
      <c r="K1320" s="149">
        <v>72</v>
      </c>
      <c r="L1320" s="281">
        <f>SUM(L1322:L1324)</f>
        <v>1888510275</v>
      </c>
      <c r="M1320" s="146">
        <v>36</v>
      </c>
      <c r="N1320" s="281">
        <v>606689626</v>
      </c>
      <c r="O1320" s="289">
        <v>12</v>
      </c>
      <c r="P1320" s="281">
        <f>SUM(P1321:P1324)</f>
        <v>333295000</v>
      </c>
      <c r="Q1320" s="282">
        <v>3</v>
      </c>
      <c r="R1320" s="281">
        <f>SUM(R1321:R1324)</f>
        <v>77882682</v>
      </c>
      <c r="S1320" s="283">
        <v>3</v>
      </c>
      <c r="T1320" s="281">
        <f>SUM(T1321:T1324)</f>
        <v>159378285</v>
      </c>
      <c r="U1320" s="283">
        <v>0</v>
      </c>
      <c r="V1320" s="281">
        <f>SUM(V1321:V1324)</f>
        <v>0</v>
      </c>
      <c r="W1320" s="283">
        <v>0</v>
      </c>
      <c r="X1320" s="281">
        <f>SUM(X1321:X1324)</f>
        <v>0</v>
      </c>
      <c r="Y1320" s="290">
        <f t="shared" si="386"/>
        <v>6</v>
      </c>
      <c r="Z1320" s="281">
        <f>SUM(Z1321:Z1324)</f>
        <v>237260967</v>
      </c>
      <c r="AA1320" s="282">
        <f t="shared" si="387"/>
        <v>42</v>
      </c>
      <c r="AB1320" s="281">
        <f>SUM(AB1322:AB1324)</f>
        <v>774209270</v>
      </c>
      <c r="AC1320" s="284">
        <f t="shared" si="388"/>
        <v>58.333333333333336</v>
      </c>
      <c r="AD1320" s="284">
        <f t="shared" si="389"/>
        <v>40.995766888268584</v>
      </c>
      <c r="AE1320" s="482" t="s">
        <v>152</v>
      </c>
      <c r="AF1320" s="750"/>
      <c r="AG1320" s="750"/>
      <c r="AH1320" s="750"/>
      <c r="AI1320" s="750"/>
      <c r="AJ1320" s="750"/>
      <c r="AK1320" s="750"/>
      <c r="AL1320" s="750"/>
      <c r="AM1320" s="750"/>
      <c r="AN1320" s="750"/>
      <c r="AO1320" s="750"/>
      <c r="AP1320" s="750"/>
      <c r="AQ1320" s="750"/>
      <c r="AR1320" s="750"/>
      <c r="AS1320" s="750"/>
      <c r="AT1320" s="750"/>
      <c r="AU1320" s="750"/>
      <c r="AV1320" s="750"/>
      <c r="AW1320" s="750"/>
      <c r="AX1320" s="750"/>
      <c r="AY1320" s="750"/>
      <c r="AZ1320" s="750"/>
      <c r="BA1320" s="750"/>
      <c r="BB1320" s="750"/>
      <c r="BC1320" s="750"/>
      <c r="BD1320" s="750"/>
      <c r="BE1320" s="750"/>
      <c r="BF1320" s="750"/>
      <c r="BG1320" s="750"/>
      <c r="BH1320" s="750"/>
      <c r="BI1320" s="750"/>
      <c r="BJ1320" s="750"/>
      <c r="BK1320" s="750"/>
      <c r="BL1320" s="750"/>
      <c r="BM1320" s="750"/>
      <c r="BN1320" s="750"/>
      <c r="BO1320" s="750"/>
      <c r="BP1320" s="750"/>
      <c r="BQ1320" s="750"/>
    </row>
    <row r="1321" spans="1:69" ht="66">
      <c r="A1321" s="779"/>
      <c r="B1321" s="11"/>
      <c r="C1321" s="779"/>
      <c r="D1321" s="779"/>
      <c r="E1321" s="779"/>
      <c r="F1321" s="779"/>
      <c r="G1321" s="779"/>
      <c r="H1321" s="779"/>
      <c r="I1321" s="11" t="s">
        <v>1460</v>
      </c>
      <c r="J1321" s="1813" t="s">
        <v>3090</v>
      </c>
      <c r="K1321" s="12">
        <v>6</v>
      </c>
      <c r="L1321" s="13">
        <v>397723601</v>
      </c>
      <c r="M1321" s="242">
        <v>3</v>
      </c>
      <c r="N1321" s="243">
        <v>169081676</v>
      </c>
      <c r="O1321" s="100">
        <v>1</v>
      </c>
      <c r="P1321" s="111">
        <v>25500000</v>
      </c>
      <c r="Q1321" s="244">
        <v>0</v>
      </c>
      <c r="R1321" s="24">
        <v>7838959</v>
      </c>
      <c r="S1321" s="245">
        <v>0</v>
      </c>
      <c r="T1321" s="245">
        <v>3976364</v>
      </c>
      <c r="U1321" s="245">
        <v>0</v>
      </c>
      <c r="V1321" s="246">
        <v>0</v>
      </c>
      <c r="W1321" s="245">
        <v>0</v>
      </c>
      <c r="X1321" s="245">
        <v>0</v>
      </c>
      <c r="Y1321" s="247">
        <f t="shared" si="386"/>
        <v>0</v>
      </c>
      <c r="Z1321" s="246">
        <f>R1321+T1321+V1321+X1321</f>
        <v>11815323</v>
      </c>
      <c r="AA1321" s="248">
        <f t="shared" si="387"/>
        <v>3</v>
      </c>
      <c r="AB1321" s="246">
        <f>N1321+Z1321</f>
        <v>180896999</v>
      </c>
      <c r="AC1321" s="249">
        <f t="shared" si="388"/>
        <v>50</v>
      </c>
      <c r="AD1321" s="249">
        <f t="shared" si="389"/>
        <v>45.483093923812682</v>
      </c>
      <c r="AE1321" s="483"/>
      <c r="AF1321" s="750"/>
      <c r="AG1321" s="750"/>
      <c r="AH1321" s="750"/>
      <c r="AI1321" s="750"/>
      <c r="AJ1321" s="750"/>
      <c r="AK1321" s="750"/>
      <c r="AL1321" s="750"/>
      <c r="AM1321" s="750"/>
      <c r="AN1321" s="750"/>
      <c r="AO1321" s="750"/>
      <c r="AP1321" s="750"/>
      <c r="AQ1321" s="750"/>
      <c r="AR1321" s="750"/>
      <c r="AS1321" s="750"/>
      <c r="AT1321" s="750"/>
      <c r="AU1321" s="750"/>
      <c r="AV1321" s="750"/>
      <c r="AW1321" s="750"/>
      <c r="AX1321" s="750"/>
      <c r="AY1321" s="750"/>
      <c r="AZ1321" s="750"/>
      <c r="BA1321" s="750"/>
      <c r="BB1321" s="750"/>
      <c r="BC1321" s="750"/>
      <c r="BD1321" s="750"/>
      <c r="BE1321" s="750"/>
      <c r="BF1321" s="750"/>
      <c r="BG1321" s="750"/>
      <c r="BH1321" s="750"/>
      <c r="BI1321" s="750"/>
      <c r="BJ1321" s="750"/>
      <c r="BK1321" s="750"/>
      <c r="BL1321" s="750"/>
      <c r="BM1321" s="750"/>
      <c r="BN1321" s="750"/>
      <c r="BO1321" s="750"/>
      <c r="BP1321" s="750"/>
      <c r="BQ1321" s="750"/>
    </row>
    <row r="1322" spans="1:69" ht="66">
      <c r="A1322" s="779"/>
      <c r="B1322" s="11"/>
      <c r="C1322" s="239"/>
      <c r="D1322" s="239"/>
      <c r="E1322" s="239"/>
      <c r="F1322" s="239"/>
      <c r="G1322" s="239"/>
      <c r="H1322" s="239"/>
      <c r="I1322" s="250" t="s">
        <v>974</v>
      </c>
      <c r="J1322" s="251" t="s">
        <v>3088</v>
      </c>
      <c r="K1322" s="12">
        <v>72</v>
      </c>
      <c r="L1322" s="13">
        <v>1272953095</v>
      </c>
      <c r="M1322" s="242">
        <v>36</v>
      </c>
      <c r="N1322" s="243">
        <v>483650626</v>
      </c>
      <c r="O1322" s="100">
        <v>12</v>
      </c>
      <c r="P1322" s="125">
        <v>249195000</v>
      </c>
      <c r="Q1322" s="244">
        <v>3</v>
      </c>
      <c r="R1322" s="24">
        <v>68043723</v>
      </c>
      <c r="S1322" s="245">
        <v>3</v>
      </c>
      <c r="T1322" s="245">
        <v>99475921</v>
      </c>
      <c r="U1322" s="245">
        <v>0</v>
      </c>
      <c r="V1322" s="246">
        <v>0</v>
      </c>
      <c r="W1322" s="245">
        <v>0</v>
      </c>
      <c r="X1322" s="245">
        <v>0</v>
      </c>
      <c r="Y1322" s="247">
        <f t="shared" si="386"/>
        <v>6</v>
      </c>
      <c r="Z1322" s="246">
        <f>R1322+T1322+V1322+X1322</f>
        <v>167519644</v>
      </c>
      <c r="AA1322" s="244">
        <f t="shared" si="387"/>
        <v>42</v>
      </c>
      <c r="AB1322" s="246">
        <f>N1322+Z1322</f>
        <v>651170270</v>
      </c>
      <c r="AC1322" s="249">
        <f t="shared" si="388"/>
        <v>58.333333333333336</v>
      </c>
      <c r="AD1322" s="249">
        <f t="shared" si="389"/>
        <v>51.154301957999479</v>
      </c>
      <c r="AE1322" s="483"/>
      <c r="AF1322" s="750"/>
      <c r="AG1322" s="750"/>
      <c r="AH1322" s="750"/>
      <c r="AI1322" s="750"/>
      <c r="AJ1322" s="750"/>
      <c r="AK1322" s="750"/>
      <c r="AL1322" s="750"/>
      <c r="AM1322" s="750"/>
      <c r="AN1322" s="750"/>
      <c r="AO1322" s="750"/>
      <c r="AP1322" s="750"/>
      <c r="AQ1322" s="750"/>
      <c r="AR1322" s="750"/>
      <c r="AS1322" s="750"/>
      <c r="AT1322" s="750"/>
      <c r="AU1322" s="750"/>
      <c r="AV1322" s="750"/>
      <c r="AW1322" s="750"/>
      <c r="AX1322" s="750"/>
      <c r="AY1322" s="750"/>
      <c r="AZ1322" s="750"/>
      <c r="BA1322" s="750"/>
      <c r="BB1322" s="750"/>
      <c r="BC1322" s="750"/>
      <c r="BD1322" s="750"/>
      <c r="BE1322" s="750"/>
      <c r="BF1322" s="750"/>
      <c r="BG1322" s="750"/>
      <c r="BH1322" s="750"/>
      <c r="BI1322" s="750"/>
      <c r="BJ1322" s="750"/>
      <c r="BK1322" s="750"/>
      <c r="BL1322" s="750"/>
      <c r="BM1322" s="750"/>
      <c r="BN1322" s="750"/>
      <c r="BO1322" s="750"/>
      <c r="BP1322" s="750"/>
      <c r="BQ1322" s="750"/>
    </row>
    <row r="1323" spans="1:69" ht="49.5">
      <c r="A1323" s="779"/>
      <c r="B1323" s="11"/>
      <c r="C1323" s="239"/>
      <c r="D1323" s="239"/>
      <c r="E1323" s="239"/>
      <c r="F1323" s="239"/>
      <c r="G1323" s="239"/>
      <c r="H1323" s="239"/>
      <c r="I1323" s="250" t="s">
        <v>1461</v>
      </c>
      <c r="J1323" s="251" t="s">
        <v>1462</v>
      </c>
      <c r="K1323" s="12">
        <v>2</v>
      </c>
      <c r="L1323" s="13">
        <v>150000000</v>
      </c>
      <c r="M1323" s="242">
        <v>2</v>
      </c>
      <c r="N1323" s="243">
        <v>44569000</v>
      </c>
      <c r="O1323" s="100">
        <v>0</v>
      </c>
      <c r="P1323" s="252">
        <v>0</v>
      </c>
      <c r="Q1323" s="253">
        <v>0</v>
      </c>
      <c r="R1323" s="24">
        <v>0</v>
      </c>
      <c r="S1323" s="245">
        <v>0</v>
      </c>
      <c r="T1323" s="245">
        <v>0</v>
      </c>
      <c r="U1323" s="245">
        <v>0</v>
      </c>
      <c r="V1323" s="246">
        <v>0</v>
      </c>
      <c r="W1323" s="245">
        <v>0</v>
      </c>
      <c r="X1323" s="245">
        <v>0</v>
      </c>
      <c r="Y1323" s="247">
        <f t="shared" si="386"/>
        <v>0</v>
      </c>
      <c r="Z1323" s="246">
        <f>R1323+T1323+V1323+X1323</f>
        <v>0</v>
      </c>
      <c r="AA1323" s="244">
        <f t="shared" si="387"/>
        <v>2</v>
      </c>
      <c r="AB1323" s="246">
        <f>N1323+Z1323</f>
        <v>44569000</v>
      </c>
      <c r="AC1323" s="249">
        <f t="shared" si="388"/>
        <v>100</v>
      </c>
      <c r="AD1323" s="249">
        <f t="shared" si="389"/>
        <v>29.712666666666664</v>
      </c>
      <c r="AE1323" s="483"/>
      <c r="AF1323" s="750"/>
      <c r="AG1323" s="750"/>
      <c r="AH1323" s="750"/>
      <c r="AI1323" s="750"/>
      <c r="AJ1323" s="750"/>
      <c r="AK1323" s="750"/>
      <c r="AL1323" s="750"/>
      <c r="AM1323" s="750"/>
      <c r="AN1323" s="750"/>
      <c r="AO1323" s="750"/>
      <c r="AP1323" s="750"/>
      <c r="AQ1323" s="750"/>
      <c r="AR1323" s="750"/>
      <c r="AS1323" s="750"/>
      <c r="AT1323" s="750"/>
      <c r="AU1323" s="750"/>
      <c r="AV1323" s="750"/>
      <c r="AW1323" s="750"/>
      <c r="AX1323" s="750"/>
      <c r="AY1323" s="750"/>
      <c r="AZ1323" s="750"/>
      <c r="BA1323" s="750"/>
      <c r="BB1323" s="750"/>
      <c r="BC1323" s="750"/>
      <c r="BD1323" s="750"/>
      <c r="BE1323" s="750"/>
      <c r="BF1323" s="750"/>
      <c r="BG1323" s="750"/>
      <c r="BH1323" s="750"/>
      <c r="BI1323" s="750"/>
      <c r="BJ1323" s="750"/>
      <c r="BK1323" s="750"/>
      <c r="BL1323" s="750"/>
      <c r="BM1323" s="750"/>
      <c r="BN1323" s="750"/>
      <c r="BO1323" s="750"/>
      <c r="BP1323" s="750"/>
      <c r="BQ1323" s="750"/>
    </row>
    <row r="1324" spans="1:69" ht="66">
      <c r="A1324" s="779"/>
      <c r="B1324" s="11"/>
      <c r="C1324" s="239"/>
      <c r="D1324" s="239"/>
      <c r="E1324" s="239"/>
      <c r="F1324" s="239"/>
      <c r="G1324" s="239"/>
      <c r="H1324" s="239"/>
      <c r="I1324" s="250" t="s">
        <v>1463</v>
      </c>
      <c r="J1324" s="251" t="s">
        <v>3089</v>
      </c>
      <c r="K1324" s="12">
        <v>72</v>
      </c>
      <c r="L1324" s="13">
        <v>465557180</v>
      </c>
      <c r="M1324" s="242">
        <v>36</v>
      </c>
      <c r="N1324" s="243">
        <v>78470000</v>
      </c>
      <c r="O1324" s="100">
        <v>12</v>
      </c>
      <c r="P1324" s="111">
        <v>58600000</v>
      </c>
      <c r="Q1324" s="253">
        <v>3</v>
      </c>
      <c r="R1324" s="254">
        <v>2000000</v>
      </c>
      <c r="S1324" s="255">
        <v>3</v>
      </c>
      <c r="T1324" s="245">
        <v>55926000</v>
      </c>
      <c r="U1324" s="245">
        <v>0</v>
      </c>
      <c r="V1324" s="246">
        <v>0</v>
      </c>
      <c r="W1324" s="245">
        <v>0</v>
      </c>
      <c r="X1324" s="245">
        <v>0</v>
      </c>
      <c r="Y1324" s="247">
        <v>0</v>
      </c>
      <c r="Z1324" s="246">
        <f>R1324+T1324+V1324+X1324</f>
        <v>57926000</v>
      </c>
      <c r="AA1324" s="244">
        <f t="shared" si="387"/>
        <v>36</v>
      </c>
      <c r="AB1324" s="246">
        <v>78470000</v>
      </c>
      <c r="AC1324" s="256" t="s">
        <v>1464</v>
      </c>
      <c r="AD1324" s="257" t="s">
        <v>1465</v>
      </c>
      <c r="AE1324" s="483"/>
      <c r="AF1324" s="750"/>
      <c r="AG1324" s="750"/>
      <c r="AH1324" s="750"/>
      <c r="AI1324" s="750"/>
      <c r="AJ1324" s="750"/>
      <c r="AK1324" s="750"/>
      <c r="AL1324" s="750"/>
      <c r="AM1324" s="750"/>
      <c r="AN1324" s="750"/>
      <c r="AO1324" s="750"/>
      <c r="AP1324" s="750"/>
      <c r="AQ1324" s="750"/>
      <c r="AR1324" s="750"/>
      <c r="AS1324" s="750"/>
      <c r="AT1324" s="750"/>
      <c r="AU1324" s="750"/>
      <c r="AV1324" s="750"/>
      <c r="AW1324" s="750"/>
      <c r="AX1324" s="750"/>
      <c r="AY1324" s="750"/>
      <c r="AZ1324" s="750"/>
      <c r="BA1324" s="750"/>
      <c r="BB1324" s="750"/>
      <c r="BC1324" s="750"/>
      <c r="BD1324" s="750"/>
      <c r="BE1324" s="750"/>
      <c r="BF1324" s="750"/>
      <c r="BG1324" s="750"/>
      <c r="BH1324" s="750"/>
      <c r="BI1324" s="750"/>
      <c r="BJ1324" s="750"/>
      <c r="BK1324" s="750"/>
      <c r="BL1324" s="750"/>
      <c r="BM1324" s="750"/>
      <c r="BN1324" s="750"/>
      <c r="BO1324" s="750"/>
      <c r="BP1324" s="750"/>
      <c r="BQ1324" s="750"/>
    </row>
    <row r="1325" spans="1:69" ht="66">
      <c r="A1325" s="2558">
        <v>3</v>
      </c>
      <c r="B1325" s="33"/>
      <c r="C1325" s="161"/>
      <c r="D1325" s="161"/>
      <c r="E1325" s="161"/>
      <c r="F1325" s="161"/>
      <c r="G1325" s="161"/>
      <c r="H1325" s="161"/>
      <c r="I1325" s="33" t="s">
        <v>1466</v>
      </c>
      <c r="J1325" s="629" t="s">
        <v>3091</v>
      </c>
      <c r="K1325" s="135" t="s">
        <v>113</v>
      </c>
      <c r="L1325" s="230">
        <f>SUM(L1326:L1328)</f>
        <v>322554100</v>
      </c>
      <c r="M1325" s="135" t="s">
        <v>114</v>
      </c>
      <c r="N1325" s="230">
        <f>SUM(N1326:N1328)</f>
        <v>143715000</v>
      </c>
      <c r="O1325" s="135" t="s">
        <v>1964</v>
      </c>
      <c r="P1325" s="160">
        <f>SUM(P1326:P1328)</f>
        <v>77250000</v>
      </c>
      <c r="Q1325" s="291" t="s">
        <v>579</v>
      </c>
      <c r="R1325" s="160">
        <f>SUM(R1326:R1328)</f>
        <v>1728000</v>
      </c>
      <c r="S1325" s="536">
        <v>0</v>
      </c>
      <c r="T1325" s="160">
        <f>SUM(T1326:T1328)</f>
        <v>27345550</v>
      </c>
      <c r="U1325" s="536">
        <v>0</v>
      </c>
      <c r="V1325" s="160">
        <f>SUM(V1326:V1328)</f>
        <v>0</v>
      </c>
      <c r="W1325" s="536">
        <v>0</v>
      </c>
      <c r="X1325" s="160">
        <f>SUM(X1326:X1328)</f>
        <v>0</v>
      </c>
      <c r="Y1325" s="290" t="s">
        <v>579</v>
      </c>
      <c r="Z1325" s="160">
        <f>SUM(Z1326:Z1328)</f>
        <v>29073550</v>
      </c>
      <c r="AA1325" s="292" t="s">
        <v>114</v>
      </c>
      <c r="AB1325" s="160">
        <f>SUM(AB1326:AB1328)</f>
        <v>172788550</v>
      </c>
      <c r="AC1325" s="292">
        <v>85</v>
      </c>
      <c r="AD1325" s="292">
        <f t="shared" ref="AD1325:AD1364" si="392">AB1325/L1325*100</f>
        <v>53.568858681380895</v>
      </c>
      <c r="AE1325" s="369" t="s">
        <v>152</v>
      </c>
      <c r="AF1325" s="750"/>
      <c r="AG1325" s="750"/>
      <c r="AH1325" s="750"/>
      <c r="AI1325" s="750"/>
      <c r="AJ1325" s="750"/>
      <c r="AK1325" s="750"/>
      <c r="AL1325" s="750"/>
      <c r="AM1325" s="750"/>
      <c r="AN1325" s="750"/>
      <c r="AO1325" s="750"/>
      <c r="AP1325" s="750"/>
      <c r="AQ1325" s="750"/>
      <c r="AR1325" s="750"/>
      <c r="AS1325" s="750"/>
      <c r="AT1325" s="750"/>
      <c r="AU1325" s="750"/>
      <c r="AV1325" s="750"/>
      <c r="AW1325" s="750"/>
      <c r="AX1325" s="750"/>
      <c r="AY1325" s="750"/>
      <c r="AZ1325" s="750"/>
      <c r="BA1325" s="750"/>
      <c r="BB1325" s="750"/>
      <c r="BC1325" s="750"/>
      <c r="BD1325" s="750"/>
      <c r="BE1325" s="750"/>
      <c r="BF1325" s="750"/>
      <c r="BG1325" s="750"/>
      <c r="BH1325" s="750"/>
      <c r="BI1325" s="750"/>
      <c r="BJ1325" s="750"/>
      <c r="BK1325" s="750"/>
      <c r="BL1325" s="750"/>
      <c r="BM1325" s="750"/>
      <c r="BN1325" s="750"/>
      <c r="BO1325" s="750"/>
      <c r="BP1325" s="750"/>
      <c r="BQ1325" s="750"/>
    </row>
    <row r="1326" spans="1:69" ht="66">
      <c r="A1326" s="779"/>
      <c r="B1326" s="11"/>
      <c r="C1326" s="239"/>
      <c r="D1326" s="239"/>
      <c r="E1326" s="239"/>
      <c r="F1326" s="239"/>
      <c r="G1326" s="239"/>
      <c r="H1326" s="239"/>
      <c r="I1326" s="11" t="s">
        <v>1094</v>
      </c>
      <c r="J1326" s="11" t="s">
        <v>3092</v>
      </c>
      <c r="K1326" s="12">
        <v>24</v>
      </c>
      <c r="L1326" s="13">
        <f>2*N1326</f>
        <v>193863600</v>
      </c>
      <c r="M1326" s="242">
        <v>12</v>
      </c>
      <c r="N1326" s="243">
        <v>96931800</v>
      </c>
      <c r="O1326" s="100">
        <v>4</v>
      </c>
      <c r="P1326" s="111">
        <v>35800000</v>
      </c>
      <c r="Q1326" s="248">
        <v>1</v>
      </c>
      <c r="R1326" s="202">
        <v>0</v>
      </c>
      <c r="S1326" s="245">
        <v>2</v>
      </c>
      <c r="T1326" s="245">
        <v>16683850</v>
      </c>
      <c r="U1326" s="245">
        <v>0</v>
      </c>
      <c r="V1326" s="246">
        <v>0</v>
      </c>
      <c r="W1326" s="245">
        <v>0</v>
      </c>
      <c r="X1326" s="245">
        <v>0</v>
      </c>
      <c r="Y1326" s="247">
        <f t="shared" ref="Y1326:Z1328" si="393">Q1326+S1326+U1326+W1326</f>
        <v>3</v>
      </c>
      <c r="Z1326" s="246">
        <f t="shared" si="393"/>
        <v>16683850</v>
      </c>
      <c r="AA1326" s="248">
        <f t="shared" ref="AA1326:AB1328" si="394">M1326+Y1326</f>
        <v>15</v>
      </c>
      <c r="AB1326" s="246">
        <f t="shared" si="394"/>
        <v>113615650</v>
      </c>
      <c r="AC1326" s="249">
        <f t="shared" ref="AC1326:AC1364" si="395">AA1326/K1326*100</f>
        <v>62.5</v>
      </c>
      <c r="AD1326" s="249">
        <f t="shared" si="392"/>
        <v>58.605973478259976</v>
      </c>
      <c r="AE1326" s="745"/>
      <c r="AF1326" s="750"/>
      <c r="AG1326" s="750"/>
      <c r="AH1326" s="750"/>
      <c r="AI1326" s="750"/>
      <c r="AJ1326" s="750"/>
      <c r="AK1326" s="750"/>
      <c r="AL1326" s="750"/>
      <c r="AM1326" s="750"/>
      <c r="AN1326" s="750"/>
      <c r="AO1326" s="750"/>
      <c r="AP1326" s="750"/>
      <c r="AQ1326" s="750"/>
      <c r="AR1326" s="750"/>
      <c r="AS1326" s="750"/>
      <c r="AT1326" s="750"/>
      <c r="AU1326" s="750"/>
      <c r="AV1326" s="750"/>
      <c r="AW1326" s="750"/>
      <c r="AX1326" s="750"/>
      <c r="AY1326" s="750"/>
      <c r="AZ1326" s="750"/>
      <c r="BA1326" s="750"/>
      <c r="BB1326" s="750"/>
      <c r="BC1326" s="750"/>
      <c r="BD1326" s="750"/>
      <c r="BE1326" s="750"/>
      <c r="BF1326" s="750"/>
      <c r="BG1326" s="750"/>
      <c r="BH1326" s="750"/>
      <c r="BI1326" s="750"/>
      <c r="BJ1326" s="750"/>
      <c r="BK1326" s="750"/>
      <c r="BL1326" s="750"/>
      <c r="BM1326" s="750"/>
      <c r="BN1326" s="750"/>
      <c r="BO1326" s="750"/>
      <c r="BP1326" s="750"/>
      <c r="BQ1326" s="750"/>
    </row>
    <row r="1327" spans="1:69" ht="66">
      <c r="A1327" s="779"/>
      <c r="B1327" s="11"/>
      <c r="C1327" s="239"/>
      <c r="D1327" s="239"/>
      <c r="E1327" s="239"/>
      <c r="F1327" s="239"/>
      <c r="G1327" s="239"/>
      <c r="H1327" s="239"/>
      <c r="I1327" s="11" t="s">
        <v>85</v>
      </c>
      <c r="J1327" s="11" t="s">
        <v>3093</v>
      </c>
      <c r="K1327" s="12">
        <v>12</v>
      </c>
      <c r="L1327" s="13">
        <f>N1327</f>
        <v>4340500</v>
      </c>
      <c r="M1327" s="242">
        <v>12</v>
      </c>
      <c r="N1327" s="243">
        <v>4340500</v>
      </c>
      <c r="O1327" s="100">
        <v>0</v>
      </c>
      <c r="P1327" s="111">
        <v>0</v>
      </c>
      <c r="Q1327" s="248">
        <v>0</v>
      </c>
      <c r="R1327" s="202">
        <v>0</v>
      </c>
      <c r="S1327" s="245">
        <v>0</v>
      </c>
      <c r="T1327" s="245">
        <v>0</v>
      </c>
      <c r="U1327" s="245">
        <v>0</v>
      </c>
      <c r="V1327" s="246">
        <v>0</v>
      </c>
      <c r="W1327" s="245">
        <v>0</v>
      </c>
      <c r="X1327" s="245">
        <v>0</v>
      </c>
      <c r="Y1327" s="247">
        <f t="shared" si="393"/>
        <v>0</v>
      </c>
      <c r="Z1327" s="246">
        <f t="shared" si="393"/>
        <v>0</v>
      </c>
      <c r="AA1327" s="248">
        <f t="shared" si="394"/>
        <v>12</v>
      </c>
      <c r="AB1327" s="246">
        <f t="shared" si="394"/>
        <v>4340500</v>
      </c>
      <c r="AC1327" s="249">
        <f t="shared" si="395"/>
        <v>100</v>
      </c>
      <c r="AD1327" s="249">
        <f t="shared" si="392"/>
        <v>100</v>
      </c>
      <c r="AE1327" s="745"/>
      <c r="AF1327" s="750"/>
      <c r="AG1327" s="750"/>
      <c r="AH1327" s="750"/>
      <c r="AI1327" s="750"/>
      <c r="AJ1327" s="750"/>
      <c r="AK1327" s="750"/>
      <c r="AL1327" s="750"/>
      <c r="AM1327" s="750"/>
      <c r="AN1327" s="750"/>
      <c r="AO1327" s="750"/>
      <c r="AP1327" s="750"/>
      <c r="AQ1327" s="750"/>
      <c r="AR1327" s="750"/>
      <c r="AS1327" s="750"/>
      <c r="AT1327" s="750"/>
      <c r="AU1327" s="750"/>
      <c r="AV1327" s="750"/>
      <c r="AW1327" s="750"/>
      <c r="AX1327" s="750"/>
      <c r="AY1327" s="750"/>
      <c r="AZ1327" s="750"/>
      <c r="BA1327" s="750"/>
      <c r="BB1327" s="750"/>
      <c r="BC1327" s="750"/>
      <c r="BD1327" s="750"/>
      <c r="BE1327" s="750"/>
      <c r="BF1327" s="750"/>
      <c r="BG1327" s="750"/>
      <c r="BH1327" s="750"/>
      <c r="BI1327" s="750"/>
      <c r="BJ1327" s="750"/>
      <c r="BK1327" s="750"/>
      <c r="BL1327" s="750"/>
      <c r="BM1327" s="750"/>
      <c r="BN1327" s="750"/>
      <c r="BO1327" s="750"/>
      <c r="BP1327" s="750"/>
      <c r="BQ1327" s="750"/>
    </row>
    <row r="1328" spans="1:69" ht="49.5">
      <c r="A1328" s="779"/>
      <c r="B1328" s="11"/>
      <c r="C1328" s="239"/>
      <c r="D1328" s="239"/>
      <c r="E1328" s="239"/>
      <c r="F1328" s="239"/>
      <c r="G1328" s="239"/>
      <c r="H1328" s="239"/>
      <c r="I1328" s="11" t="s">
        <v>1467</v>
      </c>
      <c r="J1328" s="11" t="s">
        <v>3094</v>
      </c>
      <c r="K1328" s="12">
        <v>6</v>
      </c>
      <c r="L1328" s="13">
        <f>3*P1328</f>
        <v>124350000</v>
      </c>
      <c r="M1328" s="242">
        <v>3</v>
      </c>
      <c r="N1328" s="243">
        <v>42442700</v>
      </c>
      <c r="O1328" s="100">
        <v>1</v>
      </c>
      <c r="P1328" s="111">
        <v>41450000</v>
      </c>
      <c r="Q1328" s="248">
        <v>0</v>
      </c>
      <c r="R1328" s="24">
        <v>1728000</v>
      </c>
      <c r="S1328" s="245">
        <v>0</v>
      </c>
      <c r="T1328" s="245">
        <v>10661700</v>
      </c>
      <c r="U1328" s="245">
        <v>0</v>
      </c>
      <c r="V1328" s="246">
        <v>0</v>
      </c>
      <c r="W1328" s="245">
        <v>0</v>
      </c>
      <c r="X1328" s="245">
        <v>0</v>
      </c>
      <c r="Y1328" s="247">
        <f t="shared" si="393"/>
        <v>0</v>
      </c>
      <c r="Z1328" s="246">
        <f t="shared" si="393"/>
        <v>12389700</v>
      </c>
      <c r="AA1328" s="248">
        <f t="shared" si="394"/>
        <v>3</v>
      </c>
      <c r="AB1328" s="246">
        <f t="shared" si="394"/>
        <v>54832400</v>
      </c>
      <c r="AC1328" s="249">
        <f t="shared" si="395"/>
        <v>50</v>
      </c>
      <c r="AD1328" s="249">
        <f t="shared" si="392"/>
        <v>44.095215118616807</v>
      </c>
      <c r="AE1328" s="483"/>
      <c r="AF1328" s="750"/>
      <c r="AG1328" s="750"/>
      <c r="AH1328" s="750"/>
      <c r="AI1328" s="750"/>
      <c r="AJ1328" s="750"/>
      <c r="AK1328" s="750"/>
      <c r="AL1328" s="750"/>
      <c r="AM1328" s="750"/>
      <c r="AN1328" s="750"/>
      <c r="AO1328" s="750"/>
      <c r="AP1328" s="750"/>
      <c r="AQ1328" s="750"/>
      <c r="AR1328" s="750"/>
      <c r="AS1328" s="750"/>
      <c r="AT1328" s="750"/>
      <c r="AU1328" s="750"/>
      <c r="AV1328" s="750"/>
      <c r="AW1328" s="750"/>
      <c r="AX1328" s="750"/>
      <c r="AY1328" s="750"/>
      <c r="AZ1328" s="750"/>
      <c r="BA1328" s="750"/>
      <c r="BB1328" s="750"/>
      <c r="BC1328" s="750"/>
      <c r="BD1328" s="750"/>
      <c r="BE1328" s="750"/>
      <c r="BF1328" s="750"/>
      <c r="BG1328" s="750"/>
      <c r="BH1328" s="750"/>
      <c r="BI1328" s="750"/>
      <c r="BJ1328" s="750"/>
      <c r="BK1328" s="750"/>
      <c r="BL1328" s="750"/>
      <c r="BM1328" s="750"/>
      <c r="BN1328" s="750"/>
      <c r="BO1328" s="750"/>
      <c r="BP1328" s="750"/>
      <c r="BQ1328" s="750"/>
    </row>
    <row r="1329" spans="1:69" ht="66">
      <c r="A1329" s="303">
        <v>4</v>
      </c>
      <c r="B1329" s="33"/>
      <c r="C1329" s="161"/>
      <c r="D1329" s="161"/>
      <c r="E1329" s="161"/>
      <c r="F1329" s="161"/>
      <c r="G1329" s="161"/>
      <c r="H1329" s="161"/>
      <c r="I1329" s="44" t="s">
        <v>1468</v>
      </c>
      <c r="J1329" s="46" t="s">
        <v>1469</v>
      </c>
      <c r="K1329" s="222">
        <v>90511</v>
      </c>
      <c r="L1329" s="1134">
        <f>SUM(L1330)</f>
        <v>638823850</v>
      </c>
      <c r="M1329" s="222">
        <v>38641</v>
      </c>
      <c r="N1329" s="222">
        <f>N1330</f>
        <v>513472661</v>
      </c>
      <c r="O1329" s="222">
        <v>15666</v>
      </c>
      <c r="P1329" s="222">
        <f>SUM(P1330:P1334)</f>
        <v>1258188600</v>
      </c>
      <c r="Q1329" s="284">
        <v>0</v>
      </c>
      <c r="R1329" s="222">
        <f>SUM(R1330:R1334)</f>
        <v>28091722</v>
      </c>
      <c r="S1329" s="294">
        <v>0</v>
      </c>
      <c r="T1329" s="222">
        <f>SUM(T1330:T1334)</f>
        <v>144307455</v>
      </c>
      <c r="U1329" s="283">
        <v>0</v>
      </c>
      <c r="V1329" s="222">
        <f>SUM(V1330:V1334)</f>
        <v>0</v>
      </c>
      <c r="W1329" s="295">
        <v>0</v>
      </c>
      <c r="X1329" s="222">
        <f>SUM(X1330:X1334)</f>
        <v>0</v>
      </c>
      <c r="Y1329" s="290">
        <f t="shared" ref="Y1329:Y1364" si="396">Q1329+S1329+U1329+W1329</f>
        <v>0</v>
      </c>
      <c r="Z1329" s="222">
        <f>SUM(Z1330:Z1334)</f>
        <v>172399177</v>
      </c>
      <c r="AA1329" s="282">
        <f t="shared" ref="AA1329:AA1364" si="397">M1329+Y1329</f>
        <v>38641</v>
      </c>
      <c r="AB1329" s="222">
        <f>SUM(AB1330:AB1334)</f>
        <v>685871838</v>
      </c>
      <c r="AC1329" s="284">
        <f t="shared" si="395"/>
        <v>42.692048480295213</v>
      </c>
      <c r="AD1329" s="284">
        <f t="shared" si="392"/>
        <v>107.36478263922049</v>
      </c>
      <c r="AE1329" s="369" t="s">
        <v>152</v>
      </c>
      <c r="AF1329" s="750"/>
      <c r="AG1329" s="750"/>
      <c r="AH1329" s="750"/>
      <c r="AI1329" s="750"/>
      <c r="AJ1329" s="750"/>
      <c r="AK1329" s="750"/>
      <c r="AL1329" s="750"/>
      <c r="AM1329" s="750"/>
      <c r="AN1329" s="750"/>
      <c r="AO1329" s="750"/>
      <c r="AP1329" s="750"/>
      <c r="AQ1329" s="750"/>
      <c r="AR1329" s="750"/>
      <c r="AS1329" s="750"/>
      <c r="AT1329" s="750"/>
      <c r="AU1329" s="750"/>
      <c r="AV1329" s="750"/>
      <c r="AW1329" s="750"/>
      <c r="AX1329" s="750"/>
      <c r="AY1329" s="750"/>
      <c r="AZ1329" s="750"/>
      <c r="BA1329" s="750"/>
      <c r="BB1329" s="750"/>
      <c r="BC1329" s="750"/>
      <c r="BD1329" s="750"/>
      <c r="BE1329" s="750"/>
      <c r="BF1329" s="750"/>
      <c r="BG1329" s="750"/>
      <c r="BH1329" s="750"/>
      <c r="BI1329" s="750"/>
      <c r="BJ1329" s="750"/>
      <c r="BK1329" s="750"/>
      <c r="BL1329" s="750"/>
      <c r="BM1329" s="750"/>
      <c r="BN1329" s="750"/>
      <c r="BO1329" s="750"/>
      <c r="BP1329" s="750"/>
      <c r="BQ1329" s="750"/>
    </row>
    <row r="1330" spans="1:69" ht="66">
      <c r="A1330" s="304"/>
      <c r="B1330" s="11"/>
      <c r="C1330" s="239"/>
      <c r="D1330" s="239"/>
      <c r="E1330" s="239"/>
      <c r="F1330" s="239"/>
      <c r="G1330" s="239"/>
      <c r="H1330" s="239"/>
      <c r="I1330" s="232" t="s">
        <v>1470</v>
      </c>
      <c r="J1330" s="88" t="s">
        <v>1471</v>
      </c>
      <c r="K1330" s="12">
        <v>72</v>
      </c>
      <c r="L1330" s="13">
        <v>638823850</v>
      </c>
      <c r="M1330" s="12">
        <v>36</v>
      </c>
      <c r="N1330" s="236">
        <v>513472661</v>
      </c>
      <c r="O1330" s="203">
        <v>12</v>
      </c>
      <c r="P1330" s="125">
        <v>166034000</v>
      </c>
      <c r="Q1330" s="248">
        <v>3</v>
      </c>
      <c r="R1330" s="24">
        <v>18439472</v>
      </c>
      <c r="S1330" s="259">
        <v>3</v>
      </c>
      <c r="T1330" s="245">
        <v>56048015</v>
      </c>
      <c r="U1330" s="245">
        <v>0</v>
      </c>
      <c r="V1330" s="246">
        <v>0</v>
      </c>
      <c r="W1330" s="245">
        <v>0</v>
      </c>
      <c r="X1330" s="245">
        <v>0</v>
      </c>
      <c r="Y1330" s="247">
        <f t="shared" si="396"/>
        <v>6</v>
      </c>
      <c r="Z1330" s="246">
        <f>R1330+T1330+V1330+X1330</f>
        <v>74487487</v>
      </c>
      <c r="AA1330" s="248">
        <f t="shared" si="397"/>
        <v>42</v>
      </c>
      <c r="AB1330" s="246">
        <f>N1330+Z1330</f>
        <v>587960148</v>
      </c>
      <c r="AC1330" s="249">
        <f t="shared" si="395"/>
        <v>58.333333333333336</v>
      </c>
      <c r="AD1330" s="249">
        <f t="shared" si="392"/>
        <v>92.037914364030087</v>
      </c>
      <c r="AE1330" s="745"/>
      <c r="AF1330" s="750"/>
      <c r="AG1330" s="750"/>
      <c r="AH1330" s="750"/>
      <c r="AI1330" s="750"/>
      <c r="AJ1330" s="750"/>
      <c r="AK1330" s="750"/>
      <c r="AL1330" s="750"/>
      <c r="AM1330" s="750"/>
      <c r="AN1330" s="750"/>
      <c r="AO1330" s="750"/>
      <c r="AP1330" s="750"/>
      <c r="AQ1330" s="750"/>
      <c r="AR1330" s="750"/>
      <c r="AS1330" s="750"/>
      <c r="AT1330" s="750"/>
      <c r="AU1330" s="750"/>
      <c r="AV1330" s="750"/>
      <c r="AW1330" s="750"/>
      <c r="AX1330" s="750"/>
      <c r="AY1330" s="750"/>
      <c r="AZ1330" s="750"/>
      <c r="BA1330" s="750"/>
      <c r="BB1330" s="750"/>
      <c r="BC1330" s="750"/>
      <c r="BD1330" s="750"/>
      <c r="BE1330" s="750"/>
      <c r="BF1330" s="750"/>
      <c r="BG1330" s="750"/>
      <c r="BH1330" s="750"/>
      <c r="BI1330" s="750"/>
      <c r="BJ1330" s="750"/>
      <c r="BK1330" s="750"/>
      <c r="BL1330" s="750"/>
      <c r="BM1330" s="750"/>
      <c r="BN1330" s="750"/>
      <c r="BO1330" s="750"/>
      <c r="BP1330" s="750"/>
      <c r="BQ1330" s="750"/>
    </row>
    <row r="1331" spans="1:69" ht="66">
      <c r="A1331" s="304"/>
      <c r="B1331" s="11"/>
      <c r="C1331" s="239"/>
      <c r="D1331" s="239"/>
      <c r="E1331" s="239"/>
      <c r="F1331" s="239"/>
      <c r="G1331" s="239"/>
      <c r="H1331" s="239"/>
      <c r="I1331" s="232" t="s">
        <v>1472</v>
      </c>
      <c r="J1331" s="1314" t="s">
        <v>3095</v>
      </c>
      <c r="K1331" s="12">
        <v>4</v>
      </c>
      <c r="L1331" s="13">
        <v>2633078400</v>
      </c>
      <c r="M1331" s="12">
        <v>0</v>
      </c>
      <c r="N1331" s="236">
        <v>0</v>
      </c>
      <c r="O1331" s="203">
        <v>1</v>
      </c>
      <c r="P1331" s="125">
        <v>658269600</v>
      </c>
      <c r="Q1331" s="248">
        <v>0</v>
      </c>
      <c r="R1331" s="24">
        <v>0</v>
      </c>
      <c r="S1331" s="259">
        <v>0</v>
      </c>
      <c r="T1331" s="245">
        <v>60122300</v>
      </c>
      <c r="U1331" s="245">
        <v>0</v>
      </c>
      <c r="V1331" s="246">
        <v>0</v>
      </c>
      <c r="W1331" s="245">
        <v>0</v>
      </c>
      <c r="X1331" s="245">
        <v>0</v>
      </c>
      <c r="Y1331" s="247">
        <f t="shared" si="396"/>
        <v>0</v>
      </c>
      <c r="Z1331" s="246">
        <f>R1331+T1331+V1331+X1331</f>
        <v>60122300</v>
      </c>
      <c r="AA1331" s="248">
        <f t="shared" si="397"/>
        <v>0</v>
      </c>
      <c r="AB1331" s="246">
        <f>N1331+Z1331</f>
        <v>60122300</v>
      </c>
      <c r="AC1331" s="249">
        <f t="shared" si="395"/>
        <v>0</v>
      </c>
      <c r="AD1331" s="249">
        <f t="shared" si="392"/>
        <v>2.2833463675065659</v>
      </c>
      <c r="AE1331" s="745"/>
      <c r="AF1331" s="750"/>
      <c r="AG1331" s="750"/>
      <c r="AH1331" s="750"/>
      <c r="AI1331" s="750"/>
      <c r="AJ1331" s="750"/>
      <c r="AK1331" s="750"/>
      <c r="AL1331" s="750"/>
      <c r="AM1331" s="750"/>
      <c r="AN1331" s="750"/>
      <c r="AO1331" s="750"/>
      <c r="AP1331" s="750"/>
      <c r="AQ1331" s="750"/>
      <c r="AR1331" s="750"/>
      <c r="AS1331" s="750"/>
      <c r="AT1331" s="750"/>
      <c r="AU1331" s="750"/>
      <c r="AV1331" s="750"/>
      <c r="AW1331" s="750"/>
      <c r="AX1331" s="750"/>
      <c r="AY1331" s="750"/>
      <c r="AZ1331" s="750"/>
      <c r="BA1331" s="750"/>
      <c r="BB1331" s="750"/>
      <c r="BC1331" s="750"/>
      <c r="BD1331" s="750"/>
      <c r="BE1331" s="750"/>
      <c r="BF1331" s="750"/>
      <c r="BG1331" s="750"/>
      <c r="BH1331" s="750"/>
      <c r="BI1331" s="750"/>
      <c r="BJ1331" s="750"/>
      <c r="BK1331" s="750"/>
      <c r="BL1331" s="750"/>
      <c r="BM1331" s="750"/>
      <c r="BN1331" s="750"/>
      <c r="BO1331" s="750"/>
      <c r="BP1331" s="750"/>
      <c r="BQ1331" s="750"/>
    </row>
    <row r="1332" spans="1:69" ht="66">
      <c r="A1332" s="304"/>
      <c r="B1332" s="11"/>
      <c r="C1332" s="239"/>
      <c r="D1332" s="239"/>
      <c r="E1332" s="239"/>
      <c r="F1332" s="239"/>
      <c r="G1332" s="239"/>
      <c r="H1332" s="239"/>
      <c r="I1332" s="232" t="s">
        <v>3096</v>
      </c>
      <c r="J1332" s="45" t="s">
        <v>3097</v>
      </c>
      <c r="K1332" s="12">
        <v>36</v>
      </c>
      <c r="L1332" s="13">
        <f>3*P1332</f>
        <v>49650000</v>
      </c>
      <c r="M1332" s="12">
        <v>0</v>
      </c>
      <c r="N1332" s="236">
        <v>0</v>
      </c>
      <c r="O1332" s="203">
        <v>12</v>
      </c>
      <c r="P1332" s="125">
        <v>16550000</v>
      </c>
      <c r="Q1332" s="248">
        <v>3</v>
      </c>
      <c r="R1332" s="24">
        <v>3699000</v>
      </c>
      <c r="S1332" s="259">
        <v>3</v>
      </c>
      <c r="T1332" s="245">
        <v>653250</v>
      </c>
      <c r="U1332" s="245">
        <v>0</v>
      </c>
      <c r="V1332" s="246">
        <v>0</v>
      </c>
      <c r="W1332" s="245">
        <v>0</v>
      </c>
      <c r="X1332" s="245">
        <v>0</v>
      </c>
      <c r="Y1332" s="247">
        <f t="shared" si="396"/>
        <v>6</v>
      </c>
      <c r="Z1332" s="246">
        <f>R1332+T1332+V1332+X1332</f>
        <v>4352250</v>
      </c>
      <c r="AA1332" s="248">
        <f t="shared" si="397"/>
        <v>6</v>
      </c>
      <c r="AB1332" s="246">
        <f>N1332+Z1332</f>
        <v>4352250</v>
      </c>
      <c r="AC1332" s="249">
        <f t="shared" si="395"/>
        <v>16.666666666666664</v>
      </c>
      <c r="AD1332" s="249">
        <f t="shared" si="392"/>
        <v>8.765861027190331</v>
      </c>
      <c r="AE1332" s="745"/>
      <c r="AF1332" s="750"/>
      <c r="AG1332" s="750"/>
      <c r="AH1332" s="750"/>
      <c r="AI1332" s="750"/>
      <c r="AJ1332" s="750"/>
      <c r="AK1332" s="750"/>
      <c r="AL1332" s="750"/>
      <c r="AM1332" s="750"/>
      <c r="AN1332" s="750"/>
      <c r="AO1332" s="750"/>
      <c r="AP1332" s="750"/>
      <c r="AQ1332" s="750"/>
      <c r="AR1332" s="750"/>
      <c r="AS1332" s="750"/>
      <c r="AT1332" s="750"/>
      <c r="AU1332" s="750"/>
      <c r="AV1332" s="750"/>
      <c r="AW1332" s="750"/>
      <c r="AX1332" s="750"/>
      <c r="AY1332" s="750"/>
      <c r="AZ1332" s="750"/>
      <c r="BA1332" s="750"/>
      <c r="BB1332" s="750"/>
      <c r="BC1332" s="750"/>
      <c r="BD1332" s="750"/>
      <c r="BE1332" s="750"/>
      <c r="BF1332" s="750"/>
      <c r="BG1332" s="750"/>
      <c r="BH1332" s="750"/>
      <c r="BI1332" s="750"/>
      <c r="BJ1332" s="750"/>
      <c r="BK1332" s="750"/>
      <c r="BL1332" s="750"/>
      <c r="BM1332" s="750"/>
      <c r="BN1332" s="750"/>
      <c r="BO1332" s="750"/>
      <c r="BP1332" s="750"/>
      <c r="BQ1332" s="750"/>
    </row>
    <row r="1333" spans="1:69" ht="66">
      <c r="A1333" s="304"/>
      <c r="B1333" s="11"/>
      <c r="C1333" s="239"/>
      <c r="D1333" s="239"/>
      <c r="E1333" s="239"/>
      <c r="F1333" s="239"/>
      <c r="G1333" s="239"/>
      <c r="H1333" s="239"/>
      <c r="I1333" s="99" t="s">
        <v>3098</v>
      </c>
      <c r="J1333" s="88" t="s">
        <v>3099</v>
      </c>
      <c r="K1333" s="12">
        <v>18</v>
      </c>
      <c r="L1333" s="13">
        <v>1050000000</v>
      </c>
      <c r="M1333" s="12">
        <v>0</v>
      </c>
      <c r="N1333" s="237">
        <v>0</v>
      </c>
      <c r="O1333" s="125">
        <v>6</v>
      </c>
      <c r="P1333" s="125">
        <v>350000000</v>
      </c>
      <c r="Q1333" s="248">
        <v>0</v>
      </c>
      <c r="R1333" s="24">
        <v>0</v>
      </c>
      <c r="S1333" s="260">
        <v>0</v>
      </c>
      <c r="T1333" s="261">
        <v>6473750</v>
      </c>
      <c r="U1333" s="261">
        <v>0</v>
      </c>
      <c r="V1333" s="262">
        <v>0</v>
      </c>
      <c r="W1333" s="261">
        <v>0</v>
      </c>
      <c r="X1333" s="261">
        <v>0</v>
      </c>
      <c r="Y1333" s="244">
        <f t="shared" si="396"/>
        <v>0</v>
      </c>
      <c r="Z1333" s="262">
        <f>R1333+T1333+V1333+X1333</f>
        <v>6473750</v>
      </c>
      <c r="AA1333" s="248">
        <f t="shared" si="397"/>
        <v>0</v>
      </c>
      <c r="AB1333" s="262">
        <f>N1333+Z1333</f>
        <v>6473750</v>
      </c>
      <c r="AC1333" s="248">
        <f t="shared" si="395"/>
        <v>0</v>
      </c>
      <c r="AD1333" s="248">
        <f t="shared" si="392"/>
        <v>0.61654761904761912</v>
      </c>
      <c r="AE1333" s="745"/>
      <c r="AF1333" s="750"/>
      <c r="AG1333" s="750"/>
      <c r="AH1333" s="750"/>
      <c r="AI1333" s="750"/>
      <c r="AJ1333" s="750"/>
      <c r="AK1333" s="750"/>
      <c r="AL1333" s="750"/>
      <c r="AM1333" s="750"/>
      <c r="AN1333" s="750"/>
      <c r="AO1333" s="750"/>
      <c r="AP1333" s="750"/>
      <c r="AQ1333" s="750"/>
      <c r="AR1333" s="750"/>
      <c r="AS1333" s="750"/>
      <c r="AT1333" s="750"/>
      <c r="AU1333" s="750"/>
      <c r="AV1333" s="750"/>
      <c r="AW1333" s="750"/>
      <c r="AX1333" s="750"/>
      <c r="AY1333" s="750"/>
      <c r="AZ1333" s="750"/>
      <c r="BA1333" s="750"/>
      <c r="BB1333" s="750"/>
      <c r="BC1333" s="750"/>
      <c r="BD1333" s="750"/>
      <c r="BE1333" s="750"/>
      <c r="BF1333" s="750"/>
      <c r="BG1333" s="750"/>
      <c r="BH1333" s="750"/>
      <c r="BI1333" s="750"/>
      <c r="BJ1333" s="750"/>
      <c r="BK1333" s="750"/>
      <c r="BL1333" s="750"/>
      <c r="BM1333" s="750"/>
      <c r="BN1333" s="750"/>
      <c r="BO1333" s="750"/>
      <c r="BP1333" s="750"/>
      <c r="BQ1333" s="750"/>
    </row>
    <row r="1334" spans="1:69" ht="99">
      <c r="A1334" s="304"/>
      <c r="B1334" s="11"/>
      <c r="C1334" s="239"/>
      <c r="D1334" s="239"/>
      <c r="E1334" s="239"/>
      <c r="F1334" s="239"/>
      <c r="G1334" s="239"/>
      <c r="H1334" s="239"/>
      <c r="I1334" s="263" t="s">
        <v>1473</v>
      </c>
      <c r="J1334" s="88" t="s">
        <v>3100</v>
      </c>
      <c r="K1334" s="12">
        <v>36</v>
      </c>
      <c r="L1334" s="13">
        <f>3*P1334</f>
        <v>202005000</v>
      </c>
      <c r="M1334" s="12">
        <v>0</v>
      </c>
      <c r="N1334" s="236">
        <v>0</v>
      </c>
      <c r="O1334" s="203">
        <v>12</v>
      </c>
      <c r="P1334" s="125">
        <v>67335000</v>
      </c>
      <c r="Q1334" s="248">
        <v>3</v>
      </c>
      <c r="R1334" s="24">
        <v>5953250</v>
      </c>
      <c r="S1334" s="259">
        <v>3</v>
      </c>
      <c r="T1334" s="245">
        <v>21010140</v>
      </c>
      <c r="U1334" s="245">
        <v>0</v>
      </c>
      <c r="V1334" s="246">
        <v>0</v>
      </c>
      <c r="W1334" s="245">
        <v>0</v>
      </c>
      <c r="X1334" s="245">
        <v>0</v>
      </c>
      <c r="Y1334" s="247">
        <f t="shared" si="396"/>
        <v>6</v>
      </c>
      <c r="Z1334" s="246">
        <f>R1334+T1334+V1334+X1334</f>
        <v>26963390</v>
      </c>
      <c r="AA1334" s="248">
        <f t="shared" si="397"/>
        <v>6</v>
      </c>
      <c r="AB1334" s="246">
        <f>N1334+Z1334</f>
        <v>26963390</v>
      </c>
      <c r="AC1334" s="249">
        <f t="shared" si="395"/>
        <v>16.666666666666664</v>
      </c>
      <c r="AD1334" s="249">
        <f t="shared" si="392"/>
        <v>13.347882478156482</v>
      </c>
      <c r="AE1334" s="745"/>
      <c r="AF1334" s="750"/>
      <c r="AG1334" s="750"/>
      <c r="AH1334" s="750"/>
      <c r="AI1334" s="750"/>
      <c r="AJ1334" s="750"/>
      <c r="AK1334" s="750"/>
      <c r="AL1334" s="750"/>
      <c r="AM1334" s="750"/>
      <c r="AN1334" s="750"/>
      <c r="AO1334" s="750"/>
      <c r="AP1334" s="750"/>
      <c r="AQ1334" s="750"/>
      <c r="AR1334" s="750"/>
      <c r="AS1334" s="750"/>
      <c r="AT1334" s="750"/>
      <c r="AU1334" s="750"/>
      <c r="AV1334" s="750"/>
      <c r="AW1334" s="750"/>
      <c r="AX1334" s="750"/>
      <c r="AY1334" s="750"/>
      <c r="AZ1334" s="750"/>
      <c r="BA1334" s="750"/>
      <c r="BB1334" s="750"/>
      <c r="BC1334" s="750"/>
      <c r="BD1334" s="750"/>
      <c r="BE1334" s="750"/>
      <c r="BF1334" s="750"/>
      <c r="BG1334" s="750"/>
      <c r="BH1334" s="750"/>
      <c r="BI1334" s="750"/>
      <c r="BJ1334" s="750"/>
      <c r="BK1334" s="750"/>
      <c r="BL1334" s="750"/>
      <c r="BM1334" s="750"/>
      <c r="BN1334" s="750"/>
      <c r="BO1334" s="750"/>
      <c r="BP1334" s="750"/>
      <c r="BQ1334" s="750"/>
    </row>
    <row r="1335" spans="1:69" ht="55.5" customHeight="1">
      <c r="A1335" s="303">
        <v>5</v>
      </c>
      <c r="B1335" s="158"/>
      <c r="C1335" s="133"/>
      <c r="D1335" s="133"/>
      <c r="E1335" s="133"/>
      <c r="F1335" s="133"/>
      <c r="G1335" s="133"/>
      <c r="H1335" s="133"/>
      <c r="I1335" s="44" t="s">
        <v>1474</v>
      </c>
      <c r="J1335" s="46" t="s">
        <v>1475</v>
      </c>
      <c r="K1335" s="222">
        <v>291080</v>
      </c>
      <c r="L1335" s="222">
        <v>20229567550</v>
      </c>
      <c r="M1335" s="222">
        <v>109827</v>
      </c>
      <c r="N1335" s="281">
        <v>3167990120</v>
      </c>
      <c r="O1335" s="222">
        <v>41940</v>
      </c>
      <c r="P1335" s="222">
        <f>SUM(P1336:P1339)</f>
        <v>5508366200</v>
      </c>
      <c r="Q1335" s="284">
        <v>0</v>
      </c>
      <c r="R1335" s="222">
        <f>SUM(R1336:R1339)</f>
        <v>7704800</v>
      </c>
      <c r="S1335" s="294">
        <v>0</v>
      </c>
      <c r="T1335" s="222">
        <f>SUM(T1336:T1339)</f>
        <v>46152156</v>
      </c>
      <c r="U1335" s="283">
        <v>0</v>
      </c>
      <c r="V1335" s="222">
        <f>SUM(V1336:V1339)</f>
        <v>0</v>
      </c>
      <c r="W1335" s="283">
        <v>0</v>
      </c>
      <c r="X1335" s="222">
        <f>SUM(X1336:X1339)</f>
        <v>0</v>
      </c>
      <c r="Y1335" s="290">
        <f t="shared" si="396"/>
        <v>0</v>
      </c>
      <c r="Z1335" s="222">
        <f>SUM(Z1336:Z1339)</f>
        <v>38699206</v>
      </c>
      <c r="AA1335" s="282">
        <f t="shared" si="397"/>
        <v>109827</v>
      </c>
      <c r="AB1335" s="222">
        <f>SUM(AB1336:AB1339)</f>
        <v>6453903206</v>
      </c>
      <c r="AC1335" s="284">
        <f t="shared" si="395"/>
        <v>37.730864367184282</v>
      </c>
      <c r="AD1335" s="284">
        <f t="shared" si="392"/>
        <v>31.903317705869593</v>
      </c>
      <c r="AE1335" s="2554" t="s">
        <v>152</v>
      </c>
      <c r="AF1335" s="750"/>
      <c r="AG1335" s="750"/>
      <c r="AH1335" s="750"/>
      <c r="AI1335" s="750"/>
      <c r="AJ1335" s="750"/>
      <c r="AK1335" s="750"/>
      <c r="AL1335" s="750"/>
      <c r="AM1335" s="750"/>
      <c r="AN1335" s="750"/>
      <c r="AO1335" s="750"/>
      <c r="AP1335" s="750"/>
      <c r="AQ1335" s="750"/>
      <c r="AR1335" s="750"/>
      <c r="AS1335" s="750"/>
      <c r="AT1335" s="750"/>
      <c r="AU1335" s="750"/>
      <c r="AV1335" s="750"/>
      <c r="AW1335" s="750"/>
      <c r="AX1335" s="750"/>
      <c r="AY1335" s="750"/>
      <c r="AZ1335" s="750"/>
      <c r="BA1335" s="750"/>
      <c r="BB1335" s="750"/>
      <c r="BC1335" s="750"/>
      <c r="BD1335" s="750"/>
      <c r="BE1335" s="750"/>
      <c r="BF1335" s="750"/>
      <c r="BG1335" s="750"/>
      <c r="BH1335" s="750"/>
      <c r="BI1335" s="750"/>
      <c r="BJ1335" s="750"/>
      <c r="BK1335" s="750"/>
      <c r="BL1335" s="750"/>
      <c r="BM1335" s="750"/>
      <c r="BN1335" s="750"/>
      <c r="BO1335" s="750"/>
      <c r="BP1335" s="750"/>
      <c r="BQ1335" s="750"/>
    </row>
    <row r="1336" spans="1:69" ht="87" customHeight="1">
      <c r="A1336" s="304"/>
      <c r="B1336" s="11"/>
      <c r="C1336" s="239"/>
      <c r="D1336" s="239"/>
      <c r="E1336" s="239"/>
      <c r="F1336" s="239"/>
      <c r="G1336" s="239"/>
      <c r="H1336" s="239"/>
      <c r="I1336" s="263" t="s">
        <v>3101</v>
      </c>
      <c r="J1336" s="34" t="s">
        <v>3102</v>
      </c>
      <c r="K1336" s="203">
        <v>10</v>
      </c>
      <c r="L1336" s="14">
        <v>10149080000</v>
      </c>
      <c r="M1336" s="783">
        <v>7</v>
      </c>
      <c r="N1336" s="243">
        <v>3084913900</v>
      </c>
      <c r="O1336" s="111">
        <v>1</v>
      </c>
      <c r="P1336" s="125">
        <v>1065950400</v>
      </c>
      <c r="Q1336" s="264">
        <v>0</v>
      </c>
      <c r="R1336" s="24">
        <v>0</v>
      </c>
      <c r="S1336" s="24">
        <v>0</v>
      </c>
      <c r="T1336" s="24">
        <v>24218000</v>
      </c>
      <c r="U1336" s="24">
        <v>0</v>
      </c>
      <c r="V1336" s="265">
        <v>0</v>
      </c>
      <c r="W1336" s="24">
        <v>0</v>
      </c>
      <c r="X1336" s="24">
        <v>0</v>
      </c>
      <c r="Y1336" s="247">
        <f t="shared" si="396"/>
        <v>0</v>
      </c>
      <c r="Z1336" s="246">
        <f>R1336+T1336+V1336+X1336</f>
        <v>24218000</v>
      </c>
      <c r="AA1336" s="248">
        <f t="shared" si="397"/>
        <v>7</v>
      </c>
      <c r="AB1336" s="246">
        <f>N1336+Z1336</f>
        <v>3109131900</v>
      </c>
      <c r="AC1336" s="249">
        <f t="shared" si="395"/>
        <v>70</v>
      </c>
      <c r="AD1336" s="249">
        <f t="shared" si="392"/>
        <v>30.634618113168877</v>
      </c>
      <c r="AE1336" s="779"/>
      <c r="AF1336" s="750"/>
      <c r="AG1336" s="750"/>
      <c r="AH1336" s="750"/>
      <c r="AI1336" s="750"/>
      <c r="AJ1336" s="750"/>
      <c r="AK1336" s="750"/>
      <c r="AL1336" s="750"/>
      <c r="AM1336" s="750"/>
      <c r="AN1336" s="750"/>
      <c r="AO1336" s="750"/>
      <c r="AP1336" s="750"/>
      <c r="AQ1336" s="750"/>
      <c r="AR1336" s="750"/>
      <c r="AS1336" s="750"/>
      <c r="AT1336" s="750"/>
      <c r="AU1336" s="750"/>
      <c r="AV1336" s="750"/>
      <c r="AW1336" s="750"/>
      <c r="AX1336" s="750"/>
      <c r="AY1336" s="750"/>
      <c r="AZ1336" s="750"/>
      <c r="BA1336" s="750"/>
      <c r="BB1336" s="750"/>
      <c r="BC1336" s="750"/>
      <c r="BD1336" s="750"/>
      <c r="BE1336" s="750"/>
      <c r="BF1336" s="750"/>
      <c r="BG1336" s="750"/>
      <c r="BH1336" s="750"/>
      <c r="BI1336" s="750"/>
      <c r="BJ1336" s="750"/>
      <c r="BK1336" s="750"/>
      <c r="BL1336" s="750"/>
      <c r="BM1336" s="750"/>
      <c r="BN1336" s="750"/>
      <c r="BO1336" s="750"/>
      <c r="BP1336" s="750"/>
      <c r="BQ1336" s="750"/>
    </row>
    <row r="1337" spans="1:69" ht="82.5">
      <c r="A1337" s="304"/>
      <c r="B1337" s="11"/>
      <c r="C1337" s="239"/>
      <c r="D1337" s="239"/>
      <c r="E1337" s="239"/>
      <c r="F1337" s="239"/>
      <c r="G1337" s="239"/>
      <c r="H1337" s="239"/>
      <c r="I1337" s="263" t="s">
        <v>1476</v>
      </c>
      <c r="J1337" s="34" t="s">
        <v>3103</v>
      </c>
      <c r="K1337" s="203">
        <v>36</v>
      </c>
      <c r="L1337" s="14">
        <f>3*P1337</f>
        <v>77247000</v>
      </c>
      <c r="M1337" s="249">
        <v>0</v>
      </c>
      <c r="N1337" s="243">
        <v>0</v>
      </c>
      <c r="O1337" s="111">
        <v>12</v>
      </c>
      <c r="P1337" s="125">
        <v>25749000</v>
      </c>
      <c r="Q1337" s="249">
        <v>3</v>
      </c>
      <c r="R1337" s="24">
        <v>0</v>
      </c>
      <c r="S1337" s="24">
        <v>3</v>
      </c>
      <c r="T1337" s="24">
        <v>6776406</v>
      </c>
      <c r="U1337" s="24">
        <v>0</v>
      </c>
      <c r="V1337" s="265">
        <v>0</v>
      </c>
      <c r="W1337" s="24">
        <v>0</v>
      </c>
      <c r="X1337" s="24">
        <v>0</v>
      </c>
      <c r="Y1337" s="247">
        <f t="shared" si="396"/>
        <v>6</v>
      </c>
      <c r="Z1337" s="246">
        <f>R1337+T1337+V1337+X1337</f>
        <v>6776406</v>
      </c>
      <c r="AA1337" s="248">
        <f t="shared" si="397"/>
        <v>6</v>
      </c>
      <c r="AB1337" s="246">
        <f>N1337+Z1337</f>
        <v>6776406</v>
      </c>
      <c r="AC1337" s="249">
        <f t="shared" si="395"/>
        <v>16.666666666666664</v>
      </c>
      <c r="AD1337" s="249">
        <f t="shared" si="392"/>
        <v>8.7723872771758131</v>
      </c>
      <c r="AE1337" s="779"/>
      <c r="AF1337" s="750"/>
      <c r="AG1337" s="750"/>
      <c r="AH1337" s="750"/>
      <c r="AI1337" s="750"/>
      <c r="AJ1337" s="750"/>
      <c r="AK1337" s="750"/>
      <c r="AL1337" s="750"/>
      <c r="AM1337" s="750"/>
      <c r="AN1337" s="750"/>
      <c r="AO1337" s="750"/>
      <c r="AP1337" s="750"/>
      <c r="AQ1337" s="750"/>
      <c r="AR1337" s="750"/>
      <c r="AS1337" s="750"/>
      <c r="AT1337" s="750"/>
      <c r="AU1337" s="750"/>
      <c r="AV1337" s="750"/>
      <c r="AW1337" s="750"/>
      <c r="AX1337" s="750"/>
      <c r="AY1337" s="750"/>
      <c r="AZ1337" s="750"/>
      <c r="BA1337" s="750"/>
      <c r="BB1337" s="750"/>
      <c r="BC1337" s="750"/>
      <c r="BD1337" s="750"/>
      <c r="BE1337" s="750"/>
      <c r="BF1337" s="750"/>
      <c r="BG1337" s="750"/>
      <c r="BH1337" s="750"/>
      <c r="BI1337" s="750"/>
      <c r="BJ1337" s="750"/>
      <c r="BK1337" s="750"/>
      <c r="BL1337" s="750"/>
      <c r="BM1337" s="750"/>
      <c r="BN1337" s="750"/>
      <c r="BO1337" s="750"/>
      <c r="BP1337" s="750"/>
      <c r="BQ1337" s="750"/>
    </row>
    <row r="1338" spans="1:69" ht="49.5">
      <c r="A1338" s="304"/>
      <c r="B1338" s="11"/>
      <c r="C1338" s="239"/>
      <c r="D1338" s="239"/>
      <c r="E1338" s="239"/>
      <c r="F1338" s="239"/>
      <c r="G1338" s="239"/>
      <c r="H1338" s="239"/>
      <c r="I1338" s="232" t="s">
        <v>1477</v>
      </c>
      <c r="J1338" s="34" t="s">
        <v>1478</v>
      </c>
      <c r="K1338" s="203">
        <v>48</v>
      </c>
      <c r="L1338" s="14">
        <v>80000000</v>
      </c>
      <c r="M1338" s="243">
        <v>12</v>
      </c>
      <c r="N1338" s="243">
        <v>23406850</v>
      </c>
      <c r="O1338" s="203">
        <v>12</v>
      </c>
      <c r="P1338" s="125">
        <v>221320000</v>
      </c>
      <c r="Q1338" s="248">
        <v>3</v>
      </c>
      <c r="R1338" s="24">
        <v>400000</v>
      </c>
      <c r="S1338" s="266">
        <v>3</v>
      </c>
      <c r="T1338" s="24">
        <v>4160000</v>
      </c>
      <c r="U1338" s="24">
        <v>0</v>
      </c>
      <c r="V1338" s="265">
        <v>0</v>
      </c>
      <c r="W1338" s="24">
        <v>0</v>
      </c>
      <c r="X1338" s="24">
        <v>0</v>
      </c>
      <c r="Y1338" s="247">
        <f t="shared" si="396"/>
        <v>6</v>
      </c>
      <c r="Z1338" s="246">
        <f>R1338</f>
        <v>400000</v>
      </c>
      <c r="AA1338" s="248">
        <f t="shared" si="397"/>
        <v>18</v>
      </c>
      <c r="AB1338" s="246">
        <f>N1338+Z1338</f>
        <v>23806850</v>
      </c>
      <c r="AC1338" s="249">
        <f t="shared" si="395"/>
        <v>37.5</v>
      </c>
      <c r="AD1338" s="249">
        <f t="shared" si="392"/>
        <v>29.758562500000004</v>
      </c>
      <c r="AE1338" s="779"/>
      <c r="AF1338" s="750"/>
      <c r="AG1338" s="750"/>
      <c r="AH1338" s="750"/>
      <c r="AI1338" s="750"/>
      <c r="AJ1338" s="750"/>
      <c r="AK1338" s="750"/>
      <c r="AL1338" s="750"/>
      <c r="AM1338" s="750"/>
      <c r="AN1338" s="750"/>
      <c r="AO1338" s="750"/>
      <c r="AP1338" s="750"/>
      <c r="AQ1338" s="750"/>
      <c r="AR1338" s="750"/>
      <c r="AS1338" s="750"/>
      <c r="AT1338" s="750"/>
      <c r="AU1338" s="750"/>
      <c r="AV1338" s="750"/>
      <c r="AW1338" s="750"/>
      <c r="AX1338" s="750"/>
      <c r="AY1338" s="750"/>
      <c r="AZ1338" s="750"/>
      <c r="BA1338" s="750"/>
      <c r="BB1338" s="750"/>
      <c r="BC1338" s="750"/>
      <c r="BD1338" s="750"/>
      <c r="BE1338" s="750"/>
      <c r="BF1338" s="750"/>
      <c r="BG1338" s="750"/>
      <c r="BH1338" s="750"/>
      <c r="BI1338" s="750"/>
      <c r="BJ1338" s="750"/>
      <c r="BK1338" s="750"/>
      <c r="BL1338" s="750"/>
      <c r="BM1338" s="750"/>
      <c r="BN1338" s="750"/>
      <c r="BO1338" s="750"/>
      <c r="BP1338" s="750"/>
      <c r="BQ1338" s="750"/>
    </row>
    <row r="1339" spans="1:69" ht="66">
      <c r="A1339" s="304"/>
      <c r="B1339" s="11"/>
      <c r="C1339" s="239"/>
      <c r="D1339" s="239"/>
      <c r="E1339" s="239"/>
      <c r="F1339" s="239"/>
      <c r="G1339" s="239"/>
      <c r="H1339" s="239"/>
      <c r="I1339" s="99" t="s">
        <v>1479</v>
      </c>
      <c r="J1339" s="88" t="s">
        <v>3104</v>
      </c>
      <c r="K1339" s="203">
        <v>6</v>
      </c>
      <c r="L1339" s="14">
        <v>5124872250</v>
      </c>
      <c r="M1339" s="12">
        <v>3</v>
      </c>
      <c r="N1339" s="243">
        <v>3306883250</v>
      </c>
      <c r="O1339" s="125">
        <v>2</v>
      </c>
      <c r="P1339" s="125">
        <v>4195346800</v>
      </c>
      <c r="Q1339" s="248">
        <v>0</v>
      </c>
      <c r="R1339" s="24">
        <v>7304800</v>
      </c>
      <c r="S1339" s="24">
        <v>0</v>
      </c>
      <c r="T1339" s="24">
        <v>10997750</v>
      </c>
      <c r="U1339" s="24">
        <v>0</v>
      </c>
      <c r="V1339" s="265">
        <v>0</v>
      </c>
      <c r="W1339" s="24">
        <v>0</v>
      </c>
      <c r="X1339" s="24">
        <v>0</v>
      </c>
      <c r="Y1339" s="247">
        <f t="shared" si="396"/>
        <v>0</v>
      </c>
      <c r="Z1339" s="246">
        <f>R1339</f>
        <v>7304800</v>
      </c>
      <c r="AA1339" s="248">
        <f t="shared" si="397"/>
        <v>3</v>
      </c>
      <c r="AB1339" s="246">
        <f>N1339+Z1339</f>
        <v>3314188050</v>
      </c>
      <c r="AC1339" s="249">
        <f t="shared" si="395"/>
        <v>50</v>
      </c>
      <c r="AD1339" s="249">
        <f t="shared" si="392"/>
        <v>64.668695887980434</v>
      </c>
      <c r="AE1339" s="779"/>
      <c r="AF1339" s="750"/>
      <c r="AG1339" s="750"/>
      <c r="AH1339" s="750"/>
      <c r="AI1339" s="750"/>
      <c r="AJ1339" s="750"/>
      <c r="AK1339" s="750"/>
      <c r="AL1339" s="750"/>
      <c r="AM1339" s="750"/>
      <c r="AN1339" s="750"/>
      <c r="AO1339" s="750"/>
      <c r="AP1339" s="750"/>
      <c r="AQ1339" s="750"/>
      <c r="AR1339" s="750"/>
      <c r="AS1339" s="750"/>
      <c r="AT1339" s="750"/>
      <c r="AU1339" s="750"/>
      <c r="AV1339" s="750"/>
      <c r="AW1339" s="750"/>
      <c r="AX1339" s="750"/>
      <c r="AY1339" s="750"/>
      <c r="AZ1339" s="750"/>
      <c r="BA1339" s="750"/>
      <c r="BB1339" s="750"/>
      <c r="BC1339" s="750"/>
      <c r="BD1339" s="750"/>
      <c r="BE1339" s="750"/>
      <c r="BF1339" s="750"/>
      <c r="BG1339" s="750"/>
      <c r="BH1339" s="750"/>
      <c r="BI1339" s="750"/>
      <c r="BJ1339" s="750"/>
      <c r="BK1339" s="750"/>
      <c r="BL1339" s="750"/>
      <c r="BM1339" s="750"/>
      <c r="BN1339" s="750"/>
      <c r="BO1339" s="750"/>
      <c r="BP1339" s="750"/>
      <c r="BQ1339" s="750"/>
    </row>
    <row r="1340" spans="1:69" ht="87.75" customHeight="1">
      <c r="A1340" s="303">
        <v>6</v>
      </c>
      <c r="B1340" s="40"/>
      <c r="C1340" s="161"/>
      <c r="D1340" s="161"/>
      <c r="E1340" s="161"/>
      <c r="F1340" s="161"/>
      <c r="G1340" s="161"/>
      <c r="H1340" s="161"/>
      <c r="I1340" s="296" t="s">
        <v>1468</v>
      </c>
      <c r="J1340" s="46" t="s">
        <v>1480</v>
      </c>
      <c r="K1340" s="281">
        <v>192</v>
      </c>
      <c r="L1340" s="281">
        <f>SUM(L1341)</f>
        <v>256427940</v>
      </c>
      <c r="M1340" s="146">
        <v>50</v>
      </c>
      <c r="N1340" s="281">
        <f>N1341</f>
        <v>85475980</v>
      </c>
      <c r="O1340" s="281">
        <v>62</v>
      </c>
      <c r="P1340" s="222">
        <f>SUM(P1341:P1342)</f>
        <v>111532000</v>
      </c>
      <c r="Q1340" s="222">
        <f t="shared" ref="Q1340:W1340" si="398">SUM(Q1341)</f>
        <v>0</v>
      </c>
      <c r="R1340" s="222">
        <f>SUM(R1341:R1342)</f>
        <v>3369000</v>
      </c>
      <c r="S1340" s="222">
        <f t="shared" si="398"/>
        <v>2</v>
      </c>
      <c r="T1340" s="222">
        <f>SUM(T1341:T1342)</f>
        <v>18310150</v>
      </c>
      <c r="U1340" s="222">
        <f t="shared" si="398"/>
        <v>0</v>
      </c>
      <c r="V1340" s="222">
        <f>SUM(V1341:V1342)</f>
        <v>0</v>
      </c>
      <c r="W1340" s="222">
        <f t="shared" si="398"/>
        <v>0</v>
      </c>
      <c r="X1340" s="222">
        <f>SUM(X1341:X1342)</f>
        <v>0</v>
      </c>
      <c r="Y1340" s="290">
        <f t="shared" si="396"/>
        <v>2</v>
      </c>
      <c r="Z1340" s="222">
        <f>SUM(Z1341:Z1342)</f>
        <v>3369000</v>
      </c>
      <c r="AA1340" s="284">
        <f t="shared" si="397"/>
        <v>52</v>
      </c>
      <c r="AB1340" s="222">
        <f>SUM(AB1341:AB1342)</f>
        <v>88844980</v>
      </c>
      <c r="AC1340" s="284">
        <f t="shared" si="395"/>
        <v>27.083333333333332</v>
      </c>
      <c r="AD1340" s="284">
        <f t="shared" si="392"/>
        <v>34.647152724465201</v>
      </c>
      <c r="AE1340" s="2554" t="s">
        <v>152</v>
      </c>
      <c r="AF1340" s="750"/>
      <c r="AG1340" s="750"/>
      <c r="AH1340" s="750"/>
      <c r="AI1340" s="750"/>
      <c r="AJ1340" s="750"/>
      <c r="AK1340" s="750"/>
      <c r="AL1340" s="750"/>
      <c r="AM1340" s="750"/>
      <c r="AN1340" s="750"/>
      <c r="AO1340" s="750"/>
      <c r="AP1340" s="750"/>
      <c r="AQ1340" s="750"/>
      <c r="AR1340" s="750"/>
      <c r="AS1340" s="750"/>
      <c r="AT1340" s="750"/>
      <c r="AU1340" s="750"/>
      <c r="AV1340" s="750"/>
      <c r="AW1340" s="750"/>
      <c r="AX1340" s="750"/>
      <c r="AY1340" s="750"/>
      <c r="AZ1340" s="750"/>
      <c r="BA1340" s="750"/>
      <c r="BB1340" s="750"/>
      <c r="BC1340" s="750"/>
      <c r="BD1340" s="750"/>
      <c r="BE1340" s="750"/>
      <c r="BF1340" s="750"/>
      <c r="BG1340" s="750"/>
      <c r="BH1340" s="750"/>
      <c r="BI1340" s="750"/>
      <c r="BJ1340" s="750"/>
      <c r="BK1340" s="750"/>
      <c r="BL1340" s="750"/>
      <c r="BM1340" s="750"/>
      <c r="BN1340" s="750"/>
      <c r="BO1340" s="750"/>
      <c r="BP1340" s="750"/>
      <c r="BQ1340" s="750"/>
    </row>
    <row r="1341" spans="1:69" ht="72" customHeight="1">
      <c r="A1341" s="304"/>
      <c r="B1341" s="17"/>
      <c r="C1341" s="239"/>
      <c r="D1341" s="239"/>
      <c r="E1341" s="239"/>
      <c r="F1341" s="239"/>
      <c r="G1341" s="239"/>
      <c r="H1341" s="239"/>
      <c r="I1341" s="267" t="s">
        <v>1481</v>
      </c>
      <c r="J1341" s="88" t="s">
        <v>1482</v>
      </c>
      <c r="K1341" s="12">
        <v>45</v>
      </c>
      <c r="L1341" s="13">
        <f>3*N1341</f>
        <v>256427940</v>
      </c>
      <c r="M1341" s="12">
        <v>25</v>
      </c>
      <c r="N1341" s="14">
        <v>85475980</v>
      </c>
      <c r="O1341" s="125">
        <v>10</v>
      </c>
      <c r="P1341" s="125">
        <v>62550000</v>
      </c>
      <c r="Q1341" s="264">
        <v>0</v>
      </c>
      <c r="R1341" s="24">
        <v>3369000</v>
      </c>
      <c r="S1341" s="245">
        <v>2</v>
      </c>
      <c r="T1341" s="245">
        <v>16937450</v>
      </c>
      <c r="U1341" s="245"/>
      <c r="V1341" s="246"/>
      <c r="W1341" s="245"/>
      <c r="X1341" s="245"/>
      <c r="Y1341" s="247">
        <f t="shared" si="396"/>
        <v>2</v>
      </c>
      <c r="Z1341" s="246">
        <f>R1341</f>
        <v>3369000</v>
      </c>
      <c r="AA1341" s="248">
        <f t="shared" si="397"/>
        <v>27</v>
      </c>
      <c r="AB1341" s="246">
        <f>N1341+Z1341</f>
        <v>88844980</v>
      </c>
      <c r="AC1341" s="249">
        <f t="shared" si="395"/>
        <v>60</v>
      </c>
      <c r="AD1341" s="249">
        <f t="shared" si="392"/>
        <v>34.647152724465201</v>
      </c>
      <c r="AE1341" s="102"/>
      <c r="AF1341" s="750"/>
      <c r="AG1341" s="750"/>
      <c r="AH1341" s="750"/>
      <c r="AI1341" s="750"/>
      <c r="AJ1341" s="750"/>
      <c r="AK1341" s="750"/>
      <c r="AL1341" s="750"/>
      <c r="AM1341" s="750"/>
      <c r="AN1341" s="750"/>
      <c r="AO1341" s="750"/>
      <c r="AP1341" s="750"/>
      <c r="AQ1341" s="750"/>
      <c r="AR1341" s="750"/>
      <c r="AS1341" s="750"/>
      <c r="AT1341" s="750"/>
      <c r="AU1341" s="750"/>
      <c r="AV1341" s="750"/>
      <c r="AW1341" s="750"/>
      <c r="AX1341" s="750"/>
      <c r="AY1341" s="750"/>
      <c r="AZ1341" s="750"/>
      <c r="BA1341" s="750"/>
      <c r="BB1341" s="750"/>
      <c r="BC1341" s="750"/>
      <c r="BD1341" s="750"/>
      <c r="BE1341" s="750"/>
      <c r="BF1341" s="750"/>
      <c r="BG1341" s="750"/>
      <c r="BH1341" s="750"/>
      <c r="BI1341" s="750"/>
      <c r="BJ1341" s="750"/>
      <c r="BK1341" s="750"/>
      <c r="BL1341" s="750"/>
      <c r="BM1341" s="750"/>
      <c r="BN1341" s="750"/>
      <c r="BO1341" s="750"/>
      <c r="BP1341" s="750"/>
      <c r="BQ1341" s="750"/>
    </row>
    <row r="1342" spans="1:69" ht="66">
      <c r="A1342" s="304"/>
      <c r="B1342" s="17"/>
      <c r="C1342" s="239"/>
      <c r="D1342" s="239"/>
      <c r="E1342" s="239"/>
      <c r="F1342" s="239"/>
      <c r="G1342" s="239"/>
      <c r="H1342" s="239"/>
      <c r="I1342" s="267" t="s">
        <v>1483</v>
      </c>
      <c r="J1342" s="34" t="s">
        <v>1484</v>
      </c>
      <c r="K1342" s="12">
        <v>180</v>
      </c>
      <c r="L1342" s="13">
        <f>3*P1342</f>
        <v>146946000</v>
      </c>
      <c r="M1342" s="12">
        <v>0</v>
      </c>
      <c r="N1342" s="14">
        <v>0</v>
      </c>
      <c r="O1342" s="125">
        <v>70</v>
      </c>
      <c r="P1342" s="125">
        <v>48982000</v>
      </c>
      <c r="Q1342" s="264">
        <v>0</v>
      </c>
      <c r="R1342" s="24">
        <v>0</v>
      </c>
      <c r="S1342" s="245">
        <v>0</v>
      </c>
      <c r="T1342" s="245">
        <v>1372700</v>
      </c>
      <c r="U1342" s="245"/>
      <c r="V1342" s="246"/>
      <c r="W1342" s="245"/>
      <c r="X1342" s="245"/>
      <c r="Y1342" s="247">
        <f t="shared" si="396"/>
        <v>0</v>
      </c>
      <c r="Z1342" s="246"/>
      <c r="AA1342" s="248">
        <f t="shared" si="397"/>
        <v>0</v>
      </c>
      <c r="AB1342" s="246">
        <f>N1342+Z1342</f>
        <v>0</v>
      </c>
      <c r="AC1342" s="249">
        <f t="shared" si="395"/>
        <v>0</v>
      </c>
      <c r="AD1342" s="249">
        <f t="shared" si="392"/>
        <v>0</v>
      </c>
      <c r="AE1342" s="102"/>
      <c r="AF1342" s="750"/>
      <c r="AG1342" s="750"/>
      <c r="AH1342" s="750"/>
      <c r="AI1342" s="750"/>
      <c r="AJ1342" s="750"/>
      <c r="AK1342" s="750"/>
      <c r="AL1342" s="750"/>
      <c r="AM1342" s="750"/>
      <c r="AN1342" s="750"/>
      <c r="AO1342" s="750"/>
      <c r="AP1342" s="750"/>
      <c r="AQ1342" s="750"/>
      <c r="AR1342" s="750"/>
      <c r="AS1342" s="750"/>
      <c r="AT1342" s="750"/>
      <c r="AU1342" s="750"/>
      <c r="AV1342" s="750"/>
      <c r="AW1342" s="750"/>
      <c r="AX1342" s="750"/>
      <c r="AY1342" s="750"/>
      <c r="AZ1342" s="750"/>
      <c r="BA1342" s="750"/>
      <c r="BB1342" s="750"/>
      <c r="BC1342" s="750"/>
      <c r="BD1342" s="750"/>
      <c r="BE1342" s="750"/>
      <c r="BF1342" s="750"/>
      <c r="BG1342" s="750"/>
      <c r="BH1342" s="750"/>
      <c r="BI1342" s="750"/>
      <c r="BJ1342" s="750"/>
      <c r="BK1342" s="750"/>
      <c r="BL1342" s="750"/>
      <c r="BM1342" s="750"/>
      <c r="BN1342" s="750"/>
      <c r="BO1342" s="750"/>
      <c r="BP1342" s="750"/>
      <c r="BQ1342" s="750"/>
    </row>
    <row r="1343" spans="1:69" ht="66">
      <c r="A1343" s="303">
        <v>7</v>
      </c>
      <c r="B1343" s="40"/>
      <c r="C1343" s="161"/>
      <c r="D1343" s="161"/>
      <c r="E1343" s="161"/>
      <c r="F1343" s="161"/>
      <c r="G1343" s="161"/>
      <c r="H1343" s="161"/>
      <c r="I1343" s="297" t="s">
        <v>1468</v>
      </c>
      <c r="J1343" s="33" t="s">
        <v>1485</v>
      </c>
      <c r="K1343" s="160">
        <v>33</v>
      </c>
      <c r="L1343" s="160">
        <f>SUM(L1344:L1345)</f>
        <v>921557650</v>
      </c>
      <c r="M1343" s="538">
        <v>8</v>
      </c>
      <c r="N1343" s="160">
        <v>167756100</v>
      </c>
      <c r="O1343" s="160">
        <v>6</v>
      </c>
      <c r="P1343" s="230">
        <f>SUM(P1344:P1345)</f>
        <v>71085000</v>
      </c>
      <c r="Q1343" s="230">
        <f t="shared" ref="Q1343:W1343" si="399">SUM(Q1344:Q1345)</f>
        <v>0</v>
      </c>
      <c r="R1343" s="230">
        <f>SUM(R1344:R1345)</f>
        <v>5782220</v>
      </c>
      <c r="S1343" s="230">
        <f t="shared" si="399"/>
        <v>33</v>
      </c>
      <c r="T1343" s="230">
        <f>SUM(T1344:T1345)</f>
        <v>14739750</v>
      </c>
      <c r="U1343" s="230">
        <f t="shared" si="399"/>
        <v>0</v>
      </c>
      <c r="V1343" s="230">
        <f>SUM(V1344:V1345)</f>
        <v>0</v>
      </c>
      <c r="W1343" s="230">
        <f t="shared" si="399"/>
        <v>0</v>
      </c>
      <c r="X1343" s="230">
        <f>SUM(X1344:X1345)</f>
        <v>0</v>
      </c>
      <c r="Y1343" s="290">
        <f t="shared" si="396"/>
        <v>33</v>
      </c>
      <c r="Z1343" s="230">
        <f>SUM(Z1344:Z1345)</f>
        <v>5782220</v>
      </c>
      <c r="AA1343" s="292">
        <f t="shared" si="397"/>
        <v>41</v>
      </c>
      <c r="AB1343" s="230">
        <f>SUM(AB1344:AB1345)</f>
        <v>173538330</v>
      </c>
      <c r="AC1343" s="292">
        <f t="shared" si="395"/>
        <v>124.24242424242425</v>
      </c>
      <c r="AD1343" s="292">
        <f t="shared" si="392"/>
        <v>18.830979266462602</v>
      </c>
      <c r="AE1343" s="2558" t="s">
        <v>152</v>
      </c>
      <c r="AF1343" s="750"/>
      <c r="AG1343" s="750"/>
      <c r="AH1343" s="750"/>
      <c r="AI1343" s="750"/>
      <c r="AJ1343" s="750"/>
      <c r="AK1343" s="750"/>
      <c r="AL1343" s="750"/>
      <c r="AM1343" s="750"/>
      <c r="AN1343" s="750"/>
      <c r="AO1343" s="750"/>
      <c r="AP1343" s="750"/>
      <c r="AQ1343" s="750"/>
      <c r="AR1343" s="750"/>
      <c r="AS1343" s="750"/>
      <c r="AT1343" s="750"/>
      <c r="AU1343" s="750"/>
      <c r="AV1343" s="750"/>
      <c r="AW1343" s="750"/>
      <c r="AX1343" s="750"/>
      <c r="AY1343" s="750"/>
      <c r="AZ1343" s="750"/>
      <c r="BA1343" s="750"/>
      <c r="BB1343" s="750"/>
      <c r="BC1343" s="750"/>
      <c r="BD1343" s="750"/>
      <c r="BE1343" s="750"/>
      <c r="BF1343" s="750"/>
      <c r="BG1343" s="750"/>
      <c r="BH1343" s="750"/>
      <c r="BI1343" s="750"/>
      <c r="BJ1343" s="750"/>
      <c r="BK1343" s="750"/>
      <c r="BL1343" s="750"/>
      <c r="BM1343" s="750"/>
      <c r="BN1343" s="750"/>
      <c r="BO1343" s="750"/>
      <c r="BP1343" s="750"/>
      <c r="BQ1343" s="750"/>
    </row>
    <row r="1344" spans="1:69" ht="49.5">
      <c r="A1344" s="304"/>
      <c r="B1344" s="268"/>
      <c r="C1344" s="269"/>
      <c r="D1344" s="269"/>
      <c r="E1344" s="269"/>
      <c r="F1344" s="269"/>
      <c r="G1344" s="269"/>
      <c r="H1344" s="269"/>
      <c r="I1344" s="270" t="s">
        <v>1486</v>
      </c>
      <c r="J1344" s="88" t="s">
        <v>1487</v>
      </c>
      <c r="K1344" s="12">
        <v>90</v>
      </c>
      <c r="L1344" s="13">
        <v>223936450</v>
      </c>
      <c r="M1344" s="12">
        <v>23</v>
      </c>
      <c r="N1344" s="271">
        <v>74410250</v>
      </c>
      <c r="O1344" s="125">
        <v>15</v>
      </c>
      <c r="P1344" s="125">
        <v>23010000</v>
      </c>
      <c r="Q1344" s="264">
        <v>0</v>
      </c>
      <c r="R1344" s="24">
        <v>942000</v>
      </c>
      <c r="S1344" s="24">
        <v>8</v>
      </c>
      <c r="T1344" s="611">
        <v>5684000</v>
      </c>
      <c r="U1344" s="24"/>
      <c r="V1344" s="265"/>
      <c r="W1344" s="24"/>
      <c r="X1344" s="24"/>
      <c r="Y1344" s="247">
        <f t="shared" si="396"/>
        <v>8</v>
      </c>
      <c r="Z1344" s="246">
        <f>R1344</f>
        <v>942000</v>
      </c>
      <c r="AA1344" s="248">
        <f t="shared" si="397"/>
        <v>31</v>
      </c>
      <c r="AB1344" s="246">
        <f>N1344+Z1344</f>
        <v>75352250</v>
      </c>
      <c r="AC1344" s="249">
        <f t="shared" si="395"/>
        <v>34.444444444444443</v>
      </c>
      <c r="AD1344" s="249">
        <f t="shared" si="392"/>
        <v>33.64894370702045</v>
      </c>
      <c r="AE1344" s="779"/>
      <c r="AF1344" s="750"/>
      <c r="AG1344" s="750"/>
      <c r="AH1344" s="750"/>
      <c r="AI1344" s="750"/>
      <c r="AJ1344" s="750"/>
      <c r="AK1344" s="750"/>
      <c r="AL1344" s="750"/>
      <c r="AM1344" s="750"/>
      <c r="AN1344" s="750"/>
      <c r="AO1344" s="750"/>
      <c r="AP1344" s="750"/>
      <c r="AQ1344" s="750"/>
      <c r="AR1344" s="750"/>
      <c r="AS1344" s="750"/>
      <c r="AT1344" s="750"/>
      <c r="AU1344" s="750"/>
      <c r="AV1344" s="750"/>
      <c r="AW1344" s="750"/>
      <c r="AX1344" s="750"/>
      <c r="AY1344" s="750"/>
      <c r="AZ1344" s="750"/>
      <c r="BA1344" s="750"/>
      <c r="BB1344" s="750"/>
      <c r="BC1344" s="750"/>
      <c r="BD1344" s="750"/>
      <c r="BE1344" s="750"/>
      <c r="BF1344" s="750"/>
      <c r="BG1344" s="750"/>
      <c r="BH1344" s="750"/>
      <c r="BI1344" s="750"/>
      <c r="BJ1344" s="750"/>
      <c r="BK1344" s="750"/>
      <c r="BL1344" s="750"/>
      <c r="BM1344" s="750"/>
      <c r="BN1344" s="750"/>
      <c r="BO1344" s="750"/>
      <c r="BP1344" s="750"/>
      <c r="BQ1344" s="750"/>
    </row>
    <row r="1345" spans="1:69" ht="82.5">
      <c r="A1345" s="304"/>
      <c r="B1345" s="268"/>
      <c r="C1345" s="269"/>
      <c r="D1345" s="269"/>
      <c r="E1345" s="269"/>
      <c r="F1345" s="269"/>
      <c r="G1345" s="269"/>
      <c r="H1345" s="269"/>
      <c r="I1345" s="270" t="s">
        <v>1488</v>
      </c>
      <c r="J1345" s="88" t="s">
        <v>3105</v>
      </c>
      <c r="K1345" s="12">
        <v>400</v>
      </c>
      <c r="L1345" s="13">
        <v>697621200</v>
      </c>
      <c r="M1345" s="12">
        <v>24</v>
      </c>
      <c r="N1345" s="271">
        <v>93345860</v>
      </c>
      <c r="O1345" s="125">
        <v>80</v>
      </c>
      <c r="P1345" s="125">
        <v>48075000</v>
      </c>
      <c r="Q1345" s="264"/>
      <c r="R1345" s="24">
        <v>4840220</v>
      </c>
      <c r="S1345" s="272">
        <v>25</v>
      </c>
      <c r="T1345" s="24">
        <v>9055750</v>
      </c>
      <c r="U1345" s="272"/>
      <c r="V1345" s="265"/>
      <c r="W1345" s="273"/>
      <c r="X1345" s="24"/>
      <c r="Y1345" s="247">
        <f t="shared" si="396"/>
        <v>25</v>
      </c>
      <c r="Z1345" s="246">
        <f>R1345</f>
        <v>4840220</v>
      </c>
      <c r="AA1345" s="248">
        <f t="shared" si="397"/>
        <v>49</v>
      </c>
      <c r="AB1345" s="246">
        <f>N1345+Z1345</f>
        <v>98186080</v>
      </c>
      <c r="AC1345" s="249">
        <f t="shared" si="395"/>
        <v>12.25</v>
      </c>
      <c r="AD1345" s="249">
        <f t="shared" si="392"/>
        <v>14.074411729460056</v>
      </c>
      <c r="AE1345" s="779"/>
      <c r="AF1345" s="750"/>
      <c r="AG1345" s="750"/>
      <c r="AH1345" s="750"/>
      <c r="AI1345" s="750"/>
      <c r="AJ1345" s="750"/>
      <c r="AK1345" s="750"/>
      <c r="AL1345" s="750"/>
      <c r="AM1345" s="750"/>
      <c r="AN1345" s="750"/>
      <c r="AO1345" s="750"/>
      <c r="AP1345" s="750"/>
      <c r="AQ1345" s="750"/>
      <c r="AR1345" s="750"/>
      <c r="AS1345" s="750"/>
      <c r="AT1345" s="750"/>
      <c r="AU1345" s="750"/>
      <c r="AV1345" s="750"/>
      <c r="AW1345" s="750"/>
      <c r="AX1345" s="750"/>
      <c r="AY1345" s="750"/>
      <c r="AZ1345" s="750"/>
      <c r="BA1345" s="750"/>
      <c r="BB1345" s="750"/>
      <c r="BC1345" s="750"/>
      <c r="BD1345" s="750"/>
      <c r="BE1345" s="750"/>
      <c r="BF1345" s="750"/>
      <c r="BG1345" s="750"/>
      <c r="BH1345" s="750"/>
      <c r="BI1345" s="750"/>
      <c r="BJ1345" s="750"/>
      <c r="BK1345" s="750"/>
      <c r="BL1345" s="750"/>
      <c r="BM1345" s="750"/>
      <c r="BN1345" s="750"/>
      <c r="BO1345" s="750"/>
      <c r="BP1345" s="750"/>
      <c r="BQ1345" s="750"/>
    </row>
    <row r="1346" spans="1:69" ht="82.5">
      <c r="A1346" s="303">
        <v>8</v>
      </c>
      <c r="B1346" s="298"/>
      <c r="C1346" s="299"/>
      <c r="D1346" s="299"/>
      <c r="E1346" s="299"/>
      <c r="F1346" s="299"/>
      <c r="G1346" s="299"/>
      <c r="H1346" s="299"/>
      <c r="I1346" s="296" t="s">
        <v>1468</v>
      </c>
      <c r="J1346" s="44" t="s">
        <v>1489</v>
      </c>
      <c r="K1346" s="146">
        <v>460</v>
      </c>
      <c r="L1346" s="222">
        <f>SUM(L1347:L1347)</f>
        <v>358548000</v>
      </c>
      <c r="M1346" s="146">
        <v>94</v>
      </c>
      <c r="N1346" s="281">
        <v>137352213</v>
      </c>
      <c r="O1346" s="222">
        <v>80</v>
      </c>
      <c r="P1346" s="222">
        <f>SUM(P1347:P1347)</f>
        <v>48831000</v>
      </c>
      <c r="Q1346" s="222">
        <f t="shared" ref="Q1346:W1346" si="400">SUM(Q1347:Q1347)</f>
        <v>3</v>
      </c>
      <c r="R1346" s="222">
        <f>SUM(R1347:R1347)</f>
        <v>5675000</v>
      </c>
      <c r="S1346" s="222">
        <f t="shared" si="400"/>
        <v>3</v>
      </c>
      <c r="T1346" s="222">
        <f>SUM(T1347:T1347)</f>
        <v>6766400</v>
      </c>
      <c r="U1346" s="222">
        <f t="shared" si="400"/>
        <v>0</v>
      </c>
      <c r="V1346" s="222">
        <f>SUM(V1347:V1347)</f>
        <v>0</v>
      </c>
      <c r="W1346" s="222">
        <f t="shared" si="400"/>
        <v>0</v>
      </c>
      <c r="X1346" s="222">
        <f>SUM(X1347:X1347)</f>
        <v>0</v>
      </c>
      <c r="Y1346" s="290">
        <f t="shared" si="396"/>
        <v>6</v>
      </c>
      <c r="Z1346" s="222">
        <f>SUM(Z1347:Z1347)</f>
        <v>5675000</v>
      </c>
      <c r="AA1346" s="292">
        <f t="shared" si="397"/>
        <v>100</v>
      </c>
      <c r="AB1346" s="222">
        <f>SUM(AB1347:AB1347)</f>
        <v>143027213</v>
      </c>
      <c r="AC1346" s="284">
        <f t="shared" si="395"/>
        <v>21.739130434782609</v>
      </c>
      <c r="AD1346" s="300">
        <f t="shared" si="392"/>
        <v>39.890673773107089</v>
      </c>
      <c r="AE1346" s="2558" t="s">
        <v>152</v>
      </c>
      <c r="AF1346" s="750"/>
      <c r="AG1346" s="750"/>
      <c r="AH1346" s="750"/>
      <c r="AI1346" s="750"/>
      <c r="AJ1346" s="750"/>
      <c r="AK1346" s="750"/>
      <c r="AL1346" s="750"/>
      <c r="AM1346" s="750"/>
      <c r="AN1346" s="750"/>
      <c r="AO1346" s="750"/>
      <c r="AP1346" s="750"/>
      <c r="AQ1346" s="750"/>
      <c r="AR1346" s="750"/>
      <c r="AS1346" s="750"/>
      <c r="AT1346" s="750"/>
      <c r="AU1346" s="750"/>
      <c r="AV1346" s="750"/>
      <c r="AW1346" s="750"/>
      <c r="AX1346" s="750"/>
      <c r="AY1346" s="750"/>
      <c r="AZ1346" s="750"/>
      <c r="BA1346" s="750"/>
      <c r="BB1346" s="750"/>
      <c r="BC1346" s="750"/>
      <c r="BD1346" s="750"/>
      <c r="BE1346" s="750"/>
      <c r="BF1346" s="750"/>
      <c r="BG1346" s="750"/>
      <c r="BH1346" s="750"/>
      <c r="BI1346" s="750"/>
      <c r="BJ1346" s="750"/>
      <c r="BK1346" s="750"/>
      <c r="BL1346" s="750"/>
      <c r="BM1346" s="750"/>
      <c r="BN1346" s="750"/>
      <c r="BO1346" s="750"/>
      <c r="BP1346" s="750"/>
      <c r="BQ1346" s="750"/>
    </row>
    <row r="1347" spans="1:69" ht="82.5">
      <c r="A1347" s="304"/>
      <c r="B1347" s="268"/>
      <c r="C1347" s="269"/>
      <c r="D1347" s="269"/>
      <c r="E1347" s="269"/>
      <c r="F1347" s="269"/>
      <c r="G1347" s="269"/>
      <c r="H1347" s="269"/>
      <c r="I1347" s="263" t="s">
        <v>1490</v>
      </c>
      <c r="J1347" s="34" t="s">
        <v>1491</v>
      </c>
      <c r="K1347" s="14">
        <v>72</v>
      </c>
      <c r="L1347" s="14">
        <v>358548000</v>
      </c>
      <c r="M1347" s="12">
        <v>36</v>
      </c>
      <c r="N1347" s="14">
        <v>137352213</v>
      </c>
      <c r="O1347" s="14">
        <v>12</v>
      </c>
      <c r="P1347" s="125">
        <v>48831000</v>
      </c>
      <c r="Q1347" s="248">
        <v>3</v>
      </c>
      <c r="R1347" s="24">
        <v>5675000</v>
      </c>
      <c r="S1347" s="259">
        <v>3</v>
      </c>
      <c r="T1347" s="245">
        <v>6766400</v>
      </c>
      <c r="U1347" s="245"/>
      <c r="V1347" s="246"/>
      <c r="W1347" s="245"/>
      <c r="X1347" s="245"/>
      <c r="Y1347" s="247">
        <f t="shared" si="396"/>
        <v>6</v>
      </c>
      <c r="Z1347" s="246">
        <f>R1347</f>
        <v>5675000</v>
      </c>
      <c r="AA1347" s="248">
        <f t="shared" si="397"/>
        <v>42</v>
      </c>
      <c r="AB1347" s="246">
        <f>N1347+Z1347</f>
        <v>143027213</v>
      </c>
      <c r="AC1347" s="249">
        <f t="shared" si="395"/>
        <v>58.333333333333336</v>
      </c>
      <c r="AD1347" s="274">
        <f t="shared" si="392"/>
        <v>39.890673773107089</v>
      </c>
      <c r="AE1347" s="102"/>
      <c r="AF1347" s="750"/>
      <c r="AG1347" s="750"/>
      <c r="AH1347" s="750"/>
      <c r="AI1347" s="750"/>
      <c r="AJ1347" s="750"/>
      <c r="AK1347" s="750"/>
      <c r="AL1347" s="750"/>
      <c r="AM1347" s="750"/>
      <c r="AN1347" s="750"/>
      <c r="AO1347" s="750"/>
      <c r="AP1347" s="750"/>
      <c r="AQ1347" s="750"/>
      <c r="AR1347" s="750"/>
      <c r="AS1347" s="750"/>
      <c r="AT1347" s="750"/>
      <c r="AU1347" s="750"/>
      <c r="AV1347" s="750"/>
      <c r="AW1347" s="750"/>
      <c r="AX1347" s="750"/>
      <c r="AY1347" s="750"/>
      <c r="AZ1347" s="750"/>
      <c r="BA1347" s="750"/>
      <c r="BB1347" s="750"/>
      <c r="BC1347" s="750"/>
      <c r="BD1347" s="750"/>
      <c r="BE1347" s="750"/>
      <c r="BF1347" s="750"/>
      <c r="BG1347" s="750"/>
      <c r="BH1347" s="750"/>
      <c r="BI1347" s="750"/>
      <c r="BJ1347" s="750"/>
      <c r="BK1347" s="750"/>
      <c r="BL1347" s="750"/>
      <c r="BM1347" s="750"/>
      <c r="BN1347" s="750"/>
      <c r="BO1347" s="750"/>
      <c r="BP1347" s="750"/>
      <c r="BQ1347" s="750"/>
    </row>
    <row r="1348" spans="1:69" ht="66">
      <c r="A1348" s="2558">
        <v>9</v>
      </c>
      <c r="B1348" s="33"/>
      <c r="C1348" s="161"/>
      <c r="D1348" s="161"/>
      <c r="E1348" s="161"/>
      <c r="F1348" s="161"/>
      <c r="G1348" s="161"/>
      <c r="H1348" s="161"/>
      <c r="I1348" s="44" t="s">
        <v>1492</v>
      </c>
      <c r="J1348" s="46" t="s">
        <v>1469</v>
      </c>
      <c r="K1348" s="222">
        <v>90511</v>
      </c>
      <c r="L1348" s="222">
        <f>SUM(L1349:L1349)</f>
        <v>326790000</v>
      </c>
      <c r="M1348" s="222">
        <f>M1349</f>
        <v>28543</v>
      </c>
      <c r="N1348" s="222">
        <f>SUM(N1349:N1349)</f>
        <v>326790000</v>
      </c>
      <c r="O1348" s="222">
        <v>0</v>
      </c>
      <c r="P1348" s="222">
        <f>SUM(P1349:P1349)</f>
        <v>0</v>
      </c>
      <c r="Q1348" s="222">
        <f t="shared" ref="Q1348:Z1348" si="401">SUM(Q1349:Q1349)</f>
        <v>0</v>
      </c>
      <c r="R1348" s="222">
        <f t="shared" si="401"/>
        <v>0</v>
      </c>
      <c r="S1348" s="222">
        <f t="shared" si="401"/>
        <v>0</v>
      </c>
      <c r="T1348" s="222">
        <f t="shared" si="401"/>
        <v>0</v>
      </c>
      <c r="U1348" s="222">
        <f t="shared" si="401"/>
        <v>0</v>
      </c>
      <c r="V1348" s="222">
        <f t="shared" si="401"/>
        <v>0</v>
      </c>
      <c r="W1348" s="222">
        <f t="shared" si="401"/>
        <v>0</v>
      </c>
      <c r="X1348" s="222">
        <f t="shared" si="401"/>
        <v>0</v>
      </c>
      <c r="Y1348" s="290">
        <f t="shared" si="396"/>
        <v>0</v>
      </c>
      <c r="Z1348" s="222">
        <f t="shared" si="401"/>
        <v>0</v>
      </c>
      <c r="AA1348" s="282">
        <f t="shared" si="397"/>
        <v>28543</v>
      </c>
      <c r="AB1348" s="285">
        <f>SUM(AB1349:AB1349)</f>
        <v>326790000</v>
      </c>
      <c r="AC1348" s="284">
        <f t="shared" si="395"/>
        <v>31.535393488084324</v>
      </c>
      <c r="AD1348" s="284">
        <f t="shared" si="392"/>
        <v>100</v>
      </c>
      <c r="AE1348" s="2554" t="s">
        <v>152</v>
      </c>
      <c r="AF1348" s="750"/>
      <c r="AG1348" s="750"/>
      <c r="AH1348" s="750"/>
      <c r="AI1348" s="750"/>
      <c r="AJ1348" s="750"/>
      <c r="AK1348" s="750"/>
      <c r="AL1348" s="750"/>
      <c r="AM1348" s="750"/>
      <c r="AN1348" s="750"/>
      <c r="AO1348" s="750"/>
      <c r="AP1348" s="750"/>
      <c r="AQ1348" s="750"/>
      <c r="AR1348" s="750"/>
      <c r="AS1348" s="750"/>
      <c r="AT1348" s="750"/>
      <c r="AU1348" s="750"/>
      <c r="AV1348" s="750"/>
      <c r="AW1348" s="750"/>
      <c r="AX1348" s="750"/>
      <c r="AY1348" s="750"/>
      <c r="AZ1348" s="750"/>
      <c r="BA1348" s="750"/>
      <c r="BB1348" s="750"/>
      <c r="BC1348" s="750"/>
      <c r="BD1348" s="750"/>
      <c r="BE1348" s="750"/>
      <c r="BF1348" s="750"/>
      <c r="BG1348" s="750"/>
      <c r="BH1348" s="750"/>
      <c r="BI1348" s="750"/>
      <c r="BJ1348" s="750"/>
      <c r="BK1348" s="750"/>
      <c r="BL1348" s="750"/>
      <c r="BM1348" s="750"/>
      <c r="BN1348" s="750"/>
      <c r="BO1348" s="750"/>
      <c r="BP1348" s="750"/>
      <c r="BQ1348" s="750"/>
    </row>
    <row r="1349" spans="1:69" ht="49.5">
      <c r="A1349" s="779"/>
      <c r="B1349" s="11"/>
      <c r="C1349" s="239"/>
      <c r="D1349" s="239"/>
      <c r="E1349" s="239"/>
      <c r="F1349" s="239"/>
      <c r="G1349" s="239"/>
      <c r="H1349" s="239"/>
      <c r="I1349" s="275" t="s">
        <v>1493</v>
      </c>
      <c r="J1349" s="124" t="s">
        <v>1494</v>
      </c>
      <c r="K1349" s="236">
        <v>28543</v>
      </c>
      <c r="L1349" s="243">
        <f>N1349</f>
        <v>326790000</v>
      </c>
      <c r="M1349" s="236">
        <v>28543</v>
      </c>
      <c r="N1349" s="125">
        <v>326790000</v>
      </c>
      <c r="O1349" s="125">
        <v>0</v>
      </c>
      <c r="P1349" s="125">
        <v>0</v>
      </c>
      <c r="Q1349" s="248"/>
      <c r="R1349" s="24"/>
      <c r="S1349" s="276"/>
      <c r="T1349" s="272"/>
      <c r="U1349" s="272"/>
      <c r="V1349" s="277"/>
      <c r="W1349" s="272"/>
      <c r="X1349" s="272"/>
      <c r="Y1349" s="247">
        <f t="shared" si="396"/>
        <v>0</v>
      </c>
      <c r="Z1349" s="262"/>
      <c r="AA1349" s="248">
        <f t="shared" si="397"/>
        <v>28543</v>
      </c>
      <c r="AB1349" s="262">
        <f>N1349+Z1349</f>
        <v>326790000</v>
      </c>
      <c r="AC1349" s="248">
        <f t="shared" si="395"/>
        <v>100</v>
      </c>
      <c r="AD1349" s="248">
        <f t="shared" si="392"/>
        <v>100</v>
      </c>
      <c r="AE1349" s="779"/>
      <c r="AF1349" s="750"/>
      <c r="AG1349" s="750"/>
      <c r="AH1349" s="750"/>
      <c r="AI1349" s="750"/>
      <c r="AJ1349" s="750"/>
      <c r="AK1349" s="750"/>
      <c r="AL1349" s="750"/>
      <c r="AM1349" s="750"/>
      <c r="AN1349" s="750"/>
      <c r="AO1349" s="750"/>
      <c r="AP1349" s="750"/>
      <c r="AQ1349" s="750"/>
      <c r="AR1349" s="750"/>
      <c r="AS1349" s="750"/>
      <c r="AT1349" s="750"/>
      <c r="AU1349" s="750"/>
      <c r="AV1349" s="750"/>
      <c r="AW1349" s="750"/>
      <c r="AX1349" s="750"/>
      <c r="AY1349" s="750"/>
      <c r="AZ1349" s="750"/>
      <c r="BA1349" s="750"/>
      <c r="BB1349" s="750"/>
      <c r="BC1349" s="750"/>
      <c r="BD1349" s="750"/>
      <c r="BE1349" s="750"/>
      <c r="BF1349" s="750"/>
      <c r="BG1349" s="750"/>
      <c r="BH1349" s="750"/>
      <c r="BI1349" s="750"/>
      <c r="BJ1349" s="750"/>
      <c r="BK1349" s="750"/>
      <c r="BL1349" s="750"/>
      <c r="BM1349" s="750"/>
      <c r="BN1349" s="750"/>
      <c r="BO1349" s="750"/>
      <c r="BP1349" s="750"/>
      <c r="BQ1349" s="750"/>
    </row>
    <row r="1350" spans="1:69" ht="66">
      <c r="A1350" s="2558">
        <v>10</v>
      </c>
      <c r="B1350" s="33"/>
      <c r="C1350" s="989"/>
      <c r="D1350" s="989"/>
      <c r="E1350" s="989"/>
      <c r="F1350" s="989"/>
      <c r="G1350" s="989"/>
      <c r="H1350" s="989"/>
      <c r="I1350" s="44" t="s">
        <v>1474</v>
      </c>
      <c r="J1350" s="44" t="s">
        <v>1495</v>
      </c>
      <c r="K1350" s="222">
        <v>95</v>
      </c>
      <c r="L1350" s="281">
        <f>SUM(L1351:L1355)</f>
        <v>1606937250</v>
      </c>
      <c r="M1350" s="281">
        <v>80</v>
      </c>
      <c r="N1350" s="281">
        <f>SUM(N1351:N1355)</f>
        <v>538761255</v>
      </c>
      <c r="O1350" s="281">
        <v>5</v>
      </c>
      <c r="P1350" s="281">
        <f>SUM(P1351:P1355)</f>
        <v>276802500</v>
      </c>
      <c r="Q1350" s="281">
        <f t="shared" ref="Q1350:W1350" si="402">SUM(Q1351:Q1355)</f>
        <v>3</v>
      </c>
      <c r="R1350" s="281">
        <f>SUM(R1351:R1355)</f>
        <v>15899193</v>
      </c>
      <c r="S1350" s="281">
        <f t="shared" si="402"/>
        <v>63</v>
      </c>
      <c r="T1350" s="281">
        <f>SUM(T1351:T1355)</f>
        <v>38908715</v>
      </c>
      <c r="U1350" s="281">
        <f t="shared" si="402"/>
        <v>0</v>
      </c>
      <c r="V1350" s="281">
        <f>SUM(V1351:V1355)</f>
        <v>0</v>
      </c>
      <c r="W1350" s="281">
        <f t="shared" si="402"/>
        <v>0</v>
      </c>
      <c r="X1350" s="281">
        <f>SUM(X1351:X1355)</f>
        <v>0</v>
      </c>
      <c r="Y1350" s="290">
        <f t="shared" si="396"/>
        <v>66</v>
      </c>
      <c r="Z1350" s="281">
        <f>SUM(Z1351:Z1355)</f>
        <v>15899193</v>
      </c>
      <c r="AA1350" s="284">
        <f t="shared" si="397"/>
        <v>146</v>
      </c>
      <c r="AB1350" s="281">
        <f>SUM(AB1351:AB1355)</f>
        <v>554660448</v>
      </c>
      <c r="AC1350" s="284">
        <f t="shared" si="395"/>
        <v>153.68421052631578</v>
      </c>
      <c r="AD1350" s="300">
        <f t="shared" si="392"/>
        <v>34.516621479774642</v>
      </c>
      <c r="AE1350" s="2554" t="s">
        <v>152</v>
      </c>
      <c r="AF1350" s="750"/>
      <c r="AG1350" s="750"/>
      <c r="AH1350" s="750"/>
      <c r="AI1350" s="750"/>
      <c r="AJ1350" s="750"/>
      <c r="AK1350" s="750"/>
      <c r="AL1350" s="750"/>
      <c r="AM1350" s="750"/>
      <c r="AN1350" s="750"/>
      <c r="AO1350" s="750"/>
      <c r="AP1350" s="750"/>
      <c r="AQ1350" s="750"/>
      <c r="AR1350" s="750"/>
      <c r="AS1350" s="750"/>
      <c r="AT1350" s="750"/>
      <c r="AU1350" s="750"/>
      <c r="AV1350" s="750"/>
      <c r="AW1350" s="750"/>
      <c r="AX1350" s="750"/>
      <c r="AY1350" s="750"/>
      <c r="AZ1350" s="750"/>
      <c r="BA1350" s="750"/>
      <c r="BB1350" s="750"/>
      <c r="BC1350" s="750"/>
      <c r="BD1350" s="750"/>
      <c r="BE1350" s="750"/>
      <c r="BF1350" s="750"/>
      <c r="BG1350" s="750"/>
      <c r="BH1350" s="750"/>
      <c r="BI1350" s="750"/>
      <c r="BJ1350" s="750"/>
      <c r="BK1350" s="750"/>
      <c r="BL1350" s="750"/>
      <c r="BM1350" s="750"/>
      <c r="BN1350" s="750"/>
      <c r="BO1350" s="750"/>
      <c r="BP1350" s="750"/>
      <c r="BQ1350" s="750"/>
    </row>
    <row r="1351" spans="1:69" ht="49.5">
      <c r="A1351" s="779"/>
      <c r="B1351" s="8"/>
      <c r="C1351" s="102"/>
      <c r="D1351" s="102"/>
      <c r="E1351" s="102"/>
      <c r="F1351" s="102"/>
      <c r="G1351" s="102"/>
      <c r="H1351" s="102"/>
      <c r="I1351" s="99" t="s">
        <v>1496</v>
      </c>
      <c r="J1351" s="88" t="s">
        <v>3106</v>
      </c>
      <c r="K1351" s="12">
        <v>300</v>
      </c>
      <c r="L1351" s="13">
        <f>4*60000000</f>
        <v>240000000</v>
      </c>
      <c r="M1351" s="242">
        <v>156</v>
      </c>
      <c r="N1351" s="243">
        <v>97753100</v>
      </c>
      <c r="O1351" s="12">
        <v>0</v>
      </c>
      <c r="P1351" s="125">
        <v>0</v>
      </c>
      <c r="Q1351" s="249">
        <v>0</v>
      </c>
      <c r="R1351" s="24">
        <v>0</v>
      </c>
      <c r="S1351" s="272"/>
      <c r="T1351" s="24"/>
      <c r="U1351" s="272"/>
      <c r="V1351" s="265"/>
      <c r="W1351" s="273"/>
      <c r="X1351" s="24"/>
      <c r="Y1351" s="247">
        <f t="shared" si="396"/>
        <v>0</v>
      </c>
      <c r="Z1351" s="278"/>
      <c r="AA1351" s="248">
        <f t="shared" si="397"/>
        <v>156</v>
      </c>
      <c r="AB1351" s="246">
        <f>N1351+Z1351</f>
        <v>97753100</v>
      </c>
      <c r="AC1351" s="249">
        <f t="shared" si="395"/>
        <v>52</v>
      </c>
      <c r="AD1351" s="274">
        <f t="shared" si="392"/>
        <v>40.730458333333338</v>
      </c>
      <c r="AE1351" s="779"/>
      <c r="AF1351" s="750"/>
      <c r="AG1351" s="750"/>
      <c r="AH1351" s="750"/>
      <c r="AI1351" s="750"/>
      <c r="AJ1351" s="750"/>
      <c r="AK1351" s="750"/>
      <c r="AL1351" s="750"/>
      <c r="AM1351" s="750"/>
      <c r="AN1351" s="750"/>
      <c r="AO1351" s="750"/>
      <c r="AP1351" s="750"/>
      <c r="AQ1351" s="750"/>
      <c r="AR1351" s="750"/>
      <c r="AS1351" s="750"/>
      <c r="AT1351" s="750"/>
      <c r="AU1351" s="750"/>
      <c r="AV1351" s="750"/>
      <c r="AW1351" s="750"/>
      <c r="AX1351" s="750"/>
      <c r="AY1351" s="750"/>
      <c r="AZ1351" s="750"/>
      <c r="BA1351" s="750"/>
      <c r="BB1351" s="750"/>
      <c r="BC1351" s="750"/>
      <c r="BD1351" s="750"/>
      <c r="BE1351" s="750"/>
      <c r="BF1351" s="750"/>
      <c r="BG1351" s="750"/>
      <c r="BH1351" s="750"/>
      <c r="BI1351" s="750"/>
      <c r="BJ1351" s="750"/>
      <c r="BK1351" s="750"/>
      <c r="BL1351" s="750"/>
      <c r="BM1351" s="750"/>
      <c r="BN1351" s="750"/>
      <c r="BO1351" s="750"/>
      <c r="BP1351" s="750"/>
      <c r="BQ1351" s="750"/>
    </row>
    <row r="1352" spans="1:69" ht="82.5">
      <c r="A1352" s="779"/>
      <c r="B1352" s="8"/>
      <c r="C1352" s="102"/>
      <c r="D1352" s="102"/>
      <c r="E1352" s="102"/>
      <c r="F1352" s="102"/>
      <c r="G1352" s="102"/>
      <c r="H1352" s="102"/>
      <c r="I1352" s="99" t="s">
        <v>1497</v>
      </c>
      <c r="J1352" s="88" t="s">
        <v>1498</v>
      </c>
      <c r="K1352" s="12">
        <v>20</v>
      </c>
      <c r="L1352" s="13">
        <v>373038750</v>
      </c>
      <c r="M1352" s="242">
        <v>10</v>
      </c>
      <c r="N1352" s="243">
        <v>90669575</v>
      </c>
      <c r="O1352" s="12">
        <v>3</v>
      </c>
      <c r="P1352" s="125">
        <v>55410000</v>
      </c>
      <c r="Q1352" s="249">
        <v>0</v>
      </c>
      <c r="R1352" s="24">
        <v>0</v>
      </c>
      <c r="S1352" s="266">
        <v>0</v>
      </c>
      <c r="T1352" s="24">
        <v>1578250</v>
      </c>
      <c r="U1352" s="24"/>
      <c r="V1352" s="265"/>
      <c r="W1352" s="279"/>
      <c r="X1352" s="24"/>
      <c r="Y1352" s="247">
        <f t="shared" si="396"/>
        <v>0</v>
      </c>
      <c r="Z1352" s="246"/>
      <c r="AA1352" s="248">
        <f t="shared" si="397"/>
        <v>10</v>
      </c>
      <c r="AB1352" s="246">
        <f>N1352+Z1352</f>
        <v>90669575</v>
      </c>
      <c r="AC1352" s="249">
        <f t="shared" si="395"/>
        <v>50</v>
      </c>
      <c r="AD1352" s="274">
        <f t="shared" si="392"/>
        <v>24.305671997882257</v>
      </c>
      <c r="AE1352" s="779"/>
      <c r="AF1352" s="750"/>
      <c r="AG1352" s="750"/>
      <c r="AH1352" s="750"/>
      <c r="AI1352" s="750"/>
      <c r="AJ1352" s="750"/>
      <c r="AK1352" s="750"/>
      <c r="AL1352" s="750"/>
      <c r="AM1352" s="750"/>
      <c r="AN1352" s="750"/>
      <c r="AO1352" s="750"/>
      <c r="AP1352" s="750"/>
      <c r="AQ1352" s="750"/>
      <c r="AR1352" s="750"/>
      <c r="AS1352" s="750"/>
      <c r="AT1352" s="750"/>
      <c r="AU1352" s="750"/>
      <c r="AV1352" s="750"/>
      <c r="AW1352" s="750"/>
      <c r="AX1352" s="750"/>
      <c r="AY1352" s="750"/>
      <c r="AZ1352" s="750"/>
      <c r="BA1352" s="750"/>
      <c r="BB1352" s="750"/>
      <c r="BC1352" s="750"/>
      <c r="BD1352" s="750"/>
      <c r="BE1352" s="750"/>
      <c r="BF1352" s="750"/>
      <c r="BG1352" s="750"/>
      <c r="BH1352" s="750"/>
      <c r="BI1352" s="750"/>
      <c r="BJ1352" s="750"/>
      <c r="BK1352" s="750"/>
      <c r="BL1352" s="750"/>
      <c r="BM1352" s="750"/>
      <c r="BN1352" s="750"/>
      <c r="BO1352" s="750"/>
      <c r="BP1352" s="750"/>
      <c r="BQ1352" s="750"/>
    </row>
    <row r="1353" spans="1:69" ht="49.5">
      <c r="A1353" s="779"/>
      <c r="B1353" s="11"/>
      <c r="C1353" s="239"/>
      <c r="D1353" s="239"/>
      <c r="E1353" s="239"/>
      <c r="F1353" s="239"/>
      <c r="G1353" s="239"/>
      <c r="H1353" s="239"/>
      <c r="I1353" s="99" t="s">
        <v>1499</v>
      </c>
      <c r="J1353" s="88" t="s">
        <v>1500</v>
      </c>
      <c r="K1353" s="12">
        <v>425</v>
      </c>
      <c r="L1353" s="13">
        <v>305236000</v>
      </c>
      <c r="M1353" s="242">
        <v>100</v>
      </c>
      <c r="N1353" s="243">
        <v>55926000</v>
      </c>
      <c r="O1353" s="203">
        <v>85</v>
      </c>
      <c r="P1353" s="125">
        <v>39405000</v>
      </c>
      <c r="Q1353" s="249">
        <v>0</v>
      </c>
      <c r="R1353" s="24">
        <v>1400000</v>
      </c>
      <c r="S1353" s="24">
        <v>5</v>
      </c>
      <c r="T1353" s="24">
        <v>3300000</v>
      </c>
      <c r="U1353" s="24"/>
      <c r="V1353" s="265"/>
      <c r="W1353" s="24"/>
      <c r="X1353" s="24"/>
      <c r="Y1353" s="247">
        <f t="shared" si="396"/>
        <v>5</v>
      </c>
      <c r="Z1353" s="246">
        <f>R1353</f>
        <v>1400000</v>
      </c>
      <c r="AA1353" s="248">
        <f t="shared" si="397"/>
        <v>105</v>
      </c>
      <c r="AB1353" s="246">
        <f>N1353+Z1353</f>
        <v>57326000</v>
      </c>
      <c r="AC1353" s="249">
        <f t="shared" si="395"/>
        <v>24.705882352941178</v>
      </c>
      <c r="AD1353" s="274">
        <f t="shared" si="392"/>
        <v>18.780877747054738</v>
      </c>
      <c r="AE1353" s="779"/>
      <c r="AF1353" s="750"/>
      <c r="AG1353" s="750"/>
      <c r="AH1353" s="750"/>
      <c r="AI1353" s="750"/>
      <c r="AJ1353" s="750"/>
      <c r="AK1353" s="750"/>
      <c r="AL1353" s="750"/>
      <c r="AM1353" s="750"/>
      <c r="AN1353" s="750"/>
      <c r="AO1353" s="750"/>
      <c r="AP1353" s="750"/>
      <c r="AQ1353" s="750"/>
      <c r="AR1353" s="750"/>
      <c r="AS1353" s="750"/>
      <c r="AT1353" s="750"/>
      <c r="AU1353" s="750"/>
      <c r="AV1353" s="750"/>
      <c r="AW1353" s="750"/>
      <c r="AX1353" s="750"/>
      <c r="AY1353" s="750"/>
      <c r="AZ1353" s="750"/>
      <c r="BA1353" s="750"/>
      <c r="BB1353" s="750"/>
      <c r="BC1353" s="750"/>
      <c r="BD1353" s="750"/>
      <c r="BE1353" s="750"/>
      <c r="BF1353" s="750"/>
      <c r="BG1353" s="750"/>
      <c r="BH1353" s="750"/>
      <c r="BI1353" s="750"/>
      <c r="BJ1353" s="750"/>
      <c r="BK1353" s="750"/>
      <c r="BL1353" s="750"/>
      <c r="BM1353" s="750"/>
      <c r="BN1353" s="750"/>
      <c r="BO1353" s="750"/>
      <c r="BP1353" s="750"/>
      <c r="BQ1353" s="750"/>
    </row>
    <row r="1354" spans="1:69" ht="66">
      <c r="A1354" s="304"/>
      <c r="B1354" s="268"/>
      <c r="C1354" s="269"/>
      <c r="D1354" s="269"/>
      <c r="E1354" s="269"/>
      <c r="F1354" s="269"/>
      <c r="G1354" s="269"/>
      <c r="H1354" s="269"/>
      <c r="I1354" s="25" t="s">
        <v>1501</v>
      </c>
      <c r="J1354" s="88" t="s">
        <v>1502</v>
      </c>
      <c r="K1354" s="12">
        <v>72</v>
      </c>
      <c r="L1354" s="13">
        <v>308662500</v>
      </c>
      <c r="M1354" s="242">
        <v>36</v>
      </c>
      <c r="N1354" s="243">
        <v>188616840</v>
      </c>
      <c r="O1354" s="12">
        <v>12</v>
      </c>
      <c r="P1354" s="125">
        <v>73062500</v>
      </c>
      <c r="Q1354" s="248">
        <v>3</v>
      </c>
      <c r="R1354" s="24">
        <v>7549600</v>
      </c>
      <c r="S1354" s="266">
        <v>3</v>
      </c>
      <c r="T1354" s="24">
        <v>16369744</v>
      </c>
      <c r="U1354" s="24"/>
      <c r="V1354" s="265"/>
      <c r="W1354" s="24"/>
      <c r="X1354" s="24"/>
      <c r="Y1354" s="247">
        <f t="shared" si="396"/>
        <v>6</v>
      </c>
      <c r="Z1354" s="246">
        <f>R1354</f>
        <v>7549600</v>
      </c>
      <c r="AA1354" s="248">
        <f t="shared" si="397"/>
        <v>42</v>
      </c>
      <c r="AB1354" s="246">
        <f>N1354+Z1354</f>
        <v>196166440</v>
      </c>
      <c r="AC1354" s="249">
        <f t="shared" si="395"/>
        <v>58.333333333333336</v>
      </c>
      <c r="AD1354" s="274">
        <f t="shared" si="392"/>
        <v>63.553700238934105</v>
      </c>
      <c r="AE1354" s="779"/>
      <c r="AF1354" s="201"/>
      <c r="AG1354" s="201"/>
      <c r="AH1354" s="201"/>
      <c r="AI1354" s="201"/>
      <c r="AJ1354" s="201"/>
      <c r="AK1354" s="201"/>
      <c r="AL1354" s="201"/>
      <c r="AM1354" s="201"/>
      <c r="AN1354" s="201"/>
      <c r="AO1354" s="201"/>
      <c r="AP1354" s="201"/>
      <c r="AQ1354" s="201"/>
      <c r="AR1354" s="201"/>
      <c r="AS1354" s="201"/>
      <c r="AT1354" s="201"/>
      <c r="AU1354" s="201"/>
      <c r="AV1354" s="201"/>
      <c r="AW1354" s="201"/>
      <c r="AX1354" s="201"/>
      <c r="AY1354" s="201"/>
      <c r="AZ1354" s="201"/>
      <c r="BA1354" s="201"/>
      <c r="BB1354" s="201"/>
      <c r="BC1354" s="201"/>
      <c r="BD1354" s="201"/>
      <c r="BE1354" s="201"/>
      <c r="BF1354" s="201"/>
      <c r="BG1354" s="201"/>
      <c r="BH1354" s="201"/>
      <c r="BI1354" s="201"/>
      <c r="BJ1354" s="201"/>
      <c r="BK1354" s="201"/>
      <c r="BL1354" s="201"/>
      <c r="BM1354" s="201"/>
      <c r="BN1354" s="201"/>
      <c r="BO1354" s="201"/>
      <c r="BP1354" s="201"/>
      <c r="BQ1354" s="201"/>
    </row>
    <row r="1355" spans="1:69" ht="82.5">
      <c r="A1355" s="779"/>
      <c r="B1355" s="11"/>
      <c r="C1355" s="239"/>
      <c r="D1355" s="239"/>
      <c r="E1355" s="239"/>
      <c r="F1355" s="239"/>
      <c r="G1355" s="239"/>
      <c r="H1355" s="239"/>
      <c r="I1355" s="99" t="s">
        <v>1503</v>
      </c>
      <c r="J1355" s="88" t="s">
        <v>1504</v>
      </c>
      <c r="K1355" s="12">
        <v>96</v>
      </c>
      <c r="L1355" s="13">
        <f>2*190000000</f>
        <v>380000000</v>
      </c>
      <c r="M1355" s="242">
        <v>1</v>
      </c>
      <c r="N1355" s="243">
        <v>105795740</v>
      </c>
      <c r="O1355" s="125">
        <v>85</v>
      </c>
      <c r="P1355" s="125">
        <v>108925000</v>
      </c>
      <c r="Q1355" s="249">
        <v>0</v>
      </c>
      <c r="R1355" s="24">
        <v>6949593</v>
      </c>
      <c r="S1355" s="24">
        <v>55</v>
      </c>
      <c r="T1355" s="24">
        <v>17660721</v>
      </c>
      <c r="U1355" s="24"/>
      <c r="V1355" s="265"/>
      <c r="W1355" s="24"/>
      <c r="X1355" s="24"/>
      <c r="Y1355" s="247">
        <f t="shared" si="396"/>
        <v>55</v>
      </c>
      <c r="Z1355" s="246">
        <f>R1355</f>
        <v>6949593</v>
      </c>
      <c r="AA1355" s="248">
        <f t="shared" si="397"/>
        <v>56</v>
      </c>
      <c r="AB1355" s="246">
        <f>N1355+Z1355</f>
        <v>112745333</v>
      </c>
      <c r="AC1355" s="249">
        <f t="shared" si="395"/>
        <v>58.333333333333336</v>
      </c>
      <c r="AD1355" s="274">
        <f t="shared" si="392"/>
        <v>29.669824473684208</v>
      </c>
      <c r="AE1355" s="779"/>
      <c r="AF1355" s="201"/>
      <c r="AG1355" s="201"/>
      <c r="AH1355" s="201"/>
      <c r="AI1355" s="201"/>
      <c r="AJ1355" s="201"/>
      <c r="AK1355" s="201"/>
      <c r="AL1355" s="201"/>
      <c r="AM1355" s="201"/>
      <c r="AN1355" s="201"/>
      <c r="AO1355" s="201"/>
      <c r="AP1355" s="201"/>
      <c r="AQ1355" s="201"/>
      <c r="AR1355" s="201"/>
      <c r="AS1355" s="201"/>
      <c r="AT1355" s="201"/>
      <c r="AU1355" s="201"/>
      <c r="AV1355" s="201"/>
      <c r="AW1355" s="201"/>
      <c r="AX1355" s="201"/>
      <c r="AY1355" s="201"/>
      <c r="AZ1355" s="201"/>
      <c r="BA1355" s="201"/>
      <c r="BB1355" s="201"/>
      <c r="BC1355" s="201"/>
      <c r="BD1355" s="201"/>
      <c r="BE1355" s="201"/>
      <c r="BF1355" s="201"/>
      <c r="BG1355" s="201"/>
      <c r="BH1355" s="201"/>
      <c r="BI1355" s="201"/>
      <c r="BJ1355" s="201"/>
      <c r="BK1355" s="201"/>
      <c r="BL1355" s="201"/>
      <c r="BM1355" s="201"/>
      <c r="BN1355" s="201"/>
      <c r="BO1355" s="201"/>
      <c r="BP1355" s="201"/>
      <c r="BQ1355" s="201"/>
    </row>
    <row r="1356" spans="1:69" ht="82.5">
      <c r="A1356" s="2558">
        <v>11</v>
      </c>
      <c r="B1356" s="33"/>
      <c r="C1356" s="989"/>
      <c r="D1356" s="989"/>
      <c r="E1356" s="989"/>
      <c r="F1356" s="989"/>
      <c r="G1356" s="989"/>
      <c r="H1356" s="989"/>
      <c r="I1356" s="221" t="s">
        <v>1505</v>
      </c>
      <c r="J1356" s="46" t="s">
        <v>1506</v>
      </c>
      <c r="K1356" s="281">
        <v>308</v>
      </c>
      <c r="L1356" s="281">
        <f>SUM(L1357:L1360)</f>
        <v>1859720400</v>
      </c>
      <c r="M1356" s="281">
        <v>74</v>
      </c>
      <c r="N1356" s="281">
        <f>SUM(N1357:N1360)</f>
        <v>533943161</v>
      </c>
      <c r="O1356" s="281">
        <v>48</v>
      </c>
      <c r="P1356" s="281">
        <f>SUM(P1357:P1360)</f>
        <v>273245000</v>
      </c>
      <c r="Q1356" s="281">
        <f t="shared" ref="Q1356:W1356" si="403">SUM(Q1357:Q1360)</f>
        <v>3</v>
      </c>
      <c r="R1356" s="281">
        <f>SUM(R1357:R1360)</f>
        <v>28700450</v>
      </c>
      <c r="S1356" s="281">
        <f t="shared" si="403"/>
        <v>13</v>
      </c>
      <c r="T1356" s="281">
        <f>SUM(T1357:T1360)</f>
        <v>33824450</v>
      </c>
      <c r="U1356" s="281">
        <f t="shared" si="403"/>
        <v>0</v>
      </c>
      <c r="V1356" s="281">
        <f>SUM(V1357:V1360)</f>
        <v>0</v>
      </c>
      <c r="W1356" s="281">
        <f t="shared" si="403"/>
        <v>0</v>
      </c>
      <c r="X1356" s="281">
        <f>SUM(X1357:X1360)</f>
        <v>0</v>
      </c>
      <c r="Y1356" s="290">
        <f t="shared" si="396"/>
        <v>16</v>
      </c>
      <c r="Z1356" s="281">
        <f>SUM(Z1357:Z1360)</f>
        <v>28700450</v>
      </c>
      <c r="AA1356" s="282">
        <f t="shared" si="397"/>
        <v>90</v>
      </c>
      <c r="AB1356" s="281">
        <f>SUM(AB1357:AB1360)</f>
        <v>562643611</v>
      </c>
      <c r="AC1356" s="284">
        <f t="shared" si="395"/>
        <v>29.220779220779221</v>
      </c>
      <c r="AD1356" s="284">
        <f t="shared" si="392"/>
        <v>30.254204395456437</v>
      </c>
      <c r="AE1356" s="2554" t="s">
        <v>152</v>
      </c>
      <c r="AF1356" s="201"/>
      <c r="AG1356" s="201"/>
      <c r="AH1356" s="201"/>
      <c r="AI1356" s="201"/>
      <c r="AJ1356" s="201"/>
      <c r="AK1356" s="201"/>
      <c r="AL1356" s="201"/>
      <c r="AM1356" s="201"/>
      <c r="AN1356" s="201"/>
      <c r="AO1356" s="201"/>
      <c r="AP1356" s="201"/>
      <c r="AQ1356" s="201"/>
      <c r="AR1356" s="201"/>
      <c r="AS1356" s="201"/>
      <c r="AT1356" s="201"/>
      <c r="AU1356" s="201"/>
      <c r="AV1356" s="201"/>
      <c r="AW1356" s="201"/>
      <c r="AX1356" s="201"/>
      <c r="AY1356" s="201"/>
      <c r="AZ1356" s="201"/>
      <c r="BA1356" s="201"/>
      <c r="BB1356" s="201"/>
      <c r="BC1356" s="201"/>
      <c r="BD1356" s="201"/>
      <c r="BE1356" s="201"/>
      <c r="BF1356" s="201"/>
      <c r="BG1356" s="201"/>
      <c r="BH1356" s="201"/>
      <c r="BI1356" s="201"/>
      <c r="BJ1356" s="201"/>
      <c r="BK1356" s="201"/>
      <c r="BL1356" s="201"/>
      <c r="BM1356" s="201"/>
      <c r="BN1356" s="201"/>
      <c r="BO1356" s="201"/>
      <c r="BP1356" s="201"/>
      <c r="BQ1356" s="201"/>
    </row>
    <row r="1357" spans="1:69" ht="33">
      <c r="A1357" s="779"/>
      <c r="B1357" s="11"/>
      <c r="C1357" s="239"/>
      <c r="D1357" s="239"/>
      <c r="E1357" s="239"/>
      <c r="F1357" s="239"/>
      <c r="G1357" s="239"/>
      <c r="H1357" s="239"/>
      <c r="I1357" s="280" t="s">
        <v>1507</v>
      </c>
      <c r="J1357" s="88" t="s">
        <v>3107</v>
      </c>
      <c r="K1357" s="12">
        <v>750</v>
      </c>
      <c r="L1357" s="13">
        <v>682796500</v>
      </c>
      <c r="M1357" s="15">
        <v>200</v>
      </c>
      <c r="N1357" s="243">
        <v>152785745</v>
      </c>
      <c r="O1357" s="111">
        <v>150</v>
      </c>
      <c r="P1357" s="125">
        <v>109150000</v>
      </c>
      <c r="Q1357" s="264">
        <v>0</v>
      </c>
      <c r="R1357" s="24">
        <v>0</v>
      </c>
      <c r="S1357" s="245">
        <v>0</v>
      </c>
      <c r="T1357" s="245">
        <v>5095000</v>
      </c>
      <c r="U1357" s="245"/>
      <c r="V1357" s="246"/>
      <c r="W1357" s="245"/>
      <c r="X1357" s="245"/>
      <c r="Y1357" s="247">
        <f t="shared" si="396"/>
        <v>0</v>
      </c>
      <c r="Z1357" s="246"/>
      <c r="AA1357" s="248">
        <f t="shared" si="397"/>
        <v>200</v>
      </c>
      <c r="AB1357" s="246">
        <f>N1357+Z1357</f>
        <v>152785745</v>
      </c>
      <c r="AC1357" s="249">
        <f t="shared" si="395"/>
        <v>26.666666666666668</v>
      </c>
      <c r="AD1357" s="249">
        <f t="shared" si="392"/>
        <v>22.376468684300519</v>
      </c>
      <c r="AE1357" s="779"/>
      <c r="AF1357" s="201"/>
      <c r="AG1357" s="201"/>
      <c r="AH1357" s="201"/>
      <c r="AI1357" s="201"/>
      <c r="AJ1357" s="201"/>
      <c r="AK1357" s="201"/>
      <c r="AL1357" s="201"/>
      <c r="AM1357" s="201"/>
      <c r="AN1357" s="201"/>
      <c r="AO1357" s="201"/>
      <c r="AP1357" s="201"/>
      <c r="AQ1357" s="201"/>
      <c r="AR1357" s="201"/>
      <c r="AS1357" s="201"/>
      <c r="AT1357" s="201"/>
      <c r="AU1357" s="201"/>
      <c r="AV1357" s="201"/>
      <c r="AW1357" s="201"/>
      <c r="AX1357" s="201"/>
      <c r="AY1357" s="201"/>
      <c r="AZ1357" s="201"/>
      <c r="BA1357" s="201"/>
      <c r="BB1357" s="201"/>
      <c r="BC1357" s="201"/>
      <c r="BD1357" s="201"/>
      <c r="BE1357" s="201"/>
      <c r="BF1357" s="201"/>
      <c r="BG1357" s="201"/>
      <c r="BH1357" s="201"/>
      <c r="BI1357" s="201"/>
      <c r="BJ1357" s="201"/>
      <c r="BK1357" s="201"/>
      <c r="BL1357" s="201"/>
      <c r="BM1357" s="201"/>
      <c r="BN1357" s="201"/>
      <c r="BO1357" s="201"/>
      <c r="BP1357" s="201"/>
      <c r="BQ1357" s="201"/>
    </row>
    <row r="1358" spans="1:69" ht="49.5">
      <c r="A1358" s="779"/>
      <c r="B1358" s="11"/>
      <c r="C1358" s="239"/>
      <c r="D1358" s="239"/>
      <c r="E1358" s="239"/>
      <c r="F1358" s="239"/>
      <c r="G1358" s="239"/>
      <c r="H1358" s="239"/>
      <c r="I1358" s="99" t="s">
        <v>1508</v>
      </c>
      <c r="J1358" s="88" t="s">
        <v>3108</v>
      </c>
      <c r="K1358" s="12">
        <v>20</v>
      </c>
      <c r="L1358" s="13">
        <v>674811400</v>
      </c>
      <c r="M1358" s="242">
        <v>6</v>
      </c>
      <c r="N1358" s="243">
        <v>189695066</v>
      </c>
      <c r="O1358" s="125">
        <v>5</v>
      </c>
      <c r="P1358" s="125">
        <v>90040000</v>
      </c>
      <c r="Q1358" s="248">
        <v>0</v>
      </c>
      <c r="R1358" s="24">
        <v>3249500</v>
      </c>
      <c r="S1358" s="245">
        <v>0</v>
      </c>
      <c r="T1358" s="245">
        <v>6050700</v>
      </c>
      <c r="U1358" s="245"/>
      <c r="V1358" s="246"/>
      <c r="W1358" s="245"/>
      <c r="X1358" s="245"/>
      <c r="Y1358" s="247">
        <f t="shared" si="396"/>
        <v>0</v>
      </c>
      <c r="Z1358" s="246">
        <f>R1358</f>
        <v>3249500</v>
      </c>
      <c r="AA1358" s="248">
        <f t="shared" si="397"/>
        <v>6</v>
      </c>
      <c r="AB1358" s="246">
        <f>N1358+Z1358</f>
        <v>192944566</v>
      </c>
      <c r="AC1358" s="249">
        <f t="shared" si="395"/>
        <v>30</v>
      </c>
      <c r="AD1358" s="249">
        <f t="shared" si="392"/>
        <v>28.592369067861036</v>
      </c>
      <c r="AE1358" s="779"/>
      <c r="AF1358" s="201"/>
      <c r="AG1358" s="201"/>
      <c r="AH1358" s="201"/>
      <c r="AI1358" s="201"/>
      <c r="AJ1358" s="201"/>
      <c r="AK1358" s="201"/>
      <c r="AL1358" s="201"/>
      <c r="AM1358" s="201"/>
      <c r="AN1358" s="201"/>
      <c r="AO1358" s="201"/>
      <c r="AP1358" s="201"/>
      <c r="AQ1358" s="201"/>
      <c r="AR1358" s="201"/>
      <c r="AS1358" s="201"/>
      <c r="AT1358" s="201"/>
      <c r="AU1358" s="201"/>
      <c r="AV1358" s="201"/>
      <c r="AW1358" s="201"/>
      <c r="AX1358" s="201"/>
      <c r="AY1358" s="201"/>
      <c r="AZ1358" s="201"/>
      <c r="BA1358" s="201"/>
      <c r="BB1358" s="201"/>
      <c r="BC1358" s="201"/>
      <c r="BD1358" s="201"/>
      <c r="BE1358" s="201"/>
      <c r="BF1358" s="201"/>
      <c r="BG1358" s="201"/>
      <c r="BH1358" s="201"/>
      <c r="BI1358" s="201"/>
      <c r="BJ1358" s="201"/>
      <c r="BK1358" s="201"/>
      <c r="BL1358" s="201"/>
      <c r="BM1358" s="201"/>
      <c r="BN1358" s="201"/>
      <c r="BO1358" s="201"/>
      <c r="BP1358" s="201"/>
      <c r="BQ1358" s="201"/>
    </row>
    <row r="1359" spans="1:69" ht="49.5">
      <c r="A1359" s="779"/>
      <c r="B1359" s="11"/>
      <c r="C1359" s="239"/>
      <c r="D1359" s="239"/>
      <c r="E1359" s="239"/>
      <c r="F1359" s="239"/>
      <c r="G1359" s="239"/>
      <c r="H1359" s="239"/>
      <c r="I1359" s="99" t="s">
        <v>1509</v>
      </c>
      <c r="J1359" s="88" t="s">
        <v>1510</v>
      </c>
      <c r="K1359" s="12">
        <v>72</v>
      </c>
      <c r="L1359" s="13">
        <v>328137500</v>
      </c>
      <c r="M1359" s="242">
        <v>36</v>
      </c>
      <c r="N1359" s="243">
        <v>96185250</v>
      </c>
      <c r="O1359" s="125">
        <v>12</v>
      </c>
      <c r="P1359" s="125">
        <v>39260000</v>
      </c>
      <c r="Q1359" s="248">
        <v>3</v>
      </c>
      <c r="R1359" s="24">
        <v>21305700</v>
      </c>
      <c r="S1359" s="245">
        <v>3</v>
      </c>
      <c r="T1359" s="245">
        <v>8432250</v>
      </c>
      <c r="U1359" s="245"/>
      <c r="V1359" s="246"/>
      <c r="W1359" s="245"/>
      <c r="X1359" s="245"/>
      <c r="Y1359" s="247">
        <f t="shared" si="396"/>
        <v>6</v>
      </c>
      <c r="Z1359" s="246">
        <f>R1359</f>
        <v>21305700</v>
      </c>
      <c r="AA1359" s="248">
        <f t="shared" si="397"/>
        <v>42</v>
      </c>
      <c r="AB1359" s="246">
        <f>N1359+Z1359</f>
        <v>117490950</v>
      </c>
      <c r="AC1359" s="249">
        <f t="shared" si="395"/>
        <v>58.333333333333336</v>
      </c>
      <c r="AD1359" s="249">
        <f t="shared" si="392"/>
        <v>35.805401698982898</v>
      </c>
      <c r="AE1359" s="779"/>
      <c r="AF1359" s="201"/>
      <c r="AG1359" s="201"/>
      <c r="AH1359" s="201"/>
      <c r="AI1359" s="201"/>
      <c r="AJ1359" s="201"/>
      <c r="AK1359" s="201"/>
      <c r="AL1359" s="201"/>
      <c r="AM1359" s="201"/>
      <c r="AN1359" s="201"/>
      <c r="AO1359" s="201"/>
      <c r="AP1359" s="201"/>
      <c r="AQ1359" s="201"/>
      <c r="AR1359" s="201"/>
      <c r="AS1359" s="201"/>
      <c r="AT1359" s="201"/>
      <c r="AU1359" s="201"/>
      <c r="AV1359" s="201"/>
      <c r="AW1359" s="201"/>
      <c r="AX1359" s="201"/>
      <c r="AY1359" s="201"/>
      <c r="AZ1359" s="201"/>
      <c r="BA1359" s="201"/>
      <c r="BB1359" s="201"/>
      <c r="BC1359" s="201"/>
      <c r="BD1359" s="201"/>
      <c r="BE1359" s="201"/>
      <c r="BF1359" s="201"/>
      <c r="BG1359" s="201"/>
      <c r="BH1359" s="201"/>
      <c r="BI1359" s="201"/>
      <c r="BJ1359" s="201"/>
      <c r="BK1359" s="201"/>
      <c r="BL1359" s="201"/>
      <c r="BM1359" s="201"/>
      <c r="BN1359" s="201"/>
      <c r="BO1359" s="201"/>
      <c r="BP1359" s="201"/>
      <c r="BQ1359" s="201"/>
    </row>
    <row r="1360" spans="1:69" ht="49.5">
      <c r="A1360" s="779"/>
      <c r="B1360" s="11"/>
      <c r="C1360" s="239"/>
      <c r="D1360" s="239"/>
      <c r="E1360" s="239"/>
      <c r="F1360" s="239"/>
      <c r="G1360" s="239"/>
      <c r="H1360" s="239"/>
      <c r="I1360" s="11" t="s">
        <v>1511</v>
      </c>
      <c r="J1360" s="232" t="s">
        <v>1512</v>
      </c>
      <c r="K1360" s="12">
        <v>150</v>
      </c>
      <c r="L1360" s="13">
        <f>P1360*5</f>
        <v>173975000</v>
      </c>
      <c r="M1360" s="12">
        <v>57</v>
      </c>
      <c r="N1360" s="243">
        <v>95277100</v>
      </c>
      <c r="O1360" s="125">
        <v>30</v>
      </c>
      <c r="P1360" s="125">
        <v>34795000</v>
      </c>
      <c r="Q1360" s="248">
        <v>0</v>
      </c>
      <c r="R1360" s="24">
        <v>4145250</v>
      </c>
      <c r="S1360" s="245">
        <v>10</v>
      </c>
      <c r="T1360" s="245">
        <v>14246500</v>
      </c>
      <c r="U1360" s="245"/>
      <c r="V1360" s="246"/>
      <c r="W1360" s="245"/>
      <c r="X1360" s="245"/>
      <c r="Y1360" s="247">
        <f t="shared" si="396"/>
        <v>10</v>
      </c>
      <c r="Z1360" s="246">
        <f>R1360</f>
        <v>4145250</v>
      </c>
      <c r="AA1360" s="248">
        <f t="shared" si="397"/>
        <v>67</v>
      </c>
      <c r="AB1360" s="246">
        <f>N1360+Z1360</f>
        <v>99422350</v>
      </c>
      <c r="AC1360" s="249">
        <f t="shared" si="395"/>
        <v>44.666666666666664</v>
      </c>
      <c r="AD1360" s="249">
        <f t="shared" si="392"/>
        <v>57.147492455812618</v>
      </c>
      <c r="AE1360" s="779"/>
      <c r="AF1360" s="201"/>
      <c r="AG1360" s="201"/>
      <c r="AH1360" s="201"/>
      <c r="AI1360" s="201"/>
      <c r="AJ1360" s="201"/>
      <c r="AK1360" s="201"/>
      <c r="AL1360" s="201"/>
      <c r="AM1360" s="201"/>
      <c r="AN1360" s="201"/>
      <c r="AO1360" s="201"/>
      <c r="AP1360" s="201"/>
      <c r="AQ1360" s="201"/>
      <c r="AR1360" s="201"/>
      <c r="AS1360" s="201"/>
      <c r="AT1360" s="201"/>
      <c r="AU1360" s="201"/>
      <c r="AV1360" s="201"/>
      <c r="AW1360" s="201"/>
      <c r="AX1360" s="201"/>
      <c r="AY1360" s="201"/>
      <c r="AZ1360" s="201"/>
      <c r="BA1360" s="201"/>
      <c r="BB1360" s="201"/>
      <c r="BC1360" s="201"/>
      <c r="BD1360" s="201"/>
      <c r="BE1360" s="201"/>
      <c r="BF1360" s="201"/>
      <c r="BG1360" s="201"/>
      <c r="BH1360" s="201"/>
      <c r="BI1360" s="201"/>
      <c r="BJ1360" s="201"/>
      <c r="BK1360" s="201"/>
      <c r="BL1360" s="201"/>
      <c r="BM1360" s="201"/>
      <c r="BN1360" s="201"/>
      <c r="BO1360" s="201"/>
      <c r="BP1360" s="201"/>
      <c r="BQ1360" s="201"/>
    </row>
    <row r="1361" spans="1:70" ht="115.5">
      <c r="A1361" s="2558">
        <v>12</v>
      </c>
      <c r="B1361" s="33"/>
      <c r="C1361" s="161"/>
      <c r="D1361" s="161"/>
      <c r="E1361" s="161"/>
      <c r="F1361" s="161"/>
      <c r="G1361" s="161"/>
      <c r="H1361" s="161"/>
      <c r="I1361" s="221" t="s">
        <v>1505</v>
      </c>
      <c r="J1361" s="159" t="s">
        <v>1513</v>
      </c>
      <c r="K1361" s="538">
        <v>57</v>
      </c>
      <c r="L1361" s="230">
        <f>SUM(L1362:L1364)</f>
        <v>951172400</v>
      </c>
      <c r="M1361" s="146">
        <v>12</v>
      </c>
      <c r="N1361" s="222">
        <f>SUM(N1362:N1364)</f>
        <v>234598250</v>
      </c>
      <c r="O1361" s="230">
        <v>9</v>
      </c>
      <c r="P1361" s="230">
        <f>SUM(P1362:P1364)</f>
        <v>147020000</v>
      </c>
      <c r="Q1361" s="301"/>
      <c r="R1361" s="230">
        <f>SUM(R1362:R1364)</f>
        <v>5567750</v>
      </c>
      <c r="S1361" s="302"/>
      <c r="T1361" s="230">
        <f>SUM(T1362:T1364)</f>
        <v>27424250</v>
      </c>
      <c r="U1361" s="302"/>
      <c r="V1361" s="230">
        <f>SUM(V1362:V1364)</f>
        <v>0</v>
      </c>
      <c r="W1361" s="302"/>
      <c r="X1361" s="230">
        <f>SUM(X1362:X1364)</f>
        <v>0</v>
      </c>
      <c r="Y1361" s="290">
        <f t="shared" si="396"/>
        <v>0</v>
      </c>
      <c r="Z1361" s="230">
        <f>SUM(Z1362:Z1364)</f>
        <v>5567750</v>
      </c>
      <c r="AA1361" s="292">
        <f t="shared" si="397"/>
        <v>12</v>
      </c>
      <c r="AB1361" s="230">
        <f>SUM(AB1362:AB1364)</f>
        <v>240166000</v>
      </c>
      <c r="AC1361" s="284">
        <f t="shared" si="395"/>
        <v>21.052631578947366</v>
      </c>
      <c r="AD1361" s="284">
        <f t="shared" si="392"/>
        <v>25.249471073803235</v>
      </c>
      <c r="AE1361" s="2554" t="s">
        <v>152</v>
      </c>
      <c r="AF1361" s="201"/>
      <c r="AG1361" s="201"/>
      <c r="AH1361" s="201"/>
      <c r="AI1361" s="201"/>
      <c r="AJ1361" s="201"/>
      <c r="AK1361" s="201"/>
      <c r="AL1361" s="201"/>
      <c r="AM1361" s="201"/>
      <c r="AN1361" s="201"/>
      <c r="AO1361" s="201"/>
      <c r="AP1361" s="201"/>
      <c r="AQ1361" s="201"/>
      <c r="AR1361" s="201"/>
      <c r="AS1361" s="201"/>
      <c r="AT1361" s="201"/>
      <c r="AU1361" s="201"/>
      <c r="AV1361" s="201"/>
      <c r="AW1361" s="201"/>
      <c r="AX1361" s="201"/>
      <c r="AY1361" s="201"/>
      <c r="AZ1361" s="201"/>
      <c r="BA1361" s="201"/>
      <c r="BB1361" s="201"/>
      <c r="BC1361" s="201"/>
      <c r="BD1361" s="201"/>
      <c r="BE1361" s="201"/>
      <c r="BF1361" s="201"/>
      <c r="BG1361" s="201"/>
      <c r="BH1361" s="201"/>
      <c r="BI1361" s="201"/>
      <c r="BJ1361" s="201"/>
      <c r="BK1361" s="201"/>
      <c r="BL1361" s="201"/>
      <c r="BM1361" s="201"/>
      <c r="BN1361" s="201"/>
      <c r="BO1361" s="201"/>
      <c r="BP1361" s="201"/>
      <c r="BQ1361" s="201"/>
    </row>
    <row r="1362" spans="1:70" ht="82.5">
      <c r="A1362" s="779"/>
      <c r="B1362" s="11"/>
      <c r="C1362" s="239"/>
      <c r="D1362" s="239"/>
      <c r="E1362" s="239"/>
      <c r="F1362" s="239"/>
      <c r="G1362" s="239"/>
      <c r="H1362" s="239"/>
      <c r="I1362" s="99" t="s">
        <v>1514</v>
      </c>
      <c r="J1362" s="88" t="s">
        <v>1515</v>
      </c>
      <c r="K1362" s="12">
        <v>22</v>
      </c>
      <c r="L1362" s="13">
        <v>640771200</v>
      </c>
      <c r="M1362" s="12">
        <v>11</v>
      </c>
      <c r="N1362" s="243">
        <v>188160450</v>
      </c>
      <c r="O1362" s="12">
        <v>5</v>
      </c>
      <c r="P1362" s="125">
        <v>105470000</v>
      </c>
      <c r="Q1362" s="249">
        <v>0</v>
      </c>
      <c r="R1362" s="24">
        <v>2200000</v>
      </c>
      <c r="S1362" s="245">
        <v>1</v>
      </c>
      <c r="T1362" s="245">
        <v>13616600</v>
      </c>
      <c r="U1362" s="245"/>
      <c r="V1362" s="246"/>
      <c r="W1362" s="245"/>
      <c r="X1362" s="245"/>
      <c r="Y1362" s="247">
        <f t="shared" si="396"/>
        <v>1</v>
      </c>
      <c r="Z1362" s="246">
        <f>R1362</f>
        <v>2200000</v>
      </c>
      <c r="AA1362" s="248">
        <f t="shared" si="397"/>
        <v>12</v>
      </c>
      <c r="AB1362" s="246">
        <f>N1362+Z1362</f>
        <v>190360450</v>
      </c>
      <c r="AC1362" s="249">
        <f t="shared" si="395"/>
        <v>54.54545454545454</v>
      </c>
      <c r="AD1362" s="249">
        <f t="shared" si="392"/>
        <v>29.708022145814294</v>
      </c>
      <c r="AE1362" s="779"/>
      <c r="AF1362" s="750"/>
      <c r="AG1362" s="750"/>
      <c r="AH1362" s="750"/>
      <c r="AI1362" s="750"/>
      <c r="AJ1362" s="750"/>
      <c r="AK1362" s="750"/>
      <c r="AL1362" s="750"/>
      <c r="AM1362" s="750"/>
      <c r="AN1362" s="750"/>
      <c r="AO1362" s="750"/>
      <c r="AP1362" s="750"/>
      <c r="AQ1362" s="750"/>
      <c r="AR1362" s="750"/>
      <c r="AS1362" s="750"/>
      <c r="AT1362" s="750"/>
      <c r="AU1362" s="750"/>
      <c r="AV1362" s="750"/>
      <c r="AW1362" s="750"/>
      <c r="AX1362" s="750"/>
      <c r="AY1362" s="750"/>
      <c r="AZ1362" s="750"/>
      <c r="BA1362" s="750"/>
      <c r="BB1362" s="750"/>
      <c r="BC1362" s="750"/>
      <c r="BD1362" s="750"/>
      <c r="BE1362" s="750"/>
      <c r="BF1362" s="750"/>
      <c r="BG1362" s="750"/>
      <c r="BH1362" s="750"/>
      <c r="BI1362" s="750"/>
      <c r="BJ1362" s="750"/>
      <c r="BK1362" s="750"/>
      <c r="BL1362" s="750"/>
      <c r="BM1362" s="750"/>
      <c r="BN1362" s="750"/>
      <c r="BO1362" s="750"/>
      <c r="BP1362" s="750"/>
      <c r="BQ1362" s="750"/>
    </row>
    <row r="1363" spans="1:70" ht="49.5">
      <c r="A1363" s="779"/>
      <c r="B1363" s="11"/>
      <c r="C1363" s="239"/>
      <c r="D1363" s="239"/>
      <c r="E1363" s="239"/>
      <c r="F1363" s="239"/>
      <c r="G1363" s="239"/>
      <c r="H1363" s="239"/>
      <c r="I1363" s="99" t="s">
        <v>1516</v>
      </c>
      <c r="J1363" s="263" t="s">
        <v>1517</v>
      </c>
      <c r="K1363" s="12">
        <v>6</v>
      </c>
      <c r="L1363" s="13">
        <f>3*P1363</f>
        <v>124650000</v>
      </c>
      <c r="M1363" s="12">
        <v>0</v>
      </c>
      <c r="N1363" s="243">
        <v>0</v>
      </c>
      <c r="O1363" s="12">
        <v>2</v>
      </c>
      <c r="P1363" s="125">
        <v>41550000</v>
      </c>
      <c r="Q1363" s="249">
        <v>0</v>
      </c>
      <c r="R1363" s="24">
        <v>3367750</v>
      </c>
      <c r="S1363" s="245">
        <v>0</v>
      </c>
      <c r="T1363" s="245">
        <v>13807650</v>
      </c>
      <c r="U1363" s="245"/>
      <c r="V1363" s="246"/>
      <c r="W1363" s="245"/>
      <c r="X1363" s="245"/>
      <c r="Y1363" s="247">
        <f t="shared" si="396"/>
        <v>0</v>
      </c>
      <c r="Z1363" s="246">
        <f>R1363</f>
        <v>3367750</v>
      </c>
      <c r="AA1363" s="248">
        <f t="shared" si="397"/>
        <v>0</v>
      </c>
      <c r="AB1363" s="246">
        <f>N1363+Z1363</f>
        <v>3367750</v>
      </c>
      <c r="AC1363" s="249">
        <f t="shared" si="395"/>
        <v>0</v>
      </c>
      <c r="AD1363" s="249">
        <f t="shared" si="392"/>
        <v>2.7017649418371441</v>
      </c>
      <c r="AE1363" s="779"/>
      <c r="AF1363" s="750"/>
      <c r="AG1363" s="750"/>
      <c r="AH1363" s="750"/>
      <c r="AI1363" s="750"/>
      <c r="AJ1363" s="750"/>
      <c r="AK1363" s="750"/>
      <c r="AL1363" s="750"/>
      <c r="AM1363" s="750"/>
      <c r="AN1363" s="750"/>
      <c r="AO1363" s="750"/>
      <c r="AP1363" s="750"/>
      <c r="AQ1363" s="750"/>
      <c r="AR1363" s="750"/>
      <c r="AS1363" s="750"/>
      <c r="AT1363" s="750"/>
      <c r="AU1363" s="750"/>
      <c r="AV1363" s="750"/>
      <c r="AW1363" s="750"/>
      <c r="AX1363" s="750"/>
      <c r="AY1363" s="750"/>
      <c r="AZ1363" s="750"/>
      <c r="BA1363" s="750"/>
      <c r="BB1363" s="750"/>
      <c r="BC1363" s="750"/>
      <c r="BD1363" s="750"/>
      <c r="BE1363" s="750"/>
      <c r="BF1363" s="750"/>
      <c r="BG1363" s="750"/>
      <c r="BH1363" s="750"/>
      <c r="BI1363" s="750"/>
      <c r="BJ1363" s="750"/>
      <c r="BK1363" s="750"/>
      <c r="BL1363" s="750"/>
      <c r="BM1363" s="750"/>
      <c r="BN1363" s="750"/>
      <c r="BO1363" s="750"/>
      <c r="BP1363" s="750"/>
      <c r="BQ1363" s="750"/>
    </row>
    <row r="1364" spans="1:70" ht="33">
      <c r="A1364" s="779"/>
      <c r="B1364" s="11"/>
      <c r="C1364" s="239"/>
      <c r="D1364" s="239"/>
      <c r="E1364" s="239"/>
      <c r="F1364" s="239"/>
      <c r="G1364" s="239"/>
      <c r="H1364" s="239"/>
      <c r="I1364" s="11" t="s">
        <v>1518</v>
      </c>
      <c r="J1364" s="88" t="s">
        <v>3109</v>
      </c>
      <c r="K1364" s="12">
        <v>4</v>
      </c>
      <c r="L1364" s="13">
        <f>4*N1364</f>
        <v>185751200</v>
      </c>
      <c r="M1364" s="242">
        <v>1</v>
      </c>
      <c r="N1364" s="243">
        <v>46437800</v>
      </c>
      <c r="O1364" s="12">
        <v>0</v>
      </c>
      <c r="P1364" s="203">
        <v>0</v>
      </c>
      <c r="Q1364" s="249">
        <v>0</v>
      </c>
      <c r="R1364" s="272">
        <v>0</v>
      </c>
      <c r="S1364" s="245"/>
      <c r="T1364" s="245">
        <v>0</v>
      </c>
      <c r="U1364" s="245"/>
      <c r="V1364" s="246"/>
      <c r="W1364" s="245"/>
      <c r="X1364" s="245"/>
      <c r="Y1364" s="247">
        <f t="shared" si="396"/>
        <v>0</v>
      </c>
      <c r="Z1364" s="246"/>
      <c r="AA1364" s="248">
        <f t="shared" si="397"/>
        <v>1</v>
      </c>
      <c r="AB1364" s="246">
        <f>N1364+Z1364</f>
        <v>46437800</v>
      </c>
      <c r="AC1364" s="249">
        <f t="shared" si="395"/>
        <v>25</v>
      </c>
      <c r="AD1364" s="274">
        <f t="shared" si="392"/>
        <v>25</v>
      </c>
      <c r="AE1364" s="779"/>
      <c r="AF1364" s="750"/>
      <c r="AG1364" s="750"/>
      <c r="AH1364" s="750"/>
      <c r="AI1364" s="750"/>
      <c r="AJ1364" s="750"/>
      <c r="AK1364" s="750"/>
      <c r="AL1364" s="750"/>
      <c r="AM1364" s="750"/>
      <c r="AN1364" s="750"/>
      <c r="AO1364" s="750"/>
      <c r="AP1364" s="750"/>
      <c r="AQ1364" s="750"/>
      <c r="AR1364" s="750"/>
      <c r="AS1364" s="750"/>
      <c r="AT1364" s="750"/>
      <c r="AU1364" s="750"/>
      <c r="AV1364" s="750"/>
      <c r="AW1364" s="750"/>
      <c r="AX1364" s="750"/>
      <c r="AY1364" s="750"/>
      <c r="AZ1364" s="750"/>
      <c r="BA1364" s="750"/>
      <c r="BB1364" s="750"/>
      <c r="BC1364" s="750"/>
      <c r="BD1364" s="750"/>
      <c r="BE1364" s="750"/>
      <c r="BF1364" s="750"/>
      <c r="BG1364" s="750"/>
      <c r="BH1364" s="750"/>
      <c r="BI1364" s="750"/>
      <c r="BJ1364" s="750"/>
      <c r="BK1364" s="750"/>
      <c r="BL1364" s="750"/>
      <c r="BM1364" s="750"/>
      <c r="BN1364" s="750"/>
      <c r="BO1364" s="750"/>
      <c r="BP1364" s="750"/>
      <c r="BQ1364" s="750"/>
    </row>
    <row r="1365" spans="1:70" s="1235" customFormat="1" ht="23.25" customHeight="1">
      <c r="A1365" s="2737" t="s">
        <v>63</v>
      </c>
      <c r="B1365" s="2737"/>
      <c r="C1365" s="2741"/>
      <c r="D1365" s="2741"/>
      <c r="E1365" s="2741"/>
      <c r="F1365" s="2741"/>
      <c r="G1365" s="2741"/>
      <c r="H1365" s="2741"/>
      <c r="I1365" s="2741"/>
      <c r="J1365" s="2741"/>
      <c r="K1365" s="2741"/>
      <c r="L1365" s="2741"/>
      <c r="M1365" s="2741"/>
      <c r="N1365" s="2741"/>
      <c r="O1365" s="2741"/>
      <c r="P1365" s="2741"/>
      <c r="Q1365" s="2741"/>
      <c r="R1365" s="2741"/>
      <c r="S1365" s="2741"/>
      <c r="T1365" s="2741"/>
      <c r="U1365" s="2741"/>
      <c r="V1365" s="2741"/>
      <c r="W1365" s="2741"/>
      <c r="X1365" s="2741"/>
      <c r="Y1365" s="2741"/>
      <c r="Z1365" s="2741"/>
      <c r="AA1365" s="2741"/>
      <c r="AB1365" s="2741"/>
      <c r="AC1365" s="965">
        <f>(AC1308+AC1320+AC1325+AC1329+AC1335+AC1340+AC1343+AC1346+AC1348+AC1350+AC1356+AC1361)/12</f>
        <v>57.206734639345541</v>
      </c>
      <c r="AD1365" s="965">
        <f>(AD1308+AD1320+AD1325+AD1329+AD1335+AD1340+AD1343+AD1346+AD1348+AD1350+AD1356+AD1361)/12</f>
        <v>48.782244662351296</v>
      </c>
      <c r="AE1365" s="131"/>
      <c r="AF1365" s="861"/>
      <c r="AG1365" s="861"/>
      <c r="AH1365" s="861"/>
      <c r="AI1365" s="861"/>
      <c r="AJ1365" s="861"/>
      <c r="AK1365" s="861"/>
      <c r="AL1365" s="861"/>
      <c r="AM1365" s="861"/>
      <c r="AN1365" s="861"/>
      <c r="AO1365" s="861"/>
      <c r="AP1365" s="861"/>
      <c r="AQ1365" s="861"/>
      <c r="AR1365" s="861"/>
      <c r="AS1365" s="861"/>
      <c r="AT1365" s="861"/>
      <c r="AU1365" s="861"/>
      <c r="AV1365" s="861"/>
      <c r="AW1365" s="861"/>
      <c r="AX1365" s="861"/>
      <c r="AY1365" s="861"/>
      <c r="AZ1365" s="861"/>
      <c r="BA1365" s="861"/>
      <c r="BB1365" s="861"/>
      <c r="BC1365" s="861"/>
      <c r="BD1365" s="861"/>
      <c r="BE1365" s="861"/>
      <c r="BF1365" s="861"/>
      <c r="BG1365" s="861"/>
      <c r="BH1365" s="861"/>
      <c r="BI1365" s="861"/>
      <c r="BJ1365" s="861"/>
      <c r="BK1365" s="861"/>
      <c r="BL1365" s="861"/>
      <c r="BM1365" s="861"/>
      <c r="BN1365" s="861"/>
      <c r="BO1365" s="861"/>
      <c r="BP1365" s="861"/>
      <c r="BQ1365" s="861"/>
      <c r="BR1365" s="862"/>
    </row>
    <row r="1366" spans="1:70" s="1235" customFormat="1" ht="24" customHeight="1">
      <c r="A1366" s="2737" t="s">
        <v>64</v>
      </c>
      <c r="B1366" s="2737"/>
      <c r="C1366" s="2741"/>
      <c r="D1366" s="2741"/>
      <c r="E1366" s="2741"/>
      <c r="F1366" s="2741"/>
      <c r="G1366" s="2741"/>
      <c r="H1366" s="2741"/>
      <c r="I1366" s="2741"/>
      <c r="J1366" s="2741"/>
      <c r="K1366" s="2741"/>
      <c r="L1366" s="2741"/>
      <c r="M1366" s="2741"/>
      <c r="N1366" s="2741"/>
      <c r="O1366" s="2741"/>
      <c r="P1366" s="2741"/>
      <c r="Q1366" s="2741"/>
      <c r="R1366" s="2741"/>
      <c r="S1366" s="2741"/>
      <c r="T1366" s="2741"/>
      <c r="U1366" s="2741"/>
      <c r="V1366" s="2741"/>
      <c r="W1366" s="2741"/>
      <c r="X1366" s="2741"/>
      <c r="Y1366" s="2741"/>
      <c r="Z1366" s="2741"/>
      <c r="AA1366" s="2741"/>
      <c r="AB1366" s="2741"/>
      <c r="AC1366" s="604" t="str">
        <f>IF(AC1365&gt;=91,"ST",IF(AC1365&gt;=76,"T",IF(AC1365&gt;=66,"S",IF(AC1365&gt;=51,"R","SR"))))</f>
        <v>R</v>
      </c>
      <c r="AD1366" s="604" t="str">
        <f>IF(AD1365&gt;=91,"ST",IF(AD1365&gt;=76,"T",IF(AD1365&gt;=66,"S",IF(AD1365&gt;=51,"R","SR"))))</f>
        <v>SR</v>
      </c>
      <c r="AE1366" s="849"/>
      <c r="AF1366" s="861"/>
      <c r="AG1366" s="861"/>
      <c r="AH1366" s="861"/>
      <c r="AI1366" s="861"/>
      <c r="AJ1366" s="861"/>
      <c r="AK1366" s="861"/>
      <c r="AL1366" s="861"/>
      <c r="AM1366" s="861"/>
      <c r="AN1366" s="861"/>
      <c r="AO1366" s="861"/>
      <c r="AP1366" s="861"/>
      <c r="AQ1366" s="861"/>
      <c r="AR1366" s="861"/>
      <c r="AS1366" s="861"/>
      <c r="AT1366" s="861"/>
      <c r="AU1366" s="861"/>
      <c r="AV1366" s="861"/>
      <c r="AW1366" s="861"/>
      <c r="AX1366" s="861"/>
      <c r="AY1366" s="861"/>
      <c r="AZ1366" s="861"/>
      <c r="BA1366" s="861"/>
      <c r="BB1366" s="861"/>
      <c r="BC1366" s="861"/>
      <c r="BD1366" s="861"/>
      <c r="BE1366" s="861"/>
      <c r="BF1366" s="861"/>
      <c r="BG1366" s="861"/>
      <c r="BH1366" s="861"/>
      <c r="BI1366" s="861"/>
      <c r="BJ1366" s="861"/>
      <c r="BK1366" s="861"/>
      <c r="BL1366" s="861"/>
      <c r="BM1366" s="861"/>
      <c r="BN1366" s="861"/>
      <c r="BO1366" s="861"/>
      <c r="BP1366" s="861"/>
      <c r="BQ1366" s="861"/>
      <c r="BR1366" s="862"/>
    </row>
    <row r="1367" spans="1:70" ht="29.25" customHeight="1">
      <c r="A1367" s="863" t="s">
        <v>14</v>
      </c>
      <c r="B1367" s="1618"/>
      <c r="C1367" s="863"/>
      <c r="D1367" s="863"/>
      <c r="E1367" s="863"/>
      <c r="F1367" s="863"/>
      <c r="G1367" s="863"/>
      <c r="H1367" s="863"/>
      <c r="I1367" s="2746" t="s">
        <v>153</v>
      </c>
      <c r="J1367" s="2747"/>
      <c r="K1367" s="1665"/>
      <c r="L1367" s="1672">
        <f>L1368+L1375+L1382+L1385</f>
        <v>24537109553</v>
      </c>
      <c r="M1367" s="1665"/>
      <c r="N1367" s="1286">
        <f>N1368+N1375+N1382+N1385</f>
        <v>9041366625</v>
      </c>
      <c r="O1367" s="1666"/>
      <c r="P1367" s="1517">
        <f>P1368+P1375+P1382+P1385</f>
        <v>5861041199</v>
      </c>
      <c r="Q1367" s="1667"/>
      <c r="R1367" s="1320">
        <f>R1368+R1375+R1382+R1385</f>
        <v>255685500</v>
      </c>
      <c r="S1367" s="1618"/>
      <c r="T1367" s="1320">
        <f>T1368+T1375+T1382+T1385</f>
        <v>652467878</v>
      </c>
      <c r="U1367" s="1618"/>
      <c r="V1367" s="1680">
        <f>V1368+V1375+V1382+V1385</f>
        <v>0</v>
      </c>
      <c r="W1367" s="1618"/>
      <c r="X1367" s="1669">
        <f>X1368+X1375+X1382+X1385</f>
        <v>0</v>
      </c>
      <c r="Y1367" s="1667"/>
      <c r="Z1367" s="1320">
        <f>Z1368+Z1375+Z1382+Z1385</f>
        <v>908153378</v>
      </c>
      <c r="AA1367" s="1665"/>
      <c r="AB1367" s="1320">
        <f>AB1368+AB1375+AB1382+AB1385</f>
        <v>9949520003</v>
      </c>
      <c r="AC1367" s="1665"/>
      <c r="AD1367" s="1665"/>
      <c r="AE1367" s="1814"/>
      <c r="AF1367" s="200"/>
      <c r="AG1367" s="200"/>
      <c r="AH1367" s="200"/>
      <c r="AI1367" s="200"/>
      <c r="AJ1367" s="200"/>
      <c r="AK1367" s="200"/>
      <c r="AL1367" s="200"/>
      <c r="AM1367" s="200"/>
      <c r="AN1367" s="200"/>
      <c r="AO1367" s="200"/>
      <c r="AP1367" s="200"/>
      <c r="AQ1367" s="200"/>
      <c r="AR1367" s="200"/>
      <c r="AS1367" s="200"/>
      <c r="AT1367" s="200"/>
      <c r="AU1367" s="200"/>
      <c r="AV1367" s="200"/>
      <c r="AW1367" s="200"/>
      <c r="AX1367" s="200"/>
      <c r="AY1367" s="200"/>
      <c r="AZ1367" s="200"/>
      <c r="BA1367" s="200"/>
      <c r="BB1367" s="200"/>
      <c r="BC1367" s="970"/>
      <c r="BD1367" s="970"/>
      <c r="BE1367" s="970"/>
      <c r="BF1367" s="970"/>
      <c r="BG1367" s="970"/>
      <c r="BH1367" s="970"/>
      <c r="BI1367" s="970"/>
      <c r="BJ1367" s="970"/>
      <c r="BK1367" s="970"/>
      <c r="BL1367" s="970"/>
      <c r="BM1367" s="970"/>
      <c r="BN1367" s="970"/>
      <c r="BO1367" s="970"/>
      <c r="BP1367" s="970"/>
      <c r="BQ1367" s="970"/>
    </row>
    <row r="1368" spans="1:70" ht="66">
      <c r="A1368" s="2540">
        <v>1</v>
      </c>
      <c r="B1368" s="369"/>
      <c r="C1368" s="1434" t="s">
        <v>107</v>
      </c>
      <c r="D1368" s="1434" t="s">
        <v>25</v>
      </c>
      <c r="E1368" s="1434" t="s">
        <v>28</v>
      </c>
      <c r="F1368" s="1434">
        <v>13</v>
      </c>
      <c r="G1368" s="1435">
        <v>16</v>
      </c>
      <c r="H1368" s="1137"/>
      <c r="I1368" s="515" t="s">
        <v>1525</v>
      </c>
      <c r="J1368" s="364" t="s">
        <v>3110</v>
      </c>
      <c r="K1368" s="364">
        <v>10</v>
      </c>
      <c r="L1368" s="1138">
        <f>SUM(L1369:L1374)</f>
        <v>11223668573</v>
      </c>
      <c r="M1368" s="364">
        <v>6</v>
      </c>
      <c r="N1368" s="1138">
        <f>SUM(N1369:N1374)</f>
        <v>5530107994</v>
      </c>
      <c r="O1368" s="364">
        <v>2</v>
      </c>
      <c r="P1368" s="1138">
        <f>P1369+P1370+P1371+P1373+P1374+P1372</f>
        <v>3234869000</v>
      </c>
      <c r="Q1368" s="532">
        <v>0</v>
      </c>
      <c r="R1368" s="999">
        <f>SUM(R1369:R1373)</f>
        <v>151490700</v>
      </c>
      <c r="S1368" s="364"/>
      <c r="T1368" s="1138">
        <f>SUM(T1369:T1374)</f>
        <v>307114876</v>
      </c>
      <c r="U1368" s="364"/>
      <c r="V1368" s="364"/>
      <c r="W1368" s="364"/>
      <c r="X1368" s="364"/>
      <c r="Y1368" s="364">
        <f t="shared" ref="Y1368:Y1389" si="404">Q1368+S1368+U1368+W1368</f>
        <v>0</v>
      </c>
      <c r="Z1368" s="999">
        <f t="shared" ref="Z1368:Z1389" si="405">R1368+T1368+V1368+X1368</f>
        <v>458605576</v>
      </c>
      <c r="AA1368" s="364">
        <f t="shared" ref="AA1368:AA1389" si="406">M1368+Y1368</f>
        <v>6</v>
      </c>
      <c r="AB1368" s="1138">
        <f t="shared" ref="AB1368:AB1389" si="407">N1368+Z1368</f>
        <v>5988713570</v>
      </c>
      <c r="AC1368" s="1139">
        <f t="shared" ref="AC1368:AC1389" si="408">AA1368/K1368*100</f>
        <v>60</v>
      </c>
      <c r="AD1368" s="1139">
        <f t="shared" ref="AD1368:AD1389" si="409">AB1368/L1368*100</f>
        <v>53.35789747397417</v>
      </c>
      <c r="AE1368" s="2540" t="s">
        <v>132</v>
      </c>
    </row>
    <row r="1369" spans="1:70" ht="49.5">
      <c r="A1369" s="551"/>
      <c r="B1369" s="307"/>
      <c r="C1369" s="304">
        <v>2</v>
      </c>
      <c r="D1369" s="304">
        <v>1</v>
      </c>
      <c r="E1369" s="628" t="s">
        <v>28</v>
      </c>
      <c r="F1369" s="304">
        <v>13</v>
      </c>
      <c r="G1369" s="304">
        <v>16</v>
      </c>
      <c r="H1369" s="304">
        <v>8</v>
      </c>
      <c r="I1369" s="19" t="s">
        <v>1526</v>
      </c>
      <c r="J1369" s="18" t="s">
        <v>3111</v>
      </c>
      <c r="K1369" s="1798">
        <v>72</v>
      </c>
      <c r="L1369" s="1140">
        <v>1229153425</v>
      </c>
      <c r="M1369" s="1817">
        <v>36</v>
      </c>
      <c r="N1369" s="310">
        <f>'[7]Setelah Perubahan'!$AB$53</f>
        <v>723032880</v>
      </c>
      <c r="O1369" s="379">
        <v>12</v>
      </c>
      <c r="P1369" s="919">
        <v>421600000</v>
      </c>
      <c r="Q1369" s="528">
        <v>3</v>
      </c>
      <c r="R1369" s="27">
        <v>33430200</v>
      </c>
      <c r="S1369" s="19">
        <v>16.21</v>
      </c>
      <c r="T1369" s="2696">
        <v>68336450</v>
      </c>
      <c r="U1369" s="19"/>
      <c r="V1369" s="19"/>
      <c r="W1369" s="19"/>
      <c r="X1369" s="19"/>
      <c r="Y1369" s="1141">
        <f t="shared" si="404"/>
        <v>19.21</v>
      </c>
      <c r="Z1369" s="27">
        <f t="shared" si="405"/>
        <v>101766650</v>
      </c>
      <c r="AA1369" s="1141">
        <f t="shared" si="406"/>
        <v>55.21</v>
      </c>
      <c r="AB1369" s="27">
        <f t="shared" si="407"/>
        <v>824799530</v>
      </c>
      <c r="AC1369" s="923">
        <f t="shared" si="408"/>
        <v>76.680555555555557</v>
      </c>
      <c r="AD1369" s="322">
        <f t="shared" si="409"/>
        <v>67.103057537345265</v>
      </c>
      <c r="AE1369" s="102"/>
    </row>
    <row r="1370" spans="1:70" ht="49.5">
      <c r="A1370" s="779"/>
      <c r="B1370" s="311"/>
      <c r="C1370" s="916">
        <v>2</v>
      </c>
      <c r="D1370" s="916">
        <v>1</v>
      </c>
      <c r="E1370" s="628" t="s">
        <v>28</v>
      </c>
      <c r="F1370" s="916">
        <v>13</v>
      </c>
      <c r="G1370" s="916">
        <v>16</v>
      </c>
      <c r="H1370" s="916">
        <v>39</v>
      </c>
      <c r="I1370" s="312" t="s">
        <v>1527</v>
      </c>
      <c r="J1370" s="313" t="s">
        <v>3112</v>
      </c>
      <c r="K1370" s="1815">
        <v>24</v>
      </c>
      <c r="L1370" s="1140">
        <v>318716500</v>
      </c>
      <c r="M1370" s="1817">
        <v>12</v>
      </c>
      <c r="N1370" s="310">
        <f>'[7]Setelah Perubahan'!$AB$54</f>
        <v>99924050</v>
      </c>
      <c r="O1370" s="314">
        <v>4</v>
      </c>
      <c r="P1370" s="24">
        <v>19860000</v>
      </c>
      <c r="Q1370" s="528">
        <v>1</v>
      </c>
      <c r="R1370" s="24">
        <v>5892500</v>
      </c>
      <c r="S1370" s="11"/>
      <c r="T1370" s="13">
        <v>4672176</v>
      </c>
      <c r="U1370" s="11"/>
      <c r="V1370" s="11"/>
      <c r="W1370" s="11"/>
      <c r="X1370" s="11"/>
      <c r="Y1370" s="1141">
        <f t="shared" si="404"/>
        <v>1</v>
      </c>
      <c r="Z1370" s="27">
        <f t="shared" si="405"/>
        <v>10564676</v>
      </c>
      <c r="AA1370" s="29">
        <f t="shared" si="406"/>
        <v>13</v>
      </c>
      <c r="AB1370" s="24">
        <f t="shared" si="407"/>
        <v>110488726</v>
      </c>
      <c r="AC1370" s="923">
        <f t="shared" si="408"/>
        <v>54.166666666666664</v>
      </c>
      <c r="AD1370" s="315">
        <f t="shared" si="409"/>
        <v>34.666773135372658</v>
      </c>
      <c r="AE1370" s="102"/>
    </row>
    <row r="1371" spans="1:70" ht="66">
      <c r="A1371" s="779"/>
      <c r="B1371" s="11"/>
      <c r="C1371" s="916">
        <v>2</v>
      </c>
      <c r="D1371" s="916">
        <v>1</v>
      </c>
      <c r="E1371" s="628" t="s">
        <v>28</v>
      </c>
      <c r="F1371" s="916">
        <v>13</v>
      </c>
      <c r="G1371" s="916">
        <v>16</v>
      </c>
      <c r="H1371" s="916">
        <v>10</v>
      </c>
      <c r="I1371" s="103" t="s">
        <v>1528</v>
      </c>
      <c r="J1371" s="316" t="s">
        <v>3113</v>
      </c>
      <c r="K1371" s="1815">
        <v>72</v>
      </c>
      <c r="L1371" s="1140">
        <v>1847355680</v>
      </c>
      <c r="M1371" s="1817">
        <v>36</v>
      </c>
      <c r="N1371" s="317">
        <f>'[7]Setelah Perubahan'!$AB$55</f>
        <v>749953800</v>
      </c>
      <c r="O1371" s="314">
        <v>12</v>
      </c>
      <c r="P1371" s="24">
        <v>488880000</v>
      </c>
      <c r="Q1371" s="528">
        <v>3</v>
      </c>
      <c r="R1371" s="24">
        <v>60540000</v>
      </c>
      <c r="S1371" s="11"/>
      <c r="T1371" s="13">
        <v>132890000</v>
      </c>
      <c r="U1371" s="11"/>
      <c r="V1371" s="11"/>
      <c r="W1371" s="11"/>
      <c r="X1371" s="11"/>
      <c r="Y1371" s="1141">
        <f t="shared" si="404"/>
        <v>3</v>
      </c>
      <c r="Z1371" s="27">
        <f t="shared" si="405"/>
        <v>193430000</v>
      </c>
      <c r="AA1371" s="29">
        <f t="shared" si="406"/>
        <v>39</v>
      </c>
      <c r="AB1371" s="24">
        <f t="shared" si="407"/>
        <v>943383800</v>
      </c>
      <c r="AC1371" s="923">
        <f t="shared" si="408"/>
        <v>54.166666666666664</v>
      </c>
      <c r="AD1371" s="31">
        <f t="shared" si="409"/>
        <v>51.06671174443246</v>
      </c>
      <c r="AE1371" s="102"/>
    </row>
    <row r="1372" spans="1:70" ht="49.5">
      <c r="A1372" s="779"/>
      <c r="B1372" s="11"/>
      <c r="C1372" s="916">
        <v>2</v>
      </c>
      <c r="D1372" s="916">
        <v>1</v>
      </c>
      <c r="E1372" s="628" t="s">
        <v>28</v>
      </c>
      <c r="F1372" s="916">
        <v>13</v>
      </c>
      <c r="G1372" s="916">
        <v>16</v>
      </c>
      <c r="H1372" s="1142">
        <v>18</v>
      </c>
      <c r="I1372" s="103" t="s">
        <v>1529</v>
      </c>
      <c r="J1372" s="313" t="s">
        <v>3114</v>
      </c>
      <c r="K1372" s="758">
        <v>12</v>
      </c>
      <c r="L1372" s="24">
        <f>2*N1372</f>
        <v>6945165768</v>
      </c>
      <c r="M1372" s="528">
        <v>6</v>
      </c>
      <c r="N1372" s="24">
        <f>'[7]Setelah Perubahan'!$AB$56</f>
        <v>3472582884</v>
      </c>
      <c r="O1372" s="11">
        <v>2</v>
      </c>
      <c r="P1372" s="24">
        <v>1900813000</v>
      </c>
      <c r="Q1372" s="528">
        <f t="shared" ref="Q1372:Q1374" si="410">R1372/P1372*100</f>
        <v>0</v>
      </c>
      <c r="R1372" s="24">
        <v>0</v>
      </c>
      <c r="S1372" s="11"/>
      <c r="T1372" s="24"/>
      <c r="U1372" s="11"/>
      <c r="V1372" s="11"/>
      <c r="W1372" s="11"/>
      <c r="X1372" s="11"/>
      <c r="Y1372" s="1141">
        <f t="shared" si="404"/>
        <v>0</v>
      </c>
      <c r="Z1372" s="27">
        <f t="shared" si="405"/>
        <v>0</v>
      </c>
      <c r="AA1372" s="29">
        <f t="shared" si="406"/>
        <v>6</v>
      </c>
      <c r="AB1372" s="24">
        <f t="shared" si="407"/>
        <v>3472582884</v>
      </c>
      <c r="AC1372" s="923">
        <f t="shared" si="408"/>
        <v>50</v>
      </c>
      <c r="AD1372" s="31">
        <f t="shared" si="409"/>
        <v>50</v>
      </c>
      <c r="AE1372" s="102"/>
    </row>
    <row r="1373" spans="1:70" ht="66">
      <c r="A1373" s="779"/>
      <c r="B1373" s="11"/>
      <c r="C1373" s="916">
        <v>2</v>
      </c>
      <c r="D1373" s="916">
        <v>1</v>
      </c>
      <c r="E1373" s="628" t="s">
        <v>28</v>
      </c>
      <c r="F1373" s="916">
        <v>13</v>
      </c>
      <c r="G1373" s="916">
        <v>16</v>
      </c>
      <c r="H1373" s="916">
        <v>12</v>
      </c>
      <c r="I1373" s="312" t="s">
        <v>1530</v>
      </c>
      <c r="J1373" s="316" t="s">
        <v>3115</v>
      </c>
      <c r="K1373" s="1816">
        <v>72</v>
      </c>
      <c r="L1373" s="346">
        <v>425912000</v>
      </c>
      <c r="M1373" s="1817">
        <v>36</v>
      </c>
      <c r="N1373" s="319">
        <f>'[7]Setelah Perubahan'!$AB$59</f>
        <v>355130380</v>
      </c>
      <c r="O1373" s="314">
        <v>12</v>
      </c>
      <c r="P1373" s="24">
        <v>305076000</v>
      </c>
      <c r="Q1373" s="528">
        <v>3</v>
      </c>
      <c r="R1373" s="24">
        <v>51628000</v>
      </c>
      <c r="S1373" s="11"/>
      <c r="T1373" s="13">
        <v>100796250</v>
      </c>
      <c r="U1373" s="11"/>
      <c r="V1373" s="11"/>
      <c r="W1373" s="11"/>
      <c r="X1373" s="11"/>
      <c r="Y1373" s="1141">
        <f t="shared" si="404"/>
        <v>3</v>
      </c>
      <c r="Z1373" s="27">
        <f t="shared" si="405"/>
        <v>152424250</v>
      </c>
      <c r="AA1373" s="29">
        <f t="shared" si="406"/>
        <v>39</v>
      </c>
      <c r="AB1373" s="24">
        <f t="shared" si="407"/>
        <v>507554630</v>
      </c>
      <c r="AC1373" s="923">
        <f t="shared" si="408"/>
        <v>54.166666666666664</v>
      </c>
      <c r="AD1373" s="31">
        <f t="shared" si="409"/>
        <v>119.16889639174289</v>
      </c>
      <c r="AE1373" s="102"/>
    </row>
    <row r="1374" spans="1:70" ht="33">
      <c r="A1374" s="779"/>
      <c r="B1374" s="11"/>
      <c r="C1374" s="916">
        <v>2</v>
      </c>
      <c r="D1374" s="916">
        <v>1</v>
      </c>
      <c r="E1374" s="628" t="s">
        <v>28</v>
      </c>
      <c r="F1374" s="916">
        <v>13</v>
      </c>
      <c r="G1374" s="916">
        <v>16</v>
      </c>
      <c r="H1374" s="1142">
        <v>38</v>
      </c>
      <c r="I1374" s="103" t="s">
        <v>1531</v>
      </c>
      <c r="J1374" s="313" t="s">
        <v>3116</v>
      </c>
      <c r="K1374" s="1815">
        <v>20</v>
      </c>
      <c r="L1374" s="348">
        <v>457365200</v>
      </c>
      <c r="M1374" s="528">
        <v>10</v>
      </c>
      <c r="N1374" s="24">
        <f>'[7]Setelah Perubahan'!$AB$60</f>
        <v>129484000</v>
      </c>
      <c r="O1374" s="11">
        <v>4</v>
      </c>
      <c r="P1374" s="24">
        <v>98640000</v>
      </c>
      <c r="Q1374" s="29">
        <f t="shared" si="410"/>
        <v>0</v>
      </c>
      <c r="R1374" s="24">
        <v>0</v>
      </c>
      <c r="S1374" s="11"/>
      <c r="T1374" s="13">
        <v>420000</v>
      </c>
      <c r="U1374" s="11"/>
      <c r="V1374" s="11"/>
      <c r="W1374" s="11"/>
      <c r="X1374" s="11"/>
      <c r="Y1374" s="1141">
        <f t="shared" si="404"/>
        <v>0</v>
      </c>
      <c r="Z1374" s="27">
        <f t="shared" si="405"/>
        <v>420000</v>
      </c>
      <c r="AA1374" s="29">
        <f t="shared" si="406"/>
        <v>10</v>
      </c>
      <c r="AB1374" s="24">
        <f t="shared" si="407"/>
        <v>129904000</v>
      </c>
      <c r="AC1374" s="923">
        <f t="shared" si="408"/>
        <v>50</v>
      </c>
      <c r="AD1374" s="31">
        <f t="shared" si="409"/>
        <v>28.40268564377001</v>
      </c>
      <c r="AE1374" s="102"/>
      <c r="AF1374" s="201"/>
      <c r="AG1374" s="201"/>
      <c r="AH1374" s="201"/>
      <c r="AI1374" s="201"/>
      <c r="AJ1374" s="201"/>
      <c r="AK1374" s="201"/>
      <c r="AL1374" s="201"/>
      <c r="AM1374" s="201"/>
      <c r="AN1374" s="201"/>
      <c r="AO1374" s="201"/>
      <c r="AP1374" s="201"/>
      <c r="AQ1374" s="201"/>
      <c r="AR1374" s="201"/>
      <c r="AS1374" s="201"/>
      <c r="AT1374" s="201"/>
      <c r="AU1374" s="201"/>
      <c r="AV1374" s="201"/>
      <c r="AW1374" s="201"/>
      <c r="AX1374" s="201"/>
      <c r="AY1374" s="201"/>
      <c r="AZ1374" s="201"/>
      <c r="BA1374" s="201"/>
      <c r="BB1374" s="201"/>
      <c r="BC1374" s="20"/>
      <c r="BD1374" s="20"/>
      <c r="BE1374" s="20"/>
      <c r="BF1374" s="20"/>
      <c r="BG1374" s="20"/>
      <c r="BH1374" s="20"/>
      <c r="BI1374" s="20"/>
      <c r="BJ1374" s="20"/>
      <c r="BK1374" s="20"/>
      <c r="BL1374" s="20"/>
      <c r="BM1374" s="20"/>
      <c r="BN1374" s="20"/>
      <c r="BO1374" s="20"/>
      <c r="BP1374" s="20"/>
      <c r="BQ1374" s="20"/>
    </row>
    <row r="1375" spans="1:70" s="1315" customFormat="1" ht="49.5">
      <c r="A1375" s="2539">
        <v>2</v>
      </c>
      <c r="B1375" s="1821"/>
      <c r="C1375" s="1436" t="s">
        <v>107</v>
      </c>
      <c r="D1375" s="1436" t="s">
        <v>25</v>
      </c>
      <c r="E1375" s="1436" t="s">
        <v>28</v>
      </c>
      <c r="F1375" s="1436" t="s">
        <v>45</v>
      </c>
      <c r="G1375" s="1437"/>
      <c r="H1375" s="1437"/>
      <c r="I1375" s="365" t="s">
        <v>1532</v>
      </c>
      <c r="J1375" s="516" t="s">
        <v>3118</v>
      </c>
      <c r="K1375" s="1822">
        <v>15640917</v>
      </c>
      <c r="L1375" s="1796">
        <f>SUM(L1376:L1381)</f>
        <v>7400212000</v>
      </c>
      <c r="M1375" s="1796">
        <v>8936767</v>
      </c>
      <c r="N1375" s="1796">
        <f>SUM(N1376:N1378)</f>
        <v>2065642123</v>
      </c>
      <c r="O1375" s="1825">
        <v>2801850</v>
      </c>
      <c r="P1375" s="1796">
        <f>SUM(P1376:P1381)</f>
        <v>909564900</v>
      </c>
      <c r="Q1375" s="381">
        <v>0</v>
      </c>
      <c r="R1375" s="1796">
        <f>SUM(R1376:R1381)</f>
        <v>5698650</v>
      </c>
      <c r="S1375" s="381"/>
      <c r="T1375" s="1796">
        <f>SUM(T1376:T1381)</f>
        <v>44977900</v>
      </c>
      <c r="U1375" s="381"/>
      <c r="V1375" s="381"/>
      <c r="W1375" s="381"/>
      <c r="X1375" s="381"/>
      <c r="Y1375" s="381">
        <f t="shared" si="404"/>
        <v>0</v>
      </c>
      <c r="Z1375" s="1796">
        <f t="shared" si="405"/>
        <v>50676550</v>
      </c>
      <c r="AA1375" s="33">
        <f t="shared" si="406"/>
        <v>8936767</v>
      </c>
      <c r="AB1375" s="159">
        <f t="shared" si="407"/>
        <v>2116318673</v>
      </c>
      <c r="AC1375" s="151">
        <f t="shared" si="408"/>
        <v>57.137103917884104</v>
      </c>
      <c r="AD1375" s="151">
        <f t="shared" si="409"/>
        <v>28.598081690092119</v>
      </c>
      <c r="AE1375" s="2539" t="s">
        <v>132</v>
      </c>
      <c r="AF1375" s="201"/>
      <c r="AG1375" s="201"/>
      <c r="AH1375" s="201"/>
      <c r="AI1375" s="201"/>
      <c r="AJ1375" s="201"/>
      <c r="AK1375" s="201"/>
      <c r="AL1375" s="201"/>
      <c r="AM1375" s="201"/>
      <c r="AN1375" s="201"/>
      <c r="AO1375" s="201"/>
      <c r="AP1375" s="201"/>
      <c r="AQ1375" s="201"/>
      <c r="AR1375" s="201"/>
      <c r="AS1375" s="201"/>
      <c r="AT1375" s="201"/>
      <c r="AU1375" s="201"/>
      <c r="AV1375" s="201"/>
      <c r="AW1375" s="201"/>
      <c r="AX1375" s="201"/>
      <c r="AY1375" s="201"/>
      <c r="AZ1375" s="201"/>
      <c r="BA1375" s="201"/>
      <c r="BB1375" s="201"/>
      <c r="BC1375" s="20"/>
      <c r="BD1375" s="20"/>
      <c r="BE1375" s="20"/>
      <c r="BF1375" s="20"/>
      <c r="BG1375" s="20"/>
      <c r="BH1375" s="20"/>
      <c r="BI1375" s="20"/>
      <c r="BJ1375" s="20"/>
      <c r="BK1375" s="20"/>
      <c r="BL1375" s="20"/>
      <c r="BM1375" s="20"/>
      <c r="BN1375" s="20"/>
      <c r="BO1375" s="20"/>
      <c r="BP1375" s="20"/>
      <c r="BQ1375" s="20"/>
      <c r="BR1375" s="1346"/>
    </row>
    <row r="1376" spans="1:70" ht="49.5">
      <c r="A1376" s="89"/>
      <c r="B1376" s="88"/>
      <c r="C1376" s="605">
        <v>2</v>
      </c>
      <c r="D1376" s="605">
        <v>1</v>
      </c>
      <c r="E1376" s="605">
        <v>2</v>
      </c>
      <c r="F1376" s="605">
        <v>13</v>
      </c>
      <c r="G1376" s="89">
        <v>15</v>
      </c>
      <c r="H1376" s="89">
        <v>10</v>
      </c>
      <c r="I1376" s="88" t="s">
        <v>998</v>
      </c>
      <c r="J1376" s="124" t="s">
        <v>3117</v>
      </c>
      <c r="K1376" s="100">
        <v>5</v>
      </c>
      <c r="L1376" s="99">
        <f>4*P1376</f>
        <v>451376000</v>
      </c>
      <c r="M1376" s="88">
        <v>0</v>
      </c>
      <c r="N1376" s="99">
        <v>0</v>
      </c>
      <c r="O1376" s="88">
        <v>1</v>
      </c>
      <c r="P1376" s="99">
        <v>112844000</v>
      </c>
      <c r="Q1376" s="88">
        <v>0</v>
      </c>
      <c r="R1376" s="99">
        <v>244000</v>
      </c>
      <c r="S1376" s="88"/>
      <c r="T1376" s="88"/>
      <c r="U1376" s="88"/>
      <c r="V1376" s="88"/>
      <c r="W1376" s="88"/>
      <c r="X1376" s="88"/>
      <c r="Y1376" s="88">
        <f t="shared" si="404"/>
        <v>0</v>
      </c>
      <c r="Z1376" s="99">
        <f t="shared" si="405"/>
        <v>244000</v>
      </c>
      <c r="AA1376" s="320">
        <f t="shared" si="406"/>
        <v>0</v>
      </c>
      <c r="AB1376" s="321">
        <f t="shared" si="407"/>
        <v>244000</v>
      </c>
      <c r="AC1376" s="322">
        <f t="shared" si="408"/>
        <v>0</v>
      </c>
      <c r="AD1376" s="322">
        <f t="shared" si="409"/>
        <v>5.4056928148594523E-2</v>
      </c>
      <c r="AE1376" s="89"/>
      <c r="AF1376" s="200"/>
      <c r="AG1376" s="200"/>
      <c r="AH1376" s="200"/>
      <c r="AI1376" s="200"/>
      <c r="AJ1376" s="200"/>
      <c r="AK1376" s="200"/>
      <c r="AL1376" s="200"/>
      <c r="AM1376" s="200"/>
      <c r="AN1376" s="200"/>
      <c r="AO1376" s="200"/>
      <c r="AP1376" s="200"/>
      <c r="AQ1376" s="200"/>
      <c r="AR1376" s="200"/>
      <c r="AS1376" s="200"/>
      <c r="AT1376" s="200"/>
      <c r="AU1376" s="200"/>
      <c r="AV1376" s="200"/>
      <c r="AW1376" s="200"/>
      <c r="AX1376" s="200"/>
      <c r="AY1376" s="200"/>
      <c r="AZ1376" s="200"/>
      <c r="BA1376" s="200"/>
      <c r="BB1376" s="200"/>
      <c r="BC1376" s="970"/>
      <c r="BD1376" s="970"/>
      <c r="BE1376" s="970"/>
      <c r="BF1376" s="970"/>
      <c r="BG1376" s="970"/>
      <c r="BH1376" s="970"/>
      <c r="BI1376" s="970"/>
      <c r="BJ1376" s="970"/>
      <c r="BK1376" s="970"/>
      <c r="BL1376" s="970"/>
      <c r="BM1376" s="970"/>
      <c r="BN1376" s="970"/>
      <c r="BO1376" s="970"/>
      <c r="BP1376" s="970"/>
      <c r="BQ1376" s="970"/>
    </row>
    <row r="1377" spans="1:70" ht="49.5">
      <c r="A1377" s="551"/>
      <c r="B1377" s="323"/>
      <c r="C1377" s="1438" t="s">
        <v>107</v>
      </c>
      <c r="D1377" s="1438" t="s">
        <v>25</v>
      </c>
      <c r="E1377" s="1438" t="s">
        <v>28</v>
      </c>
      <c r="F1377" s="1438">
        <v>13</v>
      </c>
      <c r="G1377" s="1439">
        <v>15</v>
      </c>
      <c r="H1377" s="1440">
        <v>11</v>
      </c>
      <c r="I1377" s="324" t="s">
        <v>1533</v>
      </c>
      <c r="J1377" s="324" t="s">
        <v>1534</v>
      </c>
      <c r="K1377" s="1818">
        <v>6</v>
      </c>
      <c r="L1377" s="1143">
        <v>3369697000</v>
      </c>
      <c r="M1377" s="325">
        <v>3</v>
      </c>
      <c r="N1377" s="326">
        <f>'[7]Setelah Perubahan'!$AB$63</f>
        <v>1097179665</v>
      </c>
      <c r="O1377" s="327">
        <v>1</v>
      </c>
      <c r="P1377" s="321">
        <v>476769500</v>
      </c>
      <c r="Q1377" s="88">
        <v>0</v>
      </c>
      <c r="R1377" s="321">
        <v>1147700</v>
      </c>
      <c r="S1377" s="328">
        <v>0.5</v>
      </c>
      <c r="T1377" s="321">
        <v>2375000</v>
      </c>
      <c r="U1377" s="328"/>
      <c r="V1377" s="328"/>
      <c r="W1377" s="328"/>
      <c r="X1377" s="328"/>
      <c r="Y1377" s="88">
        <f t="shared" si="404"/>
        <v>0.5</v>
      </c>
      <c r="Z1377" s="99">
        <f t="shared" si="405"/>
        <v>3522700</v>
      </c>
      <c r="AA1377" s="320">
        <f t="shared" si="406"/>
        <v>3.5</v>
      </c>
      <c r="AB1377" s="321">
        <f t="shared" si="407"/>
        <v>1100702365</v>
      </c>
      <c r="AC1377" s="322">
        <f t="shared" si="408"/>
        <v>58.333333333333336</v>
      </c>
      <c r="AD1377" s="322">
        <f t="shared" si="409"/>
        <v>32.664728163986254</v>
      </c>
      <c r="AE1377" s="930"/>
      <c r="AF1377" s="861"/>
      <c r="AG1377" s="861"/>
      <c r="AH1377" s="861"/>
      <c r="AI1377" s="861"/>
      <c r="AJ1377" s="861"/>
      <c r="AK1377" s="861"/>
      <c r="AL1377" s="861"/>
      <c r="AM1377" s="861"/>
      <c r="AN1377" s="861"/>
      <c r="AO1377" s="861"/>
      <c r="AP1377" s="861"/>
      <c r="AQ1377" s="861"/>
      <c r="AR1377" s="861"/>
      <c r="AS1377" s="861"/>
      <c r="AT1377" s="861"/>
      <c r="AU1377" s="861"/>
      <c r="AV1377" s="861"/>
      <c r="AW1377" s="861"/>
      <c r="AX1377" s="861"/>
      <c r="AY1377" s="861"/>
      <c r="AZ1377" s="861"/>
      <c r="BA1377" s="861"/>
      <c r="BB1377" s="861"/>
      <c r="BC1377" s="862"/>
      <c r="BD1377" s="862"/>
      <c r="BE1377" s="862"/>
      <c r="BF1377" s="862"/>
      <c r="BG1377" s="862"/>
      <c r="BH1377" s="862"/>
      <c r="BI1377" s="862"/>
      <c r="BJ1377" s="862"/>
      <c r="BK1377" s="862"/>
      <c r="BL1377" s="862"/>
      <c r="BM1377" s="862"/>
      <c r="BN1377" s="862"/>
      <c r="BO1377" s="862"/>
      <c r="BP1377" s="862"/>
      <c r="BQ1377" s="862"/>
    </row>
    <row r="1378" spans="1:70" ht="33">
      <c r="A1378" s="779"/>
      <c r="B1378" s="199"/>
      <c r="C1378" s="1441" t="s">
        <v>107</v>
      </c>
      <c r="D1378" s="1441" t="s">
        <v>25</v>
      </c>
      <c r="E1378" s="1441" t="s">
        <v>28</v>
      </c>
      <c r="F1378" s="1441">
        <v>13</v>
      </c>
      <c r="G1378" s="1442">
        <v>15</v>
      </c>
      <c r="H1378" s="1443">
        <v>14</v>
      </c>
      <c r="I1378" s="114" t="s">
        <v>1535</v>
      </c>
      <c r="J1378" s="114" t="s">
        <v>3119</v>
      </c>
      <c r="K1378" s="122">
        <v>18</v>
      </c>
      <c r="L1378" s="1144">
        <v>3080681500</v>
      </c>
      <c r="M1378" s="329">
        <v>9</v>
      </c>
      <c r="N1378" s="330">
        <f>'[7]Setelah Perubahan'!$AB$64</f>
        <v>968462458</v>
      </c>
      <c r="O1378" s="331">
        <v>3</v>
      </c>
      <c r="P1378" s="99">
        <v>142628900</v>
      </c>
      <c r="Q1378" s="88">
        <v>0</v>
      </c>
      <c r="R1378" s="99">
        <v>3120000</v>
      </c>
      <c r="S1378" s="88"/>
      <c r="T1378" s="99">
        <v>42602900</v>
      </c>
      <c r="U1378" s="88"/>
      <c r="V1378" s="88"/>
      <c r="W1378" s="88"/>
      <c r="X1378" s="88"/>
      <c r="Y1378" s="88">
        <f t="shared" si="404"/>
        <v>0</v>
      </c>
      <c r="Z1378" s="99">
        <f t="shared" si="405"/>
        <v>45722900</v>
      </c>
      <c r="AA1378" s="332">
        <f t="shared" si="406"/>
        <v>9</v>
      </c>
      <c r="AB1378" s="99">
        <f t="shared" si="407"/>
        <v>1014185358</v>
      </c>
      <c r="AC1378" s="123">
        <f t="shared" si="408"/>
        <v>50</v>
      </c>
      <c r="AD1378" s="123">
        <f t="shared" si="409"/>
        <v>32.920811774927074</v>
      </c>
      <c r="AE1378" s="89"/>
    </row>
    <row r="1379" spans="1:70" ht="49.5">
      <c r="A1379" s="779"/>
      <c r="B1379" s="199"/>
      <c r="C1379" s="1444" t="s">
        <v>107</v>
      </c>
      <c r="D1379" s="1444" t="s">
        <v>25</v>
      </c>
      <c r="E1379" s="1444" t="s">
        <v>28</v>
      </c>
      <c r="F1379" s="1444">
        <v>13</v>
      </c>
      <c r="G1379" s="1442">
        <v>15</v>
      </c>
      <c r="H1379" s="1443">
        <v>33</v>
      </c>
      <c r="I1379" s="333" t="s">
        <v>1536</v>
      </c>
      <c r="J1379" s="306" t="s">
        <v>3120</v>
      </c>
      <c r="K1379" s="1819">
        <v>1</v>
      </c>
      <c r="L1379" s="1145">
        <f>P1379</f>
        <v>60957500</v>
      </c>
      <c r="M1379" s="334">
        <v>0</v>
      </c>
      <c r="N1379" s="335">
        <v>0</v>
      </c>
      <c r="O1379" s="336">
        <v>1</v>
      </c>
      <c r="P1379" s="99">
        <v>60957500</v>
      </c>
      <c r="Q1379" s="88">
        <v>0</v>
      </c>
      <c r="R1379" s="99">
        <v>1186950</v>
      </c>
      <c r="S1379" s="88"/>
      <c r="T1379" s="88"/>
      <c r="U1379" s="88"/>
      <c r="V1379" s="88"/>
      <c r="W1379" s="88"/>
      <c r="X1379" s="88"/>
      <c r="Y1379" s="88">
        <f t="shared" si="404"/>
        <v>0</v>
      </c>
      <c r="Z1379" s="99">
        <f t="shared" si="405"/>
        <v>1186950</v>
      </c>
      <c r="AA1379" s="332">
        <f t="shared" si="406"/>
        <v>0</v>
      </c>
      <c r="AB1379" s="99">
        <f t="shared" si="407"/>
        <v>1186950</v>
      </c>
      <c r="AC1379" s="123">
        <f t="shared" si="408"/>
        <v>0</v>
      </c>
      <c r="AD1379" s="123">
        <f t="shared" si="409"/>
        <v>1.9471763113644753</v>
      </c>
      <c r="AE1379" s="89"/>
      <c r="AG1379" s="751"/>
    </row>
    <row r="1380" spans="1:70" ht="49.5">
      <c r="A1380" s="779"/>
      <c r="B1380" s="199"/>
      <c r="C1380" s="1444" t="s">
        <v>107</v>
      </c>
      <c r="D1380" s="1444" t="s">
        <v>25</v>
      </c>
      <c r="E1380" s="1444" t="s">
        <v>28</v>
      </c>
      <c r="F1380" s="1444">
        <v>13</v>
      </c>
      <c r="G1380" s="1445">
        <v>15</v>
      </c>
      <c r="H1380" s="1446">
        <v>34</v>
      </c>
      <c r="I1380" s="337" t="s">
        <v>1537</v>
      </c>
      <c r="J1380" s="324" t="s">
        <v>1538</v>
      </c>
      <c r="K1380" s="1818">
        <v>5</v>
      </c>
      <c r="L1380" s="1143">
        <f>5*P1380</f>
        <v>337500000</v>
      </c>
      <c r="M1380" s="1826">
        <v>1</v>
      </c>
      <c r="N1380" s="1146">
        <f>P1380</f>
        <v>67500000</v>
      </c>
      <c r="O1380" s="1820">
        <v>1</v>
      </c>
      <c r="P1380" s="99">
        <v>67500000</v>
      </c>
      <c r="Q1380" s="88">
        <f t="shared" ref="Q1380:Q1381" si="411">R1380/P1380*100</f>
        <v>0</v>
      </c>
      <c r="R1380" s="99">
        <v>0</v>
      </c>
      <c r="S1380" s="88"/>
      <c r="T1380" s="88"/>
      <c r="U1380" s="88"/>
      <c r="V1380" s="88"/>
      <c r="W1380" s="88"/>
      <c r="X1380" s="88"/>
      <c r="Y1380" s="88">
        <f t="shared" si="404"/>
        <v>0</v>
      </c>
      <c r="Z1380" s="99">
        <f t="shared" si="405"/>
        <v>0</v>
      </c>
      <c r="AA1380" s="332">
        <f t="shared" si="406"/>
        <v>1</v>
      </c>
      <c r="AB1380" s="99">
        <f t="shared" si="407"/>
        <v>67500000</v>
      </c>
      <c r="AC1380" s="123">
        <f t="shared" si="408"/>
        <v>20</v>
      </c>
      <c r="AD1380" s="123">
        <f t="shared" si="409"/>
        <v>20</v>
      </c>
      <c r="AE1380" s="89"/>
      <c r="AG1380" s="751"/>
    </row>
    <row r="1381" spans="1:70" ht="49.5">
      <c r="A1381" s="779"/>
      <c r="B1381" s="338"/>
      <c r="C1381" s="1447">
        <v>2</v>
      </c>
      <c r="D1381" s="1447">
        <v>1</v>
      </c>
      <c r="E1381" s="1447">
        <v>2</v>
      </c>
      <c r="F1381" s="1448">
        <v>13</v>
      </c>
      <c r="G1381" s="605">
        <v>15</v>
      </c>
      <c r="H1381" s="89">
        <v>36</v>
      </c>
      <c r="I1381" s="114" t="s">
        <v>1539</v>
      </c>
      <c r="J1381" s="114" t="s">
        <v>3121</v>
      </c>
      <c r="K1381" s="1820">
        <v>3</v>
      </c>
      <c r="L1381" s="99">
        <v>100000000</v>
      </c>
      <c r="M1381" s="88">
        <v>0</v>
      </c>
      <c r="N1381" s="99">
        <v>0</v>
      </c>
      <c r="O1381" s="88">
        <v>1</v>
      </c>
      <c r="P1381" s="99">
        <v>48865000</v>
      </c>
      <c r="Q1381" s="88">
        <f t="shared" si="411"/>
        <v>0</v>
      </c>
      <c r="R1381" s="99">
        <v>0</v>
      </c>
      <c r="S1381" s="88"/>
      <c r="T1381" s="88"/>
      <c r="U1381" s="88"/>
      <c r="V1381" s="88"/>
      <c r="W1381" s="88"/>
      <c r="X1381" s="88"/>
      <c r="Y1381" s="88">
        <f t="shared" si="404"/>
        <v>0</v>
      </c>
      <c r="Z1381" s="99">
        <f t="shared" si="405"/>
        <v>0</v>
      </c>
      <c r="AA1381" s="332">
        <f t="shared" si="406"/>
        <v>0</v>
      </c>
      <c r="AB1381" s="99">
        <f t="shared" si="407"/>
        <v>0</v>
      </c>
      <c r="AC1381" s="123">
        <f t="shared" si="408"/>
        <v>0</v>
      </c>
      <c r="AD1381" s="123">
        <f t="shared" si="409"/>
        <v>0</v>
      </c>
      <c r="AE1381" s="89"/>
      <c r="AG1381" s="751"/>
    </row>
    <row r="1382" spans="1:70" s="1315" customFormat="1" ht="99">
      <c r="A1382" s="2558">
        <v>3</v>
      </c>
      <c r="B1382" s="33"/>
      <c r="C1382" s="1434" t="s">
        <v>107</v>
      </c>
      <c r="D1382" s="1434" t="s">
        <v>25</v>
      </c>
      <c r="E1382" s="1434" t="s">
        <v>28</v>
      </c>
      <c r="F1382" s="1434">
        <v>13</v>
      </c>
      <c r="G1382" s="303">
        <v>17</v>
      </c>
      <c r="H1382" s="989"/>
      <c r="I1382" s="142" t="s">
        <v>1540</v>
      </c>
      <c r="J1382" s="142" t="s">
        <v>3122</v>
      </c>
      <c r="K1382" s="1792">
        <v>37</v>
      </c>
      <c r="L1382" s="159">
        <f>SUM(L1383:L1384)</f>
        <v>2833102000</v>
      </c>
      <c r="M1382" s="33">
        <v>30</v>
      </c>
      <c r="N1382" s="159">
        <f>SUM(N1383)</f>
        <v>167768000</v>
      </c>
      <c r="O1382" s="33">
        <v>2</v>
      </c>
      <c r="P1382" s="159">
        <f>SUM(P1383:P1384)</f>
        <v>855820000</v>
      </c>
      <c r="Q1382" s="33">
        <v>0</v>
      </c>
      <c r="R1382" s="159">
        <f>SUM(R1383:R1384)</f>
        <v>352000</v>
      </c>
      <c r="S1382" s="33"/>
      <c r="T1382" s="144">
        <f>SUM(T1383:T1384)</f>
        <v>15447400</v>
      </c>
      <c r="U1382" s="33"/>
      <c r="V1382" s="33"/>
      <c r="W1382" s="33"/>
      <c r="X1382" s="33"/>
      <c r="Y1382" s="33">
        <f t="shared" si="404"/>
        <v>0</v>
      </c>
      <c r="Z1382" s="159">
        <f t="shared" si="405"/>
        <v>15799400</v>
      </c>
      <c r="AA1382" s="532">
        <f t="shared" si="406"/>
        <v>30</v>
      </c>
      <c r="AB1382" s="159">
        <f t="shared" si="407"/>
        <v>183567400</v>
      </c>
      <c r="AC1382" s="151">
        <f t="shared" si="408"/>
        <v>81.081081081081081</v>
      </c>
      <c r="AD1382" s="151">
        <f t="shared" si="409"/>
        <v>6.4793784339568434</v>
      </c>
      <c r="AE1382" s="2558" t="s">
        <v>132</v>
      </c>
      <c r="AF1382" s="1345"/>
      <c r="AG1382" s="1671"/>
      <c r="AH1382" s="1345"/>
      <c r="AI1382" s="1345"/>
      <c r="AJ1382" s="1345"/>
      <c r="AK1382" s="1345"/>
      <c r="AL1382" s="1345"/>
      <c r="AM1382" s="1345"/>
      <c r="AN1382" s="1345"/>
      <c r="AO1382" s="1345"/>
      <c r="AP1382" s="1345"/>
      <c r="AQ1382" s="1345"/>
      <c r="AR1382" s="1345"/>
      <c r="AS1382" s="1345"/>
      <c r="AT1382" s="1345"/>
      <c r="AU1382" s="1345"/>
      <c r="AV1382" s="1345"/>
      <c r="AW1382" s="1345"/>
      <c r="AX1382" s="1345"/>
      <c r="AY1382" s="1345"/>
      <c r="AZ1382" s="1345"/>
      <c r="BA1382" s="1345"/>
      <c r="BB1382" s="1345"/>
      <c r="BC1382" s="1346"/>
      <c r="BD1382" s="1346"/>
      <c r="BE1382" s="1346"/>
      <c r="BF1382" s="1346"/>
      <c r="BG1382" s="1346"/>
      <c r="BH1382" s="1346"/>
      <c r="BI1382" s="1346"/>
      <c r="BJ1382" s="1346"/>
      <c r="BK1382" s="1346"/>
      <c r="BL1382" s="1346"/>
      <c r="BM1382" s="1346"/>
      <c r="BN1382" s="1346"/>
      <c r="BO1382" s="1346"/>
      <c r="BP1382" s="1346"/>
      <c r="BQ1382" s="1346"/>
      <c r="BR1382" s="1346"/>
    </row>
    <row r="1383" spans="1:70" ht="66">
      <c r="A1383" s="779"/>
      <c r="B1383" s="11"/>
      <c r="C1383" s="605">
        <v>2</v>
      </c>
      <c r="D1383" s="605">
        <v>1</v>
      </c>
      <c r="E1383" s="605">
        <v>2</v>
      </c>
      <c r="F1383" s="605">
        <v>13</v>
      </c>
      <c r="G1383" s="304">
        <v>19</v>
      </c>
      <c r="H1383" s="239">
        <v>8</v>
      </c>
      <c r="I1383" s="339" t="s">
        <v>1541</v>
      </c>
      <c r="J1383" s="316" t="s">
        <v>3123</v>
      </c>
      <c r="K1383" s="1807">
        <v>5</v>
      </c>
      <c r="L1383" s="346">
        <v>594592000</v>
      </c>
      <c r="M1383" s="309">
        <v>2</v>
      </c>
      <c r="N1383" s="317">
        <f>'[7]Setelah Perubahan'!$AB$69</f>
        <v>167768000</v>
      </c>
      <c r="O1383" s="314">
        <v>1</v>
      </c>
      <c r="P1383" s="24">
        <v>109650000</v>
      </c>
      <c r="Q1383" s="29">
        <f>R1383/P1383*100</f>
        <v>0</v>
      </c>
      <c r="R1383" s="24">
        <v>0</v>
      </c>
      <c r="S1383" s="11">
        <v>14.09</v>
      </c>
      <c r="T1383" s="24">
        <v>15447400</v>
      </c>
      <c r="U1383" s="11"/>
      <c r="V1383" s="11"/>
      <c r="W1383" s="11"/>
      <c r="X1383" s="11"/>
      <c r="Y1383" s="29">
        <f t="shared" si="404"/>
        <v>14.09</v>
      </c>
      <c r="Z1383" s="24">
        <f t="shared" si="405"/>
        <v>15447400</v>
      </c>
      <c r="AA1383" s="332">
        <f t="shared" si="406"/>
        <v>16.09</v>
      </c>
      <c r="AB1383" s="99">
        <f t="shared" si="407"/>
        <v>183215400</v>
      </c>
      <c r="AC1383" s="31">
        <f t="shared" si="408"/>
        <v>321.8</v>
      </c>
      <c r="AD1383" s="31">
        <f t="shared" si="409"/>
        <v>30.813633550400947</v>
      </c>
      <c r="AE1383" s="102"/>
      <c r="AG1383" s="751"/>
    </row>
    <row r="1384" spans="1:70" ht="49.5">
      <c r="A1384" s="779"/>
      <c r="B1384" s="11"/>
      <c r="C1384" s="304">
        <v>2</v>
      </c>
      <c r="D1384" s="304">
        <v>1</v>
      </c>
      <c r="E1384" s="304">
        <v>2</v>
      </c>
      <c r="F1384" s="304">
        <v>13</v>
      </c>
      <c r="G1384" s="304">
        <v>10</v>
      </c>
      <c r="H1384" s="239">
        <v>1</v>
      </c>
      <c r="I1384" s="340" t="s">
        <v>1542</v>
      </c>
      <c r="J1384" s="341" t="s">
        <v>3124</v>
      </c>
      <c r="K1384" s="1309">
        <v>3</v>
      </c>
      <c r="L1384" s="342">
        <f>3*P1384</f>
        <v>2238510000</v>
      </c>
      <c r="M1384" s="343">
        <v>0</v>
      </c>
      <c r="N1384" s="310">
        <v>0</v>
      </c>
      <c r="O1384" s="314">
        <v>3</v>
      </c>
      <c r="P1384" s="24">
        <v>746170000</v>
      </c>
      <c r="Q1384" s="29">
        <v>3</v>
      </c>
      <c r="R1384" s="24">
        <v>352000</v>
      </c>
      <c r="S1384" s="11"/>
      <c r="T1384" s="11"/>
      <c r="U1384" s="11"/>
      <c r="V1384" s="11"/>
      <c r="W1384" s="11"/>
      <c r="X1384" s="11"/>
      <c r="Y1384" s="29">
        <f t="shared" si="404"/>
        <v>3</v>
      </c>
      <c r="Z1384" s="24">
        <f t="shared" si="405"/>
        <v>352000</v>
      </c>
      <c r="AA1384" s="332">
        <f t="shared" si="406"/>
        <v>3</v>
      </c>
      <c r="AB1384" s="99">
        <f t="shared" si="407"/>
        <v>352000</v>
      </c>
      <c r="AC1384" s="31">
        <f t="shared" si="408"/>
        <v>100</v>
      </c>
      <c r="AD1384" s="31">
        <f t="shared" si="409"/>
        <v>1.5724745478018862E-2</v>
      </c>
      <c r="AE1384" s="102"/>
      <c r="AG1384" s="751"/>
    </row>
    <row r="1385" spans="1:70" s="1315" customFormat="1" ht="99">
      <c r="A1385" s="2558">
        <v>4</v>
      </c>
      <c r="B1385" s="1827"/>
      <c r="C1385" s="303">
        <v>2</v>
      </c>
      <c r="D1385" s="303">
        <v>1</v>
      </c>
      <c r="E1385" s="303">
        <v>2</v>
      </c>
      <c r="F1385" s="303">
        <v>13</v>
      </c>
      <c r="G1385" s="303">
        <v>18</v>
      </c>
      <c r="H1385" s="989"/>
      <c r="I1385" s="367" t="s">
        <v>154</v>
      </c>
      <c r="J1385" s="33" t="s">
        <v>3125</v>
      </c>
      <c r="K1385" s="1792">
        <v>12</v>
      </c>
      <c r="L1385" s="159">
        <f>SUM(L1386:L1389)</f>
        <v>3080126980</v>
      </c>
      <c r="M1385" s="33">
        <v>6</v>
      </c>
      <c r="N1385" s="159">
        <f>SUM(N1386:N1389)</f>
        <v>1277848508</v>
      </c>
      <c r="O1385" s="33">
        <v>2</v>
      </c>
      <c r="P1385" s="159">
        <f>SUM(P1386:P1389)</f>
        <v>860787299</v>
      </c>
      <c r="Q1385" s="33">
        <v>0</v>
      </c>
      <c r="R1385" s="159">
        <f>SUM(R1386:R1389)</f>
        <v>98144150</v>
      </c>
      <c r="S1385" s="33"/>
      <c r="T1385" s="159">
        <f>SUM(T1386:T1389)</f>
        <v>284927702</v>
      </c>
      <c r="U1385" s="33"/>
      <c r="V1385" s="33"/>
      <c r="W1385" s="33"/>
      <c r="X1385" s="33"/>
      <c r="Y1385" s="33">
        <f t="shared" si="404"/>
        <v>0</v>
      </c>
      <c r="Z1385" s="159">
        <f t="shared" si="405"/>
        <v>383071852</v>
      </c>
      <c r="AA1385" s="33">
        <f t="shared" si="406"/>
        <v>6</v>
      </c>
      <c r="AB1385" s="159">
        <f t="shared" si="407"/>
        <v>1660920360</v>
      </c>
      <c r="AC1385" s="151">
        <f t="shared" si="408"/>
        <v>50</v>
      </c>
      <c r="AD1385" s="151">
        <f t="shared" si="409"/>
        <v>53.923762584619162</v>
      </c>
      <c r="AE1385" s="2558" t="s">
        <v>132</v>
      </c>
      <c r="AF1385" s="1345"/>
      <c r="AG1385" s="1671"/>
      <c r="AH1385" s="1345"/>
      <c r="AI1385" s="1345"/>
      <c r="AJ1385" s="1345"/>
      <c r="AK1385" s="1345"/>
      <c r="AL1385" s="1345"/>
      <c r="AM1385" s="1345"/>
      <c r="AN1385" s="1345"/>
      <c r="AO1385" s="1345"/>
      <c r="AP1385" s="1345"/>
      <c r="AQ1385" s="1345"/>
      <c r="AR1385" s="1345"/>
      <c r="AS1385" s="1345"/>
      <c r="AT1385" s="1345"/>
      <c r="AU1385" s="1345"/>
      <c r="AV1385" s="1345"/>
      <c r="AW1385" s="1345"/>
      <c r="AX1385" s="1345"/>
      <c r="AY1385" s="1345"/>
      <c r="AZ1385" s="1345"/>
      <c r="BA1385" s="1345"/>
      <c r="BB1385" s="1345"/>
      <c r="BC1385" s="1346"/>
      <c r="BD1385" s="1346"/>
      <c r="BE1385" s="1346"/>
      <c r="BF1385" s="1346"/>
      <c r="BG1385" s="1346"/>
      <c r="BH1385" s="1346"/>
      <c r="BI1385" s="1346"/>
      <c r="BJ1385" s="1346"/>
      <c r="BK1385" s="1346"/>
      <c r="BL1385" s="1346"/>
      <c r="BM1385" s="1346"/>
      <c r="BN1385" s="1346"/>
      <c r="BO1385" s="1346"/>
      <c r="BP1385" s="1346"/>
      <c r="BQ1385" s="1346"/>
      <c r="BR1385" s="1346"/>
    </row>
    <row r="1386" spans="1:70" s="22" customFormat="1" ht="33">
      <c r="A1386" s="779"/>
      <c r="C1386" s="304">
        <v>2</v>
      </c>
      <c r="D1386" s="605">
        <v>1</v>
      </c>
      <c r="E1386" s="605">
        <v>2</v>
      </c>
      <c r="F1386" s="605">
        <v>13</v>
      </c>
      <c r="G1386" s="605">
        <v>18</v>
      </c>
      <c r="H1386" s="779">
        <v>29</v>
      </c>
      <c r="I1386" s="344" t="s">
        <v>1543</v>
      </c>
      <c r="J1386" s="345" t="s">
        <v>3126</v>
      </c>
      <c r="K1386" s="1807">
        <v>6</v>
      </c>
      <c r="L1386" s="346">
        <v>939685480</v>
      </c>
      <c r="M1386" s="528">
        <v>3</v>
      </c>
      <c r="N1386" s="30">
        <f>'[7]Setelah Perubahan'!$AB$75</f>
        <v>390714800</v>
      </c>
      <c r="O1386" s="347">
        <v>1</v>
      </c>
      <c r="P1386" s="24">
        <v>435616100</v>
      </c>
      <c r="Q1386" s="528">
        <v>1</v>
      </c>
      <c r="R1386" s="24">
        <v>39786500</v>
      </c>
      <c r="S1386" s="11"/>
      <c r="T1386" s="24">
        <v>236389102</v>
      </c>
      <c r="U1386" s="11"/>
      <c r="V1386" s="11"/>
      <c r="W1386" s="11"/>
      <c r="X1386" s="11"/>
      <c r="Y1386" s="29">
        <f t="shared" si="404"/>
        <v>1</v>
      </c>
      <c r="Z1386" s="24">
        <f t="shared" si="405"/>
        <v>276175602</v>
      </c>
      <c r="AA1386" s="29">
        <f t="shared" si="406"/>
        <v>4</v>
      </c>
      <c r="AB1386" s="24">
        <f t="shared" si="407"/>
        <v>666890402</v>
      </c>
      <c r="AC1386" s="31">
        <f t="shared" si="408"/>
        <v>66.666666666666657</v>
      </c>
      <c r="AD1386" s="31">
        <f t="shared" si="409"/>
        <v>70.969533550736571</v>
      </c>
      <c r="AE1386" s="102"/>
      <c r="AF1386" s="750"/>
      <c r="AG1386" s="751"/>
      <c r="AH1386" s="750"/>
      <c r="AI1386" s="750"/>
      <c r="AJ1386" s="750"/>
      <c r="AK1386" s="750"/>
      <c r="AL1386" s="750"/>
      <c r="AM1386" s="750"/>
      <c r="AN1386" s="750"/>
      <c r="AO1386" s="750"/>
      <c r="AP1386" s="750"/>
      <c r="AQ1386" s="750"/>
      <c r="AR1386" s="750"/>
      <c r="AS1386" s="750"/>
      <c r="AT1386" s="750"/>
      <c r="AU1386" s="750"/>
      <c r="AV1386" s="750"/>
      <c r="AW1386" s="750"/>
      <c r="AX1386" s="750"/>
      <c r="AY1386" s="750"/>
      <c r="AZ1386" s="750"/>
      <c r="BA1386" s="750"/>
      <c r="BB1386" s="750"/>
      <c r="BC1386" s="752"/>
      <c r="BD1386" s="752"/>
      <c r="BE1386" s="752"/>
      <c r="BF1386" s="752"/>
      <c r="BG1386" s="752"/>
      <c r="BH1386" s="752"/>
      <c r="BI1386" s="752"/>
      <c r="BJ1386" s="752"/>
      <c r="BK1386" s="752"/>
      <c r="BL1386" s="752"/>
      <c r="BM1386" s="752"/>
      <c r="BN1386" s="752"/>
      <c r="BO1386" s="752"/>
      <c r="BP1386" s="752"/>
      <c r="BQ1386" s="752"/>
      <c r="BR1386" s="752"/>
    </row>
    <row r="1387" spans="1:70" s="22" customFormat="1" ht="33">
      <c r="A1387" s="779"/>
      <c r="B1387" s="199"/>
      <c r="C1387" s="304">
        <v>2</v>
      </c>
      <c r="D1387" s="304">
        <v>1</v>
      </c>
      <c r="E1387" s="304">
        <v>2</v>
      </c>
      <c r="F1387" s="304">
        <v>13</v>
      </c>
      <c r="G1387" s="304">
        <v>18</v>
      </c>
      <c r="H1387" s="779">
        <v>3</v>
      </c>
      <c r="I1387" s="340" t="s">
        <v>1544</v>
      </c>
      <c r="J1387" s="11" t="s">
        <v>3127</v>
      </c>
      <c r="K1387" s="1309">
        <v>200</v>
      </c>
      <c r="L1387" s="342">
        <v>150000000</v>
      </c>
      <c r="M1387" s="528">
        <v>0</v>
      </c>
      <c r="N1387" s="24">
        <v>0</v>
      </c>
      <c r="O1387" s="314">
        <v>50</v>
      </c>
      <c r="P1387" s="24">
        <v>128549499</v>
      </c>
      <c r="Q1387" s="528">
        <v>5</v>
      </c>
      <c r="R1387" s="24">
        <v>19927500</v>
      </c>
      <c r="S1387" s="11"/>
      <c r="T1387" s="24">
        <v>7693700</v>
      </c>
      <c r="U1387" s="11"/>
      <c r="V1387" s="11"/>
      <c r="W1387" s="11"/>
      <c r="X1387" s="11"/>
      <c r="Y1387" s="29">
        <f t="shared" si="404"/>
        <v>5</v>
      </c>
      <c r="Z1387" s="24">
        <f t="shared" si="405"/>
        <v>27621200</v>
      </c>
      <c r="AA1387" s="29">
        <f t="shared" si="406"/>
        <v>5</v>
      </c>
      <c r="AB1387" s="24">
        <f t="shared" si="407"/>
        <v>27621200</v>
      </c>
      <c r="AC1387" s="31">
        <f t="shared" si="408"/>
        <v>2.5</v>
      </c>
      <c r="AD1387" s="31">
        <f t="shared" si="409"/>
        <v>18.414133333333332</v>
      </c>
      <c r="AE1387" s="102"/>
      <c r="AF1387" s="750"/>
      <c r="AG1387" s="751"/>
      <c r="AH1387" s="750"/>
      <c r="AI1387" s="750"/>
      <c r="AJ1387" s="750"/>
      <c r="AK1387" s="750"/>
      <c r="AL1387" s="750"/>
      <c r="AM1387" s="750"/>
      <c r="AN1387" s="750"/>
      <c r="AO1387" s="750"/>
      <c r="AP1387" s="750"/>
      <c r="AQ1387" s="750"/>
      <c r="AR1387" s="750"/>
      <c r="AS1387" s="750"/>
      <c r="AT1387" s="750"/>
      <c r="AU1387" s="750"/>
      <c r="AV1387" s="750"/>
      <c r="AW1387" s="750"/>
      <c r="AX1387" s="750"/>
      <c r="AY1387" s="750"/>
      <c r="AZ1387" s="750"/>
      <c r="BA1387" s="750"/>
      <c r="BB1387" s="750"/>
      <c r="BC1387" s="752"/>
      <c r="BD1387" s="752"/>
      <c r="BE1387" s="752"/>
      <c r="BF1387" s="752"/>
      <c r="BG1387" s="752"/>
      <c r="BH1387" s="752"/>
      <c r="BI1387" s="752"/>
      <c r="BJ1387" s="752"/>
      <c r="BK1387" s="752"/>
      <c r="BL1387" s="752"/>
      <c r="BM1387" s="752"/>
      <c r="BN1387" s="752"/>
      <c r="BO1387" s="752"/>
      <c r="BP1387" s="752"/>
      <c r="BQ1387" s="752"/>
      <c r="BR1387" s="752"/>
    </row>
    <row r="1388" spans="1:70" s="22" customFormat="1" ht="49.5">
      <c r="A1388" s="779"/>
      <c r="B1388" s="199"/>
      <c r="C1388" s="304">
        <v>2</v>
      </c>
      <c r="D1388" s="304">
        <v>1</v>
      </c>
      <c r="E1388" s="304">
        <v>2</v>
      </c>
      <c r="F1388" s="304">
        <v>13</v>
      </c>
      <c r="G1388" s="304">
        <v>18</v>
      </c>
      <c r="H1388" s="779">
        <v>23</v>
      </c>
      <c r="I1388" s="240" t="s">
        <v>1545</v>
      </c>
      <c r="J1388" s="250" t="s">
        <v>3128</v>
      </c>
      <c r="K1388" s="1798">
        <v>100</v>
      </c>
      <c r="L1388" s="348">
        <v>823777000</v>
      </c>
      <c r="M1388" s="528">
        <v>60</v>
      </c>
      <c r="N1388" s="349">
        <f>'[7]Setelah Perubahan'!$AB$77</f>
        <v>407747200</v>
      </c>
      <c r="O1388" s="314">
        <v>10</v>
      </c>
      <c r="P1388" s="24">
        <v>83700000</v>
      </c>
      <c r="Q1388" s="528">
        <v>4</v>
      </c>
      <c r="R1388" s="24">
        <v>33584750</v>
      </c>
      <c r="S1388" s="11"/>
      <c r="T1388" s="24">
        <v>25024750</v>
      </c>
      <c r="U1388" s="11"/>
      <c r="V1388" s="11"/>
      <c r="W1388" s="11"/>
      <c r="X1388" s="11"/>
      <c r="Y1388" s="29">
        <f t="shared" si="404"/>
        <v>4</v>
      </c>
      <c r="Z1388" s="24">
        <f t="shared" si="405"/>
        <v>58609500</v>
      </c>
      <c r="AA1388" s="29">
        <f t="shared" si="406"/>
        <v>64</v>
      </c>
      <c r="AB1388" s="24">
        <f t="shared" si="407"/>
        <v>466356700</v>
      </c>
      <c r="AC1388" s="29">
        <f t="shared" si="408"/>
        <v>64</v>
      </c>
      <c r="AD1388" s="31">
        <f t="shared" si="409"/>
        <v>56.612007861350818</v>
      </c>
      <c r="AE1388" s="102"/>
      <c r="AF1388" s="750"/>
      <c r="AG1388" s="751"/>
      <c r="AH1388" s="750"/>
      <c r="AI1388" s="750"/>
      <c r="AJ1388" s="750"/>
      <c r="AK1388" s="750"/>
      <c r="AL1388" s="750"/>
      <c r="AM1388" s="750"/>
      <c r="AN1388" s="750"/>
      <c r="AO1388" s="750"/>
      <c r="AP1388" s="750"/>
      <c r="AQ1388" s="750"/>
      <c r="AR1388" s="750"/>
      <c r="AS1388" s="750"/>
      <c r="AT1388" s="750"/>
      <c r="AU1388" s="750"/>
      <c r="AV1388" s="750"/>
      <c r="AW1388" s="750"/>
      <c r="AX1388" s="750"/>
      <c r="AY1388" s="750"/>
      <c r="AZ1388" s="750"/>
      <c r="BA1388" s="750"/>
      <c r="BB1388" s="750"/>
      <c r="BC1388" s="752"/>
      <c r="BD1388" s="752"/>
      <c r="BE1388" s="752"/>
      <c r="BF1388" s="752"/>
      <c r="BG1388" s="752"/>
      <c r="BH1388" s="752"/>
      <c r="BI1388" s="752"/>
      <c r="BJ1388" s="752"/>
      <c r="BK1388" s="752"/>
      <c r="BL1388" s="752"/>
      <c r="BM1388" s="752"/>
      <c r="BN1388" s="752"/>
      <c r="BO1388" s="752"/>
      <c r="BP1388" s="752"/>
      <c r="BQ1388" s="752"/>
      <c r="BR1388" s="752"/>
    </row>
    <row r="1389" spans="1:70" s="22" customFormat="1" ht="33">
      <c r="A1389" s="779"/>
      <c r="B1389" s="784"/>
      <c r="C1389" s="1431">
        <v>2</v>
      </c>
      <c r="D1389" s="1431">
        <v>1</v>
      </c>
      <c r="E1389" s="1431">
        <v>2</v>
      </c>
      <c r="F1389" s="1431">
        <v>13</v>
      </c>
      <c r="G1389" s="605">
        <v>18</v>
      </c>
      <c r="H1389" s="550">
        <v>24</v>
      </c>
      <c r="I1389" s="351" t="s">
        <v>1546</v>
      </c>
      <c r="J1389" s="352" t="s">
        <v>3129</v>
      </c>
      <c r="K1389" s="1828">
        <v>6</v>
      </c>
      <c r="L1389" s="353">
        <v>1166664500</v>
      </c>
      <c r="M1389" s="1829">
        <v>3</v>
      </c>
      <c r="N1389" s="355">
        <f>'[7]Setelah Perubahan'!$AB$79</f>
        <v>479386508</v>
      </c>
      <c r="O1389" s="356">
        <v>1</v>
      </c>
      <c r="P1389" s="28">
        <v>212921700</v>
      </c>
      <c r="Q1389" s="528">
        <v>0</v>
      </c>
      <c r="R1389" s="28">
        <v>4845400</v>
      </c>
      <c r="S1389" s="350"/>
      <c r="T1389" s="28">
        <v>15820150</v>
      </c>
      <c r="U1389" s="350"/>
      <c r="V1389" s="350"/>
      <c r="W1389" s="350"/>
      <c r="X1389" s="350"/>
      <c r="Y1389" s="29">
        <f t="shared" si="404"/>
        <v>0</v>
      </c>
      <c r="Z1389" s="24">
        <f t="shared" si="405"/>
        <v>20665550</v>
      </c>
      <c r="AA1389" s="29">
        <f t="shared" si="406"/>
        <v>3</v>
      </c>
      <c r="AB1389" s="24">
        <f t="shared" si="407"/>
        <v>500052058</v>
      </c>
      <c r="AC1389" s="354">
        <f t="shared" si="408"/>
        <v>50</v>
      </c>
      <c r="AD1389" s="357">
        <f t="shared" si="409"/>
        <v>42.861684571699918</v>
      </c>
      <c r="AE1389" s="2594"/>
      <c r="AF1389" s="750"/>
      <c r="AG1389" s="751"/>
      <c r="AH1389" s="750"/>
      <c r="AI1389" s="750"/>
      <c r="AJ1389" s="750"/>
      <c r="AK1389" s="750"/>
      <c r="AL1389" s="750"/>
      <c r="AM1389" s="750"/>
      <c r="AN1389" s="750"/>
      <c r="AO1389" s="750"/>
      <c r="AP1389" s="750"/>
      <c r="AQ1389" s="750"/>
      <c r="AR1389" s="750"/>
      <c r="AS1389" s="750"/>
      <c r="AT1389" s="750"/>
      <c r="AU1389" s="750"/>
      <c r="AV1389" s="750"/>
      <c r="AW1389" s="750"/>
      <c r="AX1389" s="750"/>
      <c r="AY1389" s="750"/>
      <c r="AZ1389" s="750"/>
      <c r="BA1389" s="750"/>
      <c r="BB1389" s="750"/>
      <c r="BC1389" s="752"/>
      <c r="BD1389" s="752"/>
      <c r="BE1389" s="752"/>
      <c r="BF1389" s="752"/>
      <c r="BG1389" s="752"/>
      <c r="BH1389" s="752"/>
      <c r="BI1389" s="752"/>
      <c r="BJ1389" s="752"/>
      <c r="BK1389" s="752"/>
      <c r="BL1389" s="752"/>
      <c r="BM1389" s="752"/>
      <c r="BN1389" s="752"/>
      <c r="BO1389" s="752"/>
      <c r="BP1389" s="752"/>
      <c r="BQ1389" s="752"/>
      <c r="BR1389" s="752"/>
    </row>
    <row r="1390" spans="1:70" s="1154" customFormat="1" ht="25.5" customHeight="1">
      <c r="A1390" s="2737" t="s">
        <v>63</v>
      </c>
      <c r="B1390" s="2737"/>
      <c r="C1390" s="2737"/>
      <c r="D1390" s="2737"/>
      <c r="E1390" s="2737"/>
      <c r="F1390" s="2737"/>
      <c r="G1390" s="2737"/>
      <c r="H1390" s="2737"/>
      <c r="I1390" s="2737"/>
      <c r="J1390" s="2737"/>
      <c r="K1390" s="2737"/>
      <c r="L1390" s="2737"/>
      <c r="M1390" s="2737"/>
      <c r="N1390" s="2737"/>
      <c r="O1390" s="2737"/>
      <c r="P1390" s="2737"/>
      <c r="Q1390" s="2737"/>
      <c r="R1390" s="2737"/>
      <c r="S1390" s="2737"/>
      <c r="T1390" s="2737"/>
      <c r="U1390" s="2737"/>
      <c r="V1390" s="2737"/>
      <c r="W1390" s="2737"/>
      <c r="X1390" s="2737"/>
      <c r="Y1390" s="2737"/>
      <c r="Z1390" s="2737"/>
      <c r="AA1390" s="2737"/>
      <c r="AB1390" s="2737"/>
      <c r="AC1390" s="965">
        <f>(AC1368+AC1375+AC1382+AC1385)/4</f>
        <v>62.054546249741293</v>
      </c>
      <c r="AD1390" s="965">
        <f>(AD1368+AD1375+AD1382+AD1385)/4</f>
        <v>35.589780045660575</v>
      </c>
      <c r="AE1390" s="845"/>
      <c r="AF1390" s="200"/>
      <c r="AG1390" s="200"/>
      <c r="AH1390" s="200"/>
      <c r="AI1390" s="200"/>
      <c r="AJ1390" s="200"/>
      <c r="AK1390" s="200"/>
      <c r="AL1390" s="200"/>
      <c r="AM1390" s="200"/>
      <c r="AN1390" s="200"/>
      <c r="AO1390" s="200"/>
      <c r="AP1390" s="200"/>
      <c r="AQ1390" s="200"/>
      <c r="AR1390" s="200"/>
      <c r="AS1390" s="200"/>
      <c r="AT1390" s="200"/>
      <c r="AU1390" s="200"/>
      <c r="AV1390" s="200"/>
      <c r="AW1390" s="200"/>
      <c r="AX1390" s="200"/>
      <c r="AY1390" s="200"/>
      <c r="AZ1390" s="200"/>
      <c r="BA1390" s="200"/>
      <c r="BB1390" s="200"/>
      <c r="BC1390" s="970"/>
      <c r="BD1390" s="970"/>
      <c r="BE1390" s="970"/>
      <c r="BF1390" s="970"/>
      <c r="BG1390" s="970"/>
      <c r="BH1390" s="970"/>
      <c r="BI1390" s="970"/>
      <c r="BJ1390" s="970"/>
      <c r="BK1390" s="970"/>
      <c r="BL1390" s="970"/>
      <c r="BM1390" s="970"/>
      <c r="BN1390" s="970"/>
      <c r="BO1390" s="970"/>
      <c r="BP1390" s="970"/>
      <c r="BQ1390" s="970"/>
      <c r="BR1390" s="970"/>
    </row>
    <row r="1391" spans="1:70" s="1154" customFormat="1" ht="24.75" customHeight="1">
      <c r="A1391" s="2737" t="s">
        <v>64</v>
      </c>
      <c r="B1391" s="2737"/>
      <c r="C1391" s="2737"/>
      <c r="D1391" s="2737"/>
      <c r="E1391" s="2737"/>
      <c r="F1391" s="2737"/>
      <c r="G1391" s="2737"/>
      <c r="H1391" s="2737"/>
      <c r="I1391" s="2737"/>
      <c r="J1391" s="2737"/>
      <c r="K1391" s="2737"/>
      <c r="L1391" s="2737"/>
      <c r="M1391" s="2737"/>
      <c r="N1391" s="2737"/>
      <c r="O1391" s="2737"/>
      <c r="P1391" s="2737"/>
      <c r="Q1391" s="2737"/>
      <c r="R1391" s="2737"/>
      <c r="S1391" s="2737"/>
      <c r="T1391" s="2737"/>
      <c r="U1391" s="2737"/>
      <c r="V1391" s="2737"/>
      <c r="W1391" s="2737"/>
      <c r="X1391" s="2737"/>
      <c r="Y1391" s="2737"/>
      <c r="Z1391" s="2737"/>
      <c r="AA1391" s="2737"/>
      <c r="AB1391" s="2737"/>
      <c r="AC1391" s="604" t="str">
        <f>IF(AC1390&gt;=91,"ST",IF(AC1390&gt;=76,"T",IF(AC1390&gt;=66,"S",IF(AC1390&gt;=51,"R","SR"))))</f>
        <v>R</v>
      </c>
      <c r="AD1391" s="604" t="str">
        <f>IF(AD1390&gt;=91,"ST",IF(AD1390&gt;=76,"T",IF(AD1390&gt;=66,"S",IF(AD1390&gt;=51,"R","SR"))))</f>
        <v>SR</v>
      </c>
      <c r="AE1391" s="845"/>
      <c r="AF1391" s="200"/>
      <c r="AG1391" s="200"/>
      <c r="AH1391" s="200"/>
      <c r="AI1391" s="200"/>
      <c r="AJ1391" s="200"/>
      <c r="AK1391" s="200"/>
      <c r="AL1391" s="200"/>
      <c r="AM1391" s="200"/>
      <c r="AN1391" s="200"/>
      <c r="AO1391" s="200"/>
      <c r="AP1391" s="200"/>
      <c r="AQ1391" s="200"/>
      <c r="AR1391" s="200"/>
      <c r="AS1391" s="200"/>
      <c r="AT1391" s="200"/>
      <c r="AU1391" s="200"/>
      <c r="AV1391" s="200"/>
      <c r="AW1391" s="200"/>
      <c r="AX1391" s="200"/>
      <c r="AY1391" s="200"/>
      <c r="AZ1391" s="200"/>
      <c r="BA1391" s="200"/>
      <c r="BB1391" s="200"/>
      <c r="BC1391" s="970"/>
      <c r="BD1391" s="970"/>
      <c r="BE1391" s="970"/>
      <c r="BF1391" s="970"/>
      <c r="BG1391" s="970"/>
      <c r="BH1391" s="970"/>
      <c r="BI1391" s="970"/>
      <c r="BJ1391" s="970"/>
      <c r="BK1391" s="970"/>
      <c r="BL1391" s="970"/>
      <c r="BM1391" s="970"/>
      <c r="BN1391" s="970"/>
      <c r="BO1391" s="970"/>
      <c r="BP1391" s="970"/>
      <c r="BQ1391" s="970"/>
      <c r="BR1391" s="970"/>
    </row>
    <row r="1392" spans="1:70" s="1235" customFormat="1" ht="23.25" customHeight="1">
      <c r="A1392" s="863" t="s">
        <v>15</v>
      </c>
      <c r="B1392" s="1618"/>
      <c r="C1392" s="863"/>
      <c r="D1392" s="863"/>
      <c r="E1392" s="863"/>
      <c r="F1392" s="863"/>
      <c r="G1392" s="863"/>
      <c r="H1392" s="863"/>
      <c r="I1392" s="2746" t="s">
        <v>2332</v>
      </c>
      <c r="J1392" s="2747"/>
      <c r="K1392" s="1665"/>
      <c r="L1392" s="1286">
        <f>L1393</f>
        <v>60718756270</v>
      </c>
      <c r="M1392" s="1665"/>
      <c r="N1392" s="1286">
        <f>N1393</f>
        <v>27046384785</v>
      </c>
      <c r="O1392" s="1286"/>
      <c r="P1392" s="1286">
        <f>P1393</f>
        <v>14224921823</v>
      </c>
      <c r="Q1392" s="1665"/>
      <c r="R1392" s="1286">
        <f>R1393</f>
        <v>696445526</v>
      </c>
      <c r="S1392" s="1618"/>
      <c r="T1392" s="1286">
        <f>T1393</f>
        <v>5983375755</v>
      </c>
      <c r="U1392" s="1618"/>
      <c r="V1392" s="1286">
        <f>V1393</f>
        <v>0</v>
      </c>
      <c r="W1392" s="1618"/>
      <c r="X1392" s="1286">
        <f>X1393</f>
        <v>0</v>
      </c>
      <c r="Y1392" s="1665"/>
      <c r="Z1392" s="1286">
        <f>Z1393</f>
        <v>6679821281</v>
      </c>
      <c r="AA1392" s="1665"/>
      <c r="AB1392" s="1320">
        <f>AB1393</f>
        <v>33726206066</v>
      </c>
      <c r="AC1392" s="1665"/>
      <c r="AD1392" s="1812">
        <f t="shared" ref="AD1392:AD1421" si="412">AB1392/L1392*100</f>
        <v>55.544955361122064</v>
      </c>
      <c r="AE1392" s="865"/>
      <c r="AF1392" s="861"/>
      <c r="AG1392" s="861"/>
      <c r="AH1392" s="861"/>
      <c r="AI1392" s="861"/>
      <c r="AJ1392" s="861"/>
      <c r="AK1392" s="861"/>
      <c r="AL1392" s="861"/>
      <c r="AM1392" s="861"/>
      <c r="AN1392" s="861"/>
      <c r="AO1392" s="861"/>
      <c r="AP1392" s="861"/>
      <c r="AQ1392" s="861"/>
      <c r="AR1392" s="861"/>
      <c r="AS1392" s="861"/>
      <c r="AT1392" s="861"/>
      <c r="AU1392" s="861"/>
      <c r="AV1392" s="861"/>
      <c r="AW1392" s="861"/>
      <c r="AX1392" s="861"/>
      <c r="AY1392" s="861"/>
      <c r="AZ1392" s="861"/>
      <c r="BA1392" s="861"/>
      <c r="BB1392" s="861"/>
      <c r="BC1392" s="862"/>
      <c r="BD1392" s="862"/>
      <c r="BE1392" s="862"/>
      <c r="BF1392" s="862"/>
      <c r="BG1392" s="862"/>
      <c r="BH1392" s="862"/>
      <c r="BI1392" s="862"/>
      <c r="BJ1392" s="862"/>
      <c r="BK1392" s="862"/>
      <c r="BL1392" s="862"/>
      <c r="BM1392" s="862"/>
      <c r="BN1392" s="862"/>
      <c r="BO1392" s="862"/>
      <c r="BP1392" s="862"/>
      <c r="BQ1392" s="862"/>
      <c r="BR1392" s="862"/>
    </row>
    <row r="1393" spans="1:70" s="1235" customFormat="1" ht="24" customHeight="1">
      <c r="A1393" s="2922" t="s">
        <v>2333</v>
      </c>
      <c r="B1393" s="2923"/>
      <c r="C1393" s="2923"/>
      <c r="D1393" s="2923"/>
      <c r="E1393" s="2923"/>
      <c r="F1393" s="2923"/>
      <c r="G1393" s="2923"/>
      <c r="H1393" s="2923"/>
      <c r="I1393" s="2924"/>
      <c r="J1393" s="800"/>
      <c r="K1393" s="800"/>
      <c r="L1393" s="1238">
        <f>L1394+L1406+L1412+L1414+L1421+L1450+L1454+L1463+L1468</f>
        <v>60718756270</v>
      </c>
      <c r="M1393" s="800"/>
      <c r="N1393" s="1238">
        <f>N1394+N1406+N1412+N1414+N1421+N1450+N1454+N1463+N1468</f>
        <v>27046384785</v>
      </c>
      <c r="O1393" s="1238"/>
      <c r="P1393" s="1238">
        <f>P1394+P1406+P1412+P1414+P1421+P1450+P1454+P1463+P1468</f>
        <v>14224921823</v>
      </c>
      <c r="Q1393" s="800"/>
      <c r="R1393" s="1238">
        <f>R1394+R1406+R1412+R1414+R1421+R1450+R1454+R1463+R1468</f>
        <v>696445526</v>
      </c>
      <c r="S1393" s="800"/>
      <c r="T1393" s="1238">
        <f>T1394+T1406+T1412+T1414+T1421+T1450+T1454+T1463+T1468</f>
        <v>5983375755</v>
      </c>
      <c r="U1393" s="800"/>
      <c r="V1393" s="1238">
        <f>V1394+V1406+V1412+V1414+V1421+V1450+V1454+V1463+V1468</f>
        <v>0</v>
      </c>
      <c r="W1393" s="800"/>
      <c r="X1393" s="1238">
        <f>X1394+X1406+X1412+X1414+X1421+X1450+X1454+X1463+X1468</f>
        <v>0</v>
      </c>
      <c r="Y1393" s="800"/>
      <c r="Z1393" s="1238">
        <f>Z1394+Z1406+Z1412+Z1414+Z1421+Z1450+Z1454+Z1463+Z1468</f>
        <v>6679821281</v>
      </c>
      <c r="AA1393" s="800"/>
      <c r="AB1393" s="1238">
        <f>SUM(AB1394+AB1406+AB1414+AB1421+AB1450+AB1454+AB1468+AB1463)</f>
        <v>33726206066</v>
      </c>
      <c r="AC1393" s="800"/>
      <c r="AD1393" s="1300">
        <f t="shared" si="412"/>
        <v>55.544955361122064</v>
      </c>
      <c r="AE1393" s="1301"/>
      <c r="AF1393" s="861"/>
      <c r="AG1393" s="861"/>
      <c r="AH1393" s="861"/>
      <c r="AI1393" s="861"/>
      <c r="AJ1393" s="861"/>
      <c r="AK1393" s="861"/>
      <c r="AL1393" s="861"/>
      <c r="AM1393" s="861"/>
      <c r="AN1393" s="861"/>
      <c r="AO1393" s="861"/>
      <c r="AP1393" s="861"/>
      <c r="AQ1393" s="861"/>
      <c r="AR1393" s="861"/>
      <c r="AS1393" s="861"/>
      <c r="AT1393" s="861"/>
      <c r="AU1393" s="861"/>
      <c r="AV1393" s="861"/>
      <c r="AW1393" s="861"/>
      <c r="AX1393" s="861"/>
      <c r="AY1393" s="861"/>
      <c r="AZ1393" s="861"/>
      <c r="BA1393" s="861"/>
      <c r="BB1393" s="861"/>
      <c r="BC1393" s="862"/>
      <c r="BD1393" s="862"/>
      <c r="BE1393" s="862"/>
      <c r="BF1393" s="862"/>
      <c r="BG1393" s="862"/>
      <c r="BH1393" s="862"/>
      <c r="BI1393" s="862"/>
      <c r="BJ1393" s="862"/>
      <c r="BK1393" s="862"/>
      <c r="BL1393" s="862"/>
      <c r="BM1393" s="862"/>
      <c r="BN1393" s="862"/>
      <c r="BO1393" s="862"/>
      <c r="BP1393" s="862"/>
      <c r="BQ1393" s="862"/>
      <c r="BR1393" s="862"/>
    </row>
    <row r="1394" spans="1:70" s="1315" customFormat="1" ht="66">
      <c r="A1394" s="2558">
        <v>1</v>
      </c>
      <c r="B1394" s="33"/>
      <c r="C1394" s="989"/>
      <c r="D1394" s="989"/>
      <c r="E1394" s="989"/>
      <c r="F1394" s="989"/>
      <c r="G1394" s="989"/>
      <c r="H1394" s="989"/>
      <c r="I1394" s="134" t="s">
        <v>26</v>
      </c>
      <c r="J1394" s="33" t="s">
        <v>3131</v>
      </c>
      <c r="K1394" s="160">
        <v>72</v>
      </c>
      <c r="L1394" s="544">
        <f>SUM(L1395:L1405)</f>
        <v>6474148000</v>
      </c>
      <c r="M1394" s="539">
        <v>36</v>
      </c>
      <c r="N1394" s="544">
        <f>SUM(N1395:N1405)</f>
        <v>2204004344</v>
      </c>
      <c r="O1394" s="539">
        <v>12</v>
      </c>
      <c r="P1394" s="544">
        <f>SUM(P1395:P1405)</f>
        <v>945642358</v>
      </c>
      <c r="Q1394" s="544">
        <v>3</v>
      </c>
      <c r="R1394" s="544">
        <f>SUM(R1395:R1405)</f>
        <v>105809051</v>
      </c>
      <c r="S1394" s="1830"/>
      <c r="T1394" s="1148">
        <f>SUM(T1395:T1405)</f>
        <v>321736594</v>
      </c>
      <c r="U1394" s="403"/>
      <c r="V1394" s="1148"/>
      <c r="W1394" s="531"/>
      <c r="X1394" s="531"/>
      <c r="Y1394" s="544">
        <f t="shared" ref="Y1394:Y1425" si="413">Q1394+S1394+U1394+W1394</f>
        <v>3</v>
      </c>
      <c r="Z1394" s="223">
        <f t="shared" ref="Z1394:Z1425" si="414">R1394+T1394+V1394+X1394</f>
        <v>427545645</v>
      </c>
      <c r="AA1394" s="544">
        <f t="shared" ref="AA1394:AA1425" si="415">M1394+Y1394</f>
        <v>39</v>
      </c>
      <c r="AB1394" s="223">
        <f t="shared" ref="AB1394:AB1425" si="416">N1394+Z1394</f>
        <v>2631549989</v>
      </c>
      <c r="AC1394" s="542">
        <f t="shared" ref="AC1394:AC1425" si="417">AA1394/K1394*100</f>
        <v>54.166666666666664</v>
      </c>
      <c r="AD1394" s="542">
        <f t="shared" si="412"/>
        <v>40.64704713268835</v>
      </c>
      <c r="AE1394" s="2558" t="s">
        <v>3130</v>
      </c>
      <c r="AF1394" s="201"/>
      <c r="AG1394" s="201"/>
      <c r="AH1394" s="201"/>
      <c r="AI1394" s="201"/>
      <c r="AJ1394" s="201"/>
      <c r="AK1394" s="201"/>
      <c r="AL1394" s="201"/>
      <c r="AM1394" s="201"/>
      <c r="AN1394" s="201"/>
      <c r="AO1394" s="201"/>
      <c r="AP1394" s="201"/>
      <c r="AQ1394" s="201"/>
      <c r="AR1394" s="201"/>
      <c r="AS1394" s="201"/>
      <c r="AT1394" s="201"/>
      <c r="AU1394" s="201"/>
      <c r="AV1394" s="201"/>
      <c r="AW1394" s="201"/>
      <c r="AX1394" s="201"/>
      <c r="AY1394" s="201"/>
      <c r="AZ1394" s="201"/>
      <c r="BA1394" s="201"/>
      <c r="BB1394" s="201"/>
      <c r="BC1394" s="20"/>
      <c r="BD1394" s="20"/>
      <c r="BE1394" s="20"/>
      <c r="BF1394" s="20"/>
      <c r="BG1394" s="20"/>
      <c r="BH1394" s="20"/>
      <c r="BI1394" s="20"/>
      <c r="BJ1394" s="20"/>
      <c r="BK1394" s="20"/>
      <c r="BL1394" s="20"/>
      <c r="BM1394" s="20"/>
      <c r="BN1394" s="20"/>
      <c r="BO1394" s="20"/>
      <c r="BP1394" s="20"/>
      <c r="BQ1394" s="20"/>
      <c r="BR1394" s="20"/>
    </row>
    <row r="1395" spans="1:70" ht="66">
      <c r="A1395" s="779"/>
      <c r="B1395" s="11"/>
      <c r="C1395" s="239"/>
      <c r="D1395" s="239"/>
      <c r="E1395" s="239"/>
      <c r="F1395" s="239"/>
      <c r="G1395" s="239"/>
      <c r="H1395" s="239"/>
      <c r="I1395" s="250" t="s">
        <v>613</v>
      </c>
      <c r="J1395" s="11" t="s">
        <v>2334</v>
      </c>
      <c r="K1395" s="14">
        <v>72</v>
      </c>
      <c r="L1395" s="526">
        <v>961416000</v>
      </c>
      <c r="M1395" s="14">
        <v>36</v>
      </c>
      <c r="N1395" s="14">
        <f>156305000+91570972</f>
        <v>247875972</v>
      </c>
      <c r="O1395" s="14">
        <v>12</v>
      </c>
      <c r="P1395" s="526">
        <v>180000000</v>
      </c>
      <c r="Q1395" s="526">
        <v>3</v>
      </c>
      <c r="R1395" s="30">
        <v>15029878</v>
      </c>
      <c r="S1395" s="1149">
        <v>3</v>
      </c>
      <c r="T1395" s="233">
        <v>49336821</v>
      </c>
      <c r="U1395" s="527"/>
      <c r="V1395" s="527"/>
      <c r="W1395" s="528"/>
      <c r="X1395" s="528"/>
      <c r="Y1395" s="526">
        <f t="shared" si="413"/>
        <v>6</v>
      </c>
      <c r="Z1395" s="265">
        <f t="shared" si="414"/>
        <v>64366699</v>
      </c>
      <c r="AA1395" s="526">
        <f t="shared" si="415"/>
        <v>42</v>
      </c>
      <c r="AB1395" s="265">
        <f t="shared" si="416"/>
        <v>312242671</v>
      </c>
      <c r="AC1395" s="529">
        <f t="shared" si="417"/>
        <v>58.333333333333336</v>
      </c>
      <c r="AD1395" s="529">
        <f t="shared" si="412"/>
        <v>32.477374102365673</v>
      </c>
      <c r="AE1395" s="102"/>
      <c r="AF1395" s="750"/>
      <c r="AG1395" s="750"/>
      <c r="AH1395" s="750"/>
      <c r="AI1395" s="750"/>
      <c r="AJ1395" s="750"/>
      <c r="AK1395" s="750"/>
      <c r="AL1395" s="750"/>
      <c r="AM1395" s="750"/>
      <c r="AN1395" s="750"/>
      <c r="AO1395" s="750"/>
      <c r="AP1395" s="750"/>
      <c r="AQ1395" s="750"/>
      <c r="AR1395" s="750"/>
      <c r="AS1395" s="750"/>
      <c r="AT1395" s="750"/>
      <c r="AU1395" s="750"/>
      <c r="AV1395" s="750"/>
      <c r="AW1395" s="750"/>
      <c r="AX1395" s="750"/>
      <c r="AY1395" s="750"/>
      <c r="AZ1395" s="750"/>
      <c r="BA1395" s="750"/>
      <c r="BB1395" s="750"/>
      <c r="BC1395" s="752"/>
      <c r="BD1395" s="752"/>
      <c r="BE1395" s="752"/>
      <c r="BF1395" s="752"/>
      <c r="BG1395" s="752"/>
      <c r="BH1395" s="752"/>
      <c r="BI1395" s="752"/>
      <c r="BJ1395" s="752"/>
      <c r="BK1395" s="752"/>
      <c r="BL1395" s="752"/>
      <c r="BM1395" s="752"/>
      <c r="BN1395" s="752"/>
      <c r="BO1395" s="752"/>
      <c r="BP1395" s="752"/>
      <c r="BQ1395" s="752"/>
      <c r="BR1395" s="752"/>
    </row>
    <row r="1396" spans="1:70" ht="87.75" customHeight="1">
      <c r="A1396" s="779"/>
      <c r="B1396" s="11"/>
      <c r="C1396" s="239"/>
      <c r="D1396" s="239"/>
      <c r="E1396" s="239"/>
      <c r="F1396" s="239"/>
      <c r="G1396" s="239"/>
      <c r="H1396" s="239"/>
      <c r="I1396" s="250" t="s">
        <v>102</v>
      </c>
      <c r="J1396" s="11" t="s">
        <v>2335</v>
      </c>
      <c r="K1396" s="14">
        <v>72</v>
      </c>
      <c r="L1396" s="526">
        <v>1182633000</v>
      </c>
      <c r="M1396" s="14">
        <v>36</v>
      </c>
      <c r="N1396" s="14">
        <f>336834000+221750000</f>
        <v>558584000</v>
      </c>
      <c r="O1396" s="14">
        <v>12</v>
      </c>
      <c r="P1396" s="526">
        <v>163800000</v>
      </c>
      <c r="Q1396" s="526">
        <v>3</v>
      </c>
      <c r="R1396" s="30">
        <v>27900000</v>
      </c>
      <c r="S1396" s="1149">
        <v>3</v>
      </c>
      <c r="T1396" s="233">
        <v>63300000</v>
      </c>
      <c r="U1396" s="527"/>
      <c r="V1396" s="527"/>
      <c r="W1396" s="528"/>
      <c r="X1396" s="528"/>
      <c r="Y1396" s="526">
        <f t="shared" si="413"/>
        <v>6</v>
      </c>
      <c r="Z1396" s="265">
        <f t="shared" si="414"/>
        <v>91200000</v>
      </c>
      <c r="AA1396" s="526">
        <f t="shared" si="415"/>
        <v>42</v>
      </c>
      <c r="AB1396" s="265">
        <f t="shared" si="416"/>
        <v>649784000</v>
      </c>
      <c r="AC1396" s="529">
        <f t="shared" si="417"/>
        <v>58.333333333333336</v>
      </c>
      <c r="AD1396" s="529">
        <f t="shared" si="412"/>
        <v>54.943841411494518</v>
      </c>
      <c r="AE1396" s="102"/>
      <c r="AF1396" s="750"/>
      <c r="AG1396" s="750"/>
      <c r="AH1396" s="750"/>
      <c r="AI1396" s="750"/>
      <c r="AJ1396" s="750"/>
      <c r="AK1396" s="750"/>
      <c r="AL1396" s="750"/>
      <c r="AM1396" s="750"/>
      <c r="AN1396" s="750"/>
      <c r="AO1396" s="750"/>
      <c r="AP1396" s="750"/>
      <c r="AQ1396" s="750"/>
      <c r="AR1396" s="750"/>
      <c r="AS1396" s="750"/>
      <c r="AT1396" s="750"/>
      <c r="AU1396" s="750"/>
      <c r="AV1396" s="750"/>
      <c r="AW1396" s="750"/>
      <c r="AX1396" s="750"/>
      <c r="AY1396" s="750"/>
      <c r="AZ1396" s="750"/>
      <c r="BA1396" s="750"/>
      <c r="BB1396" s="750"/>
      <c r="BC1396" s="752"/>
      <c r="BD1396" s="752"/>
      <c r="BE1396" s="752"/>
      <c r="BF1396" s="752"/>
      <c r="BG1396" s="752"/>
      <c r="BH1396" s="752"/>
      <c r="BI1396" s="752"/>
      <c r="BJ1396" s="752"/>
      <c r="BK1396" s="752"/>
      <c r="BL1396" s="752"/>
      <c r="BM1396" s="752"/>
      <c r="BN1396" s="752"/>
      <c r="BO1396" s="752"/>
      <c r="BP1396" s="752"/>
      <c r="BQ1396" s="752"/>
      <c r="BR1396" s="752"/>
    </row>
    <row r="1397" spans="1:70" ht="82.5">
      <c r="A1397" s="779"/>
      <c r="B1397" s="11"/>
      <c r="C1397" s="239"/>
      <c r="D1397" s="239"/>
      <c r="E1397" s="239"/>
      <c r="F1397" s="239"/>
      <c r="G1397" s="239"/>
      <c r="H1397" s="239"/>
      <c r="I1397" s="250" t="s">
        <v>110</v>
      </c>
      <c r="J1397" s="11" t="s">
        <v>2336</v>
      </c>
      <c r="K1397" s="14">
        <v>72</v>
      </c>
      <c r="L1397" s="526">
        <v>622241000</v>
      </c>
      <c r="M1397" s="14">
        <v>36</v>
      </c>
      <c r="N1397" s="14">
        <f>16353000+108908500</f>
        <v>125261500</v>
      </c>
      <c r="O1397" s="14">
        <v>12</v>
      </c>
      <c r="P1397" s="526">
        <v>128750000</v>
      </c>
      <c r="Q1397" s="526">
        <v>3</v>
      </c>
      <c r="R1397" s="30">
        <v>0</v>
      </c>
      <c r="S1397" s="1149">
        <v>3</v>
      </c>
      <c r="T1397" s="233">
        <v>41860700</v>
      </c>
      <c r="U1397" s="527"/>
      <c r="V1397" s="527"/>
      <c r="W1397" s="528"/>
      <c r="X1397" s="528"/>
      <c r="Y1397" s="526">
        <f t="shared" si="413"/>
        <v>6</v>
      </c>
      <c r="Z1397" s="265">
        <f t="shared" si="414"/>
        <v>41860700</v>
      </c>
      <c r="AA1397" s="526">
        <f t="shared" si="415"/>
        <v>42</v>
      </c>
      <c r="AB1397" s="265">
        <f t="shared" si="416"/>
        <v>167122200</v>
      </c>
      <c r="AC1397" s="529">
        <f t="shared" si="417"/>
        <v>58.333333333333336</v>
      </c>
      <c r="AD1397" s="529">
        <f t="shared" si="412"/>
        <v>26.858114460474319</v>
      </c>
      <c r="AE1397" s="102"/>
      <c r="AF1397" s="750"/>
      <c r="AG1397" s="750"/>
      <c r="AH1397" s="750"/>
      <c r="AI1397" s="750"/>
      <c r="AJ1397" s="750"/>
      <c r="AK1397" s="750"/>
      <c r="AL1397" s="750"/>
      <c r="AM1397" s="750"/>
      <c r="AN1397" s="750"/>
      <c r="AO1397" s="750"/>
      <c r="AP1397" s="750"/>
      <c r="AQ1397" s="750"/>
      <c r="AR1397" s="750"/>
      <c r="AS1397" s="750"/>
      <c r="AT1397" s="750"/>
      <c r="AU1397" s="750"/>
      <c r="AV1397" s="750"/>
      <c r="AW1397" s="750"/>
      <c r="AX1397" s="750"/>
      <c r="AY1397" s="750"/>
      <c r="AZ1397" s="750"/>
      <c r="BA1397" s="750"/>
      <c r="BB1397" s="750"/>
      <c r="BC1397" s="752"/>
      <c r="BD1397" s="752"/>
      <c r="BE1397" s="752"/>
      <c r="BF1397" s="752"/>
      <c r="BG1397" s="752"/>
      <c r="BH1397" s="752"/>
      <c r="BI1397" s="752"/>
      <c r="BJ1397" s="752"/>
      <c r="BK1397" s="752"/>
      <c r="BL1397" s="752"/>
      <c r="BM1397" s="752"/>
      <c r="BN1397" s="752"/>
      <c r="BO1397" s="752"/>
      <c r="BP1397" s="752"/>
      <c r="BQ1397" s="752"/>
      <c r="BR1397" s="752"/>
    </row>
    <row r="1398" spans="1:70" ht="49.5">
      <c r="A1398" s="779"/>
      <c r="B1398" s="11"/>
      <c r="C1398" s="239"/>
      <c r="D1398" s="239"/>
      <c r="E1398" s="239"/>
      <c r="F1398" s="239"/>
      <c r="G1398" s="239"/>
      <c r="H1398" s="239"/>
      <c r="I1398" s="250" t="s">
        <v>420</v>
      </c>
      <c r="J1398" s="11" t="s">
        <v>2337</v>
      </c>
      <c r="K1398" s="14">
        <v>72</v>
      </c>
      <c r="L1398" s="526">
        <v>215116000</v>
      </c>
      <c r="M1398" s="14">
        <v>36</v>
      </c>
      <c r="N1398" s="14">
        <f>47473000+8105000</f>
        <v>55578000</v>
      </c>
      <c r="O1398" s="14">
        <v>12</v>
      </c>
      <c r="P1398" s="526">
        <v>35203500</v>
      </c>
      <c r="Q1398" s="526">
        <v>3</v>
      </c>
      <c r="R1398" s="30">
        <v>8655000</v>
      </c>
      <c r="S1398" s="1149">
        <v>3</v>
      </c>
      <c r="T1398" s="233">
        <v>12645000</v>
      </c>
      <c r="U1398" s="527"/>
      <c r="V1398" s="527"/>
      <c r="W1398" s="528"/>
      <c r="X1398" s="528"/>
      <c r="Y1398" s="526">
        <f t="shared" si="413"/>
        <v>6</v>
      </c>
      <c r="Z1398" s="265">
        <f t="shared" si="414"/>
        <v>21300000</v>
      </c>
      <c r="AA1398" s="526">
        <f t="shared" si="415"/>
        <v>42</v>
      </c>
      <c r="AB1398" s="265">
        <f t="shared" si="416"/>
        <v>76878000</v>
      </c>
      <c r="AC1398" s="529">
        <f t="shared" si="417"/>
        <v>58.333333333333336</v>
      </c>
      <c r="AD1398" s="529">
        <f t="shared" si="412"/>
        <v>35.737927443797766</v>
      </c>
      <c r="AE1398" s="102"/>
      <c r="AF1398" s="750"/>
      <c r="AG1398" s="750"/>
      <c r="AH1398" s="750"/>
      <c r="AI1398" s="750"/>
      <c r="AJ1398" s="750"/>
      <c r="AK1398" s="750"/>
      <c r="AL1398" s="750"/>
      <c r="AM1398" s="750"/>
      <c r="AN1398" s="750"/>
      <c r="AO1398" s="750"/>
      <c r="AP1398" s="750"/>
      <c r="AQ1398" s="750"/>
      <c r="AR1398" s="750"/>
      <c r="AS1398" s="750"/>
      <c r="AT1398" s="750"/>
      <c r="AU1398" s="750"/>
      <c r="AV1398" s="750"/>
      <c r="AW1398" s="750"/>
      <c r="AX1398" s="750"/>
      <c r="AY1398" s="750"/>
      <c r="AZ1398" s="750"/>
      <c r="BA1398" s="750"/>
      <c r="BB1398" s="750"/>
      <c r="BC1398" s="752"/>
      <c r="BD1398" s="752"/>
      <c r="BE1398" s="752"/>
      <c r="BF1398" s="752"/>
      <c r="BG1398" s="752"/>
      <c r="BH1398" s="752"/>
      <c r="BI1398" s="752"/>
      <c r="BJ1398" s="752"/>
      <c r="BK1398" s="752"/>
      <c r="BL1398" s="752"/>
      <c r="BM1398" s="752"/>
      <c r="BN1398" s="752"/>
      <c r="BO1398" s="752"/>
      <c r="BP1398" s="752"/>
      <c r="BQ1398" s="752"/>
      <c r="BR1398" s="752"/>
    </row>
    <row r="1399" spans="1:70" ht="49.5">
      <c r="A1399" s="779"/>
      <c r="B1399" s="11"/>
      <c r="C1399" s="239"/>
      <c r="D1399" s="239"/>
      <c r="E1399" s="239"/>
      <c r="F1399" s="239"/>
      <c r="G1399" s="239"/>
      <c r="H1399" s="239"/>
      <c r="I1399" s="250" t="s">
        <v>32</v>
      </c>
      <c r="J1399" s="11" t="s">
        <v>2338</v>
      </c>
      <c r="K1399" s="14">
        <v>72</v>
      </c>
      <c r="L1399" s="526">
        <v>724094000</v>
      </c>
      <c r="M1399" s="14">
        <v>36</v>
      </c>
      <c r="N1399" s="14">
        <f>213527000+80051928</f>
        <v>293578928</v>
      </c>
      <c r="O1399" s="14">
        <v>12</v>
      </c>
      <c r="P1399" s="526">
        <v>148565135</v>
      </c>
      <c r="Q1399" s="526">
        <v>3</v>
      </c>
      <c r="R1399" s="30">
        <v>21799690</v>
      </c>
      <c r="S1399" s="1149">
        <v>3</v>
      </c>
      <c r="T1399" s="233">
        <v>73846550</v>
      </c>
      <c r="U1399" s="527"/>
      <c r="V1399" s="527"/>
      <c r="W1399" s="528"/>
      <c r="X1399" s="528"/>
      <c r="Y1399" s="526">
        <f t="shared" si="413"/>
        <v>6</v>
      </c>
      <c r="Z1399" s="265">
        <f t="shared" si="414"/>
        <v>95646240</v>
      </c>
      <c r="AA1399" s="526">
        <f t="shared" si="415"/>
        <v>42</v>
      </c>
      <c r="AB1399" s="265">
        <f t="shared" si="416"/>
        <v>389225168</v>
      </c>
      <c r="AC1399" s="529">
        <f t="shared" si="417"/>
        <v>58.333333333333336</v>
      </c>
      <c r="AD1399" s="529">
        <f t="shared" si="412"/>
        <v>53.753403287418486</v>
      </c>
      <c r="AE1399" s="102"/>
      <c r="AF1399" s="750"/>
      <c r="AG1399" s="750"/>
      <c r="AH1399" s="750"/>
      <c r="AI1399" s="750"/>
      <c r="AJ1399" s="750"/>
      <c r="AK1399" s="750"/>
      <c r="AL1399" s="750"/>
      <c r="AM1399" s="750"/>
      <c r="AN1399" s="750"/>
      <c r="AO1399" s="750"/>
      <c r="AP1399" s="750"/>
      <c r="AQ1399" s="750"/>
      <c r="AR1399" s="750"/>
      <c r="AS1399" s="750"/>
      <c r="AT1399" s="750"/>
      <c r="AU1399" s="750"/>
      <c r="AV1399" s="750"/>
      <c r="AW1399" s="750"/>
      <c r="AX1399" s="750"/>
      <c r="AY1399" s="750"/>
      <c r="AZ1399" s="750"/>
      <c r="BA1399" s="750"/>
      <c r="BB1399" s="750"/>
      <c r="BC1399" s="752"/>
      <c r="BD1399" s="752"/>
      <c r="BE1399" s="752"/>
      <c r="BF1399" s="752"/>
      <c r="BG1399" s="752"/>
      <c r="BH1399" s="752"/>
      <c r="BI1399" s="752"/>
      <c r="BJ1399" s="752"/>
      <c r="BK1399" s="752"/>
      <c r="BL1399" s="752"/>
      <c r="BM1399" s="752"/>
      <c r="BN1399" s="752"/>
      <c r="BO1399" s="752"/>
      <c r="BP1399" s="752"/>
      <c r="BQ1399" s="752"/>
      <c r="BR1399" s="752"/>
    </row>
    <row r="1400" spans="1:70" ht="66">
      <c r="A1400" s="779"/>
      <c r="B1400" s="11"/>
      <c r="C1400" s="239"/>
      <c r="D1400" s="239"/>
      <c r="E1400" s="239"/>
      <c r="F1400" s="239"/>
      <c r="G1400" s="239"/>
      <c r="H1400" s="239"/>
      <c r="I1400" s="250" t="s">
        <v>155</v>
      </c>
      <c r="J1400" s="11" t="s">
        <v>2339</v>
      </c>
      <c r="K1400" s="14">
        <v>72</v>
      </c>
      <c r="L1400" s="526">
        <v>291174000</v>
      </c>
      <c r="M1400" s="14">
        <v>36</v>
      </c>
      <c r="N1400" s="14">
        <f>70027000+20382250</f>
        <v>90409250</v>
      </c>
      <c r="O1400" s="14">
        <v>12</v>
      </c>
      <c r="P1400" s="526">
        <v>42216714</v>
      </c>
      <c r="Q1400" s="526">
        <v>3</v>
      </c>
      <c r="R1400" s="30">
        <v>5019483</v>
      </c>
      <c r="S1400" s="1150">
        <v>3</v>
      </c>
      <c r="T1400" s="233">
        <v>11104523</v>
      </c>
      <c r="U1400" s="527"/>
      <c r="V1400" s="527"/>
      <c r="W1400" s="528"/>
      <c r="X1400" s="528"/>
      <c r="Y1400" s="526">
        <f t="shared" si="413"/>
        <v>6</v>
      </c>
      <c r="Z1400" s="265">
        <f t="shared" si="414"/>
        <v>16124006</v>
      </c>
      <c r="AA1400" s="526">
        <f t="shared" si="415"/>
        <v>42</v>
      </c>
      <c r="AB1400" s="265">
        <f t="shared" si="416"/>
        <v>106533256</v>
      </c>
      <c r="AC1400" s="529">
        <f t="shared" si="417"/>
        <v>58.333333333333336</v>
      </c>
      <c r="AD1400" s="529">
        <f t="shared" si="412"/>
        <v>36.587489267585703</v>
      </c>
      <c r="AE1400" s="102"/>
      <c r="AF1400" s="750"/>
      <c r="AG1400" s="750"/>
      <c r="AH1400" s="750"/>
      <c r="AI1400" s="750"/>
      <c r="AJ1400" s="750"/>
      <c r="AK1400" s="750"/>
      <c r="AL1400" s="750"/>
      <c r="AM1400" s="750"/>
      <c r="AN1400" s="750"/>
      <c r="AO1400" s="750"/>
      <c r="AP1400" s="750"/>
      <c r="AQ1400" s="750"/>
      <c r="AR1400" s="750"/>
      <c r="AS1400" s="750"/>
      <c r="AT1400" s="750"/>
      <c r="AU1400" s="750"/>
      <c r="AV1400" s="750"/>
      <c r="AW1400" s="750"/>
      <c r="AX1400" s="750"/>
      <c r="AY1400" s="750"/>
      <c r="AZ1400" s="750"/>
      <c r="BA1400" s="750"/>
      <c r="BB1400" s="750"/>
      <c r="BC1400" s="752"/>
      <c r="BD1400" s="752"/>
      <c r="BE1400" s="752"/>
      <c r="BF1400" s="752"/>
      <c r="BG1400" s="752"/>
      <c r="BH1400" s="752"/>
      <c r="BI1400" s="752"/>
      <c r="BJ1400" s="752"/>
      <c r="BK1400" s="752"/>
      <c r="BL1400" s="752"/>
      <c r="BM1400" s="752"/>
      <c r="BN1400" s="752"/>
      <c r="BO1400" s="752"/>
      <c r="BP1400" s="752"/>
      <c r="BQ1400" s="752"/>
      <c r="BR1400" s="752"/>
    </row>
    <row r="1401" spans="1:70" ht="49.5">
      <c r="A1401" s="779"/>
      <c r="B1401" s="11"/>
      <c r="C1401" s="239"/>
      <c r="D1401" s="239"/>
      <c r="E1401" s="239"/>
      <c r="F1401" s="239"/>
      <c r="G1401" s="239"/>
      <c r="H1401" s="239"/>
      <c r="I1401" s="250" t="s">
        <v>156</v>
      </c>
      <c r="J1401" s="11" t="s">
        <v>2340</v>
      </c>
      <c r="K1401" s="14">
        <v>72</v>
      </c>
      <c r="L1401" s="526">
        <v>58613000</v>
      </c>
      <c r="M1401" s="14">
        <v>36</v>
      </c>
      <c r="N1401" s="14">
        <f>12146000+5824900</f>
        <v>17970900</v>
      </c>
      <c r="O1401" s="14">
        <v>12</v>
      </c>
      <c r="P1401" s="526">
        <v>8907009</v>
      </c>
      <c r="Q1401" s="526">
        <v>3</v>
      </c>
      <c r="R1401" s="30">
        <v>0</v>
      </c>
      <c r="S1401" s="1149">
        <v>3</v>
      </c>
      <c r="T1401" s="233">
        <v>0</v>
      </c>
      <c r="U1401" s="527"/>
      <c r="V1401" s="527"/>
      <c r="W1401" s="528"/>
      <c r="X1401" s="528"/>
      <c r="Y1401" s="526">
        <f t="shared" si="413"/>
        <v>6</v>
      </c>
      <c r="Z1401" s="265">
        <f t="shared" si="414"/>
        <v>0</v>
      </c>
      <c r="AA1401" s="526">
        <f t="shared" si="415"/>
        <v>42</v>
      </c>
      <c r="AB1401" s="265">
        <f t="shared" si="416"/>
        <v>17970900</v>
      </c>
      <c r="AC1401" s="529">
        <f t="shared" si="417"/>
        <v>58.333333333333336</v>
      </c>
      <c r="AD1401" s="529">
        <f t="shared" si="412"/>
        <v>30.660263081568935</v>
      </c>
      <c r="AE1401" s="102"/>
      <c r="AF1401" s="750"/>
      <c r="AG1401" s="750"/>
      <c r="AH1401" s="750"/>
      <c r="AI1401" s="750"/>
      <c r="AJ1401" s="750"/>
      <c r="AK1401" s="750"/>
      <c r="AL1401" s="750"/>
      <c r="AM1401" s="750"/>
      <c r="AN1401" s="750"/>
      <c r="AO1401" s="750"/>
      <c r="AP1401" s="750"/>
      <c r="AQ1401" s="750"/>
      <c r="AR1401" s="750"/>
      <c r="AS1401" s="750"/>
      <c r="AT1401" s="750"/>
      <c r="AU1401" s="750"/>
      <c r="AV1401" s="750"/>
      <c r="AW1401" s="750"/>
      <c r="AX1401" s="750"/>
      <c r="AY1401" s="750"/>
      <c r="AZ1401" s="750"/>
      <c r="BA1401" s="750"/>
      <c r="BB1401" s="750"/>
      <c r="BC1401" s="752"/>
      <c r="BD1401" s="752"/>
      <c r="BE1401" s="752"/>
      <c r="BF1401" s="752"/>
      <c r="BG1401" s="752"/>
      <c r="BH1401" s="752"/>
      <c r="BI1401" s="752"/>
      <c r="BJ1401" s="752"/>
      <c r="BK1401" s="752"/>
      <c r="BL1401" s="752"/>
      <c r="BM1401" s="752"/>
      <c r="BN1401" s="752"/>
      <c r="BO1401" s="752"/>
      <c r="BP1401" s="752"/>
      <c r="BQ1401" s="752"/>
      <c r="BR1401" s="752"/>
    </row>
    <row r="1402" spans="1:70" ht="66">
      <c r="A1402" s="779"/>
      <c r="B1402" s="11"/>
      <c r="C1402" s="239"/>
      <c r="D1402" s="239"/>
      <c r="E1402" s="239"/>
      <c r="F1402" s="239"/>
      <c r="G1402" s="239"/>
      <c r="H1402" s="239"/>
      <c r="I1402" s="250" t="s">
        <v>157</v>
      </c>
      <c r="J1402" s="11" t="s">
        <v>2341</v>
      </c>
      <c r="K1402" s="14">
        <v>72</v>
      </c>
      <c r="L1402" s="526">
        <v>83448000</v>
      </c>
      <c r="M1402" s="14">
        <v>36</v>
      </c>
      <c r="N1402" s="14">
        <f>25790000+15251000</f>
        <v>41041000</v>
      </c>
      <c r="O1402" s="14">
        <v>12</v>
      </c>
      <c r="P1402" s="526">
        <v>13000000</v>
      </c>
      <c r="Q1402" s="526">
        <v>3</v>
      </c>
      <c r="R1402" s="30">
        <v>1500000</v>
      </c>
      <c r="S1402" s="1149">
        <v>3</v>
      </c>
      <c r="T1402" s="233">
        <v>8390000</v>
      </c>
      <c r="U1402" s="527"/>
      <c r="V1402" s="527"/>
      <c r="W1402" s="528"/>
      <c r="X1402" s="528"/>
      <c r="Y1402" s="526">
        <f t="shared" si="413"/>
        <v>6</v>
      </c>
      <c r="Z1402" s="265">
        <f t="shared" si="414"/>
        <v>9890000</v>
      </c>
      <c r="AA1402" s="526">
        <f t="shared" si="415"/>
        <v>42</v>
      </c>
      <c r="AB1402" s="265">
        <f t="shared" si="416"/>
        <v>50931000</v>
      </c>
      <c r="AC1402" s="529">
        <f t="shared" si="417"/>
        <v>58.333333333333336</v>
      </c>
      <c r="AD1402" s="529">
        <f t="shared" si="412"/>
        <v>61.033218291630718</v>
      </c>
      <c r="AE1402" s="102"/>
      <c r="AF1402" s="750"/>
      <c r="AG1402" s="750"/>
      <c r="AH1402" s="750"/>
      <c r="AI1402" s="750"/>
      <c r="AJ1402" s="750"/>
      <c r="AK1402" s="750"/>
      <c r="AL1402" s="750"/>
      <c r="AM1402" s="750"/>
      <c r="AN1402" s="750"/>
      <c r="AO1402" s="750"/>
      <c r="AP1402" s="750"/>
      <c r="AQ1402" s="750"/>
      <c r="AR1402" s="750"/>
      <c r="AS1402" s="750"/>
      <c r="AT1402" s="750"/>
      <c r="AU1402" s="750"/>
      <c r="AV1402" s="750"/>
      <c r="AW1402" s="750"/>
      <c r="AX1402" s="750"/>
      <c r="AY1402" s="750"/>
      <c r="AZ1402" s="750"/>
      <c r="BA1402" s="750"/>
      <c r="BB1402" s="750"/>
      <c r="BC1402" s="752"/>
      <c r="BD1402" s="752"/>
      <c r="BE1402" s="752"/>
      <c r="BF1402" s="752"/>
      <c r="BG1402" s="752"/>
      <c r="BH1402" s="752"/>
      <c r="BI1402" s="752"/>
      <c r="BJ1402" s="752"/>
      <c r="BK1402" s="752"/>
      <c r="BL1402" s="752"/>
      <c r="BM1402" s="752"/>
      <c r="BN1402" s="752"/>
      <c r="BO1402" s="752"/>
      <c r="BP1402" s="752"/>
      <c r="BQ1402" s="752"/>
      <c r="BR1402" s="752"/>
    </row>
    <row r="1403" spans="1:70" ht="72" customHeight="1">
      <c r="A1403" s="779"/>
      <c r="B1403" s="11"/>
      <c r="C1403" s="239"/>
      <c r="D1403" s="239"/>
      <c r="E1403" s="239"/>
      <c r="F1403" s="239"/>
      <c r="G1403" s="239"/>
      <c r="H1403" s="239"/>
      <c r="I1403" s="250" t="s">
        <v>620</v>
      </c>
      <c r="J1403" s="11" t="s">
        <v>2342</v>
      </c>
      <c r="K1403" s="14">
        <v>72</v>
      </c>
      <c r="L1403" s="526">
        <v>289824000</v>
      </c>
      <c r="M1403" s="14">
        <v>36</v>
      </c>
      <c r="N1403" s="14">
        <f>56037000+26953500</f>
        <v>82990500</v>
      </c>
      <c r="O1403" s="14">
        <v>12</v>
      </c>
      <c r="P1403" s="526">
        <v>49500000</v>
      </c>
      <c r="Q1403" s="526">
        <v>3</v>
      </c>
      <c r="R1403" s="30">
        <v>4435000</v>
      </c>
      <c r="S1403" s="1149">
        <v>3</v>
      </c>
      <c r="T1403" s="233">
        <v>7438000</v>
      </c>
      <c r="U1403" s="527"/>
      <c r="V1403" s="527"/>
      <c r="W1403" s="528"/>
      <c r="X1403" s="528"/>
      <c r="Y1403" s="526">
        <f t="shared" si="413"/>
        <v>6</v>
      </c>
      <c r="Z1403" s="265">
        <f t="shared" si="414"/>
        <v>11873000</v>
      </c>
      <c r="AA1403" s="526">
        <f t="shared" si="415"/>
        <v>42</v>
      </c>
      <c r="AB1403" s="265">
        <f t="shared" si="416"/>
        <v>94863500</v>
      </c>
      <c r="AC1403" s="529">
        <f t="shared" si="417"/>
        <v>58.333333333333336</v>
      </c>
      <c r="AD1403" s="529">
        <f t="shared" si="412"/>
        <v>32.731416307828198</v>
      </c>
      <c r="AE1403" s="102"/>
      <c r="AF1403" s="750"/>
      <c r="AG1403" s="750"/>
      <c r="AH1403" s="750"/>
      <c r="AI1403" s="750"/>
      <c r="AJ1403" s="750"/>
      <c r="AK1403" s="750"/>
      <c r="AL1403" s="750"/>
      <c r="AM1403" s="750"/>
      <c r="AN1403" s="750"/>
      <c r="AO1403" s="750"/>
      <c r="AP1403" s="750"/>
      <c r="AQ1403" s="750"/>
      <c r="AR1403" s="750"/>
      <c r="AS1403" s="750"/>
      <c r="AT1403" s="750"/>
      <c r="AU1403" s="750"/>
      <c r="AV1403" s="750"/>
      <c r="AW1403" s="750"/>
      <c r="AX1403" s="750"/>
      <c r="AY1403" s="750"/>
      <c r="AZ1403" s="750"/>
      <c r="BA1403" s="750"/>
      <c r="BB1403" s="750"/>
      <c r="BC1403" s="752"/>
      <c r="BD1403" s="752"/>
      <c r="BE1403" s="752"/>
      <c r="BF1403" s="752"/>
      <c r="BG1403" s="752"/>
      <c r="BH1403" s="752"/>
      <c r="BI1403" s="752"/>
      <c r="BJ1403" s="752"/>
      <c r="BK1403" s="752"/>
      <c r="BL1403" s="752"/>
      <c r="BM1403" s="752"/>
      <c r="BN1403" s="752"/>
      <c r="BO1403" s="752"/>
      <c r="BP1403" s="752"/>
      <c r="BQ1403" s="752"/>
      <c r="BR1403" s="752"/>
    </row>
    <row r="1404" spans="1:70" ht="82.5">
      <c r="A1404" s="779"/>
      <c r="B1404" s="11"/>
      <c r="C1404" s="239"/>
      <c r="D1404" s="239"/>
      <c r="E1404" s="239"/>
      <c r="F1404" s="239"/>
      <c r="G1404" s="239"/>
      <c r="H1404" s="239"/>
      <c r="I1404" s="250" t="s">
        <v>621</v>
      </c>
      <c r="J1404" s="11" t="s">
        <v>2343</v>
      </c>
      <c r="K1404" s="14">
        <v>72</v>
      </c>
      <c r="L1404" s="526">
        <v>1266580000</v>
      </c>
      <c r="M1404" s="14">
        <v>36</v>
      </c>
      <c r="N1404" s="14">
        <f>295007000+174532294</f>
        <v>469539294</v>
      </c>
      <c r="O1404" s="14">
        <v>12</v>
      </c>
      <c r="P1404" s="526">
        <v>77900000</v>
      </c>
      <c r="Q1404" s="526">
        <v>3</v>
      </c>
      <c r="R1404" s="30">
        <v>8600000</v>
      </c>
      <c r="S1404" s="1149">
        <v>3</v>
      </c>
      <c r="T1404" s="233">
        <v>13610000</v>
      </c>
      <c r="U1404" s="527"/>
      <c r="V1404" s="527"/>
      <c r="W1404" s="528"/>
      <c r="X1404" s="528"/>
      <c r="Y1404" s="526">
        <f t="shared" si="413"/>
        <v>6</v>
      </c>
      <c r="Z1404" s="265">
        <f t="shared" si="414"/>
        <v>22210000</v>
      </c>
      <c r="AA1404" s="526">
        <f t="shared" si="415"/>
        <v>42</v>
      </c>
      <c r="AB1404" s="265">
        <f t="shared" si="416"/>
        <v>491749294</v>
      </c>
      <c r="AC1404" s="529">
        <f t="shared" si="417"/>
        <v>58.333333333333336</v>
      </c>
      <c r="AD1404" s="529">
        <f t="shared" si="412"/>
        <v>38.824969129466751</v>
      </c>
      <c r="AE1404" s="102"/>
      <c r="AF1404" s="750"/>
      <c r="AG1404" s="750"/>
      <c r="AH1404" s="750"/>
      <c r="AI1404" s="750"/>
      <c r="AJ1404" s="750"/>
      <c r="AK1404" s="750"/>
      <c r="AL1404" s="750"/>
      <c r="AM1404" s="750"/>
      <c r="AN1404" s="750"/>
      <c r="AO1404" s="750"/>
      <c r="AP1404" s="750"/>
      <c r="AQ1404" s="750"/>
      <c r="AR1404" s="750"/>
      <c r="AS1404" s="750"/>
      <c r="AT1404" s="750"/>
      <c r="AU1404" s="750"/>
      <c r="AV1404" s="750"/>
      <c r="AW1404" s="750"/>
      <c r="AX1404" s="750"/>
      <c r="AY1404" s="750"/>
      <c r="AZ1404" s="750"/>
      <c r="BA1404" s="750"/>
      <c r="BB1404" s="750"/>
      <c r="BC1404" s="752"/>
      <c r="BD1404" s="752"/>
      <c r="BE1404" s="752"/>
      <c r="BF1404" s="752"/>
      <c r="BG1404" s="752"/>
      <c r="BH1404" s="752"/>
      <c r="BI1404" s="752"/>
      <c r="BJ1404" s="752"/>
      <c r="BK1404" s="752"/>
      <c r="BL1404" s="752"/>
      <c r="BM1404" s="752"/>
      <c r="BN1404" s="752"/>
      <c r="BO1404" s="752"/>
      <c r="BP1404" s="752"/>
      <c r="BQ1404" s="752"/>
      <c r="BR1404" s="752"/>
    </row>
    <row r="1405" spans="1:70" ht="87" customHeight="1">
      <c r="A1405" s="779"/>
      <c r="B1405" s="11"/>
      <c r="C1405" s="239"/>
      <c r="D1405" s="239"/>
      <c r="E1405" s="239"/>
      <c r="F1405" s="239"/>
      <c r="G1405" s="239"/>
      <c r="H1405" s="239"/>
      <c r="I1405" s="250" t="s">
        <v>81</v>
      </c>
      <c r="J1405" s="11" t="s">
        <v>2344</v>
      </c>
      <c r="K1405" s="14">
        <v>72</v>
      </c>
      <c r="L1405" s="526">
        <v>779009000</v>
      </c>
      <c r="M1405" s="14">
        <v>36</v>
      </c>
      <c r="N1405" s="14">
        <f>164425000+56750000</f>
        <v>221175000</v>
      </c>
      <c r="O1405" s="14">
        <v>12</v>
      </c>
      <c r="P1405" s="526">
        <v>97800000</v>
      </c>
      <c r="Q1405" s="526">
        <v>3</v>
      </c>
      <c r="R1405" s="30">
        <v>12870000</v>
      </c>
      <c r="S1405" s="1149">
        <v>3</v>
      </c>
      <c r="T1405" s="233">
        <v>40205000</v>
      </c>
      <c r="U1405" s="527"/>
      <c r="V1405" s="527"/>
      <c r="W1405" s="528"/>
      <c r="X1405" s="528"/>
      <c r="Y1405" s="526">
        <f t="shared" si="413"/>
        <v>6</v>
      </c>
      <c r="Z1405" s="265">
        <f t="shared" si="414"/>
        <v>53075000</v>
      </c>
      <c r="AA1405" s="526">
        <f t="shared" si="415"/>
        <v>42</v>
      </c>
      <c r="AB1405" s="265">
        <f t="shared" si="416"/>
        <v>274250000</v>
      </c>
      <c r="AC1405" s="529">
        <f t="shared" si="417"/>
        <v>58.333333333333336</v>
      </c>
      <c r="AD1405" s="529">
        <f t="shared" si="412"/>
        <v>35.204984794784146</v>
      </c>
      <c r="AE1405" s="102"/>
      <c r="AF1405" s="750"/>
      <c r="AG1405" s="750"/>
      <c r="AH1405" s="750"/>
      <c r="AI1405" s="750"/>
      <c r="AJ1405" s="750"/>
      <c r="AK1405" s="750"/>
      <c r="AL1405" s="750"/>
      <c r="AM1405" s="750"/>
      <c r="AN1405" s="750"/>
      <c r="AO1405" s="750"/>
      <c r="AP1405" s="750"/>
      <c r="AQ1405" s="750"/>
      <c r="AR1405" s="750"/>
      <c r="AS1405" s="750"/>
      <c r="AT1405" s="750"/>
      <c r="AU1405" s="750"/>
      <c r="AV1405" s="750"/>
      <c r="AW1405" s="750"/>
      <c r="AX1405" s="750"/>
      <c r="AY1405" s="750"/>
      <c r="AZ1405" s="750"/>
      <c r="BA1405" s="750"/>
      <c r="BB1405" s="750"/>
      <c r="BC1405" s="752"/>
      <c r="BD1405" s="752"/>
      <c r="BE1405" s="752"/>
      <c r="BF1405" s="752"/>
      <c r="BG1405" s="752"/>
      <c r="BH1405" s="752"/>
      <c r="BI1405" s="752"/>
      <c r="BJ1405" s="752"/>
      <c r="BK1405" s="752"/>
      <c r="BL1405" s="752"/>
      <c r="BM1405" s="752"/>
      <c r="BN1405" s="752"/>
      <c r="BO1405" s="752"/>
      <c r="BP1405" s="752"/>
      <c r="BQ1405" s="752"/>
      <c r="BR1405" s="752"/>
    </row>
    <row r="1406" spans="1:70" ht="99">
      <c r="A1406" s="2558">
        <v>2</v>
      </c>
      <c r="B1406" s="33"/>
      <c r="C1406" s="161"/>
      <c r="D1406" s="161"/>
      <c r="E1406" s="161"/>
      <c r="F1406" s="161"/>
      <c r="G1406" s="161"/>
      <c r="H1406" s="161"/>
      <c r="I1406" s="134" t="s">
        <v>2345</v>
      </c>
      <c r="J1406" s="33" t="s">
        <v>3132</v>
      </c>
      <c r="K1406" s="160">
        <v>72</v>
      </c>
      <c r="L1406" s="535">
        <f>SUM(L1407:L1411)</f>
        <v>3524420000</v>
      </c>
      <c r="M1406" s="160">
        <v>36</v>
      </c>
      <c r="N1406" s="535">
        <f>SUM(N1407:N1411)</f>
        <v>1598897796</v>
      </c>
      <c r="O1406" s="160">
        <v>12</v>
      </c>
      <c r="P1406" s="535">
        <f>SUM(P1407:P1411)</f>
        <v>1077098000</v>
      </c>
      <c r="Q1406" s="535">
        <v>3</v>
      </c>
      <c r="R1406" s="535">
        <f>SUM(R1407:R1411)</f>
        <v>41675598</v>
      </c>
      <c r="S1406" s="531">
        <v>50</v>
      </c>
      <c r="T1406" s="531">
        <v>686440748</v>
      </c>
      <c r="U1406" s="532"/>
      <c r="V1406" s="531"/>
      <c r="W1406" s="531"/>
      <c r="X1406" s="531"/>
      <c r="Y1406" s="533">
        <f t="shared" si="413"/>
        <v>53</v>
      </c>
      <c r="Z1406" s="229">
        <f t="shared" si="414"/>
        <v>728116346</v>
      </c>
      <c r="AA1406" s="535">
        <f t="shared" si="415"/>
        <v>89</v>
      </c>
      <c r="AB1406" s="223">
        <f t="shared" si="416"/>
        <v>2327014142</v>
      </c>
      <c r="AC1406" s="537">
        <f t="shared" si="417"/>
        <v>123.61111111111111</v>
      </c>
      <c r="AD1406" s="537">
        <f t="shared" si="412"/>
        <v>66.025449350531446</v>
      </c>
      <c r="AE1406" s="2558" t="s">
        <v>3130</v>
      </c>
      <c r="AF1406" s="750"/>
      <c r="AG1406" s="750"/>
      <c r="AH1406" s="750"/>
      <c r="AI1406" s="750"/>
      <c r="AJ1406" s="750"/>
      <c r="AK1406" s="750"/>
      <c r="AL1406" s="750"/>
      <c r="AM1406" s="750"/>
      <c r="AN1406" s="750"/>
      <c r="AO1406" s="750"/>
      <c r="AP1406" s="750"/>
      <c r="AQ1406" s="750"/>
      <c r="AR1406" s="750"/>
      <c r="AS1406" s="750"/>
      <c r="AT1406" s="750"/>
      <c r="AU1406" s="750"/>
      <c r="AV1406" s="750"/>
      <c r="AW1406" s="750"/>
      <c r="AX1406" s="750"/>
      <c r="AY1406" s="750"/>
      <c r="AZ1406" s="750"/>
      <c r="BA1406" s="750"/>
      <c r="BB1406" s="750"/>
      <c r="BC1406" s="752"/>
      <c r="BD1406" s="752"/>
      <c r="BE1406" s="752"/>
      <c r="BF1406" s="752"/>
      <c r="BG1406" s="752"/>
      <c r="BH1406" s="752"/>
      <c r="BI1406" s="752"/>
      <c r="BJ1406" s="752"/>
      <c r="BK1406" s="752"/>
      <c r="BL1406" s="752"/>
      <c r="BM1406" s="752"/>
      <c r="BN1406" s="752"/>
      <c r="BO1406" s="752"/>
      <c r="BP1406" s="752"/>
      <c r="BQ1406" s="752"/>
      <c r="BR1406" s="752"/>
    </row>
    <row r="1407" spans="1:70" ht="49.5">
      <c r="A1407" s="779"/>
      <c r="B1407" s="11"/>
      <c r="C1407" s="239"/>
      <c r="D1407" s="239"/>
      <c r="E1407" s="239"/>
      <c r="F1407" s="239"/>
      <c r="G1407" s="239"/>
      <c r="H1407" s="239"/>
      <c r="I1407" s="250" t="s">
        <v>514</v>
      </c>
      <c r="J1407" s="11" t="s">
        <v>2346</v>
      </c>
      <c r="K1407" s="14">
        <v>72</v>
      </c>
      <c r="L1407" s="526">
        <f>2*N1407</f>
        <v>1364642000</v>
      </c>
      <c r="M1407" s="14">
        <v>36</v>
      </c>
      <c r="N1407" s="526">
        <f>54600000+627721000</f>
        <v>682321000</v>
      </c>
      <c r="O1407" s="14">
        <v>12</v>
      </c>
      <c r="P1407" s="526">
        <v>532900000</v>
      </c>
      <c r="Q1407" s="526">
        <v>0</v>
      </c>
      <c r="R1407" s="30">
        <v>0</v>
      </c>
      <c r="S1407" s="527">
        <v>3</v>
      </c>
      <c r="T1407" s="202">
        <v>527736000</v>
      </c>
      <c r="U1407" s="527"/>
      <c r="V1407" s="527"/>
      <c r="W1407" s="528"/>
      <c r="X1407" s="528"/>
      <c r="Y1407" s="526">
        <f t="shared" si="413"/>
        <v>3</v>
      </c>
      <c r="Z1407" s="265">
        <f t="shared" si="414"/>
        <v>527736000</v>
      </c>
      <c r="AA1407" s="526">
        <f t="shared" si="415"/>
        <v>39</v>
      </c>
      <c r="AB1407" s="265">
        <f t="shared" si="416"/>
        <v>1210057000</v>
      </c>
      <c r="AC1407" s="529">
        <f t="shared" si="417"/>
        <v>54.166666666666664</v>
      </c>
      <c r="AD1407" s="529">
        <f t="shared" si="412"/>
        <v>88.672120600128096</v>
      </c>
      <c r="AE1407" s="102"/>
      <c r="AF1407" s="750"/>
      <c r="AG1407" s="750"/>
      <c r="AH1407" s="750"/>
      <c r="AI1407" s="750"/>
      <c r="AJ1407" s="750"/>
      <c r="AK1407" s="750"/>
      <c r="AL1407" s="750"/>
      <c r="AM1407" s="750"/>
      <c r="AN1407" s="750"/>
      <c r="AO1407" s="750"/>
      <c r="AP1407" s="750"/>
      <c r="AQ1407" s="750"/>
      <c r="AR1407" s="750"/>
      <c r="AS1407" s="750"/>
      <c r="AT1407" s="750"/>
      <c r="AU1407" s="750"/>
      <c r="AV1407" s="750"/>
      <c r="AW1407" s="750"/>
      <c r="AX1407" s="750"/>
      <c r="AY1407" s="750"/>
      <c r="AZ1407" s="750"/>
      <c r="BA1407" s="750"/>
      <c r="BB1407" s="750"/>
      <c r="BC1407" s="752"/>
      <c r="BD1407" s="752"/>
      <c r="BE1407" s="752"/>
      <c r="BF1407" s="752"/>
      <c r="BG1407" s="752"/>
      <c r="BH1407" s="752"/>
      <c r="BI1407" s="752"/>
      <c r="BJ1407" s="752"/>
      <c r="BK1407" s="752"/>
      <c r="BL1407" s="752"/>
      <c r="BM1407" s="752"/>
      <c r="BN1407" s="752"/>
      <c r="BO1407" s="752"/>
      <c r="BP1407" s="752"/>
      <c r="BQ1407" s="752"/>
      <c r="BR1407" s="752"/>
    </row>
    <row r="1408" spans="1:70" ht="99">
      <c r="A1408" s="779"/>
      <c r="B1408" s="11"/>
      <c r="C1408" s="239"/>
      <c r="D1408" s="239"/>
      <c r="E1408" s="239"/>
      <c r="F1408" s="239"/>
      <c r="G1408" s="239"/>
      <c r="H1408" s="239"/>
      <c r="I1408" s="250" t="s">
        <v>82</v>
      </c>
      <c r="J1408" s="11" t="s">
        <v>2347</v>
      </c>
      <c r="K1408" s="14">
        <v>72</v>
      </c>
      <c r="L1408" s="526">
        <f>2*N1408</f>
        <v>273858000</v>
      </c>
      <c r="M1408" s="14">
        <v>36</v>
      </c>
      <c r="N1408" s="526">
        <f>122330000+14599000</f>
        <v>136929000</v>
      </c>
      <c r="O1408" s="14">
        <v>12</v>
      </c>
      <c r="P1408" s="526">
        <v>70050000</v>
      </c>
      <c r="Q1408" s="526">
        <v>0</v>
      </c>
      <c r="R1408" s="30">
        <v>0</v>
      </c>
      <c r="S1408" s="527">
        <v>3</v>
      </c>
      <c r="T1408" s="202">
        <v>60071500</v>
      </c>
      <c r="U1408" s="527"/>
      <c r="V1408" s="527"/>
      <c r="W1408" s="528"/>
      <c r="X1408" s="528"/>
      <c r="Y1408" s="526">
        <f t="shared" si="413"/>
        <v>3</v>
      </c>
      <c r="Z1408" s="265">
        <f t="shared" si="414"/>
        <v>60071500</v>
      </c>
      <c r="AA1408" s="526">
        <f t="shared" si="415"/>
        <v>39</v>
      </c>
      <c r="AB1408" s="265">
        <f t="shared" si="416"/>
        <v>197000500</v>
      </c>
      <c r="AC1408" s="529">
        <f t="shared" si="417"/>
        <v>54.166666666666664</v>
      </c>
      <c r="AD1408" s="529">
        <f t="shared" si="412"/>
        <v>71.935273024706234</v>
      </c>
      <c r="AE1408" s="102"/>
      <c r="AF1408" s="750"/>
      <c r="AG1408" s="750"/>
      <c r="AH1408" s="750"/>
      <c r="AI1408" s="750"/>
      <c r="AJ1408" s="750"/>
      <c r="AK1408" s="750"/>
      <c r="AL1408" s="750"/>
      <c r="AM1408" s="750"/>
      <c r="AN1408" s="750"/>
      <c r="AO1408" s="750"/>
      <c r="AP1408" s="750"/>
      <c r="AQ1408" s="750"/>
      <c r="AR1408" s="750"/>
      <c r="AS1408" s="750"/>
      <c r="AT1408" s="750"/>
      <c r="AU1408" s="750"/>
      <c r="AV1408" s="750"/>
      <c r="AW1408" s="750"/>
      <c r="AX1408" s="750"/>
      <c r="AY1408" s="750"/>
      <c r="AZ1408" s="750"/>
      <c r="BA1408" s="750"/>
      <c r="BB1408" s="750"/>
      <c r="BC1408" s="752"/>
      <c r="BD1408" s="752"/>
      <c r="BE1408" s="752"/>
      <c r="BF1408" s="752"/>
      <c r="BG1408" s="752"/>
      <c r="BH1408" s="752"/>
      <c r="BI1408" s="752"/>
      <c r="BJ1408" s="752"/>
      <c r="BK1408" s="752"/>
      <c r="BL1408" s="752"/>
      <c r="BM1408" s="752"/>
      <c r="BN1408" s="752"/>
      <c r="BO1408" s="752"/>
      <c r="BP1408" s="752"/>
      <c r="BQ1408" s="752"/>
      <c r="BR1408" s="752"/>
    </row>
    <row r="1409" spans="1:70" ht="49.5">
      <c r="A1409" s="779"/>
      <c r="B1409" s="11"/>
      <c r="C1409" s="239"/>
      <c r="D1409" s="239"/>
      <c r="E1409" s="239"/>
      <c r="F1409" s="239"/>
      <c r="G1409" s="239"/>
      <c r="H1409" s="239"/>
      <c r="I1409" s="250" t="s">
        <v>83</v>
      </c>
      <c r="J1409" s="11" t="s">
        <v>2348</v>
      </c>
      <c r="K1409" s="14">
        <v>72</v>
      </c>
      <c r="L1409" s="526">
        <v>302338000</v>
      </c>
      <c r="M1409" s="14">
        <v>36</v>
      </c>
      <c r="N1409" s="526">
        <f>62250000+8000000</f>
        <v>70250000</v>
      </c>
      <c r="O1409" s="14">
        <v>12</v>
      </c>
      <c r="P1409" s="526">
        <v>134050000</v>
      </c>
      <c r="Q1409" s="526">
        <v>0</v>
      </c>
      <c r="R1409" s="30">
        <v>0</v>
      </c>
      <c r="S1409" s="1150">
        <v>0</v>
      </c>
      <c r="T1409" s="233">
        <v>0</v>
      </c>
      <c r="U1409" s="527"/>
      <c r="V1409" s="527"/>
      <c r="W1409" s="528"/>
      <c r="X1409" s="528"/>
      <c r="Y1409" s="526">
        <f t="shared" si="413"/>
        <v>0</v>
      </c>
      <c r="Z1409" s="265">
        <f t="shared" si="414"/>
        <v>0</v>
      </c>
      <c r="AA1409" s="526">
        <f t="shared" si="415"/>
        <v>36</v>
      </c>
      <c r="AB1409" s="265">
        <f t="shared" si="416"/>
        <v>70250000</v>
      </c>
      <c r="AC1409" s="529">
        <f t="shared" si="417"/>
        <v>50</v>
      </c>
      <c r="AD1409" s="529">
        <f t="shared" si="412"/>
        <v>23.235584015241219</v>
      </c>
      <c r="AE1409" s="102"/>
      <c r="AF1409" s="750"/>
      <c r="AG1409" s="750"/>
      <c r="AH1409" s="750"/>
      <c r="AI1409" s="750"/>
      <c r="AJ1409" s="750"/>
      <c r="AK1409" s="750"/>
      <c r="AL1409" s="750"/>
      <c r="AM1409" s="750"/>
      <c r="AN1409" s="750"/>
      <c r="AO1409" s="750"/>
      <c r="AP1409" s="750"/>
      <c r="AQ1409" s="750"/>
      <c r="AR1409" s="750"/>
      <c r="AS1409" s="750"/>
      <c r="AT1409" s="750"/>
      <c r="AU1409" s="750"/>
      <c r="AV1409" s="750"/>
      <c r="AW1409" s="750"/>
      <c r="AX1409" s="750"/>
      <c r="AY1409" s="750"/>
      <c r="AZ1409" s="750"/>
      <c r="BA1409" s="750"/>
      <c r="BB1409" s="750"/>
      <c r="BC1409" s="752"/>
      <c r="BD1409" s="752"/>
      <c r="BE1409" s="752"/>
      <c r="BF1409" s="752"/>
      <c r="BG1409" s="752"/>
      <c r="BH1409" s="752"/>
      <c r="BI1409" s="752"/>
      <c r="BJ1409" s="752"/>
      <c r="BK1409" s="752"/>
      <c r="BL1409" s="752"/>
      <c r="BM1409" s="752"/>
      <c r="BN1409" s="752"/>
      <c r="BO1409" s="752"/>
      <c r="BP1409" s="752"/>
      <c r="BQ1409" s="752"/>
      <c r="BR1409" s="752"/>
    </row>
    <row r="1410" spans="1:70" ht="49.5">
      <c r="A1410" s="779"/>
      <c r="B1410" s="11"/>
      <c r="C1410" s="239"/>
      <c r="D1410" s="239"/>
      <c r="E1410" s="239"/>
      <c r="F1410" s="239"/>
      <c r="G1410" s="239"/>
      <c r="H1410" s="239"/>
      <c r="I1410" s="250" t="s">
        <v>37</v>
      </c>
      <c r="J1410" s="11" t="s">
        <v>89</v>
      </c>
      <c r="K1410" s="14">
        <v>72</v>
      </c>
      <c r="L1410" s="526">
        <v>617450000</v>
      </c>
      <c r="M1410" s="14">
        <v>36</v>
      </c>
      <c r="N1410" s="526">
        <f>370726000+15000000</f>
        <v>385726000</v>
      </c>
      <c r="O1410" s="14">
        <v>12</v>
      </c>
      <c r="P1410" s="526">
        <v>95500000</v>
      </c>
      <c r="Q1410" s="526">
        <v>3</v>
      </c>
      <c r="R1410" s="30">
        <v>8790000</v>
      </c>
      <c r="S1410" s="527">
        <v>0</v>
      </c>
      <c r="T1410" s="202">
        <v>24790000</v>
      </c>
      <c r="U1410" s="527"/>
      <c r="V1410" s="527"/>
      <c r="W1410" s="528"/>
      <c r="X1410" s="528"/>
      <c r="Y1410" s="526">
        <f t="shared" si="413"/>
        <v>3</v>
      </c>
      <c r="Z1410" s="265">
        <f t="shared" si="414"/>
        <v>33580000</v>
      </c>
      <c r="AA1410" s="526">
        <f t="shared" si="415"/>
        <v>39</v>
      </c>
      <c r="AB1410" s="265">
        <f t="shared" si="416"/>
        <v>419306000</v>
      </c>
      <c r="AC1410" s="529">
        <f t="shared" si="417"/>
        <v>54.166666666666664</v>
      </c>
      <c r="AD1410" s="529">
        <f t="shared" si="412"/>
        <v>67.909304397117182</v>
      </c>
      <c r="AE1410" s="102"/>
      <c r="AF1410" s="750"/>
      <c r="AG1410" s="750"/>
      <c r="AH1410" s="750"/>
      <c r="AI1410" s="750"/>
      <c r="AJ1410" s="750"/>
      <c r="AK1410" s="750"/>
      <c r="AL1410" s="750"/>
      <c r="AM1410" s="750"/>
      <c r="AN1410" s="750"/>
      <c r="AO1410" s="750"/>
      <c r="AP1410" s="750"/>
      <c r="AQ1410" s="750"/>
      <c r="AR1410" s="750"/>
      <c r="AS1410" s="750"/>
      <c r="AT1410" s="750"/>
      <c r="AU1410" s="750"/>
      <c r="AV1410" s="750"/>
      <c r="AW1410" s="750"/>
      <c r="AX1410" s="750"/>
      <c r="AY1410" s="750"/>
      <c r="AZ1410" s="750"/>
      <c r="BA1410" s="750"/>
      <c r="BB1410" s="750"/>
      <c r="BC1410" s="752"/>
      <c r="BD1410" s="752"/>
      <c r="BE1410" s="752"/>
      <c r="BF1410" s="752"/>
      <c r="BG1410" s="752"/>
      <c r="BH1410" s="752"/>
      <c r="BI1410" s="752"/>
      <c r="BJ1410" s="752"/>
      <c r="BK1410" s="752"/>
      <c r="BL1410" s="752"/>
      <c r="BM1410" s="752"/>
      <c r="BN1410" s="752"/>
      <c r="BO1410" s="752"/>
      <c r="BP1410" s="752"/>
      <c r="BQ1410" s="752"/>
      <c r="BR1410" s="752"/>
    </row>
    <row r="1411" spans="1:70" ht="66">
      <c r="A1411" s="779"/>
      <c r="B1411" s="11"/>
      <c r="C1411" s="239"/>
      <c r="D1411" s="239"/>
      <c r="E1411" s="239"/>
      <c r="F1411" s="239"/>
      <c r="G1411" s="239"/>
      <c r="H1411" s="239"/>
      <c r="I1411" s="250" t="s">
        <v>518</v>
      </c>
      <c r="J1411" s="11" t="s">
        <v>3133</v>
      </c>
      <c r="K1411" s="14">
        <v>72</v>
      </c>
      <c r="L1411" s="526">
        <v>966132000</v>
      </c>
      <c r="M1411" s="14">
        <v>36</v>
      </c>
      <c r="N1411" s="526">
        <f>205744000+117927796</f>
        <v>323671796</v>
      </c>
      <c r="O1411" s="14">
        <v>12</v>
      </c>
      <c r="P1411" s="526">
        <v>244598000</v>
      </c>
      <c r="Q1411" s="526">
        <v>3</v>
      </c>
      <c r="R1411" s="30">
        <v>32885598</v>
      </c>
      <c r="S1411" s="527">
        <v>3</v>
      </c>
      <c r="T1411" s="202">
        <v>73843248</v>
      </c>
      <c r="U1411" s="527"/>
      <c r="V1411" s="527"/>
      <c r="W1411" s="528"/>
      <c r="X1411" s="528"/>
      <c r="Y1411" s="526">
        <f t="shared" si="413"/>
        <v>6</v>
      </c>
      <c r="Z1411" s="265">
        <f t="shared" si="414"/>
        <v>106728846</v>
      </c>
      <c r="AA1411" s="526">
        <f t="shared" si="415"/>
        <v>42</v>
      </c>
      <c r="AB1411" s="265">
        <f t="shared" si="416"/>
        <v>430400642</v>
      </c>
      <c r="AC1411" s="529">
        <f t="shared" si="417"/>
        <v>58.333333333333336</v>
      </c>
      <c r="AD1411" s="529">
        <f t="shared" si="412"/>
        <v>44.548844464317504</v>
      </c>
      <c r="AE1411" s="102"/>
      <c r="AF1411" s="750"/>
      <c r="AG1411" s="750"/>
      <c r="AH1411" s="750"/>
      <c r="AI1411" s="750"/>
      <c r="AJ1411" s="750"/>
      <c r="AK1411" s="750"/>
      <c r="AL1411" s="750"/>
      <c r="AM1411" s="750"/>
      <c r="AN1411" s="750"/>
      <c r="AO1411" s="750"/>
      <c r="AP1411" s="750"/>
      <c r="AQ1411" s="750"/>
      <c r="AR1411" s="750"/>
      <c r="AS1411" s="750"/>
      <c r="AT1411" s="750"/>
      <c r="AU1411" s="750"/>
      <c r="AV1411" s="750"/>
      <c r="AW1411" s="750"/>
      <c r="AX1411" s="750"/>
      <c r="AY1411" s="750"/>
      <c r="AZ1411" s="750"/>
      <c r="BA1411" s="750"/>
      <c r="BB1411" s="750"/>
      <c r="BC1411" s="752"/>
      <c r="BD1411" s="752"/>
      <c r="BE1411" s="752"/>
      <c r="BF1411" s="752"/>
      <c r="BG1411" s="752"/>
      <c r="BH1411" s="752"/>
      <c r="BI1411" s="752"/>
      <c r="BJ1411" s="752"/>
      <c r="BK1411" s="752"/>
      <c r="BL1411" s="752"/>
      <c r="BM1411" s="752"/>
      <c r="BN1411" s="752"/>
      <c r="BO1411" s="752"/>
      <c r="BP1411" s="752"/>
      <c r="BQ1411" s="752"/>
      <c r="BR1411" s="752"/>
    </row>
    <row r="1412" spans="1:70" s="16" customFormat="1" ht="49.5">
      <c r="A1412" s="2558">
        <v>2</v>
      </c>
      <c r="B1412" s="33"/>
      <c r="C1412" s="989"/>
      <c r="D1412" s="989"/>
      <c r="E1412" s="989"/>
      <c r="F1412" s="989"/>
      <c r="G1412" s="989"/>
      <c r="H1412" s="989"/>
      <c r="I1412" s="134" t="s">
        <v>583</v>
      </c>
      <c r="J1412" s="33" t="s">
        <v>3135</v>
      </c>
      <c r="K1412" s="160">
        <v>100</v>
      </c>
      <c r="L1412" s="544">
        <f t="shared" ref="L1412:R1412" si="418">L1413</f>
        <v>327050000</v>
      </c>
      <c r="M1412" s="160">
        <f t="shared" si="418"/>
        <v>0</v>
      </c>
      <c r="N1412" s="544">
        <f t="shared" si="418"/>
        <v>0</v>
      </c>
      <c r="O1412" s="160">
        <v>50</v>
      </c>
      <c r="P1412" s="544">
        <f t="shared" si="418"/>
        <v>117075000</v>
      </c>
      <c r="Q1412" s="544">
        <v>0</v>
      </c>
      <c r="R1412" s="544">
        <f t="shared" si="418"/>
        <v>0</v>
      </c>
      <c r="S1412" s="531"/>
      <c r="T1412" s="531"/>
      <c r="U1412" s="532"/>
      <c r="V1412" s="531"/>
      <c r="W1412" s="531"/>
      <c r="X1412" s="531"/>
      <c r="Y1412" s="544">
        <f t="shared" si="413"/>
        <v>0</v>
      </c>
      <c r="Z1412" s="223">
        <f t="shared" si="414"/>
        <v>0</v>
      </c>
      <c r="AA1412" s="544">
        <f t="shared" si="415"/>
        <v>0</v>
      </c>
      <c r="AB1412" s="223">
        <f t="shared" si="416"/>
        <v>0</v>
      </c>
      <c r="AC1412" s="542">
        <f t="shared" si="417"/>
        <v>0</v>
      </c>
      <c r="AD1412" s="542">
        <f t="shared" si="412"/>
        <v>0</v>
      </c>
      <c r="AE1412" s="2558" t="s">
        <v>3130</v>
      </c>
      <c r="AF1412" s="201"/>
      <c r="AG1412" s="201"/>
      <c r="AH1412" s="201"/>
      <c r="AI1412" s="201"/>
      <c r="AJ1412" s="201"/>
      <c r="AK1412" s="201"/>
      <c r="AL1412" s="201"/>
      <c r="AM1412" s="201"/>
      <c r="AN1412" s="201"/>
      <c r="AO1412" s="201"/>
      <c r="AP1412" s="201"/>
      <c r="AQ1412" s="201"/>
      <c r="AR1412" s="201"/>
      <c r="AS1412" s="201"/>
      <c r="AT1412" s="201"/>
      <c r="AU1412" s="201"/>
      <c r="AV1412" s="201"/>
      <c r="AW1412" s="201"/>
      <c r="AX1412" s="201"/>
      <c r="AY1412" s="201"/>
      <c r="AZ1412" s="201"/>
      <c r="BA1412" s="201"/>
      <c r="BB1412" s="201"/>
      <c r="BC1412" s="20"/>
      <c r="BD1412" s="20"/>
      <c r="BE1412" s="20"/>
      <c r="BF1412" s="20"/>
      <c r="BG1412" s="20"/>
      <c r="BH1412" s="20"/>
      <c r="BI1412" s="20"/>
      <c r="BJ1412" s="20"/>
      <c r="BK1412" s="20"/>
      <c r="BL1412" s="20"/>
      <c r="BM1412" s="20"/>
      <c r="BN1412" s="20"/>
      <c r="BO1412" s="20"/>
      <c r="BP1412" s="20"/>
      <c r="BQ1412" s="20"/>
      <c r="BR1412" s="20"/>
    </row>
    <row r="1413" spans="1:70" ht="45" customHeight="1">
      <c r="A1413" s="779"/>
      <c r="B1413" s="11"/>
      <c r="C1413" s="239"/>
      <c r="D1413" s="239"/>
      <c r="E1413" s="239"/>
      <c r="F1413" s="239"/>
      <c r="G1413" s="239"/>
      <c r="H1413" s="239"/>
      <c r="I1413" s="250" t="s">
        <v>628</v>
      </c>
      <c r="J1413" s="11" t="s">
        <v>3134</v>
      </c>
      <c r="K1413" s="14">
        <v>65</v>
      </c>
      <c r="L1413" s="526">
        <v>327050000</v>
      </c>
      <c r="M1413" s="14">
        <v>0</v>
      </c>
      <c r="N1413" s="526">
        <v>0</v>
      </c>
      <c r="O1413" s="14">
        <v>11</v>
      </c>
      <c r="P1413" s="526">
        <v>117075000</v>
      </c>
      <c r="Q1413" s="526">
        <v>0</v>
      </c>
      <c r="R1413" s="30">
        <v>0</v>
      </c>
      <c r="S1413" s="527"/>
      <c r="T1413" s="202"/>
      <c r="U1413" s="527"/>
      <c r="V1413" s="527"/>
      <c r="W1413" s="528"/>
      <c r="X1413" s="528"/>
      <c r="Y1413" s="526">
        <f t="shared" si="413"/>
        <v>0</v>
      </c>
      <c r="Z1413" s="265">
        <f t="shared" si="414"/>
        <v>0</v>
      </c>
      <c r="AA1413" s="526">
        <f t="shared" si="415"/>
        <v>0</v>
      </c>
      <c r="AB1413" s="265">
        <f t="shared" si="416"/>
        <v>0</v>
      </c>
      <c r="AC1413" s="529">
        <f t="shared" si="417"/>
        <v>0</v>
      </c>
      <c r="AD1413" s="529">
        <f t="shared" si="412"/>
        <v>0</v>
      </c>
      <c r="AE1413" s="102"/>
      <c r="AF1413" s="750"/>
      <c r="AG1413" s="750"/>
      <c r="AH1413" s="750"/>
      <c r="AI1413" s="750"/>
      <c r="AJ1413" s="750"/>
      <c r="AK1413" s="750"/>
      <c r="AL1413" s="750"/>
      <c r="AM1413" s="750"/>
      <c r="AN1413" s="750"/>
      <c r="AO1413" s="750"/>
      <c r="AP1413" s="750"/>
      <c r="AQ1413" s="750"/>
      <c r="AR1413" s="750"/>
      <c r="AS1413" s="750"/>
      <c r="AT1413" s="750"/>
      <c r="AU1413" s="750"/>
      <c r="AV1413" s="750"/>
      <c r="AW1413" s="750"/>
      <c r="AX1413" s="750"/>
      <c r="AY1413" s="750"/>
      <c r="AZ1413" s="750"/>
      <c r="BA1413" s="750"/>
      <c r="BB1413" s="750"/>
      <c r="BC1413" s="752"/>
      <c r="BD1413" s="752"/>
      <c r="BE1413" s="752"/>
      <c r="BF1413" s="752"/>
      <c r="BG1413" s="752"/>
      <c r="BH1413" s="752"/>
      <c r="BI1413" s="752"/>
      <c r="BJ1413" s="752"/>
      <c r="BK1413" s="752"/>
      <c r="BL1413" s="752"/>
      <c r="BM1413" s="752"/>
      <c r="BN1413" s="752"/>
      <c r="BO1413" s="752"/>
      <c r="BP1413" s="752"/>
      <c r="BQ1413" s="752"/>
      <c r="BR1413" s="752"/>
    </row>
    <row r="1414" spans="1:70" ht="82.5">
      <c r="A1414" s="2539">
        <v>3</v>
      </c>
      <c r="B1414" s="1831"/>
      <c r="C1414" s="990"/>
      <c r="D1414" s="990"/>
      <c r="E1414" s="990"/>
      <c r="F1414" s="990"/>
      <c r="G1414" s="990"/>
      <c r="H1414" s="1832"/>
      <c r="I1414" s="2930" t="s">
        <v>2349</v>
      </c>
      <c r="J1414" s="33" t="s">
        <v>2350</v>
      </c>
      <c r="K1414" s="230">
        <v>27</v>
      </c>
      <c r="L1414" s="2896">
        <f>3*N1414</f>
        <v>5005678728</v>
      </c>
      <c r="M1414" s="230">
        <v>22</v>
      </c>
      <c r="N1414" s="2896">
        <f>SUM(N1416:N1419)</f>
        <v>1668559576</v>
      </c>
      <c r="O1414" s="538">
        <v>2</v>
      </c>
      <c r="P1414" s="2896">
        <f>SUM(P1416:P1420)</f>
        <v>1052316400</v>
      </c>
      <c r="Q1414" s="538"/>
      <c r="R1414" s="2896">
        <f>SUM(R1416:R1420)</f>
        <v>12528800</v>
      </c>
      <c r="S1414" s="159"/>
      <c r="T1414" s="2898">
        <f>SUM(T1416:T1420)</f>
        <v>487456200</v>
      </c>
      <c r="U1414" s="159"/>
      <c r="V1414" s="2898"/>
      <c r="W1414" s="159"/>
      <c r="X1414" s="2899"/>
      <c r="Y1414" s="533">
        <f t="shared" si="413"/>
        <v>0</v>
      </c>
      <c r="Z1414" s="229">
        <f t="shared" si="414"/>
        <v>499985000</v>
      </c>
      <c r="AA1414" s="160">
        <f t="shared" si="415"/>
        <v>22</v>
      </c>
      <c r="AB1414" s="2895">
        <f t="shared" si="416"/>
        <v>2168544576</v>
      </c>
      <c r="AC1414" s="537">
        <f t="shared" si="417"/>
        <v>81.481481481481481</v>
      </c>
      <c r="AD1414" s="2893">
        <f t="shared" si="412"/>
        <v>43.32168910221759</v>
      </c>
      <c r="AE1414" s="2558" t="s">
        <v>3130</v>
      </c>
      <c r="AF1414" s="750"/>
      <c r="AG1414" s="750"/>
      <c r="AH1414" s="750"/>
      <c r="AI1414" s="750"/>
      <c r="AJ1414" s="750"/>
      <c r="AK1414" s="750"/>
      <c r="AL1414" s="750"/>
      <c r="AM1414" s="750"/>
      <c r="AN1414" s="750"/>
      <c r="AO1414" s="750"/>
      <c r="AP1414" s="750"/>
      <c r="AQ1414" s="750"/>
      <c r="AR1414" s="750"/>
      <c r="AS1414" s="750"/>
      <c r="AT1414" s="750"/>
      <c r="AU1414" s="750"/>
      <c r="AV1414" s="750"/>
      <c r="AW1414" s="750"/>
      <c r="AX1414" s="750"/>
      <c r="AY1414" s="750"/>
      <c r="AZ1414" s="750"/>
      <c r="BA1414" s="750"/>
      <c r="BB1414" s="750"/>
      <c r="BC1414" s="752"/>
      <c r="BD1414" s="752"/>
      <c r="BE1414" s="752"/>
      <c r="BF1414" s="752"/>
      <c r="BG1414" s="752"/>
      <c r="BH1414" s="752"/>
      <c r="BI1414" s="752"/>
      <c r="BJ1414" s="752"/>
      <c r="BK1414" s="752"/>
      <c r="BL1414" s="752"/>
      <c r="BM1414" s="752"/>
      <c r="BN1414" s="752"/>
      <c r="BO1414" s="752"/>
      <c r="BP1414" s="752"/>
      <c r="BQ1414" s="752"/>
      <c r="BR1414" s="752"/>
    </row>
    <row r="1415" spans="1:70" ht="86.25" customHeight="1">
      <c r="A1415" s="2540"/>
      <c r="B1415" s="1833"/>
      <c r="C1415" s="998"/>
      <c r="D1415" s="998"/>
      <c r="E1415" s="998"/>
      <c r="F1415" s="998"/>
      <c r="G1415" s="998"/>
      <c r="H1415" s="1834"/>
      <c r="I1415" s="2931"/>
      <c r="J1415" s="33" t="s">
        <v>2351</v>
      </c>
      <c r="K1415" s="230">
        <v>123</v>
      </c>
      <c r="L1415" s="2897"/>
      <c r="M1415" s="230">
        <v>120</v>
      </c>
      <c r="N1415" s="2897"/>
      <c r="O1415" s="538">
        <v>2</v>
      </c>
      <c r="P1415" s="2897"/>
      <c r="Q1415" s="538"/>
      <c r="R1415" s="2897"/>
      <c r="S1415" s="159"/>
      <c r="T1415" s="2898"/>
      <c r="U1415" s="159"/>
      <c r="V1415" s="2898"/>
      <c r="W1415" s="159"/>
      <c r="X1415" s="2899"/>
      <c r="Y1415" s="533">
        <f t="shared" si="413"/>
        <v>0</v>
      </c>
      <c r="Z1415" s="229">
        <f t="shared" si="414"/>
        <v>0</v>
      </c>
      <c r="AA1415" s="160">
        <f t="shared" si="415"/>
        <v>120</v>
      </c>
      <c r="AB1415" s="2895">
        <f t="shared" si="416"/>
        <v>0</v>
      </c>
      <c r="AC1415" s="537">
        <f t="shared" si="417"/>
        <v>97.560975609756099</v>
      </c>
      <c r="AD1415" s="2893" t="e">
        <f t="shared" si="412"/>
        <v>#DIV/0!</v>
      </c>
      <c r="AE1415" s="133"/>
      <c r="AF1415" s="750"/>
      <c r="AG1415" s="750"/>
      <c r="AH1415" s="750"/>
      <c r="AI1415" s="750"/>
      <c r="AJ1415" s="750"/>
      <c r="AK1415" s="750"/>
      <c r="AL1415" s="750"/>
      <c r="AM1415" s="750"/>
      <c r="AN1415" s="750"/>
      <c r="AO1415" s="750"/>
      <c r="AP1415" s="750"/>
      <c r="AQ1415" s="750"/>
      <c r="AR1415" s="750"/>
      <c r="AS1415" s="750"/>
      <c r="AT1415" s="750"/>
      <c r="AU1415" s="750"/>
      <c r="AV1415" s="750"/>
      <c r="AW1415" s="750"/>
      <c r="AX1415" s="750"/>
      <c r="AY1415" s="750"/>
      <c r="AZ1415" s="750"/>
      <c r="BA1415" s="750"/>
      <c r="BB1415" s="750"/>
      <c r="BC1415" s="752"/>
      <c r="BD1415" s="752"/>
      <c r="BE1415" s="752"/>
      <c r="BF1415" s="752"/>
      <c r="BG1415" s="752"/>
      <c r="BH1415" s="752"/>
      <c r="BI1415" s="752"/>
      <c r="BJ1415" s="752"/>
      <c r="BK1415" s="752"/>
      <c r="BL1415" s="752"/>
      <c r="BM1415" s="752"/>
      <c r="BN1415" s="752"/>
      <c r="BO1415" s="752"/>
      <c r="BP1415" s="752"/>
      <c r="BQ1415" s="752"/>
      <c r="BR1415" s="752"/>
    </row>
    <row r="1416" spans="1:70" ht="66">
      <c r="A1416" s="779"/>
      <c r="B1416" s="258"/>
      <c r="C1416" s="304"/>
      <c r="D1416" s="304"/>
      <c r="E1416" s="304"/>
      <c r="F1416" s="304"/>
      <c r="G1416" s="304"/>
      <c r="H1416" s="308"/>
      <c r="I1416" s="250" t="s">
        <v>2352</v>
      </c>
      <c r="J1416" s="10" t="s">
        <v>2353</v>
      </c>
      <c r="K1416" s="1151">
        <v>148</v>
      </c>
      <c r="L1416" s="1151">
        <f>2*N1416</f>
        <v>2368176800</v>
      </c>
      <c r="M1416" s="108">
        <v>33</v>
      </c>
      <c r="N1416" s="526">
        <f>778195000+405893400</f>
        <v>1184088400</v>
      </c>
      <c r="O1416" s="108">
        <v>88</v>
      </c>
      <c r="P1416" s="526">
        <v>611574400</v>
      </c>
      <c r="Q1416" s="526">
        <v>0</v>
      </c>
      <c r="R1416" s="528">
        <v>4595000</v>
      </c>
      <c r="S1416" s="527">
        <v>58</v>
      </c>
      <c r="T1416" s="202">
        <v>286552000</v>
      </c>
      <c r="U1416" s="527"/>
      <c r="V1416" s="527"/>
      <c r="W1416" s="528"/>
      <c r="X1416" s="528"/>
      <c r="Y1416" s="526">
        <f t="shared" si="413"/>
        <v>58</v>
      </c>
      <c r="Z1416" s="265">
        <f t="shared" si="414"/>
        <v>291147000</v>
      </c>
      <c r="AA1416" s="526">
        <f t="shared" si="415"/>
        <v>91</v>
      </c>
      <c r="AB1416" s="265">
        <f t="shared" si="416"/>
        <v>1475235400</v>
      </c>
      <c r="AC1416" s="529">
        <f t="shared" si="417"/>
        <v>61.486486486486491</v>
      </c>
      <c r="AD1416" s="529">
        <f t="shared" si="412"/>
        <v>62.294141214456623</v>
      </c>
      <c r="AE1416" s="102"/>
      <c r="AF1416" s="750"/>
      <c r="AG1416" s="750"/>
      <c r="AH1416" s="750"/>
      <c r="AI1416" s="750"/>
      <c r="AJ1416" s="750"/>
      <c r="AK1416" s="750"/>
      <c r="AL1416" s="750"/>
      <c r="AM1416" s="750"/>
      <c r="AN1416" s="750"/>
      <c r="AO1416" s="750"/>
      <c r="AP1416" s="750"/>
      <c r="AQ1416" s="750"/>
      <c r="AR1416" s="750"/>
      <c r="AS1416" s="750"/>
      <c r="AT1416" s="750"/>
      <c r="AU1416" s="750"/>
      <c r="AV1416" s="750"/>
      <c r="AW1416" s="750"/>
      <c r="AX1416" s="750"/>
      <c r="AY1416" s="750"/>
      <c r="AZ1416" s="750"/>
      <c r="BA1416" s="750"/>
      <c r="BB1416" s="750"/>
      <c r="BC1416" s="752"/>
      <c r="BD1416" s="752"/>
      <c r="BE1416" s="752"/>
      <c r="BF1416" s="752"/>
      <c r="BG1416" s="752"/>
      <c r="BH1416" s="752"/>
      <c r="BI1416" s="752"/>
      <c r="BJ1416" s="752"/>
      <c r="BK1416" s="752"/>
      <c r="BL1416" s="752"/>
      <c r="BM1416" s="752"/>
      <c r="BN1416" s="752"/>
      <c r="BO1416" s="752"/>
      <c r="BP1416" s="752"/>
      <c r="BQ1416" s="752"/>
      <c r="BR1416" s="752"/>
    </row>
    <row r="1417" spans="1:70" ht="66">
      <c r="A1417" s="779"/>
      <c r="B1417" s="11"/>
      <c r="C1417" s="239"/>
      <c r="D1417" s="239"/>
      <c r="E1417" s="239"/>
      <c r="F1417" s="239"/>
      <c r="G1417" s="239"/>
      <c r="H1417" s="239"/>
      <c r="I1417" s="250" t="s">
        <v>2354</v>
      </c>
      <c r="J1417" s="11" t="s">
        <v>2355</v>
      </c>
      <c r="K1417" s="14">
        <v>125</v>
      </c>
      <c r="L1417" s="526">
        <f>4*P1417</f>
        <v>175004000</v>
      </c>
      <c r="M1417" s="14">
        <v>25</v>
      </c>
      <c r="N1417" s="526">
        <f>9686000+10955000</f>
        <v>20641000</v>
      </c>
      <c r="O1417" s="12">
        <v>50</v>
      </c>
      <c r="P1417" s="526">
        <v>43751000</v>
      </c>
      <c r="Q1417" s="526">
        <v>0</v>
      </c>
      <c r="R1417" s="30">
        <v>0</v>
      </c>
      <c r="S1417" s="527">
        <v>50</v>
      </c>
      <c r="T1417" s="202">
        <v>0</v>
      </c>
      <c r="U1417" s="527"/>
      <c r="V1417" s="527"/>
      <c r="W1417" s="528"/>
      <c r="X1417" s="528"/>
      <c r="Y1417" s="526">
        <f t="shared" si="413"/>
        <v>50</v>
      </c>
      <c r="Z1417" s="265">
        <f t="shared" si="414"/>
        <v>0</v>
      </c>
      <c r="AA1417" s="526">
        <f t="shared" si="415"/>
        <v>75</v>
      </c>
      <c r="AB1417" s="265">
        <f t="shared" si="416"/>
        <v>20641000</v>
      </c>
      <c r="AC1417" s="529">
        <f t="shared" si="417"/>
        <v>60</v>
      </c>
      <c r="AD1417" s="529">
        <f t="shared" si="412"/>
        <v>11.794587552284518</v>
      </c>
      <c r="AE1417" s="102"/>
      <c r="AF1417" s="750"/>
      <c r="AG1417" s="750"/>
      <c r="AH1417" s="750"/>
      <c r="AI1417" s="750"/>
      <c r="AJ1417" s="750"/>
      <c r="AK1417" s="750"/>
      <c r="AL1417" s="750"/>
      <c r="AM1417" s="750"/>
      <c r="AN1417" s="750"/>
      <c r="AO1417" s="750"/>
      <c r="AP1417" s="750"/>
      <c r="AQ1417" s="750"/>
      <c r="AR1417" s="750"/>
      <c r="AS1417" s="750"/>
      <c r="AT1417" s="750"/>
      <c r="AU1417" s="750"/>
      <c r="AV1417" s="750"/>
      <c r="AW1417" s="750"/>
      <c r="AX1417" s="750"/>
      <c r="AY1417" s="750"/>
      <c r="AZ1417" s="750"/>
      <c r="BA1417" s="750"/>
      <c r="BB1417" s="750"/>
      <c r="BC1417" s="752"/>
      <c r="BD1417" s="752"/>
      <c r="BE1417" s="752"/>
      <c r="BF1417" s="752"/>
      <c r="BG1417" s="752"/>
      <c r="BH1417" s="752"/>
      <c r="BI1417" s="752"/>
      <c r="BJ1417" s="752"/>
      <c r="BK1417" s="752"/>
      <c r="BL1417" s="752"/>
      <c r="BM1417" s="752"/>
      <c r="BN1417" s="752"/>
      <c r="BO1417" s="752"/>
      <c r="BP1417" s="752"/>
      <c r="BQ1417" s="752"/>
      <c r="BR1417" s="752"/>
    </row>
    <row r="1418" spans="1:70" ht="89.25" customHeight="1">
      <c r="A1418" s="779"/>
      <c r="B1418" s="11"/>
      <c r="C1418" s="239"/>
      <c r="D1418" s="239"/>
      <c r="E1418" s="239"/>
      <c r="F1418" s="239"/>
      <c r="G1418" s="239"/>
      <c r="H1418" s="239"/>
      <c r="I1418" s="250" t="s">
        <v>2356</v>
      </c>
      <c r="J1418" s="11" t="s">
        <v>2357</v>
      </c>
      <c r="K1418" s="12">
        <v>240</v>
      </c>
      <c r="L1418" s="526">
        <f>2*N1418</f>
        <v>726283952</v>
      </c>
      <c r="M1418" s="12">
        <v>60</v>
      </c>
      <c r="N1418" s="526">
        <f>60122000+303019976</f>
        <v>363141976</v>
      </c>
      <c r="O1418" s="12">
        <v>60</v>
      </c>
      <c r="P1418" s="526">
        <v>236757500</v>
      </c>
      <c r="Q1418" s="526">
        <v>30</v>
      </c>
      <c r="R1418" s="30">
        <v>5039600</v>
      </c>
      <c r="S1418" s="527">
        <v>45</v>
      </c>
      <c r="T1418" s="202">
        <v>192368100</v>
      </c>
      <c r="U1418" s="527"/>
      <c r="V1418" s="527"/>
      <c r="W1418" s="528"/>
      <c r="X1418" s="528"/>
      <c r="Y1418" s="526">
        <f t="shared" si="413"/>
        <v>75</v>
      </c>
      <c r="Z1418" s="265">
        <f t="shared" si="414"/>
        <v>197407700</v>
      </c>
      <c r="AA1418" s="526">
        <f t="shared" si="415"/>
        <v>135</v>
      </c>
      <c r="AB1418" s="265">
        <f t="shared" si="416"/>
        <v>560549676</v>
      </c>
      <c r="AC1418" s="529">
        <f t="shared" si="417"/>
        <v>56.25</v>
      </c>
      <c r="AD1418" s="529">
        <f t="shared" si="412"/>
        <v>77.180512450590399</v>
      </c>
      <c r="AE1418" s="102"/>
      <c r="AF1418" s="750"/>
      <c r="AG1418" s="750"/>
      <c r="AH1418" s="750"/>
      <c r="AI1418" s="750"/>
      <c r="AJ1418" s="750"/>
      <c r="AK1418" s="750"/>
      <c r="AL1418" s="750"/>
      <c r="AM1418" s="750"/>
      <c r="AN1418" s="750"/>
      <c r="AO1418" s="750"/>
      <c r="AP1418" s="750"/>
      <c r="AQ1418" s="750"/>
      <c r="AR1418" s="750"/>
      <c r="AS1418" s="750"/>
      <c r="AT1418" s="750"/>
      <c r="AU1418" s="750"/>
      <c r="AV1418" s="750"/>
      <c r="AW1418" s="750"/>
      <c r="AX1418" s="750"/>
      <c r="AY1418" s="750"/>
      <c r="AZ1418" s="750"/>
      <c r="BA1418" s="750"/>
      <c r="BB1418" s="750"/>
      <c r="BC1418" s="752"/>
      <c r="BD1418" s="752"/>
      <c r="BE1418" s="752"/>
      <c r="BF1418" s="752"/>
      <c r="BG1418" s="752"/>
      <c r="BH1418" s="752"/>
      <c r="BI1418" s="752"/>
      <c r="BJ1418" s="752"/>
      <c r="BK1418" s="752"/>
      <c r="BL1418" s="752"/>
      <c r="BM1418" s="752"/>
      <c r="BN1418" s="752"/>
      <c r="BO1418" s="752"/>
      <c r="BP1418" s="752"/>
      <c r="BQ1418" s="752"/>
      <c r="BR1418" s="752"/>
    </row>
    <row r="1419" spans="1:70" ht="82.5">
      <c r="A1419" s="779"/>
      <c r="B1419" s="11"/>
      <c r="C1419" s="239"/>
      <c r="D1419" s="239"/>
      <c r="E1419" s="239"/>
      <c r="F1419" s="239"/>
      <c r="G1419" s="239"/>
      <c r="H1419" s="239"/>
      <c r="I1419" s="11" t="s">
        <v>3136</v>
      </c>
      <c r="J1419" s="11" t="s">
        <v>2358</v>
      </c>
      <c r="K1419" s="12">
        <v>250</v>
      </c>
      <c r="L1419" s="529">
        <f>2*N1419</f>
        <v>201376400</v>
      </c>
      <c r="M1419" s="12">
        <v>50</v>
      </c>
      <c r="N1419" s="526">
        <f>49756200+50932000</f>
        <v>100688200</v>
      </c>
      <c r="O1419" s="12">
        <v>50</v>
      </c>
      <c r="P1419" s="526">
        <v>65601000</v>
      </c>
      <c r="Q1419" s="526">
        <v>0</v>
      </c>
      <c r="R1419" s="30">
        <v>2000000</v>
      </c>
      <c r="S1419" s="527">
        <v>0</v>
      </c>
      <c r="T1419" s="202">
        <v>5000000</v>
      </c>
      <c r="U1419" s="527"/>
      <c r="V1419" s="527"/>
      <c r="W1419" s="528"/>
      <c r="X1419" s="528"/>
      <c r="Y1419" s="526">
        <f t="shared" si="413"/>
        <v>0</v>
      </c>
      <c r="Z1419" s="265">
        <f t="shared" si="414"/>
        <v>7000000</v>
      </c>
      <c r="AA1419" s="526">
        <f t="shared" si="415"/>
        <v>50</v>
      </c>
      <c r="AB1419" s="265">
        <f t="shared" si="416"/>
        <v>107688200</v>
      </c>
      <c r="AC1419" s="529">
        <f t="shared" si="417"/>
        <v>20</v>
      </c>
      <c r="AD1419" s="529">
        <f t="shared" si="412"/>
        <v>53.476077633724707</v>
      </c>
      <c r="AE1419" s="102"/>
      <c r="AF1419" s="750"/>
      <c r="AG1419" s="750"/>
      <c r="AH1419" s="750"/>
      <c r="AI1419" s="750"/>
      <c r="AJ1419" s="750"/>
      <c r="AK1419" s="750"/>
      <c r="AL1419" s="750"/>
      <c r="AM1419" s="750"/>
      <c r="AN1419" s="750"/>
      <c r="AO1419" s="750"/>
      <c r="AP1419" s="750"/>
      <c r="AQ1419" s="750"/>
      <c r="AR1419" s="750"/>
      <c r="AS1419" s="750"/>
      <c r="AT1419" s="750"/>
      <c r="AU1419" s="750"/>
      <c r="AV1419" s="750"/>
      <c r="AW1419" s="750"/>
      <c r="AX1419" s="750"/>
      <c r="AY1419" s="750"/>
      <c r="AZ1419" s="750"/>
      <c r="BA1419" s="750"/>
      <c r="BB1419" s="750"/>
      <c r="BC1419" s="752"/>
      <c r="BD1419" s="752"/>
      <c r="BE1419" s="752"/>
      <c r="BF1419" s="752"/>
      <c r="BG1419" s="752"/>
      <c r="BH1419" s="752"/>
      <c r="BI1419" s="752"/>
      <c r="BJ1419" s="752"/>
      <c r="BK1419" s="752"/>
      <c r="BL1419" s="752"/>
      <c r="BM1419" s="752"/>
      <c r="BN1419" s="752"/>
      <c r="BO1419" s="752"/>
      <c r="BP1419" s="752"/>
      <c r="BQ1419" s="752"/>
      <c r="BR1419" s="752"/>
    </row>
    <row r="1420" spans="1:70" ht="82.5">
      <c r="A1420" s="779"/>
      <c r="B1420" s="11"/>
      <c r="C1420" s="239"/>
      <c r="D1420" s="239"/>
      <c r="E1420" s="239"/>
      <c r="F1420" s="239"/>
      <c r="G1420" s="239"/>
      <c r="H1420" s="239"/>
      <c r="I1420" s="11" t="s">
        <v>2359</v>
      </c>
      <c r="J1420" s="11" t="s">
        <v>2360</v>
      </c>
      <c r="K1420" s="12">
        <v>60</v>
      </c>
      <c r="L1420" s="529">
        <f>3*P1420</f>
        <v>283897500</v>
      </c>
      <c r="M1420" s="12">
        <v>0</v>
      </c>
      <c r="N1420" s="526">
        <v>0</v>
      </c>
      <c r="O1420" s="12">
        <v>20</v>
      </c>
      <c r="P1420" s="526">
        <v>94632500</v>
      </c>
      <c r="Q1420" s="526">
        <v>0</v>
      </c>
      <c r="R1420" s="30">
        <v>894200</v>
      </c>
      <c r="S1420" s="527">
        <v>20</v>
      </c>
      <c r="T1420" s="202">
        <v>3536100</v>
      </c>
      <c r="U1420" s="527"/>
      <c r="V1420" s="527"/>
      <c r="W1420" s="528"/>
      <c r="X1420" s="528"/>
      <c r="Y1420" s="526">
        <f t="shared" si="413"/>
        <v>20</v>
      </c>
      <c r="Z1420" s="265">
        <f t="shared" si="414"/>
        <v>4430300</v>
      </c>
      <c r="AA1420" s="526">
        <f t="shared" si="415"/>
        <v>20</v>
      </c>
      <c r="AB1420" s="265">
        <f t="shared" si="416"/>
        <v>4430300</v>
      </c>
      <c r="AC1420" s="529">
        <f t="shared" si="417"/>
        <v>33.333333333333329</v>
      </c>
      <c r="AD1420" s="529">
        <f t="shared" si="412"/>
        <v>1.5605280074674839</v>
      </c>
      <c r="AE1420" s="102"/>
      <c r="AF1420" s="750"/>
      <c r="AG1420" s="750"/>
      <c r="AH1420" s="750"/>
      <c r="AI1420" s="750"/>
      <c r="AJ1420" s="750"/>
      <c r="AK1420" s="750"/>
      <c r="AL1420" s="750"/>
      <c r="AM1420" s="750"/>
      <c r="AN1420" s="750"/>
      <c r="AO1420" s="750"/>
      <c r="AP1420" s="750"/>
      <c r="AQ1420" s="750"/>
      <c r="AR1420" s="750"/>
      <c r="AS1420" s="750"/>
      <c r="AT1420" s="750"/>
      <c r="AU1420" s="750"/>
      <c r="AV1420" s="750"/>
      <c r="AW1420" s="750"/>
      <c r="AX1420" s="750"/>
      <c r="AY1420" s="750"/>
      <c r="AZ1420" s="750"/>
      <c r="BA1420" s="750"/>
      <c r="BB1420" s="750"/>
      <c r="BC1420" s="752"/>
      <c r="BD1420" s="752"/>
      <c r="BE1420" s="752"/>
      <c r="BF1420" s="752"/>
      <c r="BG1420" s="752"/>
      <c r="BH1420" s="752"/>
      <c r="BI1420" s="752"/>
      <c r="BJ1420" s="752"/>
      <c r="BK1420" s="752"/>
      <c r="BL1420" s="752"/>
      <c r="BM1420" s="752"/>
      <c r="BN1420" s="752"/>
      <c r="BO1420" s="752"/>
      <c r="BP1420" s="752"/>
      <c r="BQ1420" s="752"/>
      <c r="BR1420" s="752"/>
    </row>
    <row r="1421" spans="1:70" ht="49.5">
      <c r="A1421" s="2539">
        <v>4</v>
      </c>
      <c r="B1421" s="381"/>
      <c r="C1421" s="822"/>
      <c r="D1421" s="822"/>
      <c r="E1421" s="822"/>
      <c r="F1421" s="822"/>
      <c r="G1421" s="822"/>
      <c r="H1421" s="822"/>
      <c r="I1421" s="2930" t="s">
        <v>2361</v>
      </c>
      <c r="J1421" s="33" t="s">
        <v>2362</v>
      </c>
      <c r="K1421" s="230">
        <v>1796305</v>
      </c>
      <c r="L1421" s="535">
        <f>SUM(L1433:L1449)</f>
        <v>16280433942</v>
      </c>
      <c r="M1421" s="230">
        <f>647192.2+352393</f>
        <v>999585.2</v>
      </c>
      <c r="N1421" s="535">
        <f>SUM(N1433:N1449)</f>
        <v>5795705224</v>
      </c>
      <c r="O1421" s="230">
        <v>300519</v>
      </c>
      <c r="P1421" s="535">
        <f>SUM(P1433:P1449)</f>
        <v>2869299800</v>
      </c>
      <c r="Q1421" s="230">
        <v>90283</v>
      </c>
      <c r="R1421" s="535">
        <f>SUM(R1433:R1449)</f>
        <v>333788811</v>
      </c>
      <c r="S1421" s="531"/>
      <c r="T1421" s="535">
        <f>SUM(T1433:T1449)</f>
        <v>786025434</v>
      </c>
      <c r="U1421" s="531"/>
      <c r="V1421" s="535">
        <f>SUM(V1433:V1449)</f>
        <v>0</v>
      </c>
      <c r="W1421" s="531"/>
      <c r="X1421" s="535">
        <f>SUM(X1433:X1449)</f>
        <v>0</v>
      </c>
      <c r="Y1421" s="533">
        <f t="shared" si="413"/>
        <v>90283</v>
      </c>
      <c r="Z1421" s="229">
        <f t="shared" si="414"/>
        <v>1119814245</v>
      </c>
      <c r="AA1421" s="535">
        <f t="shared" si="415"/>
        <v>1089868.2</v>
      </c>
      <c r="AB1421" s="223">
        <f t="shared" si="416"/>
        <v>6915519469</v>
      </c>
      <c r="AC1421" s="537">
        <f t="shared" si="417"/>
        <v>60.67278107002987</v>
      </c>
      <c r="AD1421" s="532">
        <f t="shared" si="412"/>
        <v>42.477488583147988</v>
      </c>
      <c r="AE1421" s="2539" t="s">
        <v>3130</v>
      </c>
      <c r="AF1421" s="750"/>
      <c r="AG1421" s="750"/>
      <c r="AH1421" s="750"/>
      <c r="AI1421" s="750"/>
      <c r="AJ1421" s="750"/>
      <c r="AK1421" s="750"/>
      <c r="AL1421" s="750"/>
      <c r="AM1421" s="750"/>
      <c r="AN1421" s="750"/>
      <c r="AO1421" s="750"/>
      <c r="AP1421" s="750"/>
      <c r="AQ1421" s="750"/>
      <c r="AR1421" s="750"/>
      <c r="AS1421" s="750"/>
      <c r="AT1421" s="750"/>
      <c r="AU1421" s="750"/>
      <c r="AV1421" s="750"/>
      <c r="AW1421" s="750"/>
      <c r="AX1421" s="750"/>
      <c r="AY1421" s="750"/>
      <c r="AZ1421" s="750"/>
      <c r="BA1421" s="750"/>
      <c r="BB1421" s="750"/>
      <c r="BC1421" s="752"/>
      <c r="BD1421" s="752"/>
      <c r="BE1421" s="752"/>
      <c r="BF1421" s="752"/>
      <c r="BG1421" s="752"/>
      <c r="BH1421" s="752"/>
      <c r="BI1421" s="752"/>
      <c r="BJ1421" s="752"/>
      <c r="BK1421" s="752"/>
      <c r="BL1421" s="752"/>
      <c r="BM1421" s="752"/>
      <c r="BN1421" s="752"/>
      <c r="BO1421" s="752"/>
      <c r="BP1421" s="752"/>
      <c r="BQ1421" s="752"/>
      <c r="BR1421" s="752"/>
    </row>
    <row r="1422" spans="1:70" ht="38.25" customHeight="1">
      <c r="A1422" s="1781"/>
      <c r="B1422" s="1782"/>
      <c r="C1422" s="1781"/>
      <c r="D1422" s="1781"/>
      <c r="E1422" s="1781"/>
      <c r="F1422" s="1781"/>
      <c r="G1422" s="1781"/>
      <c r="H1422" s="1781"/>
      <c r="I1422" s="2932"/>
      <c r="J1422" s="33" t="s">
        <v>2363</v>
      </c>
      <c r="K1422" s="230">
        <v>775968</v>
      </c>
      <c r="L1422" s="535"/>
      <c r="M1422" s="230">
        <f>327261.1+135484</f>
        <v>462745.1</v>
      </c>
      <c r="N1422" s="535"/>
      <c r="O1422" s="230">
        <v>123268</v>
      </c>
      <c r="P1422" s="535"/>
      <c r="Q1422" s="230">
        <v>19108</v>
      </c>
      <c r="R1422" s="144"/>
      <c r="S1422" s="531">
        <v>37408</v>
      </c>
      <c r="T1422" s="144"/>
      <c r="U1422" s="531"/>
      <c r="V1422" s="531"/>
      <c r="W1422" s="531"/>
      <c r="X1422" s="531"/>
      <c r="Y1422" s="533">
        <f t="shared" si="413"/>
        <v>56516</v>
      </c>
      <c r="Z1422" s="229">
        <f t="shared" si="414"/>
        <v>0</v>
      </c>
      <c r="AA1422" s="535">
        <f t="shared" si="415"/>
        <v>519261.1</v>
      </c>
      <c r="AB1422" s="223">
        <f t="shared" si="416"/>
        <v>0</v>
      </c>
      <c r="AC1422" s="537">
        <f t="shared" si="417"/>
        <v>66.917849705142473</v>
      </c>
      <c r="AD1422" s="532"/>
      <c r="AE1422" s="1836"/>
      <c r="AF1422" s="750"/>
      <c r="AG1422" s="750"/>
      <c r="AH1422" s="750"/>
      <c r="AI1422" s="750"/>
      <c r="AJ1422" s="750"/>
      <c r="AK1422" s="750"/>
      <c r="AL1422" s="750"/>
      <c r="AM1422" s="750"/>
      <c r="AN1422" s="750"/>
      <c r="AO1422" s="750"/>
      <c r="AP1422" s="750"/>
      <c r="AQ1422" s="750"/>
      <c r="AR1422" s="750"/>
      <c r="AS1422" s="750"/>
      <c r="AT1422" s="750"/>
      <c r="AU1422" s="750"/>
      <c r="AV1422" s="750"/>
      <c r="AW1422" s="750"/>
      <c r="AX1422" s="750"/>
      <c r="AY1422" s="750"/>
      <c r="AZ1422" s="750"/>
      <c r="BA1422" s="750"/>
      <c r="BB1422" s="750"/>
      <c r="BC1422" s="752"/>
      <c r="BD1422" s="752"/>
      <c r="BE1422" s="752"/>
      <c r="BF1422" s="752"/>
      <c r="BG1422" s="752"/>
      <c r="BH1422" s="752"/>
      <c r="BI1422" s="752"/>
      <c r="BJ1422" s="752"/>
      <c r="BK1422" s="752"/>
      <c r="BL1422" s="752"/>
      <c r="BM1422" s="752"/>
      <c r="BN1422" s="752"/>
      <c r="BO1422" s="752"/>
      <c r="BP1422" s="752"/>
      <c r="BQ1422" s="752"/>
      <c r="BR1422" s="752"/>
    </row>
    <row r="1423" spans="1:70" ht="34.5" customHeight="1">
      <c r="A1423" s="1781"/>
      <c r="B1423" s="1782"/>
      <c r="C1423" s="1781"/>
      <c r="D1423" s="1781"/>
      <c r="E1423" s="1781"/>
      <c r="F1423" s="1781"/>
      <c r="G1423" s="1781"/>
      <c r="H1423" s="1781"/>
      <c r="I1423" s="1835"/>
      <c r="J1423" s="33" t="s">
        <v>2364</v>
      </c>
      <c r="K1423" s="230">
        <v>18455</v>
      </c>
      <c r="L1423" s="535"/>
      <c r="M1423" s="230">
        <f>8241+1764</f>
        <v>10005</v>
      </c>
      <c r="N1423" s="535"/>
      <c r="O1423" s="230">
        <v>3141</v>
      </c>
      <c r="P1423" s="535"/>
      <c r="Q1423" s="230">
        <v>865</v>
      </c>
      <c r="R1423" s="144"/>
      <c r="S1423" s="531">
        <v>1450.5</v>
      </c>
      <c r="T1423" s="144"/>
      <c r="U1423" s="531"/>
      <c r="V1423" s="531"/>
      <c r="W1423" s="531"/>
      <c r="X1423" s="531"/>
      <c r="Y1423" s="533">
        <f t="shared" si="413"/>
        <v>2315.5</v>
      </c>
      <c r="Z1423" s="229">
        <f t="shared" si="414"/>
        <v>0</v>
      </c>
      <c r="AA1423" s="535">
        <f t="shared" si="415"/>
        <v>12320.5</v>
      </c>
      <c r="AB1423" s="223">
        <f t="shared" si="416"/>
        <v>0</v>
      </c>
      <c r="AC1423" s="537">
        <f t="shared" si="417"/>
        <v>66.759685722026546</v>
      </c>
      <c r="AD1423" s="532"/>
      <c r="AE1423" s="1836"/>
      <c r="AF1423" s="750"/>
      <c r="AG1423" s="750"/>
      <c r="AH1423" s="750"/>
      <c r="AI1423" s="750"/>
      <c r="AJ1423" s="750"/>
      <c r="AK1423" s="750"/>
      <c r="AL1423" s="750"/>
      <c r="AM1423" s="750"/>
      <c r="AN1423" s="750"/>
      <c r="AO1423" s="750"/>
      <c r="AP1423" s="750"/>
      <c r="AQ1423" s="750"/>
      <c r="AR1423" s="750"/>
      <c r="AS1423" s="750"/>
      <c r="AT1423" s="750"/>
      <c r="AU1423" s="750"/>
      <c r="AV1423" s="750"/>
      <c r="AW1423" s="750"/>
      <c r="AX1423" s="750"/>
      <c r="AY1423" s="750"/>
      <c r="AZ1423" s="750"/>
      <c r="BA1423" s="750"/>
      <c r="BB1423" s="750"/>
      <c r="BC1423" s="752"/>
      <c r="BD1423" s="752"/>
      <c r="BE1423" s="752"/>
      <c r="BF1423" s="752"/>
      <c r="BG1423" s="752"/>
      <c r="BH1423" s="752"/>
      <c r="BI1423" s="752"/>
      <c r="BJ1423" s="752"/>
      <c r="BK1423" s="752"/>
      <c r="BL1423" s="752"/>
      <c r="BM1423" s="752"/>
      <c r="BN1423" s="752"/>
      <c r="BO1423" s="752"/>
      <c r="BP1423" s="752"/>
      <c r="BQ1423" s="752"/>
      <c r="BR1423" s="752"/>
    </row>
    <row r="1424" spans="1:70" ht="51.75" customHeight="1">
      <c r="A1424" s="1781"/>
      <c r="B1424" s="1782"/>
      <c r="C1424" s="1781"/>
      <c r="D1424" s="1781"/>
      <c r="E1424" s="1781"/>
      <c r="F1424" s="1781"/>
      <c r="G1424" s="1781"/>
      <c r="H1424" s="1781"/>
      <c r="I1424" s="1835"/>
      <c r="J1424" s="33" t="s">
        <v>2365</v>
      </c>
      <c r="K1424" s="230">
        <v>1509</v>
      </c>
      <c r="L1424" s="535"/>
      <c r="M1424" s="230">
        <f>1552+79</f>
        <v>1631</v>
      </c>
      <c r="N1424" s="535"/>
      <c r="O1424" s="230">
        <v>253</v>
      </c>
      <c r="P1424" s="535"/>
      <c r="Q1424" s="230">
        <v>81</v>
      </c>
      <c r="R1424" s="144"/>
      <c r="S1424" s="531">
        <v>81</v>
      </c>
      <c r="T1424" s="144"/>
      <c r="U1424" s="531"/>
      <c r="V1424" s="531"/>
      <c r="W1424" s="531"/>
      <c r="X1424" s="531"/>
      <c r="Y1424" s="533">
        <f t="shared" si="413"/>
        <v>162</v>
      </c>
      <c r="Z1424" s="229">
        <f t="shared" si="414"/>
        <v>0</v>
      </c>
      <c r="AA1424" s="535">
        <f t="shared" si="415"/>
        <v>1793</v>
      </c>
      <c r="AB1424" s="223">
        <f t="shared" si="416"/>
        <v>0</v>
      </c>
      <c r="AC1424" s="537">
        <f t="shared" si="417"/>
        <v>118.82041086812458</v>
      </c>
      <c r="AD1424" s="532"/>
      <c r="AE1424" s="1836"/>
      <c r="AF1424" s="750"/>
      <c r="AG1424" s="750"/>
      <c r="AH1424" s="750"/>
      <c r="AI1424" s="750"/>
      <c r="AJ1424" s="750"/>
      <c r="AK1424" s="750"/>
      <c r="AL1424" s="750"/>
      <c r="AM1424" s="750"/>
      <c r="AN1424" s="750"/>
      <c r="AO1424" s="750"/>
      <c r="AP1424" s="750"/>
      <c r="AQ1424" s="750"/>
      <c r="AR1424" s="750"/>
      <c r="AS1424" s="750"/>
      <c r="AT1424" s="750"/>
      <c r="AU1424" s="750"/>
      <c r="AV1424" s="750"/>
      <c r="AW1424" s="750"/>
      <c r="AX1424" s="750"/>
      <c r="AY1424" s="750"/>
      <c r="AZ1424" s="750"/>
      <c r="BA1424" s="750"/>
      <c r="BB1424" s="750"/>
      <c r="BC1424" s="752"/>
      <c r="BD1424" s="752"/>
      <c r="BE1424" s="752"/>
      <c r="BF1424" s="752"/>
      <c r="BG1424" s="752"/>
      <c r="BH1424" s="752"/>
      <c r="BI1424" s="752"/>
      <c r="BJ1424" s="752"/>
      <c r="BK1424" s="752"/>
      <c r="BL1424" s="752"/>
      <c r="BM1424" s="752"/>
      <c r="BN1424" s="752"/>
      <c r="BO1424" s="752"/>
      <c r="BP1424" s="752"/>
      <c r="BQ1424" s="752"/>
      <c r="BR1424" s="752"/>
    </row>
    <row r="1425" spans="1:70" ht="49.5">
      <c r="A1425" s="1781"/>
      <c r="B1425" s="1782"/>
      <c r="C1425" s="1781"/>
      <c r="D1425" s="1781"/>
      <c r="E1425" s="1781"/>
      <c r="F1425" s="1781"/>
      <c r="G1425" s="1781"/>
      <c r="H1425" s="1781"/>
      <c r="I1425" s="1835"/>
      <c r="J1425" s="33" t="s">
        <v>2366</v>
      </c>
      <c r="K1425" s="230">
        <v>179202</v>
      </c>
      <c r="L1425" s="535"/>
      <c r="M1425" s="230">
        <f>64362+40913</f>
        <v>105275</v>
      </c>
      <c r="N1425" s="535"/>
      <c r="O1425" s="230">
        <v>30012</v>
      </c>
      <c r="P1425" s="535"/>
      <c r="Q1425" s="230">
        <v>6542</v>
      </c>
      <c r="R1425" s="144"/>
      <c r="S1425" s="531">
        <v>14177.8</v>
      </c>
      <c r="T1425" s="144"/>
      <c r="U1425" s="531"/>
      <c r="V1425" s="531"/>
      <c r="W1425" s="531"/>
      <c r="X1425" s="531"/>
      <c r="Y1425" s="533">
        <f t="shared" si="413"/>
        <v>20719.8</v>
      </c>
      <c r="Z1425" s="229">
        <f t="shared" si="414"/>
        <v>0</v>
      </c>
      <c r="AA1425" s="535">
        <f t="shared" si="415"/>
        <v>125994.8</v>
      </c>
      <c r="AB1425" s="223">
        <f t="shared" si="416"/>
        <v>0</v>
      </c>
      <c r="AC1425" s="537">
        <f t="shared" si="417"/>
        <v>70.308813517706284</v>
      </c>
      <c r="AD1425" s="532"/>
      <c r="AE1425" s="1836"/>
      <c r="AF1425" s="750"/>
      <c r="AG1425" s="750"/>
      <c r="AH1425" s="750"/>
      <c r="AI1425" s="750"/>
      <c r="AJ1425" s="750"/>
      <c r="AK1425" s="750"/>
      <c r="AL1425" s="750"/>
      <c r="AM1425" s="750"/>
      <c r="AN1425" s="750"/>
      <c r="AO1425" s="750"/>
      <c r="AP1425" s="750"/>
      <c r="AQ1425" s="750"/>
      <c r="AR1425" s="750"/>
      <c r="AS1425" s="750"/>
      <c r="AT1425" s="750"/>
      <c r="AU1425" s="750"/>
      <c r="AV1425" s="750"/>
      <c r="AW1425" s="750"/>
      <c r="AX1425" s="750"/>
      <c r="AY1425" s="750"/>
      <c r="AZ1425" s="750"/>
      <c r="BA1425" s="750"/>
      <c r="BB1425" s="750"/>
      <c r="BC1425" s="752"/>
      <c r="BD1425" s="752"/>
      <c r="BE1425" s="752"/>
      <c r="BF1425" s="752"/>
      <c r="BG1425" s="752"/>
      <c r="BH1425" s="752"/>
      <c r="BI1425" s="752"/>
      <c r="BJ1425" s="752"/>
      <c r="BK1425" s="752"/>
      <c r="BL1425" s="752"/>
      <c r="BM1425" s="752"/>
      <c r="BN1425" s="752"/>
      <c r="BO1425" s="752"/>
      <c r="BP1425" s="752"/>
      <c r="BQ1425" s="752"/>
      <c r="BR1425" s="752"/>
    </row>
    <row r="1426" spans="1:70" ht="42" customHeight="1">
      <c r="A1426" s="1781"/>
      <c r="B1426" s="1782"/>
      <c r="C1426" s="1781"/>
      <c r="D1426" s="1781"/>
      <c r="E1426" s="1781"/>
      <c r="F1426" s="1781"/>
      <c r="G1426" s="1781"/>
      <c r="H1426" s="1781"/>
      <c r="I1426" s="1835"/>
      <c r="J1426" s="33" t="s">
        <v>2367</v>
      </c>
      <c r="K1426" s="230">
        <v>1063225</v>
      </c>
      <c r="L1426" s="535"/>
      <c r="M1426" s="230">
        <f>333218.4+236278</f>
        <v>569496.4</v>
      </c>
      <c r="N1426" s="535"/>
      <c r="O1426" s="230">
        <v>183414</v>
      </c>
      <c r="P1426" s="535"/>
      <c r="Q1426" s="230">
        <v>30540</v>
      </c>
      <c r="R1426" s="144"/>
      <c r="S1426" s="531">
        <v>114040</v>
      </c>
      <c r="T1426" s="144"/>
      <c r="U1426" s="531"/>
      <c r="V1426" s="531"/>
      <c r="W1426" s="531"/>
      <c r="X1426" s="531"/>
      <c r="Y1426" s="533">
        <f t="shared" ref="Y1426:Y1457" si="419">Q1426+S1426+U1426+W1426</f>
        <v>144580</v>
      </c>
      <c r="Z1426" s="229">
        <f t="shared" ref="Z1426:Z1457" si="420">R1426+T1426+V1426+X1426</f>
        <v>0</v>
      </c>
      <c r="AA1426" s="535">
        <f t="shared" ref="AA1426:AA1457" si="421">M1426+Y1426</f>
        <v>714076.4</v>
      </c>
      <c r="AB1426" s="223">
        <f t="shared" ref="AB1426:AB1457" si="422">N1426+Z1426</f>
        <v>0</v>
      </c>
      <c r="AC1426" s="537">
        <f t="shared" ref="AC1426:AC1457" si="423">AA1426/K1426*100</f>
        <v>67.161362834771566</v>
      </c>
      <c r="AD1426" s="532"/>
      <c r="AE1426" s="1836"/>
      <c r="AF1426" s="750"/>
      <c r="AG1426" s="750"/>
      <c r="AH1426" s="750"/>
      <c r="AI1426" s="750"/>
      <c r="AJ1426" s="750"/>
      <c r="AK1426" s="750"/>
      <c r="AL1426" s="750"/>
      <c r="AM1426" s="750"/>
      <c r="AN1426" s="750"/>
      <c r="AO1426" s="750"/>
      <c r="AP1426" s="750"/>
      <c r="AQ1426" s="750"/>
      <c r="AR1426" s="750"/>
      <c r="AS1426" s="750"/>
      <c r="AT1426" s="750"/>
      <c r="AU1426" s="750"/>
      <c r="AV1426" s="750"/>
      <c r="AW1426" s="750"/>
      <c r="AX1426" s="750"/>
      <c r="AY1426" s="750"/>
      <c r="AZ1426" s="750"/>
      <c r="BA1426" s="750"/>
      <c r="BB1426" s="750"/>
      <c r="BC1426" s="752"/>
      <c r="BD1426" s="752"/>
      <c r="BE1426" s="752"/>
      <c r="BF1426" s="752"/>
      <c r="BG1426" s="752"/>
      <c r="BH1426" s="752"/>
      <c r="BI1426" s="752"/>
      <c r="BJ1426" s="752"/>
      <c r="BK1426" s="752"/>
      <c r="BL1426" s="752"/>
      <c r="BM1426" s="752"/>
      <c r="BN1426" s="752"/>
      <c r="BO1426" s="752"/>
      <c r="BP1426" s="752"/>
      <c r="BQ1426" s="752"/>
      <c r="BR1426" s="752"/>
    </row>
    <row r="1427" spans="1:70" ht="37.5" customHeight="1">
      <c r="A1427" s="1781"/>
      <c r="B1427" s="1782"/>
      <c r="C1427" s="1781"/>
      <c r="D1427" s="1781"/>
      <c r="E1427" s="1781"/>
      <c r="F1427" s="1781"/>
      <c r="G1427" s="1781"/>
      <c r="H1427" s="1781"/>
      <c r="I1427" s="1835"/>
      <c r="J1427" s="33" t="s">
        <v>2368</v>
      </c>
      <c r="K1427" s="230">
        <v>66118</v>
      </c>
      <c r="L1427" s="535"/>
      <c r="M1427" s="230">
        <f>20938+11093</f>
        <v>32031</v>
      </c>
      <c r="N1427" s="535"/>
      <c r="O1427" s="230">
        <v>11073</v>
      </c>
      <c r="P1427" s="535"/>
      <c r="Q1427" s="230">
        <v>2105</v>
      </c>
      <c r="R1427" s="144"/>
      <c r="S1427" s="531">
        <v>7705</v>
      </c>
      <c r="T1427" s="144"/>
      <c r="U1427" s="531"/>
      <c r="V1427" s="531"/>
      <c r="W1427" s="531"/>
      <c r="X1427" s="531"/>
      <c r="Y1427" s="533">
        <f t="shared" si="419"/>
        <v>9810</v>
      </c>
      <c r="Z1427" s="229">
        <f t="shared" si="420"/>
        <v>0</v>
      </c>
      <c r="AA1427" s="535">
        <f t="shared" si="421"/>
        <v>41841</v>
      </c>
      <c r="AB1427" s="223">
        <f t="shared" si="422"/>
        <v>0</v>
      </c>
      <c r="AC1427" s="537">
        <f t="shared" si="423"/>
        <v>63.282313439607975</v>
      </c>
      <c r="AD1427" s="532"/>
      <c r="AE1427" s="1836"/>
      <c r="AF1427" s="750"/>
      <c r="AG1427" s="750"/>
      <c r="AH1427" s="750"/>
      <c r="AI1427" s="750"/>
      <c r="AJ1427" s="750"/>
      <c r="AK1427" s="750"/>
      <c r="AL1427" s="750"/>
      <c r="AM1427" s="750"/>
      <c r="AN1427" s="750"/>
      <c r="AO1427" s="750"/>
      <c r="AP1427" s="750"/>
      <c r="AQ1427" s="750"/>
      <c r="AR1427" s="750"/>
      <c r="AS1427" s="750"/>
      <c r="AT1427" s="750"/>
      <c r="AU1427" s="750"/>
      <c r="AV1427" s="750"/>
      <c r="AW1427" s="750"/>
      <c r="AX1427" s="750"/>
      <c r="AY1427" s="750"/>
      <c r="AZ1427" s="750"/>
      <c r="BA1427" s="750"/>
      <c r="BB1427" s="750"/>
      <c r="BC1427" s="752"/>
      <c r="BD1427" s="752"/>
      <c r="BE1427" s="752"/>
      <c r="BF1427" s="752"/>
      <c r="BG1427" s="752"/>
      <c r="BH1427" s="752"/>
      <c r="BI1427" s="752"/>
      <c r="BJ1427" s="752"/>
      <c r="BK1427" s="752"/>
      <c r="BL1427" s="752"/>
      <c r="BM1427" s="752"/>
      <c r="BN1427" s="752"/>
      <c r="BO1427" s="752"/>
      <c r="BP1427" s="752"/>
      <c r="BQ1427" s="752"/>
      <c r="BR1427" s="752"/>
    </row>
    <row r="1428" spans="1:70" ht="37.5" customHeight="1">
      <c r="A1428" s="1781"/>
      <c r="B1428" s="1782"/>
      <c r="C1428" s="1781"/>
      <c r="D1428" s="1781"/>
      <c r="E1428" s="1781"/>
      <c r="F1428" s="1781"/>
      <c r="G1428" s="1781"/>
      <c r="H1428" s="1781"/>
      <c r="I1428" s="1835"/>
      <c r="J1428" s="33" t="s">
        <v>2369</v>
      </c>
      <c r="K1428" s="230">
        <v>41090</v>
      </c>
      <c r="L1428" s="535"/>
      <c r="M1428" s="230">
        <f>11177+4352</f>
        <v>15529</v>
      </c>
      <c r="N1428" s="535"/>
      <c r="O1428" s="230">
        <v>6866</v>
      </c>
      <c r="P1428" s="535"/>
      <c r="Q1428" s="230">
        <v>2008</v>
      </c>
      <c r="R1428" s="144"/>
      <c r="S1428" s="531">
        <v>2218</v>
      </c>
      <c r="T1428" s="144"/>
      <c r="U1428" s="531"/>
      <c r="V1428" s="531"/>
      <c r="W1428" s="531"/>
      <c r="X1428" s="531"/>
      <c r="Y1428" s="533">
        <f t="shared" si="419"/>
        <v>4226</v>
      </c>
      <c r="Z1428" s="229">
        <f t="shared" si="420"/>
        <v>0</v>
      </c>
      <c r="AA1428" s="535">
        <f t="shared" si="421"/>
        <v>19755</v>
      </c>
      <c r="AB1428" s="223">
        <f t="shared" si="422"/>
        <v>0</v>
      </c>
      <c r="AC1428" s="537">
        <f t="shared" si="423"/>
        <v>48.077391092723296</v>
      </c>
      <c r="AD1428" s="532"/>
      <c r="AE1428" s="1836"/>
      <c r="AF1428" s="750"/>
      <c r="AG1428" s="750"/>
      <c r="AH1428" s="750"/>
      <c r="AI1428" s="750"/>
      <c r="AJ1428" s="750"/>
      <c r="AK1428" s="750"/>
      <c r="AL1428" s="750"/>
      <c r="AM1428" s="750"/>
      <c r="AN1428" s="750"/>
      <c r="AO1428" s="750"/>
      <c r="AP1428" s="750"/>
      <c r="AQ1428" s="750"/>
      <c r="AR1428" s="750"/>
      <c r="AS1428" s="750"/>
      <c r="AT1428" s="750"/>
      <c r="AU1428" s="750"/>
      <c r="AV1428" s="750"/>
      <c r="AW1428" s="750"/>
      <c r="AX1428" s="750"/>
      <c r="AY1428" s="750"/>
      <c r="AZ1428" s="750"/>
      <c r="BA1428" s="750"/>
      <c r="BB1428" s="750"/>
      <c r="BC1428" s="752"/>
      <c r="BD1428" s="752"/>
      <c r="BE1428" s="752"/>
      <c r="BF1428" s="752"/>
      <c r="BG1428" s="752"/>
      <c r="BH1428" s="752"/>
      <c r="BI1428" s="752"/>
      <c r="BJ1428" s="752"/>
      <c r="BK1428" s="752"/>
      <c r="BL1428" s="752"/>
      <c r="BM1428" s="752"/>
      <c r="BN1428" s="752"/>
      <c r="BO1428" s="752"/>
      <c r="BP1428" s="752"/>
      <c r="BQ1428" s="752"/>
      <c r="BR1428" s="752"/>
    </row>
    <row r="1429" spans="1:70" ht="37.5" customHeight="1">
      <c r="A1429" s="1781"/>
      <c r="B1429" s="1782"/>
      <c r="C1429" s="1781"/>
      <c r="D1429" s="1781"/>
      <c r="E1429" s="1781"/>
      <c r="F1429" s="1781"/>
      <c r="G1429" s="1781"/>
      <c r="H1429" s="1781"/>
      <c r="I1429" s="1835"/>
      <c r="J1429" s="33" t="s">
        <v>2370</v>
      </c>
      <c r="K1429" s="230">
        <v>1783</v>
      </c>
      <c r="L1429" s="535"/>
      <c r="M1429" s="230">
        <f>496.9+315</f>
        <v>811.9</v>
      </c>
      <c r="N1429" s="535"/>
      <c r="O1429" s="230">
        <v>315</v>
      </c>
      <c r="P1429" s="535"/>
      <c r="Q1429" s="230">
        <v>65</v>
      </c>
      <c r="R1429" s="144"/>
      <c r="S1429" s="531">
        <v>192</v>
      </c>
      <c r="T1429" s="144"/>
      <c r="U1429" s="531"/>
      <c r="V1429" s="531"/>
      <c r="W1429" s="531"/>
      <c r="X1429" s="531"/>
      <c r="Y1429" s="533">
        <f t="shared" si="419"/>
        <v>257</v>
      </c>
      <c r="Z1429" s="229">
        <f t="shared" si="420"/>
        <v>0</v>
      </c>
      <c r="AA1429" s="535">
        <f t="shared" si="421"/>
        <v>1068.9000000000001</v>
      </c>
      <c r="AB1429" s="223">
        <f t="shared" si="422"/>
        <v>0</v>
      </c>
      <c r="AC1429" s="537">
        <f t="shared" si="423"/>
        <v>59.949523275378581</v>
      </c>
      <c r="AD1429" s="532"/>
      <c r="AE1429" s="1836"/>
      <c r="AF1429" s="750"/>
      <c r="AG1429" s="750"/>
      <c r="AH1429" s="750"/>
      <c r="AI1429" s="750"/>
      <c r="AJ1429" s="750"/>
      <c r="AK1429" s="750"/>
      <c r="AL1429" s="750"/>
      <c r="AM1429" s="750"/>
      <c r="AN1429" s="750"/>
      <c r="AO1429" s="750"/>
      <c r="AP1429" s="750"/>
      <c r="AQ1429" s="750"/>
      <c r="AR1429" s="750"/>
      <c r="AS1429" s="750"/>
      <c r="AT1429" s="750"/>
      <c r="AU1429" s="750"/>
      <c r="AV1429" s="750"/>
      <c r="AW1429" s="750"/>
      <c r="AX1429" s="750"/>
      <c r="AY1429" s="750"/>
      <c r="AZ1429" s="750"/>
      <c r="BA1429" s="750"/>
      <c r="BB1429" s="750"/>
      <c r="BC1429" s="752"/>
      <c r="BD1429" s="752"/>
      <c r="BE1429" s="752"/>
      <c r="BF1429" s="752"/>
      <c r="BG1429" s="752"/>
      <c r="BH1429" s="752"/>
      <c r="BI1429" s="752"/>
      <c r="BJ1429" s="752"/>
      <c r="BK1429" s="752"/>
      <c r="BL1429" s="752"/>
      <c r="BM1429" s="752"/>
      <c r="BN1429" s="752"/>
      <c r="BO1429" s="752"/>
      <c r="BP1429" s="752"/>
      <c r="BQ1429" s="752"/>
      <c r="BR1429" s="752"/>
    </row>
    <row r="1430" spans="1:70" ht="37.5" customHeight="1">
      <c r="A1430" s="1781"/>
      <c r="B1430" s="1782"/>
      <c r="C1430" s="1781"/>
      <c r="D1430" s="1781"/>
      <c r="E1430" s="1781"/>
      <c r="F1430" s="1781"/>
      <c r="G1430" s="1781"/>
      <c r="H1430" s="1781"/>
      <c r="I1430" s="1835"/>
      <c r="J1430" s="33" t="s">
        <v>2371</v>
      </c>
      <c r="K1430" s="230">
        <v>8547</v>
      </c>
      <c r="L1430" s="535"/>
      <c r="M1430" s="230">
        <f>2198.3+1160</f>
        <v>3358.3</v>
      </c>
      <c r="N1430" s="535"/>
      <c r="O1430" s="230">
        <v>1425</v>
      </c>
      <c r="P1430" s="535"/>
      <c r="Q1430" s="230">
        <v>88</v>
      </c>
      <c r="R1430" s="144"/>
      <c r="S1430" s="531">
        <v>269</v>
      </c>
      <c r="T1430" s="144"/>
      <c r="U1430" s="531"/>
      <c r="V1430" s="531"/>
      <c r="W1430" s="531"/>
      <c r="X1430" s="531"/>
      <c r="Y1430" s="533">
        <f t="shared" si="419"/>
        <v>357</v>
      </c>
      <c r="Z1430" s="229">
        <f t="shared" si="420"/>
        <v>0</v>
      </c>
      <c r="AA1430" s="535">
        <f t="shared" si="421"/>
        <v>3715.3</v>
      </c>
      <c r="AB1430" s="223">
        <f t="shared" si="422"/>
        <v>0</v>
      </c>
      <c r="AC1430" s="537">
        <f t="shared" si="423"/>
        <v>43.46905346905347</v>
      </c>
      <c r="AD1430" s="532"/>
      <c r="AE1430" s="1836"/>
      <c r="AF1430" s="750"/>
      <c r="AG1430" s="750"/>
      <c r="AH1430" s="750"/>
      <c r="AI1430" s="750"/>
      <c r="AJ1430" s="750"/>
      <c r="AK1430" s="750"/>
      <c r="AL1430" s="750"/>
      <c r="AM1430" s="750"/>
      <c r="AN1430" s="750"/>
      <c r="AO1430" s="750"/>
      <c r="AP1430" s="750"/>
      <c r="AQ1430" s="750"/>
      <c r="AR1430" s="750"/>
      <c r="AS1430" s="750"/>
      <c r="AT1430" s="750"/>
      <c r="AU1430" s="750"/>
      <c r="AV1430" s="750"/>
      <c r="AW1430" s="750"/>
      <c r="AX1430" s="750"/>
      <c r="AY1430" s="750"/>
      <c r="AZ1430" s="750"/>
      <c r="BA1430" s="750"/>
      <c r="BB1430" s="750"/>
      <c r="BC1430" s="752"/>
      <c r="BD1430" s="752"/>
      <c r="BE1430" s="752"/>
      <c r="BF1430" s="752"/>
      <c r="BG1430" s="752"/>
      <c r="BH1430" s="752"/>
      <c r="BI1430" s="752"/>
      <c r="BJ1430" s="752"/>
      <c r="BK1430" s="752"/>
      <c r="BL1430" s="752"/>
      <c r="BM1430" s="752"/>
      <c r="BN1430" s="752"/>
      <c r="BO1430" s="752"/>
      <c r="BP1430" s="752"/>
      <c r="BQ1430" s="752"/>
      <c r="BR1430" s="752"/>
    </row>
    <row r="1431" spans="1:70" ht="37.5" customHeight="1">
      <c r="A1431" s="1781"/>
      <c r="B1431" s="1782"/>
      <c r="C1431" s="1781"/>
      <c r="D1431" s="1781"/>
      <c r="E1431" s="1781"/>
      <c r="F1431" s="1781"/>
      <c r="G1431" s="1781"/>
      <c r="H1431" s="1781"/>
      <c r="I1431" s="1835"/>
      <c r="J1431" s="33" t="s">
        <v>2372</v>
      </c>
      <c r="K1431" s="230">
        <v>7315</v>
      </c>
      <c r="L1431" s="535"/>
      <c r="M1431" s="230">
        <f>1989+1256</f>
        <v>3245</v>
      </c>
      <c r="N1431" s="535"/>
      <c r="O1431" s="230">
        <v>1260</v>
      </c>
      <c r="P1431" s="535"/>
      <c r="Q1431" s="230">
        <v>114</v>
      </c>
      <c r="R1431" s="144"/>
      <c r="S1431" s="531">
        <v>480</v>
      </c>
      <c r="T1431" s="144"/>
      <c r="U1431" s="531"/>
      <c r="V1431" s="531"/>
      <c r="W1431" s="531"/>
      <c r="X1431" s="531"/>
      <c r="Y1431" s="533">
        <f t="shared" si="419"/>
        <v>594</v>
      </c>
      <c r="Z1431" s="229">
        <f t="shared" si="420"/>
        <v>0</v>
      </c>
      <c r="AA1431" s="535">
        <f t="shared" si="421"/>
        <v>3839</v>
      </c>
      <c r="AB1431" s="223">
        <f t="shared" si="422"/>
        <v>0</v>
      </c>
      <c r="AC1431" s="537">
        <f t="shared" si="423"/>
        <v>52.481203007518793</v>
      </c>
      <c r="AD1431" s="532"/>
      <c r="AE1431" s="1836"/>
      <c r="AF1431" s="750"/>
      <c r="AG1431" s="750"/>
      <c r="AH1431" s="750"/>
      <c r="AI1431" s="750"/>
      <c r="AJ1431" s="750"/>
      <c r="AK1431" s="750"/>
      <c r="AL1431" s="750"/>
      <c r="AM1431" s="750"/>
      <c r="AN1431" s="750"/>
      <c r="AO1431" s="750"/>
      <c r="AP1431" s="750"/>
      <c r="AQ1431" s="750"/>
      <c r="AR1431" s="750"/>
      <c r="AS1431" s="750"/>
      <c r="AT1431" s="750"/>
      <c r="AU1431" s="750"/>
      <c r="AV1431" s="750"/>
      <c r="AW1431" s="750"/>
      <c r="AX1431" s="750"/>
      <c r="AY1431" s="750"/>
      <c r="AZ1431" s="750"/>
      <c r="BA1431" s="750"/>
      <c r="BB1431" s="750"/>
      <c r="BC1431" s="752"/>
      <c r="BD1431" s="752"/>
      <c r="BE1431" s="752"/>
      <c r="BF1431" s="752"/>
      <c r="BG1431" s="752"/>
      <c r="BH1431" s="752"/>
      <c r="BI1431" s="752"/>
      <c r="BJ1431" s="752"/>
      <c r="BK1431" s="752"/>
      <c r="BL1431" s="752"/>
      <c r="BM1431" s="752"/>
      <c r="BN1431" s="752"/>
      <c r="BO1431" s="752"/>
      <c r="BP1431" s="752"/>
      <c r="BQ1431" s="752"/>
      <c r="BR1431" s="752"/>
    </row>
    <row r="1432" spans="1:70" ht="37.5" customHeight="1">
      <c r="A1432" s="2540"/>
      <c r="B1432" s="364"/>
      <c r="C1432" s="1136"/>
      <c r="D1432" s="1136"/>
      <c r="E1432" s="1136"/>
      <c r="F1432" s="1136"/>
      <c r="G1432" s="1136"/>
      <c r="H1432" s="1136"/>
      <c r="I1432" s="383"/>
      <c r="J1432" s="33" t="s">
        <v>2373</v>
      </c>
      <c r="K1432" s="230">
        <v>1970</v>
      </c>
      <c r="L1432" s="535"/>
      <c r="M1432" s="230">
        <f>722.4+380</f>
        <v>1102.4000000000001</v>
      </c>
      <c r="N1432" s="535"/>
      <c r="O1432" s="230">
        <v>330</v>
      </c>
      <c r="P1432" s="535"/>
      <c r="Q1432" s="230">
        <v>96</v>
      </c>
      <c r="R1432" s="144"/>
      <c r="S1432" s="531">
        <v>211</v>
      </c>
      <c r="T1432" s="144"/>
      <c r="U1432" s="531"/>
      <c r="V1432" s="531"/>
      <c r="W1432" s="531"/>
      <c r="X1432" s="531"/>
      <c r="Y1432" s="533">
        <f t="shared" si="419"/>
        <v>307</v>
      </c>
      <c r="Z1432" s="229">
        <f t="shared" si="420"/>
        <v>0</v>
      </c>
      <c r="AA1432" s="535">
        <f t="shared" si="421"/>
        <v>1409.4</v>
      </c>
      <c r="AB1432" s="223">
        <f t="shared" si="422"/>
        <v>0</v>
      </c>
      <c r="AC1432" s="537">
        <f t="shared" si="423"/>
        <v>71.543147208121823</v>
      </c>
      <c r="AD1432" s="532"/>
      <c r="AE1432" s="1123"/>
      <c r="AF1432" s="750"/>
      <c r="AG1432" s="750"/>
      <c r="AH1432" s="750"/>
      <c r="AI1432" s="750"/>
      <c r="AJ1432" s="750"/>
      <c r="AK1432" s="750"/>
      <c r="AL1432" s="750"/>
      <c r="AM1432" s="750"/>
      <c r="AN1432" s="750"/>
      <c r="AO1432" s="750"/>
      <c r="AP1432" s="750"/>
      <c r="AQ1432" s="750"/>
      <c r="AR1432" s="750"/>
      <c r="AS1432" s="750"/>
      <c r="AT1432" s="750"/>
      <c r="AU1432" s="750"/>
      <c r="AV1432" s="750"/>
      <c r="AW1432" s="750"/>
      <c r="AX1432" s="750"/>
      <c r="AY1432" s="750"/>
      <c r="AZ1432" s="750"/>
      <c r="BA1432" s="750"/>
      <c r="BB1432" s="750"/>
      <c r="BC1432" s="752"/>
      <c r="BD1432" s="752"/>
      <c r="BE1432" s="752"/>
      <c r="BF1432" s="752"/>
      <c r="BG1432" s="752"/>
      <c r="BH1432" s="752"/>
      <c r="BI1432" s="752"/>
      <c r="BJ1432" s="752"/>
      <c r="BK1432" s="752"/>
      <c r="BL1432" s="752"/>
      <c r="BM1432" s="752"/>
      <c r="BN1432" s="752"/>
      <c r="BO1432" s="752"/>
      <c r="BP1432" s="752"/>
      <c r="BQ1432" s="752"/>
      <c r="BR1432" s="752"/>
    </row>
    <row r="1433" spans="1:70" ht="66">
      <c r="A1433" s="779"/>
      <c r="B1433" s="11"/>
      <c r="C1433" s="239"/>
      <c r="D1433" s="239"/>
      <c r="E1433" s="239"/>
      <c r="F1433" s="239"/>
      <c r="G1433" s="239"/>
      <c r="H1433" s="239"/>
      <c r="I1433" s="240" t="s">
        <v>2374</v>
      </c>
      <c r="J1433" s="11" t="s">
        <v>2375</v>
      </c>
      <c r="K1433" s="13">
        <f>80000</f>
        <v>80000</v>
      </c>
      <c r="L1433" s="526">
        <f>2*N1433</f>
        <v>1694316942</v>
      </c>
      <c r="M1433" s="13">
        <v>7407</v>
      </c>
      <c r="N1433" s="526">
        <f>372540000+474618471</f>
        <v>847158471</v>
      </c>
      <c r="O1433" s="13">
        <v>62500</v>
      </c>
      <c r="P1433" s="526">
        <v>251570000</v>
      </c>
      <c r="Q1433" s="526">
        <v>0</v>
      </c>
      <c r="R1433" s="30">
        <v>8237400</v>
      </c>
      <c r="S1433" s="527">
        <v>0</v>
      </c>
      <c r="T1433" s="202">
        <v>21308150</v>
      </c>
      <c r="U1433" s="527"/>
      <c r="V1433" s="527"/>
      <c r="W1433" s="528"/>
      <c r="X1433" s="528"/>
      <c r="Y1433" s="526">
        <f t="shared" si="419"/>
        <v>0</v>
      </c>
      <c r="Z1433" s="265">
        <f t="shared" si="420"/>
        <v>29545550</v>
      </c>
      <c r="AA1433" s="526">
        <f t="shared" si="421"/>
        <v>7407</v>
      </c>
      <c r="AB1433" s="265">
        <f t="shared" si="422"/>
        <v>876704021</v>
      </c>
      <c r="AC1433" s="529">
        <f t="shared" si="423"/>
        <v>9.2587500000000009</v>
      </c>
      <c r="AD1433" s="529">
        <f t="shared" ref="AD1433:AD1454" si="424">AB1433/L1433*100</f>
        <v>51.743803019824853</v>
      </c>
      <c r="AE1433" s="102"/>
      <c r="AF1433" s="750"/>
      <c r="AG1433" s="750"/>
      <c r="AH1433" s="750"/>
      <c r="AI1433" s="750"/>
      <c r="AJ1433" s="750"/>
      <c r="AK1433" s="750"/>
      <c r="AL1433" s="750"/>
      <c r="AM1433" s="750"/>
      <c r="AN1433" s="750"/>
      <c r="AO1433" s="750"/>
      <c r="AP1433" s="750"/>
      <c r="AQ1433" s="750"/>
      <c r="AR1433" s="750"/>
      <c r="AS1433" s="750"/>
      <c r="AT1433" s="750"/>
      <c r="AU1433" s="750"/>
      <c r="AV1433" s="750"/>
      <c r="AW1433" s="750"/>
      <c r="AX1433" s="750"/>
      <c r="AY1433" s="750"/>
      <c r="AZ1433" s="750"/>
      <c r="BA1433" s="750"/>
      <c r="BB1433" s="750"/>
      <c r="BC1433" s="752"/>
      <c r="BD1433" s="752"/>
      <c r="BE1433" s="752"/>
      <c r="BF1433" s="752"/>
      <c r="BG1433" s="752"/>
      <c r="BH1433" s="752"/>
      <c r="BI1433" s="752"/>
      <c r="BJ1433" s="752"/>
      <c r="BK1433" s="752"/>
      <c r="BL1433" s="752"/>
      <c r="BM1433" s="752"/>
      <c r="BN1433" s="752"/>
      <c r="BO1433" s="752"/>
      <c r="BP1433" s="752"/>
      <c r="BQ1433" s="752"/>
      <c r="BR1433" s="752"/>
    </row>
    <row r="1434" spans="1:70" ht="49.5">
      <c r="A1434" s="779"/>
      <c r="B1434" s="11"/>
      <c r="C1434" s="239"/>
      <c r="D1434" s="239"/>
      <c r="E1434" s="239"/>
      <c r="F1434" s="239"/>
      <c r="G1434" s="239"/>
      <c r="H1434" s="239"/>
      <c r="I1434" s="250" t="s">
        <v>2376</v>
      </c>
      <c r="J1434" s="10" t="s">
        <v>2377</v>
      </c>
      <c r="K1434" s="1151">
        <v>6</v>
      </c>
      <c r="L1434" s="1151">
        <v>1016642000</v>
      </c>
      <c r="M1434" s="107">
        <v>3</v>
      </c>
      <c r="N1434" s="526">
        <f>288962000+134839400</f>
        <v>423801400</v>
      </c>
      <c r="O1434" s="107">
        <v>1</v>
      </c>
      <c r="P1434" s="526">
        <v>122862500</v>
      </c>
      <c r="Q1434" s="526">
        <v>0</v>
      </c>
      <c r="R1434" s="30">
        <v>18952500</v>
      </c>
      <c r="S1434" s="527">
        <v>0</v>
      </c>
      <c r="T1434" s="202">
        <v>43012250</v>
      </c>
      <c r="U1434" s="527"/>
      <c r="V1434" s="527"/>
      <c r="W1434" s="528"/>
      <c r="X1434" s="528"/>
      <c r="Y1434" s="526">
        <f t="shared" si="419"/>
        <v>0</v>
      </c>
      <c r="Z1434" s="265">
        <f t="shared" si="420"/>
        <v>61964750</v>
      </c>
      <c r="AA1434" s="526">
        <f t="shared" si="421"/>
        <v>3</v>
      </c>
      <c r="AB1434" s="265">
        <f t="shared" si="422"/>
        <v>485766150</v>
      </c>
      <c r="AC1434" s="529">
        <f t="shared" si="423"/>
        <v>50</v>
      </c>
      <c r="AD1434" s="529">
        <f t="shared" si="424"/>
        <v>47.781436336488163</v>
      </c>
      <c r="AE1434" s="102"/>
      <c r="AF1434" s="750"/>
      <c r="AG1434" s="750"/>
      <c r="AH1434" s="750"/>
      <c r="AI1434" s="750"/>
      <c r="AJ1434" s="750"/>
      <c r="AK1434" s="750"/>
      <c r="AL1434" s="750"/>
      <c r="AM1434" s="750"/>
      <c r="AN1434" s="750"/>
      <c r="AO1434" s="750"/>
      <c r="AP1434" s="750"/>
      <c r="AQ1434" s="750"/>
      <c r="AR1434" s="750"/>
      <c r="AS1434" s="750"/>
      <c r="AT1434" s="750"/>
      <c r="AU1434" s="750"/>
      <c r="AV1434" s="750"/>
      <c r="AW1434" s="750"/>
      <c r="AX1434" s="750"/>
      <c r="AY1434" s="750"/>
      <c r="AZ1434" s="750"/>
      <c r="BA1434" s="750"/>
      <c r="BB1434" s="750"/>
      <c r="BC1434" s="752"/>
      <c r="BD1434" s="752"/>
      <c r="BE1434" s="752"/>
      <c r="BF1434" s="752"/>
      <c r="BG1434" s="752"/>
      <c r="BH1434" s="752"/>
      <c r="BI1434" s="752"/>
      <c r="BJ1434" s="752"/>
      <c r="BK1434" s="752"/>
      <c r="BL1434" s="752"/>
      <c r="BM1434" s="752"/>
      <c r="BN1434" s="752"/>
      <c r="BO1434" s="752"/>
      <c r="BP1434" s="752"/>
      <c r="BQ1434" s="752"/>
      <c r="BR1434" s="752"/>
    </row>
    <row r="1435" spans="1:70" ht="54" customHeight="1">
      <c r="A1435" s="779"/>
      <c r="B1435" s="11"/>
      <c r="C1435" s="239"/>
      <c r="D1435" s="239"/>
      <c r="E1435" s="239"/>
      <c r="F1435" s="239"/>
      <c r="G1435" s="239"/>
      <c r="H1435" s="239"/>
      <c r="I1435" s="250" t="s">
        <v>2378</v>
      </c>
      <c r="J1435" s="11" t="s">
        <v>2379</v>
      </c>
      <c r="K1435" s="12">
        <v>75</v>
      </c>
      <c r="L1435" s="526">
        <v>651000000</v>
      </c>
      <c r="M1435" s="13">
        <v>15</v>
      </c>
      <c r="N1435" s="13">
        <f>249321000+153183200</f>
        <v>402504200</v>
      </c>
      <c r="O1435" s="12">
        <v>14</v>
      </c>
      <c r="P1435" s="526">
        <v>136985000</v>
      </c>
      <c r="Q1435" s="526">
        <v>0</v>
      </c>
      <c r="R1435" s="30">
        <v>14592700</v>
      </c>
      <c r="S1435" s="527">
        <v>7</v>
      </c>
      <c r="T1435" s="202">
        <v>93182150</v>
      </c>
      <c r="U1435" s="527"/>
      <c r="V1435" s="527"/>
      <c r="W1435" s="528"/>
      <c r="X1435" s="528"/>
      <c r="Y1435" s="526">
        <f t="shared" si="419"/>
        <v>7</v>
      </c>
      <c r="Z1435" s="265">
        <f t="shared" si="420"/>
        <v>107774850</v>
      </c>
      <c r="AA1435" s="526">
        <f t="shared" si="421"/>
        <v>22</v>
      </c>
      <c r="AB1435" s="265">
        <f t="shared" si="422"/>
        <v>510279050</v>
      </c>
      <c r="AC1435" s="529">
        <f t="shared" si="423"/>
        <v>29.333333333333332</v>
      </c>
      <c r="AD1435" s="529">
        <f t="shared" si="424"/>
        <v>78.383878648233491</v>
      </c>
      <c r="AE1435" s="102"/>
      <c r="AF1435" s="750"/>
      <c r="AG1435" s="750"/>
      <c r="AH1435" s="750"/>
      <c r="AI1435" s="750"/>
      <c r="AJ1435" s="750"/>
      <c r="AK1435" s="750"/>
      <c r="AL1435" s="750"/>
      <c r="AM1435" s="750"/>
      <c r="AN1435" s="750"/>
      <c r="AO1435" s="750"/>
      <c r="AP1435" s="750"/>
      <c r="AQ1435" s="750"/>
      <c r="AR1435" s="750"/>
      <c r="AS1435" s="750"/>
      <c r="AT1435" s="750"/>
      <c r="AU1435" s="750"/>
      <c r="AV1435" s="750"/>
      <c r="AW1435" s="750"/>
      <c r="AX1435" s="750"/>
      <c r="AY1435" s="750"/>
      <c r="AZ1435" s="750"/>
      <c r="BA1435" s="750"/>
      <c r="BB1435" s="750"/>
      <c r="BC1435" s="752"/>
      <c r="BD1435" s="752"/>
      <c r="BE1435" s="752"/>
      <c r="BF1435" s="752"/>
      <c r="BG1435" s="752"/>
      <c r="BH1435" s="752"/>
      <c r="BI1435" s="752"/>
      <c r="BJ1435" s="752"/>
      <c r="BK1435" s="752"/>
      <c r="BL1435" s="752"/>
      <c r="BM1435" s="752"/>
      <c r="BN1435" s="752"/>
      <c r="BO1435" s="752"/>
      <c r="BP1435" s="752"/>
      <c r="BQ1435" s="752"/>
      <c r="BR1435" s="752"/>
    </row>
    <row r="1436" spans="1:70" ht="66">
      <c r="A1436" s="779"/>
      <c r="B1436" s="11"/>
      <c r="C1436" s="239"/>
      <c r="D1436" s="239"/>
      <c r="E1436" s="239"/>
      <c r="F1436" s="239"/>
      <c r="G1436" s="239"/>
      <c r="H1436" s="239"/>
      <c r="I1436" s="250" t="s">
        <v>2380</v>
      </c>
      <c r="J1436" s="11" t="s">
        <v>2381</v>
      </c>
      <c r="K1436" s="12">
        <v>10</v>
      </c>
      <c r="L1436" s="526">
        <v>1231119000</v>
      </c>
      <c r="M1436" s="14">
        <v>4</v>
      </c>
      <c r="N1436" s="526">
        <f>232176000+256015287</f>
        <v>488191287</v>
      </c>
      <c r="O1436" s="12">
        <v>2</v>
      </c>
      <c r="P1436" s="526">
        <v>138227000</v>
      </c>
      <c r="Q1436" s="526">
        <v>0</v>
      </c>
      <c r="R1436" s="30">
        <v>1375000</v>
      </c>
      <c r="S1436" s="527">
        <v>0</v>
      </c>
      <c r="T1436" s="202">
        <v>33401300</v>
      </c>
      <c r="U1436" s="527"/>
      <c r="V1436" s="527"/>
      <c r="W1436" s="528"/>
      <c r="X1436" s="528"/>
      <c r="Y1436" s="526">
        <f t="shared" si="419"/>
        <v>0</v>
      </c>
      <c r="Z1436" s="265">
        <f t="shared" si="420"/>
        <v>34776300</v>
      </c>
      <c r="AA1436" s="526">
        <f t="shared" si="421"/>
        <v>4</v>
      </c>
      <c r="AB1436" s="265">
        <f t="shared" si="422"/>
        <v>522967587</v>
      </c>
      <c r="AC1436" s="529">
        <f t="shared" si="423"/>
        <v>40</v>
      </c>
      <c r="AD1436" s="529">
        <f t="shared" si="424"/>
        <v>42.479044430310964</v>
      </c>
      <c r="AE1436" s="102"/>
      <c r="AF1436" s="750"/>
      <c r="AG1436" s="750"/>
      <c r="AH1436" s="750"/>
      <c r="AI1436" s="750"/>
      <c r="AJ1436" s="750"/>
      <c r="AK1436" s="750"/>
      <c r="AL1436" s="750"/>
      <c r="AM1436" s="750"/>
      <c r="AN1436" s="750"/>
      <c r="AO1436" s="750"/>
      <c r="AP1436" s="750"/>
      <c r="AQ1436" s="750"/>
      <c r="AR1436" s="750"/>
      <c r="AS1436" s="750"/>
      <c r="AT1436" s="750"/>
      <c r="AU1436" s="750"/>
      <c r="AV1436" s="750"/>
      <c r="AW1436" s="750"/>
      <c r="AX1436" s="750"/>
      <c r="AY1436" s="750"/>
      <c r="AZ1436" s="750"/>
      <c r="BA1436" s="750"/>
      <c r="BB1436" s="750"/>
      <c r="BC1436" s="752"/>
      <c r="BD1436" s="752"/>
      <c r="BE1436" s="752"/>
      <c r="BF1436" s="752"/>
      <c r="BG1436" s="752"/>
      <c r="BH1436" s="752"/>
      <c r="BI1436" s="752"/>
      <c r="BJ1436" s="752"/>
      <c r="BK1436" s="752"/>
      <c r="BL1436" s="752"/>
      <c r="BM1436" s="752"/>
      <c r="BN1436" s="752"/>
      <c r="BO1436" s="752"/>
      <c r="BP1436" s="752"/>
      <c r="BQ1436" s="752"/>
      <c r="BR1436" s="752"/>
    </row>
    <row r="1437" spans="1:70" ht="72" customHeight="1">
      <c r="A1437" s="779"/>
      <c r="B1437" s="11"/>
      <c r="C1437" s="239"/>
      <c r="D1437" s="239"/>
      <c r="E1437" s="239"/>
      <c r="F1437" s="239"/>
      <c r="G1437" s="239"/>
      <c r="H1437" s="239"/>
      <c r="I1437" s="250" t="s">
        <v>2382</v>
      </c>
      <c r="J1437" s="11" t="s">
        <v>2383</v>
      </c>
      <c r="K1437" s="12">
        <v>175</v>
      </c>
      <c r="L1437" s="526">
        <v>2341856000</v>
      </c>
      <c r="M1437" s="14">
        <v>125</v>
      </c>
      <c r="N1437" s="526">
        <f>640563000+319823000</f>
        <v>960386000</v>
      </c>
      <c r="O1437" s="12">
        <v>25</v>
      </c>
      <c r="P1437" s="526">
        <v>137625100</v>
      </c>
      <c r="Q1437" s="526">
        <v>0</v>
      </c>
      <c r="R1437" s="30">
        <v>4747550</v>
      </c>
      <c r="S1437" s="527">
        <v>0</v>
      </c>
      <c r="T1437" s="202">
        <v>6197550</v>
      </c>
      <c r="U1437" s="527"/>
      <c r="V1437" s="527"/>
      <c r="W1437" s="528"/>
      <c r="X1437" s="528"/>
      <c r="Y1437" s="526">
        <f t="shared" si="419"/>
        <v>0</v>
      </c>
      <c r="Z1437" s="265">
        <f t="shared" si="420"/>
        <v>10945100</v>
      </c>
      <c r="AA1437" s="526">
        <f t="shared" si="421"/>
        <v>125</v>
      </c>
      <c r="AB1437" s="265">
        <f t="shared" si="422"/>
        <v>971331100</v>
      </c>
      <c r="AC1437" s="529">
        <f t="shared" si="423"/>
        <v>71.428571428571431</v>
      </c>
      <c r="AD1437" s="529">
        <f t="shared" si="424"/>
        <v>41.476978089173713</v>
      </c>
      <c r="AE1437" s="102"/>
      <c r="AF1437" s="750"/>
      <c r="AG1437" s="750"/>
      <c r="AH1437" s="750"/>
      <c r="AI1437" s="750"/>
      <c r="AJ1437" s="750"/>
      <c r="AK1437" s="750"/>
      <c r="AL1437" s="750"/>
      <c r="AM1437" s="750"/>
      <c r="AN1437" s="750"/>
      <c r="AO1437" s="750"/>
      <c r="AP1437" s="750"/>
      <c r="AQ1437" s="750"/>
      <c r="AR1437" s="750"/>
      <c r="AS1437" s="750"/>
      <c r="AT1437" s="750"/>
      <c r="AU1437" s="750"/>
      <c r="AV1437" s="750"/>
      <c r="AW1437" s="750"/>
      <c r="AX1437" s="750"/>
      <c r="AY1437" s="750"/>
      <c r="AZ1437" s="750"/>
      <c r="BA1437" s="750"/>
      <c r="BB1437" s="750"/>
      <c r="BC1437" s="752"/>
      <c r="BD1437" s="752"/>
      <c r="BE1437" s="752"/>
      <c r="BF1437" s="752"/>
      <c r="BG1437" s="752"/>
      <c r="BH1437" s="752"/>
      <c r="BI1437" s="752"/>
      <c r="BJ1437" s="752"/>
      <c r="BK1437" s="752"/>
      <c r="BL1437" s="752"/>
      <c r="BM1437" s="752"/>
      <c r="BN1437" s="752"/>
      <c r="BO1437" s="752"/>
      <c r="BP1437" s="752"/>
      <c r="BQ1437" s="752"/>
      <c r="BR1437" s="752"/>
    </row>
    <row r="1438" spans="1:70" ht="66">
      <c r="A1438" s="779"/>
      <c r="B1438" s="11"/>
      <c r="C1438" s="239"/>
      <c r="D1438" s="239"/>
      <c r="E1438" s="239"/>
      <c r="F1438" s="239"/>
      <c r="G1438" s="239"/>
      <c r="H1438" s="239"/>
      <c r="I1438" s="250" t="s">
        <v>2384</v>
      </c>
      <c r="J1438" s="11" t="s">
        <v>2385</v>
      </c>
      <c r="K1438" s="12">
        <v>16</v>
      </c>
      <c r="L1438" s="526">
        <v>113765000</v>
      </c>
      <c r="M1438" s="14">
        <v>8</v>
      </c>
      <c r="N1438" s="526">
        <f>54004000+23812800</f>
        <v>77816800</v>
      </c>
      <c r="O1438" s="12">
        <v>0</v>
      </c>
      <c r="P1438" s="526">
        <v>0</v>
      </c>
      <c r="Q1438" s="526">
        <v>0</v>
      </c>
      <c r="R1438" s="30">
        <v>0</v>
      </c>
      <c r="S1438" s="527"/>
      <c r="T1438" s="202"/>
      <c r="U1438" s="527"/>
      <c r="V1438" s="527"/>
      <c r="W1438" s="528"/>
      <c r="X1438" s="528"/>
      <c r="Y1438" s="526">
        <f t="shared" si="419"/>
        <v>0</v>
      </c>
      <c r="Z1438" s="265">
        <f t="shared" si="420"/>
        <v>0</v>
      </c>
      <c r="AA1438" s="526">
        <f t="shared" si="421"/>
        <v>8</v>
      </c>
      <c r="AB1438" s="265">
        <f t="shared" si="422"/>
        <v>77816800</v>
      </c>
      <c r="AC1438" s="529">
        <f t="shared" si="423"/>
        <v>50</v>
      </c>
      <c r="AD1438" s="529">
        <f t="shared" si="424"/>
        <v>68.401353667648223</v>
      </c>
      <c r="AE1438" s="102"/>
      <c r="AF1438" s="750"/>
      <c r="AG1438" s="750"/>
      <c r="AH1438" s="750"/>
      <c r="AI1438" s="750"/>
      <c r="AJ1438" s="750"/>
      <c r="AK1438" s="750"/>
      <c r="AL1438" s="750"/>
      <c r="AM1438" s="750"/>
      <c r="AN1438" s="750"/>
      <c r="AO1438" s="750"/>
      <c r="AP1438" s="750"/>
      <c r="AQ1438" s="750"/>
      <c r="AR1438" s="750"/>
      <c r="AS1438" s="750"/>
      <c r="AT1438" s="750"/>
      <c r="AU1438" s="750"/>
      <c r="AV1438" s="750"/>
      <c r="AW1438" s="750"/>
      <c r="AX1438" s="750"/>
      <c r="AY1438" s="750"/>
      <c r="AZ1438" s="750"/>
      <c r="BA1438" s="750"/>
      <c r="BB1438" s="750"/>
      <c r="BC1438" s="752"/>
      <c r="BD1438" s="752"/>
      <c r="BE1438" s="752"/>
      <c r="BF1438" s="752"/>
      <c r="BG1438" s="752"/>
      <c r="BH1438" s="752"/>
      <c r="BI1438" s="752"/>
      <c r="BJ1438" s="752"/>
      <c r="BK1438" s="752"/>
      <c r="BL1438" s="752"/>
      <c r="BM1438" s="752"/>
      <c r="BN1438" s="752"/>
      <c r="BO1438" s="752"/>
      <c r="BP1438" s="752"/>
      <c r="BQ1438" s="752"/>
      <c r="BR1438" s="752"/>
    </row>
    <row r="1439" spans="1:70" ht="66">
      <c r="A1439" s="779"/>
      <c r="B1439" s="11"/>
      <c r="C1439" s="239"/>
      <c r="D1439" s="239"/>
      <c r="E1439" s="239"/>
      <c r="F1439" s="239"/>
      <c r="G1439" s="239"/>
      <c r="H1439" s="239"/>
      <c r="I1439" s="250" t="s">
        <v>2386</v>
      </c>
      <c r="J1439" s="11" t="s">
        <v>2385</v>
      </c>
      <c r="K1439" s="12">
        <v>24</v>
      </c>
      <c r="L1439" s="526">
        <v>207537000</v>
      </c>
      <c r="M1439" s="14">
        <v>0</v>
      </c>
      <c r="N1439" s="526">
        <v>0</v>
      </c>
      <c r="O1439" s="12">
        <v>8</v>
      </c>
      <c r="P1439" s="526">
        <v>48667500</v>
      </c>
      <c r="Q1439" s="526">
        <v>0</v>
      </c>
      <c r="R1439" s="30">
        <v>5104950</v>
      </c>
      <c r="S1439" s="527">
        <v>0</v>
      </c>
      <c r="T1439" s="202">
        <v>11268200</v>
      </c>
      <c r="U1439" s="527"/>
      <c r="V1439" s="527"/>
      <c r="W1439" s="528"/>
      <c r="X1439" s="528"/>
      <c r="Y1439" s="526">
        <f t="shared" si="419"/>
        <v>0</v>
      </c>
      <c r="Z1439" s="265">
        <f t="shared" si="420"/>
        <v>16373150</v>
      </c>
      <c r="AA1439" s="526">
        <f t="shared" si="421"/>
        <v>0</v>
      </c>
      <c r="AB1439" s="265">
        <f t="shared" si="422"/>
        <v>16373150</v>
      </c>
      <c r="AC1439" s="529">
        <f t="shared" si="423"/>
        <v>0</v>
      </c>
      <c r="AD1439" s="529">
        <f t="shared" si="424"/>
        <v>7.8892679377653137</v>
      </c>
      <c r="AE1439" s="102"/>
      <c r="AF1439" s="750"/>
      <c r="AG1439" s="750"/>
      <c r="AH1439" s="750"/>
      <c r="AI1439" s="750"/>
      <c r="AJ1439" s="750"/>
      <c r="AK1439" s="750"/>
      <c r="AL1439" s="750"/>
      <c r="AM1439" s="750"/>
      <c r="AN1439" s="750"/>
      <c r="AO1439" s="750"/>
      <c r="AP1439" s="750"/>
      <c r="AQ1439" s="750"/>
      <c r="AR1439" s="750"/>
      <c r="AS1439" s="750"/>
      <c r="AT1439" s="750"/>
      <c r="AU1439" s="750"/>
      <c r="AV1439" s="750"/>
      <c r="AW1439" s="750"/>
      <c r="AX1439" s="750"/>
      <c r="AY1439" s="750"/>
      <c r="AZ1439" s="750"/>
      <c r="BA1439" s="750"/>
      <c r="BB1439" s="750"/>
      <c r="BC1439" s="752"/>
      <c r="BD1439" s="752"/>
      <c r="BE1439" s="752"/>
      <c r="BF1439" s="752"/>
      <c r="BG1439" s="752"/>
      <c r="BH1439" s="752"/>
      <c r="BI1439" s="752"/>
      <c r="BJ1439" s="752"/>
      <c r="BK1439" s="752"/>
      <c r="BL1439" s="752"/>
      <c r="BM1439" s="752"/>
      <c r="BN1439" s="752"/>
      <c r="BO1439" s="752"/>
      <c r="BP1439" s="752"/>
      <c r="BQ1439" s="752"/>
      <c r="BR1439" s="752"/>
    </row>
    <row r="1440" spans="1:70" ht="66">
      <c r="A1440" s="779"/>
      <c r="B1440" s="11"/>
      <c r="C1440" s="239"/>
      <c r="D1440" s="239"/>
      <c r="E1440" s="239"/>
      <c r="F1440" s="239"/>
      <c r="G1440" s="239"/>
      <c r="H1440" s="239"/>
      <c r="I1440" s="250" t="s">
        <v>2387</v>
      </c>
      <c r="J1440" s="11" t="s">
        <v>2388</v>
      </c>
      <c r="K1440" s="12">
        <v>15</v>
      </c>
      <c r="L1440" s="526">
        <v>2295690000</v>
      </c>
      <c r="M1440" s="14">
        <v>9</v>
      </c>
      <c r="N1440" s="526">
        <f>532998000+627886600</f>
        <v>1160884600</v>
      </c>
      <c r="O1440" s="12">
        <v>5</v>
      </c>
      <c r="P1440" s="526">
        <v>609454400</v>
      </c>
      <c r="Q1440" s="526">
        <v>0</v>
      </c>
      <c r="R1440" s="30">
        <v>215771250</v>
      </c>
      <c r="S1440" s="527">
        <v>0</v>
      </c>
      <c r="T1440" s="202">
        <v>252243473</v>
      </c>
      <c r="U1440" s="527"/>
      <c r="V1440" s="527"/>
      <c r="W1440" s="528"/>
      <c r="X1440" s="528"/>
      <c r="Y1440" s="526">
        <f t="shared" si="419"/>
        <v>0</v>
      </c>
      <c r="Z1440" s="265">
        <f t="shared" si="420"/>
        <v>468014723</v>
      </c>
      <c r="AA1440" s="526">
        <f t="shared" si="421"/>
        <v>9</v>
      </c>
      <c r="AB1440" s="265">
        <f t="shared" si="422"/>
        <v>1628899323</v>
      </c>
      <c r="AC1440" s="529">
        <f t="shared" si="423"/>
        <v>60</v>
      </c>
      <c r="AD1440" s="529">
        <f t="shared" si="424"/>
        <v>70.954672582099505</v>
      </c>
      <c r="AE1440" s="102"/>
      <c r="AF1440" s="750"/>
      <c r="AG1440" s="750"/>
      <c r="AH1440" s="750"/>
      <c r="AI1440" s="750"/>
      <c r="AJ1440" s="750"/>
      <c r="AK1440" s="750"/>
      <c r="AL1440" s="750"/>
      <c r="AM1440" s="750"/>
      <c r="AN1440" s="750"/>
      <c r="AO1440" s="750"/>
      <c r="AP1440" s="750"/>
      <c r="AQ1440" s="750"/>
      <c r="AR1440" s="750"/>
      <c r="AS1440" s="750"/>
      <c r="AT1440" s="750"/>
      <c r="AU1440" s="750"/>
      <c r="AV1440" s="750"/>
      <c r="AW1440" s="750"/>
      <c r="AX1440" s="750"/>
      <c r="AY1440" s="750"/>
      <c r="AZ1440" s="750"/>
      <c r="BA1440" s="750"/>
      <c r="BB1440" s="750"/>
      <c r="BC1440" s="752"/>
      <c r="BD1440" s="752"/>
      <c r="BE1440" s="752"/>
      <c r="BF1440" s="752"/>
      <c r="BG1440" s="752"/>
      <c r="BH1440" s="752"/>
      <c r="BI1440" s="752"/>
      <c r="BJ1440" s="752"/>
      <c r="BK1440" s="752"/>
      <c r="BL1440" s="752"/>
      <c r="BM1440" s="752"/>
      <c r="BN1440" s="752"/>
      <c r="BO1440" s="752"/>
      <c r="BP1440" s="752"/>
      <c r="BQ1440" s="752"/>
      <c r="BR1440" s="752"/>
    </row>
    <row r="1441" spans="1:70" ht="50.25" customHeight="1">
      <c r="A1441" s="779"/>
      <c r="B1441" s="11"/>
      <c r="C1441" s="239"/>
      <c r="D1441" s="239"/>
      <c r="E1441" s="239"/>
      <c r="F1441" s="239"/>
      <c r="G1441" s="239"/>
      <c r="H1441" s="239"/>
      <c r="I1441" s="250" t="s">
        <v>2389</v>
      </c>
      <c r="J1441" s="11" t="s">
        <v>2390</v>
      </c>
      <c r="K1441" s="14">
        <v>60</v>
      </c>
      <c r="L1441" s="526">
        <v>276655000</v>
      </c>
      <c r="M1441" s="14">
        <v>11</v>
      </c>
      <c r="N1441" s="526">
        <f>161181000+33232000</f>
        <v>194413000</v>
      </c>
      <c r="O1441" s="14">
        <v>0</v>
      </c>
      <c r="P1441" s="526">
        <v>0</v>
      </c>
      <c r="Q1441" s="526">
        <v>0</v>
      </c>
      <c r="R1441" s="30">
        <v>0</v>
      </c>
      <c r="S1441" s="527">
        <v>0</v>
      </c>
      <c r="T1441" s="202">
        <v>0</v>
      </c>
      <c r="U1441" s="527"/>
      <c r="V1441" s="527"/>
      <c r="W1441" s="528"/>
      <c r="X1441" s="528"/>
      <c r="Y1441" s="526">
        <f t="shared" si="419"/>
        <v>0</v>
      </c>
      <c r="Z1441" s="265">
        <f t="shared" si="420"/>
        <v>0</v>
      </c>
      <c r="AA1441" s="526">
        <f t="shared" si="421"/>
        <v>11</v>
      </c>
      <c r="AB1441" s="265">
        <f t="shared" si="422"/>
        <v>194413000</v>
      </c>
      <c r="AC1441" s="529">
        <f t="shared" si="423"/>
        <v>18.333333333333332</v>
      </c>
      <c r="AD1441" s="529">
        <f t="shared" si="424"/>
        <v>70.272722343713284</v>
      </c>
      <c r="AE1441" s="102"/>
      <c r="AF1441" s="750"/>
      <c r="AG1441" s="750"/>
      <c r="AH1441" s="750"/>
      <c r="AI1441" s="750"/>
      <c r="AJ1441" s="750"/>
      <c r="AK1441" s="750"/>
      <c r="AL1441" s="750"/>
      <c r="AM1441" s="750"/>
      <c r="AN1441" s="750"/>
      <c r="AO1441" s="750"/>
      <c r="AP1441" s="750"/>
      <c r="AQ1441" s="750"/>
      <c r="AR1441" s="750"/>
      <c r="AS1441" s="750"/>
      <c r="AT1441" s="750"/>
      <c r="AU1441" s="750"/>
      <c r="AV1441" s="750"/>
      <c r="AW1441" s="750"/>
      <c r="AX1441" s="750"/>
      <c r="AY1441" s="750"/>
      <c r="AZ1441" s="750"/>
      <c r="BA1441" s="750"/>
      <c r="BB1441" s="750"/>
      <c r="BC1441" s="752"/>
      <c r="BD1441" s="752"/>
      <c r="BE1441" s="752"/>
      <c r="BF1441" s="752"/>
      <c r="BG1441" s="752"/>
      <c r="BH1441" s="752"/>
      <c r="BI1441" s="752"/>
      <c r="BJ1441" s="752"/>
      <c r="BK1441" s="752"/>
      <c r="BL1441" s="752"/>
      <c r="BM1441" s="752"/>
      <c r="BN1441" s="752"/>
      <c r="BO1441" s="752"/>
      <c r="BP1441" s="752"/>
      <c r="BQ1441" s="752"/>
      <c r="BR1441" s="752"/>
    </row>
    <row r="1442" spans="1:70" ht="88.5" customHeight="1">
      <c r="A1442" s="779"/>
      <c r="B1442" s="11"/>
      <c r="C1442" s="239"/>
      <c r="D1442" s="239"/>
      <c r="E1442" s="239"/>
      <c r="F1442" s="239"/>
      <c r="G1442" s="239"/>
      <c r="H1442" s="239"/>
      <c r="I1442" s="250" t="s">
        <v>2391</v>
      </c>
      <c r="J1442" s="11" t="s">
        <v>2392</v>
      </c>
      <c r="K1442" s="12">
        <v>140</v>
      </c>
      <c r="L1442" s="526">
        <v>1969770000</v>
      </c>
      <c r="M1442" s="14">
        <v>65</v>
      </c>
      <c r="N1442" s="526">
        <f>416676000+115945700</f>
        <v>532621700</v>
      </c>
      <c r="O1442" s="12">
        <v>0</v>
      </c>
      <c r="P1442" s="526">
        <v>0</v>
      </c>
      <c r="Q1442" s="526">
        <v>0</v>
      </c>
      <c r="R1442" s="30">
        <v>0</v>
      </c>
      <c r="S1442" s="527">
        <v>0</v>
      </c>
      <c r="T1442" s="202">
        <v>0</v>
      </c>
      <c r="U1442" s="527"/>
      <c r="V1442" s="527"/>
      <c r="W1442" s="528"/>
      <c r="X1442" s="528"/>
      <c r="Y1442" s="526">
        <f t="shared" si="419"/>
        <v>0</v>
      </c>
      <c r="Z1442" s="265">
        <f t="shared" si="420"/>
        <v>0</v>
      </c>
      <c r="AA1442" s="526">
        <f t="shared" si="421"/>
        <v>65</v>
      </c>
      <c r="AB1442" s="265">
        <f t="shared" si="422"/>
        <v>532621700</v>
      </c>
      <c r="AC1442" s="529">
        <f t="shared" si="423"/>
        <v>46.428571428571431</v>
      </c>
      <c r="AD1442" s="529">
        <f t="shared" si="424"/>
        <v>27.039791447732476</v>
      </c>
      <c r="AE1442" s="102"/>
      <c r="AF1442" s="750"/>
      <c r="AG1442" s="750"/>
      <c r="AH1442" s="750"/>
      <c r="AI1442" s="750"/>
      <c r="AJ1442" s="750"/>
      <c r="AK1442" s="750"/>
      <c r="AL1442" s="750"/>
      <c r="AM1442" s="750"/>
      <c r="AN1442" s="750"/>
      <c r="AO1442" s="750"/>
      <c r="AP1442" s="750"/>
      <c r="AQ1442" s="750"/>
      <c r="AR1442" s="750"/>
      <c r="AS1442" s="750"/>
      <c r="AT1442" s="750"/>
      <c r="AU1442" s="750"/>
      <c r="AV1442" s="750"/>
      <c r="AW1442" s="750"/>
      <c r="AX1442" s="750"/>
      <c r="AY1442" s="750"/>
      <c r="AZ1442" s="750"/>
      <c r="BA1442" s="750"/>
      <c r="BB1442" s="750"/>
      <c r="BC1442" s="752"/>
      <c r="BD1442" s="752"/>
      <c r="BE1442" s="752"/>
      <c r="BF1442" s="752"/>
      <c r="BG1442" s="752"/>
      <c r="BH1442" s="752"/>
      <c r="BI1442" s="752"/>
      <c r="BJ1442" s="752"/>
      <c r="BK1442" s="752"/>
      <c r="BL1442" s="752"/>
      <c r="BM1442" s="752"/>
      <c r="BN1442" s="752"/>
      <c r="BO1442" s="752"/>
      <c r="BP1442" s="752"/>
      <c r="BQ1442" s="752"/>
      <c r="BR1442" s="752"/>
    </row>
    <row r="1443" spans="1:70" ht="74.25" customHeight="1">
      <c r="A1443" s="779"/>
      <c r="B1443" s="11"/>
      <c r="C1443" s="239"/>
      <c r="D1443" s="239"/>
      <c r="E1443" s="239"/>
      <c r="F1443" s="239"/>
      <c r="G1443" s="239"/>
      <c r="H1443" s="239"/>
      <c r="I1443" s="250" t="s">
        <v>2393</v>
      </c>
      <c r="J1443" s="11" t="s">
        <v>2394</v>
      </c>
      <c r="K1443" s="12">
        <v>90</v>
      </c>
      <c r="L1443" s="526">
        <v>750377000</v>
      </c>
      <c r="M1443" s="12">
        <v>24</v>
      </c>
      <c r="N1443" s="526">
        <f>230717900+156634761</f>
        <v>387352661</v>
      </c>
      <c r="O1443" s="12">
        <v>15</v>
      </c>
      <c r="P1443" s="526">
        <v>332275000</v>
      </c>
      <c r="Q1443" s="526">
        <v>0</v>
      </c>
      <c r="R1443" s="30">
        <v>9790950</v>
      </c>
      <c r="S1443" s="527">
        <v>0</v>
      </c>
      <c r="T1443" s="202">
        <v>50823950</v>
      </c>
      <c r="U1443" s="527"/>
      <c r="V1443" s="527"/>
      <c r="W1443" s="528"/>
      <c r="X1443" s="528"/>
      <c r="Y1443" s="526">
        <f t="shared" si="419"/>
        <v>0</v>
      </c>
      <c r="Z1443" s="265">
        <f t="shared" si="420"/>
        <v>60614900</v>
      </c>
      <c r="AA1443" s="526">
        <f t="shared" si="421"/>
        <v>24</v>
      </c>
      <c r="AB1443" s="265">
        <f t="shared" si="422"/>
        <v>447967561</v>
      </c>
      <c r="AC1443" s="529">
        <f t="shared" si="423"/>
        <v>26.666666666666668</v>
      </c>
      <c r="AD1443" s="529">
        <f t="shared" si="424"/>
        <v>59.698999436283358</v>
      </c>
      <c r="AE1443" s="102"/>
      <c r="AF1443" s="750"/>
      <c r="AG1443" s="750"/>
      <c r="AH1443" s="750"/>
      <c r="AI1443" s="750"/>
      <c r="AJ1443" s="750"/>
      <c r="AK1443" s="750"/>
      <c r="AL1443" s="750"/>
      <c r="AM1443" s="750"/>
      <c r="AN1443" s="750"/>
      <c r="AO1443" s="750"/>
      <c r="AP1443" s="750"/>
      <c r="AQ1443" s="750"/>
      <c r="AR1443" s="750"/>
      <c r="AS1443" s="750"/>
      <c r="AT1443" s="750"/>
      <c r="AU1443" s="750"/>
      <c r="AV1443" s="750"/>
      <c r="AW1443" s="750"/>
      <c r="AX1443" s="750"/>
      <c r="AY1443" s="750"/>
      <c r="AZ1443" s="750"/>
      <c r="BA1443" s="750"/>
      <c r="BB1443" s="750"/>
      <c r="BC1443" s="752"/>
      <c r="BD1443" s="752"/>
      <c r="BE1443" s="752"/>
      <c r="BF1443" s="752"/>
      <c r="BG1443" s="752"/>
      <c r="BH1443" s="752"/>
      <c r="BI1443" s="752"/>
      <c r="BJ1443" s="752"/>
      <c r="BK1443" s="752"/>
      <c r="BL1443" s="752"/>
      <c r="BM1443" s="752"/>
      <c r="BN1443" s="752"/>
      <c r="BO1443" s="752"/>
      <c r="BP1443" s="752"/>
      <c r="BQ1443" s="752"/>
      <c r="BR1443" s="752"/>
    </row>
    <row r="1444" spans="1:70" ht="49.5">
      <c r="A1444" s="779"/>
      <c r="B1444" s="11"/>
      <c r="C1444" s="239"/>
      <c r="D1444" s="239"/>
      <c r="E1444" s="239"/>
      <c r="F1444" s="239"/>
      <c r="G1444" s="239"/>
      <c r="H1444" s="239"/>
      <c r="I1444" s="250" t="s">
        <v>2395</v>
      </c>
      <c r="J1444" s="10" t="s">
        <v>2396</v>
      </c>
      <c r="K1444" s="1151">
        <v>40</v>
      </c>
      <c r="L1444" s="1151">
        <v>342046000</v>
      </c>
      <c r="M1444" s="1152">
        <v>0</v>
      </c>
      <c r="N1444" s="526">
        <v>76891500</v>
      </c>
      <c r="O1444" s="14">
        <v>2</v>
      </c>
      <c r="P1444" s="526">
        <v>171357500</v>
      </c>
      <c r="Q1444" s="526">
        <v>0</v>
      </c>
      <c r="R1444" s="30">
        <v>20423561</v>
      </c>
      <c r="S1444" s="527">
        <v>0</v>
      </c>
      <c r="T1444" s="202">
        <v>26991061</v>
      </c>
      <c r="U1444" s="527"/>
      <c r="V1444" s="527"/>
      <c r="W1444" s="528"/>
      <c r="X1444" s="528"/>
      <c r="Y1444" s="526">
        <f t="shared" si="419"/>
        <v>0</v>
      </c>
      <c r="Z1444" s="265">
        <f t="shared" si="420"/>
        <v>47414622</v>
      </c>
      <c r="AA1444" s="526">
        <f t="shared" si="421"/>
        <v>0</v>
      </c>
      <c r="AB1444" s="265">
        <f t="shared" si="422"/>
        <v>124306122</v>
      </c>
      <c r="AC1444" s="529">
        <f t="shared" si="423"/>
        <v>0</v>
      </c>
      <c r="AD1444" s="529">
        <f t="shared" si="424"/>
        <v>36.341931202235955</v>
      </c>
      <c r="AE1444" s="102"/>
      <c r="AF1444" s="750"/>
      <c r="AG1444" s="750"/>
      <c r="AH1444" s="750"/>
      <c r="AI1444" s="750"/>
      <c r="AJ1444" s="750"/>
      <c r="AK1444" s="750"/>
      <c r="AL1444" s="750"/>
      <c r="AM1444" s="750"/>
      <c r="AN1444" s="750"/>
      <c r="AO1444" s="750"/>
      <c r="AP1444" s="750"/>
      <c r="AQ1444" s="750"/>
      <c r="AR1444" s="750"/>
      <c r="AS1444" s="750"/>
      <c r="AT1444" s="750"/>
      <c r="AU1444" s="750"/>
      <c r="AV1444" s="750"/>
      <c r="AW1444" s="750"/>
      <c r="AX1444" s="750"/>
      <c r="AY1444" s="750"/>
      <c r="AZ1444" s="750"/>
      <c r="BA1444" s="750"/>
      <c r="BB1444" s="750"/>
      <c r="BC1444" s="752"/>
      <c r="BD1444" s="752"/>
      <c r="BE1444" s="752"/>
      <c r="BF1444" s="752"/>
      <c r="BG1444" s="752"/>
      <c r="BH1444" s="752"/>
      <c r="BI1444" s="752"/>
      <c r="BJ1444" s="752"/>
      <c r="BK1444" s="752"/>
      <c r="BL1444" s="752"/>
      <c r="BM1444" s="752"/>
      <c r="BN1444" s="752"/>
      <c r="BO1444" s="752"/>
      <c r="BP1444" s="752"/>
      <c r="BQ1444" s="752"/>
      <c r="BR1444" s="752"/>
    </row>
    <row r="1445" spans="1:70" ht="82.5">
      <c r="A1445" s="779"/>
      <c r="B1445" s="11"/>
      <c r="C1445" s="239"/>
      <c r="D1445" s="239"/>
      <c r="E1445" s="239"/>
      <c r="F1445" s="239"/>
      <c r="G1445" s="239"/>
      <c r="H1445" s="239"/>
      <c r="I1445" s="11" t="s">
        <v>2397</v>
      </c>
      <c r="J1445" s="10" t="s">
        <v>2398</v>
      </c>
      <c r="K1445" s="1151">
        <v>60</v>
      </c>
      <c r="L1445" s="1151">
        <v>415837000</v>
      </c>
      <c r="M1445" s="204">
        <v>12</v>
      </c>
      <c r="N1445" s="526">
        <f>36905000+206778605</f>
        <v>243683605</v>
      </c>
      <c r="O1445" s="14">
        <v>12</v>
      </c>
      <c r="P1445" s="526">
        <v>104517300</v>
      </c>
      <c r="Q1445" s="526">
        <v>0</v>
      </c>
      <c r="R1445" s="30">
        <v>15132450</v>
      </c>
      <c r="S1445" s="527">
        <v>6</v>
      </c>
      <c r="T1445" s="202">
        <v>69570900</v>
      </c>
      <c r="U1445" s="527"/>
      <c r="V1445" s="527"/>
      <c r="W1445" s="528"/>
      <c r="X1445" s="528"/>
      <c r="Y1445" s="526">
        <f t="shared" si="419"/>
        <v>6</v>
      </c>
      <c r="Z1445" s="265">
        <f t="shared" si="420"/>
        <v>84703350</v>
      </c>
      <c r="AA1445" s="526">
        <f t="shared" si="421"/>
        <v>18</v>
      </c>
      <c r="AB1445" s="265">
        <f t="shared" si="422"/>
        <v>328386955</v>
      </c>
      <c r="AC1445" s="529">
        <f t="shared" si="423"/>
        <v>30</v>
      </c>
      <c r="AD1445" s="529">
        <f t="shared" si="424"/>
        <v>78.970114491976432</v>
      </c>
      <c r="AE1445" s="102"/>
      <c r="AF1445" s="750"/>
      <c r="AG1445" s="750"/>
      <c r="AH1445" s="750"/>
      <c r="AI1445" s="750"/>
      <c r="AJ1445" s="750"/>
      <c r="AK1445" s="750"/>
      <c r="AL1445" s="750"/>
      <c r="AM1445" s="750"/>
      <c r="AN1445" s="750"/>
      <c r="AO1445" s="750"/>
      <c r="AP1445" s="750"/>
      <c r="AQ1445" s="750"/>
      <c r="AR1445" s="750"/>
      <c r="AS1445" s="750"/>
      <c r="AT1445" s="750"/>
      <c r="AU1445" s="750"/>
      <c r="AV1445" s="750"/>
      <c r="AW1445" s="750"/>
      <c r="AX1445" s="750"/>
      <c r="AY1445" s="750"/>
      <c r="AZ1445" s="750"/>
      <c r="BA1445" s="750"/>
      <c r="BB1445" s="750"/>
      <c r="BC1445" s="752"/>
      <c r="BD1445" s="752"/>
      <c r="BE1445" s="752"/>
      <c r="BF1445" s="752"/>
      <c r="BG1445" s="752"/>
      <c r="BH1445" s="752"/>
      <c r="BI1445" s="752"/>
      <c r="BJ1445" s="752"/>
      <c r="BK1445" s="752"/>
      <c r="BL1445" s="752"/>
      <c r="BM1445" s="752"/>
      <c r="BN1445" s="752"/>
      <c r="BO1445" s="752"/>
      <c r="BP1445" s="752"/>
      <c r="BQ1445" s="752"/>
      <c r="BR1445" s="752"/>
    </row>
    <row r="1446" spans="1:70" ht="33">
      <c r="A1446" s="779"/>
      <c r="B1446" s="11"/>
      <c r="C1446" s="239"/>
      <c r="D1446" s="239"/>
      <c r="E1446" s="239"/>
      <c r="F1446" s="239"/>
      <c r="G1446" s="239"/>
      <c r="H1446" s="239"/>
      <c r="I1446" s="11" t="s">
        <v>2399</v>
      </c>
      <c r="J1446" s="10" t="s">
        <v>2400</v>
      </c>
      <c r="K1446" s="1151">
        <v>2000</v>
      </c>
      <c r="L1446" s="1151">
        <f>4*P1446</f>
        <v>333884000</v>
      </c>
      <c r="M1446" s="204">
        <v>0</v>
      </c>
      <c r="N1446" s="526">
        <v>0</v>
      </c>
      <c r="O1446" s="14">
        <v>500</v>
      </c>
      <c r="P1446" s="526">
        <v>83471000</v>
      </c>
      <c r="Q1446" s="526">
        <v>0</v>
      </c>
      <c r="R1446" s="30">
        <v>4263500</v>
      </c>
      <c r="S1446" s="527">
        <v>0</v>
      </c>
      <c r="T1446" s="202">
        <v>32389950</v>
      </c>
      <c r="U1446" s="527"/>
      <c r="V1446" s="527"/>
      <c r="W1446" s="528"/>
      <c r="X1446" s="528"/>
      <c r="Y1446" s="526">
        <f t="shared" si="419"/>
        <v>0</v>
      </c>
      <c r="Z1446" s="265">
        <f t="shared" si="420"/>
        <v>36653450</v>
      </c>
      <c r="AA1446" s="526">
        <f t="shared" si="421"/>
        <v>0</v>
      </c>
      <c r="AB1446" s="265">
        <f t="shared" si="422"/>
        <v>36653450</v>
      </c>
      <c r="AC1446" s="529">
        <f t="shared" si="423"/>
        <v>0</v>
      </c>
      <c r="AD1446" s="529">
        <f t="shared" si="424"/>
        <v>10.977899510009465</v>
      </c>
      <c r="AE1446" s="102"/>
      <c r="AF1446" s="750"/>
      <c r="AG1446" s="750"/>
      <c r="AH1446" s="750"/>
      <c r="AI1446" s="750"/>
      <c r="AJ1446" s="750"/>
      <c r="AK1446" s="750"/>
      <c r="AL1446" s="750"/>
      <c r="AM1446" s="750"/>
      <c r="AN1446" s="750"/>
      <c r="AO1446" s="750"/>
      <c r="AP1446" s="750"/>
      <c r="AQ1446" s="750"/>
      <c r="AR1446" s="750"/>
      <c r="AS1446" s="750"/>
      <c r="AT1446" s="750"/>
      <c r="AU1446" s="750"/>
      <c r="AV1446" s="750"/>
      <c r="AW1446" s="750"/>
      <c r="AX1446" s="750"/>
      <c r="AY1446" s="750"/>
      <c r="AZ1446" s="750"/>
      <c r="BA1446" s="750"/>
      <c r="BB1446" s="750"/>
      <c r="BC1446" s="752"/>
      <c r="BD1446" s="752"/>
      <c r="BE1446" s="752"/>
      <c r="BF1446" s="752"/>
      <c r="BG1446" s="752"/>
      <c r="BH1446" s="752"/>
      <c r="BI1446" s="752"/>
      <c r="BJ1446" s="752"/>
      <c r="BK1446" s="752"/>
      <c r="BL1446" s="752"/>
      <c r="BM1446" s="752"/>
      <c r="BN1446" s="752"/>
      <c r="BO1446" s="752"/>
      <c r="BP1446" s="752"/>
      <c r="BQ1446" s="752"/>
      <c r="BR1446" s="752"/>
    </row>
    <row r="1447" spans="1:70" ht="57.75" customHeight="1">
      <c r="A1447" s="779"/>
      <c r="B1447" s="11"/>
      <c r="C1447" s="239"/>
      <c r="D1447" s="239"/>
      <c r="E1447" s="239"/>
      <c r="F1447" s="239"/>
      <c r="G1447" s="239"/>
      <c r="H1447" s="239"/>
      <c r="I1447" s="11" t="s">
        <v>2401</v>
      </c>
      <c r="J1447" s="10" t="s">
        <v>2402</v>
      </c>
      <c r="K1447" s="1151">
        <v>160</v>
      </c>
      <c r="L1447" s="1151">
        <v>360450000</v>
      </c>
      <c r="M1447" s="204">
        <v>0</v>
      </c>
      <c r="N1447" s="526">
        <v>0</v>
      </c>
      <c r="O1447" s="14">
        <v>40</v>
      </c>
      <c r="P1447" s="526">
        <v>44375000</v>
      </c>
      <c r="Q1447" s="526">
        <v>20</v>
      </c>
      <c r="R1447" s="30">
        <v>10430000</v>
      </c>
      <c r="S1447" s="527">
        <v>40</v>
      </c>
      <c r="T1447" s="202">
        <v>34213750</v>
      </c>
      <c r="U1447" s="527"/>
      <c r="V1447" s="527"/>
      <c r="W1447" s="528"/>
      <c r="X1447" s="528"/>
      <c r="Y1447" s="526">
        <f t="shared" si="419"/>
        <v>60</v>
      </c>
      <c r="Z1447" s="265">
        <f t="shared" si="420"/>
        <v>44643750</v>
      </c>
      <c r="AA1447" s="526">
        <f t="shared" si="421"/>
        <v>60</v>
      </c>
      <c r="AB1447" s="265">
        <f t="shared" si="422"/>
        <v>44643750</v>
      </c>
      <c r="AC1447" s="529">
        <f t="shared" si="423"/>
        <v>37.5</v>
      </c>
      <c r="AD1447" s="529">
        <f t="shared" si="424"/>
        <v>12.385559717020392</v>
      </c>
      <c r="AE1447" s="102"/>
      <c r="AF1447" s="750"/>
      <c r="AG1447" s="750"/>
      <c r="AH1447" s="750"/>
      <c r="AI1447" s="750"/>
      <c r="AJ1447" s="750"/>
      <c r="AK1447" s="750"/>
      <c r="AL1447" s="750"/>
      <c r="AM1447" s="750"/>
      <c r="AN1447" s="750"/>
      <c r="AO1447" s="750"/>
      <c r="AP1447" s="750"/>
      <c r="AQ1447" s="750"/>
      <c r="AR1447" s="750"/>
      <c r="AS1447" s="750"/>
      <c r="AT1447" s="750"/>
      <c r="AU1447" s="750"/>
      <c r="AV1447" s="750"/>
      <c r="AW1447" s="750"/>
      <c r="AX1447" s="750"/>
      <c r="AY1447" s="750"/>
      <c r="AZ1447" s="750"/>
      <c r="BA1447" s="750"/>
      <c r="BB1447" s="750"/>
      <c r="BC1447" s="752"/>
      <c r="BD1447" s="752"/>
      <c r="BE1447" s="752"/>
      <c r="BF1447" s="752"/>
      <c r="BG1447" s="752"/>
      <c r="BH1447" s="752"/>
      <c r="BI1447" s="752"/>
      <c r="BJ1447" s="752"/>
      <c r="BK1447" s="752"/>
      <c r="BL1447" s="752"/>
      <c r="BM1447" s="752"/>
      <c r="BN1447" s="752"/>
      <c r="BO1447" s="752"/>
      <c r="BP1447" s="752"/>
      <c r="BQ1447" s="752"/>
      <c r="BR1447" s="752"/>
    </row>
    <row r="1448" spans="1:70" ht="49.5">
      <c r="A1448" s="779"/>
      <c r="B1448" s="11"/>
      <c r="C1448" s="239"/>
      <c r="D1448" s="239"/>
      <c r="E1448" s="239"/>
      <c r="F1448" s="239"/>
      <c r="G1448" s="239"/>
      <c r="H1448" s="239"/>
      <c r="I1448" s="11" t="s">
        <v>2403</v>
      </c>
      <c r="J1448" s="10" t="s">
        <v>2404</v>
      </c>
      <c r="K1448" s="1151">
        <f>4*O1448</f>
        <v>80000</v>
      </c>
      <c r="L1448" s="1151">
        <f>4*P1448</f>
        <v>1683200000</v>
      </c>
      <c r="M1448" s="204">
        <v>0</v>
      </c>
      <c r="N1448" s="526">
        <v>0</v>
      </c>
      <c r="O1448" s="14">
        <v>20000</v>
      </c>
      <c r="P1448" s="526">
        <v>420800000</v>
      </c>
      <c r="Q1448" s="526">
        <v>0</v>
      </c>
      <c r="R1448" s="30">
        <v>4024250</v>
      </c>
      <c r="S1448" s="527">
        <v>0</v>
      </c>
      <c r="T1448" s="202">
        <v>4024250</v>
      </c>
      <c r="U1448" s="527"/>
      <c r="V1448" s="527"/>
      <c r="W1448" s="528"/>
      <c r="X1448" s="528"/>
      <c r="Y1448" s="526">
        <f t="shared" si="419"/>
        <v>0</v>
      </c>
      <c r="Z1448" s="265">
        <f t="shared" si="420"/>
        <v>8048500</v>
      </c>
      <c r="AA1448" s="526">
        <f t="shared" si="421"/>
        <v>0</v>
      </c>
      <c r="AB1448" s="265">
        <f t="shared" si="422"/>
        <v>8048500</v>
      </c>
      <c r="AC1448" s="529">
        <f t="shared" si="423"/>
        <v>0</v>
      </c>
      <c r="AD1448" s="529">
        <f t="shared" si="424"/>
        <v>0.47816658745247148</v>
      </c>
      <c r="AE1448" s="102"/>
      <c r="AF1448" s="750"/>
      <c r="AG1448" s="750"/>
      <c r="AH1448" s="750"/>
      <c r="AI1448" s="750"/>
      <c r="AJ1448" s="750"/>
      <c r="AK1448" s="750"/>
      <c r="AL1448" s="750"/>
      <c r="AM1448" s="750"/>
      <c r="AN1448" s="750"/>
      <c r="AO1448" s="750"/>
      <c r="AP1448" s="750"/>
      <c r="AQ1448" s="750"/>
      <c r="AR1448" s="750"/>
      <c r="AS1448" s="750"/>
      <c r="AT1448" s="750"/>
      <c r="AU1448" s="750"/>
      <c r="AV1448" s="750"/>
      <c r="AW1448" s="750"/>
      <c r="AX1448" s="750"/>
      <c r="AY1448" s="750"/>
      <c r="AZ1448" s="750"/>
      <c r="BA1448" s="750"/>
      <c r="BB1448" s="750"/>
      <c r="BC1448" s="752"/>
      <c r="BD1448" s="752"/>
      <c r="BE1448" s="752"/>
      <c r="BF1448" s="752"/>
      <c r="BG1448" s="752"/>
      <c r="BH1448" s="752"/>
      <c r="BI1448" s="752"/>
      <c r="BJ1448" s="752"/>
      <c r="BK1448" s="752"/>
      <c r="BL1448" s="752"/>
      <c r="BM1448" s="752"/>
      <c r="BN1448" s="752"/>
      <c r="BO1448" s="752"/>
      <c r="BP1448" s="752"/>
      <c r="BQ1448" s="752"/>
      <c r="BR1448" s="752"/>
    </row>
    <row r="1449" spans="1:70" ht="51.75" customHeight="1">
      <c r="A1449" s="779"/>
      <c r="B1449" s="11"/>
      <c r="C1449" s="239"/>
      <c r="D1449" s="239"/>
      <c r="E1449" s="239"/>
      <c r="F1449" s="239"/>
      <c r="G1449" s="239"/>
      <c r="H1449" s="239"/>
      <c r="I1449" s="11" t="s">
        <v>2405</v>
      </c>
      <c r="J1449" s="10" t="s">
        <v>2406</v>
      </c>
      <c r="K1449" s="1151">
        <v>2</v>
      </c>
      <c r="L1449" s="1151">
        <v>596289000</v>
      </c>
      <c r="M1449" s="204">
        <v>0</v>
      </c>
      <c r="N1449" s="526">
        <v>0</v>
      </c>
      <c r="O1449" s="14">
        <v>1</v>
      </c>
      <c r="P1449" s="526">
        <v>267112500</v>
      </c>
      <c r="Q1449" s="526">
        <v>0</v>
      </c>
      <c r="R1449" s="30">
        <v>942750</v>
      </c>
      <c r="S1449" s="527">
        <v>0</v>
      </c>
      <c r="T1449" s="202">
        <v>107398500</v>
      </c>
      <c r="U1449" s="527"/>
      <c r="V1449" s="527"/>
      <c r="W1449" s="528"/>
      <c r="X1449" s="528"/>
      <c r="Y1449" s="526">
        <f t="shared" si="419"/>
        <v>0</v>
      </c>
      <c r="Z1449" s="265">
        <f t="shared" si="420"/>
        <v>108341250</v>
      </c>
      <c r="AA1449" s="526">
        <f t="shared" si="421"/>
        <v>0</v>
      </c>
      <c r="AB1449" s="265">
        <f t="shared" si="422"/>
        <v>108341250</v>
      </c>
      <c r="AC1449" s="529">
        <f t="shared" si="423"/>
        <v>0</v>
      </c>
      <c r="AD1449" s="529">
        <f t="shared" si="424"/>
        <v>18.169251822522302</v>
      </c>
      <c r="AE1449" s="102"/>
      <c r="AF1449" s="750"/>
      <c r="AG1449" s="750"/>
      <c r="AH1449" s="750"/>
      <c r="AI1449" s="750"/>
      <c r="AJ1449" s="750"/>
      <c r="AK1449" s="750"/>
      <c r="AL1449" s="750"/>
      <c r="AM1449" s="750"/>
      <c r="AN1449" s="750"/>
      <c r="AO1449" s="750"/>
      <c r="AP1449" s="750"/>
      <c r="AQ1449" s="750"/>
      <c r="AR1449" s="750"/>
      <c r="AS1449" s="750"/>
      <c r="AT1449" s="750"/>
      <c r="AU1449" s="750"/>
      <c r="AV1449" s="750"/>
      <c r="AW1449" s="750"/>
      <c r="AX1449" s="750"/>
      <c r="AY1449" s="750"/>
      <c r="AZ1449" s="750"/>
      <c r="BA1449" s="750"/>
      <c r="BB1449" s="750"/>
      <c r="BC1449" s="752"/>
      <c r="BD1449" s="752"/>
      <c r="BE1449" s="752"/>
      <c r="BF1449" s="752"/>
      <c r="BG1449" s="752"/>
      <c r="BH1449" s="752"/>
      <c r="BI1449" s="752"/>
      <c r="BJ1449" s="752"/>
      <c r="BK1449" s="752"/>
      <c r="BL1449" s="752"/>
      <c r="BM1449" s="752"/>
      <c r="BN1449" s="752"/>
      <c r="BO1449" s="752"/>
      <c r="BP1449" s="752"/>
      <c r="BQ1449" s="752"/>
      <c r="BR1449" s="752"/>
    </row>
    <row r="1450" spans="1:70" s="1315" customFormat="1" ht="49.5">
      <c r="A1450" s="2539">
        <v>5</v>
      </c>
      <c r="B1450" s="381"/>
      <c r="C1450" s="822"/>
      <c r="D1450" s="822"/>
      <c r="E1450" s="822"/>
      <c r="F1450" s="822"/>
      <c r="G1450" s="822"/>
      <c r="H1450" s="822"/>
      <c r="I1450" s="381" t="s">
        <v>2407</v>
      </c>
      <c r="J1450" s="540" t="s">
        <v>2408</v>
      </c>
      <c r="K1450" s="1153">
        <v>0.10299999999999999</v>
      </c>
      <c r="L1450" s="2894">
        <f>SUM(L1452:L1453)</f>
        <v>6072687000</v>
      </c>
      <c r="M1450" s="541">
        <v>9.7000000000000003E-2</v>
      </c>
      <c r="N1450" s="2894">
        <f>SUM(N1452:N1453)</f>
        <v>961718301</v>
      </c>
      <c r="O1450" s="541">
        <v>0.10299999999999999</v>
      </c>
      <c r="P1450" s="2894">
        <f>SUM(P1452:P1453)</f>
        <v>566161500</v>
      </c>
      <c r="Q1450" s="544">
        <v>0</v>
      </c>
      <c r="R1450" s="2894">
        <f>SUM(R1452:R1453)</f>
        <v>47735250</v>
      </c>
      <c r="S1450" s="531"/>
      <c r="T1450" s="2894">
        <f>SUM(T1452:T1453)</f>
        <v>146772343</v>
      </c>
      <c r="U1450" s="531"/>
      <c r="V1450" s="2894">
        <f>SUM(V1452:V1453)</f>
        <v>0</v>
      </c>
      <c r="W1450" s="531"/>
      <c r="X1450" s="2894">
        <f>SUM(X1452:X1453)</f>
        <v>0</v>
      </c>
      <c r="Y1450" s="544">
        <f t="shared" si="419"/>
        <v>0</v>
      </c>
      <c r="Z1450" s="223">
        <f t="shared" si="420"/>
        <v>194507593</v>
      </c>
      <c r="AA1450" s="544">
        <f t="shared" si="421"/>
        <v>9.7000000000000003E-2</v>
      </c>
      <c r="AB1450" s="2895">
        <f t="shared" si="422"/>
        <v>1156225894</v>
      </c>
      <c r="AC1450" s="542">
        <f t="shared" si="423"/>
        <v>94.174757281553397</v>
      </c>
      <c r="AD1450" s="2893">
        <f t="shared" si="424"/>
        <v>19.039774221855993</v>
      </c>
      <c r="AE1450" s="2539" t="s">
        <v>3130</v>
      </c>
      <c r="AF1450" s="201"/>
      <c r="AG1450" s="201"/>
      <c r="AH1450" s="201"/>
      <c r="AI1450" s="201"/>
      <c r="AJ1450" s="201"/>
      <c r="AK1450" s="201"/>
      <c r="AL1450" s="201"/>
      <c r="AM1450" s="201"/>
      <c r="AN1450" s="201"/>
      <c r="AO1450" s="201"/>
      <c r="AP1450" s="201"/>
      <c r="AQ1450" s="201"/>
      <c r="AR1450" s="201"/>
      <c r="AS1450" s="201"/>
      <c r="AT1450" s="201"/>
      <c r="AU1450" s="201"/>
      <c r="AV1450" s="201"/>
      <c r="AW1450" s="201"/>
      <c r="AX1450" s="201"/>
      <c r="AY1450" s="201"/>
      <c r="AZ1450" s="201"/>
      <c r="BA1450" s="201"/>
      <c r="BB1450" s="201"/>
      <c r="BC1450" s="20"/>
      <c r="BD1450" s="20"/>
      <c r="BE1450" s="20"/>
      <c r="BF1450" s="20"/>
      <c r="BG1450" s="20"/>
      <c r="BH1450" s="20"/>
      <c r="BI1450" s="20"/>
      <c r="BJ1450" s="20"/>
      <c r="BK1450" s="20"/>
      <c r="BL1450" s="20"/>
      <c r="BM1450" s="20"/>
      <c r="BN1450" s="20"/>
      <c r="BO1450" s="20"/>
      <c r="BP1450" s="20"/>
      <c r="BQ1450" s="20"/>
      <c r="BR1450" s="20"/>
    </row>
    <row r="1451" spans="1:70" s="1315" customFormat="1" ht="66">
      <c r="A1451" s="2540"/>
      <c r="B1451" s="364"/>
      <c r="C1451" s="1136"/>
      <c r="D1451" s="1136"/>
      <c r="E1451" s="1136"/>
      <c r="F1451" s="1136"/>
      <c r="G1451" s="1136"/>
      <c r="H1451" s="1136"/>
      <c r="I1451" s="364"/>
      <c r="J1451" s="540" t="s">
        <v>2409</v>
      </c>
      <c r="K1451" s="975">
        <v>15</v>
      </c>
      <c r="L1451" s="2894"/>
      <c r="M1451" s="160">
        <v>4</v>
      </c>
      <c r="N1451" s="2894"/>
      <c r="O1451" s="160">
        <v>6</v>
      </c>
      <c r="P1451" s="2894"/>
      <c r="Q1451" s="544">
        <v>0</v>
      </c>
      <c r="R1451" s="2894"/>
      <c r="S1451" s="531"/>
      <c r="T1451" s="2894"/>
      <c r="U1451" s="531"/>
      <c r="V1451" s="2894"/>
      <c r="W1451" s="531"/>
      <c r="X1451" s="2894"/>
      <c r="Y1451" s="544">
        <f t="shared" si="419"/>
        <v>0</v>
      </c>
      <c r="Z1451" s="223">
        <f t="shared" si="420"/>
        <v>0</v>
      </c>
      <c r="AA1451" s="544">
        <f t="shared" si="421"/>
        <v>4</v>
      </c>
      <c r="AB1451" s="2895">
        <f t="shared" si="422"/>
        <v>0</v>
      </c>
      <c r="AC1451" s="542">
        <f t="shared" si="423"/>
        <v>26.666666666666668</v>
      </c>
      <c r="AD1451" s="2893" t="e">
        <f t="shared" si="424"/>
        <v>#DIV/0!</v>
      </c>
      <c r="AE1451" s="2540"/>
      <c r="AF1451" s="201"/>
      <c r="AG1451" s="201"/>
      <c r="AH1451" s="201"/>
      <c r="AI1451" s="201"/>
      <c r="AJ1451" s="201"/>
      <c r="AK1451" s="201"/>
      <c r="AL1451" s="201"/>
      <c r="AM1451" s="201"/>
      <c r="AN1451" s="201"/>
      <c r="AO1451" s="201"/>
      <c r="AP1451" s="201"/>
      <c r="AQ1451" s="201"/>
      <c r="AR1451" s="201"/>
      <c r="AS1451" s="201"/>
      <c r="AT1451" s="201"/>
      <c r="AU1451" s="201"/>
      <c r="AV1451" s="201"/>
      <c r="AW1451" s="201"/>
      <c r="AX1451" s="201"/>
      <c r="AY1451" s="201"/>
      <c r="AZ1451" s="201"/>
      <c r="BA1451" s="201"/>
      <c r="BB1451" s="201"/>
      <c r="BC1451" s="20"/>
      <c r="BD1451" s="20"/>
      <c r="BE1451" s="20"/>
      <c r="BF1451" s="20"/>
      <c r="BG1451" s="20"/>
      <c r="BH1451" s="20"/>
      <c r="BI1451" s="20"/>
      <c r="BJ1451" s="20"/>
      <c r="BK1451" s="20"/>
      <c r="BL1451" s="20"/>
      <c r="BM1451" s="20"/>
      <c r="BN1451" s="20"/>
      <c r="BO1451" s="20"/>
      <c r="BP1451" s="20"/>
      <c r="BQ1451" s="20"/>
      <c r="BR1451" s="20"/>
    </row>
    <row r="1452" spans="1:70" ht="66">
      <c r="A1452" s="779"/>
      <c r="B1452" s="11"/>
      <c r="C1452" s="239"/>
      <c r="D1452" s="239"/>
      <c r="E1452" s="239"/>
      <c r="F1452" s="239"/>
      <c r="G1452" s="239"/>
      <c r="H1452" s="239"/>
      <c r="I1452" s="11" t="s">
        <v>2410</v>
      </c>
      <c r="J1452" s="10" t="s">
        <v>2411</v>
      </c>
      <c r="K1452" s="1151">
        <v>780</v>
      </c>
      <c r="L1452" s="1151">
        <v>5358687000</v>
      </c>
      <c r="M1452" s="204">
        <v>156</v>
      </c>
      <c r="N1452" s="526">
        <f>310710000+536106101</f>
        <v>846816101</v>
      </c>
      <c r="O1452" s="14">
        <v>143</v>
      </c>
      <c r="P1452" s="526">
        <v>510544000</v>
      </c>
      <c r="Q1452" s="526">
        <v>30</v>
      </c>
      <c r="R1452" s="30">
        <v>47735250</v>
      </c>
      <c r="S1452" s="527">
        <v>30</v>
      </c>
      <c r="T1452" s="202">
        <v>112701293</v>
      </c>
      <c r="U1452" s="527"/>
      <c r="V1452" s="527"/>
      <c r="W1452" s="528"/>
      <c r="X1452" s="528"/>
      <c r="Y1452" s="526">
        <f t="shared" si="419"/>
        <v>60</v>
      </c>
      <c r="Z1452" s="265">
        <f t="shared" si="420"/>
        <v>160436543</v>
      </c>
      <c r="AA1452" s="526">
        <f t="shared" si="421"/>
        <v>216</v>
      </c>
      <c r="AB1452" s="265">
        <f t="shared" si="422"/>
        <v>1007252644</v>
      </c>
      <c r="AC1452" s="529">
        <f t="shared" si="423"/>
        <v>27.692307692307693</v>
      </c>
      <c r="AD1452" s="529">
        <f t="shared" si="424"/>
        <v>18.796631413628003</v>
      </c>
      <c r="AE1452" s="102"/>
      <c r="AF1452" s="750"/>
      <c r="AG1452" s="750"/>
      <c r="AH1452" s="750"/>
      <c r="AI1452" s="750"/>
      <c r="AJ1452" s="750"/>
      <c r="AK1452" s="750"/>
      <c r="AL1452" s="750"/>
      <c r="AM1452" s="750"/>
      <c r="AN1452" s="750"/>
      <c r="AO1452" s="750"/>
      <c r="AP1452" s="750"/>
      <c r="AQ1452" s="750"/>
      <c r="AR1452" s="750"/>
      <c r="AS1452" s="750"/>
      <c r="AT1452" s="750"/>
      <c r="AU1452" s="750"/>
      <c r="AV1452" s="750"/>
      <c r="AW1452" s="750"/>
      <c r="AX1452" s="750"/>
      <c r="AY1452" s="750"/>
      <c r="AZ1452" s="750"/>
      <c r="BA1452" s="750"/>
      <c r="BB1452" s="750"/>
      <c r="BC1452" s="752"/>
      <c r="BD1452" s="752"/>
      <c r="BE1452" s="752"/>
      <c r="BF1452" s="752"/>
      <c r="BG1452" s="752"/>
      <c r="BH1452" s="752"/>
      <c r="BI1452" s="752"/>
      <c r="BJ1452" s="752"/>
      <c r="BK1452" s="752"/>
      <c r="BL1452" s="752"/>
      <c r="BM1452" s="752"/>
      <c r="BN1452" s="752"/>
      <c r="BO1452" s="752"/>
      <c r="BP1452" s="752"/>
      <c r="BQ1452" s="752"/>
      <c r="BR1452" s="752"/>
    </row>
    <row r="1453" spans="1:70" ht="66">
      <c r="A1453" s="779"/>
      <c r="B1453" s="11"/>
      <c r="C1453" s="239"/>
      <c r="D1453" s="239"/>
      <c r="E1453" s="239"/>
      <c r="F1453" s="239"/>
      <c r="G1453" s="239"/>
      <c r="H1453" s="239"/>
      <c r="I1453" s="11" t="s">
        <v>2412</v>
      </c>
      <c r="J1453" s="10" t="s">
        <v>2413</v>
      </c>
      <c r="K1453" s="1151">
        <v>64</v>
      </c>
      <c r="L1453" s="1151">
        <v>714000000</v>
      </c>
      <c r="M1453" s="204">
        <v>16</v>
      </c>
      <c r="N1453" s="526">
        <f>77257000+37645200</f>
        <v>114902200</v>
      </c>
      <c r="O1453" s="14">
        <v>16</v>
      </c>
      <c r="P1453" s="526">
        <v>55617500</v>
      </c>
      <c r="Q1453" s="526">
        <v>0</v>
      </c>
      <c r="R1453" s="30">
        <v>0</v>
      </c>
      <c r="S1453" s="527">
        <v>15</v>
      </c>
      <c r="T1453" s="202">
        <v>34071050</v>
      </c>
      <c r="U1453" s="527"/>
      <c r="V1453" s="527"/>
      <c r="W1453" s="528"/>
      <c r="X1453" s="528"/>
      <c r="Y1453" s="526">
        <f t="shared" si="419"/>
        <v>15</v>
      </c>
      <c r="Z1453" s="265">
        <f t="shared" si="420"/>
        <v>34071050</v>
      </c>
      <c r="AA1453" s="526">
        <f t="shared" si="421"/>
        <v>31</v>
      </c>
      <c r="AB1453" s="265">
        <f t="shared" si="422"/>
        <v>148973250</v>
      </c>
      <c r="AC1453" s="529">
        <f t="shared" si="423"/>
        <v>48.4375</v>
      </c>
      <c r="AD1453" s="529">
        <f t="shared" si="424"/>
        <v>20.864600840336134</v>
      </c>
      <c r="AE1453" s="102"/>
      <c r="AF1453" s="750"/>
      <c r="AG1453" s="750"/>
      <c r="AH1453" s="750"/>
      <c r="AI1453" s="750"/>
      <c r="AJ1453" s="750"/>
      <c r="AK1453" s="750"/>
      <c r="AL1453" s="750"/>
      <c r="AM1453" s="750"/>
      <c r="AN1453" s="750"/>
      <c r="AO1453" s="750"/>
      <c r="AP1453" s="750"/>
      <c r="AQ1453" s="750"/>
      <c r="AR1453" s="750"/>
      <c r="AS1453" s="750"/>
      <c r="AT1453" s="750"/>
      <c r="AU1453" s="750"/>
      <c r="AV1453" s="750"/>
      <c r="AW1453" s="750"/>
      <c r="AX1453" s="750"/>
      <c r="AY1453" s="750"/>
      <c r="AZ1453" s="750"/>
      <c r="BA1453" s="750"/>
      <c r="BB1453" s="750"/>
      <c r="BC1453" s="752"/>
      <c r="BD1453" s="752"/>
      <c r="BE1453" s="752"/>
      <c r="BF1453" s="752"/>
      <c r="BG1453" s="752"/>
      <c r="BH1453" s="752"/>
      <c r="BI1453" s="752"/>
      <c r="BJ1453" s="752"/>
      <c r="BK1453" s="752"/>
      <c r="BL1453" s="752"/>
      <c r="BM1453" s="752"/>
      <c r="BN1453" s="752"/>
      <c r="BO1453" s="752"/>
      <c r="BP1453" s="752"/>
      <c r="BQ1453" s="752"/>
      <c r="BR1453" s="752"/>
    </row>
    <row r="1454" spans="1:70" ht="66">
      <c r="A1454" s="2539">
        <v>6</v>
      </c>
      <c r="B1454" s="381"/>
      <c r="C1454" s="822"/>
      <c r="D1454" s="822"/>
      <c r="E1454" s="822"/>
      <c r="F1454" s="822"/>
      <c r="G1454" s="822"/>
      <c r="H1454" s="822"/>
      <c r="I1454" s="381" t="s">
        <v>2414</v>
      </c>
      <c r="J1454" s="540" t="s">
        <v>2415</v>
      </c>
      <c r="K1454" s="975">
        <v>6</v>
      </c>
      <c r="L1454" s="975">
        <f>SUM(L1457:L1459)</f>
        <v>1404994000</v>
      </c>
      <c r="M1454" s="160">
        <v>2</v>
      </c>
      <c r="N1454" s="975">
        <f>SUM(N1457:N1459)</f>
        <v>565604952</v>
      </c>
      <c r="O1454" s="160">
        <v>1</v>
      </c>
      <c r="P1454" s="975">
        <f>SUM(P1457:P1462)</f>
        <v>1613825200</v>
      </c>
      <c r="Q1454" s="544"/>
      <c r="R1454" s="975">
        <f>SUM(R1457:R1462)</f>
        <v>82756330</v>
      </c>
      <c r="S1454" s="531"/>
      <c r="T1454" s="975">
        <f>SUM(T1457:T1462)</f>
        <v>255328545</v>
      </c>
      <c r="U1454" s="531"/>
      <c r="V1454" s="975">
        <f>SUM(V1457:V1462)</f>
        <v>0</v>
      </c>
      <c r="W1454" s="531"/>
      <c r="X1454" s="975">
        <f>SUM(X1457:X1462)</f>
        <v>0</v>
      </c>
      <c r="Y1454" s="533">
        <f t="shared" si="419"/>
        <v>0</v>
      </c>
      <c r="Z1454" s="229">
        <f t="shared" si="420"/>
        <v>338084875</v>
      </c>
      <c r="AA1454" s="544">
        <f t="shared" si="421"/>
        <v>2</v>
      </c>
      <c r="AB1454" s="223">
        <f t="shared" si="422"/>
        <v>903689827</v>
      </c>
      <c r="AC1454" s="542">
        <f t="shared" si="423"/>
        <v>33.333333333333329</v>
      </c>
      <c r="AD1454" s="542">
        <f t="shared" si="424"/>
        <v>64.319835316022704</v>
      </c>
      <c r="AE1454" s="2539" t="s">
        <v>3130</v>
      </c>
      <c r="AF1454" s="750"/>
      <c r="AG1454" s="750"/>
      <c r="AH1454" s="750"/>
      <c r="AI1454" s="750"/>
      <c r="AJ1454" s="750"/>
      <c r="AK1454" s="750"/>
      <c r="AL1454" s="750"/>
      <c r="AM1454" s="750"/>
      <c r="AN1454" s="750"/>
      <c r="AO1454" s="750"/>
      <c r="AP1454" s="750"/>
      <c r="AQ1454" s="750"/>
      <c r="AR1454" s="750"/>
      <c r="AS1454" s="750"/>
      <c r="AT1454" s="750"/>
      <c r="AU1454" s="750"/>
      <c r="AV1454" s="750"/>
      <c r="AW1454" s="750"/>
      <c r="AX1454" s="750"/>
      <c r="AY1454" s="750"/>
      <c r="AZ1454" s="750"/>
      <c r="BA1454" s="750"/>
      <c r="BB1454" s="750"/>
      <c r="BC1454" s="752"/>
      <c r="BD1454" s="752"/>
      <c r="BE1454" s="752"/>
      <c r="BF1454" s="752"/>
      <c r="BG1454" s="752"/>
      <c r="BH1454" s="752"/>
      <c r="BI1454" s="752"/>
      <c r="BJ1454" s="752"/>
      <c r="BK1454" s="752"/>
      <c r="BL1454" s="752"/>
      <c r="BM1454" s="752"/>
      <c r="BN1454" s="752"/>
      <c r="BO1454" s="752"/>
      <c r="BP1454" s="752"/>
      <c r="BQ1454" s="752"/>
      <c r="BR1454" s="752"/>
    </row>
    <row r="1455" spans="1:70" ht="66">
      <c r="A1455" s="1781"/>
      <c r="B1455" s="1782"/>
      <c r="C1455" s="1781"/>
      <c r="D1455" s="1781"/>
      <c r="E1455" s="1781"/>
      <c r="F1455" s="1781"/>
      <c r="G1455" s="1781"/>
      <c r="H1455" s="1781"/>
      <c r="I1455" s="1782"/>
      <c r="J1455" s="540" t="s">
        <v>2416</v>
      </c>
      <c r="K1455" s="975">
        <v>7</v>
      </c>
      <c r="L1455" s="975"/>
      <c r="M1455" s="160">
        <v>3</v>
      </c>
      <c r="N1455" s="975"/>
      <c r="O1455" s="160">
        <v>1</v>
      </c>
      <c r="P1455" s="975"/>
      <c r="Q1455" s="544"/>
      <c r="R1455" s="144"/>
      <c r="S1455" s="531"/>
      <c r="T1455" s="144"/>
      <c r="U1455" s="531"/>
      <c r="V1455" s="531"/>
      <c r="W1455" s="531"/>
      <c r="X1455" s="531"/>
      <c r="Y1455" s="533">
        <f t="shared" si="419"/>
        <v>0</v>
      </c>
      <c r="Z1455" s="229">
        <f t="shared" si="420"/>
        <v>0</v>
      </c>
      <c r="AA1455" s="544">
        <f t="shared" si="421"/>
        <v>3</v>
      </c>
      <c r="AB1455" s="223">
        <f t="shared" si="422"/>
        <v>0</v>
      </c>
      <c r="AC1455" s="542">
        <f t="shared" si="423"/>
        <v>42.857142857142854</v>
      </c>
      <c r="AD1455" s="542"/>
      <c r="AE1455" s="1836"/>
      <c r="AF1455" s="750"/>
      <c r="AG1455" s="750"/>
      <c r="AH1455" s="750"/>
      <c r="AI1455" s="750"/>
      <c r="AJ1455" s="750"/>
      <c r="AK1455" s="750"/>
      <c r="AL1455" s="750"/>
      <c r="AM1455" s="750"/>
      <c r="AN1455" s="750"/>
      <c r="AO1455" s="750"/>
      <c r="AP1455" s="750"/>
      <c r="AQ1455" s="750"/>
      <c r="AR1455" s="750"/>
      <c r="AS1455" s="750"/>
      <c r="AT1455" s="750"/>
      <c r="AU1455" s="750"/>
      <c r="AV1455" s="750"/>
      <c r="AW1455" s="750"/>
      <c r="AX1455" s="750"/>
      <c r="AY1455" s="750"/>
      <c r="AZ1455" s="750"/>
      <c r="BA1455" s="750"/>
      <c r="BB1455" s="750"/>
      <c r="BC1455" s="752"/>
      <c r="BD1455" s="752"/>
      <c r="BE1455" s="752"/>
      <c r="BF1455" s="752"/>
      <c r="BG1455" s="752"/>
      <c r="BH1455" s="752"/>
      <c r="BI1455" s="752"/>
      <c r="BJ1455" s="752"/>
      <c r="BK1455" s="752"/>
      <c r="BL1455" s="752"/>
      <c r="BM1455" s="752"/>
      <c r="BN1455" s="752"/>
      <c r="BO1455" s="752"/>
      <c r="BP1455" s="752"/>
      <c r="BQ1455" s="752"/>
      <c r="BR1455" s="752"/>
    </row>
    <row r="1456" spans="1:70" ht="49.5">
      <c r="A1456" s="2540"/>
      <c r="B1456" s="364"/>
      <c r="C1456" s="1136"/>
      <c r="D1456" s="1136"/>
      <c r="E1456" s="1136"/>
      <c r="F1456" s="1136"/>
      <c r="G1456" s="1136"/>
      <c r="H1456" s="1136"/>
      <c r="I1456" s="364"/>
      <c r="J1456" s="540" t="s">
        <v>2417</v>
      </c>
      <c r="K1456" s="975">
        <v>5</v>
      </c>
      <c r="L1456" s="975"/>
      <c r="M1456" s="160">
        <v>1</v>
      </c>
      <c r="N1456" s="975"/>
      <c r="O1456" s="160">
        <v>1</v>
      </c>
      <c r="P1456" s="975"/>
      <c r="Q1456" s="544"/>
      <c r="R1456" s="144"/>
      <c r="S1456" s="531"/>
      <c r="T1456" s="144"/>
      <c r="U1456" s="531"/>
      <c r="V1456" s="531"/>
      <c r="W1456" s="531"/>
      <c r="X1456" s="531"/>
      <c r="Y1456" s="533">
        <f t="shared" si="419"/>
        <v>0</v>
      </c>
      <c r="Z1456" s="229">
        <f t="shared" si="420"/>
        <v>0</v>
      </c>
      <c r="AA1456" s="544">
        <f t="shared" si="421"/>
        <v>1</v>
      </c>
      <c r="AB1456" s="223">
        <f t="shared" si="422"/>
        <v>0</v>
      </c>
      <c r="AC1456" s="542">
        <f t="shared" si="423"/>
        <v>20</v>
      </c>
      <c r="AD1456" s="542"/>
      <c r="AE1456" s="1123"/>
      <c r="AF1456" s="750"/>
      <c r="AG1456" s="750"/>
      <c r="AH1456" s="750"/>
      <c r="AI1456" s="750"/>
      <c r="AJ1456" s="750"/>
      <c r="AK1456" s="750"/>
      <c r="AL1456" s="750"/>
      <c r="AM1456" s="750"/>
      <c r="AN1456" s="750"/>
      <c r="AO1456" s="750"/>
      <c r="AP1456" s="750"/>
      <c r="AQ1456" s="750"/>
      <c r="AR1456" s="750"/>
      <c r="AS1456" s="750"/>
      <c r="AT1456" s="750"/>
      <c r="AU1456" s="750"/>
      <c r="AV1456" s="750"/>
      <c r="AW1456" s="750"/>
      <c r="AX1456" s="750"/>
      <c r="AY1456" s="750"/>
      <c r="AZ1456" s="750"/>
      <c r="BA1456" s="750"/>
      <c r="BB1456" s="750"/>
      <c r="BC1456" s="752"/>
      <c r="BD1456" s="752"/>
      <c r="BE1456" s="752"/>
      <c r="BF1456" s="752"/>
      <c r="BG1456" s="752"/>
      <c r="BH1456" s="752"/>
      <c r="BI1456" s="752"/>
      <c r="BJ1456" s="752"/>
      <c r="BK1456" s="752"/>
      <c r="BL1456" s="752"/>
      <c r="BM1456" s="752"/>
      <c r="BN1456" s="752"/>
      <c r="BO1456" s="752"/>
      <c r="BP1456" s="752"/>
      <c r="BQ1456" s="752"/>
      <c r="BR1456" s="752"/>
    </row>
    <row r="1457" spans="1:70" ht="49.5">
      <c r="A1457" s="779"/>
      <c r="B1457" s="11"/>
      <c r="C1457" s="239"/>
      <c r="D1457" s="239"/>
      <c r="E1457" s="239"/>
      <c r="F1457" s="239"/>
      <c r="G1457" s="239"/>
      <c r="H1457" s="239"/>
      <c r="I1457" s="11" t="s">
        <v>2418</v>
      </c>
      <c r="J1457" s="10" t="s">
        <v>2419</v>
      </c>
      <c r="K1457" s="1151">
        <v>580</v>
      </c>
      <c r="L1457" s="1151">
        <v>210390000</v>
      </c>
      <c r="M1457" s="204">
        <v>145</v>
      </c>
      <c r="N1457" s="526">
        <f>98984000+80391200</f>
        <v>179375200</v>
      </c>
      <c r="O1457" s="14">
        <v>145</v>
      </c>
      <c r="P1457" s="526">
        <v>104698400</v>
      </c>
      <c r="Q1457" s="526">
        <v>0</v>
      </c>
      <c r="R1457" s="30">
        <v>8675000</v>
      </c>
      <c r="S1457" s="527">
        <v>10</v>
      </c>
      <c r="T1457" s="202">
        <v>45672500</v>
      </c>
      <c r="U1457" s="527"/>
      <c r="V1457" s="527"/>
      <c r="W1457" s="528"/>
      <c r="X1457" s="528"/>
      <c r="Y1457" s="526">
        <f t="shared" si="419"/>
        <v>10</v>
      </c>
      <c r="Z1457" s="265">
        <f t="shared" si="420"/>
        <v>54347500</v>
      </c>
      <c r="AA1457" s="526">
        <f t="shared" si="421"/>
        <v>155</v>
      </c>
      <c r="AB1457" s="265">
        <f t="shared" si="422"/>
        <v>233722700</v>
      </c>
      <c r="AC1457" s="529">
        <f t="shared" si="423"/>
        <v>26.72413793103448</v>
      </c>
      <c r="AD1457" s="529">
        <f t="shared" ref="AD1457:AD1468" si="425">AB1457/L1457*100</f>
        <v>111.09021341318504</v>
      </c>
      <c r="AE1457" s="102"/>
      <c r="AF1457" s="750"/>
      <c r="AG1457" s="750"/>
      <c r="AH1457" s="750"/>
      <c r="AI1457" s="750"/>
      <c r="AJ1457" s="750"/>
      <c r="AK1457" s="750"/>
      <c r="AL1457" s="750"/>
      <c r="AM1457" s="750"/>
      <c r="AN1457" s="750"/>
      <c r="AO1457" s="750"/>
      <c r="AP1457" s="750"/>
      <c r="AQ1457" s="750"/>
      <c r="AR1457" s="750"/>
      <c r="AS1457" s="750"/>
      <c r="AT1457" s="750"/>
      <c r="AU1457" s="750"/>
      <c r="AV1457" s="750"/>
      <c r="AW1457" s="750"/>
      <c r="AX1457" s="750"/>
      <c r="AY1457" s="750"/>
      <c r="AZ1457" s="750"/>
      <c r="BA1457" s="750"/>
      <c r="BB1457" s="750"/>
      <c r="BC1457" s="752"/>
      <c r="BD1457" s="752"/>
      <c r="BE1457" s="752"/>
      <c r="BF1457" s="752"/>
      <c r="BG1457" s="752"/>
      <c r="BH1457" s="752"/>
      <c r="BI1457" s="752"/>
      <c r="BJ1457" s="752"/>
      <c r="BK1457" s="752"/>
      <c r="BL1457" s="752"/>
      <c r="BM1457" s="752"/>
      <c r="BN1457" s="752"/>
      <c r="BO1457" s="752"/>
      <c r="BP1457" s="752"/>
      <c r="BQ1457" s="752"/>
      <c r="BR1457" s="752"/>
    </row>
    <row r="1458" spans="1:70" ht="46.5" customHeight="1">
      <c r="A1458" s="779"/>
      <c r="B1458" s="11"/>
      <c r="C1458" s="239"/>
      <c r="D1458" s="239"/>
      <c r="E1458" s="239"/>
      <c r="F1458" s="239"/>
      <c r="G1458" s="239"/>
      <c r="H1458" s="239"/>
      <c r="I1458" s="11" t="s">
        <v>2420</v>
      </c>
      <c r="J1458" s="10" t="s">
        <v>2421</v>
      </c>
      <c r="K1458" s="1151">
        <v>465</v>
      </c>
      <c r="L1458" s="1151">
        <v>813146000</v>
      </c>
      <c r="M1458" s="204">
        <v>50</v>
      </c>
      <c r="N1458" s="526">
        <f>93633000+233045400</f>
        <v>326678400</v>
      </c>
      <c r="O1458" s="14">
        <v>115</v>
      </c>
      <c r="P1458" s="526">
        <v>139260000</v>
      </c>
      <c r="Q1458" s="526">
        <v>0</v>
      </c>
      <c r="R1458" s="30">
        <v>12237000</v>
      </c>
      <c r="S1458" s="527">
        <v>0</v>
      </c>
      <c r="T1458" s="202">
        <v>15062500</v>
      </c>
      <c r="U1458" s="527"/>
      <c r="V1458" s="527"/>
      <c r="W1458" s="528"/>
      <c r="X1458" s="528"/>
      <c r="Y1458" s="526">
        <f t="shared" ref="Y1458:Y1478" si="426">Q1458+S1458+U1458+W1458</f>
        <v>0</v>
      </c>
      <c r="Z1458" s="265">
        <f t="shared" ref="Z1458:Z1478" si="427">R1458+T1458+V1458+X1458</f>
        <v>27299500</v>
      </c>
      <c r="AA1458" s="526">
        <f t="shared" ref="AA1458:AA1478" si="428">M1458+Y1458</f>
        <v>50</v>
      </c>
      <c r="AB1458" s="265">
        <f t="shared" ref="AB1458:AB1478" si="429">N1458+Z1458</f>
        <v>353977900</v>
      </c>
      <c r="AC1458" s="529">
        <f t="shared" ref="AC1458:AC1478" si="430">AA1458/K1458*100</f>
        <v>10.75268817204301</v>
      </c>
      <c r="AD1458" s="529">
        <f t="shared" si="425"/>
        <v>43.531899560472539</v>
      </c>
      <c r="AE1458" s="102"/>
      <c r="AF1458" s="750"/>
      <c r="AG1458" s="750"/>
      <c r="AH1458" s="750"/>
      <c r="AI1458" s="750"/>
      <c r="AJ1458" s="750"/>
      <c r="AK1458" s="750"/>
      <c r="AL1458" s="750"/>
      <c r="AM1458" s="750"/>
      <c r="AN1458" s="750"/>
      <c r="AO1458" s="750"/>
      <c r="AP1458" s="750"/>
      <c r="AQ1458" s="750"/>
      <c r="AR1458" s="750"/>
      <c r="AS1458" s="750"/>
      <c r="AT1458" s="750"/>
      <c r="AU1458" s="750"/>
      <c r="AV1458" s="750"/>
      <c r="AW1458" s="750"/>
      <c r="AX1458" s="750"/>
      <c r="AY1458" s="750"/>
      <c r="AZ1458" s="750"/>
      <c r="BA1458" s="750"/>
      <c r="BB1458" s="750"/>
      <c r="BC1458" s="752"/>
      <c r="BD1458" s="752"/>
      <c r="BE1458" s="752"/>
      <c r="BF1458" s="752"/>
      <c r="BG1458" s="752"/>
      <c r="BH1458" s="752"/>
      <c r="BI1458" s="752"/>
      <c r="BJ1458" s="752"/>
      <c r="BK1458" s="752"/>
      <c r="BL1458" s="752"/>
      <c r="BM1458" s="752"/>
      <c r="BN1458" s="752"/>
      <c r="BO1458" s="752"/>
      <c r="BP1458" s="752"/>
      <c r="BQ1458" s="752"/>
      <c r="BR1458" s="752"/>
    </row>
    <row r="1459" spans="1:70" ht="49.5">
      <c r="A1459" s="779"/>
      <c r="B1459" s="11"/>
      <c r="C1459" s="239"/>
      <c r="D1459" s="239"/>
      <c r="E1459" s="239"/>
      <c r="F1459" s="239"/>
      <c r="G1459" s="239"/>
      <c r="H1459" s="239"/>
      <c r="I1459" s="11" t="s">
        <v>2422</v>
      </c>
      <c r="J1459" s="10" t="s">
        <v>2423</v>
      </c>
      <c r="K1459" s="1151">
        <v>10600</v>
      </c>
      <c r="L1459" s="1151">
        <v>381458000</v>
      </c>
      <c r="M1459" s="204">
        <v>168</v>
      </c>
      <c r="N1459" s="526">
        <f>33794000+25757352</f>
        <v>59551352</v>
      </c>
      <c r="O1459" s="14">
        <v>2000</v>
      </c>
      <c r="P1459" s="526">
        <v>46330400</v>
      </c>
      <c r="Q1459" s="526">
        <v>0</v>
      </c>
      <c r="R1459" s="30">
        <v>16499330</v>
      </c>
      <c r="S1459" s="527">
        <v>80</v>
      </c>
      <c r="T1459" s="202">
        <v>21124330</v>
      </c>
      <c r="U1459" s="527"/>
      <c r="V1459" s="527"/>
      <c r="W1459" s="528"/>
      <c r="X1459" s="528"/>
      <c r="Y1459" s="526">
        <f t="shared" si="426"/>
        <v>80</v>
      </c>
      <c r="Z1459" s="265">
        <f t="shared" si="427"/>
        <v>37623660</v>
      </c>
      <c r="AA1459" s="526">
        <f t="shared" si="428"/>
        <v>248</v>
      </c>
      <c r="AB1459" s="265">
        <f t="shared" si="429"/>
        <v>97175012</v>
      </c>
      <c r="AC1459" s="529">
        <f t="shared" si="430"/>
        <v>2.3396226415094339</v>
      </c>
      <c r="AD1459" s="529">
        <f t="shared" si="425"/>
        <v>25.474629448065055</v>
      </c>
      <c r="AE1459" s="102"/>
      <c r="AF1459" s="750"/>
      <c r="AG1459" s="750"/>
      <c r="AH1459" s="750"/>
      <c r="AI1459" s="750"/>
      <c r="AJ1459" s="750"/>
      <c r="AK1459" s="750"/>
      <c r="AL1459" s="750"/>
      <c r="AM1459" s="750"/>
      <c r="AN1459" s="750"/>
      <c r="AO1459" s="750"/>
      <c r="AP1459" s="750"/>
      <c r="AQ1459" s="750"/>
      <c r="AR1459" s="750"/>
      <c r="AS1459" s="750"/>
      <c r="AT1459" s="750"/>
      <c r="AU1459" s="750"/>
      <c r="AV1459" s="750"/>
      <c r="AW1459" s="750"/>
      <c r="AX1459" s="750"/>
      <c r="AY1459" s="750"/>
      <c r="AZ1459" s="750"/>
      <c r="BA1459" s="750"/>
      <c r="BB1459" s="750"/>
      <c r="BC1459" s="752"/>
      <c r="BD1459" s="752"/>
      <c r="BE1459" s="752"/>
      <c r="BF1459" s="752"/>
      <c r="BG1459" s="752"/>
      <c r="BH1459" s="752"/>
      <c r="BI1459" s="752"/>
      <c r="BJ1459" s="752"/>
      <c r="BK1459" s="752"/>
      <c r="BL1459" s="752"/>
      <c r="BM1459" s="752"/>
      <c r="BN1459" s="752"/>
      <c r="BO1459" s="752"/>
      <c r="BP1459" s="752"/>
      <c r="BQ1459" s="752"/>
      <c r="BR1459" s="752"/>
    </row>
    <row r="1460" spans="1:70" ht="66">
      <c r="A1460" s="779"/>
      <c r="B1460" s="11"/>
      <c r="C1460" s="239"/>
      <c r="D1460" s="239"/>
      <c r="E1460" s="239"/>
      <c r="F1460" s="239"/>
      <c r="G1460" s="239"/>
      <c r="H1460" s="239"/>
      <c r="I1460" s="11" t="s">
        <v>2424</v>
      </c>
      <c r="J1460" s="10" t="s">
        <v>2425</v>
      </c>
      <c r="K1460" s="1151">
        <v>720</v>
      </c>
      <c r="L1460" s="1151">
        <f>3*P1460</f>
        <v>3331621200</v>
      </c>
      <c r="M1460" s="204">
        <v>0</v>
      </c>
      <c r="N1460" s="526">
        <v>296323000</v>
      </c>
      <c r="O1460" s="14">
        <v>180</v>
      </c>
      <c r="P1460" s="526">
        <v>1110540400</v>
      </c>
      <c r="Q1460" s="526">
        <v>30</v>
      </c>
      <c r="R1460" s="30">
        <v>41770000</v>
      </c>
      <c r="S1460" s="527">
        <v>225</v>
      </c>
      <c r="T1460" s="202">
        <v>137177300</v>
      </c>
      <c r="U1460" s="527"/>
      <c r="V1460" s="527"/>
      <c r="W1460" s="528"/>
      <c r="X1460" s="528"/>
      <c r="Y1460" s="526">
        <f t="shared" si="426"/>
        <v>255</v>
      </c>
      <c r="Z1460" s="265">
        <f t="shared" si="427"/>
        <v>178947300</v>
      </c>
      <c r="AA1460" s="526">
        <f t="shared" si="428"/>
        <v>255</v>
      </c>
      <c r="AB1460" s="265">
        <f t="shared" si="429"/>
        <v>475270300</v>
      </c>
      <c r="AC1460" s="529">
        <f t="shared" si="430"/>
        <v>35.416666666666671</v>
      </c>
      <c r="AD1460" s="529">
        <f t="shared" si="425"/>
        <v>14.265436298700465</v>
      </c>
      <c r="AE1460" s="102"/>
      <c r="AF1460" s="750"/>
      <c r="AG1460" s="750"/>
      <c r="AH1460" s="750"/>
      <c r="AI1460" s="750"/>
      <c r="AJ1460" s="750"/>
      <c r="AK1460" s="750"/>
      <c r="AL1460" s="750"/>
      <c r="AM1460" s="750"/>
      <c r="AN1460" s="750"/>
      <c r="AO1460" s="750"/>
      <c r="AP1460" s="750"/>
      <c r="AQ1460" s="750"/>
      <c r="AR1460" s="750"/>
      <c r="AS1460" s="750"/>
      <c r="AT1460" s="750"/>
      <c r="AU1460" s="750"/>
      <c r="AV1460" s="750"/>
      <c r="AW1460" s="750"/>
      <c r="AX1460" s="750"/>
      <c r="AY1460" s="750"/>
      <c r="AZ1460" s="750"/>
      <c r="BA1460" s="750"/>
      <c r="BB1460" s="750"/>
      <c r="BC1460" s="752"/>
      <c r="BD1460" s="752"/>
      <c r="BE1460" s="752"/>
      <c r="BF1460" s="752"/>
      <c r="BG1460" s="752"/>
      <c r="BH1460" s="752"/>
      <c r="BI1460" s="752"/>
      <c r="BJ1460" s="752"/>
      <c r="BK1460" s="752"/>
      <c r="BL1460" s="752"/>
      <c r="BM1460" s="752"/>
      <c r="BN1460" s="752"/>
      <c r="BO1460" s="752"/>
      <c r="BP1460" s="752"/>
      <c r="BQ1460" s="752"/>
      <c r="BR1460" s="752"/>
    </row>
    <row r="1461" spans="1:70" ht="49.5">
      <c r="A1461" s="779"/>
      <c r="B1461" s="11"/>
      <c r="C1461" s="239"/>
      <c r="D1461" s="239"/>
      <c r="E1461" s="239"/>
      <c r="F1461" s="239"/>
      <c r="G1461" s="239"/>
      <c r="H1461" s="239"/>
      <c r="I1461" s="11" t="s">
        <v>2426</v>
      </c>
      <c r="J1461" s="10" t="s">
        <v>2427</v>
      </c>
      <c r="K1461" s="1151">
        <v>4</v>
      </c>
      <c r="L1461" s="1151">
        <v>600914000</v>
      </c>
      <c r="M1461" s="204">
        <v>0</v>
      </c>
      <c r="N1461" s="526">
        <v>114770800</v>
      </c>
      <c r="O1461" s="14">
        <v>1</v>
      </c>
      <c r="P1461" s="526">
        <v>70862600</v>
      </c>
      <c r="Q1461" s="526">
        <v>0</v>
      </c>
      <c r="R1461" s="30">
        <v>3000000</v>
      </c>
      <c r="S1461" s="527">
        <v>0</v>
      </c>
      <c r="T1461" s="202">
        <v>29394415</v>
      </c>
      <c r="U1461" s="527"/>
      <c r="V1461" s="527"/>
      <c r="W1461" s="528"/>
      <c r="X1461" s="528"/>
      <c r="Y1461" s="526">
        <f t="shared" si="426"/>
        <v>0</v>
      </c>
      <c r="Z1461" s="265">
        <f t="shared" si="427"/>
        <v>32394415</v>
      </c>
      <c r="AA1461" s="526">
        <f t="shared" si="428"/>
        <v>0</v>
      </c>
      <c r="AB1461" s="265">
        <f t="shared" si="429"/>
        <v>147165215</v>
      </c>
      <c r="AC1461" s="529">
        <f t="shared" si="430"/>
        <v>0</v>
      </c>
      <c r="AD1461" s="529">
        <f t="shared" si="425"/>
        <v>24.490229051078856</v>
      </c>
      <c r="AE1461" s="102"/>
      <c r="AF1461" s="750"/>
      <c r="AG1461" s="750"/>
      <c r="AH1461" s="750"/>
      <c r="AI1461" s="750"/>
      <c r="AJ1461" s="750"/>
      <c r="AK1461" s="750"/>
      <c r="AL1461" s="750"/>
      <c r="AM1461" s="750"/>
      <c r="AN1461" s="750"/>
      <c r="AO1461" s="750"/>
      <c r="AP1461" s="750"/>
      <c r="AQ1461" s="750"/>
      <c r="AR1461" s="750"/>
      <c r="AS1461" s="750"/>
      <c r="AT1461" s="750"/>
      <c r="AU1461" s="750"/>
      <c r="AV1461" s="750"/>
      <c r="AW1461" s="750"/>
      <c r="AX1461" s="750"/>
      <c r="AY1461" s="750"/>
      <c r="AZ1461" s="750"/>
      <c r="BA1461" s="750"/>
      <c r="BB1461" s="750"/>
      <c r="BC1461" s="752"/>
      <c r="BD1461" s="752"/>
      <c r="BE1461" s="752"/>
      <c r="BF1461" s="752"/>
      <c r="BG1461" s="752"/>
      <c r="BH1461" s="752"/>
      <c r="BI1461" s="752"/>
      <c r="BJ1461" s="752"/>
      <c r="BK1461" s="752"/>
      <c r="BL1461" s="752"/>
      <c r="BM1461" s="752"/>
      <c r="BN1461" s="752"/>
      <c r="BO1461" s="752"/>
      <c r="BP1461" s="752"/>
      <c r="BQ1461" s="752"/>
      <c r="BR1461" s="752"/>
    </row>
    <row r="1462" spans="1:70" ht="82.5">
      <c r="A1462" s="779"/>
      <c r="B1462" s="11"/>
      <c r="C1462" s="239"/>
      <c r="D1462" s="239"/>
      <c r="E1462" s="239"/>
      <c r="F1462" s="239"/>
      <c r="G1462" s="239"/>
      <c r="H1462" s="239"/>
      <c r="I1462" s="11" t="s">
        <v>2428</v>
      </c>
      <c r="J1462" s="10" t="s">
        <v>2429</v>
      </c>
      <c r="K1462" s="1151">
        <v>2</v>
      </c>
      <c r="L1462" s="1151">
        <v>215150000</v>
      </c>
      <c r="M1462" s="204">
        <v>0</v>
      </c>
      <c r="N1462" s="526">
        <v>0</v>
      </c>
      <c r="O1462" s="14">
        <v>1</v>
      </c>
      <c r="P1462" s="526">
        <v>142133400</v>
      </c>
      <c r="Q1462" s="526">
        <v>0</v>
      </c>
      <c r="R1462" s="30">
        <v>575000</v>
      </c>
      <c r="S1462" s="527">
        <v>1</v>
      </c>
      <c r="T1462" s="202">
        <v>6897500</v>
      </c>
      <c r="U1462" s="527"/>
      <c r="V1462" s="527"/>
      <c r="W1462" s="528"/>
      <c r="X1462" s="528"/>
      <c r="Y1462" s="526">
        <f t="shared" si="426"/>
        <v>1</v>
      </c>
      <c r="Z1462" s="265">
        <f t="shared" si="427"/>
        <v>7472500</v>
      </c>
      <c r="AA1462" s="526">
        <f t="shared" si="428"/>
        <v>1</v>
      </c>
      <c r="AB1462" s="265">
        <f t="shared" si="429"/>
        <v>7472500</v>
      </c>
      <c r="AC1462" s="529">
        <f t="shared" si="430"/>
        <v>50</v>
      </c>
      <c r="AD1462" s="529">
        <f t="shared" si="425"/>
        <v>3.4731582616778991</v>
      </c>
      <c r="AE1462" s="102"/>
      <c r="AF1462" s="750"/>
      <c r="AG1462" s="750"/>
      <c r="AH1462" s="750"/>
      <c r="AI1462" s="750"/>
      <c r="AJ1462" s="750"/>
      <c r="AK1462" s="750"/>
      <c r="AL1462" s="750"/>
      <c r="AM1462" s="750"/>
      <c r="AN1462" s="750"/>
      <c r="AO1462" s="750"/>
      <c r="AP1462" s="750"/>
      <c r="AQ1462" s="750"/>
      <c r="AR1462" s="750"/>
      <c r="AS1462" s="750"/>
      <c r="AT1462" s="750"/>
      <c r="AU1462" s="750"/>
      <c r="AV1462" s="750"/>
      <c r="AW1462" s="750"/>
      <c r="AX1462" s="750"/>
      <c r="AY1462" s="750"/>
      <c r="AZ1462" s="750"/>
      <c r="BA1462" s="750"/>
      <c r="BB1462" s="750"/>
      <c r="BC1462" s="752"/>
      <c r="BD1462" s="752"/>
      <c r="BE1462" s="752"/>
      <c r="BF1462" s="752"/>
      <c r="BG1462" s="752"/>
      <c r="BH1462" s="752"/>
      <c r="BI1462" s="752"/>
      <c r="BJ1462" s="752"/>
      <c r="BK1462" s="752"/>
      <c r="BL1462" s="752"/>
      <c r="BM1462" s="752"/>
      <c r="BN1462" s="752"/>
      <c r="BO1462" s="752"/>
      <c r="BP1462" s="752"/>
      <c r="BQ1462" s="752"/>
      <c r="BR1462" s="752"/>
    </row>
    <row r="1463" spans="1:70" ht="82.5">
      <c r="A1463" s="2558">
        <v>7</v>
      </c>
      <c r="B1463" s="33"/>
      <c r="C1463" s="161"/>
      <c r="D1463" s="161"/>
      <c r="E1463" s="161"/>
      <c r="F1463" s="161"/>
      <c r="G1463" s="161"/>
      <c r="H1463" s="161"/>
      <c r="I1463" s="134" t="s">
        <v>2430</v>
      </c>
      <c r="J1463" s="33" t="s">
        <v>3137</v>
      </c>
      <c r="K1463" s="539">
        <v>6.9</v>
      </c>
      <c r="L1463" s="535">
        <f>SUM(L1464:L1467)</f>
        <v>19243980000</v>
      </c>
      <c r="M1463" s="539">
        <v>5</v>
      </c>
      <c r="N1463" s="535">
        <f>SUM(N1464:N1467)</f>
        <v>13414993499</v>
      </c>
      <c r="O1463" s="539">
        <v>1.5</v>
      </c>
      <c r="P1463" s="535">
        <f>SUM(P1464:P1467)</f>
        <v>5560544123</v>
      </c>
      <c r="Q1463" s="535"/>
      <c r="R1463" s="535">
        <f>SUM(R1464:R1467)</f>
        <v>39066086</v>
      </c>
      <c r="S1463" s="531"/>
      <c r="T1463" s="535">
        <f>SUM(T1464:T1467)</f>
        <v>3084943135</v>
      </c>
      <c r="U1463" s="531"/>
      <c r="V1463" s="535">
        <f>SUM(V1464:V1467)</f>
        <v>0</v>
      </c>
      <c r="W1463" s="531"/>
      <c r="X1463" s="535">
        <f>SUM(X1464:X1467)</f>
        <v>0</v>
      </c>
      <c r="Y1463" s="533">
        <f t="shared" si="426"/>
        <v>0</v>
      </c>
      <c r="Z1463" s="229">
        <f t="shared" si="427"/>
        <v>3124009221</v>
      </c>
      <c r="AA1463" s="535">
        <f t="shared" si="428"/>
        <v>5</v>
      </c>
      <c r="AB1463" s="223">
        <f t="shared" si="429"/>
        <v>16539002720</v>
      </c>
      <c r="AC1463" s="537">
        <f t="shared" si="430"/>
        <v>72.463768115942031</v>
      </c>
      <c r="AD1463" s="537">
        <f t="shared" si="425"/>
        <v>85.94377420886947</v>
      </c>
      <c r="AE1463" s="2558" t="s">
        <v>3130</v>
      </c>
      <c r="AF1463" s="750"/>
      <c r="AG1463" s="750"/>
      <c r="AH1463" s="750"/>
      <c r="AI1463" s="750"/>
      <c r="AJ1463" s="750"/>
      <c r="AK1463" s="750"/>
      <c r="AL1463" s="750"/>
      <c r="AM1463" s="750"/>
      <c r="AN1463" s="750"/>
      <c r="AO1463" s="750"/>
      <c r="AP1463" s="750"/>
      <c r="AQ1463" s="750"/>
      <c r="AR1463" s="750"/>
      <c r="AS1463" s="750"/>
      <c r="AT1463" s="750"/>
      <c r="AU1463" s="750"/>
      <c r="AV1463" s="750"/>
      <c r="AW1463" s="750"/>
      <c r="AX1463" s="750"/>
      <c r="AY1463" s="750"/>
      <c r="AZ1463" s="750"/>
      <c r="BA1463" s="750"/>
      <c r="BB1463" s="750"/>
      <c r="BC1463" s="752"/>
      <c r="BD1463" s="752"/>
      <c r="BE1463" s="752"/>
      <c r="BF1463" s="752"/>
      <c r="BG1463" s="752"/>
      <c r="BH1463" s="752"/>
      <c r="BI1463" s="752"/>
      <c r="BJ1463" s="752"/>
      <c r="BK1463" s="752"/>
      <c r="BL1463" s="752"/>
      <c r="BM1463" s="752"/>
      <c r="BN1463" s="752"/>
      <c r="BO1463" s="752"/>
      <c r="BP1463" s="752"/>
      <c r="BQ1463" s="752"/>
      <c r="BR1463" s="752"/>
    </row>
    <row r="1464" spans="1:70" ht="66">
      <c r="A1464" s="779"/>
      <c r="B1464" s="11"/>
      <c r="C1464" s="239"/>
      <c r="D1464" s="239"/>
      <c r="E1464" s="239"/>
      <c r="F1464" s="239"/>
      <c r="G1464" s="239"/>
      <c r="H1464" s="239"/>
      <c r="I1464" s="250" t="s">
        <v>2431</v>
      </c>
      <c r="J1464" s="11" t="s">
        <v>2432</v>
      </c>
      <c r="K1464" s="14">
        <v>4</v>
      </c>
      <c r="L1464" s="526">
        <v>464100000</v>
      </c>
      <c r="M1464" s="14">
        <v>1</v>
      </c>
      <c r="N1464" s="526">
        <f>62250000+93180600</f>
        <v>155430600</v>
      </c>
      <c r="O1464" s="14">
        <v>1</v>
      </c>
      <c r="P1464" s="526">
        <v>105523991</v>
      </c>
      <c r="Q1464" s="526"/>
      <c r="R1464" s="30">
        <v>21858786</v>
      </c>
      <c r="S1464" s="527">
        <v>1</v>
      </c>
      <c r="T1464" s="202">
        <v>42256286</v>
      </c>
      <c r="U1464" s="527"/>
      <c r="V1464" s="527"/>
      <c r="W1464" s="528"/>
      <c r="X1464" s="528"/>
      <c r="Y1464" s="526">
        <f t="shared" si="426"/>
        <v>1</v>
      </c>
      <c r="Z1464" s="265">
        <f t="shared" si="427"/>
        <v>64115072</v>
      </c>
      <c r="AA1464" s="526">
        <f t="shared" si="428"/>
        <v>2</v>
      </c>
      <c r="AB1464" s="265">
        <f t="shared" si="429"/>
        <v>219545672</v>
      </c>
      <c r="AC1464" s="529">
        <f t="shared" si="430"/>
        <v>50</v>
      </c>
      <c r="AD1464" s="529">
        <f t="shared" si="425"/>
        <v>47.305682396035337</v>
      </c>
      <c r="AE1464" s="102"/>
      <c r="AF1464" s="750"/>
      <c r="AG1464" s="750"/>
      <c r="AH1464" s="750"/>
      <c r="AI1464" s="750"/>
      <c r="AJ1464" s="750"/>
      <c r="AK1464" s="750"/>
      <c r="AL1464" s="750"/>
      <c r="AM1464" s="750"/>
      <c r="AN1464" s="750"/>
      <c r="AO1464" s="750"/>
      <c r="AP1464" s="750"/>
      <c r="AQ1464" s="750"/>
      <c r="AR1464" s="750"/>
      <c r="AS1464" s="750"/>
      <c r="AT1464" s="750"/>
      <c r="AU1464" s="750"/>
      <c r="AV1464" s="750"/>
      <c r="AW1464" s="750"/>
      <c r="AX1464" s="750"/>
      <c r="AY1464" s="750"/>
      <c r="AZ1464" s="750"/>
      <c r="BA1464" s="750"/>
      <c r="BB1464" s="750"/>
      <c r="BC1464" s="752"/>
      <c r="BD1464" s="752"/>
      <c r="BE1464" s="752"/>
      <c r="BF1464" s="752"/>
      <c r="BG1464" s="752"/>
      <c r="BH1464" s="752"/>
      <c r="BI1464" s="752"/>
      <c r="BJ1464" s="752"/>
      <c r="BK1464" s="752"/>
      <c r="BL1464" s="752"/>
      <c r="BM1464" s="752"/>
      <c r="BN1464" s="752"/>
      <c r="BO1464" s="752"/>
      <c r="BP1464" s="752"/>
      <c r="BQ1464" s="752"/>
      <c r="BR1464" s="752"/>
    </row>
    <row r="1465" spans="1:70" ht="89.25" customHeight="1">
      <c r="A1465" s="779"/>
      <c r="B1465" s="11"/>
      <c r="C1465" s="239"/>
      <c r="D1465" s="239"/>
      <c r="E1465" s="239"/>
      <c r="F1465" s="239"/>
      <c r="G1465" s="239"/>
      <c r="H1465" s="239"/>
      <c r="I1465" s="250" t="s">
        <v>2433</v>
      </c>
      <c r="J1465" s="11" t="s">
        <v>2434</v>
      </c>
      <c r="K1465" s="14">
        <v>21</v>
      </c>
      <c r="L1465" s="526">
        <v>4226880000</v>
      </c>
      <c r="M1465" s="14">
        <v>13</v>
      </c>
      <c r="N1465" s="526">
        <f>2261697000+3161969750</f>
        <v>5423666750</v>
      </c>
      <c r="O1465" s="14">
        <v>11</v>
      </c>
      <c r="P1465" s="526">
        <v>3569675000</v>
      </c>
      <c r="Q1465" s="526"/>
      <c r="R1465" s="30">
        <v>10632550</v>
      </c>
      <c r="S1465" s="527">
        <v>6</v>
      </c>
      <c r="T1465" s="202">
        <v>2387927050</v>
      </c>
      <c r="U1465" s="527"/>
      <c r="V1465" s="527"/>
      <c r="W1465" s="528"/>
      <c r="X1465" s="528"/>
      <c r="Y1465" s="526">
        <f t="shared" si="426"/>
        <v>6</v>
      </c>
      <c r="Z1465" s="265">
        <f t="shared" si="427"/>
        <v>2398559600</v>
      </c>
      <c r="AA1465" s="526">
        <f t="shared" si="428"/>
        <v>19</v>
      </c>
      <c r="AB1465" s="265">
        <f t="shared" si="429"/>
        <v>7822226350</v>
      </c>
      <c r="AC1465" s="529">
        <f t="shared" si="430"/>
        <v>90.476190476190482</v>
      </c>
      <c r="AD1465" s="529">
        <f t="shared" si="425"/>
        <v>185.0591062438489</v>
      </c>
      <c r="AE1465" s="102"/>
      <c r="AF1465" s="750"/>
      <c r="AG1465" s="750"/>
      <c r="AH1465" s="750"/>
      <c r="AI1465" s="750"/>
      <c r="AJ1465" s="750"/>
      <c r="AK1465" s="750"/>
      <c r="AL1465" s="750"/>
      <c r="AM1465" s="750"/>
      <c r="AN1465" s="750"/>
      <c r="AO1465" s="750"/>
      <c r="AP1465" s="750"/>
      <c r="AQ1465" s="750"/>
      <c r="AR1465" s="750"/>
      <c r="AS1465" s="750"/>
      <c r="AT1465" s="750"/>
      <c r="AU1465" s="750"/>
      <c r="AV1465" s="750"/>
      <c r="AW1465" s="750"/>
      <c r="AX1465" s="750"/>
      <c r="AY1465" s="750"/>
      <c r="AZ1465" s="750"/>
      <c r="BA1465" s="750"/>
      <c r="BB1465" s="750"/>
      <c r="BC1465" s="752"/>
      <c r="BD1465" s="752"/>
      <c r="BE1465" s="752"/>
      <c r="BF1465" s="752"/>
      <c r="BG1465" s="752"/>
      <c r="BH1465" s="752"/>
      <c r="BI1465" s="752"/>
      <c r="BJ1465" s="752"/>
      <c r="BK1465" s="752"/>
      <c r="BL1465" s="752"/>
      <c r="BM1465" s="752"/>
      <c r="BN1465" s="752"/>
      <c r="BO1465" s="752"/>
      <c r="BP1465" s="752"/>
      <c r="BQ1465" s="752"/>
      <c r="BR1465" s="752"/>
    </row>
    <row r="1466" spans="1:70" ht="72.75" customHeight="1">
      <c r="A1466" s="779"/>
      <c r="B1466" s="11"/>
      <c r="C1466" s="239"/>
      <c r="D1466" s="239"/>
      <c r="E1466" s="239"/>
      <c r="F1466" s="239"/>
      <c r="G1466" s="239"/>
      <c r="H1466" s="239"/>
      <c r="I1466" s="250" t="s">
        <v>2435</v>
      </c>
      <c r="J1466" s="11" t="s">
        <v>2436</v>
      </c>
      <c r="K1466" s="14">
        <v>51</v>
      </c>
      <c r="L1466" s="526">
        <v>13230000000</v>
      </c>
      <c r="M1466" s="14">
        <v>24</v>
      </c>
      <c r="N1466" s="526">
        <f>5334634000+2419766500</f>
        <v>7754400500</v>
      </c>
      <c r="O1466" s="14">
        <v>13</v>
      </c>
      <c r="P1466" s="526">
        <v>1803095132</v>
      </c>
      <c r="Q1466" s="526"/>
      <c r="R1466" s="30">
        <v>2774750</v>
      </c>
      <c r="S1466" s="527">
        <v>0</v>
      </c>
      <c r="T1466" s="202">
        <v>629290106</v>
      </c>
      <c r="U1466" s="527"/>
      <c r="V1466" s="527"/>
      <c r="W1466" s="528"/>
      <c r="X1466" s="528"/>
      <c r="Y1466" s="526">
        <f t="shared" si="426"/>
        <v>0</v>
      </c>
      <c r="Z1466" s="265">
        <f t="shared" si="427"/>
        <v>632064856</v>
      </c>
      <c r="AA1466" s="526">
        <f t="shared" si="428"/>
        <v>24</v>
      </c>
      <c r="AB1466" s="265">
        <f t="shared" si="429"/>
        <v>8386465356</v>
      </c>
      <c r="AC1466" s="529">
        <f t="shared" si="430"/>
        <v>47.058823529411761</v>
      </c>
      <c r="AD1466" s="529">
        <f t="shared" si="425"/>
        <v>63.389760816326536</v>
      </c>
      <c r="AE1466" s="102"/>
      <c r="AF1466" s="750"/>
      <c r="AG1466" s="750"/>
      <c r="AH1466" s="750"/>
      <c r="AI1466" s="750"/>
      <c r="AJ1466" s="750"/>
      <c r="AK1466" s="750"/>
      <c r="AL1466" s="750"/>
      <c r="AM1466" s="750"/>
      <c r="AN1466" s="750"/>
      <c r="AO1466" s="750"/>
      <c r="AP1466" s="750"/>
      <c r="AQ1466" s="750"/>
      <c r="AR1466" s="750"/>
      <c r="AS1466" s="750"/>
      <c r="AT1466" s="750"/>
      <c r="AU1466" s="750"/>
      <c r="AV1466" s="750"/>
      <c r="AW1466" s="750"/>
      <c r="AX1466" s="750"/>
      <c r="AY1466" s="750"/>
      <c r="AZ1466" s="750"/>
      <c r="BA1466" s="750"/>
      <c r="BB1466" s="750"/>
      <c r="BC1466" s="752"/>
      <c r="BD1466" s="752"/>
      <c r="BE1466" s="752"/>
      <c r="BF1466" s="752"/>
      <c r="BG1466" s="752"/>
      <c r="BH1466" s="752"/>
      <c r="BI1466" s="752"/>
      <c r="BJ1466" s="752"/>
      <c r="BK1466" s="752"/>
      <c r="BL1466" s="752"/>
      <c r="BM1466" s="752"/>
      <c r="BN1466" s="752"/>
      <c r="BO1466" s="752"/>
      <c r="BP1466" s="752"/>
      <c r="BQ1466" s="752"/>
      <c r="BR1466" s="752"/>
    </row>
    <row r="1467" spans="1:70" ht="82.5">
      <c r="A1467" s="779"/>
      <c r="B1467" s="11"/>
      <c r="C1467" s="239"/>
      <c r="D1467" s="239"/>
      <c r="E1467" s="239"/>
      <c r="F1467" s="239"/>
      <c r="G1467" s="239"/>
      <c r="H1467" s="239"/>
      <c r="I1467" s="250" t="s">
        <v>2437</v>
      </c>
      <c r="J1467" s="11" t="s">
        <v>2438</v>
      </c>
      <c r="K1467" s="14">
        <v>4</v>
      </c>
      <c r="L1467" s="526">
        <v>1323000000</v>
      </c>
      <c r="M1467" s="14">
        <v>2</v>
      </c>
      <c r="N1467" s="526">
        <f>36905000+44590649</f>
        <v>81495649</v>
      </c>
      <c r="O1467" s="14">
        <v>1</v>
      </c>
      <c r="P1467" s="526">
        <v>82250000</v>
      </c>
      <c r="Q1467" s="526"/>
      <c r="R1467" s="30">
        <v>3800000</v>
      </c>
      <c r="S1467" s="527">
        <v>0</v>
      </c>
      <c r="T1467" s="202">
        <v>25469693</v>
      </c>
      <c r="U1467" s="527"/>
      <c r="V1467" s="527"/>
      <c r="W1467" s="528"/>
      <c r="X1467" s="528"/>
      <c r="Y1467" s="526">
        <f t="shared" si="426"/>
        <v>0</v>
      </c>
      <c r="Z1467" s="265">
        <f t="shared" si="427"/>
        <v>29269693</v>
      </c>
      <c r="AA1467" s="526">
        <f t="shared" si="428"/>
        <v>2</v>
      </c>
      <c r="AB1467" s="265">
        <f t="shared" si="429"/>
        <v>110765342</v>
      </c>
      <c r="AC1467" s="529">
        <f t="shared" si="430"/>
        <v>50</v>
      </c>
      <c r="AD1467" s="529">
        <f t="shared" si="425"/>
        <v>8.3722858654572931</v>
      </c>
      <c r="AE1467" s="102"/>
      <c r="AF1467" s="750"/>
      <c r="AG1467" s="750"/>
      <c r="AH1467" s="750"/>
      <c r="AI1467" s="750"/>
      <c r="AJ1467" s="750"/>
      <c r="AK1467" s="750"/>
      <c r="AL1467" s="750"/>
      <c r="AM1467" s="750"/>
      <c r="AN1467" s="750"/>
      <c r="AO1467" s="750"/>
      <c r="AP1467" s="750"/>
      <c r="AQ1467" s="750"/>
      <c r="AR1467" s="750"/>
      <c r="AS1467" s="750"/>
      <c r="AT1467" s="750"/>
      <c r="AU1467" s="750"/>
      <c r="AV1467" s="750"/>
      <c r="AW1467" s="750"/>
      <c r="AX1467" s="750"/>
      <c r="AY1467" s="750"/>
      <c r="AZ1467" s="750"/>
      <c r="BA1467" s="750"/>
      <c r="BB1467" s="750"/>
      <c r="BC1467" s="752"/>
      <c r="BD1467" s="752"/>
      <c r="BE1467" s="752"/>
      <c r="BF1467" s="752"/>
      <c r="BG1467" s="752"/>
      <c r="BH1467" s="752"/>
      <c r="BI1467" s="752"/>
      <c r="BJ1467" s="752"/>
      <c r="BK1467" s="752"/>
      <c r="BL1467" s="752"/>
      <c r="BM1467" s="752"/>
      <c r="BN1467" s="752"/>
      <c r="BO1467" s="752"/>
      <c r="BP1467" s="752"/>
      <c r="BQ1467" s="752"/>
      <c r="BR1467" s="752"/>
    </row>
    <row r="1468" spans="1:70" ht="82.5">
      <c r="A1468" s="2539">
        <v>8</v>
      </c>
      <c r="B1468" s="381"/>
      <c r="C1468" s="822"/>
      <c r="D1468" s="822"/>
      <c r="E1468" s="822"/>
      <c r="F1468" s="822"/>
      <c r="G1468" s="822"/>
      <c r="H1468" s="822"/>
      <c r="I1468" s="381" t="s">
        <v>2439</v>
      </c>
      <c r="J1468" s="531" t="s">
        <v>2440</v>
      </c>
      <c r="K1468" s="544">
        <v>8</v>
      </c>
      <c r="L1468" s="544">
        <f>SUM(L1471:L1477)</f>
        <v>2385364600</v>
      </c>
      <c r="M1468" s="544">
        <v>2</v>
      </c>
      <c r="N1468" s="544">
        <f>SUM(N1471:N1477)</f>
        <v>836901093</v>
      </c>
      <c r="O1468" s="160">
        <v>3</v>
      </c>
      <c r="P1468" s="544">
        <f>SUM(P1471:P1478)</f>
        <v>422959442</v>
      </c>
      <c r="Q1468" s="544">
        <v>0</v>
      </c>
      <c r="R1468" s="544">
        <f>SUM(R1471:R1478)</f>
        <v>33085600</v>
      </c>
      <c r="S1468" s="531"/>
      <c r="T1468" s="531">
        <f>SUM(T1472:T1478)</f>
        <v>214672756</v>
      </c>
      <c r="U1468" s="531"/>
      <c r="V1468" s="531"/>
      <c r="W1468" s="531"/>
      <c r="X1468" s="531"/>
      <c r="Y1468" s="533">
        <f t="shared" si="426"/>
        <v>0</v>
      </c>
      <c r="Z1468" s="229">
        <f t="shared" si="427"/>
        <v>247758356</v>
      </c>
      <c r="AA1468" s="544">
        <f t="shared" si="428"/>
        <v>2</v>
      </c>
      <c r="AB1468" s="223">
        <f t="shared" si="429"/>
        <v>1084659449</v>
      </c>
      <c r="AC1468" s="542">
        <f t="shared" si="430"/>
        <v>25</v>
      </c>
      <c r="AD1468" s="542">
        <f t="shared" si="425"/>
        <v>45.471432291734352</v>
      </c>
      <c r="AE1468" s="2558" t="s">
        <v>3130</v>
      </c>
      <c r="AF1468" s="750"/>
      <c r="AG1468" s="750"/>
      <c r="AH1468" s="750"/>
      <c r="AI1468" s="750"/>
      <c r="AJ1468" s="750"/>
      <c r="AK1468" s="750"/>
      <c r="AL1468" s="750"/>
      <c r="AM1468" s="750"/>
      <c r="AN1468" s="750"/>
      <c r="AO1468" s="750"/>
      <c r="AP1468" s="750"/>
      <c r="AQ1468" s="750"/>
      <c r="AR1468" s="750"/>
      <c r="AS1468" s="750"/>
      <c r="AT1468" s="750"/>
      <c r="AU1468" s="750"/>
      <c r="AV1468" s="750"/>
      <c r="AW1468" s="750"/>
      <c r="AX1468" s="750"/>
      <c r="AY1468" s="750"/>
      <c r="AZ1468" s="750"/>
      <c r="BA1468" s="750"/>
      <c r="BB1468" s="750"/>
      <c r="BC1468" s="752"/>
      <c r="BD1468" s="752"/>
      <c r="BE1468" s="752"/>
      <c r="BF1468" s="752"/>
      <c r="BG1468" s="752"/>
      <c r="BH1468" s="752"/>
      <c r="BI1468" s="752"/>
      <c r="BJ1468" s="752"/>
      <c r="BK1468" s="752"/>
      <c r="BL1468" s="752"/>
      <c r="BM1468" s="752"/>
      <c r="BN1468" s="752"/>
      <c r="BO1468" s="752"/>
      <c r="BP1468" s="752"/>
      <c r="BQ1468" s="752"/>
      <c r="BR1468" s="752"/>
    </row>
    <row r="1469" spans="1:70" ht="66.75" customHeight="1">
      <c r="A1469" s="1781"/>
      <c r="B1469" s="1782"/>
      <c r="C1469" s="1781"/>
      <c r="D1469" s="1781"/>
      <c r="E1469" s="1781"/>
      <c r="F1469" s="1781"/>
      <c r="G1469" s="1781"/>
      <c r="H1469" s="1781"/>
      <c r="I1469" s="1782"/>
      <c r="J1469" s="531" t="s">
        <v>2441</v>
      </c>
      <c r="K1469" s="544">
        <v>12</v>
      </c>
      <c r="L1469" s="544"/>
      <c r="M1469" s="544">
        <v>4</v>
      </c>
      <c r="N1469" s="544"/>
      <c r="O1469" s="160">
        <v>5</v>
      </c>
      <c r="P1469" s="544"/>
      <c r="Q1469" s="544">
        <v>0</v>
      </c>
      <c r="R1469" s="531"/>
      <c r="S1469" s="531"/>
      <c r="T1469" s="531"/>
      <c r="U1469" s="531"/>
      <c r="V1469" s="531"/>
      <c r="W1469" s="531"/>
      <c r="X1469" s="531"/>
      <c r="Y1469" s="533">
        <f t="shared" si="426"/>
        <v>0</v>
      </c>
      <c r="Z1469" s="229">
        <f t="shared" si="427"/>
        <v>0</v>
      </c>
      <c r="AA1469" s="544">
        <f t="shared" si="428"/>
        <v>4</v>
      </c>
      <c r="AB1469" s="223">
        <f t="shared" si="429"/>
        <v>0</v>
      </c>
      <c r="AC1469" s="542">
        <f t="shared" si="430"/>
        <v>33.333333333333329</v>
      </c>
      <c r="AD1469" s="542"/>
      <c r="AE1469" s="133"/>
      <c r="AF1469" s="750"/>
      <c r="AG1469" s="750"/>
      <c r="AH1469" s="750"/>
      <c r="AI1469" s="750"/>
      <c r="AJ1469" s="750"/>
      <c r="AK1469" s="750"/>
      <c r="AL1469" s="750"/>
      <c r="AM1469" s="750"/>
      <c r="AN1469" s="750"/>
      <c r="AO1469" s="750"/>
      <c r="AP1469" s="750"/>
      <c r="AQ1469" s="750"/>
      <c r="AR1469" s="750"/>
      <c r="AS1469" s="750"/>
      <c r="AT1469" s="750"/>
      <c r="AU1469" s="750"/>
      <c r="AV1469" s="750"/>
      <c r="AW1469" s="750"/>
      <c r="AX1469" s="750"/>
      <c r="AY1469" s="750"/>
      <c r="AZ1469" s="750"/>
      <c r="BA1469" s="750"/>
      <c r="BB1469" s="750"/>
      <c r="BC1469" s="752"/>
      <c r="BD1469" s="752"/>
      <c r="BE1469" s="752"/>
      <c r="BF1469" s="752"/>
      <c r="BG1469" s="752"/>
      <c r="BH1469" s="752"/>
      <c r="BI1469" s="752"/>
      <c r="BJ1469" s="752"/>
      <c r="BK1469" s="752"/>
      <c r="BL1469" s="752"/>
      <c r="BM1469" s="752"/>
      <c r="BN1469" s="752"/>
      <c r="BO1469" s="752"/>
      <c r="BP1469" s="752"/>
      <c r="BQ1469" s="752"/>
      <c r="BR1469" s="752"/>
    </row>
    <row r="1470" spans="1:70" ht="68.25" customHeight="1">
      <c r="A1470" s="2540"/>
      <c r="B1470" s="364"/>
      <c r="C1470" s="1136"/>
      <c r="D1470" s="1136"/>
      <c r="E1470" s="1136"/>
      <c r="F1470" s="1136"/>
      <c r="G1470" s="1136"/>
      <c r="H1470" s="1136"/>
      <c r="I1470" s="364"/>
      <c r="J1470" s="531" t="s">
        <v>2442</v>
      </c>
      <c r="K1470" s="544">
        <v>2</v>
      </c>
      <c r="L1470" s="544"/>
      <c r="M1470" s="544">
        <v>0</v>
      </c>
      <c r="N1470" s="544"/>
      <c r="O1470" s="160">
        <v>2</v>
      </c>
      <c r="P1470" s="544"/>
      <c r="Q1470" s="544">
        <v>0</v>
      </c>
      <c r="R1470" s="531"/>
      <c r="S1470" s="531"/>
      <c r="T1470" s="531"/>
      <c r="U1470" s="531"/>
      <c r="V1470" s="531"/>
      <c r="W1470" s="531"/>
      <c r="X1470" s="531"/>
      <c r="Y1470" s="533">
        <f t="shared" si="426"/>
        <v>0</v>
      </c>
      <c r="Z1470" s="229">
        <f t="shared" si="427"/>
        <v>0</v>
      </c>
      <c r="AA1470" s="544">
        <f t="shared" si="428"/>
        <v>0</v>
      </c>
      <c r="AB1470" s="223">
        <f t="shared" si="429"/>
        <v>0</v>
      </c>
      <c r="AC1470" s="542">
        <f t="shared" si="430"/>
        <v>0</v>
      </c>
      <c r="AD1470" s="542"/>
      <c r="AE1470" s="133"/>
      <c r="AF1470" s="750"/>
      <c r="AG1470" s="750"/>
      <c r="AH1470" s="750"/>
      <c r="AI1470" s="750"/>
      <c r="AJ1470" s="750"/>
      <c r="AK1470" s="750"/>
      <c r="AL1470" s="750"/>
      <c r="AM1470" s="750"/>
      <c r="AN1470" s="750"/>
      <c r="AO1470" s="750"/>
      <c r="AP1470" s="750"/>
      <c r="AQ1470" s="750"/>
      <c r="AR1470" s="750"/>
      <c r="AS1470" s="750"/>
      <c r="AT1470" s="750"/>
      <c r="AU1470" s="750"/>
      <c r="AV1470" s="750"/>
      <c r="AW1470" s="750"/>
      <c r="AX1470" s="750"/>
      <c r="AY1470" s="750"/>
      <c r="AZ1470" s="750"/>
      <c r="BA1470" s="750"/>
      <c r="BB1470" s="750"/>
      <c r="BC1470" s="752"/>
      <c r="BD1470" s="752"/>
      <c r="BE1470" s="752"/>
      <c r="BF1470" s="752"/>
      <c r="BG1470" s="752"/>
      <c r="BH1470" s="752"/>
      <c r="BI1470" s="752"/>
      <c r="BJ1470" s="752"/>
      <c r="BK1470" s="752"/>
      <c r="BL1470" s="752"/>
      <c r="BM1470" s="752"/>
      <c r="BN1470" s="752"/>
      <c r="BO1470" s="752"/>
      <c r="BP1470" s="752"/>
      <c r="BQ1470" s="752"/>
      <c r="BR1470" s="752"/>
    </row>
    <row r="1471" spans="1:70" ht="49.5">
      <c r="A1471" s="779"/>
      <c r="B1471" s="11"/>
      <c r="C1471" s="239"/>
      <c r="D1471" s="239"/>
      <c r="E1471" s="239"/>
      <c r="F1471" s="239"/>
      <c r="G1471" s="239"/>
      <c r="H1471" s="239"/>
      <c r="I1471" s="250" t="s">
        <v>2443</v>
      </c>
      <c r="J1471" s="11" t="s">
        <v>2444</v>
      </c>
      <c r="K1471" s="12">
        <v>2</v>
      </c>
      <c r="L1471" s="526">
        <v>1276126000</v>
      </c>
      <c r="M1471" s="14">
        <v>1</v>
      </c>
      <c r="N1471" s="526">
        <f>99826000+215542400</f>
        <v>315368400</v>
      </c>
      <c r="O1471" s="12">
        <v>0</v>
      </c>
      <c r="P1471" s="526">
        <v>0</v>
      </c>
      <c r="Q1471" s="526"/>
      <c r="R1471" s="30">
        <v>0</v>
      </c>
      <c r="S1471" s="527"/>
      <c r="T1471" s="202"/>
      <c r="U1471" s="527"/>
      <c r="V1471" s="527"/>
      <c r="W1471" s="528"/>
      <c r="X1471" s="528"/>
      <c r="Y1471" s="526">
        <f t="shared" si="426"/>
        <v>0</v>
      </c>
      <c r="Z1471" s="265">
        <f t="shared" si="427"/>
        <v>0</v>
      </c>
      <c r="AA1471" s="526">
        <f t="shared" si="428"/>
        <v>1</v>
      </c>
      <c r="AB1471" s="265">
        <f t="shared" si="429"/>
        <v>315368400</v>
      </c>
      <c r="AC1471" s="529">
        <f t="shared" si="430"/>
        <v>50</v>
      </c>
      <c r="AD1471" s="529">
        <f t="shared" ref="AD1471:AD1478" si="431">AB1471/L1471*100</f>
        <v>24.712951542402553</v>
      </c>
      <c r="AE1471" s="102"/>
      <c r="AF1471" s="750"/>
      <c r="AG1471" s="750"/>
      <c r="AH1471" s="750"/>
      <c r="AI1471" s="750"/>
      <c r="AJ1471" s="750"/>
      <c r="AK1471" s="750"/>
      <c r="AL1471" s="750"/>
      <c r="AM1471" s="750"/>
      <c r="AN1471" s="750"/>
      <c r="AO1471" s="750"/>
      <c r="AP1471" s="750"/>
      <c r="AQ1471" s="750"/>
      <c r="AR1471" s="750"/>
      <c r="AS1471" s="750"/>
      <c r="AT1471" s="750"/>
      <c r="AU1471" s="750"/>
      <c r="AV1471" s="750"/>
      <c r="AW1471" s="750"/>
      <c r="AX1471" s="750"/>
      <c r="AY1471" s="750"/>
      <c r="AZ1471" s="750"/>
      <c r="BA1471" s="750"/>
      <c r="BB1471" s="750"/>
      <c r="BC1471" s="752"/>
      <c r="BD1471" s="752"/>
      <c r="BE1471" s="752"/>
      <c r="BF1471" s="752"/>
      <c r="BG1471" s="752"/>
      <c r="BH1471" s="752"/>
      <c r="BI1471" s="752"/>
      <c r="BJ1471" s="752"/>
      <c r="BK1471" s="752"/>
      <c r="BL1471" s="752"/>
      <c r="BM1471" s="752"/>
      <c r="BN1471" s="752"/>
      <c r="BO1471" s="752"/>
      <c r="BP1471" s="752"/>
      <c r="BQ1471" s="752"/>
      <c r="BR1471" s="752"/>
    </row>
    <row r="1472" spans="1:70" ht="132">
      <c r="A1472" s="779"/>
      <c r="B1472" s="11"/>
      <c r="C1472" s="239"/>
      <c r="D1472" s="239"/>
      <c r="E1472" s="239"/>
      <c r="F1472" s="239"/>
      <c r="G1472" s="239"/>
      <c r="H1472" s="239"/>
      <c r="I1472" s="250" t="s">
        <v>2445</v>
      </c>
      <c r="J1472" s="11" t="s">
        <v>2446</v>
      </c>
      <c r="K1472" s="12">
        <v>180</v>
      </c>
      <c r="L1472" s="526">
        <v>323920000</v>
      </c>
      <c r="M1472" s="14">
        <v>75</v>
      </c>
      <c r="N1472" s="526">
        <f>216899000+48073800</f>
        <v>264972800</v>
      </c>
      <c r="O1472" s="12">
        <v>11</v>
      </c>
      <c r="P1472" s="526">
        <v>75270000</v>
      </c>
      <c r="Q1472" s="526"/>
      <c r="R1472" s="30">
        <v>3893200</v>
      </c>
      <c r="S1472" s="527">
        <v>0</v>
      </c>
      <c r="T1472" s="202">
        <v>45591250</v>
      </c>
      <c r="U1472" s="527"/>
      <c r="V1472" s="527"/>
      <c r="W1472" s="528"/>
      <c r="X1472" s="528"/>
      <c r="Y1472" s="526">
        <f t="shared" si="426"/>
        <v>0</v>
      </c>
      <c r="Z1472" s="265">
        <f t="shared" si="427"/>
        <v>49484450</v>
      </c>
      <c r="AA1472" s="526">
        <f t="shared" si="428"/>
        <v>75</v>
      </c>
      <c r="AB1472" s="265">
        <f t="shared" si="429"/>
        <v>314457250</v>
      </c>
      <c r="AC1472" s="529">
        <f t="shared" si="430"/>
        <v>41.666666666666671</v>
      </c>
      <c r="AD1472" s="529">
        <f t="shared" si="431"/>
        <v>97.078676833786119</v>
      </c>
      <c r="AE1472" s="102"/>
      <c r="AF1472" s="750"/>
      <c r="AG1472" s="750"/>
      <c r="AH1472" s="750"/>
      <c r="AI1472" s="750"/>
      <c r="AJ1472" s="750"/>
      <c r="AK1472" s="750"/>
      <c r="AL1472" s="750"/>
      <c r="AM1472" s="750"/>
      <c r="AN1472" s="750"/>
      <c r="AO1472" s="750"/>
      <c r="AP1472" s="750"/>
      <c r="AQ1472" s="750"/>
      <c r="AR1472" s="750"/>
      <c r="AS1472" s="750"/>
      <c r="AT1472" s="750"/>
      <c r="AU1472" s="750"/>
      <c r="AV1472" s="750"/>
      <c r="AW1472" s="750"/>
      <c r="AX1472" s="750"/>
      <c r="AY1472" s="750"/>
      <c r="AZ1472" s="750"/>
      <c r="BA1472" s="750"/>
      <c r="BB1472" s="750"/>
      <c r="BC1472" s="752"/>
      <c r="BD1472" s="752"/>
      <c r="BE1472" s="752"/>
      <c r="BF1472" s="752"/>
      <c r="BG1472" s="752"/>
      <c r="BH1472" s="752"/>
      <c r="BI1472" s="752"/>
      <c r="BJ1472" s="752"/>
      <c r="BK1472" s="752"/>
      <c r="BL1472" s="752"/>
      <c r="BM1472" s="752"/>
      <c r="BN1472" s="752"/>
      <c r="BO1472" s="752"/>
      <c r="BP1472" s="752"/>
      <c r="BQ1472" s="752"/>
      <c r="BR1472" s="752"/>
    </row>
    <row r="1473" spans="1:70" ht="82.5">
      <c r="A1473" s="779"/>
      <c r="B1473" s="11"/>
      <c r="C1473" s="239"/>
      <c r="D1473" s="239"/>
      <c r="E1473" s="239"/>
      <c r="F1473" s="239"/>
      <c r="G1473" s="239"/>
      <c r="H1473" s="239"/>
      <c r="I1473" s="250" t="s">
        <v>2447</v>
      </c>
      <c r="J1473" s="11" t="s">
        <v>2448</v>
      </c>
      <c r="K1473" s="14">
        <v>16</v>
      </c>
      <c r="L1473" s="526">
        <v>153810000</v>
      </c>
      <c r="M1473" s="14">
        <v>8</v>
      </c>
      <c r="N1473" s="526">
        <f>70820000+56824600</f>
        <v>127644600</v>
      </c>
      <c r="O1473" s="14">
        <v>0</v>
      </c>
      <c r="P1473" s="526">
        <v>0</v>
      </c>
      <c r="Q1473" s="526"/>
      <c r="R1473" s="30">
        <v>0</v>
      </c>
      <c r="S1473" s="527">
        <v>0</v>
      </c>
      <c r="T1473" s="202">
        <v>0</v>
      </c>
      <c r="U1473" s="527"/>
      <c r="V1473" s="527"/>
      <c r="W1473" s="528"/>
      <c r="X1473" s="528"/>
      <c r="Y1473" s="526">
        <f t="shared" si="426"/>
        <v>0</v>
      </c>
      <c r="Z1473" s="265">
        <f t="shared" si="427"/>
        <v>0</v>
      </c>
      <c r="AA1473" s="526">
        <f t="shared" si="428"/>
        <v>8</v>
      </c>
      <c r="AB1473" s="265">
        <f t="shared" si="429"/>
        <v>127644600</v>
      </c>
      <c r="AC1473" s="529">
        <f t="shared" si="430"/>
        <v>50</v>
      </c>
      <c r="AD1473" s="529">
        <f t="shared" si="431"/>
        <v>82.988492295689483</v>
      </c>
      <c r="AE1473" s="102"/>
      <c r="AF1473" s="750"/>
      <c r="AG1473" s="750"/>
      <c r="AH1473" s="750"/>
      <c r="AI1473" s="750"/>
      <c r="AJ1473" s="750"/>
      <c r="AK1473" s="750"/>
      <c r="AL1473" s="750"/>
      <c r="AM1473" s="750"/>
      <c r="AN1473" s="750"/>
      <c r="AO1473" s="750"/>
      <c r="AP1473" s="750"/>
      <c r="AQ1473" s="750"/>
      <c r="AR1473" s="750"/>
      <c r="AS1473" s="750"/>
      <c r="AT1473" s="750"/>
      <c r="AU1473" s="750"/>
      <c r="AV1473" s="750"/>
      <c r="AW1473" s="750"/>
      <c r="AX1473" s="750"/>
      <c r="AY1473" s="750"/>
      <c r="AZ1473" s="750"/>
      <c r="BA1473" s="750"/>
      <c r="BB1473" s="750"/>
      <c r="BC1473" s="752"/>
      <c r="BD1473" s="752"/>
      <c r="BE1473" s="752"/>
      <c r="BF1473" s="752"/>
      <c r="BG1473" s="752"/>
      <c r="BH1473" s="752"/>
      <c r="BI1473" s="752"/>
      <c r="BJ1473" s="752"/>
      <c r="BK1473" s="752"/>
      <c r="BL1473" s="752"/>
      <c r="BM1473" s="752"/>
      <c r="BN1473" s="752"/>
      <c r="BO1473" s="752"/>
      <c r="BP1473" s="752"/>
      <c r="BQ1473" s="752"/>
      <c r="BR1473" s="752"/>
    </row>
    <row r="1474" spans="1:70" ht="49.5">
      <c r="A1474" s="779"/>
      <c r="B1474" s="11"/>
      <c r="C1474" s="239"/>
      <c r="D1474" s="239"/>
      <c r="E1474" s="239"/>
      <c r="F1474" s="239"/>
      <c r="G1474" s="239"/>
      <c r="H1474" s="239"/>
      <c r="I1474" s="250" t="s">
        <v>2449</v>
      </c>
      <c r="J1474" s="11" t="s">
        <v>2450</v>
      </c>
      <c r="K1474" s="14">
        <v>12</v>
      </c>
      <c r="L1474" s="526">
        <v>208902000</v>
      </c>
      <c r="M1474" s="14">
        <v>3</v>
      </c>
      <c r="N1474" s="526">
        <f>33635000+20561043</f>
        <v>54196043</v>
      </c>
      <c r="O1474" s="14">
        <v>3</v>
      </c>
      <c r="P1474" s="526">
        <v>66320000</v>
      </c>
      <c r="Q1474" s="526"/>
      <c r="R1474" s="30">
        <v>0</v>
      </c>
      <c r="S1474" s="527">
        <v>0</v>
      </c>
      <c r="T1474" s="202">
        <v>0</v>
      </c>
      <c r="U1474" s="527"/>
      <c r="V1474" s="527"/>
      <c r="W1474" s="528"/>
      <c r="X1474" s="528"/>
      <c r="Y1474" s="526">
        <f t="shared" si="426"/>
        <v>0</v>
      </c>
      <c r="Z1474" s="265">
        <f t="shared" si="427"/>
        <v>0</v>
      </c>
      <c r="AA1474" s="526">
        <f t="shared" si="428"/>
        <v>3</v>
      </c>
      <c r="AB1474" s="265">
        <f t="shared" si="429"/>
        <v>54196043</v>
      </c>
      <c r="AC1474" s="529">
        <f t="shared" si="430"/>
        <v>25</v>
      </c>
      <c r="AD1474" s="529">
        <f t="shared" si="431"/>
        <v>25.943285846952158</v>
      </c>
      <c r="AE1474" s="102"/>
      <c r="AF1474" s="750"/>
      <c r="AG1474" s="750"/>
      <c r="AH1474" s="750"/>
      <c r="AI1474" s="750"/>
      <c r="AJ1474" s="750"/>
      <c r="AK1474" s="750"/>
      <c r="AL1474" s="750"/>
      <c r="AM1474" s="750"/>
      <c r="AN1474" s="750"/>
      <c r="AO1474" s="750"/>
      <c r="AP1474" s="750"/>
      <c r="AQ1474" s="750"/>
      <c r="AR1474" s="750"/>
      <c r="AS1474" s="750"/>
      <c r="AT1474" s="750"/>
      <c r="AU1474" s="750"/>
      <c r="AV1474" s="750"/>
      <c r="AW1474" s="750"/>
      <c r="AX1474" s="750"/>
      <c r="AY1474" s="750"/>
      <c r="AZ1474" s="750"/>
      <c r="BA1474" s="750"/>
      <c r="BB1474" s="750"/>
      <c r="BC1474" s="752"/>
      <c r="BD1474" s="752"/>
      <c r="BE1474" s="752"/>
      <c r="BF1474" s="752"/>
      <c r="BG1474" s="752"/>
      <c r="BH1474" s="752"/>
      <c r="BI1474" s="752"/>
      <c r="BJ1474" s="752"/>
      <c r="BK1474" s="752"/>
      <c r="BL1474" s="752"/>
      <c r="BM1474" s="752"/>
      <c r="BN1474" s="752"/>
      <c r="BO1474" s="752"/>
      <c r="BP1474" s="752"/>
      <c r="BQ1474" s="752"/>
      <c r="BR1474" s="752"/>
    </row>
    <row r="1475" spans="1:70" ht="102.75" customHeight="1">
      <c r="A1475" s="779"/>
      <c r="B1475" s="11"/>
      <c r="C1475" s="239"/>
      <c r="D1475" s="239"/>
      <c r="E1475" s="239"/>
      <c r="F1475" s="239"/>
      <c r="G1475" s="239"/>
      <c r="H1475" s="239"/>
      <c r="I1475" s="250" t="s">
        <v>2451</v>
      </c>
      <c r="J1475" s="11" t="s">
        <v>2452</v>
      </c>
      <c r="K1475" s="14">
        <v>100</v>
      </c>
      <c r="L1475" s="526">
        <f>2*N1475</f>
        <v>55637300</v>
      </c>
      <c r="M1475" s="14">
        <v>50</v>
      </c>
      <c r="N1475" s="526">
        <v>27818650</v>
      </c>
      <c r="O1475" s="14">
        <v>0</v>
      </c>
      <c r="P1475" s="526">
        <v>0</v>
      </c>
      <c r="Q1475" s="526"/>
      <c r="R1475" s="30">
        <v>0</v>
      </c>
      <c r="S1475" s="527">
        <v>0</v>
      </c>
      <c r="T1475" s="202">
        <v>0</v>
      </c>
      <c r="U1475" s="527"/>
      <c r="V1475" s="527"/>
      <c r="W1475" s="528"/>
      <c r="X1475" s="528"/>
      <c r="Y1475" s="526">
        <f t="shared" si="426"/>
        <v>0</v>
      </c>
      <c r="Z1475" s="265">
        <f t="shared" si="427"/>
        <v>0</v>
      </c>
      <c r="AA1475" s="526">
        <f t="shared" si="428"/>
        <v>50</v>
      </c>
      <c r="AB1475" s="265">
        <f t="shared" si="429"/>
        <v>27818650</v>
      </c>
      <c r="AC1475" s="529">
        <f t="shared" si="430"/>
        <v>50</v>
      </c>
      <c r="AD1475" s="529">
        <f t="shared" si="431"/>
        <v>50</v>
      </c>
      <c r="AE1475" s="102"/>
      <c r="AF1475" s="750"/>
      <c r="AG1475" s="750"/>
      <c r="AH1475" s="750"/>
      <c r="AI1475" s="750"/>
      <c r="AJ1475" s="750"/>
      <c r="AK1475" s="750"/>
      <c r="AL1475" s="750"/>
      <c r="AM1475" s="750"/>
      <c r="AN1475" s="750"/>
      <c r="AO1475" s="750"/>
      <c r="AP1475" s="750"/>
      <c r="AQ1475" s="750"/>
      <c r="AR1475" s="750"/>
      <c r="AS1475" s="750"/>
      <c r="AT1475" s="750"/>
      <c r="AU1475" s="750"/>
      <c r="AV1475" s="750"/>
      <c r="AW1475" s="750"/>
      <c r="AX1475" s="750"/>
      <c r="AY1475" s="750"/>
      <c r="AZ1475" s="750"/>
      <c r="BA1475" s="750"/>
      <c r="BB1475" s="750"/>
      <c r="BC1475" s="752"/>
      <c r="BD1475" s="752"/>
      <c r="BE1475" s="752"/>
      <c r="BF1475" s="752"/>
      <c r="BG1475" s="752"/>
      <c r="BH1475" s="752"/>
      <c r="BI1475" s="752"/>
      <c r="BJ1475" s="752"/>
      <c r="BK1475" s="752"/>
      <c r="BL1475" s="752"/>
      <c r="BM1475" s="752"/>
      <c r="BN1475" s="752"/>
      <c r="BO1475" s="752"/>
      <c r="BP1475" s="752"/>
      <c r="BQ1475" s="752"/>
      <c r="BR1475" s="752"/>
    </row>
    <row r="1476" spans="1:70" ht="83.25" customHeight="1">
      <c r="A1476" s="779"/>
      <c r="B1476" s="11"/>
      <c r="C1476" s="239"/>
      <c r="D1476" s="239"/>
      <c r="E1476" s="239"/>
      <c r="F1476" s="239"/>
      <c r="G1476" s="239"/>
      <c r="H1476" s="239"/>
      <c r="I1476" s="250" t="s">
        <v>2453</v>
      </c>
      <c r="J1476" s="11" t="s">
        <v>3138</v>
      </c>
      <c r="K1476" s="14">
        <v>18</v>
      </c>
      <c r="L1476" s="526">
        <f>3*N1476</f>
        <v>140701800</v>
      </c>
      <c r="M1476" s="14">
        <v>9</v>
      </c>
      <c r="N1476" s="526">
        <v>46900600</v>
      </c>
      <c r="O1476" s="14">
        <v>3</v>
      </c>
      <c r="P1476" s="526">
        <v>52199442</v>
      </c>
      <c r="Q1476" s="526">
        <v>1</v>
      </c>
      <c r="R1476" s="30">
        <v>7574250</v>
      </c>
      <c r="S1476" s="527">
        <v>0</v>
      </c>
      <c r="T1476" s="202">
        <v>18077850</v>
      </c>
      <c r="U1476" s="527"/>
      <c r="V1476" s="527"/>
      <c r="W1476" s="528"/>
      <c r="X1476" s="528"/>
      <c r="Y1476" s="526">
        <f t="shared" si="426"/>
        <v>1</v>
      </c>
      <c r="Z1476" s="265">
        <f t="shared" si="427"/>
        <v>25652100</v>
      </c>
      <c r="AA1476" s="526">
        <f t="shared" si="428"/>
        <v>10</v>
      </c>
      <c r="AB1476" s="265">
        <f t="shared" si="429"/>
        <v>72552700</v>
      </c>
      <c r="AC1476" s="529">
        <f t="shared" si="430"/>
        <v>55.555555555555557</v>
      </c>
      <c r="AD1476" s="529">
        <f t="shared" si="431"/>
        <v>51.564869816875124</v>
      </c>
      <c r="AE1476" s="102"/>
      <c r="AF1476" s="750"/>
      <c r="AG1476" s="750"/>
      <c r="AH1476" s="750"/>
      <c r="AI1476" s="750"/>
      <c r="AJ1476" s="750"/>
      <c r="AK1476" s="750"/>
      <c r="AL1476" s="750"/>
      <c r="AM1476" s="750"/>
      <c r="AN1476" s="750"/>
      <c r="AO1476" s="750"/>
      <c r="AP1476" s="750"/>
      <c r="AQ1476" s="750"/>
      <c r="AR1476" s="750"/>
      <c r="AS1476" s="750"/>
      <c r="AT1476" s="750"/>
      <c r="AU1476" s="750"/>
      <c r="AV1476" s="750"/>
      <c r="AW1476" s="750"/>
      <c r="AX1476" s="750"/>
      <c r="AY1476" s="750"/>
      <c r="AZ1476" s="750"/>
      <c r="BA1476" s="750"/>
      <c r="BB1476" s="750"/>
      <c r="BC1476" s="752"/>
      <c r="BD1476" s="752"/>
      <c r="BE1476" s="752"/>
      <c r="BF1476" s="752"/>
      <c r="BG1476" s="752"/>
      <c r="BH1476" s="752"/>
      <c r="BI1476" s="752"/>
      <c r="BJ1476" s="752"/>
      <c r="BK1476" s="752"/>
      <c r="BL1476" s="752"/>
      <c r="BM1476" s="752"/>
      <c r="BN1476" s="752"/>
      <c r="BO1476" s="752"/>
      <c r="BP1476" s="752"/>
      <c r="BQ1476" s="752"/>
      <c r="BR1476" s="752"/>
    </row>
    <row r="1477" spans="1:70" ht="82.5">
      <c r="A1477" s="779"/>
      <c r="B1477" s="11"/>
      <c r="C1477" s="239"/>
      <c r="D1477" s="239"/>
      <c r="E1477" s="239"/>
      <c r="F1477" s="239"/>
      <c r="G1477" s="239"/>
      <c r="H1477" s="239"/>
      <c r="I1477" s="250" t="s">
        <v>2454</v>
      </c>
      <c r="J1477" s="11" t="s">
        <v>2455</v>
      </c>
      <c r="K1477" s="14">
        <v>12</v>
      </c>
      <c r="L1477" s="526">
        <f>3*P1477</f>
        <v>226267500</v>
      </c>
      <c r="M1477" s="14">
        <v>0</v>
      </c>
      <c r="N1477" s="526">
        <v>0</v>
      </c>
      <c r="O1477" s="14">
        <v>4</v>
      </c>
      <c r="P1477" s="526">
        <v>75422500</v>
      </c>
      <c r="Q1477" s="526"/>
      <c r="R1477" s="30">
        <v>8977500</v>
      </c>
      <c r="S1477" s="527">
        <v>4</v>
      </c>
      <c r="T1477" s="202">
        <v>47671700</v>
      </c>
      <c r="U1477" s="527"/>
      <c r="V1477" s="527"/>
      <c r="W1477" s="528"/>
      <c r="X1477" s="528"/>
      <c r="Y1477" s="526">
        <f t="shared" si="426"/>
        <v>4</v>
      </c>
      <c r="Z1477" s="265">
        <f t="shared" si="427"/>
        <v>56649200</v>
      </c>
      <c r="AA1477" s="526">
        <f t="shared" si="428"/>
        <v>4</v>
      </c>
      <c r="AB1477" s="265">
        <f t="shared" si="429"/>
        <v>56649200</v>
      </c>
      <c r="AC1477" s="529">
        <f t="shared" si="430"/>
        <v>33.333333333333329</v>
      </c>
      <c r="AD1477" s="529">
        <f t="shared" si="431"/>
        <v>25.036383926105167</v>
      </c>
      <c r="AE1477" s="102"/>
      <c r="AF1477" s="750"/>
      <c r="AG1477" s="750"/>
      <c r="AH1477" s="750"/>
      <c r="AI1477" s="750"/>
      <c r="AJ1477" s="750"/>
      <c r="AK1477" s="750"/>
      <c r="AL1477" s="750"/>
      <c r="AM1477" s="750"/>
      <c r="AN1477" s="750"/>
      <c r="AO1477" s="750"/>
      <c r="AP1477" s="750"/>
      <c r="AQ1477" s="750"/>
      <c r="AR1477" s="750"/>
      <c r="AS1477" s="750"/>
      <c r="AT1477" s="750"/>
      <c r="AU1477" s="750"/>
      <c r="AV1477" s="750"/>
      <c r="AW1477" s="750"/>
      <c r="AX1477" s="750"/>
      <c r="AY1477" s="750"/>
      <c r="AZ1477" s="750"/>
      <c r="BA1477" s="750"/>
      <c r="BB1477" s="750"/>
      <c r="BC1477" s="752"/>
      <c r="BD1477" s="752"/>
      <c r="BE1477" s="752"/>
      <c r="BF1477" s="752"/>
      <c r="BG1477" s="752"/>
      <c r="BH1477" s="752"/>
      <c r="BI1477" s="752"/>
      <c r="BJ1477" s="752"/>
      <c r="BK1477" s="752"/>
      <c r="BL1477" s="752"/>
      <c r="BM1477" s="752"/>
      <c r="BN1477" s="752"/>
      <c r="BO1477" s="752"/>
      <c r="BP1477" s="752"/>
      <c r="BQ1477" s="752"/>
      <c r="BR1477" s="752"/>
    </row>
    <row r="1478" spans="1:70" ht="82.5">
      <c r="A1478" s="779"/>
      <c r="B1478" s="11"/>
      <c r="C1478" s="239"/>
      <c r="D1478" s="239"/>
      <c r="E1478" s="239"/>
      <c r="F1478" s="239"/>
      <c r="G1478" s="239"/>
      <c r="H1478" s="239"/>
      <c r="I1478" s="250" t="s">
        <v>2456</v>
      </c>
      <c r="J1478" s="11" t="s">
        <v>3139</v>
      </c>
      <c r="K1478" s="14">
        <v>30</v>
      </c>
      <c r="L1478" s="526">
        <f>3*P1478</f>
        <v>461242500</v>
      </c>
      <c r="M1478" s="14">
        <v>0</v>
      </c>
      <c r="N1478" s="526">
        <v>0</v>
      </c>
      <c r="O1478" s="14">
        <v>10</v>
      </c>
      <c r="P1478" s="526">
        <v>153747500</v>
      </c>
      <c r="Q1478" s="526"/>
      <c r="R1478" s="30">
        <v>12640650</v>
      </c>
      <c r="S1478" s="527">
        <v>2</v>
      </c>
      <c r="T1478" s="202">
        <v>103331956</v>
      </c>
      <c r="U1478" s="527"/>
      <c r="V1478" s="527"/>
      <c r="W1478" s="528"/>
      <c r="X1478" s="528"/>
      <c r="Y1478" s="526">
        <f t="shared" si="426"/>
        <v>2</v>
      </c>
      <c r="Z1478" s="265">
        <f t="shared" si="427"/>
        <v>115972606</v>
      </c>
      <c r="AA1478" s="526">
        <f t="shared" si="428"/>
        <v>2</v>
      </c>
      <c r="AB1478" s="265">
        <f t="shared" si="429"/>
        <v>115972606</v>
      </c>
      <c r="AC1478" s="529">
        <f t="shared" si="430"/>
        <v>6.666666666666667</v>
      </c>
      <c r="AD1478" s="529">
        <f t="shared" si="431"/>
        <v>25.143521249668016</v>
      </c>
      <c r="AE1478" s="102"/>
      <c r="AF1478" s="750"/>
      <c r="AG1478" s="750"/>
      <c r="AH1478" s="750"/>
      <c r="AI1478" s="750"/>
      <c r="AJ1478" s="750"/>
      <c r="AK1478" s="750"/>
      <c r="AL1478" s="750"/>
      <c r="AM1478" s="750"/>
      <c r="AN1478" s="750"/>
      <c r="AO1478" s="750"/>
      <c r="AP1478" s="750"/>
      <c r="AQ1478" s="750"/>
      <c r="AR1478" s="750"/>
      <c r="AS1478" s="750"/>
      <c r="AT1478" s="750"/>
      <c r="AU1478" s="750"/>
      <c r="AV1478" s="750"/>
      <c r="AW1478" s="750"/>
      <c r="AX1478" s="750"/>
      <c r="AY1478" s="750"/>
      <c r="AZ1478" s="750"/>
      <c r="BA1478" s="750"/>
      <c r="BB1478" s="750"/>
      <c r="BC1478" s="752"/>
      <c r="BD1478" s="752"/>
      <c r="BE1478" s="752"/>
      <c r="BF1478" s="752"/>
      <c r="BG1478" s="752"/>
      <c r="BH1478" s="752"/>
      <c r="BI1478" s="752"/>
      <c r="BJ1478" s="752"/>
      <c r="BK1478" s="752"/>
      <c r="BL1478" s="752"/>
      <c r="BM1478" s="752"/>
      <c r="BN1478" s="752"/>
      <c r="BO1478" s="752"/>
      <c r="BP1478" s="752"/>
      <c r="BQ1478" s="752"/>
      <c r="BR1478" s="752"/>
    </row>
    <row r="1479" spans="1:70" s="1235" customFormat="1" ht="21.75" customHeight="1">
      <c r="A1479" s="2737" t="s">
        <v>63</v>
      </c>
      <c r="B1479" s="2737"/>
      <c r="C1479" s="2741"/>
      <c r="D1479" s="2741"/>
      <c r="E1479" s="2741"/>
      <c r="F1479" s="2741"/>
      <c r="G1479" s="2741"/>
      <c r="H1479" s="2741"/>
      <c r="I1479" s="2741"/>
      <c r="J1479" s="2741"/>
      <c r="K1479" s="2741"/>
      <c r="L1479" s="2741"/>
      <c r="M1479" s="2741"/>
      <c r="N1479" s="2741"/>
      <c r="O1479" s="2741"/>
      <c r="P1479" s="2741"/>
      <c r="Q1479" s="2741"/>
      <c r="R1479" s="2741"/>
      <c r="S1479" s="2741"/>
      <c r="T1479" s="2741"/>
      <c r="U1479" s="2741"/>
      <c r="V1479" s="2741"/>
      <c r="W1479" s="2741"/>
      <c r="X1479" s="2741"/>
      <c r="Y1479" s="2741"/>
      <c r="Z1479" s="2741"/>
      <c r="AA1479" s="2741"/>
      <c r="AB1479" s="2741"/>
      <c r="AC1479" s="965">
        <f>(AC1394+AC1406+AC1414+AC1415+AC1421+AC1422+AC1423+AC1424+AC1425+AC1426+AC1427+AC1428+AC1429+AC1430+AC1431+AC1432+AC1450+AC1451+AC1454+AC1455+AC1456+AC1468+AC1469+AC1470+AC1463)/25</f>
        <v>59.763710866687688</v>
      </c>
      <c r="AD1479" s="965">
        <f>(AD1394+AD1406+AD1414+AD1421+AD1450+AD1454+AD1468+AD1463)/8</f>
        <v>50.905811275883487</v>
      </c>
      <c r="AE1479" s="131"/>
      <c r="AF1479" s="861"/>
      <c r="AG1479" s="861"/>
      <c r="AH1479" s="861"/>
      <c r="AI1479" s="861"/>
      <c r="AJ1479" s="861"/>
      <c r="AK1479" s="861"/>
      <c r="AL1479" s="861"/>
      <c r="AM1479" s="861"/>
      <c r="AN1479" s="861"/>
      <c r="AO1479" s="861"/>
      <c r="AP1479" s="861"/>
      <c r="AQ1479" s="861"/>
      <c r="AR1479" s="861"/>
      <c r="AS1479" s="861"/>
      <c r="AT1479" s="861"/>
      <c r="AU1479" s="861"/>
      <c r="AV1479" s="861"/>
      <c r="AW1479" s="861"/>
      <c r="AX1479" s="861"/>
      <c r="AY1479" s="861"/>
      <c r="AZ1479" s="861"/>
      <c r="BA1479" s="861"/>
      <c r="BB1479" s="861"/>
      <c r="BC1479" s="862"/>
      <c r="BD1479" s="862"/>
      <c r="BE1479" s="862"/>
      <c r="BF1479" s="862"/>
      <c r="BG1479" s="862"/>
      <c r="BH1479" s="862"/>
      <c r="BI1479" s="862"/>
      <c r="BJ1479" s="862"/>
      <c r="BK1479" s="862"/>
      <c r="BL1479" s="862"/>
      <c r="BM1479" s="862"/>
      <c r="BN1479" s="862"/>
      <c r="BO1479" s="862"/>
      <c r="BP1479" s="862"/>
      <c r="BQ1479" s="862"/>
      <c r="BR1479" s="862"/>
    </row>
    <row r="1480" spans="1:70" s="1235" customFormat="1" ht="23.25" customHeight="1">
      <c r="A1480" s="2737" t="s">
        <v>64</v>
      </c>
      <c r="B1480" s="2737"/>
      <c r="C1480" s="2741"/>
      <c r="D1480" s="2741"/>
      <c r="E1480" s="2741"/>
      <c r="F1480" s="2741"/>
      <c r="G1480" s="2741"/>
      <c r="H1480" s="2741"/>
      <c r="I1480" s="2741"/>
      <c r="J1480" s="2741"/>
      <c r="K1480" s="2741"/>
      <c r="L1480" s="2741"/>
      <c r="M1480" s="2741"/>
      <c r="N1480" s="2741"/>
      <c r="O1480" s="2741"/>
      <c r="P1480" s="2741"/>
      <c r="Q1480" s="2741"/>
      <c r="R1480" s="2741"/>
      <c r="S1480" s="2741"/>
      <c r="T1480" s="2741"/>
      <c r="U1480" s="2741"/>
      <c r="V1480" s="2741"/>
      <c r="W1480" s="2741"/>
      <c r="X1480" s="2741"/>
      <c r="Y1480" s="2741"/>
      <c r="Z1480" s="2741"/>
      <c r="AA1480" s="2741"/>
      <c r="AB1480" s="2741"/>
      <c r="AC1480" s="604" t="str">
        <f>IF(AC1479&gt;=91,"ST",IF(AC1479&gt;=76,"T",IF(AC1479&gt;=66,"S",IF(AC1479&gt;=51,"R","SR"))))</f>
        <v>R</v>
      </c>
      <c r="AD1480" s="604" t="str">
        <f>IF(AD1479&gt;=91,"ST",IF(AD1479&gt;=76,"T",IF(AD1479&gt;=66,"S",IF(AD1479&gt;=51,"R","SR"))))</f>
        <v>SR</v>
      </c>
      <c r="AE1480" s="131"/>
      <c r="AF1480" s="861"/>
      <c r="AG1480" s="861"/>
      <c r="AH1480" s="861"/>
      <c r="AI1480" s="861"/>
      <c r="AJ1480" s="861"/>
      <c r="AK1480" s="861"/>
      <c r="AL1480" s="861"/>
      <c r="AM1480" s="861"/>
      <c r="AN1480" s="861"/>
      <c r="AO1480" s="861"/>
      <c r="AP1480" s="861"/>
      <c r="AQ1480" s="861"/>
      <c r="AR1480" s="861"/>
      <c r="AS1480" s="861"/>
      <c r="AT1480" s="861"/>
      <c r="AU1480" s="861"/>
      <c r="AV1480" s="861"/>
      <c r="AW1480" s="861"/>
      <c r="AX1480" s="861"/>
      <c r="AY1480" s="861"/>
      <c r="AZ1480" s="861"/>
      <c r="BA1480" s="861"/>
      <c r="BB1480" s="861"/>
      <c r="BC1480" s="862"/>
      <c r="BD1480" s="862"/>
      <c r="BE1480" s="862"/>
      <c r="BF1480" s="862"/>
      <c r="BG1480" s="862"/>
      <c r="BH1480" s="862"/>
      <c r="BI1480" s="862"/>
      <c r="BJ1480" s="862"/>
      <c r="BK1480" s="862"/>
      <c r="BL1480" s="862"/>
      <c r="BM1480" s="862"/>
      <c r="BN1480" s="862"/>
      <c r="BO1480" s="862"/>
      <c r="BP1480" s="862"/>
      <c r="BQ1480" s="862"/>
      <c r="BR1480" s="862"/>
    </row>
    <row r="1481" spans="1:70" ht="31.5" customHeight="1">
      <c r="A1481" s="2738" t="s">
        <v>3140</v>
      </c>
      <c r="B1481" s="2739"/>
      <c r="C1481" s="2739"/>
      <c r="D1481" s="2739"/>
      <c r="E1481" s="2739"/>
      <c r="F1481" s="2739"/>
      <c r="G1481" s="2739"/>
      <c r="H1481" s="2740"/>
      <c r="I1481" s="800"/>
      <c r="J1481" s="800"/>
      <c r="K1481" s="800"/>
      <c r="L1481" s="1837">
        <f>L1482+L1495+L1500+L1502+L1508+L1536+L1538+L1540</f>
        <v>30174025585</v>
      </c>
      <c r="M1481" s="800"/>
      <c r="N1481" s="1837">
        <f>N1482+N1495+N1500+N1502+N1508+N1536+N1538+N1540</f>
        <v>11719099286.987</v>
      </c>
      <c r="O1481" s="1838"/>
      <c r="P1481" s="1837">
        <f>P1482+P1495+P1500+P1502+P1508+P1536+P1538+P1540</f>
        <v>6687039701</v>
      </c>
      <c r="Q1481" s="1839"/>
      <c r="R1481" s="1837">
        <f>R1482+R1495+R1500+R1502+R1508+R1536+R1538+R1540</f>
        <v>642414509</v>
      </c>
      <c r="S1481" s="800"/>
      <c r="T1481" s="1837">
        <f>T1482+T1495+T1501+T1502+T1508+T1536+T1538+T1540</f>
        <v>2888416711</v>
      </c>
      <c r="U1481" s="800"/>
      <c r="V1481" s="1840"/>
      <c r="W1481" s="800"/>
      <c r="X1481" s="800"/>
      <c r="Y1481" s="1839"/>
      <c r="Z1481" s="1837">
        <f>Z1482+Z1495+Z1500+Z1502+Z1508+Z1536+Z1538+Z1540</f>
        <v>3530831220</v>
      </c>
      <c r="AA1481" s="800"/>
      <c r="AB1481" s="1837">
        <f>AB1482+AB1495+AB1500+AB1502+AB1508+AB1536+AB1538+AB1540</f>
        <v>14659692268.976999</v>
      </c>
      <c r="AC1481" s="800"/>
      <c r="AD1481" s="800"/>
      <c r="AE1481" s="1634"/>
      <c r="AF1481" s="200"/>
      <c r="AG1481" s="200"/>
      <c r="AH1481" s="200"/>
      <c r="AI1481" s="200"/>
      <c r="AJ1481" s="200"/>
      <c r="AK1481" s="200"/>
      <c r="AL1481" s="200"/>
      <c r="AM1481" s="200"/>
      <c r="AN1481" s="200"/>
      <c r="AO1481" s="200"/>
      <c r="AP1481" s="200"/>
      <c r="AQ1481" s="200"/>
      <c r="AR1481" s="200"/>
      <c r="AS1481" s="200"/>
      <c r="AT1481" s="200"/>
      <c r="AU1481" s="200"/>
      <c r="AV1481" s="200"/>
      <c r="AW1481" s="200"/>
      <c r="AX1481" s="200"/>
      <c r="AY1481" s="200"/>
      <c r="AZ1481" s="200"/>
      <c r="BA1481" s="200"/>
      <c r="BB1481" s="200"/>
      <c r="BC1481" s="970"/>
      <c r="BD1481" s="970"/>
      <c r="BE1481" s="970"/>
      <c r="BF1481" s="970"/>
      <c r="BG1481" s="970"/>
      <c r="BH1481" s="970"/>
      <c r="BI1481" s="970"/>
      <c r="BJ1481" s="970"/>
      <c r="BK1481" s="970"/>
      <c r="BL1481" s="970"/>
      <c r="BM1481" s="970"/>
      <c r="BN1481" s="970"/>
      <c r="BO1481" s="970"/>
      <c r="BP1481" s="970"/>
      <c r="BQ1481" s="970"/>
      <c r="BR1481" s="970"/>
    </row>
    <row r="1482" spans="1:70" ht="82.5">
      <c r="A1482" s="288">
        <v>1</v>
      </c>
      <c r="B1482" s="517"/>
      <c r="C1482" s="1155" t="s">
        <v>107</v>
      </c>
      <c r="D1482" s="1155" t="s">
        <v>34</v>
      </c>
      <c r="E1482" s="1155" t="s">
        <v>39</v>
      </c>
      <c r="F1482" s="1155" t="s">
        <v>28</v>
      </c>
      <c r="G1482" s="1155" t="s">
        <v>25</v>
      </c>
      <c r="H1482" s="288"/>
      <c r="I1482" s="220" t="s">
        <v>108</v>
      </c>
      <c r="J1482" s="220" t="s">
        <v>3141</v>
      </c>
      <c r="K1482" s="1156">
        <v>72</v>
      </c>
      <c r="L1482" s="1156">
        <f>SUM(L1483:L1494)</f>
        <v>3067772264</v>
      </c>
      <c r="M1482" s="1156">
        <v>36</v>
      </c>
      <c r="N1482" s="1157">
        <v>1106661707.3759999</v>
      </c>
      <c r="O1482" s="1156">
        <v>12</v>
      </c>
      <c r="P1482" s="1157">
        <f>SUM(P1483:P1494)</f>
        <v>1054289695</v>
      </c>
      <c r="Q1482" s="1158">
        <f t="shared" ref="Q1482:Q1494" si="432">O1482/4</f>
        <v>3</v>
      </c>
      <c r="R1482" s="1157">
        <f>SUM(R1483:R1494)</f>
        <v>120910899</v>
      </c>
      <c r="S1482" s="1159">
        <v>3</v>
      </c>
      <c r="T1482" s="1159">
        <f>SUM(T1483:T1494)</f>
        <v>367990192</v>
      </c>
      <c r="U1482" s="1159"/>
      <c r="V1482" s="1159"/>
      <c r="W1482" s="1159"/>
      <c r="X1482" s="1159"/>
      <c r="Y1482" s="1160">
        <f t="shared" ref="Y1482:Y1508" si="433">Q1482+S1482+U1482+W1482</f>
        <v>6</v>
      </c>
      <c r="Z1482" s="1161">
        <f>SUM(Z1483:Z1494)</f>
        <v>488901091</v>
      </c>
      <c r="AA1482" s="1160">
        <f t="shared" ref="AA1482:AA1499" si="434">M1482+Y1482</f>
        <v>42</v>
      </c>
      <c r="AB1482" s="1161">
        <f>SUM(AB1483:AB1494)</f>
        <v>2295609479.3759999</v>
      </c>
      <c r="AC1482" s="1160">
        <f t="shared" ref="AC1482:AC1499" si="435">(AA1482/K1482)*100</f>
        <v>58.333333333333336</v>
      </c>
      <c r="AD1482" s="1160">
        <f t="shared" ref="AD1482:AD1499" si="436">(AB1482/L1482)*100</f>
        <v>74.829853125499142</v>
      </c>
      <c r="AE1482" s="288" t="s">
        <v>396</v>
      </c>
      <c r="AF1482" s="1162"/>
      <c r="AG1482" s="1162"/>
      <c r="AH1482" s="798"/>
      <c r="AI1482" s="798"/>
      <c r="AJ1482" s="798"/>
      <c r="AK1482" s="798"/>
      <c r="AL1482" s="798"/>
      <c r="AM1482" s="798"/>
      <c r="AN1482" s="798"/>
      <c r="AO1482" s="798"/>
      <c r="AP1482" s="798"/>
      <c r="AQ1482" s="798"/>
      <c r="AR1482" s="798"/>
      <c r="AS1482" s="798"/>
      <c r="AT1482" s="798"/>
      <c r="AU1482" s="798"/>
      <c r="AV1482" s="798"/>
      <c r="AW1482" s="798"/>
      <c r="AX1482" s="798"/>
      <c r="AY1482" s="798"/>
      <c r="AZ1482" s="798"/>
      <c r="BA1482" s="798"/>
      <c r="BB1482" s="798"/>
      <c r="BC1482" s="799"/>
      <c r="BD1482" s="799"/>
      <c r="BE1482" s="799"/>
      <c r="BF1482" s="799"/>
      <c r="BG1482" s="799"/>
      <c r="BH1482" s="799"/>
      <c r="BI1482" s="799"/>
      <c r="BJ1482" s="799"/>
      <c r="BK1482" s="799"/>
      <c r="BL1482" s="799"/>
      <c r="BM1482" s="799"/>
      <c r="BN1482" s="799"/>
      <c r="BO1482" s="799"/>
      <c r="BP1482" s="799"/>
      <c r="BQ1482" s="799"/>
      <c r="BR1482" s="799"/>
    </row>
    <row r="1483" spans="1:70" ht="82.5">
      <c r="A1483" s="1163"/>
      <c r="B1483" s="34"/>
      <c r="C1483" s="1164" t="s">
        <v>107</v>
      </c>
      <c r="D1483" s="1164" t="s">
        <v>34</v>
      </c>
      <c r="E1483" s="1164" t="s">
        <v>39</v>
      </c>
      <c r="F1483" s="1164" t="s">
        <v>28</v>
      </c>
      <c r="G1483" s="1164" t="s">
        <v>25</v>
      </c>
      <c r="H1483" s="1165" t="s">
        <v>28</v>
      </c>
      <c r="I1483" s="35" t="s">
        <v>397</v>
      </c>
      <c r="J1483" s="2" t="s">
        <v>158</v>
      </c>
      <c r="K1483" s="1073">
        <v>72</v>
      </c>
      <c r="L1483" s="1073">
        <v>257400000</v>
      </c>
      <c r="M1483" s="1073">
        <v>36</v>
      </c>
      <c r="N1483" s="575">
        <v>152913763.68099999</v>
      </c>
      <c r="O1483" s="1073">
        <v>12</v>
      </c>
      <c r="P1483" s="890">
        <v>74184000</v>
      </c>
      <c r="Q1483" s="1166">
        <f t="shared" si="432"/>
        <v>3</v>
      </c>
      <c r="R1483" s="1167">
        <v>17237541</v>
      </c>
      <c r="S1483" s="35">
        <v>3</v>
      </c>
      <c r="T1483" s="209">
        <v>28985919</v>
      </c>
      <c r="U1483" s="35"/>
      <c r="V1483" s="35"/>
      <c r="W1483" s="35"/>
      <c r="X1483" s="35"/>
      <c r="Y1483" s="874">
        <f t="shared" si="433"/>
        <v>6</v>
      </c>
      <c r="Z1483" s="1168">
        <f t="shared" ref="Z1483:Z1494" si="437">R1483+T1483+V1483+X1483</f>
        <v>46223460</v>
      </c>
      <c r="AA1483" s="1169">
        <f t="shared" si="434"/>
        <v>42</v>
      </c>
      <c r="AB1483" s="1168">
        <f t="shared" ref="AB1483:AB1494" si="438">N1483+Z1483</f>
        <v>199137223.68099999</v>
      </c>
      <c r="AC1483" s="1170">
        <f t="shared" si="435"/>
        <v>58.333333333333336</v>
      </c>
      <c r="AD1483" s="1170">
        <f t="shared" si="436"/>
        <v>77.364888764957257</v>
      </c>
      <c r="AE1483" s="451"/>
      <c r="AF1483" s="798"/>
      <c r="AG1483" s="1005"/>
      <c r="AH1483" s="798"/>
      <c r="AI1483" s="798"/>
      <c r="AJ1483" s="798"/>
      <c r="AK1483" s="798"/>
      <c r="AL1483" s="798"/>
      <c r="AM1483" s="798"/>
      <c r="AN1483" s="798"/>
      <c r="AO1483" s="798"/>
      <c r="AP1483" s="798"/>
      <c r="AQ1483" s="798"/>
      <c r="AR1483" s="798"/>
      <c r="AS1483" s="798"/>
      <c r="AT1483" s="798"/>
      <c r="AU1483" s="798"/>
      <c r="AV1483" s="798"/>
      <c r="AW1483" s="798"/>
      <c r="AX1483" s="798"/>
      <c r="AY1483" s="798"/>
      <c r="AZ1483" s="798"/>
      <c r="BA1483" s="798"/>
      <c r="BB1483" s="798"/>
      <c r="BC1483" s="799"/>
      <c r="BD1483" s="799"/>
      <c r="BE1483" s="799"/>
      <c r="BF1483" s="799"/>
      <c r="BG1483" s="799"/>
      <c r="BH1483" s="799"/>
      <c r="BI1483" s="799"/>
      <c r="BJ1483" s="799"/>
      <c r="BK1483" s="799"/>
      <c r="BL1483" s="799"/>
      <c r="BM1483" s="799"/>
      <c r="BN1483" s="799"/>
      <c r="BO1483" s="799"/>
      <c r="BP1483" s="799"/>
      <c r="BQ1483" s="799"/>
      <c r="BR1483" s="799"/>
    </row>
    <row r="1484" spans="1:70" ht="82.5">
      <c r="A1484" s="1163"/>
      <c r="B1484" s="34"/>
      <c r="C1484" s="1164" t="s">
        <v>107</v>
      </c>
      <c r="D1484" s="1164" t="s">
        <v>34</v>
      </c>
      <c r="E1484" s="1164" t="s">
        <v>39</v>
      </c>
      <c r="F1484" s="1164" t="s">
        <v>28</v>
      </c>
      <c r="G1484" s="1164" t="s">
        <v>25</v>
      </c>
      <c r="H1484" s="1164" t="s">
        <v>29</v>
      </c>
      <c r="I1484" s="35" t="s">
        <v>398</v>
      </c>
      <c r="J1484" s="2" t="s">
        <v>159</v>
      </c>
      <c r="K1484" s="1073">
        <v>72</v>
      </c>
      <c r="L1484" s="1073">
        <v>572400000</v>
      </c>
      <c r="M1484" s="1073">
        <v>36</v>
      </c>
      <c r="N1484" s="36">
        <v>365407800</v>
      </c>
      <c r="O1484" s="1073">
        <v>12</v>
      </c>
      <c r="P1484" s="36">
        <v>152200000</v>
      </c>
      <c r="Q1484" s="1166">
        <f t="shared" si="432"/>
        <v>3</v>
      </c>
      <c r="R1484" s="558">
        <v>32550000</v>
      </c>
      <c r="S1484" s="34">
        <v>3</v>
      </c>
      <c r="T1484" s="209">
        <v>61450000</v>
      </c>
      <c r="U1484" s="34"/>
      <c r="V1484" s="34"/>
      <c r="W1484" s="34"/>
      <c r="X1484" s="34"/>
      <c r="Y1484" s="874">
        <f t="shared" si="433"/>
        <v>6</v>
      </c>
      <c r="Z1484" s="1168">
        <f t="shared" si="437"/>
        <v>94000000</v>
      </c>
      <c r="AA1484" s="1169">
        <f t="shared" si="434"/>
        <v>42</v>
      </c>
      <c r="AB1484" s="1168">
        <f t="shared" si="438"/>
        <v>459407800</v>
      </c>
      <c r="AC1484" s="1170">
        <f t="shared" si="435"/>
        <v>58.333333333333336</v>
      </c>
      <c r="AD1484" s="1170">
        <f t="shared" si="436"/>
        <v>80.259923130677848</v>
      </c>
      <c r="AE1484" s="451"/>
      <c r="AF1484" s="798"/>
      <c r="AG1484" s="1005"/>
      <c r="AH1484" s="798"/>
      <c r="AI1484" s="798"/>
      <c r="AJ1484" s="798"/>
      <c r="AK1484" s="798"/>
      <c r="AL1484" s="798"/>
      <c r="AM1484" s="798"/>
      <c r="AN1484" s="798"/>
      <c r="AO1484" s="798"/>
      <c r="AP1484" s="798"/>
      <c r="AQ1484" s="798"/>
      <c r="AR1484" s="798"/>
      <c r="AS1484" s="798"/>
      <c r="AT1484" s="798"/>
      <c r="AU1484" s="798"/>
      <c r="AV1484" s="798"/>
      <c r="AW1484" s="798"/>
      <c r="AX1484" s="798"/>
      <c r="AY1484" s="798"/>
      <c r="AZ1484" s="798"/>
      <c r="BA1484" s="798"/>
      <c r="BB1484" s="798"/>
      <c r="BC1484" s="799"/>
      <c r="BD1484" s="799"/>
      <c r="BE1484" s="799"/>
      <c r="BF1484" s="799"/>
      <c r="BG1484" s="799"/>
      <c r="BH1484" s="799"/>
      <c r="BI1484" s="799"/>
      <c r="BJ1484" s="799"/>
      <c r="BK1484" s="799"/>
      <c r="BL1484" s="799"/>
      <c r="BM1484" s="799"/>
      <c r="BN1484" s="799"/>
      <c r="BO1484" s="799"/>
      <c r="BP1484" s="799"/>
      <c r="BQ1484" s="799"/>
      <c r="BR1484" s="799"/>
    </row>
    <row r="1485" spans="1:70" ht="66">
      <c r="A1485" s="1163"/>
      <c r="B1485" s="34"/>
      <c r="C1485" s="1164" t="s">
        <v>107</v>
      </c>
      <c r="D1485" s="1164" t="s">
        <v>34</v>
      </c>
      <c r="E1485" s="1164" t="s">
        <v>39</v>
      </c>
      <c r="F1485" s="1164" t="s">
        <v>28</v>
      </c>
      <c r="G1485" s="1164" t="s">
        <v>25</v>
      </c>
      <c r="H1485" s="1164" t="s">
        <v>30</v>
      </c>
      <c r="I1485" s="35" t="s">
        <v>110</v>
      </c>
      <c r="J1485" s="2" t="s">
        <v>160</v>
      </c>
      <c r="K1485" s="1073">
        <v>72</v>
      </c>
      <c r="L1485" s="1073">
        <v>41172000</v>
      </c>
      <c r="M1485" s="1073">
        <v>36</v>
      </c>
      <c r="N1485" s="37">
        <v>45400515.5</v>
      </c>
      <c r="O1485" s="1073">
        <v>12</v>
      </c>
      <c r="P1485" s="37">
        <v>32851767</v>
      </c>
      <c r="Q1485" s="1166">
        <f t="shared" si="432"/>
        <v>3</v>
      </c>
      <c r="R1485" s="575">
        <v>8596128</v>
      </c>
      <c r="S1485" s="35">
        <v>3</v>
      </c>
      <c r="T1485" s="896">
        <v>14596128</v>
      </c>
      <c r="U1485" s="35"/>
      <c r="V1485" s="35"/>
      <c r="W1485" s="35"/>
      <c r="X1485" s="35"/>
      <c r="Y1485" s="874">
        <f t="shared" si="433"/>
        <v>6</v>
      </c>
      <c r="Z1485" s="1168">
        <f t="shared" si="437"/>
        <v>23192256</v>
      </c>
      <c r="AA1485" s="1169">
        <f t="shared" si="434"/>
        <v>42</v>
      </c>
      <c r="AB1485" s="1168">
        <f t="shared" si="438"/>
        <v>68592771.5</v>
      </c>
      <c r="AC1485" s="1170">
        <f t="shared" si="435"/>
        <v>58.333333333333336</v>
      </c>
      <c r="AD1485" s="1170">
        <f t="shared" si="436"/>
        <v>166.60053312931117</v>
      </c>
      <c r="AE1485" s="451"/>
      <c r="AF1485" s="798"/>
      <c r="AG1485" s="1005"/>
      <c r="AH1485" s="798"/>
      <c r="AI1485" s="798"/>
      <c r="AJ1485" s="798"/>
      <c r="AK1485" s="798"/>
      <c r="AL1485" s="798"/>
      <c r="AM1485" s="798"/>
      <c r="AN1485" s="798"/>
      <c r="AO1485" s="798"/>
      <c r="AP1485" s="798"/>
      <c r="AQ1485" s="798"/>
      <c r="AR1485" s="798"/>
      <c r="AS1485" s="798"/>
      <c r="AT1485" s="798"/>
      <c r="AU1485" s="798"/>
      <c r="AV1485" s="798"/>
      <c r="AW1485" s="798"/>
      <c r="AX1485" s="798"/>
      <c r="AY1485" s="798"/>
      <c r="AZ1485" s="798"/>
      <c r="BA1485" s="798"/>
      <c r="BB1485" s="798"/>
      <c r="BC1485" s="799"/>
      <c r="BD1485" s="799"/>
      <c r="BE1485" s="799"/>
      <c r="BF1485" s="799"/>
      <c r="BG1485" s="799"/>
      <c r="BH1485" s="799"/>
      <c r="BI1485" s="799"/>
      <c r="BJ1485" s="799"/>
      <c r="BK1485" s="799"/>
      <c r="BL1485" s="799"/>
      <c r="BM1485" s="799"/>
      <c r="BN1485" s="799"/>
      <c r="BO1485" s="799"/>
      <c r="BP1485" s="799"/>
      <c r="BQ1485" s="799"/>
      <c r="BR1485" s="799"/>
    </row>
    <row r="1486" spans="1:70" ht="82.5">
      <c r="A1486" s="1163"/>
      <c r="B1486" s="34"/>
      <c r="C1486" s="1164" t="s">
        <v>107</v>
      </c>
      <c r="D1486" s="1164" t="s">
        <v>34</v>
      </c>
      <c r="E1486" s="1164" t="s">
        <v>39</v>
      </c>
      <c r="F1486" s="1164" t="s">
        <v>28</v>
      </c>
      <c r="G1486" s="1164" t="s">
        <v>25</v>
      </c>
      <c r="H1486" s="1164" t="s">
        <v>43</v>
      </c>
      <c r="I1486" s="2" t="s">
        <v>161</v>
      </c>
      <c r="J1486" s="2" t="s">
        <v>162</v>
      </c>
      <c r="K1486" s="1073">
        <v>72</v>
      </c>
      <c r="L1486" s="1073">
        <v>93900000</v>
      </c>
      <c r="M1486" s="1073">
        <v>36</v>
      </c>
      <c r="N1486" s="37">
        <v>50564535</v>
      </c>
      <c r="O1486" s="1073">
        <v>12</v>
      </c>
      <c r="P1486" s="37">
        <v>22700000</v>
      </c>
      <c r="Q1486" s="1166">
        <f t="shared" si="432"/>
        <v>3</v>
      </c>
      <c r="R1486" s="575">
        <v>1575000</v>
      </c>
      <c r="S1486" s="35">
        <v>3</v>
      </c>
      <c r="T1486" s="896">
        <v>4800000</v>
      </c>
      <c r="U1486" s="35"/>
      <c r="V1486" s="35"/>
      <c r="W1486" s="35"/>
      <c r="X1486" s="35"/>
      <c r="Y1486" s="874">
        <f t="shared" si="433"/>
        <v>6</v>
      </c>
      <c r="Z1486" s="1168">
        <f t="shared" si="437"/>
        <v>6375000</v>
      </c>
      <c r="AA1486" s="1169">
        <f t="shared" si="434"/>
        <v>42</v>
      </c>
      <c r="AB1486" s="1168">
        <f t="shared" si="438"/>
        <v>56939535</v>
      </c>
      <c r="AC1486" s="1170">
        <f t="shared" si="435"/>
        <v>58.333333333333336</v>
      </c>
      <c r="AD1486" s="1170">
        <f t="shared" si="436"/>
        <v>60.638482428115012</v>
      </c>
      <c r="AE1486" s="451"/>
      <c r="AF1486" s="798"/>
      <c r="AG1486" s="1005"/>
      <c r="AH1486" s="798"/>
      <c r="AI1486" s="798"/>
      <c r="AJ1486" s="798"/>
      <c r="AK1486" s="798"/>
      <c r="AL1486" s="798"/>
      <c r="AM1486" s="798"/>
      <c r="AN1486" s="798"/>
      <c r="AO1486" s="798"/>
      <c r="AP1486" s="798"/>
      <c r="AQ1486" s="798"/>
      <c r="AR1486" s="798"/>
      <c r="AS1486" s="798"/>
      <c r="AT1486" s="798"/>
      <c r="AU1486" s="798"/>
      <c r="AV1486" s="798"/>
      <c r="AW1486" s="798"/>
      <c r="AX1486" s="798"/>
      <c r="AY1486" s="798"/>
      <c r="AZ1486" s="798"/>
      <c r="BA1486" s="798"/>
      <c r="BB1486" s="798"/>
      <c r="BC1486" s="799"/>
      <c r="BD1486" s="799"/>
      <c r="BE1486" s="799"/>
      <c r="BF1486" s="799"/>
      <c r="BG1486" s="799"/>
      <c r="BH1486" s="799"/>
      <c r="BI1486" s="799"/>
      <c r="BJ1486" s="799"/>
      <c r="BK1486" s="799"/>
      <c r="BL1486" s="799"/>
      <c r="BM1486" s="799"/>
      <c r="BN1486" s="799"/>
      <c r="BO1486" s="799"/>
      <c r="BP1486" s="799"/>
      <c r="BQ1486" s="799"/>
      <c r="BR1486" s="799"/>
    </row>
    <row r="1487" spans="1:70" ht="40.5" customHeight="1">
      <c r="A1487" s="1163"/>
      <c r="B1487" s="34"/>
      <c r="C1487" s="1164" t="s">
        <v>107</v>
      </c>
      <c r="D1487" s="1164" t="s">
        <v>34</v>
      </c>
      <c r="E1487" s="1164" t="s">
        <v>39</v>
      </c>
      <c r="F1487" s="1164" t="s">
        <v>28</v>
      </c>
      <c r="G1487" s="1164" t="s">
        <v>25</v>
      </c>
      <c r="H1487" s="1164" t="s">
        <v>31</v>
      </c>
      <c r="I1487" s="3" t="s">
        <v>163</v>
      </c>
      <c r="J1487" s="2" t="s">
        <v>149</v>
      </c>
      <c r="K1487" s="1073">
        <v>72</v>
      </c>
      <c r="L1487" s="1073">
        <v>209496264</v>
      </c>
      <c r="M1487" s="1073">
        <v>36</v>
      </c>
      <c r="N1487" s="37">
        <v>112505854.83499998</v>
      </c>
      <c r="O1487" s="1073">
        <v>12</v>
      </c>
      <c r="P1487" s="37">
        <v>80988488</v>
      </c>
      <c r="Q1487" s="1166">
        <f t="shared" si="432"/>
        <v>3</v>
      </c>
      <c r="R1487" s="575">
        <v>5646000</v>
      </c>
      <c r="S1487" s="35">
        <v>3</v>
      </c>
      <c r="T1487" s="896">
        <v>51753115</v>
      </c>
      <c r="U1487" s="35"/>
      <c r="V1487" s="35"/>
      <c r="W1487" s="35"/>
      <c r="X1487" s="35"/>
      <c r="Y1487" s="874">
        <f t="shared" si="433"/>
        <v>6</v>
      </c>
      <c r="Z1487" s="1168">
        <f t="shared" si="437"/>
        <v>57399115</v>
      </c>
      <c r="AA1487" s="1169">
        <f t="shared" si="434"/>
        <v>42</v>
      </c>
      <c r="AB1487" s="1168">
        <f t="shared" si="438"/>
        <v>169904969.83499998</v>
      </c>
      <c r="AC1487" s="1170">
        <f t="shared" si="435"/>
        <v>58.333333333333336</v>
      </c>
      <c r="AD1487" s="1170">
        <f t="shared" si="436"/>
        <v>81.101670545781175</v>
      </c>
      <c r="AE1487" s="451"/>
      <c r="AF1487" s="798"/>
      <c r="AG1487" s="1005"/>
      <c r="AH1487" s="798"/>
      <c r="AI1487" s="798"/>
      <c r="AJ1487" s="798"/>
      <c r="AK1487" s="798"/>
      <c r="AL1487" s="798"/>
      <c r="AM1487" s="798"/>
      <c r="AN1487" s="798"/>
      <c r="AO1487" s="798"/>
      <c r="AP1487" s="798"/>
      <c r="AQ1487" s="798"/>
      <c r="AR1487" s="798"/>
      <c r="AS1487" s="798"/>
      <c r="AT1487" s="798"/>
      <c r="AU1487" s="798"/>
      <c r="AV1487" s="798"/>
      <c r="AW1487" s="798"/>
      <c r="AX1487" s="798"/>
      <c r="AY1487" s="798"/>
      <c r="AZ1487" s="798"/>
      <c r="BA1487" s="798"/>
      <c r="BB1487" s="798"/>
      <c r="BC1487" s="799"/>
      <c r="BD1487" s="799"/>
      <c r="BE1487" s="799"/>
      <c r="BF1487" s="799"/>
      <c r="BG1487" s="799"/>
      <c r="BH1487" s="799"/>
      <c r="BI1487" s="799"/>
      <c r="BJ1487" s="799"/>
      <c r="BK1487" s="799"/>
      <c r="BL1487" s="799"/>
      <c r="BM1487" s="799"/>
      <c r="BN1487" s="799"/>
      <c r="BO1487" s="799"/>
      <c r="BP1487" s="799"/>
      <c r="BQ1487" s="799"/>
      <c r="BR1487" s="799"/>
    </row>
    <row r="1488" spans="1:70" ht="49.5">
      <c r="A1488" s="1163"/>
      <c r="B1488" s="34"/>
      <c r="C1488" s="1164" t="s">
        <v>107</v>
      </c>
      <c r="D1488" s="1164" t="s">
        <v>34</v>
      </c>
      <c r="E1488" s="1164" t="s">
        <v>39</v>
      </c>
      <c r="F1488" s="1164" t="s">
        <v>28</v>
      </c>
      <c r="G1488" s="1164" t="s">
        <v>25</v>
      </c>
      <c r="H1488" s="1164" t="s">
        <v>62</v>
      </c>
      <c r="I1488" s="2" t="s">
        <v>155</v>
      </c>
      <c r="J1488" s="2" t="s">
        <v>164</v>
      </c>
      <c r="K1488" s="1073">
        <v>72</v>
      </c>
      <c r="L1488" s="1073">
        <v>136962000</v>
      </c>
      <c r="M1488" s="1073">
        <v>36</v>
      </c>
      <c r="N1488" s="37">
        <v>73669012.799999997</v>
      </c>
      <c r="O1488" s="1073">
        <v>12</v>
      </c>
      <c r="P1488" s="37">
        <v>26041200</v>
      </c>
      <c r="Q1488" s="1166">
        <f t="shared" si="432"/>
        <v>3</v>
      </c>
      <c r="R1488" s="575">
        <v>7144000</v>
      </c>
      <c r="S1488" s="35">
        <v>3</v>
      </c>
      <c r="T1488" s="896">
        <v>7304000</v>
      </c>
      <c r="U1488" s="35"/>
      <c r="V1488" s="35"/>
      <c r="W1488" s="35"/>
      <c r="X1488" s="35"/>
      <c r="Y1488" s="874">
        <f t="shared" si="433"/>
        <v>6</v>
      </c>
      <c r="Z1488" s="1168">
        <f t="shared" si="437"/>
        <v>14448000</v>
      </c>
      <c r="AA1488" s="1169">
        <f t="shared" si="434"/>
        <v>42</v>
      </c>
      <c r="AB1488" s="1168">
        <f t="shared" si="438"/>
        <v>88117012.799999997</v>
      </c>
      <c r="AC1488" s="1170">
        <f t="shared" si="435"/>
        <v>58.333333333333336</v>
      </c>
      <c r="AD1488" s="1170">
        <f t="shared" si="436"/>
        <v>64.336832698120645</v>
      </c>
      <c r="AE1488" s="451"/>
      <c r="AF1488" s="798"/>
      <c r="AG1488" s="1005"/>
      <c r="AH1488" s="798"/>
      <c r="AI1488" s="798"/>
      <c r="AJ1488" s="798"/>
      <c r="AK1488" s="798"/>
      <c r="AL1488" s="798"/>
      <c r="AM1488" s="798"/>
      <c r="AN1488" s="798"/>
      <c r="AO1488" s="798"/>
      <c r="AP1488" s="798"/>
      <c r="AQ1488" s="798"/>
      <c r="AR1488" s="798"/>
      <c r="AS1488" s="798"/>
      <c r="AT1488" s="798"/>
      <c r="AU1488" s="798"/>
      <c r="AV1488" s="798"/>
      <c r="AW1488" s="798"/>
      <c r="AX1488" s="798"/>
      <c r="AY1488" s="798"/>
      <c r="AZ1488" s="798"/>
      <c r="BA1488" s="798"/>
      <c r="BB1488" s="798"/>
      <c r="BC1488" s="799"/>
      <c r="BD1488" s="799"/>
      <c r="BE1488" s="799"/>
      <c r="BF1488" s="799"/>
      <c r="BG1488" s="799"/>
      <c r="BH1488" s="799"/>
      <c r="BI1488" s="799"/>
      <c r="BJ1488" s="799"/>
      <c r="BK1488" s="799"/>
      <c r="BL1488" s="799"/>
      <c r="BM1488" s="799"/>
      <c r="BN1488" s="799"/>
      <c r="BO1488" s="799"/>
      <c r="BP1488" s="799"/>
      <c r="BQ1488" s="799"/>
      <c r="BR1488" s="799"/>
    </row>
    <row r="1489" spans="1:70" ht="82.5">
      <c r="A1489" s="1163"/>
      <c r="B1489" s="34"/>
      <c r="C1489" s="1164" t="s">
        <v>107</v>
      </c>
      <c r="D1489" s="1164" t="s">
        <v>34</v>
      </c>
      <c r="E1489" s="1164" t="s">
        <v>39</v>
      </c>
      <c r="F1489" s="1164" t="s">
        <v>28</v>
      </c>
      <c r="G1489" s="1164" t="s">
        <v>25</v>
      </c>
      <c r="H1489" s="1164" t="s">
        <v>52</v>
      </c>
      <c r="I1489" s="2" t="s">
        <v>156</v>
      </c>
      <c r="J1489" s="2" t="s">
        <v>165</v>
      </c>
      <c r="K1489" s="1073">
        <v>72</v>
      </c>
      <c r="L1489" s="1073">
        <v>55482000</v>
      </c>
      <c r="M1489" s="1073">
        <v>36</v>
      </c>
      <c r="N1489" s="37">
        <v>71213439.200000003</v>
      </c>
      <c r="O1489" s="1073">
        <v>12</v>
      </c>
      <c r="P1489" s="37">
        <v>8905040</v>
      </c>
      <c r="Q1489" s="1166">
        <f t="shared" si="432"/>
        <v>3</v>
      </c>
      <c r="R1489" s="575">
        <v>4403780</v>
      </c>
      <c r="S1489" s="35">
        <v>3</v>
      </c>
      <c r="T1489" s="896">
        <v>4403780</v>
      </c>
      <c r="U1489" s="35"/>
      <c r="V1489" s="35"/>
      <c r="W1489" s="35"/>
      <c r="X1489" s="35"/>
      <c r="Y1489" s="874">
        <f t="shared" si="433"/>
        <v>6</v>
      </c>
      <c r="Z1489" s="1168">
        <f t="shared" si="437"/>
        <v>8807560</v>
      </c>
      <c r="AA1489" s="1169">
        <f t="shared" si="434"/>
        <v>42</v>
      </c>
      <c r="AB1489" s="1168">
        <f t="shared" si="438"/>
        <v>80020999.200000003</v>
      </c>
      <c r="AC1489" s="1170">
        <f t="shared" si="435"/>
        <v>58.333333333333336</v>
      </c>
      <c r="AD1489" s="1170">
        <f t="shared" si="436"/>
        <v>144.22875743484374</v>
      </c>
      <c r="AE1489" s="451"/>
      <c r="AF1489" s="798"/>
      <c r="AG1489" s="1005"/>
      <c r="AH1489" s="798"/>
      <c r="AI1489" s="798"/>
      <c r="AJ1489" s="798"/>
      <c r="AK1489" s="798"/>
      <c r="AL1489" s="798"/>
      <c r="AM1489" s="798"/>
      <c r="AN1489" s="798"/>
      <c r="AO1489" s="798"/>
      <c r="AP1489" s="798"/>
      <c r="AQ1489" s="798"/>
      <c r="AR1489" s="798"/>
      <c r="AS1489" s="798"/>
      <c r="AT1489" s="798"/>
      <c r="AU1489" s="798"/>
      <c r="AV1489" s="798"/>
      <c r="AW1489" s="798"/>
      <c r="AX1489" s="798"/>
      <c r="AY1489" s="798"/>
      <c r="AZ1489" s="798"/>
      <c r="BA1489" s="798"/>
      <c r="BB1489" s="798"/>
      <c r="BC1489" s="799"/>
      <c r="BD1489" s="799"/>
      <c r="BE1489" s="799"/>
      <c r="BF1489" s="799"/>
      <c r="BG1489" s="799"/>
      <c r="BH1489" s="799"/>
      <c r="BI1489" s="799"/>
      <c r="BJ1489" s="799"/>
      <c r="BK1489" s="799"/>
      <c r="BL1489" s="799"/>
      <c r="BM1489" s="799"/>
      <c r="BN1489" s="799"/>
      <c r="BO1489" s="799"/>
      <c r="BP1489" s="799"/>
      <c r="BQ1489" s="799"/>
      <c r="BR1489" s="799"/>
    </row>
    <row r="1490" spans="1:70" ht="82.5">
      <c r="A1490" s="1163"/>
      <c r="B1490" s="34"/>
      <c r="C1490" s="1164" t="s">
        <v>107</v>
      </c>
      <c r="D1490" s="1164" t="s">
        <v>34</v>
      </c>
      <c r="E1490" s="1164" t="s">
        <v>39</v>
      </c>
      <c r="F1490" s="1164" t="s">
        <v>28</v>
      </c>
      <c r="G1490" s="1164" t="s">
        <v>25</v>
      </c>
      <c r="H1490" s="1164" t="s">
        <v>45</v>
      </c>
      <c r="I1490" s="2" t="s">
        <v>157</v>
      </c>
      <c r="J1490" s="2" t="s">
        <v>166</v>
      </c>
      <c r="K1490" s="1073">
        <v>72</v>
      </c>
      <c r="L1490" s="1073">
        <v>36000000</v>
      </c>
      <c r="M1490" s="1073">
        <v>36</v>
      </c>
      <c r="N1490" s="37">
        <v>18087100</v>
      </c>
      <c r="O1490" s="1073">
        <v>12</v>
      </c>
      <c r="P1490" s="37">
        <v>5500000</v>
      </c>
      <c r="Q1490" s="1166">
        <f t="shared" si="432"/>
        <v>3</v>
      </c>
      <c r="R1490" s="575">
        <v>980000</v>
      </c>
      <c r="S1490" s="35">
        <v>3</v>
      </c>
      <c r="T1490" s="896">
        <v>1240000</v>
      </c>
      <c r="U1490" s="35"/>
      <c r="V1490" s="35"/>
      <c r="W1490" s="35"/>
      <c r="X1490" s="35"/>
      <c r="Y1490" s="874">
        <f t="shared" si="433"/>
        <v>6</v>
      </c>
      <c r="Z1490" s="1168">
        <f t="shared" si="437"/>
        <v>2220000</v>
      </c>
      <c r="AA1490" s="1169">
        <f t="shared" si="434"/>
        <v>42</v>
      </c>
      <c r="AB1490" s="1168">
        <f t="shared" si="438"/>
        <v>20307100</v>
      </c>
      <c r="AC1490" s="1170">
        <f t="shared" si="435"/>
        <v>58.333333333333336</v>
      </c>
      <c r="AD1490" s="1170">
        <f t="shared" si="436"/>
        <v>56.408611111111107</v>
      </c>
      <c r="AE1490" s="451"/>
      <c r="AF1490" s="798"/>
      <c r="AG1490" s="1005"/>
      <c r="AH1490" s="798"/>
      <c r="AI1490" s="798"/>
      <c r="AJ1490" s="798"/>
      <c r="AK1490" s="798"/>
      <c r="AL1490" s="798"/>
      <c r="AM1490" s="798"/>
      <c r="AN1490" s="798"/>
      <c r="AO1490" s="798"/>
      <c r="AP1490" s="798"/>
      <c r="AQ1490" s="798"/>
      <c r="AR1490" s="798"/>
      <c r="AS1490" s="798"/>
      <c r="AT1490" s="798"/>
      <c r="AU1490" s="798"/>
      <c r="AV1490" s="798"/>
      <c r="AW1490" s="798"/>
      <c r="AX1490" s="798"/>
      <c r="AY1490" s="798"/>
      <c r="AZ1490" s="798"/>
      <c r="BA1490" s="798"/>
      <c r="BB1490" s="798"/>
      <c r="BC1490" s="799"/>
      <c r="BD1490" s="799"/>
      <c r="BE1490" s="799"/>
      <c r="BF1490" s="799"/>
      <c r="BG1490" s="799"/>
      <c r="BH1490" s="799"/>
      <c r="BI1490" s="799"/>
      <c r="BJ1490" s="799"/>
      <c r="BK1490" s="799"/>
      <c r="BL1490" s="799"/>
      <c r="BM1490" s="799"/>
      <c r="BN1490" s="799"/>
      <c r="BO1490" s="799"/>
      <c r="BP1490" s="799"/>
      <c r="BQ1490" s="799"/>
      <c r="BR1490" s="799"/>
    </row>
    <row r="1491" spans="1:70" ht="85.5" customHeight="1">
      <c r="A1491" s="1163"/>
      <c r="B1491" s="34"/>
      <c r="C1491" s="1164" t="s">
        <v>107</v>
      </c>
      <c r="D1491" s="1164" t="s">
        <v>34</v>
      </c>
      <c r="E1491" s="1164" t="s">
        <v>39</v>
      </c>
      <c r="F1491" s="1164" t="s">
        <v>28</v>
      </c>
      <c r="G1491" s="1164" t="s">
        <v>25</v>
      </c>
      <c r="H1491" s="1164" t="s">
        <v>74</v>
      </c>
      <c r="I1491" s="2" t="s">
        <v>167</v>
      </c>
      <c r="J1491" s="2" t="s">
        <v>168</v>
      </c>
      <c r="K1491" s="1073">
        <v>72</v>
      </c>
      <c r="L1491" s="1073">
        <v>164340000</v>
      </c>
      <c r="M1491" s="1073">
        <v>36</v>
      </c>
      <c r="N1491" s="37">
        <v>88780929</v>
      </c>
      <c r="O1491" s="1073">
        <v>12</v>
      </c>
      <c r="P1491" s="37">
        <v>29122500</v>
      </c>
      <c r="Q1491" s="1166">
        <f t="shared" si="432"/>
        <v>3</v>
      </c>
      <c r="R1491" s="575">
        <v>822250</v>
      </c>
      <c r="S1491" s="35">
        <v>6</v>
      </c>
      <c r="T1491" s="896">
        <v>3449050</v>
      </c>
      <c r="U1491" s="35"/>
      <c r="V1491" s="35"/>
      <c r="W1491" s="35"/>
      <c r="X1491" s="35"/>
      <c r="Y1491" s="874">
        <f t="shared" si="433"/>
        <v>9</v>
      </c>
      <c r="Z1491" s="1168">
        <f t="shared" si="437"/>
        <v>4271300</v>
      </c>
      <c r="AA1491" s="1169">
        <f t="shared" si="434"/>
        <v>45</v>
      </c>
      <c r="AB1491" s="1168">
        <f t="shared" si="438"/>
        <v>93052229</v>
      </c>
      <c r="AC1491" s="1170">
        <f t="shared" si="435"/>
        <v>62.5</v>
      </c>
      <c r="AD1491" s="1170">
        <f t="shared" si="436"/>
        <v>56.621777412681027</v>
      </c>
      <c r="AE1491" s="451"/>
      <c r="AF1491" s="798"/>
      <c r="AG1491" s="1005"/>
      <c r="AH1491" s="798"/>
      <c r="AI1491" s="798"/>
      <c r="AJ1491" s="798"/>
      <c r="AK1491" s="798"/>
      <c r="AL1491" s="798"/>
      <c r="AM1491" s="798"/>
      <c r="AN1491" s="798"/>
      <c r="AO1491" s="798"/>
      <c r="AP1491" s="798"/>
      <c r="AQ1491" s="798"/>
      <c r="AR1491" s="798"/>
      <c r="AS1491" s="798"/>
      <c r="AT1491" s="798"/>
      <c r="AU1491" s="798"/>
      <c r="AV1491" s="798"/>
      <c r="AW1491" s="798"/>
      <c r="AX1491" s="798"/>
      <c r="AY1491" s="798"/>
      <c r="AZ1491" s="798"/>
      <c r="BA1491" s="798"/>
      <c r="BB1491" s="798"/>
      <c r="BC1491" s="799"/>
      <c r="BD1491" s="799"/>
      <c r="BE1491" s="799"/>
      <c r="BF1491" s="799"/>
      <c r="BG1491" s="799"/>
      <c r="BH1491" s="799"/>
      <c r="BI1491" s="799"/>
      <c r="BJ1491" s="799"/>
      <c r="BK1491" s="799"/>
      <c r="BL1491" s="799"/>
      <c r="BM1491" s="799"/>
      <c r="BN1491" s="799"/>
      <c r="BO1491" s="799"/>
      <c r="BP1491" s="799"/>
      <c r="BQ1491" s="799"/>
      <c r="BR1491" s="799"/>
    </row>
    <row r="1492" spans="1:70" ht="66">
      <c r="A1492" s="1163"/>
      <c r="B1492" s="34"/>
      <c r="C1492" s="1164" t="s">
        <v>107</v>
      </c>
      <c r="D1492" s="1164" t="s">
        <v>34</v>
      </c>
      <c r="E1492" s="1164" t="s">
        <v>39</v>
      </c>
      <c r="F1492" s="1164" t="s">
        <v>28</v>
      </c>
      <c r="G1492" s="1164" t="s">
        <v>25</v>
      </c>
      <c r="H1492" s="1164" t="s">
        <v>44</v>
      </c>
      <c r="I1492" s="2" t="s">
        <v>169</v>
      </c>
      <c r="J1492" s="2" t="s">
        <v>170</v>
      </c>
      <c r="K1492" s="1073">
        <v>72</v>
      </c>
      <c r="L1492" s="1073">
        <v>859440000</v>
      </c>
      <c r="M1492" s="1073">
        <v>36</v>
      </c>
      <c r="N1492" s="37">
        <v>389124218.42799997</v>
      </c>
      <c r="O1492" s="1073">
        <v>12</v>
      </c>
      <c r="P1492" s="37">
        <v>88200000</v>
      </c>
      <c r="Q1492" s="1166">
        <f t="shared" si="432"/>
        <v>3</v>
      </c>
      <c r="R1492" s="575">
        <v>14975000</v>
      </c>
      <c r="S1492" s="35">
        <v>3</v>
      </c>
      <c r="T1492" s="896">
        <v>37130000</v>
      </c>
      <c r="U1492" s="35"/>
      <c r="V1492" s="35"/>
      <c r="W1492" s="35"/>
      <c r="X1492" s="35"/>
      <c r="Y1492" s="874">
        <f t="shared" si="433"/>
        <v>6</v>
      </c>
      <c r="Z1492" s="1168">
        <f t="shared" si="437"/>
        <v>52105000</v>
      </c>
      <c r="AA1492" s="1169">
        <f t="shared" si="434"/>
        <v>42</v>
      </c>
      <c r="AB1492" s="1168">
        <f t="shared" si="438"/>
        <v>441229218.42799997</v>
      </c>
      <c r="AC1492" s="1170">
        <f t="shared" si="435"/>
        <v>58.333333333333336</v>
      </c>
      <c r="AD1492" s="1170">
        <f t="shared" si="436"/>
        <v>51.339153219305587</v>
      </c>
      <c r="AE1492" s="451"/>
      <c r="AF1492" s="798"/>
      <c r="AG1492" s="1005"/>
      <c r="AH1492" s="798"/>
      <c r="AI1492" s="798"/>
      <c r="AJ1492" s="798"/>
      <c r="AK1492" s="798"/>
      <c r="AL1492" s="798"/>
      <c r="AM1492" s="798"/>
      <c r="AN1492" s="798"/>
      <c r="AO1492" s="798"/>
      <c r="AP1492" s="798"/>
      <c r="AQ1492" s="798"/>
      <c r="AR1492" s="798"/>
      <c r="AS1492" s="798"/>
      <c r="AT1492" s="798"/>
      <c r="AU1492" s="798"/>
      <c r="AV1492" s="798"/>
      <c r="AW1492" s="798"/>
      <c r="AX1492" s="798"/>
      <c r="AY1492" s="798"/>
      <c r="AZ1492" s="798"/>
      <c r="BA1492" s="798"/>
      <c r="BB1492" s="798"/>
      <c r="BC1492" s="799"/>
      <c r="BD1492" s="799"/>
      <c r="BE1492" s="799"/>
      <c r="BF1492" s="799"/>
      <c r="BG1492" s="799"/>
      <c r="BH1492" s="799"/>
      <c r="BI1492" s="799"/>
      <c r="BJ1492" s="799"/>
      <c r="BK1492" s="799"/>
      <c r="BL1492" s="799"/>
      <c r="BM1492" s="799"/>
      <c r="BN1492" s="799"/>
      <c r="BO1492" s="799"/>
      <c r="BP1492" s="799"/>
      <c r="BQ1492" s="799"/>
      <c r="BR1492" s="799"/>
    </row>
    <row r="1493" spans="1:70" ht="66">
      <c r="A1493" s="1163"/>
      <c r="B1493" s="34"/>
      <c r="C1493" s="1164" t="s">
        <v>107</v>
      </c>
      <c r="D1493" s="1164" t="s">
        <v>34</v>
      </c>
      <c r="E1493" s="1164" t="s">
        <v>39</v>
      </c>
      <c r="F1493" s="1164" t="s">
        <v>28</v>
      </c>
      <c r="G1493" s="1164" t="s">
        <v>25</v>
      </c>
      <c r="H1493" s="1164" t="s">
        <v>47</v>
      </c>
      <c r="I1493" s="2" t="s">
        <v>171</v>
      </c>
      <c r="J1493" s="2" t="s">
        <v>172</v>
      </c>
      <c r="K1493" s="1073">
        <v>72</v>
      </c>
      <c r="L1493" s="1073">
        <v>534900000</v>
      </c>
      <c r="M1493" s="1073">
        <v>36</v>
      </c>
      <c r="N1493" s="37">
        <v>257040925</v>
      </c>
      <c r="O1493" s="1073">
        <v>12</v>
      </c>
      <c r="P1493" s="37">
        <v>130000000</v>
      </c>
      <c r="Q1493" s="1166">
        <f t="shared" si="432"/>
        <v>3</v>
      </c>
      <c r="R1493" s="575">
        <v>21250000</v>
      </c>
      <c r="S1493" s="35">
        <v>3</v>
      </c>
      <c r="T1493" s="896">
        <v>53170000</v>
      </c>
      <c r="U1493" s="35"/>
      <c r="V1493" s="35"/>
      <c r="W1493" s="35"/>
      <c r="X1493" s="35"/>
      <c r="Y1493" s="874">
        <f t="shared" si="433"/>
        <v>6</v>
      </c>
      <c r="Z1493" s="1168">
        <f t="shared" si="437"/>
        <v>74420000</v>
      </c>
      <c r="AA1493" s="1169">
        <f t="shared" si="434"/>
        <v>42</v>
      </c>
      <c r="AB1493" s="1168">
        <f t="shared" si="438"/>
        <v>331460925</v>
      </c>
      <c r="AC1493" s="1170">
        <f t="shared" si="435"/>
        <v>58.333333333333336</v>
      </c>
      <c r="AD1493" s="1170">
        <f t="shared" si="436"/>
        <v>61.966895681435787</v>
      </c>
      <c r="AE1493" s="451"/>
      <c r="AF1493" s="798"/>
      <c r="AG1493" s="1005"/>
      <c r="AH1493" s="798"/>
      <c r="AI1493" s="798"/>
      <c r="AJ1493" s="798"/>
      <c r="AK1493" s="798"/>
      <c r="AL1493" s="798"/>
      <c r="AM1493" s="798"/>
      <c r="AN1493" s="798"/>
      <c r="AO1493" s="798"/>
      <c r="AP1493" s="798"/>
      <c r="AQ1493" s="798"/>
      <c r="AR1493" s="798"/>
      <c r="AS1493" s="798"/>
      <c r="AT1493" s="798"/>
      <c r="AU1493" s="798"/>
      <c r="AV1493" s="798"/>
      <c r="AW1493" s="798"/>
      <c r="AX1493" s="798"/>
      <c r="AY1493" s="798"/>
      <c r="AZ1493" s="798"/>
      <c r="BA1493" s="798"/>
      <c r="BB1493" s="798"/>
      <c r="BC1493" s="799"/>
      <c r="BD1493" s="799"/>
      <c r="BE1493" s="799"/>
      <c r="BF1493" s="799"/>
      <c r="BG1493" s="799"/>
      <c r="BH1493" s="799"/>
      <c r="BI1493" s="799"/>
      <c r="BJ1493" s="799"/>
      <c r="BK1493" s="799"/>
      <c r="BL1493" s="799"/>
      <c r="BM1493" s="799"/>
      <c r="BN1493" s="799"/>
      <c r="BO1493" s="799"/>
      <c r="BP1493" s="799"/>
      <c r="BQ1493" s="799"/>
      <c r="BR1493" s="799"/>
    </row>
    <row r="1494" spans="1:70" ht="82.5">
      <c r="A1494" s="1163"/>
      <c r="B1494" s="34"/>
      <c r="C1494" s="1164" t="s">
        <v>107</v>
      </c>
      <c r="D1494" s="1164" t="s">
        <v>34</v>
      </c>
      <c r="E1494" s="1164" t="s">
        <v>39</v>
      </c>
      <c r="F1494" s="1164" t="s">
        <v>28</v>
      </c>
      <c r="G1494" s="1164" t="s">
        <v>25</v>
      </c>
      <c r="H1494" s="1164" t="s">
        <v>53</v>
      </c>
      <c r="I1494" s="2" t="s">
        <v>399</v>
      </c>
      <c r="J1494" s="2" t="s">
        <v>173</v>
      </c>
      <c r="K1494" s="1073">
        <v>48</v>
      </c>
      <c r="L1494" s="1073">
        <v>106280000</v>
      </c>
      <c r="M1494" s="1073">
        <v>36</v>
      </c>
      <c r="N1494" s="37">
        <v>182000294.93200001</v>
      </c>
      <c r="O1494" s="1073">
        <v>12</v>
      </c>
      <c r="P1494" s="37">
        <v>403596700</v>
      </c>
      <c r="Q1494" s="1166">
        <f t="shared" si="432"/>
        <v>3</v>
      </c>
      <c r="R1494" s="575">
        <v>5731200</v>
      </c>
      <c r="S1494" s="35">
        <v>3</v>
      </c>
      <c r="T1494" s="896">
        <v>99708200</v>
      </c>
      <c r="U1494" s="35"/>
      <c r="V1494" s="35"/>
      <c r="W1494" s="35"/>
      <c r="X1494" s="35"/>
      <c r="Y1494" s="874">
        <f t="shared" si="433"/>
        <v>6</v>
      </c>
      <c r="Z1494" s="1168">
        <f t="shared" si="437"/>
        <v>105439400</v>
      </c>
      <c r="AA1494" s="1169">
        <f t="shared" si="434"/>
        <v>42</v>
      </c>
      <c r="AB1494" s="1168">
        <f t="shared" si="438"/>
        <v>287439694.93200004</v>
      </c>
      <c r="AC1494" s="1170">
        <f t="shared" si="435"/>
        <v>87.5</v>
      </c>
      <c r="AD1494" s="1170">
        <f t="shared" si="436"/>
        <v>270.45511378622507</v>
      </c>
      <c r="AE1494" s="451"/>
      <c r="AF1494" s="798"/>
      <c r="AG1494" s="1005"/>
      <c r="AH1494" s="798"/>
      <c r="AI1494" s="798"/>
      <c r="AJ1494" s="798"/>
      <c r="AK1494" s="798"/>
      <c r="AL1494" s="798"/>
      <c r="AM1494" s="798"/>
      <c r="AN1494" s="798"/>
      <c r="AO1494" s="798"/>
      <c r="AP1494" s="798"/>
      <c r="AQ1494" s="798"/>
      <c r="AR1494" s="798"/>
      <c r="AS1494" s="798"/>
      <c r="AT1494" s="798"/>
      <c r="AU1494" s="798"/>
      <c r="AV1494" s="798"/>
      <c r="AW1494" s="798"/>
      <c r="AX1494" s="798"/>
      <c r="AY1494" s="798"/>
      <c r="AZ1494" s="798"/>
      <c r="BA1494" s="798"/>
      <c r="BB1494" s="798"/>
      <c r="BC1494" s="799"/>
      <c r="BD1494" s="799"/>
      <c r="BE1494" s="799"/>
      <c r="BF1494" s="799"/>
      <c r="BG1494" s="799"/>
      <c r="BH1494" s="799"/>
      <c r="BI1494" s="799"/>
      <c r="BJ1494" s="799"/>
      <c r="BK1494" s="799"/>
      <c r="BL1494" s="799"/>
      <c r="BM1494" s="799"/>
      <c r="BN1494" s="799"/>
      <c r="BO1494" s="799"/>
      <c r="BP1494" s="799"/>
      <c r="BQ1494" s="799"/>
      <c r="BR1494" s="799"/>
    </row>
    <row r="1495" spans="1:70" ht="49.5">
      <c r="A1495" s="1171">
        <v>2</v>
      </c>
      <c r="B1495" s="44"/>
      <c r="C1495" s="768" t="s">
        <v>107</v>
      </c>
      <c r="D1495" s="768" t="s">
        <v>34</v>
      </c>
      <c r="E1495" s="768" t="s">
        <v>39</v>
      </c>
      <c r="F1495" s="768" t="s">
        <v>28</v>
      </c>
      <c r="G1495" s="768" t="s">
        <v>28</v>
      </c>
      <c r="H1495" s="1121"/>
      <c r="I1495" s="44" t="s">
        <v>36</v>
      </c>
      <c r="J1495" s="518" t="s">
        <v>3142</v>
      </c>
      <c r="K1495" s="1172">
        <v>72</v>
      </c>
      <c r="L1495" s="1173">
        <f>SUM(L1496:L1499)</f>
        <v>2325952700</v>
      </c>
      <c r="M1495" s="1172">
        <v>36</v>
      </c>
      <c r="N1495" s="1173">
        <v>1407196428.8</v>
      </c>
      <c r="O1495" s="1172">
        <v>12</v>
      </c>
      <c r="P1495" s="1173">
        <f>SUM(P1496:P1499)</f>
        <v>664139320</v>
      </c>
      <c r="Q1495" s="584">
        <v>3</v>
      </c>
      <c r="R1495" s="1174">
        <f>SUM(R1496:R1499)</f>
        <v>176999850</v>
      </c>
      <c r="S1495" s="518"/>
      <c r="T1495" s="1184">
        <f>SUM(T1496:T1499)</f>
        <v>262179150</v>
      </c>
      <c r="U1495" s="518"/>
      <c r="V1495" s="518"/>
      <c r="W1495" s="518"/>
      <c r="X1495" s="518"/>
      <c r="Y1495" s="1175">
        <f t="shared" si="433"/>
        <v>3</v>
      </c>
      <c r="Z1495" s="1176">
        <f>SUM(Z1496:Z1499)</f>
        <v>439179000</v>
      </c>
      <c r="AA1495" s="1175">
        <f t="shared" si="434"/>
        <v>39</v>
      </c>
      <c r="AB1495" s="1176">
        <f>SUM(AB1496:AB1499)</f>
        <v>1846375428.8</v>
      </c>
      <c r="AC1495" s="868">
        <f t="shared" si="435"/>
        <v>54.166666666666664</v>
      </c>
      <c r="AD1495" s="868">
        <f t="shared" si="436"/>
        <v>79.381469313627917</v>
      </c>
      <c r="AE1495" s="2554" t="s">
        <v>396</v>
      </c>
      <c r="AF1495" s="798"/>
      <c r="AG1495" s="1005"/>
      <c r="AH1495" s="798"/>
      <c r="AI1495" s="798"/>
      <c r="AJ1495" s="798"/>
      <c r="AK1495" s="798"/>
      <c r="AL1495" s="798"/>
      <c r="AM1495" s="798"/>
      <c r="AN1495" s="798"/>
      <c r="AO1495" s="798"/>
      <c r="AP1495" s="798"/>
      <c r="AQ1495" s="798"/>
      <c r="AR1495" s="798"/>
      <c r="AS1495" s="798"/>
      <c r="AT1495" s="798"/>
      <c r="AU1495" s="798"/>
      <c r="AV1495" s="798"/>
      <c r="AW1495" s="798"/>
      <c r="AX1495" s="798"/>
      <c r="AY1495" s="798"/>
      <c r="AZ1495" s="798"/>
      <c r="BA1495" s="798"/>
      <c r="BB1495" s="798"/>
      <c r="BC1495" s="799"/>
      <c r="BD1495" s="799"/>
      <c r="BE1495" s="799"/>
      <c r="BF1495" s="799"/>
      <c r="BG1495" s="799"/>
      <c r="BH1495" s="799"/>
      <c r="BI1495" s="799"/>
      <c r="BJ1495" s="799"/>
      <c r="BK1495" s="799"/>
      <c r="BL1495" s="799"/>
      <c r="BM1495" s="799"/>
      <c r="BN1495" s="799"/>
      <c r="BO1495" s="799"/>
      <c r="BP1495" s="799"/>
      <c r="BQ1495" s="799"/>
      <c r="BR1495" s="799"/>
    </row>
    <row r="1496" spans="1:70" ht="49.5">
      <c r="A1496" s="1163"/>
      <c r="B1496" s="34"/>
      <c r="C1496" s="1164" t="s">
        <v>107</v>
      </c>
      <c r="D1496" s="1164" t="s">
        <v>34</v>
      </c>
      <c r="E1496" s="1164" t="s">
        <v>39</v>
      </c>
      <c r="F1496" s="1164" t="s">
        <v>28</v>
      </c>
      <c r="G1496" s="1164" t="s">
        <v>28</v>
      </c>
      <c r="H1496" s="1164" t="s">
        <v>43</v>
      </c>
      <c r="I1496" s="35" t="s">
        <v>82</v>
      </c>
      <c r="J1496" s="2" t="s">
        <v>400</v>
      </c>
      <c r="K1496" s="506">
        <v>60</v>
      </c>
      <c r="L1496" s="1073">
        <v>559420000</v>
      </c>
      <c r="M1496" s="1073">
        <v>42</v>
      </c>
      <c r="N1496" s="1073">
        <v>225690038</v>
      </c>
      <c r="O1496" s="506">
        <v>11</v>
      </c>
      <c r="P1496" s="36">
        <v>144765870</v>
      </c>
      <c r="Q1496" s="1166">
        <v>10</v>
      </c>
      <c r="R1496" s="558">
        <v>107078000</v>
      </c>
      <c r="S1496" s="1177">
        <v>3</v>
      </c>
      <c r="T1496" s="2672">
        <v>107078000</v>
      </c>
      <c r="U1496" s="1177"/>
      <c r="V1496" s="1177"/>
      <c r="W1496" s="1177"/>
      <c r="X1496" s="1177"/>
      <c r="Y1496" s="874">
        <f t="shared" si="433"/>
        <v>13</v>
      </c>
      <c r="Z1496" s="1168">
        <f>R1496+T1496+V1496+X1496</f>
        <v>214156000</v>
      </c>
      <c r="AA1496" s="1169">
        <f t="shared" si="434"/>
        <v>55</v>
      </c>
      <c r="AB1496" s="1168">
        <f>N1496+Z1496</f>
        <v>439846038</v>
      </c>
      <c r="AC1496" s="1170">
        <f t="shared" si="435"/>
        <v>91.666666666666657</v>
      </c>
      <c r="AD1496" s="1170">
        <f t="shared" si="436"/>
        <v>78.625368774802467</v>
      </c>
      <c r="AE1496" s="451"/>
      <c r="AF1496" s="798"/>
      <c r="AG1496" s="1005"/>
      <c r="AH1496" s="798"/>
      <c r="AI1496" s="798"/>
      <c r="AJ1496" s="798"/>
      <c r="AK1496" s="798"/>
      <c r="AL1496" s="798"/>
      <c r="AM1496" s="798"/>
      <c r="AN1496" s="798"/>
      <c r="AO1496" s="798"/>
      <c r="AP1496" s="798"/>
      <c r="AQ1496" s="798"/>
      <c r="AR1496" s="798"/>
      <c r="AS1496" s="798"/>
      <c r="AT1496" s="798"/>
      <c r="AU1496" s="798"/>
      <c r="AV1496" s="798"/>
      <c r="AW1496" s="798"/>
      <c r="AX1496" s="798"/>
      <c r="AY1496" s="798"/>
      <c r="AZ1496" s="798"/>
      <c r="BA1496" s="798"/>
      <c r="BB1496" s="798"/>
      <c r="BC1496" s="799"/>
      <c r="BD1496" s="799"/>
      <c r="BE1496" s="799"/>
      <c r="BF1496" s="799"/>
      <c r="BG1496" s="799"/>
      <c r="BH1496" s="799"/>
      <c r="BI1496" s="799"/>
      <c r="BJ1496" s="799"/>
      <c r="BK1496" s="799"/>
      <c r="BL1496" s="799"/>
      <c r="BM1496" s="799"/>
      <c r="BN1496" s="799"/>
      <c r="BO1496" s="799"/>
      <c r="BP1496" s="799"/>
      <c r="BQ1496" s="799"/>
      <c r="BR1496" s="799"/>
    </row>
    <row r="1497" spans="1:70" ht="33">
      <c r="A1497" s="1163"/>
      <c r="B1497" s="34"/>
      <c r="C1497" s="1164" t="s">
        <v>107</v>
      </c>
      <c r="D1497" s="1164" t="s">
        <v>34</v>
      </c>
      <c r="E1497" s="1164" t="s">
        <v>39</v>
      </c>
      <c r="F1497" s="1164" t="s">
        <v>28</v>
      </c>
      <c r="G1497" s="1164" t="s">
        <v>28</v>
      </c>
      <c r="H1497" s="1164" t="s">
        <v>31</v>
      </c>
      <c r="I1497" s="35" t="s">
        <v>83</v>
      </c>
      <c r="J1497" s="38" t="s">
        <v>401</v>
      </c>
      <c r="K1497" s="506">
        <v>60</v>
      </c>
      <c r="L1497" s="1178">
        <v>334550000</v>
      </c>
      <c r="M1497" s="1178">
        <v>54</v>
      </c>
      <c r="N1497" s="1178">
        <v>343061552</v>
      </c>
      <c r="O1497" s="506">
        <v>3</v>
      </c>
      <c r="P1497" s="36">
        <v>103913450</v>
      </c>
      <c r="Q1497" s="1166">
        <f>O1497/4</f>
        <v>0.75</v>
      </c>
      <c r="R1497" s="558">
        <v>0</v>
      </c>
      <c r="S1497" s="1177">
        <v>3</v>
      </c>
      <c r="T1497" s="2672">
        <v>17400000</v>
      </c>
      <c r="U1497" s="1177"/>
      <c r="V1497" s="1177"/>
      <c r="W1497" s="1177"/>
      <c r="X1497" s="1177"/>
      <c r="Y1497" s="874">
        <f t="shared" si="433"/>
        <v>3.75</v>
      </c>
      <c r="Z1497" s="1168">
        <f>R1497+T1497+V1497+X1497</f>
        <v>17400000</v>
      </c>
      <c r="AA1497" s="1169">
        <f t="shared" si="434"/>
        <v>57.75</v>
      </c>
      <c r="AB1497" s="1168">
        <f>N1497+Z1497</f>
        <v>360461552</v>
      </c>
      <c r="AC1497" s="1170">
        <f t="shared" si="435"/>
        <v>96.25</v>
      </c>
      <c r="AD1497" s="1170">
        <f t="shared" si="436"/>
        <v>107.74519563592887</v>
      </c>
      <c r="AE1497" s="451"/>
      <c r="AF1497" s="798"/>
      <c r="AG1497" s="1005"/>
      <c r="AH1497" s="798"/>
      <c r="AI1497" s="798"/>
      <c r="AJ1497" s="798"/>
      <c r="AK1497" s="798"/>
      <c r="AL1497" s="798"/>
      <c r="AM1497" s="798"/>
      <c r="AN1497" s="798"/>
      <c r="AO1497" s="798"/>
      <c r="AP1497" s="798"/>
      <c r="AQ1497" s="798"/>
      <c r="AR1497" s="798"/>
      <c r="AS1497" s="798"/>
      <c r="AT1497" s="798"/>
      <c r="AU1497" s="798"/>
      <c r="AV1497" s="798"/>
      <c r="AW1497" s="798"/>
      <c r="AX1497" s="798"/>
      <c r="AY1497" s="798"/>
      <c r="AZ1497" s="798"/>
      <c r="BA1497" s="798"/>
      <c r="BB1497" s="798"/>
      <c r="BC1497" s="799"/>
      <c r="BD1497" s="799"/>
      <c r="BE1497" s="799"/>
      <c r="BF1497" s="799"/>
      <c r="BG1497" s="799"/>
      <c r="BH1497" s="799"/>
      <c r="BI1497" s="799"/>
      <c r="BJ1497" s="799"/>
      <c r="BK1497" s="799"/>
      <c r="BL1497" s="799"/>
      <c r="BM1497" s="799"/>
      <c r="BN1497" s="799"/>
      <c r="BO1497" s="799"/>
      <c r="BP1497" s="799"/>
      <c r="BQ1497" s="799"/>
      <c r="BR1497" s="799"/>
    </row>
    <row r="1498" spans="1:70" ht="49.5">
      <c r="A1498" s="1163"/>
      <c r="B1498" s="34"/>
      <c r="C1498" s="1164" t="s">
        <v>107</v>
      </c>
      <c r="D1498" s="1164" t="s">
        <v>34</v>
      </c>
      <c r="E1498" s="1164" t="s">
        <v>39</v>
      </c>
      <c r="F1498" s="1164" t="s">
        <v>28</v>
      </c>
      <c r="G1498" s="1164" t="s">
        <v>28</v>
      </c>
      <c r="H1498" s="1164" t="s">
        <v>61</v>
      </c>
      <c r="I1498" s="35" t="s">
        <v>98</v>
      </c>
      <c r="J1498" s="2" t="s">
        <v>89</v>
      </c>
      <c r="K1498" s="506">
        <v>72</v>
      </c>
      <c r="L1498" s="1073">
        <v>502384000</v>
      </c>
      <c r="M1498" s="1073">
        <v>54</v>
      </c>
      <c r="N1498" s="1073">
        <v>509544388.80000001</v>
      </c>
      <c r="O1498" s="506">
        <v>12</v>
      </c>
      <c r="P1498" s="36">
        <v>174000000</v>
      </c>
      <c r="Q1498" s="1166">
        <f>O1498/4</f>
        <v>3</v>
      </c>
      <c r="R1498" s="558">
        <v>43059500</v>
      </c>
      <c r="S1498" s="1177">
        <v>3</v>
      </c>
      <c r="T1498" s="2672">
        <v>76995000</v>
      </c>
      <c r="U1498" s="1177"/>
      <c r="V1498" s="1177"/>
      <c r="W1498" s="1177"/>
      <c r="X1498" s="1177"/>
      <c r="Y1498" s="874">
        <f t="shared" si="433"/>
        <v>6</v>
      </c>
      <c r="Z1498" s="1168">
        <f>R1498+T1498+V1498+X1498</f>
        <v>120054500</v>
      </c>
      <c r="AA1498" s="1169">
        <f t="shared" si="434"/>
        <v>60</v>
      </c>
      <c r="AB1498" s="1168">
        <f>N1498+Z1498</f>
        <v>629598888.79999995</v>
      </c>
      <c r="AC1498" s="1170">
        <f t="shared" si="435"/>
        <v>83.333333333333343</v>
      </c>
      <c r="AD1498" s="1170">
        <f t="shared" si="436"/>
        <v>125.32224131341762</v>
      </c>
      <c r="AE1498" s="451"/>
      <c r="AF1498" s="798"/>
      <c r="AG1498" s="1005"/>
      <c r="AH1498" s="798"/>
      <c r="AI1498" s="798"/>
      <c r="AJ1498" s="798"/>
      <c r="AK1498" s="798"/>
      <c r="AL1498" s="798"/>
      <c r="AM1498" s="798"/>
      <c r="AN1498" s="798"/>
      <c r="AO1498" s="798"/>
      <c r="AP1498" s="798"/>
      <c r="AQ1498" s="798"/>
      <c r="AR1498" s="798"/>
      <c r="AS1498" s="798"/>
      <c r="AT1498" s="798"/>
      <c r="AU1498" s="798"/>
      <c r="AV1498" s="798"/>
      <c r="AW1498" s="798"/>
      <c r="AX1498" s="798"/>
      <c r="AY1498" s="798"/>
      <c r="AZ1498" s="798"/>
      <c r="BA1498" s="798"/>
      <c r="BB1498" s="798"/>
      <c r="BC1498" s="799"/>
      <c r="BD1498" s="799"/>
      <c r="BE1498" s="799"/>
      <c r="BF1498" s="799"/>
      <c r="BG1498" s="799"/>
      <c r="BH1498" s="799"/>
      <c r="BI1498" s="799"/>
      <c r="BJ1498" s="799"/>
      <c r="BK1498" s="799"/>
      <c r="BL1498" s="799"/>
      <c r="BM1498" s="799"/>
      <c r="BN1498" s="799"/>
      <c r="BO1498" s="799"/>
      <c r="BP1498" s="799"/>
      <c r="BQ1498" s="799"/>
      <c r="BR1498" s="799"/>
    </row>
    <row r="1499" spans="1:70" ht="66">
      <c r="A1499" s="1163"/>
      <c r="B1499" s="34"/>
      <c r="C1499" s="1164" t="s">
        <v>107</v>
      </c>
      <c r="D1499" s="1164" t="s">
        <v>34</v>
      </c>
      <c r="E1499" s="1164" t="s">
        <v>39</v>
      </c>
      <c r="F1499" s="1164" t="s">
        <v>28</v>
      </c>
      <c r="G1499" s="1164" t="s">
        <v>28</v>
      </c>
      <c r="H1499" s="1164" t="s">
        <v>84</v>
      </c>
      <c r="I1499" s="35" t="s">
        <v>239</v>
      </c>
      <c r="J1499" s="2" t="s">
        <v>174</v>
      </c>
      <c r="K1499" s="506">
        <v>72</v>
      </c>
      <c r="L1499" s="1073">
        <v>929598700</v>
      </c>
      <c r="M1499" s="1073">
        <v>54</v>
      </c>
      <c r="N1499" s="1073">
        <v>328900450</v>
      </c>
      <c r="O1499" s="506">
        <v>12</v>
      </c>
      <c r="P1499" s="36">
        <v>241460000</v>
      </c>
      <c r="Q1499" s="1166">
        <f>O1499/4</f>
        <v>3</v>
      </c>
      <c r="R1499" s="558">
        <v>26862350</v>
      </c>
      <c r="S1499" s="1177">
        <v>3</v>
      </c>
      <c r="T1499" s="2672">
        <v>60706150</v>
      </c>
      <c r="U1499" s="1177"/>
      <c r="V1499" s="1177"/>
      <c r="W1499" s="1177"/>
      <c r="X1499" s="1177"/>
      <c r="Y1499" s="874">
        <f t="shared" si="433"/>
        <v>6</v>
      </c>
      <c r="Z1499" s="1168">
        <f>R1499+T1499+V1499+X1499</f>
        <v>87568500</v>
      </c>
      <c r="AA1499" s="1179">
        <f t="shared" si="434"/>
        <v>60</v>
      </c>
      <c r="AB1499" s="1168">
        <f>N1499+Z1499</f>
        <v>416468950</v>
      </c>
      <c r="AC1499" s="1170">
        <f t="shared" si="435"/>
        <v>83.333333333333343</v>
      </c>
      <c r="AD1499" s="1170">
        <f t="shared" si="436"/>
        <v>44.800939373086472</v>
      </c>
      <c r="AE1499" s="451"/>
      <c r="AF1499" s="796"/>
      <c r="AG1499" s="1684"/>
      <c r="AH1499" s="796"/>
      <c r="AI1499" s="796"/>
      <c r="AJ1499" s="796"/>
      <c r="AK1499" s="796"/>
      <c r="AL1499" s="796"/>
      <c r="AM1499" s="796"/>
      <c r="AN1499" s="796"/>
      <c r="AO1499" s="796"/>
      <c r="AP1499" s="796"/>
      <c r="AQ1499" s="796"/>
      <c r="AR1499" s="796"/>
      <c r="AS1499" s="796"/>
      <c r="AT1499" s="796"/>
      <c r="AU1499" s="796"/>
      <c r="AV1499" s="796"/>
      <c r="AW1499" s="796"/>
      <c r="AX1499" s="796"/>
      <c r="AY1499" s="796"/>
      <c r="AZ1499" s="796"/>
      <c r="BA1499" s="796"/>
      <c r="BB1499" s="796"/>
      <c r="BC1499" s="797"/>
      <c r="BD1499" s="797"/>
      <c r="BE1499" s="797"/>
      <c r="BF1499" s="797"/>
      <c r="BG1499" s="797"/>
      <c r="BH1499" s="797"/>
      <c r="BI1499" s="797"/>
      <c r="BJ1499" s="797"/>
      <c r="BK1499" s="797"/>
      <c r="BL1499" s="797"/>
      <c r="BM1499" s="797"/>
      <c r="BN1499" s="797"/>
      <c r="BO1499" s="797"/>
      <c r="BP1499" s="797"/>
      <c r="BQ1499" s="797"/>
      <c r="BR1499" s="797"/>
    </row>
    <row r="1500" spans="1:70" ht="66">
      <c r="A1500" s="1171">
        <v>3</v>
      </c>
      <c r="B1500" s="44"/>
      <c r="C1500" s="768" t="s">
        <v>107</v>
      </c>
      <c r="D1500" s="768" t="s">
        <v>34</v>
      </c>
      <c r="E1500" s="768" t="s">
        <v>39</v>
      </c>
      <c r="F1500" s="768" t="s">
        <v>28</v>
      </c>
      <c r="G1500" s="768" t="s">
        <v>56</v>
      </c>
      <c r="H1500" s="1121"/>
      <c r="I1500" s="44" t="s">
        <v>175</v>
      </c>
      <c r="J1500" s="518" t="s">
        <v>3091</v>
      </c>
      <c r="K1500" s="1172" t="s">
        <v>113</v>
      </c>
      <c r="L1500" s="1173">
        <f>L1501</f>
        <v>156000000</v>
      </c>
      <c r="M1500" s="1172" t="s">
        <v>114</v>
      </c>
      <c r="N1500" s="1173">
        <v>75077187.489999995</v>
      </c>
      <c r="O1500" s="1172" t="s">
        <v>1964</v>
      </c>
      <c r="P1500" s="1173">
        <f>P1501</f>
        <v>39781000</v>
      </c>
      <c r="Q1500" s="584"/>
      <c r="R1500" s="1174">
        <f>R1501</f>
        <v>3568250</v>
      </c>
      <c r="S1500" s="518"/>
      <c r="T1500" s="2675">
        <f>SUM(T1501)</f>
        <v>18382250</v>
      </c>
      <c r="U1500" s="518"/>
      <c r="V1500" s="518"/>
      <c r="W1500" s="518"/>
      <c r="X1500" s="518"/>
      <c r="Y1500" s="146">
        <f t="shared" si="433"/>
        <v>0</v>
      </c>
      <c r="Z1500" s="1176">
        <f>Z1501</f>
        <v>21950500</v>
      </c>
      <c r="AA1500" s="146" t="s">
        <v>114</v>
      </c>
      <c r="AB1500" s="1176">
        <f>AB1501</f>
        <v>97027687.489999995</v>
      </c>
      <c r="AC1500" s="868">
        <v>85</v>
      </c>
      <c r="AD1500" s="868">
        <f>(AB1500/L1500)*100</f>
        <v>62.197235570512824</v>
      </c>
      <c r="AE1500" s="2554" t="s">
        <v>396</v>
      </c>
      <c r="AF1500" s="798"/>
      <c r="AG1500" s="1005"/>
      <c r="AH1500" s="798"/>
      <c r="AI1500" s="798"/>
      <c r="AJ1500" s="798"/>
      <c r="AK1500" s="798"/>
      <c r="AL1500" s="798"/>
      <c r="AM1500" s="798"/>
      <c r="AN1500" s="798"/>
      <c r="AO1500" s="798"/>
      <c r="AP1500" s="798"/>
      <c r="AQ1500" s="798"/>
      <c r="AR1500" s="798"/>
      <c r="AS1500" s="798"/>
      <c r="AT1500" s="798"/>
      <c r="AU1500" s="798"/>
      <c r="AV1500" s="798"/>
      <c r="AW1500" s="798"/>
      <c r="AX1500" s="798"/>
      <c r="AY1500" s="798"/>
      <c r="AZ1500" s="798"/>
      <c r="BA1500" s="798"/>
      <c r="BB1500" s="798"/>
      <c r="BC1500" s="799"/>
      <c r="BD1500" s="799"/>
      <c r="BE1500" s="799"/>
      <c r="BF1500" s="799"/>
      <c r="BG1500" s="799"/>
      <c r="BH1500" s="799"/>
      <c r="BI1500" s="799"/>
      <c r="BJ1500" s="799"/>
      <c r="BK1500" s="799"/>
      <c r="BL1500" s="799"/>
      <c r="BM1500" s="799"/>
      <c r="BN1500" s="799"/>
      <c r="BO1500" s="799"/>
      <c r="BP1500" s="799"/>
      <c r="BQ1500" s="799"/>
      <c r="BR1500" s="799"/>
    </row>
    <row r="1501" spans="1:70" ht="49.5">
      <c r="A1501" s="1180"/>
      <c r="B1501" s="39"/>
      <c r="C1501" s="1164" t="s">
        <v>107</v>
      </c>
      <c r="D1501" s="1164" t="s">
        <v>34</v>
      </c>
      <c r="E1501" s="1164" t="s">
        <v>39</v>
      </c>
      <c r="F1501" s="1164" t="s">
        <v>28</v>
      </c>
      <c r="G1501" s="1164" t="s">
        <v>56</v>
      </c>
      <c r="H1501" s="1164" t="s">
        <v>31</v>
      </c>
      <c r="I1501" s="35" t="s">
        <v>176</v>
      </c>
      <c r="J1501" s="38" t="s">
        <v>177</v>
      </c>
      <c r="K1501" s="1178">
        <v>24</v>
      </c>
      <c r="L1501" s="1178">
        <v>156000000</v>
      </c>
      <c r="M1501" s="1178">
        <v>12</v>
      </c>
      <c r="N1501" s="1178">
        <v>75077187.489999995</v>
      </c>
      <c r="O1501" s="1169">
        <v>4</v>
      </c>
      <c r="P1501" s="1181">
        <v>39781000</v>
      </c>
      <c r="Q1501" s="1166">
        <v>3</v>
      </c>
      <c r="R1501" s="1182">
        <v>3568250</v>
      </c>
      <c r="S1501" s="1183">
        <v>3</v>
      </c>
      <c r="T1501" s="2673">
        <v>18382250</v>
      </c>
      <c r="U1501" s="1183"/>
      <c r="V1501" s="1183"/>
      <c r="W1501" s="1183"/>
      <c r="X1501" s="1183"/>
      <c r="Y1501" s="874">
        <f t="shared" si="433"/>
        <v>6</v>
      </c>
      <c r="Z1501" s="1168">
        <f>R1501+T1501+V1501+X1501</f>
        <v>21950500</v>
      </c>
      <c r="AA1501" s="1169">
        <f>M1501+Y1501</f>
        <v>18</v>
      </c>
      <c r="AB1501" s="1168">
        <f>N1501+Z1501</f>
        <v>97027687.489999995</v>
      </c>
      <c r="AC1501" s="1170">
        <f t="shared" ref="AC1501:AC1507" si="439">(AA1501/K1501)*100</f>
        <v>75</v>
      </c>
      <c r="AD1501" s="1170">
        <f>(AB1501/L1501)*100</f>
        <v>62.197235570512824</v>
      </c>
      <c r="AE1501" s="1129"/>
      <c r="AF1501" s="798"/>
      <c r="AG1501" s="1005"/>
      <c r="AH1501" s="798"/>
      <c r="AI1501" s="798"/>
      <c r="AJ1501" s="798"/>
      <c r="AK1501" s="798"/>
      <c r="AL1501" s="798"/>
      <c r="AM1501" s="798"/>
      <c r="AN1501" s="798"/>
      <c r="AO1501" s="798"/>
      <c r="AP1501" s="798"/>
      <c r="AQ1501" s="798"/>
      <c r="AR1501" s="798"/>
      <c r="AS1501" s="798"/>
      <c r="AT1501" s="798"/>
      <c r="AU1501" s="798"/>
      <c r="AV1501" s="798"/>
      <c r="AW1501" s="798"/>
      <c r="AX1501" s="798"/>
      <c r="AY1501" s="798"/>
      <c r="AZ1501" s="798"/>
      <c r="BA1501" s="798"/>
      <c r="BB1501" s="798"/>
      <c r="BC1501" s="799"/>
      <c r="BD1501" s="799"/>
      <c r="BE1501" s="799"/>
      <c r="BF1501" s="799"/>
      <c r="BG1501" s="799"/>
      <c r="BH1501" s="799"/>
      <c r="BI1501" s="799"/>
      <c r="BJ1501" s="799"/>
      <c r="BK1501" s="799"/>
      <c r="BL1501" s="799"/>
      <c r="BM1501" s="799"/>
      <c r="BN1501" s="799"/>
      <c r="BO1501" s="799"/>
      <c r="BP1501" s="799"/>
      <c r="BQ1501" s="799"/>
      <c r="BR1501" s="799"/>
    </row>
    <row r="1502" spans="1:70" ht="66">
      <c r="A1502" s="1171">
        <v>4</v>
      </c>
      <c r="B1502" s="33"/>
      <c r="C1502" s="753" t="s">
        <v>107</v>
      </c>
      <c r="D1502" s="753" t="s">
        <v>34</v>
      </c>
      <c r="E1502" s="753" t="s">
        <v>39</v>
      </c>
      <c r="F1502" s="753" t="s">
        <v>28</v>
      </c>
      <c r="G1502" s="753" t="s">
        <v>35</v>
      </c>
      <c r="H1502" s="1121"/>
      <c r="I1502" s="40" t="s">
        <v>402</v>
      </c>
      <c r="J1502" s="33" t="s">
        <v>403</v>
      </c>
      <c r="K1502" s="159">
        <v>76017</v>
      </c>
      <c r="L1502" s="159">
        <f>L1503+L1505++L1506+L1507</f>
        <v>2630768996</v>
      </c>
      <c r="M1502" s="1174">
        <v>25000</v>
      </c>
      <c r="N1502" s="1173">
        <v>975607780.30500007</v>
      </c>
      <c r="O1502" s="1174">
        <v>16455</v>
      </c>
      <c r="P1502" s="1173">
        <f>P1503+P1505+P1506+P1507</f>
        <v>512045596</v>
      </c>
      <c r="Q1502" s="584">
        <f>Q1503</f>
        <v>3554</v>
      </c>
      <c r="R1502" s="1174">
        <f>SUM(R1503:R1507)</f>
        <v>51205650</v>
      </c>
      <c r="S1502" s="518"/>
      <c r="T1502" s="2675">
        <f>SUM(T1503:T1507)</f>
        <v>233698700</v>
      </c>
      <c r="U1502" s="518"/>
      <c r="V1502" s="518"/>
      <c r="W1502" s="518"/>
      <c r="X1502" s="518"/>
      <c r="Y1502" s="222">
        <f t="shared" si="433"/>
        <v>3554</v>
      </c>
      <c r="Z1502" s="1174">
        <f>SUM(Z1503:Z1507)</f>
        <v>284904350</v>
      </c>
      <c r="AA1502" s="1184">
        <f t="shared" ref="AA1502:AA1508" si="440">M1502+Y1502</f>
        <v>28554</v>
      </c>
      <c r="AB1502" s="221">
        <v>975607780.30500007</v>
      </c>
      <c r="AC1502" s="868">
        <f t="shared" si="439"/>
        <v>37.562650459765578</v>
      </c>
      <c r="AD1502" s="868">
        <f>(AB1502/L1502)*100</f>
        <v>37.084509578316471</v>
      </c>
      <c r="AE1502" s="2554" t="s">
        <v>396</v>
      </c>
      <c r="AF1502" s="798"/>
      <c r="AG1502" s="1005"/>
      <c r="AH1502" s="798"/>
      <c r="AI1502" s="798"/>
      <c r="AJ1502" s="798"/>
      <c r="AK1502" s="798"/>
      <c r="AL1502" s="798"/>
      <c r="AM1502" s="798"/>
      <c r="AN1502" s="798"/>
      <c r="AO1502" s="798"/>
      <c r="AP1502" s="798"/>
      <c r="AQ1502" s="798"/>
      <c r="AR1502" s="798"/>
      <c r="AS1502" s="798"/>
      <c r="AT1502" s="798"/>
      <c r="AU1502" s="798"/>
      <c r="AV1502" s="798"/>
      <c r="AW1502" s="798"/>
      <c r="AX1502" s="798"/>
      <c r="AY1502" s="798"/>
      <c r="AZ1502" s="798"/>
      <c r="BA1502" s="798"/>
      <c r="BB1502" s="798"/>
      <c r="BC1502" s="799"/>
      <c r="BD1502" s="799"/>
      <c r="BE1502" s="799"/>
      <c r="BF1502" s="799"/>
      <c r="BG1502" s="799"/>
      <c r="BH1502" s="799"/>
      <c r="BI1502" s="799"/>
      <c r="BJ1502" s="799"/>
      <c r="BK1502" s="799"/>
      <c r="BL1502" s="799"/>
      <c r="BM1502" s="799"/>
      <c r="BN1502" s="799"/>
      <c r="BO1502" s="799"/>
      <c r="BP1502" s="799"/>
      <c r="BQ1502" s="799"/>
      <c r="BR1502" s="799"/>
    </row>
    <row r="1503" spans="1:70" ht="49.5">
      <c r="A1503" s="1847"/>
      <c r="B1503" s="21"/>
      <c r="C1503" s="1846" t="s">
        <v>107</v>
      </c>
      <c r="D1503" s="1846" t="s">
        <v>34</v>
      </c>
      <c r="E1503" s="1846" t="s">
        <v>39</v>
      </c>
      <c r="F1503" s="1846" t="s">
        <v>28</v>
      </c>
      <c r="G1503" s="1846" t="s">
        <v>35</v>
      </c>
      <c r="H1503" s="1846" t="s">
        <v>28</v>
      </c>
      <c r="I1503" s="21" t="s">
        <v>209</v>
      </c>
      <c r="J1503" s="8" t="s">
        <v>404</v>
      </c>
      <c r="K1503" s="1185">
        <v>70970</v>
      </c>
      <c r="L1503" s="1186">
        <f>2*N1503</f>
        <v>506876176</v>
      </c>
      <c r="M1503" s="1182">
        <f>3*O1503</f>
        <v>34275</v>
      </c>
      <c r="N1503" s="1182">
        <v>253438088</v>
      </c>
      <c r="O1503" s="1182">
        <v>11425</v>
      </c>
      <c r="P1503" s="1181">
        <v>207009798</v>
      </c>
      <c r="Q1503" s="876">
        <v>3554</v>
      </c>
      <c r="R1503" s="1182">
        <v>31469200</v>
      </c>
      <c r="S1503" s="35">
        <v>5624</v>
      </c>
      <c r="T1503" s="2674">
        <v>91349450</v>
      </c>
      <c r="U1503" s="35"/>
      <c r="V1503" s="35"/>
      <c r="W1503" s="35"/>
      <c r="X1503" s="35"/>
      <c r="Y1503" s="203">
        <f t="shared" si="433"/>
        <v>9178</v>
      </c>
      <c r="Z1503" s="1168">
        <f>R1503+T1503+V1503+X1503</f>
        <v>122818650</v>
      </c>
      <c r="AA1503" s="1182">
        <f t="shared" si="440"/>
        <v>43453</v>
      </c>
      <c r="AB1503" s="232">
        <v>975607780.30500007</v>
      </c>
      <c r="AC1503" s="1170">
        <f t="shared" si="439"/>
        <v>61.227279132027611</v>
      </c>
      <c r="AD1503" s="1182">
        <f>(AB1503/L1503)*100</f>
        <v>192.4745779144688</v>
      </c>
      <c r="AE1503" s="451"/>
      <c r="AF1503" s="798"/>
      <c r="AG1503" s="1005"/>
      <c r="AH1503" s="798"/>
      <c r="AI1503" s="798"/>
      <c r="AJ1503" s="798"/>
      <c r="AK1503" s="798"/>
      <c r="AL1503" s="798"/>
      <c r="AM1503" s="798"/>
      <c r="AN1503" s="798"/>
      <c r="AO1503" s="798"/>
      <c r="AP1503" s="798"/>
      <c r="AQ1503" s="798"/>
      <c r="AR1503" s="798"/>
      <c r="AS1503" s="798"/>
      <c r="AT1503" s="798"/>
      <c r="AU1503" s="798"/>
      <c r="AV1503" s="798"/>
      <c r="AW1503" s="798"/>
      <c r="AX1503" s="798"/>
      <c r="AY1503" s="798"/>
      <c r="AZ1503" s="798"/>
      <c r="BA1503" s="798"/>
      <c r="BB1503" s="798"/>
      <c r="BC1503" s="799"/>
      <c r="BD1503" s="799"/>
      <c r="BE1503" s="799"/>
      <c r="BF1503" s="799"/>
      <c r="BG1503" s="799"/>
      <c r="BH1503" s="799"/>
      <c r="BI1503" s="799"/>
      <c r="BJ1503" s="799"/>
      <c r="BK1503" s="799"/>
      <c r="BL1503" s="799"/>
      <c r="BM1503" s="799"/>
      <c r="BN1503" s="799"/>
      <c r="BO1503" s="799"/>
      <c r="BP1503" s="799"/>
      <c r="BQ1503" s="799"/>
      <c r="BR1503" s="799"/>
    </row>
    <row r="1504" spans="1:70" ht="49.5">
      <c r="A1504" s="1163"/>
      <c r="B1504" s="7"/>
      <c r="C1504" s="520"/>
      <c r="D1504" s="520"/>
      <c r="E1504" s="520"/>
      <c r="F1504" s="520"/>
      <c r="G1504" s="520"/>
      <c r="H1504" s="520"/>
      <c r="I1504" s="1848"/>
      <c r="J1504" s="8" t="s">
        <v>210</v>
      </c>
      <c r="K1504" s="24">
        <v>350</v>
      </c>
      <c r="L1504" s="24"/>
      <c r="M1504" s="25">
        <v>100</v>
      </c>
      <c r="N1504" s="24"/>
      <c r="O1504" s="24">
        <v>200</v>
      </c>
      <c r="P1504" s="1181"/>
      <c r="Q1504" s="1166">
        <f>O1504/4</f>
        <v>50</v>
      </c>
      <c r="R1504" s="1169"/>
      <c r="S1504" s="35"/>
      <c r="T1504" s="35"/>
      <c r="U1504" s="35"/>
      <c r="V1504" s="35"/>
      <c r="W1504" s="35"/>
      <c r="X1504" s="35"/>
      <c r="Y1504" s="203">
        <f t="shared" si="433"/>
        <v>50</v>
      </c>
      <c r="Z1504" s="1168">
        <f>R1504+T1504+V1504+X1504</f>
        <v>0</v>
      </c>
      <c r="AA1504" s="1182">
        <f t="shared" si="440"/>
        <v>150</v>
      </c>
      <c r="AB1504" s="232">
        <v>975607780.30500007</v>
      </c>
      <c r="AC1504" s="1170">
        <f t="shared" si="439"/>
        <v>42.857142857142854</v>
      </c>
      <c r="AD1504" s="1182"/>
      <c r="AE1504" s="451"/>
      <c r="AF1504" s="798"/>
      <c r="AG1504" s="1005"/>
      <c r="AH1504" s="798"/>
      <c r="AI1504" s="798"/>
      <c r="AJ1504" s="798"/>
      <c r="AK1504" s="798"/>
      <c r="AL1504" s="798"/>
      <c r="AM1504" s="798"/>
      <c r="AN1504" s="798"/>
      <c r="AO1504" s="798"/>
      <c r="AP1504" s="798"/>
      <c r="AQ1504" s="798"/>
      <c r="AR1504" s="798"/>
      <c r="AS1504" s="798"/>
      <c r="AT1504" s="798"/>
      <c r="AU1504" s="798"/>
      <c r="AV1504" s="798"/>
      <c r="AW1504" s="798"/>
      <c r="AX1504" s="798"/>
      <c r="AY1504" s="798"/>
      <c r="AZ1504" s="798"/>
      <c r="BA1504" s="798"/>
      <c r="BB1504" s="798"/>
      <c r="BC1504" s="799"/>
      <c r="BD1504" s="799"/>
      <c r="BE1504" s="799"/>
      <c r="BF1504" s="799"/>
      <c r="BG1504" s="799"/>
      <c r="BH1504" s="799"/>
      <c r="BI1504" s="799"/>
      <c r="BJ1504" s="799"/>
      <c r="BK1504" s="799"/>
      <c r="BL1504" s="799"/>
      <c r="BM1504" s="799"/>
      <c r="BN1504" s="799"/>
      <c r="BO1504" s="799"/>
      <c r="BP1504" s="799"/>
      <c r="BQ1504" s="799"/>
      <c r="BR1504" s="799"/>
    </row>
    <row r="1505" spans="1:70" ht="49.5">
      <c r="A1505" s="1163"/>
      <c r="B1505" s="8"/>
      <c r="C1505" s="1164" t="s">
        <v>107</v>
      </c>
      <c r="D1505" s="1164" t="s">
        <v>34</v>
      </c>
      <c r="E1505" s="1164" t="s">
        <v>39</v>
      </c>
      <c r="F1505" s="1164" t="s">
        <v>28</v>
      </c>
      <c r="G1505" s="1164" t="s">
        <v>35</v>
      </c>
      <c r="H1505" s="1164" t="s">
        <v>78</v>
      </c>
      <c r="I1505" s="3" t="s">
        <v>213</v>
      </c>
      <c r="J1505" s="5" t="s">
        <v>3143</v>
      </c>
      <c r="K1505" s="42">
        <v>72</v>
      </c>
      <c r="L1505" s="42">
        <v>740626820</v>
      </c>
      <c r="M1505" s="1169">
        <v>36</v>
      </c>
      <c r="N1505" s="1181">
        <v>92787410</v>
      </c>
      <c r="O1505" s="1169">
        <v>12</v>
      </c>
      <c r="P1505" s="1181">
        <v>139232500</v>
      </c>
      <c r="Q1505" s="1166">
        <v>3</v>
      </c>
      <c r="R1505" s="1182">
        <v>18200950</v>
      </c>
      <c r="S1505" s="35"/>
      <c r="T1505" s="2674">
        <v>58590600</v>
      </c>
      <c r="U1505" s="35"/>
      <c r="V1505" s="35"/>
      <c r="W1505" s="35"/>
      <c r="X1505" s="35"/>
      <c r="Y1505" s="874">
        <f t="shared" si="433"/>
        <v>3</v>
      </c>
      <c r="Z1505" s="1168">
        <f>R1505+T1505+V1505+X1505</f>
        <v>76791550</v>
      </c>
      <c r="AA1505" s="1169">
        <f t="shared" si="440"/>
        <v>39</v>
      </c>
      <c r="AB1505" s="1168">
        <f>N1505+Z1505</f>
        <v>169578960</v>
      </c>
      <c r="AC1505" s="1170">
        <f t="shared" si="439"/>
        <v>54.166666666666664</v>
      </c>
      <c r="AD1505" s="1170">
        <f>(AB1505/L1505)*100</f>
        <v>22.896680949253227</v>
      </c>
      <c r="AE1505" s="451"/>
      <c r="AF1505" s="798"/>
      <c r="AG1505" s="1005"/>
      <c r="AH1505" s="798"/>
      <c r="AI1505" s="798"/>
      <c r="AJ1505" s="798"/>
      <c r="AK1505" s="798"/>
      <c r="AL1505" s="798"/>
      <c r="AM1505" s="798"/>
      <c r="AN1505" s="798"/>
      <c r="AO1505" s="798"/>
      <c r="AP1505" s="798"/>
      <c r="AQ1505" s="798"/>
      <c r="AR1505" s="798"/>
      <c r="AS1505" s="798"/>
      <c r="AT1505" s="798"/>
      <c r="AU1505" s="798"/>
      <c r="AV1505" s="798"/>
      <c r="AW1505" s="798"/>
      <c r="AX1505" s="798"/>
      <c r="AY1505" s="798"/>
      <c r="AZ1505" s="798"/>
      <c r="BA1505" s="798"/>
      <c r="BB1505" s="798"/>
      <c r="BC1505" s="799"/>
      <c r="BD1505" s="799"/>
      <c r="BE1505" s="799"/>
      <c r="BF1505" s="799"/>
      <c r="BG1505" s="799"/>
      <c r="BH1505" s="799"/>
      <c r="BI1505" s="799"/>
      <c r="BJ1505" s="799"/>
      <c r="BK1505" s="799"/>
      <c r="BL1505" s="799"/>
      <c r="BM1505" s="799"/>
      <c r="BN1505" s="799"/>
      <c r="BO1505" s="799"/>
      <c r="BP1505" s="799"/>
      <c r="BQ1505" s="799"/>
      <c r="BR1505" s="799"/>
    </row>
    <row r="1506" spans="1:70" ht="66">
      <c r="A1506" s="1163"/>
      <c r="B1506" s="8"/>
      <c r="C1506" s="1164" t="s">
        <v>107</v>
      </c>
      <c r="D1506" s="1164" t="s">
        <v>34</v>
      </c>
      <c r="E1506" s="1164" t="s">
        <v>39</v>
      </c>
      <c r="F1506" s="1164" t="s">
        <v>28</v>
      </c>
      <c r="G1506" s="1164" t="s">
        <v>35</v>
      </c>
      <c r="H1506" s="1164" t="s">
        <v>29</v>
      </c>
      <c r="I1506" s="3" t="s">
        <v>211</v>
      </c>
      <c r="J1506" s="5" t="s">
        <v>212</v>
      </c>
      <c r="K1506" s="42">
        <v>30300</v>
      </c>
      <c r="L1506" s="42">
        <v>1362291000</v>
      </c>
      <c r="M1506" s="1169">
        <v>5017</v>
      </c>
      <c r="N1506" s="1181">
        <v>136568435</v>
      </c>
      <c r="O1506" s="1169">
        <v>5000</v>
      </c>
      <c r="P1506" s="1181">
        <v>144918298</v>
      </c>
      <c r="Q1506" s="1166">
        <v>0</v>
      </c>
      <c r="R1506" s="1182">
        <v>0</v>
      </c>
      <c r="S1506" s="35">
        <v>340</v>
      </c>
      <c r="T1506" s="2674">
        <v>75545650</v>
      </c>
      <c r="U1506" s="35"/>
      <c r="V1506" s="35"/>
      <c r="W1506" s="35"/>
      <c r="X1506" s="35"/>
      <c r="Y1506" s="874">
        <f t="shared" si="433"/>
        <v>340</v>
      </c>
      <c r="Z1506" s="1168">
        <f>R1506+T1506+V1506+X1506</f>
        <v>75545650</v>
      </c>
      <c r="AA1506" s="1170">
        <f t="shared" si="440"/>
        <v>5357</v>
      </c>
      <c r="AB1506" s="1168">
        <f>N1506+Z1506</f>
        <v>212114085</v>
      </c>
      <c r="AC1506" s="1170">
        <f t="shared" si="439"/>
        <v>17.67986798679868</v>
      </c>
      <c r="AD1506" s="1170">
        <f>(AB1506/L1506)*100</f>
        <v>15.570394651363035</v>
      </c>
      <c r="AE1506" s="451"/>
      <c r="AF1506" s="798"/>
      <c r="AG1506" s="1005"/>
      <c r="AH1506" s="798"/>
      <c r="AI1506" s="798"/>
      <c r="AJ1506" s="798"/>
      <c r="AK1506" s="798"/>
      <c r="AL1506" s="798"/>
      <c r="AM1506" s="798"/>
      <c r="AN1506" s="798"/>
      <c r="AO1506" s="798"/>
      <c r="AP1506" s="798"/>
      <c r="AQ1506" s="798"/>
      <c r="AR1506" s="798"/>
      <c r="AS1506" s="798"/>
      <c r="AT1506" s="798"/>
      <c r="AU1506" s="798"/>
      <c r="AV1506" s="798"/>
      <c r="AW1506" s="798"/>
      <c r="AX1506" s="798"/>
      <c r="AY1506" s="798"/>
      <c r="AZ1506" s="798"/>
      <c r="BA1506" s="798"/>
      <c r="BB1506" s="798"/>
      <c r="BC1506" s="799"/>
      <c r="BD1506" s="799"/>
      <c r="BE1506" s="799"/>
      <c r="BF1506" s="799"/>
      <c r="BG1506" s="799"/>
      <c r="BH1506" s="799"/>
      <c r="BI1506" s="799"/>
      <c r="BJ1506" s="799"/>
      <c r="BK1506" s="799"/>
      <c r="BL1506" s="799"/>
      <c r="BM1506" s="799"/>
      <c r="BN1506" s="799"/>
      <c r="BO1506" s="799"/>
      <c r="BP1506" s="799"/>
      <c r="BQ1506" s="799"/>
      <c r="BR1506" s="799"/>
    </row>
    <row r="1507" spans="1:70" ht="66">
      <c r="A1507" s="1163"/>
      <c r="B1507" s="8"/>
      <c r="C1507" s="1164" t="s">
        <v>107</v>
      </c>
      <c r="D1507" s="1164" t="s">
        <v>34</v>
      </c>
      <c r="E1507" s="1164" t="s">
        <v>39</v>
      </c>
      <c r="F1507" s="1164" t="s">
        <v>28</v>
      </c>
      <c r="G1507" s="1164" t="s">
        <v>35</v>
      </c>
      <c r="H1507" s="1164" t="s">
        <v>43</v>
      </c>
      <c r="I1507" s="7" t="s">
        <v>405</v>
      </c>
      <c r="J1507" s="35" t="s">
        <v>406</v>
      </c>
      <c r="K1507" s="1169">
        <v>15</v>
      </c>
      <c r="L1507" s="1181">
        <v>20975000</v>
      </c>
      <c r="M1507" s="1169">
        <v>0</v>
      </c>
      <c r="N1507" s="1181">
        <v>0</v>
      </c>
      <c r="O1507" s="1169">
        <v>10</v>
      </c>
      <c r="P1507" s="1181">
        <v>20885000</v>
      </c>
      <c r="Q1507" s="1166">
        <v>3</v>
      </c>
      <c r="R1507" s="1182">
        <v>1535500</v>
      </c>
      <c r="S1507" s="35"/>
      <c r="T1507" s="2674">
        <v>8213000</v>
      </c>
      <c r="U1507" s="35"/>
      <c r="V1507" s="35"/>
      <c r="W1507" s="35"/>
      <c r="X1507" s="35"/>
      <c r="Y1507" s="874">
        <f t="shared" si="433"/>
        <v>3</v>
      </c>
      <c r="Z1507" s="1168">
        <f>R1507+T1507+V1507+X1507</f>
        <v>9748500</v>
      </c>
      <c r="AA1507" s="1170">
        <f t="shared" si="440"/>
        <v>3</v>
      </c>
      <c r="AB1507" s="1168">
        <f>N1507+Z1507</f>
        <v>9748500</v>
      </c>
      <c r="AC1507" s="1170">
        <f t="shared" si="439"/>
        <v>20</v>
      </c>
      <c r="AD1507" s="1187">
        <f>(AB1507/L1507)*100</f>
        <v>46.476758045292016</v>
      </c>
      <c r="AE1507" s="451"/>
      <c r="AF1507" s="798"/>
      <c r="AG1507" s="1005"/>
      <c r="AH1507" s="798"/>
      <c r="AI1507" s="798"/>
      <c r="AJ1507" s="798"/>
      <c r="AK1507" s="798"/>
      <c r="AL1507" s="798"/>
      <c r="AM1507" s="798"/>
      <c r="AN1507" s="798"/>
      <c r="AO1507" s="798"/>
      <c r="AP1507" s="798"/>
      <c r="AQ1507" s="798"/>
      <c r="AR1507" s="798"/>
      <c r="AS1507" s="798"/>
      <c r="AT1507" s="798"/>
      <c r="AU1507" s="798"/>
      <c r="AV1507" s="798"/>
      <c r="AW1507" s="798"/>
      <c r="AX1507" s="798"/>
      <c r="AY1507" s="798"/>
      <c r="AZ1507" s="798"/>
      <c r="BA1507" s="798"/>
      <c r="BB1507" s="798"/>
      <c r="BC1507" s="799"/>
      <c r="BD1507" s="799"/>
      <c r="BE1507" s="799"/>
      <c r="BF1507" s="799"/>
      <c r="BG1507" s="799"/>
      <c r="BH1507" s="799"/>
      <c r="BI1507" s="799"/>
      <c r="BJ1507" s="799"/>
      <c r="BK1507" s="799"/>
      <c r="BL1507" s="799"/>
      <c r="BM1507" s="799"/>
      <c r="BN1507" s="799"/>
      <c r="BO1507" s="799"/>
      <c r="BP1507" s="799"/>
      <c r="BQ1507" s="799"/>
      <c r="BR1507" s="799"/>
    </row>
    <row r="1508" spans="1:70" ht="51" customHeight="1">
      <c r="A1508" s="1322">
        <v>4</v>
      </c>
      <c r="B1508" s="381"/>
      <c r="C1508" s="1340" t="s">
        <v>107</v>
      </c>
      <c r="D1508" s="1340" t="s">
        <v>34</v>
      </c>
      <c r="E1508" s="1340" t="s">
        <v>39</v>
      </c>
      <c r="F1508" s="1340" t="s">
        <v>28</v>
      </c>
      <c r="G1508" s="1340" t="s">
        <v>61</v>
      </c>
      <c r="H1508" s="1324"/>
      <c r="I1508" s="381" t="s">
        <v>178</v>
      </c>
      <c r="J1508" s="33" t="s">
        <v>407</v>
      </c>
      <c r="K1508" s="159"/>
      <c r="L1508" s="159">
        <f>SUM(L1528:L1535)</f>
        <v>14834261585</v>
      </c>
      <c r="M1508" s="1174"/>
      <c r="N1508" s="1173">
        <f>SUM(N1528:N1535)</f>
        <v>4944814615.0159998</v>
      </c>
      <c r="O1508" s="1174"/>
      <c r="P1508" s="1173">
        <f>SUM(P1528:P1535)</f>
        <v>2792339801</v>
      </c>
      <c r="Q1508" s="584"/>
      <c r="R1508" s="1174">
        <f>SUM(R1528:R1535)</f>
        <v>220379050</v>
      </c>
      <c r="S1508" s="518"/>
      <c r="T1508" s="1184">
        <f>SUM(T1528:T1535)</f>
        <v>1056538659</v>
      </c>
      <c r="U1508" s="518"/>
      <c r="V1508" s="518"/>
      <c r="W1508" s="518"/>
      <c r="X1508" s="518"/>
      <c r="Y1508" s="1175">
        <f t="shared" si="433"/>
        <v>0</v>
      </c>
      <c r="Z1508" s="1174">
        <f>SUM(Z1510:Z1535)</f>
        <v>1276917709</v>
      </c>
      <c r="AA1508" s="1188">
        <f t="shared" si="440"/>
        <v>0</v>
      </c>
      <c r="AB1508" s="1176">
        <f>SUM(AB1510:AB1535)</f>
        <v>5216351755.0059996</v>
      </c>
      <c r="AC1508" s="868">
        <f>AVERAGE(AC1509:AC1527)</f>
        <v>106.08507660084214</v>
      </c>
      <c r="AD1508" s="868">
        <f>(AB1508/L1508)*100</f>
        <v>35.164215792720228</v>
      </c>
      <c r="AE1508" s="2554" t="s">
        <v>396</v>
      </c>
      <c r="AF1508" s="798"/>
      <c r="AG1508" s="1005"/>
      <c r="AH1508" s="798"/>
      <c r="AI1508" s="798"/>
      <c r="AJ1508" s="798"/>
      <c r="AK1508" s="798"/>
      <c r="AL1508" s="798"/>
      <c r="AM1508" s="798"/>
      <c r="AN1508" s="798"/>
      <c r="AO1508" s="798"/>
      <c r="AP1508" s="798"/>
      <c r="AQ1508" s="798"/>
      <c r="AR1508" s="798"/>
      <c r="AS1508" s="798"/>
      <c r="AT1508" s="798"/>
      <c r="AU1508" s="798"/>
      <c r="AV1508" s="798"/>
      <c r="AW1508" s="798"/>
      <c r="AX1508" s="798"/>
      <c r="AY1508" s="798"/>
      <c r="AZ1508" s="798"/>
      <c r="BA1508" s="798"/>
      <c r="BB1508" s="798"/>
      <c r="BC1508" s="799"/>
      <c r="BD1508" s="799"/>
      <c r="BE1508" s="799"/>
      <c r="BF1508" s="799"/>
      <c r="BG1508" s="799"/>
      <c r="BH1508" s="799"/>
      <c r="BI1508" s="799"/>
      <c r="BJ1508" s="799"/>
      <c r="BK1508" s="799"/>
      <c r="BL1508" s="799"/>
      <c r="BM1508" s="799"/>
      <c r="BN1508" s="799"/>
      <c r="BO1508" s="799"/>
      <c r="BP1508" s="799"/>
      <c r="BQ1508" s="799"/>
      <c r="BR1508" s="799"/>
    </row>
    <row r="1509" spans="1:70">
      <c r="A1509" s="1325"/>
      <c r="B1509" s="1782"/>
      <c r="C1509" s="1325"/>
      <c r="D1509" s="1325"/>
      <c r="E1509" s="1325"/>
      <c r="F1509" s="1325"/>
      <c r="G1509" s="1325"/>
      <c r="H1509" s="1327"/>
      <c r="I1509" s="1782"/>
      <c r="J1509" s="2933" t="s">
        <v>179</v>
      </c>
      <c r="K1509" s="2934"/>
      <c r="L1509" s="1138"/>
      <c r="M1509" s="1174"/>
      <c r="N1509" s="1173"/>
      <c r="O1509" s="1174"/>
      <c r="P1509" s="1173"/>
      <c r="Q1509" s="1849"/>
      <c r="R1509" s="1174"/>
      <c r="S1509" s="518"/>
      <c r="T1509" s="518"/>
      <c r="U1509" s="518"/>
      <c r="V1509" s="518"/>
      <c r="W1509" s="518"/>
      <c r="X1509" s="518"/>
      <c r="Y1509" s="1172"/>
      <c r="Z1509" s="1174"/>
      <c r="AA1509" s="1850"/>
      <c r="AB1509" s="1851"/>
      <c r="AC1509" s="1852"/>
      <c r="AD1509" s="1852"/>
      <c r="AE1509" s="2554"/>
      <c r="AF1509" s="798"/>
      <c r="AG1509" s="1005"/>
      <c r="AH1509" s="798"/>
      <c r="AI1509" s="798"/>
      <c r="AJ1509" s="798"/>
      <c r="AK1509" s="798"/>
      <c r="AL1509" s="798"/>
      <c r="AM1509" s="798"/>
      <c r="AN1509" s="798"/>
      <c r="AO1509" s="798"/>
      <c r="AP1509" s="798"/>
      <c r="AQ1509" s="798"/>
      <c r="AR1509" s="798"/>
      <c r="AS1509" s="798"/>
      <c r="AT1509" s="798"/>
      <c r="AU1509" s="798"/>
      <c r="AV1509" s="798"/>
      <c r="AW1509" s="798"/>
      <c r="AX1509" s="798"/>
      <c r="AY1509" s="798"/>
      <c r="AZ1509" s="798"/>
      <c r="BA1509" s="798"/>
      <c r="BB1509" s="798"/>
      <c r="BC1509" s="799"/>
      <c r="BD1509" s="799"/>
      <c r="BE1509" s="799"/>
      <c r="BF1509" s="799"/>
      <c r="BG1509" s="799"/>
      <c r="BH1509" s="799"/>
      <c r="BI1509" s="799"/>
      <c r="BJ1509" s="799"/>
      <c r="BK1509" s="799"/>
      <c r="BL1509" s="799"/>
      <c r="BM1509" s="799"/>
      <c r="BN1509" s="799"/>
      <c r="BO1509" s="799"/>
      <c r="BP1509" s="799"/>
      <c r="BQ1509" s="799"/>
      <c r="BR1509" s="799"/>
    </row>
    <row r="1510" spans="1:70">
      <c r="A1510" s="1325"/>
      <c r="B1510" s="1124"/>
      <c r="C1510" s="1327"/>
      <c r="D1510" s="1327"/>
      <c r="E1510" s="1327"/>
      <c r="F1510" s="1327"/>
      <c r="G1510" s="1327"/>
      <c r="H1510" s="1327"/>
      <c r="I1510" s="1124"/>
      <c r="J1510" s="158" t="s">
        <v>180</v>
      </c>
      <c r="K1510" s="227">
        <v>84471.905973590503</v>
      </c>
      <c r="L1510" s="1853"/>
      <c r="M1510" s="227">
        <v>81786</v>
      </c>
      <c r="N1510" s="1853"/>
      <c r="O1510" s="227">
        <v>82280.52853597491</v>
      </c>
      <c r="P1510" s="1853"/>
      <c r="Q1510" s="1854"/>
      <c r="R1510" s="1172"/>
      <c r="S1510" s="518"/>
      <c r="T1510" s="518"/>
      <c r="U1510" s="518"/>
      <c r="V1510" s="518"/>
      <c r="W1510" s="518"/>
      <c r="X1510" s="518"/>
      <c r="Y1510" s="1172">
        <f t="shared" ref="Y1510:Y1535" si="441">Q1510+S1510+U1510+W1510</f>
        <v>0</v>
      </c>
      <c r="Z1510" s="1851">
        <f t="shared" ref="Z1510:Z1535" si="442">R1510+T1510+V1510+X1510</f>
        <v>0</v>
      </c>
      <c r="AA1510" s="1174">
        <f t="shared" ref="AA1510:AA1527" si="443">M1510+Y1510</f>
        <v>81786</v>
      </c>
      <c r="AB1510" s="1851">
        <f t="shared" ref="AB1510:AB1527" si="444">N1510+Z1510</f>
        <v>0</v>
      </c>
      <c r="AC1510" s="1852">
        <f t="shared" ref="AC1510:AC1516" si="445">(AA1510/K1510)*100</f>
        <v>96.820355901013727</v>
      </c>
      <c r="AD1510" s="1852"/>
      <c r="AE1510" s="2554"/>
      <c r="AF1510" s="798"/>
      <c r="AG1510" s="1005"/>
      <c r="AH1510" s="798"/>
      <c r="AI1510" s="798"/>
      <c r="AJ1510" s="798"/>
      <c r="AK1510" s="798"/>
      <c r="AL1510" s="798"/>
      <c r="AM1510" s="798"/>
      <c r="AN1510" s="798"/>
      <c r="AO1510" s="798"/>
      <c r="AP1510" s="798"/>
      <c r="AQ1510" s="798"/>
      <c r="AR1510" s="798"/>
      <c r="AS1510" s="798"/>
      <c r="AT1510" s="798"/>
      <c r="AU1510" s="798"/>
      <c r="AV1510" s="798"/>
      <c r="AW1510" s="798"/>
      <c r="AX1510" s="798"/>
      <c r="AY1510" s="798"/>
      <c r="AZ1510" s="798"/>
      <c r="BA1510" s="798"/>
      <c r="BB1510" s="798"/>
      <c r="BC1510" s="799"/>
      <c r="BD1510" s="799"/>
      <c r="BE1510" s="799"/>
      <c r="BF1510" s="799"/>
      <c r="BG1510" s="799"/>
      <c r="BH1510" s="799"/>
      <c r="BI1510" s="799"/>
      <c r="BJ1510" s="799"/>
      <c r="BK1510" s="799"/>
      <c r="BL1510" s="799"/>
      <c r="BM1510" s="799"/>
      <c r="BN1510" s="799"/>
      <c r="BO1510" s="799"/>
      <c r="BP1510" s="799"/>
      <c r="BQ1510" s="799"/>
      <c r="BR1510" s="799"/>
    </row>
    <row r="1511" spans="1:70">
      <c r="A1511" s="1325"/>
      <c r="B1511" s="1124"/>
      <c r="C1511" s="1327"/>
      <c r="D1511" s="1327"/>
      <c r="E1511" s="1327"/>
      <c r="F1511" s="1327"/>
      <c r="G1511" s="1327"/>
      <c r="H1511" s="1327"/>
      <c r="I1511" s="1124"/>
      <c r="J1511" s="158" t="s">
        <v>181</v>
      </c>
      <c r="K1511" s="227">
        <v>8665.7098756537907</v>
      </c>
      <c r="L1511" s="1853"/>
      <c r="M1511" s="227">
        <v>8506</v>
      </c>
      <c r="N1511" s="1853"/>
      <c r="O1511" s="227">
        <v>8466.0549479395941</v>
      </c>
      <c r="P1511" s="1853"/>
      <c r="Q1511" s="1854"/>
      <c r="R1511" s="1172"/>
      <c r="S1511" s="518"/>
      <c r="T1511" s="518"/>
      <c r="U1511" s="518"/>
      <c r="V1511" s="518"/>
      <c r="W1511" s="518"/>
      <c r="X1511" s="518"/>
      <c r="Y1511" s="1172">
        <f t="shared" si="441"/>
        <v>0</v>
      </c>
      <c r="Z1511" s="1851">
        <f t="shared" si="442"/>
        <v>0</v>
      </c>
      <c r="AA1511" s="1174">
        <f t="shared" si="443"/>
        <v>8506</v>
      </c>
      <c r="AB1511" s="1851">
        <f t="shared" si="444"/>
        <v>0</v>
      </c>
      <c r="AC1511" s="1852">
        <f t="shared" si="445"/>
        <v>98.156990276093907</v>
      </c>
      <c r="AD1511" s="1852"/>
      <c r="AE1511" s="2554"/>
      <c r="AF1511" s="798"/>
      <c r="AG1511" s="1005"/>
      <c r="AH1511" s="798"/>
      <c r="AI1511" s="798"/>
      <c r="AJ1511" s="798"/>
      <c r="AK1511" s="798"/>
      <c r="AL1511" s="798"/>
      <c r="AM1511" s="798"/>
      <c r="AN1511" s="798"/>
      <c r="AO1511" s="798"/>
      <c r="AP1511" s="798"/>
      <c r="AQ1511" s="798"/>
      <c r="AR1511" s="798"/>
      <c r="AS1511" s="798"/>
      <c r="AT1511" s="798"/>
      <c r="AU1511" s="798"/>
      <c r="AV1511" s="798"/>
      <c r="AW1511" s="798"/>
      <c r="AX1511" s="798"/>
      <c r="AY1511" s="798"/>
      <c r="AZ1511" s="798"/>
      <c r="BA1511" s="798"/>
      <c r="BB1511" s="798"/>
      <c r="BC1511" s="799"/>
      <c r="BD1511" s="799"/>
      <c r="BE1511" s="799"/>
      <c r="BF1511" s="799"/>
      <c r="BG1511" s="799"/>
      <c r="BH1511" s="799"/>
      <c r="BI1511" s="799"/>
      <c r="BJ1511" s="799"/>
      <c r="BK1511" s="799"/>
      <c r="BL1511" s="799"/>
      <c r="BM1511" s="799"/>
      <c r="BN1511" s="799"/>
      <c r="BO1511" s="799"/>
      <c r="BP1511" s="799"/>
      <c r="BQ1511" s="799"/>
      <c r="BR1511" s="799"/>
    </row>
    <row r="1512" spans="1:70">
      <c r="A1512" s="1325"/>
      <c r="B1512" s="1124"/>
      <c r="C1512" s="1327"/>
      <c r="D1512" s="1327"/>
      <c r="E1512" s="1327"/>
      <c r="F1512" s="1327"/>
      <c r="G1512" s="1327"/>
      <c r="H1512" s="1327"/>
      <c r="I1512" s="1124"/>
      <c r="J1512" s="158" t="s">
        <v>182</v>
      </c>
      <c r="K1512" s="227">
        <v>41919.639869005303</v>
      </c>
      <c r="L1512" s="1853"/>
      <c r="M1512" s="227">
        <v>40856</v>
      </c>
      <c r="N1512" s="1853"/>
      <c r="O1512" s="227">
        <v>41794.132048669002</v>
      </c>
      <c r="P1512" s="1853"/>
      <c r="Q1512" s="1854"/>
      <c r="R1512" s="1172"/>
      <c r="S1512" s="518"/>
      <c r="T1512" s="518"/>
      <c r="U1512" s="518"/>
      <c r="V1512" s="518"/>
      <c r="W1512" s="518"/>
      <c r="X1512" s="518"/>
      <c r="Y1512" s="1172">
        <f t="shared" si="441"/>
        <v>0</v>
      </c>
      <c r="Z1512" s="1851">
        <f t="shared" si="442"/>
        <v>0</v>
      </c>
      <c r="AA1512" s="1174">
        <f t="shared" si="443"/>
        <v>40856</v>
      </c>
      <c r="AB1512" s="1851">
        <f t="shared" si="444"/>
        <v>0</v>
      </c>
      <c r="AC1512" s="1852">
        <f t="shared" si="445"/>
        <v>97.462669354199917</v>
      </c>
      <c r="AD1512" s="1852"/>
      <c r="AE1512" s="2554"/>
      <c r="AF1512" s="798"/>
      <c r="AG1512" s="1005"/>
      <c r="AH1512" s="798"/>
      <c r="AI1512" s="798"/>
      <c r="AJ1512" s="798"/>
      <c r="AK1512" s="798"/>
      <c r="AL1512" s="798"/>
      <c r="AM1512" s="798"/>
      <c r="AN1512" s="798"/>
      <c r="AO1512" s="798"/>
      <c r="AP1512" s="798"/>
      <c r="AQ1512" s="798"/>
      <c r="AR1512" s="798"/>
      <c r="AS1512" s="798"/>
      <c r="AT1512" s="798"/>
      <c r="AU1512" s="798"/>
      <c r="AV1512" s="798"/>
      <c r="AW1512" s="798"/>
      <c r="AX1512" s="798"/>
      <c r="AY1512" s="798"/>
      <c r="AZ1512" s="798"/>
      <c r="BA1512" s="798"/>
      <c r="BB1512" s="798"/>
      <c r="BC1512" s="799"/>
      <c r="BD1512" s="799"/>
      <c r="BE1512" s="799"/>
      <c r="BF1512" s="799"/>
      <c r="BG1512" s="799"/>
      <c r="BH1512" s="799"/>
      <c r="BI1512" s="799"/>
      <c r="BJ1512" s="799"/>
      <c r="BK1512" s="799"/>
      <c r="BL1512" s="799"/>
      <c r="BM1512" s="799"/>
      <c r="BN1512" s="799"/>
      <c r="BO1512" s="799"/>
      <c r="BP1512" s="799"/>
      <c r="BQ1512" s="799"/>
      <c r="BR1512" s="799"/>
    </row>
    <row r="1513" spans="1:70">
      <c r="A1513" s="1325"/>
      <c r="B1513" s="1124"/>
      <c r="C1513" s="1327"/>
      <c r="D1513" s="1327"/>
      <c r="E1513" s="1327"/>
      <c r="F1513" s="1327"/>
      <c r="G1513" s="1327"/>
      <c r="H1513" s="1327"/>
      <c r="I1513" s="1124"/>
      <c r="J1513" s="158" t="s">
        <v>183</v>
      </c>
      <c r="K1513" s="227">
        <v>813634.56146209803</v>
      </c>
      <c r="L1513" s="1853"/>
      <c r="M1513" s="227">
        <v>787857</v>
      </c>
      <c r="N1513" s="1853"/>
      <c r="O1513" s="227">
        <v>796547.35583316814</v>
      </c>
      <c r="P1513" s="1853"/>
      <c r="Q1513" s="1854"/>
      <c r="R1513" s="1172"/>
      <c r="S1513" s="518"/>
      <c r="T1513" s="518"/>
      <c r="U1513" s="518"/>
      <c r="V1513" s="518"/>
      <c r="W1513" s="518"/>
      <c r="X1513" s="518"/>
      <c r="Y1513" s="1172">
        <f t="shared" si="441"/>
        <v>0</v>
      </c>
      <c r="Z1513" s="1851">
        <f t="shared" si="442"/>
        <v>0</v>
      </c>
      <c r="AA1513" s="1174">
        <f t="shared" si="443"/>
        <v>787857</v>
      </c>
      <c r="AB1513" s="1851">
        <f t="shared" si="444"/>
        <v>0</v>
      </c>
      <c r="AC1513" s="1852">
        <f t="shared" si="445"/>
        <v>96.831801071014496</v>
      </c>
      <c r="AD1513" s="1852"/>
      <c r="AE1513" s="2554"/>
      <c r="AF1513" s="798"/>
      <c r="AG1513" s="1005"/>
      <c r="AH1513" s="798"/>
      <c r="AI1513" s="798"/>
      <c r="AJ1513" s="798"/>
      <c r="AK1513" s="798"/>
      <c r="AL1513" s="798"/>
      <c r="AM1513" s="798"/>
      <c r="AN1513" s="798"/>
      <c r="AO1513" s="798"/>
      <c r="AP1513" s="798"/>
      <c r="AQ1513" s="798"/>
      <c r="AR1513" s="798"/>
      <c r="AS1513" s="798"/>
      <c r="AT1513" s="798"/>
      <c r="AU1513" s="798"/>
      <c r="AV1513" s="798"/>
      <c r="AW1513" s="798"/>
      <c r="AX1513" s="798"/>
      <c r="AY1513" s="798"/>
      <c r="AZ1513" s="798"/>
      <c r="BA1513" s="798"/>
      <c r="BB1513" s="798"/>
      <c r="BC1513" s="799"/>
      <c r="BD1513" s="799"/>
      <c r="BE1513" s="799"/>
      <c r="BF1513" s="799"/>
      <c r="BG1513" s="799"/>
      <c r="BH1513" s="799"/>
      <c r="BI1513" s="799"/>
      <c r="BJ1513" s="799"/>
      <c r="BK1513" s="799"/>
      <c r="BL1513" s="799"/>
      <c r="BM1513" s="799"/>
      <c r="BN1513" s="799"/>
      <c r="BO1513" s="799"/>
      <c r="BP1513" s="799"/>
      <c r="BQ1513" s="799"/>
      <c r="BR1513" s="799"/>
    </row>
    <row r="1514" spans="1:70" ht="33">
      <c r="A1514" s="1325"/>
      <c r="B1514" s="1124"/>
      <c r="C1514" s="1327"/>
      <c r="D1514" s="1327"/>
      <c r="E1514" s="1327"/>
      <c r="F1514" s="1327"/>
      <c r="G1514" s="1327"/>
      <c r="H1514" s="1327"/>
      <c r="I1514" s="1124"/>
      <c r="J1514" s="158" t="s">
        <v>184</v>
      </c>
      <c r="K1514" s="227">
        <v>114310.15814531301</v>
      </c>
      <c r="L1514" s="1853"/>
      <c r="M1514" s="227">
        <v>97500</v>
      </c>
      <c r="N1514" s="1853"/>
      <c r="O1514" s="227">
        <v>98745.412500000006</v>
      </c>
      <c r="P1514" s="1853"/>
      <c r="Q1514" s="1854"/>
      <c r="R1514" s="1172"/>
      <c r="S1514" s="518"/>
      <c r="T1514" s="518"/>
      <c r="U1514" s="518"/>
      <c r="V1514" s="518"/>
      <c r="W1514" s="518"/>
      <c r="X1514" s="518"/>
      <c r="Y1514" s="1172">
        <f t="shared" si="441"/>
        <v>0</v>
      </c>
      <c r="Z1514" s="1851">
        <f t="shared" si="442"/>
        <v>0</v>
      </c>
      <c r="AA1514" s="1174">
        <f t="shared" si="443"/>
        <v>97500</v>
      </c>
      <c r="AB1514" s="1851">
        <f t="shared" si="444"/>
        <v>0</v>
      </c>
      <c r="AC1514" s="1852">
        <f t="shared" si="445"/>
        <v>85.294256942638768</v>
      </c>
      <c r="AD1514" s="1852"/>
      <c r="AE1514" s="2554"/>
      <c r="AF1514" s="798"/>
      <c r="AG1514" s="1005"/>
      <c r="AH1514" s="798"/>
      <c r="AI1514" s="798"/>
      <c r="AJ1514" s="798"/>
      <c r="AK1514" s="798"/>
      <c r="AL1514" s="798"/>
      <c r="AM1514" s="798"/>
      <c r="AN1514" s="798"/>
      <c r="AO1514" s="798"/>
      <c r="AP1514" s="798"/>
      <c r="AQ1514" s="798"/>
      <c r="AR1514" s="798"/>
      <c r="AS1514" s="798"/>
      <c r="AT1514" s="798"/>
      <c r="AU1514" s="798"/>
      <c r="AV1514" s="798"/>
      <c r="AW1514" s="798"/>
      <c r="AX1514" s="798"/>
      <c r="AY1514" s="798"/>
      <c r="AZ1514" s="798"/>
      <c r="BA1514" s="798"/>
      <c r="BB1514" s="798"/>
      <c r="BC1514" s="799"/>
      <c r="BD1514" s="799"/>
      <c r="BE1514" s="799"/>
      <c r="BF1514" s="799"/>
      <c r="BG1514" s="799"/>
      <c r="BH1514" s="799"/>
      <c r="BI1514" s="799"/>
      <c r="BJ1514" s="799"/>
      <c r="BK1514" s="799"/>
      <c r="BL1514" s="799"/>
      <c r="BM1514" s="799"/>
      <c r="BN1514" s="799"/>
      <c r="BO1514" s="799"/>
      <c r="BP1514" s="799"/>
      <c r="BQ1514" s="799"/>
      <c r="BR1514" s="799"/>
    </row>
    <row r="1515" spans="1:70" ht="33">
      <c r="A1515" s="1325"/>
      <c r="B1515" s="1124"/>
      <c r="C1515" s="1327"/>
      <c r="D1515" s="1327"/>
      <c r="E1515" s="1327"/>
      <c r="F1515" s="1327"/>
      <c r="G1515" s="1327"/>
      <c r="H1515" s="1327"/>
      <c r="I1515" s="1124"/>
      <c r="J1515" s="158" t="s">
        <v>185</v>
      </c>
      <c r="K1515" s="227">
        <v>2107620.2392578102</v>
      </c>
      <c r="L1515" s="1853"/>
      <c r="M1515" s="227">
        <v>1734200</v>
      </c>
      <c r="N1515" s="1853"/>
      <c r="O1515" s="227">
        <v>1079101.5625</v>
      </c>
      <c r="P1515" s="1853"/>
      <c r="Q1515" s="1854"/>
      <c r="R1515" s="1172"/>
      <c r="S1515" s="518"/>
      <c r="T1515" s="518"/>
      <c r="U1515" s="518"/>
      <c r="V1515" s="518"/>
      <c r="W1515" s="518"/>
      <c r="X1515" s="518"/>
      <c r="Y1515" s="1172">
        <f t="shared" si="441"/>
        <v>0</v>
      </c>
      <c r="Z1515" s="1851">
        <f t="shared" si="442"/>
        <v>0</v>
      </c>
      <c r="AA1515" s="1174">
        <f t="shared" si="443"/>
        <v>1734200</v>
      </c>
      <c r="AB1515" s="1851">
        <f t="shared" si="444"/>
        <v>0</v>
      </c>
      <c r="AC1515" s="1852">
        <f t="shared" si="445"/>
        <v>82.282375529411851</v>
      </c>
      <c r="AD1515" s="1852"/>
      <c r="AE1515" s="2554"/>
      <c r="AF1515" s="798"/>
      <c r="AG1515" s="1005"/>
      <c r="AH1515" s="798"/>
      <c r="AI1515" s="798"/>
      <c r="AJ1515" s="798"/>
      <c r="AK1515" s="798"/>
      <c r="AL1515" s="798"/>
      <c r="AM1515" s="798"/>
      <c r="AN1515" s="798"/>
      <c r="AO1515" s="798"/>
      <c r="AP1515" s="798"/>
      <c r="AQ1515" s="798"/>
      <c r="AR1515" s="798"/>
      <c r="AS1515" s="798"/>
      <c r="AT1515" s="798"/>
      <c r="AU1515" s="798"/>
      <c r="AV1515" s="798"/>
      <c r="AW1515" s="798"/>
      <c r="AX1515" s="798"/>
      <c r="AY1515" s="798"/>
      <c r="AZ1515" s="798"/>
      <c r="BA1515" s="798"/>
      <c r="BB1515" s="798"/>
      <c r="BC1515" s="799"/>
      <c r="BD1515" s="799"/>
      <c r="BE1515" s="799"/>
      <c r="BF1515" s="799"/>
      <c r="BG1515" s="799"/>
      <c r="BH1515" s="799"/>
      <c r="BI1515" s="799"/>
      <c r="BJ1515" s="799"/>
      <c r="BK1515" s="799"/>
      <c r="BL1515" s="799"/>
      <c r="BM1515" s="799"/>
      <c r="BN1515" s="799"/>
      <c r="BO1515" s="799"/>
      <c r="BP1515" s="799"/>
      <c r="BQ1515" s="799"/>
      <c r="BR1515" s="799"/>
    </row>
    <row r="1516" spans="1:70">
      <c r="A1516" s="1325"/>
      <c r="B1516" s="1124"/>
      <c r="C1516" s="1327"/>
      <c r="D1516" s="1327"/>
      <c r="E1516" s="1327"/>
      <c r="F1516" s="1327"/>
      <c r="G1516" s="1327"/>
      <c r="H1516" s="1327"/>
      <c r="I1516" s="1124"/>
      <c r="J1516" s="158" t="s">
        <v>186</v>
      </c>
      <c r="K1516" s="227">
        <v>157021.12219705101</v>
      </c>
      <c r="L1516" s="1853"/>
      <c r="M1516" s="227">
        <v>157266</v>
      </c>
      <c r="N1516" s="1853"/>
      <c r="O1516" s="227">
        <v>152403.154221</v>
      </c>
      <c r="P1516" s="1853"/>
      <c r="Q1516" s="1854"/>
      <c r="R1516" s="1172"/>
      <c r="S1516" s="518"/>
      <c r="T1516" s="518"/>
      <c r="U1516" s="518"/>
      <c r="V1516" s="518"/>
      <c r="W1516" s="518"/>
      <c r="X1516" s="518"/>
      <c r="Y1516" s="1172">
        <f t="shared" si="441"/>
        <v>0</v>
      </c>
      <c r="Z1516" s="1851">
        <f t="shared" si="442"/>
        <v>0</v>
      </c>
      <c r="AA1516" s="1174">
        <f t="shared" si="443"/>
        <v>157266</v>
      </c>
      <c r="AB1516" s="1851">
        <f t="shared" si="444"/>
        <v>0</v>
      </c>
      <c r="AC1516" s="1852">
        <f t="shared" si="445"/>
        <v>100.15595214167536</v>
      </c>
      <c r="AD1516" s="1852"/>
      <c r="AE1516" s="2554"/>
      <c r="AF1516" s="798"/>
      <c r="AG1516" s="1005"/>
      <c r="AH1516" s="798"/>
      <c r="AI1516" s="798"/>
      <c r="AJ1516" s="798"/>
      <c r="AK1516" s="798"/>
      <c r="AL1516" s="798"/>
      <c r="AM1516" s="798"/>
      <c r="AN1516" s="798"/>
      <c r="AO1516" s="798"/>
      <c r="AP1516" s="798"/>
      <c r="AQ1516" s="798"/>
      <c r="AR1516" s="798"/>
      <c r="AS1516" s="798"/>
      <c r="AT1516" s="798"/>
      <c r="AU1516" s="798"/>
      <c r="AV1516" s="798"/>
      <c r="AW1516" s="798"/>
      <c r="AX1516" s="798"/>
      <c r="AY1516" s="798"/>
      <c r="AZ1516" s="798"/>
      <c r="BA1516" s="798"/>
      <c r="BB1516" s="798"/>
      <c r="BC1516" s="799"/>
      <c r="BD1516" s="799"/>
      <c r="BE1516" s="799"/>
      <c r="BF1516" s="799"/>
      <c r="BG1516" s="799"/>
      <c r="BH1516" s="799"/>
      <c r="BI1516" s="799"/>
      <c r="BJ1516" s="799"/>
      <c r="BK1516" s="799"/>
      <c r="BL1516" s="799"/>
      <c r="BM1516" s="799"/>
      <c r="BN1516" s="799"/>
      <c r="BO1516" s="799"/>
      <c r="BP1516" s="799"/>
      <c r="BQ1516" s="799"/>
      <c r="BR1516" s="799"/>
    </row>
    <row r="1517" spans="1:70" ht="40.5" customHeight="1">
      <c r="A1517" s="1325"/>
      <c r="B1517" s="1124"/>
      <c r="C1517" s="1327"/>
      <c r="D1517" s="1327"/>
      <c r="E1517" s="1327"/>
      <c r="F1517" s="1327"/>
      <c r="G1517" s="1327"/>
      <c r="H1517" s="1327"/>
      <c r="I1517" s="1124"/>
      <c r="J1517" s="1827" t="s">
        <v>187</v>
      </c>
      <c r="K1517" s="1792"/>
      <c r="L1517" s="1853"/>
      <c r="M1517" s="227"/>
      <c r="N1517" s="1853"/>
      <c r="O1517" s="227"/>
      <c r="P1517" s="1853"/>
      <c r="Q1517" s="1854"/>
      <c r="R1517" s="1172"/>
      <c r="S1517" s="518"/>
      <c r="T1517" s="518"/>
      <c r="U1517" s="518"/>
      <c r="V1517" s="518"/>
      <c r="W1517" s="518"/>
      <c r="X1517" s="518"/>
      <c r="Y1517" s="1172">
        <f t="shared" si="441"/>
        <v>0</v>
      </c>
      <c r="Z1517" s="1851">
        <f t="shared" si="442"/>
        <v>0</v>
      </c>
      <c r="AA1517" s="1174">
        <f t="shared" si="443"/>
        <v>0</v>
      </c>
      <c r="AB1517" s="1851">
        <f t="shared" si="444"/>
        <v>0</v>
      </c>
      <c r="AC1517" s="1852"/>
      <c r="AD1517" s="1852"/>
      <c r="AE1517" s="2554"/>
      <c r="AF1517" s="798"/>
      <c r="AG1517" s="1005"/>
      <c r="AH1517" s="798"/>
      <c r="AI1517" s="798"/>
      <c r="AJ1517" s="798"/>
      <c r="AK1517" s="798"/>
      <c r="AL1517" s="798"/>
      <c r="AM1517" s="798"/>
      <c r="AN1517" s="798"/>
      <c r="AO1517" s="798"/>
      <c r="AP1517" s="798"/>
      <c r="AQ1517" s="798"/>
      <c r="AR1517" s="798"/>
      <c r="AS1517" s="798"/>
      <c r="AT1517" s="798"/>
      <c r="AU1517" s="798"/>
      <c r="AV1517" s="798"/>
      <c r="AW1517" s="798"/>
      <c r="AX1517" s="798"/>
      <c r="AY1517" s="798"/>
      <c r="AZ1517" s="798"/>
      <c r="BA1517" s="798"/>
      <c r="BB1517" s="798"/>
      <c r="BC1517" s="799"/>
      <c r="BD1517" s="799"/>
      <c r="BE1517" s="799"/>
      <c r="BF1517" s="799"/>
      <c r="BG1517" s="799"/>
      <c r="BH1517" s="799"/>
      <c r="BI1517" s="799"/>
      <c r="BJ1517" s="799"/>
      <c r="BK1517" s="799"/>
      <c r="BL1517" s="799"/>
      <c r="BM1517" s="799"/>
      <c r="BN1517" s="799"/>
      <c r="BO1517" s="799"/>
      <c r="BP1517" s="799"/>
      <c r="BQ1517" s="799"/>
      <c r="BR1517" s="799"/>
    </row>
    <row r="1518" spans="1:70" ht="13.5" customHeight="1">
      <c r="A1518" s="1325"/>
      <c r="B1518" s="1124"/>
      <c r="C1518" s="1327"/>
      <c r="D1518" s="1327"/>
      <c r="E1518" s="1327"/>
      <c r="F1518" s="1327"/>
      <c r="G1518" s="1327"/>
      <c r="H1518" s="1327"/>
      <c r="I1518" s="1124"/>
      <c r="J1518" s="158" t="s">
        <v>188</v>
      </c>
      <c r="K1518" s="227">
        <v>1397267.22103866</v>
      </c>
      <c r="L1518" s="1853"/>
      <c r="M1518" s="227">
        <v>1354022</v>
      </c>
      <c r="N1518" s="1853"/>
      <c r="O1518" s="227">
        <v>1367562.0584000191</v>
      </c>
      <c r="P1518" s="1853"/>
      <c r="Q1518" s="1854"/>
      <c r="R1518" s="1172"/>
      <c r="S1518" s="518"/>
      <c r="T1518" s="518"/>
      <c r="U1518" s="518"/>
      <c r="V1518" s="518"/>
      <c r="W1518" s="518"/>
      <c r="X1518" s="518"/>
      <c r="Y1518" s="1172">
        <f t="shared" si="441"/>
        <v>0</v>
      </c>
      <c r="Z1518" s="1851">
        <f t="shared" si="442"/>
        <v>0</v>
      </c>
      <c r="AA1518" s="1174">
        <f t="shared" si="443"/>
        <v>1354022</v>
      </c>
      <c r="AB1518" s="1851">
        <f t="shared" si="444"/>
        <v>0</v>
      </c>
      <c r="AC1518" s="1852">
        <f t="shared" ref="AC1518:AC1543" si="446">(AA1518/K1518)*100</f>
        <v>96.905014274469721</v>
      </c>
      <c r="AD1518" s="1852"/>
      <c r="AE1518" s="2554"/>
      <c r="AF1518" s="798"/>
      <c r="AG1518" s="1005"/>
      <c r="AH1518" s="798"/>
      <c r="AI1518" s="798"/>
      <c r="AJ1518" s="798"/>
      <c r="AK1518" s="798"/>
      <c r="AL1518" s="798"/>
      <c r="AM1518" s="798"/>
      <c r="AN1518" s="798"/>
      <c r="AO1518" s="798"/>
      <c r="AP1518" s="798"/>
      <c r="AQ1518" s="798"/>
      <c r="AR1518" s="798"/>
      <c r="AS1518" s="798"/>
      <c r="AT1518" s="798"/>
      <c r="AU1518" s="798"/>
      <c r="AV1518" s="798"/>
      <c r="AW1518" s="798"/>
      <c r="AX1518" s="798"/>
      <c r="AY1518" s="798"/>
      <c r="AZ1518" s="798"/>
      <c r="BA1518" s="798"/>
      <c r="BB1518" s="798"/>
      <c r="BC1518" s="799"/>
      <c r="BD1518" s="799"/>
      <c r="BE1518" s="799"/>
      <c r="BF1518" s="799"/>
      <c r="BG1518" s="799"/>
      <c r="BH1518" s="799"/>
      <c r="BI1518" s="799"/>
      <c r="BJ1518" s="799"/>
      <c r="BK1518" s="799"/>
      <c r="BL1518" s="799"/>
      <c r="BM1518" s="799"/>
      <c r="BN1518" s="799"/>
      <c r="BO1518" s="799"/>
      <c r="BP1518" s="799"/>
      <c r="BQ1518" s="799"/>
      <c r="BR1518" s="799"/>
    </row>
    <row r="1519" spans="1:70">
      <c r="A1519" s="1325"/>
      <c r="B1519" s="1124"/>
      <c r="C1519" s="1327"/>
      <c r="D1519" s="1327"/>
      <c r="E1519" s="1327"/>
      <c r="F1519" s="1327"/>
      <c r="G1519" s="1327"/>
      <c r="H1519" s="1327"/>
      <c r="I1519" s="1124"/>
      <c r="J1519" s="158" t="s">
        <v>189</v>
      </c>
      <c r="K1519" s="227">
        <v>55113.991256118701</v>
      </c>
      <c r="L1519" s="1853"/>
      <c r="M1519" s="227">
        <v>40520</v>
      </c>
      <c r="N1519" s="1853"/>
      <c r="O1519" s="227">
        <v>40925.199999999997</v>
      </c>
      <c r="P1519" s="1853"/>
      <c r="Q1519" s="1854"/>
      <c r="R1519" s="1172"/>
      <c r="S1519" s="518"/>
      <c r="T1519" s="518"/>
      <c r="U1519" s="518"/>
      <c r="V1519" s="518"/>
      <c r="W1519" s="518"/>
      <c r="X1519" s="518"/>
      <c r="Y1519" s="1172">
        <f t="shared" si="441"/>
        <v>0</v>
      </c>
      <c r="Z1519" s="1851">
        <f t="shared" si="442"/>
        <v>0</v>
      </c>
      <c r="AA1519" s="1174">
        <f t="shared" si="443"/>
        <v>40520</v>
      </c>
      <c r="AB1519" s="1851">
        <f t="shared" si="444"/>
        <v>0</v>
      </c>
      <c r="AC1519" s="1852">
        <f t="shared" si="446"/>
        <v>73.520351323678639</v>
      </c>
      <c r="AD1519" s="1852"/>
      <c r="AE1519" s="2554"/>
      <c r="AF1519" s="798"/>
      <c r="AG1519" s="1005"/>
      <c r="AH1519" s="798"/>
      <c r="AI1519" s="798"/>
      <c r="AJ1519" s="798"/>
      <c r="AK1519" s="798"/>
      <c r="AL1519" s="798"/>
      <c r="AM1519" s="798"/>
      <c r="AN1519" s="798"/>
      <c r="AO1519" s="798"/>
      <c r="AP1519" s="798"/>
      <c r="AQ1519" s="798"/>
      <c r="AR1519" s="798"/>
      <c r="AS1519" s="798"/>
      <c r="AT1519" s="798"/>
      <c r="AU1519" s="798"/>
      <c r="AV1519" s="798"/>
      <c r="AW1519" s="798"/>
      <c r="AX1519" s="798"/>
      <c r="AY1519" s="798"/>
      <c r="AZ1519" s="798"/>
      <c r="BA1519" s="798"/>
      <c r="BB1519" s="798"/>
      <c r="BC1519" s="799"/>
      <c r="BD1519" s="799"/>
      <c r="BE1519" s="799"/>
      <c r="BF1519" s="799"/>
      <c r="BG1519" s="799"/>
      <c r="BH1519" s="799"/>
      <c r="BI1519" s="799"/>
      <c r="BJ1519" s="799"/>
      <c r="BK1519" s="799"/>
      <c r="BL1519" s="799"/>
      <c r="BM1519" s="799"/>
      <c r="BN1519" s="799"/>
      <c r="BO1519" s="799"/>
      <c r="BP1519" s="799"/>
      <c r="BQ1519" s="799"/>
      <c r="BR1519" s="799"/>
    </row>
    <row r="1520" spans="1:70">
      <c r="A1520" s="1325"/>
      <c r="B1520" s="1124"/>
      <c r="C1520" s="1327"/>
      <c r="D1520" s="1327"/>
      <c r="E1520" s="1327"/>
      <c r="F1520" s="1327"/>
      <c r="G1520" s="1327"/>
      <c r="H1520" s="1327"/>
      <c r="I1520" s="1124"/>
      <c r="J1520" s="158" t="s">
        <v>190</v>
      </c>
      <c r="K1520" s="227">
        <v>50704.496368680899</v>
      </c>
      <c r="L1520" s="1853"/>
      <c r="M1520" s="227">
        <v>44958</v>
      </c>
      <c r="N1520" s="1853"/>
      <c r="O1520" s="227">
        <v>41708.836600000002</v>
      </c>
      <c r="P1520" s="1853"/>
      <c r="Q1520" s="1854"/>
      <c r="R1520" s="1172"/>
      <c r="S1520" s="518"/>
      <c r="T1520" s="518"/>
      <c r="U1520" s="518"/>
      <c r="V1520" s="518"/>
      <c r="W1520" s="518"/>
      <c r="X1520" s="518"/>
      <c r="Y1520" s="1172">
        <f t="shared" si="441"/>
        <v>0</v>
      </c>
      <c r="Z1520" s="1851">
        <f t="shared" si="442"/>
        <v>0</v>
      </c>
      <c r="AA1520" s="1174">
        <f t="shared" si="443"/>
        <v>44958</v>
      </c>
      <c r="AB1520" s="1851">
        <f t="shared" si="444"/>
        <v>0</v>
      </c>
      <c r="AC1520" s="1852">
        <f t="shared" si="446"/>
        <v>88.666692738850699</v>
      </c>
      <c r="AD1520" s="1852"/>
      <c r="AE1520" s="2554"/>
      <c r="AF1520" s="798"/>
      <c r="AG1520" s="1005"/>
      <c r="AH1520" s="798"/>
      <c r="AI1520" s="798"/>
      <c r="AJ1520" s="798"/>
      <c r="AK1520" s="798"/>
      <c r="AL1520" s="798"/>
      <c r="AM1520" s="798"/>
      <c r="AN1520" s="798"/>
      <c r="AO1520" s="798"/>
      <c r="AP1520" s="798"/>
      <c r="AQ1520" s="798"/>
      <c r="AR1520" s="798"/>
      <c r="AS1520" s="798"/>
      <c r="AT1520" s="798"/>
      <c r="AU1520" s="798"/>
      <c r="AV1520" s="798"/>
      <c r="AW1520" s="798"/>
      <c r="AX1520" s="798"/>
      <c r="AY1520" s="798"/>
      <c r="AZ1520" s="798"/>
      <c r="BA1520" s="798"/>
      <c r="BB1520" s="798"/>
      <c r="BC1520" s="799"/>
      <c r="BD1520" s="799"/>
      <c r="BE1520" s="799"/>
      <c r="BF1520" s="799"/>
      <c r="BG1520" s="799"/>
      <c r="BH1520" s="799"/>
      <c r="BI1520" s="799"/>
      <c r="BJ1520" s="799"/>
      <c r="BK1520" s="799"/>
      <c r="BL1520" s="799"/>
      <c r="BM1520" s="799"/>
      <c r="BN1520" s="799"/>
      <c r="BO1520" s="799"/>
      <c r="BP1520" s="799"/>
      <c r="BQ1520" s="799"/>
      <c r="BR1520" s="799"/>
    </row>
    <row r="1521" spans="1:70" ht="33">
      <c r="A1521" s="1325"/>
      <c r="B1521" s="1124"/>
      <c r="C1521" s="1327"/>
      <c r="D1521" s="1327"/>
      <c r="E1521" s="1327"/>
      <c r="F1521" s="1327"/>
      <c r="G1521" s="1327"/>
      <c r="H1521" s="1327"/>
      <c r="I1521" s="1124"/>
      <c r="J1521" s="158" t="s">
        <v>191</v>
      </c>
      <c r="K1521" s="227">
        <v>872623.06716810004</v>
      </c>
      <c r="L1521" s="1853"/>
      <c r="M1521" s="227">
        <v>965301</v>
      </c>
      <c r="N1521" s="1853"/>
      <c r="O1521" s="227">
        <v>974954.01</v>
      </c>
      <c r="P1521" s="1853"/>
      <c r="Q1521" s="1854"/>
      <c r="R1521" s="1172"/>
      <c r="S1521" s="518"/>
      <c r="T1521" s="518"/>
      <c r="U1521" s="518"/>
      <c r="V1521" s="518"/>
      <c r="W1521" s="518"/>
      <c r="X1521" s="518"/>
      <c r="Y1521" s="1172">
        <f t="shared" si="441"/>
        <v>0</v>
      </c>
      <c r="Z1521" s="1851">
        <f t="shared" si="442"/>
        <v>0</v>
      </c>
      <c r="AA1521" s="1174">
        <f t="shared" si="443"/>
        <v>965301</v>
      </c>
      <c r="AB1521" s="1851">
        <f t="shared" si="444"/>
        <v>0</v>
      </c>
      <c r="AC1521" s="1852">
        <f t="shared" si="446"/>
        <v>110.62061459510406</v>
      </c>
      <c r="AD1521" s="1852"/>
      <c r="AE1521" s="2554"/>
      <c r="AF1521" s="798"/>
      <c r="AG1521" s="1005"/>
      <c r="AH1521" s="798"/>
      <c r="AI1521" s="798"/>
      <c r="AJ1521" s="798"/>
      <c r="AK1521" s="798"/>
      <c r="AL1521" s="798"/>
      <c r="AM1521" s="798"/>
      <c r="AN1521" s="798"/>
      <c r="AO1521" s="798"/>
      <c r="AP1521" s="798"/>
      <c r="AQ1521" s="798"/>
      <c r="AR1521" s="798"/>
      <c r="AS1521" s="798"/>
      <c r="AT1521" s="798"/>
      <c r="AU1521" s="798"/>
      <c r="AV1521" s="798"/>
      <c r="AW1521" s="798"/>
      <c r="AX1521" s="798"/>
      <c r="AY1521" s="798"/>
      <c r="AZ1521" s="798"/>
      <c r="BA1521" s="798"/>
      <c r="BB1521" s="798"/>
      <c r="BC1521" s="799"/>
      <c r="BD1521" s="799"/>
      <c r="BE1521" s="799"/>
      <c r="BF1521" s="799"/>
      <c r="BG1521" s="799"/>
      <c r="BH1521" s="799"/>
      <c r="BI1521" s="799"/>
      <c r="BJ1521" s="799"/>
      <c r="BK1521" s="799"/>
      <c r="BL1521" s="799"/>
      <c r="BM1521" s="799"/>
      <c r="BN1521" s="799"/>
      <c r="BO1521" s="799"/>
      <c r="BP1521" s="799"/>
      <c r="BQ1521" s="799"/>
      <c r="BR1521" s="799"/>
    </row>
    <row r="1522" spans="1:70" ht="33">
      <c r="A1522" s="1325"/>
      <c r="B1522" s="1124"/>
      <c r="C1522" s="1327"/>
      <c r="D1522" s="1327"/>
      <c r="E1522" s="1327"/>
      <c r="F1522" s="1327"/>
      <c r="G1522" s="1327"/>
      <c r="H1522" s="1327"/>
      <c r="I1522" s="1124"/>
      <c r="J1522" s="158" t="s">
        <v>192</v>
      </c>
      <c r="K1522" s="227">
        <v>47152.940234941401</v>
      </c>
      <c r="L1522" s="1853"/>
      <c r="M1522" s="227">
        <v>71162</v>
      </c>
      <c r="N1522" s="1853"/>
      <c r="O1522" s="227">
        <v>71174.441699999996</v>
      </c>
      <c r="P1522" s="1853"/>
      <c r="Q1522" s="1854"/>
      <c r="R1522" s="1172"/>
      <c r="S1522" s="518"/>
      <c r="T1522" s="518"/>
      <c r="U1522" s="518"/>
      <c r="V1522" s="518"/>
      <c r="W1522" s="518"/>
      <c r="X1522" s="518"/>
      <c r="Y1522" s="1172">
        <f t="shared" si="441"/>
        <v>0</v>
      </c>
      <c r="Z1522" s="1851">
        <f t="shared" si="442"/>
        <v>0</v>
      </c>
      <c r="AA1522" s="1174">
        <f t="shared" si="443"/>
        <v>71162</v>
      </c>
      <c r="AB1522" s="1851">
        <f t="shared" si="444"/>
        <v>0</v>
      </c>
      <c r="AC1522" s="1852">
        <f t="shared" si="446"/>
        <v>150.91741818311331</v>
      </c>
      <c r="AD1522" s="1852"/>
      <c r="AE1522" s="2554"/>
      <c r="AF1522" s="796"/>
      <c r="AG1522" s="1684"/>
      <c r="AH1522" s="796"/>
      <c r="AI1522" s="796"/>
      <c r="AJ1522" s="796"/>
      <c r="AK1522" s="796"/>
      <c r="AL1522" s="796"/>
      <c r="AM1522" s="796"/>
      <c r="AN1522" s="796"/>
      <c r="AO1522" s="796"/>
      <c r="AP1522" s="796"/>
      <c r="AQ1522" s="796"/>
      <c r="AR1522" s="796"/>
      <c r="AS1522" s="796"/>
      <c r="AT1522" s="796"/>
      <c r="AU1522" s="796"/>
      <c r="AV1522" s="796"/>
      <c r="AW1522" s="796"/>
      <c r="AX1522" s="796"/>
      <c r="AY1522" s="796"/>
      <c r="AZ1522" s="796"/>
      <c r="BA1522" s="796"/>
      <c r="BB1522" s="796"/>
      <c r="BC1522" s="797"/>
      <c r="BD1522" s="797"/>
      <c r="BE1522" s="797"/>
      <c r="BF1522" s="797"/>
      <c r="BG1522" s="797"/>
      <c r="BH1522" s="797"/>
      <c r="BI1522" s="797"/>
      <c r="BJ1522" s="797"/>
      <c r="BK1522" s="797"/>
      <c r="BL1522" s="797"/>
      <c r="BM1522" s="797"/>
      <c r="BN1522" s="797"/>
      <c r="BO1522" s="797"/>
      <c r="BP1522" s="797"/>
      <c r="BQ1522" s="797"/>
      <c r="BR1522" s="797"/>
    </row>
    <row r="1523" spans="1:70" ht="33">
      <c r="A1523" s="1325"/>
      <c r="B1523" s="1124"/>
      <c r="C1523" s="1327"/>
      <c r="D1523" s="1327"/>
      <c r="E1523" s="1327"/>
      <c r="F1523" s="1327"/>
      <c r="G1523" s="1327"/>
      <c r="H1523" s="1327"/>
      <c r="I1523" s="1124"/>
      <c r="J1523" s="158" t="s">
        <v>193</v>
      </c>
      <c r="K1523" s="227">
        <v>1686623.09646606</v>
      </c>
      <c r="L1523" s="1853"/>
      <c r="M1523" s="227">
        <v>1886261</v>
      </c>
      <c r="N1523" s="1853"/>
      <c r="O1523" s="227">
        <v>1894581.297271</v>
      </c>
      <c r="P1523" s="1853"/>
      <c r="Q1523" s="1854"/>
      <c r="R1523" s="1172"/>
      <c r="S1523" s="518"/>
      <c r="T1523" s="518"/>
      <c r="U1523" s="518"/>
      <c r="V1523" s="518"/>
      <c r="W1523" s="518"/>
      <c r="X1523" s="518"/>
      <c r="Y1523" s="1172">
        <f t="shared" si="441"/>
        <v>0</v>
      </c>
      <c r="Z1523" s="1851">
        <f t="shared" si="442"/>
        <v>0</v>
      </c>
      <c r="AA1523" s="1174">
        <f t="shared" si="443"/>
        <v>1886261</v>
      </c>
      <c r="AB1523" s="1851">
        <f t="shared" si="444"/>
        <v>0</v>
      </c>
      <c r="AC1523" s="1852">
        <f t="shared" si="446"/>
        <v>111.83654510318497</v>
      </c>
      <c r="AD1523" s="1852"/>
      <c r="AE1523" s="2554"/>
      <c r="AF1523" s="798"/>
      <c r="AG1523" s="1005"/>
      <c r="AH1523" s="798"/>
      <c r="AI1523" s="798"/>
      <c r="AJ1523" s="798"/>
      <c r="AK1523" s="798"/>
      <c r="AL1523" s="798"/>
      <c r="AM1523" s="798"/>
      <c r="AN1523" s="798"/>
      <c r="AO1523" s="798"/>
      <c r="AP1523" s="798"/>
      <c r="AQ1523" s="798"/>
      <c r="AR1523" s="798"/>
      <c r="AS1523" s="798"/>
      <c r="AT1523" s="798"/>
      <c r="AU1523" s="798"/>
      <c r="AV1523" s="798"/>
      <c r="AW1523" s="798"/>
      <c r="AX1523" s="798"/>
      <c r="AY1523" s="798"/>
      <c r="AZ1523" s="798"/>
      <c r="BA1523" s="798"/>
      <c r="BB1523" s="798"/>
      <c r="BC1523" s="799"/>
      <c r="BD1523" s="799"/>
      <c r="BE1523" s="799"/>
      <c r="BF1523" s="799"/>
      <c r="BG1523" s="799"/>
      <c r="BH1523" s="799"/>
      <c r="BI1523" s="799"/>
      <c r="BJ1523" s="799"/>
      <c r="BK1523" s="799"/>
      <c r="BL1523" s="799"/>
      <c r="BM1523" s="799"/>
      <c r="BN1523" s="799"/>
      <c r="BO1523" s="799"/>
      <c r="BP1523" s="799"/>
      <c r="BQ1523" s="799"/>
      <c r="BR1523" s="799"/>
    </row>
    <row r="1524" spans="1:70">
      <c r="A1524" s="1325"/>
      <c r="B1524" s="1124"/>
      <c r="C1524" s="1327"/>
      <c r="D1524" s="1327"/>
      <c r="E1524" s="1327"/>
      <c r="F1524" s="1327"/>
      <c r="G1524" s="1327"/>
      <c r="H1524" s="1327"/>
      <c r="I1524" s="1124"/>
      <c r="J1524" s="158" t="s">
        <v>194</v>
      </c>
      <c r="K1524" s="227">
        <v>64771.212906283297</v>
      </c>
      <c r="L1524" s="1853"/>
      <c r="M1524" s="227">
        <v>92447</v>
      </c>
      <c r="N1524" s="1853"/>
      <c r="O1524" s="227">
        <v>94227.657099999997</v>
      </c>
      <c r="P1524" s="1853"/>
      <c r="Q1524" s="1854"/>
      <c r="R1524" s="1172"/>
      <c r="S1524" s="518"/>
      <c r="T1524" s="518"/>
      <c r="U1524" s="518"/>
      <c r="V1524" s="518"/>
      <c r="W1524" s="518"/>
      <c r="X1524" s="518"/>
      <c r="Y1524" s="1172">
        <f t="shared" si="441"/>
        <v>0</v>
      </c>
      <c r="Z1524" s="1851">
        <f t="shared" si="442"/>
        <v>0</v>
      </c>
      <c r="AA1524" s="1174">
        <f t="shared" si="443"/>
        <v>92447</v>
      </c>
      <c r="AB1524" s="1851">
        <f t="shared" si="444"/>
        <v>0</v>
      </c>
      <c r="AC1524" s="1852">
        <f t="shared" si="446"/>
        <v>142.72852993159239</v>
      </c>
      <c r="AD1524" s="1852"/>
      <c r="AE1524" s="2554"/>
      <c r="AF1524" s="796"/>
      <c r="AG1524" s="1684"/>
      <c r="AH1524" s="796"/>
      <c r="AI1524" s="796"/>
      <c r="AJ1524" s="796"/>
      <c r="AK1524" s="796"/>
      <c r="AL1524" s="796"/>
      <c r="AM1524" s="796"/>
      <c r="AN1524" s="796"/>
      <c r="AO1524" s="796"/>
      <c r="AP1524" s="796"/>
      <c r="AQ1524" s="796"/>
      <c r="AR1524" s="796"/>
      <c r="AS1524" s="796"/>
      <c r="AT1524" s="796"/>
      <c r="AU1524" s="796"/>
      <c r="AV1524" s="796"/>
      <c r="AW1524" s="796"/>
      <c r="AX1524" s="796"/>
      <c r="AY1524" s="796"/>
      <c r="AZ1524" s="796"/>
      <c r="BA1524" s="796"/>
      <c r="BB1524" s="796"/>
      <c r="BC1524" s="797"/>
      <c r="BD1524" s="797"/>
      <c r="BE1524" s="797"/>
      <c r="BF1524" s="797"/>
      <c r="BG1524" s="797"/>
      <c r="BH1524" s="797"/>
      <c r="BI1524" s="797"/>
      <c r="BJ1524" s="797"/>
      <c r="BK1524" s="797"/>
      <c r="BL1524" s="797"/>
      <c r="BM1524" s="797"/>
      <c r="BN1524" s="797"/>
      <c r="BO1524" s="797"/>
      <c r="BP1524" s="797"/>
      <c r="BQ1524" s="797"/>
      <c r="BR1524" s="797"/>
    </row>
    <row r="1525" spans="1:70">
      <c r="A1525" s="1325"/>
      <c r="B1525" s="1124"/>
      <c r="C1525" s="1327"/>
      <c r="D1525" s="1327"/>
      <c r="E1525" s="1327"/>
      <c r="F1525" s="1327"/>
      <c r="G1525" s="1327"/>
      <c r="H1525" s="1327"/>
      <c r="I1525" s="1124"/>
      <c r="J1525" s="158" t="s">
        <v>195</v>
      </c>
      <c r="K1525" s="227">
        <v>727012.60580418701</v>
      </c>
      <c r="L1525" s="1853"/>
      <c r="M1525" s="227">
        <v>751725</v>
      </c>
      <c r="N1525" s="1853"/>
      <c r="O1525" s="227">
        <v>628020.82349999994</v>
      </c>
      <c r="P1525" s="1853"/>
      <c r="Q1525" s="1854"/>
      <c r="R1525" s="1172"/>
      <c r="S1525" s="518"/>
      <c r="T1525" s="518"/>
      <c r="U1525" s="518"/>
      <c r="V1525" s="518"/>
      <c r="W1525" s="518"/>
      <c r="X1525" s="518"/>
      <c r="Y1525" s="1172">
        <f t="shared" si="441"/>
        <v>0</v>
      </c>
      <c r="Z1525" s="1851">
        <f t="shared" si="442"/>
        <v>0</v>
      </c>
      <c r="AA1525" s="1174">
        <f t="shared" si="443"/>
        <v>751725</v>
      </c>
      <c r="AB1525" s="1851">
        <f t="shared" si="444"/>
        <v>0</v>
      </c>
      <c r="AC1525" s="1852">
        <f t="shared" si="446"/>
        <v>103.39916997291641</v>
      </c>
      <c r="AD1525" s="1852"/>
      <c r="AE1525" s="2554"/>
      <c r="AF1525" s="798"/>
      <c r="AG1525" s="1005"/>
      <c r="AH1525" s="798"/>
      <c r="AI1525" s="798"/>
      <c r="AJ1525" s="798"/>
      <c r="AK1525" s="798"/>
      <c r="AL1525" s="798"/>
      <c r="AM1525" s="798"/>
      <c r="AN1525" s="798"/>
      <c r="AO1525" s="798"/>
      <c r="AP1525" s="798"/>
      <c r="AQ1525" s="798"/>
      <c r="AR1525" s="798"/>
      <c r="AS1525" s="798"/>
      <c r="AT1525" s="798"/>
      <c r="AU1525" s="798"/>
      <c r="AV1525" s="798"/>
      <c r="AW1525" s="798"/>
      <c r="AX1525" s="798"/>
      <c r="AY1525" s="798"/>
      <c r="AZ1525" s="798"/>
      <c r="BA1525" s="798"/>
      <c r="BB1525" s="798"/>
      <c r="BC1525" s="799"/>
      <c r="BD1525" s="799"/>
      <c r="BE1525" s="799"/>
      <c r="BF1525" s="799"/>
      <c r="BG1525" s="799"/>
      <c r="BH1525" s="799"/>
      <c r="BI1525" s="799"/>
      <c r="BJ1525" s="799"/>
      <c r="BK1525" s="799"/>
      <c r="BL1525" s="799"/>
      <c r="BM1525" s="799"/>
      <c r="BN1525" s="799"/>
      <c r="BO1525" s="799"/>
      <c r="BP1525" s="799"/>
      <c r="BQ1525" s="799"/>
      <c r="BR1525" s="799"/>
    </row>
    <row r="1526" spans="1:70" ht="33">
      <c r="A1526" s="1325"/>
      <c r="B1526" s="1124"/>
      <c r="C1526" s="1327"/>
      <c r="D1526" s="1327"/>
      <c r="E1526" s="1327"/>
      <c r="F1526" s="1327"/>
      <c r="G1526" s="1327"/>
      <c r="H1526" s="1327"/>
      <c r="I1526" s="1124"/>
      <c r="J1526" s="158" t="s">
        <v>196</v>
      </c>
      <c r="K1526" s="227">
        <v>341726.51581408101</v>
      </c>
      <c r="L1526" s="1853"/>
      <c r="M1526" s="227">
        <v>503243</v>
      </c>
      <c r="N1526" s="1853"/>
      <c r="O1526" s="227">
        <v>334549.88944993058</v>
      </c>
      <c r="P1526" s="1853"/>
      <c r="Q1526" s="1854"/>
      <c r="R1526" s="1172"/>
      <c r="S1526" s="518"/>
      <c r="T1526" s="518"/>
      <c r="U1526" s="518"/>
      <c r="V1526" s="518"/>
      <c r="W1526" s="518"/>
      <c r="X1526" s="518"/>
      <c r="Y1526" s="1172">
        <f t="shared" si="441"/>
        <v>0</v>
      </c>
      <c r="Z1526" s="1851">
        <f t="shared" si="442"/>
        <v>0</v>
      </c>
      <c r="AA1526" s="1174">
        <f t="shared" si="443"/>
        <v>503243</v>
      </c>
      <c r="AB1526" s="1851">
        <f t="shared" si="444"/>
        <v>0</v>
      </c>
      <c r="AC1526" s="1852">
        <f t="shared" si="446"/>
        <v>147.26483802439063</v>
      </c>
      <c r="AD1526" s="1852"/>
      <c r="AE1526" s="2554"/>
      <c r="AF1526" s="798"/>
      <c r="AG1526" s="1005"/>
      <c r="AH1526" s="798"/>
      <c r="AI1526" s="798"/>
      <c r="AJ1526" s="798"/>
      <c r="AK1526" s="798"/>
      <c r="AL1526" s="798"/>
      <c r="AM1526" s="798"/>
      <c r="AN1526" s="798"/>
      <c r="AO1526" s="798"/>
      <c r="AP1526" s="798"/>
      <c r="AQ1526" s="798"/>
      <c r="AR1526" s="798"/>
      <c r="AS1526" s="798"/>
      <c r="AT1526" s="798"/>
      <c r="AU1526" s="798"/>
      <c r="AV1526" s="798"/>
      <c r="AW1526" s="798"/>
      <c r="AX1526" s="798"/>
      <c r="AY1526" s="798"/>
      <c r="AZ1526" s="798"/>
      <c r="BA1526" s="798"/>
      <c r="BB1526" s="798"/>
      <c r="BC1526" s="799"/>
      <c r="BD1526" s="799"/>
      <c r="BE1526" s="799"/>
      <c r="BF1526" s="799"/>
      <c r="BG1526" s="799"/>
      <c r="BH1526" s="799"/>
      <c r="BI1526" s="799"/>
      <c r="BJ1526" s="799"/>
      <c r="BK1526" s="799"/>
      <c r="BL1526" s="799"/>
      <c r="BM1526" s="799"/>
      <c r="BN1526" s="799"/>
      <c r="BO1526" s="799"/>
      <c r="BP1526" s="799"/>
      <c r="BQ1526" s="799"/>
      <c r="BR1526" s="799"/>
    </row>
    <row r="1527" spans="1:70">
      <c r="A1527" s="1171"/>
      <c r="B1527" s="1677"/>
      <c r="C1527" s="1121"/>
      <c r="D1527" s="1121"/>
      <c r="E1527" s="1121"/>
      <c r="F1527" s="1121"/>
      <c r="G1527" s="1121"/>
      <c r="H1527" s="1121"/>
      <c r="I1527" s="1677"/>
      <c r="J1527" s="158" t="s">
        <v>197</v>
      </c>
      <c r="K1527" s="227">
        <v>716016.31721855002</v>
      </c>
      <c r="L1527" s="1853"/>
      <c r="M1527" s="227">
        <v>863392</v>
      </c>
      <c r="N1527" s="1853"/>
      <c r="O1527" s="227">
        <v>694958.38324776001</v>
      </c>
      <c r="P1527" s="1853"/>
      <c r="Q1527" s="1854"/>
      <c r="R1527" s="1172"/>
      <c r="S1527" s="518"/>
      <c r="T1527" s="518"/>
      <c r="U1527" s="518"/>
      <c r="V1527" s="518"/>
      <c r="W1527" s="518"/>
      <c r="X1527" s="518"/>
      <c r="Y1527" s="1172">
        <f t="shared" si="441"/>
        <v>0</v>
      </c>
      <c r="Z1527" s="1851">
        <f t="shared" si="442"/>
        <v>0</v>
      </c>
      <c r="AA1527" s="1174">
        <f t="shared" si="443"/>
        <v>863392</v>
      </c>
      <c r="AB1527" s="1851">
        <f t="shared" si="444"/>
        <v>0</v>
      </c>
      <c r="AC1527" s="1852">
        <f t="shared" si="446"/>
        <v>120.58272685096733</v>
      </c>
      <c r="AD1527" s="1852"/>
      <c r="AE1527" s="2554"/>
      <c r="AF1527" s="798"/>
      <c r="AG1527" s="1005"/>
      <c r="AH1527" s="798"/>
      <c r="AI1527" s="798"/>
      <c r="AJ1527" s="798"/>
      <c r="AK1527" s="798"/>
      <c r="AL1527" s="798"/>
      <c r="AM1527" s="798"/>
      <c r="AN1527" s="798"/>
      <c r="AO1527" s="798"/>
      <c r="AP1527" s="798"/>
      <c r="AQ1527" s="798"/>
      <c r="AR1527" s="798"/>
      <c r="AS1527" s="798"/>
      <c r="AT1527" s="798"/>
      <c r="AU1527" s="798"/>
      <c r="AV1527" s="798"/>
      <c r="AW1527" s="798"/>
      <c r="AX1527" s="798"/>
      <c r="AY1527" s="798"/>
      <c r="AZ1527" s="798"/>
      <c r="BA1527" s="798"/>
      <c r="BB1527" s="798"/>
      <c r="BC1527" s="799"/>
      <c r="BD1527" s="799"/>
      <c r="BE1527" s="799"/>
      <c r="BF1527" s="799"/>
      <c r="BG1527" s="799"/>
      <c r="BH1527" s="799"/>
      <c r="BI1527" s="799"/>
      <c r="BJ1527" s="799"/>
      <c r="BK1527" s="799"/>
      <c r="BL1527" s="799"/>
      <c r="BM1527" s="799"/>
      <c r="BN1527" s="799"/>
      <c r="BO1527" s="799"/>
      <c r="BP1527" s="799"/>
      <c r="BQ1527" s="799"/>
      <c r="BR1527" s="799"/>
    </row>
    <row r="1528" spans="1:70" ht="82.5">
      <c r="A1528" s="1180"/>
      <c r="B1528" s="8"/>
      <c r="C1528" s="1164" t="s">
        <v>107</v>
      </c>
      <c r="D1528" s="1164" t="s">
        <v>34</v>
      </c>
      <c r="E1528" s="1164" t="s">
        <v>39</v>
      </c>
      <c r="F1528" s="1164" t="s">
        <v>28</v>
      </c>
      <c r="G1528" s="1164" t="s">
        <v>61</v>
      </c>
      <c r="H1528" s="1164" t="s">
        <v>28</v>
      </c>
      <c r="I1528" s="4" t="s">
        <v>198</v>
      </c>
      <c r="J1528" s="5" t="s">
        <v>199</v>
      </c>
      <c r="K1528" s="24">
        <v>72</v>
      </c>
      <c r="L1528" s="24">
        <v>1985984000</v>
      </c>
      <c r="M1528" s="24">
        <v>36</v>
      </c>
      <c r="N1528" s="1181">
        <v>829060364</v>
      </c>
      <c r="O1528" s="1169">
        <v>12</v>
      </c>
      <c r="P1528" s="1181">
        <v>213096500</v>
      </c>
      <c r="Q1528" s="1166">
        <v>3</v>
      </c>
      <c r="R1528" s="1182">
        <v>13632000</v>
      </c>
      <c r="S1528" s="1183">
        <v>32</v>
      </c>
      <c r="T1528" s="2674">
        <v>83298800</v>
      </c>
      <c r="U1528" s="1183"/>
      <c r="V1528" s="1183"/>
      <c r="W1528" s="1183"/>
      <c r="X1528" s="1183"/>
      <c r="Y1528" s="874">
        <f t="shared" si="441"/>
        <v>35</v>
      </c>
      <c r="Z1528" s="1168">
        <f t="shared" si="442"/>
        <v>96930800</v>
      </c>
      <c r="AA1528" s="1169">
        <v>54</v>
      </c>
      <c r="AB1528" s="1168">
        <v>829060364.05400002</v>
      </c>
      <c r="AC1528" s="1170">
        <f t="shared" si="446"/>
        <v>75</v>
      </c>
      <c r="AD1528" s="1170">
        <f t="shared" ref="AD1528:AD1543" si="447">(AB1528/L1528)*100</f>
        <v>41.745571165427314</v>
      </c>
      <c r="AE1528" s="1129"/>
      <c r="AF1528" s="798"/>
      <c r="AG1528" s="1005"/>
      <c r="AH1528" s="798"/>
      <c r="AI1528" s="798"/>
      <c r="AJ1528" s="798"/>
      <c r="AK1528" s="798"/>
      <c r="AL1528" s="798"/>
      <c r="AM1528" s="798"/>
      <c r="AN1528" s="798"/>
      <c r="AO1528" s="798"/>
      <c r="AP1528" s="798"/>
      <c r="AQ1528" s="798"/>
      <c r="AR1528" s="798"/>
      <c r="AS1528" s="798"/>
      <c r="AT1528" s="798"/>
      <c r="AU1528" s="798"/>
      <c r="AV1528" s="798"/>
      <c r="AW1528" s="798"/>
      <c r="AX1528" s="798"/>
      <c r="AY1528" s="798"/>
      <c r="AZ1528" s="798"/>
      <c r="BA1528" s="798"/>
      <c r="BB1528" s="798"/>
      <c r="BC1528" s="799"/>
      <c r="BD1528" s="799"/>
      <c r="BE1528" s="799"/>
      <c r="BF1528" s="799"/>
      <c r="BG1528" s="799"/>
      <c r="BH1528" s="799"/>
      <c r="BI1528" s="799"/>
      <c r="BJ1528" s="799"/>
      <c r="BK1528" s="799"/>
      <c r="BL1528" s="799"/>
      <c r="BM1528" s="799"/>
      <c r="BN1528" s="799"/>
      <c r="BO1528" s="799"/>
      <c r="BP1528" s="799"/>
      <c r="BQ1528" s="799"/>
      <c r="BR1528" s="799"/>
    </row>
    <row r="1529" spans="1:70" ht="49.5">
      <c r="A1529" s="1180"/>
      <c r="B1529" s="8"/>
      <c r="C1529" s="1164" t="s">
        <v>107</v>
      </c>
      <c r="D1529" s="1164" t="s">
        <v>34</v>
      </c>
      <c r="E1529" s="1164" t="s">
        <v>39</v>
      </c>
      <c r="F1529" s="1164" t="s">
        <v>28</v>
      </c>
      <c r="G1529" s="1164" t="s">
        <v>61</v>
      </c>
      <c r="H1529" s="1164" t="s">
        <v>39</v>
      </c>
      <c r="I1529" s="4" t="s">
        <v>408</v>
      </c>
      <c r="J1529" s="5" t="s">
        <v>409</v>
      </c>
      <c r="K1529" s="24">
        <v>4936</v>
      </c>
      <c r="L1529" s="24">
        <v>4499332004</v>
      </c>
      <c r="M1529" s="24">
        <v>0</v>
      </c>
      <c r="N1529" s="1181">
        <v>0</v>
      </c>
      <c r="O1529" s="1182">
        <v>1234</v>
      </c>
      <c r="P1529" s="1181">
        <v>1124833001</v>
      </c>
      <c r="Q1529" s="1166">
        <v>0</v>
      </c>
      <c r="R1529" s="1182">
        <v>0</v>
      </c>
      <c r="S1529" s="1183">
        <v>70</v>
      </c>
      <c r="T1529" s="2674">
        <v>326352509</v>
      </c>
      <c r="U1529" s="1183"/>
      <c r="V1529" s="1183"/>
      <c r="W1529" s="1183"/>
      <c r="X1529" s="1183"/>
      <c r="Y1529" s="874">
        <f t="shared" si="441"/>
        <v>70</v>
      </c>
      <c r="Z1529" s="1168">
        <f t="shared" si="442"/>
        <v>326352509</v>
      </c>
      <c r="AA1529" s="1190">
        <f t="shared" ref="AA1529:AA1543" si="448">M1529+Y1529</f>
        <v>70</v>
      </c>
      <c r="AB1529" s="1168">
        <v>0</v>
      </c>
      <c r="AC1529" s="1170">
        <f t="shared" si="446"/>
        <v>1.4181523500810371</v>
      </c>
      <c r="AD1529" s="1170">
        <f t="shared" si="447"/>
        <v>0</v>
      </c>
      <c r="AE1529" s="1129"/>
      <c r="AF1529" s="798"/>
      <c r="AG1529" s="1005"/>
      <c r="AH1529" s="798"/>
      <c r="AI1529" s="798"/>
      <c r="AJ1529" s="798"/>
      <c r="AK1529" s="798"/>
      <c r="AL1529" s="798"/>
      <c r="AM1529" s="798"/>
      <c r="AN1529" s="798"/>
      <c r="AO1529" s="798"/>
      <c r="AP1529" s="798"/>
      <c r="AQ1529" s="798"/>
      <c r="AR1529" s="798"/>
      <c r="AS1529" s="798"/>
      <c r="AT1529" s="798"/>
      <c r="AU1529" s="798"/>
      <c r="AV1529" s="798"/>
      <c r="AW1529" s="798"/>
      <c r="AX1529" s="798"/>
      <c r="AY1529" s="798"/>
      <c r="AZ1529" s="798"/>
      <c r="BA1529" s="798"/>
      <c r="BB1529" s="798"/>
      <c r="BC1529" s="799"/>
      <c r="BD1529" s="799"/>
      <c r="BE1529" s="799"/>
      <c r="BF1529" s="799"/>
      <c r="BG1529" s="799"/>
      <c r="BH1529" s="799"/>
      <c r="BI1529" s="799"/>
      <c r="BJ1529" s="799"/>
      <c r="BK1529" s="799"/>
      <c r="BL1529" s="799"/>
      <c r="BM1529" s="799"/>
      <c r="BN1529" s="799"/>
      <c r="BO1529" s="799"/>
      <c r="BP1529" s="799"/>
      <c r="BQ1529" s="799"/>
      <c r="BR1529" s="799"/>
    </row>
    <row r="1530" spans="1:70" ht="49.5">
      <c r="A1530" s="1180"/>
      <c r="B1530" s="8"/>
      <c r="C1530" s="1164" t="s">
        <v>107</v>
      </c>
      <c r="D1530" s="1164" t="s">
        <v>34</v>
      </c>
      <c r="E1530" s="1164" t="s">
        <v>39</v>
      </c>
      <c r="F1530" s="1164" t="s">
        <v>28</v>
      </c>
      <c r="G1530" s="1164" t="s">
        <v>61</v>
      </c>
      <c r="H1530" s="1164" t="s">
        <v>56</v>
      </c>
      <c r="I1530" s="4" t="s">
        <v>200</v>
      </c>
      <c r="J1530" s="4" t="s">
        <v>201</v>
      </c>
      <c r="K1530" s="42">
        <v>68000</v>
      </c>
      <c r="L1530" s="24">
        <v>1424584627</v>
      </c>
      <c r="M1530" s="24">
        <v>33000</v>
      </c>
      <c r="N1530" s="1181">
        <v>738562717.5</v>
      </c>
      <c r="O1530" s="1182">
        <v>11000</v>
      </c>
      <c r="P1530" s="1181">
        <v>221245000</v>
      </c>
      <c r="Q1530" s="1166">
        <v>11000</v>
      </c>
      <c r="R1530" s="1182">
        <v>131664700</v>
      </c>
      <c r="S1530" s="1183">
        <v>11000</v>
      </c>
      <c r="T1530" s="2674">
        <v>211013950</v>
      </c>
      <c r="U1530" s="1183"/>
      <c r="V1530" s="1183"/>
      <c r="W1530" s="1183"/>
      <c r="X1530" s="1183"/>
      <c r="Y1530" s="203">
        <f t="shared" si="441"/>
        <v>22000</v>
      </c>
      <c r="Z1530" s="1168">
        <f t="shared" si="442"/>
        <v>342678650</v>
      </c>
      <c r="AA1530" s="1191">
        <f t="shared" si="448"/>
        <v>55000</v>
      </c>
      <c r="AB1530" s="1168">
        <v>1028254536.0799999</v>
      </c>
      <c r="AC1530" s="1170">
        <f t="shared" si="446"/>
        <v>80.882352941176478</v>
      </c>
      <c r="AD1530" s="1170">
        <f t="shared" si="447"/>
        <v>72.179252575915925</v>
      </c>
      <c r="AE1530" s="1129"/>
      <c r="AF1530" s="798"/>
      <c r="AG1530" s="1005"/>
      <c r="AH1530" s="798"/>
      <c r="AI1530" s="798"/>
      <c r="AJ1530" s="798"/>
      <c r="AK1530" s="798"/>
      <c r="AL1530" s="798"/>
      <c r="AM1530" s="798"/>
      <c r="AN1530" s="798"/>
      <c r="AO1530" s="798"/>
      <c r="AP1530" s="798"/>
      <c r="AQ1530" s="798"/>
      <c r="AR1530" s="798"/>
      <c r="AS1530" s="798"/>
      <c r="AT1530" s="798"/>
      <c r="AU1530" s="798"/>
      <c r="AV1530" s="798"/>
      <c r="AW1530" s="798"/>
      <c r="AX1530" s="798"/>
      <c r="AY1530" s="798"/>
      <c r="AZ1530" s="798"/>
      <c r="BA1530" s="798"/>
      <c r="BB1530" s="798"/>
      <c r="BC1530" s="799"/>
      <c r="BD1530" s="799"/>
      <c r="BE1530" s="799"/>
      <c r="BF1530" s="799"/>
      <c r="BG1530" s="799"/>
      <c r="BH1530" s="799"/>
      <c r="BI1530" s="799"/>
      <c r="BJ1530" s="799"/>
      <c r="BK1530" s="799"/>
      <c r="BL1530" s="799"/>
      <c r="BM1530" s="799"/>
      <c r="BN1530" s="799"/>
      <c r="BO1530" s="799"/>
      <c r="BP1530" s="799"/>
      <c r="BQ1530" s="799"/>
      <c r="BR1530" s="799"/>
    </row>
    <row r="1531" spans="1:70" ht="33">
      <c r="A1531" s="1180"/>
      <c r="B1531" s="8"/>
      <c r="C1531" s="1164" t="s">
        <v>107</v>
      </c>
      <c r="D1531" s="1164" t="s">
        <v>34</v>
      </c>
      <c r="E1531" s="1164" t="s">
        <v>39</v>
      </c>
      <c r="F1531" s="1164" t="s">
        <v>28</v>
      </c>
      <c r="G1531" s="1164" t="s">
        <v>61</v>
      </c>
      <c r="H1531" s="1164" t="s">
        <v>31</v>
      </c>
      <c r="I1531" s="4" t="s">
        <v>202</v>
      </c>
      <c r="J1531" s="4" t="s">
        <v>203</v>
      </c>
      <c r="K1531" s="42">
        <v>35000</v>
      </c>
      <c r="L1531" s="24">
        <v>2208956866</v>
      </c>
      <c r="M1531" s="24">
        <v>27157</v>
      </c>
      <c r="N1531" s="1181">
        <v>1028254536.0799999</v>
      </c>
      <c r="O1531" s="1169">
        <v>4400</v>
      </c>
      <c r="P1531" s="1181">
        <v>361281200</v>
      </c>
      <c r="Q1531" s="1166">
        <v>898</v>
      </c>
      <c r="R1531" s="1182">
        <v>24222200</v>
      </c>
      <c r="S1531" s="35">
        <v>941</v>
      </c>
      <c r="T1531" s="2674">
        <v>43873450</v>
      </c>
      <c r="U1531" s="1183"/>
      <c r="V1531" s="1183"/>
      <c r="W1531" s="1183"/>
      <c r="X1531" s="1183"/>
      <c r="Y1531" s="203">
        <f t="shared" si="441"/>
        <v>1839</v>
      </c>
      <c r="Z1531" s="1168">
        <f t="shared" si="442"/>
        <v>68095650</v>
      </c>
      <c r="AA1531" s="1192">
        <f t="shared" si="448"/>
        <v>28996</v>
      </c>
      <c r="AB1531" s="1168">
        <v>567239757.43599999</v>
      </c>
      <c r="AC1531" s="1170">
        <f t="shared" si="446"/>
        <v>82.845714285714294</v>
      </c>
      <c r="AD1531" s="1170">
        <f t="shared" si="447"/>
        <v>25.679078037551868</v>
      </c>
      <c r="AE1531" s="1129"/>
      <c r="AF1531" s="798"/>
      <c r="AG1531" s="1005"/>
      <c r="AH1531" s="798"/>
      <c r="AI1531" s="798"/>
      <c r="AJ1531" s="798"/>
      <c r="AK1531" s="798"/>
      <c r="AL1531" s="798"/>
      <c r="AM1531" s="798"/>
      <c r="AN1531" s="798"/>
      <c r="AO1531" s="798"/>
      <c r="AP1531" s="798"/>
      <c r="AQ1531" s="798"/>
      <c r="AR1531" s="798"/>
      <c r="AS1531" s="798"/>
      <c r="AT1531" s="798"/>
      <c r="AU1531" s="798"/>
      <c r="AV1531" s="798"/>
      <c r="AW1531" s="798"/>
      <c r="AX1531" s="798"/>
      <c r="AY1531" s="798"/>
      <c r="AZ1531" s="798"/>
      <c r="BA1531" s="798"/>
      <c r="BB1531" s="798"/>
      <c r="BC1531" s="799"/>
      <c r="BD1531" s="799"/>
      <c r="BE1531" s="799"/>
      <c r="BF1531" s="799"/>
      <c r="BG1531" s="799"/>
      <c r="BH1531" s="799"/>
      <c r="BI1531" s="799"/>
      <c r="BJ1531" s="799"/>
      <c r="BK1531" s="799"/>
      <c r="BL1531" s="799"/>
      <c r="BM1531" s="799"/>
      <c r="BN1531" s="799"/>
      <c r="BO1531" s="799"/>
      <c r="BP1531" s="799"/>
      <c r="BQ1531" s="799"/>
      <c r="BR1531" s="799"/>
    </row>
    <row r="1532" spans="1:70" ht="49.5">
      <c r="A1532" s="1180"/>
      <c r="B1532" s="8"/>
      <c r="C1532" s="1164" t="s">
        <v>107</v>
      </c>
      <c r="D1532" s="1164" t="s">
        <v>34</v>
      </c>
      <c r="E1532" s="1164" t="s">
        <v>39</v>
      </c>
      <c r="F1532" s="1164" t="s">
        <v>28</v>
      </c>
      <c r="G1532" s="1164" t="s">
        <v>61</v>
      </c>
      <c r="H1532" s="1164" t="s">
        <v>74</v>
      </c>
      <c r="I1532" s="4" t="s">
        <v>206</v>
      </c>
      <c r="J1532" s="4" t="s">
        <v>207</v>
      </c>
      <c r="K1532" s="42">
        <v>2400</v>
      </c>
      <c r="L1532" s="24">
        <v>2400000000</v>
      </c>
      <c r="M1532" s="24">
        <v>1036</v>
      </c>
      <c r="N1532" s="1181">
        <v>1499888583</v>
      </c>
      <c r="O1532" s="1169">
        <f>44+3020+302+2475</f>
        <v>5841</v>
      </c>
      <c r="P1532" s="1181">
        <v>600180000</v>
      </c>
      <c r="Q1532" s="1166">
        <v>0</v>
      </c>
      <c r="R1532" s="1182">
        <v>21635800</v>
      </c>
      <c r="S1532" s="35">
        <v>1600</v>
      </c>
      <c r="T1532" s="2674">
        <v>329824050</v>
      </c>
      <c r="U1532" s="1183"/>
      <c r="V1532" s="1183"/>
      <c r="W1532" s="1183"/>
      <c r="X1532" s="1183"/>
      <c r="Y1532" s="874">
        <f t="shared" si="441"/>
        <v>1600</v>
      </c>
      <c r="Z1532" s="1168">
        <f t="shared" si="442"/>
        <v>351459850</v>
      </c>
      <c r="AA1532" s="1169">
        <f t="shared" si="448"/>
        <v>2636</v>
      </c>
      <c r="AB1532" s="1168">
        <f>N1532+Z1532</f>
        <v>1851348433</v>
      </c>
      <c r="AC1532" s="1170">
        <f t="shared" si="446"/>
        <v>109.83333333333334</v>
      </c>
      <c r="AD1532" s="1170">
        <f t="shared" si="447"/>
        <v>77.139518041666662</v>
      </c>
      <c r="AE1532" s="1129"/>
      <c r="AF1532" s="796"/>
      <c r="AG1532" s="1684"/>
      <c r="AH1532" s="796"/>
      <c r="AI1532" s="796"/>
      <c r="AJ1532" s="796"/>
      <c r="AK1532" s="796"/>
      <c r="AL1532" s="796"/>
      <c r="AM1532" s="796"/>
      <c r="AN1532" s="796"/>
      <c r="AO1532" s="796"/>
      <c r="AP1532" s="796"/>
      <c r="AQ1532" s="796"/>
      <c r="AR1532" s="796"/>
      <c r="AS1532" s="796"/>
      <c r="AT1532" s="796"/>
      <c r="AU1532" s="796"/>
      <c r="AV1532" s="796"/>
      <c r="AW1532" s="796"/>
      <c r="AX1532" s="796"/>
      <c r="AY1532" s="796"/>
      <c r="AZ1532" s="796"/>
      <c r="BA1532" s="796"/>
      <c r="BB1532" s="796"/>
      <c r="BC1532" s="797"/>
      <c r="BD1532" s="797"/>
      <c r="BE1532" s="797"/>
      <c r="BF1532" s="797"/>
      <c r="BG1532" s="797"/>
      <c r="BH1532" s="797"/>
      <c r="BI1532" s="797"/>
      <c r="BJ1532" s="797"/>
      <c r="BK1532" s="797"/>
      <c r="BL1532" s="797"/>
      <c r="BM1532" s="797"/>
      <c r="BN1532" s="797"/>
      <c r="BO1532" s="797"/>
      <c r="BP1532" s="797"/>
      <c r="BQ1532" s="797"/>
      <c r="BR1532" s="797"/>
    </row>
    <row r="1533" spans="1:70" ht="66">
      <c r="A1533" s="1180"/>
      <c r="B1533" s="8"/>
      <c r="C1533" s="1164" t="s">
        <v>107</v>
      </c>
      <c r="D1533" s="1164" t="s">
        <v>34</v>
      </c>
      <c r="E1533" s="1164" t="s">
        <v>39</v>
      </c>
      <c r="F1533" s="1164" t="s">
        <v>28</v>
      </c>
      <c r="G1533" s="1164" t="s">
        <v>61</v>
      </c>
      <c r="H1533" s="1164" t="s">
        <v>44</v>
      </c>
      <c r="I1533" s="4" t="s">
        <v>204</v>
      </c>
      <c r="J1533" s="4" t="s">
        <v>205</v>
      </c>
      <c r="K1533" s="42">
        <v>1000</v>
      </c>
      <c r="L1533" s="24">
        <v>1319818845</v>
      </c>
      <c r="M1533" s="24">
        <v>850</v>
      </c>
      <c r="N1533" s="1181">
        <v>567239757.43599999</v>
      </c>
      <c r="O1533" s="1169">
        <v>120</v>
      </c>
      <c r="P1533" s="1181">
        <v>159420000</v>
      </c>
      <c r="Q1533" s="1166">
        <v>0</v>
      </c>
      <c r="R1533" s="1182">
        <v>16889050</v>
      </c>
      <c r="S1533" s="1183"/>
      <c r="T1533" s="2674">
        <v>28771800</v>
      </c>
      <c r="U1533" s="1183"/>
      <c r="V1533" s="1183"/>
      <c r="W1533" s="1183"/>
      <c r="X1533" s="1183"/>
      <c r="Y1533" s="874">
        <f t="shared" si="441"/>
        <v>0</v>
      </c>
      <c r="Z1533" s="1168">
        <f t="shared" si="442"/>
        <v>45660850</v>
      </c>
      <c r="AA1533" s="1169">
        <f t="shared" si="448"/>
        <v>850</v>
      </c>
      <c r="AB1533" s="1168">
        <f>N1533+Z1533</f>
        <v>612900607.43599999</v>
      </c>
      <c r="AC1533" s="1170">
        <f t="shared" si="446"/>
        <v>85</v>
      </c>
      <c r="AD1533" s="1170">
        <f t="shared" si="447"/>
        <v>46.438237320061901</v>
      </c>
      <c r="AE1533" s="1129"/>
      <c r="AF1533" s="798"/>
      <c r="AG1533" s="1005"/>
      <c r="AH1533" s="798"/>
      <c r="AI1533" s="798"/>
      <c r="AJ1533" s="798"/>
      <c r="AK1533" s="798"/>
      <c r="AL1533" s="798"/>
      <c r="AM1533" s="798"/>
      <c r="AN1533" s="798"/>
      <c r="AO1533" s="798"/>
      <c r="AP1533" s="798"/>
      <c r="AQ1533" s="798"/>
      <c r="AR1533" s="798"/>
      <c r="AS1533" s="798"/>
      <c r="AT1533" s="798"/>
      <c r="AU1533" s="798"/>
      <c r="AV1533" s="798"/>
      <c r="AW1533" s="798"/>
      <c r="AX1533" s="798"/>
      <c r="AY1533" s="798"/>
      <c r="AZ1533" s="798"/>
      <c r="BA1533" s="798"/>
      <c r="BB1533" s="798"/>
      <c r="BC1533" s="799"/>
      <c r="BD1533" s="799"/>
      <c r="BE1533" s="799"/>
      <c r="BF1533" s="799"/>
      <c r="BG1533" s="799"/>
      <c r="BH1533" s="799"/>
      <c r="BI1533" s="799"/>
      <c r="BJ1533" s="799"/>
      <c r="BK1533" s="799"/>
      <c r="BL1533" s="799"/>
      <c r="BM1533" s="799"/>
      <c r="BN1533" s="799"/>
      <c r="BO1533" s="799"/>
      <c r="BP1533" s="799"/>
      <c r="BQ1533" s="799"/>
      <c r="BR1533" s="799"/>
    </row>
    <row r="1534" spans="1:70" ht="66">
      <c r="A1534" s="1180"/>
      <c r="B1534" s="8"/>
      <c r="C1534" s="1164" t="s">
        <v>107</v>
      </c>
      <c r="D1534" s="1164" t="s">
        <v>34</v>
      </c>
      <c r="E1534" s="1164" t="s">
        <v>39</v>
      </c>
      <c r="F1534" s="1164" t="s">
        <v>28</v>
      </c>
      <c r="G1534" s="1164" t="s">
        <v>61</v>
      </c>
      <c r="H1534" s="1164" t="s">
        <v>61</v>
      </c>
      <c r="I1534" s="4" t="s">
        <v>410</v>
      </c>
      <c r="J1534" s="2" t="s">
        <v>208</v>
      </c>
      <c r="K1534" s="42">
        <v>72</v>
      </c>
      <c r="L1534" s="42">
        <v>562226021</v>
      </c>
      <c r="M1534" s="24">
        <v>54</v>
      </c>
      <c r="N1534" s="1181">
        <v>281808657</v>
      </c>
      <c r="O1534" s="1169">
        <v>12</v>
      </c>
      <c r="P1534" s="1181">
        <v>77783600</v>
      </c>
      <c r="Q1534" s="1166">
        <f>O1534/4</f>
        <v>3</v>
      </c>
      <c r="R1534" s="1182">
        <v>5551800</v>
      </c>
      <c r="S1534" s="1183">
        <v>6</v>
      </c>
      <c r="T1534" s="2674">
        <v>21759300</v>
      </c>
      <c r="U1534" s="1183"/>
      <c r="V1534" s="1183"/>
      <c r="W1534" s="1183"/>
      <c r="X1534" s="1183"/>
      <c r="Y1534" s="874">
        <f t="shared" si="441"/>
        <v>9</v>
      </c>
      <c r="Z1534" s="1168">
        <f t="shared" si="442"/>
        <v>27311100</v>
      </c>
      <c r="AA1534" s="1169">
        <f t="shared" si="448"/>
        <v>63</v>
      </c>
      <c r="AB1534" s="1168">
        <f>N1534+Z1534</f>
        <v>309119757</v>
      </c>
      <c r="AC1534" s="1170">
        <f t="shared" si="446"/>
        <v>87.5</v>
      </c>
      <c r="AD1534" s="1170">
        <f t="shared" si="447"/>
        <v>54.98140346656065</v>
      </c>
      <c r="AE1534" s="1129"/>
      <c r="AF1534" s="796"/>
      <c r="AG1534" s="1684"/>
      <c r="AH1534" s="796"/>
      <c r="AI1534" s="796"/>
      <c r="AJ1534" s="796"/>
      <c r="AK1534" s="796"/>
      <c r="AL1534" s="796"/>
      <c r="AM1534" s="796"/>
      <c r="AN1534" s="796"/>
      <c r="AO1534" s="796"/>
      <c r="AP1534" s="796"/>
      <c r="AQ1534" s="796"/>
      <c r="AR1534" s="796"/>
      <c r="AS1534" s="796"/>
      <c r="AT1534" s="796"/>
      <c r="AU1534" s="796"/>
      <c r="AV1534" s="796"/>
      <c r="AW1534" s="796"/>
      <c r="AX1534" s="796"/>
      <c r="AY1534" s="796"/>
      <c r="AZ1534" s="796"/>
      <c r="BA1534" s="796"/>
      <c r="BB1534" s="796"/>
      <c r="BC1534" s="797"/>
      <c r="BD1534" s="797"/>
      <c r="BE1534" s="797"/>
      <c r="BF1534" s="797"/>
      <c r="BG1534" s="797"/>
      <c r="BH1534" s="797"/>
      <c r="BI1534" s="797"/>
      <c r="BJ1534" s="797"/>
      <c r="BK1534" s="797"/>
      <c r="BL1534" s="797"/>
      <c r="BM1534" s="797"/>
      <c r="BN1534" s="797"/>
      <c r="BO1534" s="797"/>
      <c r="BP1534" s="797"/>
      <c r="BQ1534" s="797"/>
      <c r="BR1534" s="797"/>
    </row>
    <row r="1535" spans="1:70" ht="33">
      <c r="A1535" s="1180"/>
      <c r="B1535" s="8"/>
      <c r="C1535" s="1164" t="s">
        <v>107</v>
      </c>
      <c r="D1535" s="1164" t="s">
        <v>34</v>
      </c>
      <c r="E1535" s="1164" t="s">
        <v>39</v>
      </c>
      <c r="F1535" s="1164" t="s">
        <v>28</v>
      </c>
      <c r="G1535" s="1164" t="s">
        <v>61</v>
      </c>
      <c r="H1535" s="1164" t="s">
        <v>48</v>
      </c>
      <c r="I1535" s="4" t="s">
        <v>411</v>
      </c>
      <c r="J1535" s="4" t="s">
        <v>3144</v>
      </c>
      <c r="K1535" s="42">
        <v>100</v>
      </c>
      <c r="L1535" s="24">
        <v>433359222</v>
      </c>
      <c r="M1535" s="24">
        <v>30</v>
      </c>
      <c r="N1535" s="1181">
        <v>0</v>
      </c>
      <c r="O1535" s="1169">
        <v>40</v>
      </c>
      <c r="P1535" s="1181">
        <v>34500500</v>
      </c>
      <c r="Q1535" s="1166">
        <v>5</v>
      </c>
      <c r="R1535" s="1182">
        <v>6783500</v>
      </c>
      <c r="S1535" s="1183"/>
      <c r="T1535" s="2674">
        <v>11644800</v>
      </c>
      <c r="U1535" s="1183"/>
      <c r="V1535" s="1183"/>
      <c r="W1535" s="1183"/>
      <c r="X1535" s="1183"/>
      <c r="Y1535" s="874">
        <f t="shared" si="441"/>
        <v>5</v>
      </c>
      <c r="Z1535" s="1168">
        <f t="shared" si="442"/>
        <v>18428300</v>
      </c>
      <c r="AA1535" s="1169">
        <f t="shared" si="448"/>
        <v>35</v>
      </c>
      <c r="AB1535" s="1168">
        <f>N1535+Z1535</f>
        <v>18428300</v>
      </c>
      <c r="AC1535" s="1170">
        <f t="shared" si="446"/>
        <v>35</v>
      </c>
      <c r="AD1535" s="1170">
        <f t="shared" si="447"/>
        <v>4.252430562098434</v>
      </c>
      <c r="AE1535" s="1129"/>
      <c r="AF1535" s="798"/>
      <c r="AG1535" s="1005"/>
      <c r="AH1535" s="798"/>
      <c r="AI1535" s="798"/>
      <c r="AJ1535" s="798"/>
      <c r="AK1535" s="798"/>
      <c r="AL1535" s="798"/>
      <c r="AM1535" s="798"/>
      <c r="AN1535" s="798"/>
      <c r="AO1535" s="798"/>
      <c r="AP1535" s="798"/>
      <c r="AQ1535" s="798"/>
      <c r="AR1535" s="798"/>
      <c r="AS1535" s="798"/>
      <c r="AT1535" s="798"/>
      <c r="AU1535" s="798"/>
      <c r="AV1535" s="798"/>
      <c r="AW1535" s="798"/>
      <c r="AX1535" s="798"/>
      <c r="AY1535" s="798"/>
      <c r="AZ1535" s="798"/>
      <c r="BA1535" s="798"/>
      <c r="BB1535" s="798"/>
      <c r="BC1535" s="799"/>
      <c r="BD1535" s="799"/>
      <c r="BE1535" s="799"/>
      <c r="BF1535" s="799"/>
      <c r="BG1535" s="799"/>
      <c r="BH1535" s="799"/>
      <c r="BI1535" s="799"/>
      <c r="BJ1535" s="799"/>
      <c r="BK1535" s="799"/>
      <c r="BL1535" s="799"/>
      <c r="BM1535" s="799"/>
      <c r="BN1535" s="799"/>
      <c r="BO1535" s="799"/>
      <c r="BP1535" s="799"/>
      <c r="BQ1535" s="799"/>
      <c r="BR1535" s="799"/>
    </row>
    <row r="1536" spans="1:70" ht="49.5">
      <c r="A1536" s="1171">
        <v>5</v>
      </c>
      <c r="B1536" s="33"/>
      <c r="C1536" s="753" t="s">
        <v>107</v>
      </c>
      <c r="D1536" s="753" t="s">
        <v>34</v>
      </c>
      <c r="E1536" s="753" t="s">
        <v>39</v>
      </c>
      <c r="F1536" s="753" t="s">
        <v>28</v>
      </c>
      <c r="G1536" s="753" t="s">
        <v>48</v>
      </c>
      <c r="H1536" s="286"/>
      <c r="I1536" s="43" t="s">
        <v>412</v>
      </c>
      <c r="J1536" s="33" t="s">
        <v>214</v>
      </c>
      <c r="K1536" s="159">
        <v>20</v>
      </c>
      <c r="L1536" s="159">
        <f>L1537</f>
        <v>2191820928</v>
      </c>
      <c r="M1536" s="159">
        <f>M1537</f>
        <v>8</v>
      </c>
      <c r="N1536" s="1173">
        <f>N1537</f>
        <v>952605254</v>
      </c>
      <c r="O1536" s="1172">
        <v>4</v>
      </c>
      <c r="P1536" s="1173">
        <f>P1537</f>
        <v>267354289</v>
      </c>
      <c r="Q1536" s="1193">
        <f>O1536/4</f>
        <v>1</v>
      </c>
      <c r="R1536" s="1174">
        <f>R1537</f>
        <v>52141500</v>
      </c>
      <c r="S1536" s="518"/>
      <c r="T1536" s="1184">
        <f>SUM(T1537)</f>
        <v>135821050</v>
      </c>
      <c r="U1536" s="518"/>
      <c r="V1536" s="518"/>
      <c r="W1536" s="518"/>
      <c r="X1536" s="518"/>
      <c r="Y1536" s="146">
        <f t="shared" ref="Y1536:Y1543" si="449">Q1536+S1536+U1536+W1536</f>
        <v>1</v>
      </c>
      <c r="Z1536" s="1176">
        <f>Z1537</f>
        <v>187962550</v>
      </c>
      <c r="AA1536" s="281">
        <f t="shared" si="448"/>
        <v>9</v>
      </c>
      <c r="AB1536" s="1176">
        <f>AB1537</f>
        <v>1140567804</v>
      </c>
      <c r="AC1536" s="868">
        <f t="shared" si="446"/>
        <v>45</v>
      </c>
      <c r="AD1536" s="868">
        <f t="shared" si="447"/>
        <v>52.037453855354379</v>
      </c>
      <c r="AE1536" s="2554" t="s">
        <v>396</v>
      </c>
      <c r="AF1536" s="798"/>
      <c r="AG1536" s="1005"/>
      <c r="AH1536" s="798"/>
      <c r="AI1536" s="798"/>
      <c r="AJ1536" s="798"/>
      <c r="AK1536" s="798"/>
      <c r="AL1536" s="798"/>
      <c r="AM1536" s="798"/>
      <c r="AN1536" s="798"/>
      <c r="AO1536" s="798"/>
      <c r="AP1536" s="798"/>
      <c r="AQ1536" s="798"/>
      <c r="AR1536" s="798"/>
      <c r="AS1536" s="798"/>
      <c r="AT1536" s="798"/>
      <c r="AU1536" s="798"/>
      <c r="AV1536" s="798"/>
      <c r="AW1536" s="798"/>
      <c r="AX1536" s="798"/>
      <c r="AY1536" s="798"/>
      <c r="AZ1536" s="798"/>
      <c r="BA1536" s="798"/>
      <c r="BB1536" s="798"/>
      <c r="BC1536" s="799"/>
      <c r="BD1536" s="799"/>
      <c r="BE1536" s="799"/>
      <c r="BF1536" s="799"/>
      <c r="BG1536" s="799"/>
      <c r="BH1536" s="799"/>
      <c r="BI1536" s="799"/>
      <c r="BJ1536" s="799"/>
      <c r="BK1536" s="799"/>
      <c r="BL1536" s="799"/>
      <c r="BM1536" s="799"/>
      <c r="BN1536" s="799"/>
      <c r="BO1536" s="799"/>
      <c r="BP1536" s="799"/>
      <c r="BQ1536" s="799"/>
      <c r="BR1536" s="799"/>
    </row>
    <row r="1537" spans="1:70" ht="33">
      <c r="A1537" s="1180"/>
      <c r="B1537" s="8"/>
      <c r="C1537" s="1164" t="s">
        <v>107</v>
      </c>
      <c r="D1537" s="1164" t="s">
        <v>34</v>
      </c>
      <c r="E1537" s="1164" t="s">
        <v>39</v>
      </c>
      <c r="F1537" s="1164" t="s">
        <v>28</v>
      </c>
      <c r="G1537" s="1164" t="s">
        <v>48</v>
      </c>
      <c r="H1537" s="1164" t="s">
        <v>29</v>
      </c>
      <c r="I1537" s="4" t="s">
        <v>215</v>
      </c>
      <c r="J1537" s="3" t="s">
        <v>216</v>
      </c>
      <c r="K1537" s="42">
        <v>20</v>
      </c>
      <c r="L1537" s="24">
        <v>2191820928</v>
      </c>
      <c r="M1537" s="24">
        <v>8</v>
      </c>
      <c r="N1537" s="1181">
        <v>952605254</v>
      </c>
      <c r="O1537" s="1169">
        <v>4</v>
      </c>
      <c r="P1537" s="1181">
        <v>267354289</v>
      </c>
      <c r="Q1537" s="1166">
        <v>1</v>
      </c>
      <c r="R1537" s="1182">
        <v>52141500</v>
      </c>
      <c r="S1537" s="1183">
        <v>1</v>
      </c>
      <c r="T1537" s="2676">
        <v>135821050</v>
      </c>
      <c r="U1537" s="1183"/>
      <c r="V1537" s="1183"/>
      <c r="W1537" s="1183"/>
      <c r="X1537" s="1183"/>
      <c r="Y1537" s="874">
        <f t="shared" si="449"/>
        <v>2</v>
      </c>
      <c r="Z1537" s="1168">
        <f>R1537+T1537+V1537+X1537</f>
        <v>187962550</v>
      </c>
      <c r="AA1537" s="1194">
        <f t="shared" si="448"/>
        <v>10</v>
      </c>
      <c r="AB1537" s="1168">
        <f>N1537+Z1537</f>
        <v>1140567804</v>
      </c>
      <c r="AC1537" s="1170">
        <f t="shared" si="446"/>
        <v>50</v>
      </c>
      <c r="AD1537" s="1170">
        <f t="shared" si="447"/>
        <v>52.037453855354379</v>
      </c>
      <c r="AE1537" s="1129"/>
      <c r="AF1537" s="201"/>
      <c r="AG1537" s="201"/>
      <c r="AH1537" s="201"/>
      <c r="AI1537" s="201"/>
      <c r="AJ1537" s="201"/>
      <c r="AK1537" s="201"/>
      <c r="AL1537" s="201"/>
      <c r="AM1537" s="201"/>
      <c r="AN1537" s="201"/>
      <c r="AO1537" s="201"/>
      <c r="AP1537" s="201"/>
      <c r="AQ1537" s="201"/>
      <c r="AR1537" s="201"/>
      <c r="AS1537" s="201"/>
      <c r="AT1537" s="201"/>
      <c r="AU1537" s="201"/>
      <c r="AV1537" s="201"/>
      <c r="AW1537" s="201"/>
      <c r="AX1537" s="201"/>
      <c r="AY1537" s="201"/>
      <c r="AZ1537" s="201"/>
      <c r="BA1537" s="201"/>
      <c r="BB1537" s="201"/>
      <c r="BC1537" s="20"/>
      <c r="BD1537" s="20"/>
      <c r="BE1537" s="20"/>
      <c r="BF1537" s="20"/>
      <c r="BG1537" s="20"/>
      <c r="BH1537" s="20"/>
      <c r="BI1537" s="20"/>
      <c r="BJ1537" s="20"/>
      <c r="BK1537" s="20"/>
      <c r="BL1537" s="20"/>
      <c r="BM1537" s="20"/>
      <c r="BN1537" s="20"/>
      <c r="BO1537" s="20"/>
      <c r="BP1537" s="20"/>
      <c r="BQ1537" s="20"/>
      <c r="BR1537" s="20"/>
    </row>
    <row r="1538" spans="1:70" ht="49.5">
      <c r="A1538" s="1171">
        <v>6</v>
      </c>
      <c r="B1538" s="33"/>
      <c r="C1538" s="753" t="s">
        <v>107</v>
      </c>
      <c r="D1538" s="753" t="s">
        <v>34</v>
      </c>
      <c r="E1538" s="753" t="s">
        <v>39</v>
      </c>
      <c r="F1538" s="753" t="s">
        <v>28</v>
      </c>
      <c r="G1538" s="753" t="s">
        <v>48</v>
      </c>
      <c r="H1538" s="286"/>
      <c r="I1538" s="33" t="s">
        <v>217</v>
      </c>
      <c r="J1538" s="33" t="s">
        <v>218</v>
      </c>
      <c r="K1538" s="159">
        <f t="shared" ref="K1538:P1538" si="450">K1539</f>
        <v>12</v>
      </c>
      <c r="L1538" s="159">
        <f t="shared" si="450"/>
        <v>606352968</v>
      </c>
      <c r="M1538" s="159">
        <f t="shared" si="450"/>
        <v>4</v>
      </c>
      <c r="N1538" s="1173">
        <f t="shared" si="450"/>
        <v>151588242</v>
      </c>
      <c r="O1538" s="1172">
        <f t="shared" si="450"/>
        <v>4</v>
      </c>
      <c r="P1538" s="1173">
        <f t="shared" si="450"/>
        <v>143610000</v>
      </c>
      <c r="Q1538" s="1193">
        <f>O1538/4</f>
        <v>1</v>
      </c>
      <c r="R1538" s="1174">
        <f>R1539</f>
        <v>3278000</v>
      </c>
      <c r="S1538" s="518"/>
      <c r="T1538" s="2675">
        <f>SUM(T1539)</f>
        <v>4653000</v>
      </c>
      <c r="U1538" s="518"/>
      <c r="V1538" s="518"/>
      <c r="W1538" s="518"/>
      <c r="X1538" s="518"/>
      <c r="Y1538" s="146">
        <f t="shared" si="449"/>
        <v>1</v>
      </c>
      <c r="Z1538" s="1176">
        <f>Z1539</f>
        <v>7931000</v>
      </c>
      <c r="AA1538" s="146">
        <f t="shared" si="448"/>
        <v>5</v>
      </c>
      <c r="AB1538" s="1176">
        <f>AB1539</f>
        <v>159519242</v>
      </c>
      <c r="AC1538" s="868">
        <f t="shared" si="446"/>
        <v>41.666666666666671</v>
      </c>
      <c r="AD1538" s="868">
        <f t="shared" si="447"/>
        <v>26.307984032165237</v>
      </c>
      <c r="AE1538" s="2554" t="s">
        <v>396</v>
      </c>
      <c r="AF1538" s="200"/>
      <c r="AG1538" s="200"/>
      <c r="AH1538" s="200"/>
      <c r="AI1538" s="200"/>
      <c r="AJ1538" s="200"/>
      <c r="AK1538" s="200"/>
      <c r="AL1538" s="200"/>
      <c r="AM1538" s="200"/>
      <c r="AN1538" s="200"/>
      <c r="AO1538" s="200"/>
      <c r="AP1538" s="200"/>
      <c r="AQ1538" s="200"/>
      <c r="AR1538" s="200"/>
      <c r="AS1538" s="200"/>
      <c r="AT1538" s="200"/>
      <c r="AU1538" s="200"/>
      <c r="AV1538" s="200"/>
      <c r="AW1538" s="200"/>
      <c r="AX1538" s="200"/>
      <c r="AY1538" s="200"/>
      <c r="AZ1538" s="200"/>
      <c r="BA1538" s="200"/>
      <c r="BB1538" s="200"/>
      <c r="BC1538" s="970"/>
      <c r="BD1538" s="970"/>
      <c r="BE1538" s="970"/>
      <c r="BF1538" s="970"/>
      <c r="BG1538" s="970"/>
      <c r="BH1538" s="970"/>
      <c r="BI1538" s="970"/>
      <c r="BJ1538" s="970"/>
      <c r="BK1538" s="970"/>
      <c r="BL1538" s="970"/>
      <c r="BM1538" s="970"/>
      <c r="BN1538" s="970"/>
      <c r="BO1538" s="970"/>
      <c r="BP1538" s="970"/>
      <c r="BQ1538" s="970"/>
      <c r="BR1538" s="970"/>
    </row>
    <row r="1539" spans="1:70" ht="49.5">
      <c r="A1539" s="1180"/>
      <c r="B1539" s="8"/>
      <c r="C1539" s="451"/>
      <c r="D1539" s="451"/>
      <c r="E1539" s="451"/>
      <c r="F1539" s="451"/>
      <c r="G1539" s="451"/>
      <c r="H1539" s="451"/>
      <c r="I1539" s="3" t="s">
        <v>219</v>
      </c>
      <c r="J1539" s="3" t="s">
        <v>220</v>
      </c>
      <c r="K1539" s="1195">
        <v>12</v>
      </c>
      <c r="L1539" s="1195">
        <f>4*N1539</f>
        <v>606352968</v>
      </c>
      <c r="M1539" s="24">
        <v>4</v>
      </c>
      <c r="N1539" s="1181">
        <v>151588242</v>
      </c>
      <c r="O1539" s="1169">
        <v>4</v>
      </c>
      <c r="P1539" s="1181">
        <v>143610000</v>
      </c>
      <c r="Q1539" s="1166">
        <v>0</v>
      </c>
      <c r="R1539" s="1182">
        <v>3278000</v>
      </c>
      <c r="S1539" s="2677">
        <v>0</v>
      </c>
      <c r="T1539" s="2673">
        <v>4653000</v>
      </c>
      <c r="U1539" s="1183"/>
      <c r="V1539" s="1183"/>
      <c r="W1539" s="1183"/>
      <c r="X1539" s="1183"/>
      <c r="Y1539" s="874">
        <f t="shared" si="449"/>
        <v>0</v>
      </c>
      <c r="Z1539" s="1168">
        <f>R1539+T1539+V1539+X1539</f>
        <v>7931000</v>
      </c>
      <c r="AA1539" s="1169">
        <f t="shared" si="448"/>
        <v>4</v>
      </c>
      <c r="AB1539" s="1168">
        <f>N1539+Z1539</f>
        <v>159519242</v>
      </c>
      <c r="AC1539" s="1170">
        <f t="shared" si="446"/>
        <v>33.333333333333329</v>
      </c>
      <c r="AD1539" s="1170">
        <f t="shared" si="447"/>
        <v>26.307984032165237</v>
      </c>
      <c r="AE1539" s="1129"/>
    </row>
    <row r="1540" spans="1:70" ht="132">
      <c r="A1540" s="1171">
        <v>7</v>
      </c>
      <c r="B1540" s="33"/>
      <c r="C1540" s="753" t="s">
        <v>107</v>
      </c>
      <c r="D1540" s="753" t="s">
        <v>34</v>
      </c>
      <c r="E1540" s="753" t="s">
        <v>39</v>
      </c>
      <c r="F1540" s="753" t="s">
        <v>28</v>
      </c>
      <c r="G1540" s="753" t="s">
        <v>51</v>
      </c>
      <c r="H1540" s="286"/>
      <c r="I1540" s="33" t="s">
        <v>3145</v>
      </c>
      <c r="J1540" s="33" t="s">
        <v>3146</v>
      </c>
      <c r="K1540" s="159">
        <v>40</v>
      </c>
      <c r="L1540" s="159">
        <f>L1541+L1542+L1543</f>
        <v>4361096144</v>
      </c>
      <c r="M1540" s="159">
        <v>10</v>
      </c>
      <c r="N1540" s="1173">
        <f>N1541+N1542+N1543</f>
        <v>2105548072</v>
      </c>
      <c r="O1540" s="1172">
        <v>10</v>
      </c>
      <c r="P1540" s="1173">
        <f>P1541+P1542+P1543</f>
        <v>1213480000</v>
      </c>
      <c r="Q1540" s="1193">
        <v>0</v>
      </c>
      <c r="R1540" s="1174">
        <f>SUM(R1541:R1543)</f>
        <v>13931310</v>
      </c>
      <c r="S1540" s="518"/>
      <c r="T1540" s="2675">
        <f>SUM(T1541:T1543)</f>
        <v>809153710</v>
      </c>
      <c r="U1540" s="518"/>
      <c r="V1540" s="518"/>
      <c r="W1540" s="518"/>
      <c r="X1540" s="518"/>
      <c r="Y1540" s="146">
        <f t="shared" si="449"/>
        <v>0</v>
      </c>
      <c r="Z1540" s="1174">
        <f>SUM(Z1541:Z1543)</f>
        <v>823085020</v>
      </c>
      <c r="AA1540" s="1188">
        <f t="shared" si="448"/>
        <v>10</v>
      </c>
      <c r="AB1540" s="1176">
        <f>SUM(AB1541:AB1543)</f>
        <v>2928633092</v>
      </c>
      <c r="AC1540" s="868">
        <f t="shared" si="446"/>
        <v>25</v>
      </c>
      <c r="AD1540" s="868">
        <f t="shared" si="447"/>
        <v>67.153600730156242</v>
      </c>
      <c r="AE1540" s="2554" t="s">
        <v>396</v>
      </c>
      <c r="AG1540" s="971"/>
    </row>
    <row r="1541" spans="1:70" ht="66">
      <c r="A1541" s="1180"/>
      <c r="B1541" s="8"/>
      <c r="C1541" s="1164" t="s">
        <v>107</v>
      </c>
      <c r="D1541" s="1164" t="s">
        <v>34</v>
      </c>
      <c r="E1541" s="1164" t="s">
        <v>39</v>
      </c>
      <c r="F1541" s="1164" t="s">
        <v>28</v>
      </c>
      <c r="G1541" s="1164" t="s">
        <v>51</v>
      </c>
      <c r="H1541" s="1164" t="s">
        <v>25</v>
      </c>
      <c r="I1541" s="4" t="s">
        <v>413</v>
      </c>
      <c r="J1541" s="4" t="s">
        <v>3147</v>
      </c>
      <c r="K1541" s="42">
        <v>12</v>
      </c>
      <c r="L1541" s="24">
        <f>2*N1541</f>
        <v>888986439.99999988</v>
      </c>
      <c r="M1541" s="24">
        <v>5</v>
      </c>
      <c r="N1541" s="1181">
        <v>444493219.99999994</v>
      </c>
      <c r="O1541" s="1169">
        <v>2</v>
      </c>
      <c r="P1541" s="1181">
        <v>155755000</v>
      </c>
      <c r="Q1541" s="1166">
        <v>0</v>
      </c>
      <c r="R1541" s="1182">
        <v>5638750</v>
      </c>
      <c r="S1541" s="35">
        <v>2</v>
      </c>
      <c r="T1541" s="2674">
        <v>122237950</v>
      </c>
      <c r="U1541" s="1183"/>
      <c r="V1541" s="1183"/>
      <c r="W1541" s="1183"/>
      <c r="X1541" s="1183"/>
      <c r="Y1541" s="874">
        <f t="shared" si="449"/>
        <v>2</v>
      </c>
      <c r="Z1541" s="1168">
        <f>R1541+T1541+V1541+X1541</f>
        <v>127876700</v>
      </c>
      <c r="AA1541" s="1170">
        <f t="shared" si="448"/>
        <v>7</v>
      </c>
      <c r="AB1541" s="1168">
        <f>N1541+Z1541</f>
        <v>572369920</v>
      </c>
      <c r="AC1541" s="1170">
        <f t="shared" si="446"/>
        <v>58.333333333333336</v>
      </c>
      <c r="AD1541" s="1170">
        <f t="shared" si="447"/>
        <v>64.384550117547363</v>
      </c>
      <c r="AE1541" s="1129"/>
      <c r="AG1541" s="971"/>
    </row>
    <row r="1542" spans="1:70" ht="66">
      <c r="A1542" s="1180"/>
      <c r="B1542" s="8"/>
      <c r="C1542" s="1164" t="s">
        <v>107</v>
      </c>
      <c r="D1542" s="1164" t="s">
        <v>34</v>
      </c>
      <c r="E1542" s="1164" t="s">
        <v>39</v>
      </c>
      <c r="F1542" s="1164" t="s">
        <v>28</v>
      </c>
      <c r="G1542" s="1164" t="s">
        <v>51</v>
      </c>
      <c r="H1542" s="1164" t="s">
        <v>25</v>
      </c>
      <c r="I1542" s="4" t="s">
        <v>414</v>
      </c>
      <c r="J1542" s="4" t="s">
        <v>3147</v>
      </c>
      <c r="K1542" s="42">
        <v>12</v>
      </c>
      <c r="L1542" s="24">
        <f>2*N1542</f>
        <v>3322109704</v>
      </c>
      <c r="M1542" s="24">
        <v>5</v>
      </c>
      <c r="N1542" s="1181">
        <v>1661054852</v>
      </c>
      <c r="O1542" s="1169">
        <v>3</v>
      </c>
      <c r="P1542" s="1181">
        <v>1010000000</v>
      </c>
      <c r="Q1542" s="1166">
        <v>1</v>
      </c>
      <c r="R1542" s="1182">
        <v>8292560</v>
      </c>
      <c r="S1542" s="35">
        <v>3</v>
      </c>
      <c r="T1542" s="2674">
        <v>660015760</v>
      </c>
      <c r="U1542" s="1183"/>
      <c r="V1542" s="1183"/>
      <c r="W1542" s="1183"/>
      <c r="X1542" s="1183"/>
      <c r="Y1542" s="874">
        <f t="shared" si="449"/>
        <v>4</v>
      </c>
      <c r="Z1542" s="1168">
        <f>R1542+T1542+V1542+X1542</f>
        <v>668308320</v>
      </c>
      <c r="AA1542" s="1170">
        <f t="shared" si="448"/>
        <v>9</v>
      </c>
      <c r="AB1542" s="1168">
        <f>N1542+Z1542</f>
        <v>2329363172</v>
      </c>
      <c r="AC1542" s="1170">
        <f t="shared" si="446"/>
        <v>75</v>
      </c>
      <c r="AD1542" s="1170">
        <f t="shared" si="447"/>
        <v>70.116985275811956</v>
      </c>
      <c r="AE1542" s="1129"/>
      <c r="AG1542" s="971"/>
    </row>
    <row r="1543" spans="1:70" ht="66">
      <c r="A1543" s="1180"/>
      <c r="B1543" s="8"/>
      <c r="C1543" s="1164" t="s">
        <v>107</v>
      </c>
      <c r="D1543" s="1164" t="s">
        <v>34</v>
      </c>
      <c r="E1543" s="1164" t="s">
        <v>39</v>
      </c>
      <c r="F1543" s="1164" t="s">
        <v>28</v>
      </c>
      <c r="G1543" s="1164" t="s">
        <v>51</v>
      </c>
      <c r="H1543" s="1164" t="s">
        <v>25</v>
      </c>
      <c r="I1543" s="3" t="s">
        <v>415</v>
      </c>
      <c r="J1543" s="3" t="s">
        <v>416</v>
      </c>
      <c r="K1543" s="1195">
        <v>8</v>
      </c>
      <c r="L1543" s="24">
        <v>150000000</v>
      </c>
      <c r="M1543" s="24">
        <v>0</v>
      </c>
      <c r="N1543" s="1181">
        <v>0</v>
      </c>
      <c r="O1543" s="1169">
        <v>4</v>
      </c>
      <c r="P1543" s="1181">
        <v>47725000</v>
      </c>
      <c r="Q1543" s="1166">
        <v>0</v>
      </c>
      <c r="R1543" s="1182">
        <v>0</v>
      </c>
      <c r="S1543" s="35"/>
      <c r="T1543" s="2674">
        <v>26900000</v>
      </c>
      <c r="U1543" s="1183"/>
      <c r="V1543" s="1183"/>
      <c r="W1543" s="1183"/>
      <c r="X1543" s="1183"/>
      <c r="Y1543" s="874">
        <f t="shared" si="449"/>
        <v>0</v>
      </c>
      <c r="Z1543" s="1168">
        <f>R1543+T1543+V1543+X1543</f>
        <v>26900000</v>
      </c>
      <c r="AA1543" s="1169">
        <f t="shared" si="448"/>
        <v>0</v>
      </c>
      <c r="AB1543" s="1168">
        <f>N1543+Z1543</f>
        <v>26900000</v>
      </c>
      <c r="AC1543" s="1170">
        <f t="shared" si="446"/>
        <v>0</v>
      </c>
      <c r="AD1543" s="1170">
        <f t="shared" si="447"/>
        <v>17.933333333333334</v>
      </c>
      <c r="AE1543" s="1129"/>
      <c r="AG1543" s="971"/>
    </row>
    <row r="1544" spans="1:70" s="1235" customFormat="1" ht="23.25" customHeight="1">
      <c r="A1544" s="2737" t="s">
        <v>63</v>
      </c>
      <c r="B1544" s="2737"/>
      <c r="C1544" s="2741"/>
      <c r="D1544" s="2741"/>
      <c r="E1544" s="2741"/>
      <c r="F1544" s="2741"/>
      <c r="G1544" s="2741"/>
      <c r="H1544" s="2741"/>
      <c r="I1544" s="2741"/>
      <c r="J1544" s="2741"/>
      <c r="K1544" s="2741"/>
      <c r="L1544" s="2741"/>
      <c r="M1544" s="2741"/>
      <c r="N1544" s="2741"/>
      <c r="O1544" s="2741"/>
      <c r="P1544" s="2741"/>
      <c r="Q1544" s="2741"/>
      <c r="R1544" s="2741"/>
      <c r="S1544" s="2741"/>
      <c r="T1544" s="2741"/>
      <c r="U1544" s="2741"/>
      <c r="V1544" s="2741"/>
      <c r="W1544" s="2741"/>
      <c r="X1544" s="2741"/>
      <c r="Y1544" s="2741"/>
      <c r="Z1544" s="2741"/>
      <c r="AA1544" s="2741"/>
      <c r="AB1544" s="2741"/>
      <c r="AC1544" s="965">
        <f>(AC1482+AC1495+AC1500+AC1502+AC1508+AC1536+AC1538+AC16119)/8</f>
        <v>53.476799215909303</v>
      </c>
      <c r="AD1544" s="965">
        <f>(AD1482+AD1495+AD1500+AD1502+AD1508+AD1536+AD1538+AD16119)/8</f>
        <v>45.875340158524523</v>
      </c>
      <c r="AE1544" s="131"/>
      <c r="AF1544" s="200"/>
      <c r="AG1544" s="200"/>
      <c r="AH1544" s="861"/>
      <c r="AI1544" s="861"/>
      <c r="AJ1544" s="861"/>
      <c r="AK1544" s="861"/>
      <c r="AL1544" s="861"/>
      <c r="AM1544" s="861"/>
      <c r="AN1544" s="861"/>
      <c r="AO1544" s="861"/>
      <c r="AP1544" s="861"/>
      <c r="AQ1544" s="861"/>
      <c r="AR1544" s="861"/>
      <c r="AS1544" s="861"/>
      <c r="AT1544" s="861"/>
      <c r="AU1544" s="861"/>
      <c r="AV1544" s="861"/>
      <c r="AW1544" s="861"/>
      <c r="AX1544" s="861"/>
      <c r="AY1544" s="861"/>
      <c r="AZ1544" s="861"/>
      <c r="BA1544" s="861"/>
      <c r="BB1544" s="861"/>
      <c r="BC1544" s="862"/>
      <c r="BD1544" s="862"/>
      <c r="BE1544" s="862"/>
      <c r="BF1544" s="862"/>
      <c r="BG1544" s="862"/>
      <c r="BH1544" s="862"/>
      <c r="BI1544" s="862"/>
      <c r="BJ1544" s="862"/>
      <c r="BK1544" s="862"/>
      <c r="BL1544" s="862"/>
      <c r="BM1544" s="862"/>
      <c r="BN1544" s="862"/>
      <c r="BO1544" s="862"/>
      <c r="BP1544" s="862"/>
      <c r="BQ1544" s="862"/>
      <c r="BR1544" s="862"/>
    </row>
    <row r="1545" spans="1:70" s="1235" customFormat="1" ht="24" customHeight="1">
      <c r="A1545" s="2737" t="s">
        <v>64</v>
      </c>
      <c r="B1545" s="2737"/>
      <c r="C1545" s="2741"/>
      <c r="D1545" s="2741"/>
      <c r="E1545" s="2741"/>
      <c r="F1545" s="2741"/>
      <c r="G1545" s="2741"/>
      <c r="H1545" s="2741"/>
      <c r="I1545" s="2741"/>
      <c r="J1545" s="2741"/>
      <c r="K1545" s="2741"/>
      <c r="L1545" s="2741"/>
      <c r="M1545" s="2741"/>
      <c r="N1545" s="2741"/>
      <c r="O1545" s="2741"/>
      <c r="P1545" s="2741"/>
      <c r="Q1545" s="2741"/>
      <c r="R1545" s="2741"/>
      <c r="S1545" s="2741"/>
      <c r="T1545" s="2741"/>
      <c r="U1545" s="2741"/>
      <c r="V1545" s="2741"/>
      <c r="W1545" s="2741"/>
      <c r="X1545" s="2741"/>
      <c r="Y1545" s="2741"/>
      <c r="Z1545" s="2741"/>
      <c r="AA1545" s="2741"/>
      <c r="AB1545" s="2741"/>
      <c r="AC1545" s="604" t="str">
        <f>IF(AC1544&gt;=91,"ST",IF(AC1544&gt;=76,"T",IF(AC1544&gt;=66,"S",IF(AC1544&gt;=51,"R","SR"))))</f>
        <v>R</v>
      </c>
      <c r="AD1545" s="604" t="str">
        <f>IF(AD1544&gt;=91,"ST",IF(AD1544&gt;=76,"T",IF(AD1544&gt;=66,"S",IF(AD1544&gt;=51,"R","SR"))))</f>
        <v>SR</v>
      </c>
      <c r="AE1545" s="131"/>
      <c r="AF1545" s="861"/>
      <c r="AG1545" s="861"/>
      <c r="AH1545" s="861"/>
      <c r="AI1545" s="861"/>
      <c r="AJ1545" s="861"/>
      <c r="AK1545" s="861"/>
      <c r="AL1545" s="861"/>
      <c r="AM1545" s="861"/>
      <c r="AN1545" s="861"/>
      <c r="AO1545" s="861"/>
      <c r="AP1545" s="861"/>
      <c r="AQ1545" s="861"/>
      <c r="AR1545" s="861"/>
      <c r="AS1545" s="861"/>
      <c r="AT1545" s="861"/>
      <c r="AU1545" s="861"/>
      <c r="AV1545" s="861"/>
      <c r="AW1545" s="861"/>
      <c r="AX1545" s="861"/>
      <c r="AY1545" s="861"/>
      <c r="AZ1545" s="861"/>
      <c r="BA1545" s="861"/>
      <c r="BB1545" s="861"/>
      <c r="BC1545" s="862"/>
      <c r="BD1545" s="862"/>
      <c r="BE1545" s="862"/>
      <c r="BF1545" s="862"/>
      <c r="BG1545" s="862"/>
      <c r="BH1545" s="862"/>
      <c r="BI1545" s="862"/>
      <c r="BJ1545" s="862"/>
      <c r="BK1545" s="862"/>
      <c r="BL1545" s="862"/>
      <c r="BM1545" s="862"/>
      <c r="BN1545" s="862"/>
      <c r="BO1545" s="862"/>
      <c r="BP1545" s="862"/>
      <c r="BQ1545" s="862"/>
      <c r="BR1545" s="862"/>
    </row>
    <row r="1546" spans="1:70" s="1235" customFormat="1" ht="28.5" customHeight="1">
      <c r="A1546" s="863" t="s">
        <v>16</v>
      </c>
      <c r="B1546" s="1618"/>
      <c r="C1546" s="863"/>
      <c r="D1546" s="863"/>
      <c r="E1546" s="863"/>
      <c r="F1546" s="863"/>
      <c r="G1546" s="863"/>
      <c r="H1546" s="863"/>
      <c r="I1546" s="2746" t="s">
        <v>1416</v>
      </c>
      <c r="J1546" s="2747"/>
      <c r="K1546" s="1665"/>
      <c r="L1546" s="1672">
        <f>L1547+L1553</f>
        <v>69421610600</v>
      </c>
      <c r="M1546" s="1665"/>
      <c r="N1546" s="1855">
        <f>N1547+N1553</f>
        <v>30750638805</v>
      </c>
      <c r="O1546" s="1665"/>
      <c r="P1546" s="1855">
        <f>SUM(P1547+P1553)</f>
        <v>16809224800</v>
      </c>
      <c r="Q1546" s="1665"/>
      <c r="R1546" s="1856">
        <f>R1547+R1553</f>
        <v>130988237</v>
      </c>
      <c r="S1546" s="1618"/>
      <c r="T1546" s="1856">
        <f>T1547+T1553</f>
        <v>1459903491</v>
      </c>
      <c r="U1546" s="1618"/>
      <c r="V1546" s="1857"/>
      <c r="W1546" s="1618"/>
      <c r="X1546" s="1618"/>
      <c r="Y1546" s="1665">
        <f>Q1546+S1546+U1546+W1546</f>
        <v>0</v>
      </c>
      <c r="Z1546" s="1856">
        <f>R1546+T1546</f>
        <v>1590891728</v>
      </c>
      <c r="AA1546" s="1665"/>
      <c r="AB1546" s="1856">
        <f>AB1547+AB1553</f>
        <v>32319816833</v>
      </c>
      <c r="AC1546" s="1665"/>
      <c r="AD1546" s="1665"/>
      <c r="AE1546" s="863"/>
      <c r="AF1546" s="861"/>
      <c r="AG1546" s="861"/>
      <c r="AH1546" s="861"/>
      <c r="AI1546" s="861"/>
      <c r="AJ1546" s="861"/>
      <c r="AK1546" s="861"/>
      <c r="AL1546" s="861"/>
      <c r="AM1546" s="861"/>
      <c r="AN1546" s="861"/>
      <c r="AO1546" s="861"/>
      <c r="AP1546" s="861"/>
      <c r="AQ1546" s="861"/>
      <c r="AR1546" s="861"/>
      <c r="AS1546" s="861"/>
      <c r="AT1546" s="861"/>
      <c r="AU1546" s="861"/>
      <c r="AV1546" s="861"/>
      <c r="AW1546" s="861"/>
      <c r="AX1546" s="861"/>
      <c r="AY1546" s="861"/>
      <c r="AZ1546" s="861"/>
      <c r="BA1546" s="861"/>
      <c r="BB1546" s="861"/>
      <c r="BC1546" s="862"/>
      <c r="BD1546" s="862"/>
      <c r="BE1546" s="862"/>
      <c r="BF1546" s="862"/>
      <c r="BG1546" s="862"/>
      <c r="BH1546" s="862"/>
      <c r="BI1546" s="862"/>
      <c r="BJ1546" s="862"/>
      <c r="BK1546" s="862"/>
      <c r="BL1546" s="862"/>
      <c r="BM1546" s="862"/>
      <c r="BN1546" s="862"/>
      <c r="BO1546" s="862"/>
      <c r="BP1546" s="862"/>
      <c r="BQ1546" s="862"/>
      <c r="BR1546" s="862"/>
    </row>
    <row r="1547" spans="1:70" ht="99">
      <c r="A1547" s="2539">
        <v>1</v>
      </c>
      <c r="B1547" s="381"/>
      <c r="C1547" s="990" t="s">
        <v>56</v>
      </c>
      <c r="D1547" s="822">
        <v>1</v>
      </c>
      <c r="E1547" s="990" t="s">
        <v>28</v>
      </c>
      <c r="F1547" s="822">
        <v>11</v>
      </c>
      <c r="G1547" s="822">
        <v>15</v>
      </c>
      <c r="H1547" s="822"/>
      <c r="I1547" s="381" t="s">
        <v>1417</v>
      </c>
      <c r="J1547" s="33" t="s">
        <v>1418</v>
      </c>
      <c r="K1547" s="1858" t="s">
        <v>1419</v>
      </c>
      <c r="L1547" s="230">
        <f>SUM(L1548:L1552)</f>
        <v>4912360000</v>
      </c>
      <c r="M1547" s="1858" t="s">
        <v>1419</v>
      </c>
      <c r="N1547" s="222">
        <v>644049905</v>
      </c>
      <c r="O1547" s="1858" t="s">
        <v>1419</v>
      </c>
      <c r="P1547" s="230">
        <f>SUM(P1548:P1552)</f>
        <v>818952400</v>
      </c>
      <c r="Q1547" s="1858" t="s">
        <v>1419</v>
      </c>
      <c r="R1547" s="159">
        <f>SUM(R1548:R1552)</f>
        <v>59484325</v>
      </c>
      <c r="S1547" s="33"/>
      <c r="T1547" s="159">
        <f>SUM(T1548:T1552)</f>
        <v>146527291</v>
      </c>
      <c r="U1547" s="33"/>
      <c r="V1547" s="159"/>
      <c r="W1547" s="33"/>
      <c r="X1547" s="144">
        <f>SUM(X1548:X1552)</f>
        <v>0</v>
      </c>
      <c r="Y1547" s="1858" t="s">
        <v>1419</v>
      </c>
      <c r="Z1547" s="155">
        <f>Z1548+Z1549+Z1550+Z1551+Z1552</f>
        <v>206011616</v>
      </c>
      <c r="AA1547" s="1858" t="s">
        <v>1419</v>
      </c>
      <c r="AB1547" s="155">
        <f t="shared" ref="AB1547:AB1553" si="451">N1547+Z1547</f>
        <v>850061521</v>
      </c>
      <c r="AC1547" s="148">
        <v>100</v>
      </c>
      <c r="AD1547" s="292">
        <f>AB1547/L1547*100</f>
        <v>17.304544475567752</v>
      </c>
      <c r="AE1547" s="2558" t="s">
        <v>126</v>
      </c>
      <c r="AF1547" s="750"/>
      <c r="AG1547" s="750"/>
    </row>
    <row r="1548" spans="1:70" ht="49.5">
      <c r="A1548" s="89"/>
      <c r="B1548" s="88"/>
      <c r="C1548" s="605" t="s">
        <v>56</v>
      </c>
      <c r="D1548" s="89">
        <v>1</v>
      </c>
      <c r="E1548" s="605" t="s">
        <v>28</v>
      </c>
      <c r="F1548" s="89">
        <v>11</v>
      </c>
      <c r="G1548" s="89">
        <v>15</v>
      </c>
      <c r="H1548" s="605" t="s">
        <v>39</v>
      </c>
      <c r="I1548" s="88" t="s">
        <v>1420</v>
      </c>
      <c r="J1548" s="88" t="s">
        <v>3148</v>
      </c>
      <c r="K1548" s="115">
        <v>42</v>
      </c>
      <c r="L1548" s="203">
        <v>540000000</v>
      </c>
      <c r="M1548" s="100">
        <v>27</v>
      </c>
      <c r="N1548" s="203">
        <v>120731570</v>
      </c>
      <c r="O1548" s="100">
        <v>15</v>
      </c>
      <c r="P1548" s="207">
        <v>73437000</v>
      </c>
      <c r="Q1548" s="100">
        <v>4</v>
      </c>
      <c r="R1548" s="99">
        <v>11477600</v>
      </c>
      <c r="S1548" s="88">
        <v>4</v>
      </c>
      <c r="T1548" s="202">
        <v>9199450</v>
      </c>
      <c r="U1548" s="88"/>
      <c r="V1548" s="99"/>
      <c r="W1548" s="88"/>
      <c r="X1548" s="99"/>
      <c r="Y1548" s="100">
        <f t="shared" ref="Y1548:Z1552" si="452">Q1548+S1548+U1548+W1548</f>
        <v>8</v>
      </c>
      <c r="Z1548" s="112">
        <f t="shared" si="452"/>
        <v>20677050</v>
      </c>
      <c r="AA1548" s="100">
        <f t="shared" ref="AA1548:AA1566" si="453">M1548+Y1548</f>
        <v>35</v>
      </c>
      <c r="AB1548" s="112">
        <f t="shared" si="451"/>
        <v>141408620</v>
      </c>
      <c r="AC1548" s="117">
        <f t="shared" ref="AC1548:AC1566" si="454">AA1548/K1548*100</f>
        <v>83.333333333333343</v>
      </c>
      <c r="AD1548" s="1196">
        <f>AB1548/L1548*100</f>
        <v>26.186781481481482</v>
      </c>
      <c r="AE1548" s="89"/>
      <c r="AF1548" s="750"/>
      <c r="AG1548" s="750"/>
    </row>
    <row r="1549" spans="1:70" ht="66">
      <c r="A1549" s="89"/>
      <c r="B1549" s="88"/>
      <c r="C1549" s="605" t="s">
        <v>56</v>
      </c>
      <c r="D1549" s="89">
        <v>1</v>
      </c>
      <c r="E1549" s="605" t="s">
        <v>28</v>
      </c>
      <c r="F1549" s="89">
        <v>11</v>
      </c>
      <c r="G1549" s="89">
        <v>15</v>
      </c>
      <c r="H1549" s="605" t="s">
        <v>78</v>
      </c>
      <c r="I1549" s="88" t="s">
        <v>1421</v>
      </c>
      <c r="J1549" s="88" t="s">
        <v>3149</v>
      </c>
      <c r="K1549" s="115">
        <v>48</v>
      </c>
      <c r="L1549" s="203">
        <v>2378725000</v>
      </c>
      <c r="M1549" s="100">
        <v>12</v>
      </c>
      <c r="N1549" s="203">
        <v>162251565</v>
      </c>
      <c r="O1549" s="100">
        <v>12</v>
      </c>
      <c r="P1549" s="207">
        <v>520350000</v>
      </c>
      <c r="Q1549" s="100">
        <v>3</v>
      </c>
      <c r="R1549" s="99">
        <v>37545275</v>
      </c>
      <c r="S1549" s="88">
        <v>3</v>
      </c>
      <c r="T1549" s="99">
        <v>72962091</v>
      </c>
      <c r="U1549" s="88"/>
      <c r="V1549" s="99"/>
      <c r="W1549" s="88"/>
      <c r="X1549" s="99"/>
      <c r="Y1549" s="100">
        <f t="shared" si="452"/>
        <v>6</v>
      </c>
      <c r="Z1549" s="112">
        <f t="shared" si="452"/>
        <v>110507366</v>
      </c>
      <c r="AA1549" s="100">
        <f t="shared" si="453"/>
        <v>18</v>
      </c>
      <c r="AB1549" s="112">
        <f t="shared" si="451"/>
        <v>272758931</v>
      </c>
      <c r="AC1549" s="117">
        <f t="shared" si="454"/>
        <v>37.5</v>
      </c>
      <c r="AD1549" s="1196">
        <f>AB1549/L1549*100</f>
        <v>11.466602108272289</v>
      </c>
      <c r="AE1549" s="89"/>
      <c r="AF1549" s="750"/>
      <c r="AG1549" s="750"/>
    </row>
    <row r="1550" spans="1:70" ht="42.75" customHeight="1">
      <c r="A1550" s="1125"/>
      <c r="B1550" s="1147"/>
      <c r="C1550" s="1431" t="s">
        <v>56</v>
      </c>
      <c r="D1550" s="1125">
        <v>1</v>
      </c>
      <c r="E1550" s="1431" t="s">
        <v>28</v>
      </c>
      <c r="F1550" s="1125">
        <v>11</v>
      </c>
      <c r="G1550" s="1125">
        <v>15</v>
      </c>
      <c r="H1550" s="1125">
        <v>22</v>
      </c>
      <c r="I1550" s="1147" t="s">
        <v>1422</v>
      </c>
      <c r="J1550" s="88" t="s">
        <v>3150</v>
      </c>
      <c r="K1550" s="115">
        <v>30</v>
      </c>
      <c r="L1550" s="203">
        <v>1713635000</v>
      </c>
      <c r="M1550" s="100">
        <v>11</v>
      </c>
      <c r="N1550" s="203">
        <v>312112770</v>
      </c>
      <c r="O1550" s="100">
        <v>6</v>
      </c>
      <c r="P1550" s="207">
        <v>225165400</v>
      </c>
      <c r="Q1550" s="100">
        <v>2</v>
      </c>
      <c r="R1550" s="99">
        <v>10461450</v>
      </c>
      <c r="S1550" s="88">
        <v>2</v>
      </c>
      <c r="T1550" s="99">
        <v>64365750</v>
      </c>
      <c r="U1550" s="88"/>
      <c r="V1550" s="99"/>
      <c r="W1550" s="88"/>
      <c r="X1550" s="99"/>
      <c r="Y1550" s="100">
        <f t="shared" si="452"/>
        <v>4</v>
      </c>
      <c r="Z1550" s="112">
        <f t="shared" si="452"/>
        <v>74827200</v>
      </c>
      <c r="AA1550" s="100">
        <f t="shared" si="453"/>
        <v>15</v>
      </c>
      <c r="AB1550" s="112">
        <f t="shared" si="451"/>
        <v>386939970</v>
      </c>
      <c r="AC1550" s="117">
        <f t="shared" si="454"/>
        <v>50</v>
      </c>
      <c r="AD1550" s="1196">
        <f>AB1550/L1550*100</f>
        <v>22.58006926795963</v>
      </c>
      <c r="AE1550" s="89"/>
      <c r="AF1550" s="750"/>
      <c r="AG1550" s="750"/>
    </row>
    <row r="1551" spans="1:70" ht="49.5">
      <c r="A1551" s="930"/>
      <c r="B1551" s="328"/>
      <c r="C1551" s="930"/>
      <c r="D1551" s="930"/>
      <c r="E1551" s="930"/>
      <c r="F1551" s="930"/>
      <c r="G1551" s="930"/>
      <c r="H1551" s="930"/>
      <c r="I1551" s="328"/>
      <c r="J1551" s="88" t="s">
        <v>3151</v>
      </c>
      <c r="K1551" s="115">
        <v>5</v>
      </c>
      <c r="L1551" s="203">
        <v>0</v>
      </c>
      <c r="M1551" s="100">
        <v>2</v>
      </c>
      <c r="N1551" s="203">
        <v>0</v>
      </c>
      <c r="O1551" s="100">
        <v>2</v>
      </c>
      <c r="P1551" s="207"/>
      <c r="Q1551" s="100"/>
      <c r="R1551" s="99"/>
      <c r="S1551" s="88"/>
      <c r="T1551" s="88"/>
      <c r="U1551" s="88"/>
      <c r="V1551" s="99"/>
      <c r="W1551" s="88"/>
      <c r="X1551" s="88"/>
      <c r="Y1551" s="100">
        <f t="shared" si="452"/>
        <v>0</v>
      </c>
      <c r="Z1551" s="112">
        <f t="shared" si="452"/>
        <v>0</v>
      </c>
      <c r="AA1551" s="100">
        <f t="shared" si="453"/>
        <v>2</v>
      </c>
      <c r="AB1551" s="112">
        <f t="shared" si="451"/>
        <v>0</v>
      </c>
      <c r="AC1551" s="117">
        <f t="shared" si="454"/>
        <v>40</v>
      </c>
      <c r="AD1551" s="1196"/>
      <c r="AE1551" s="89"/>
      <c r="AF1551" s="750"/>
      <c r="AG1551" s="750"/>
    </row>
    <row r="1552" spans="1:70" ht="49.5">
      <c r="A1552" s="89"/>
      <c r="B1552" s="88"/>
      <c r="C1552" s="605" t="s">
        <v>56</v>
      </c>
      <c r="D1552" s="89">
        <v>1</v>
      </c>
      <c r="E1552" s="605" t="s">
        <v>28</v>
      </c>
      <c r="F1552" s="89">
        <v>11</v>
      </c>
      <c r="G1552" s="89">
        <v>15</v>
      </c>
      <c r="H1552" s="89">
        <v>24</v>
      </c>
      <c r="I1552" s="88" t="s">
        <v>1423</v>
      </c>
      <c r="J1552" s="88" t="s">
        <v>3152</v>
      </c>
      <c r="K1552" s="115">
        <v>5</v>
      </c>
      <c r="L1552" s="203">
        <v>280000000</v>
      </c>
      <c r="M1552" s="100">
        <v>1</v>
      </c>
      <c r="N1552" s="203">
        <v>48954000</v>
      </c>
      <c r="O1552" s="100">
        <v>1</v>
      </c>
      <c r="P1552" s="207">
        <v>0</v>
      </c>
      <c r="Q1552" s="100"/>
      <c r="R1552" s="99">
        <v>0</v>
      </c>
      <c r="S1552" s="88"/>
      <c r="T1552" s="99">
        <v>0</v>
      </c>
      <c r="U1552" s="88"/>
      <c r="V1552" s="99"/>
      <c r="W1552" s="88"/>
      <c r="X1552" s="99"/>
      <c r="Y1552" s="100">
        <f t="shared" si="452"/>
        <v>0</v>
      </c>
      <c r="Z1552" s="112">
        <f t="shared" si="452"/>
        <v>0</v>
      </c>
      <c r="AA1552" s="100">
        <f t="shared" si="453"/>
        <v>1</v>
      </c>
      <c r="AB1552" s="112">
        <f t="shared" si="451"/>
        <v>48954000</v>
      </c>
      <c r="AC1552" s="117">
        <f t="shared" si="454"/>
        <v>20</v>
      </c>
      <c r="AD1552" s="1196">
        <f>AB1552/L1552*100</f>
        <v>17.48357142857143</v>
      </c>
      <c r="AE1552" s="89"/>
      <c r="AF1552" s="750"/>
      <c r="AG1552" s="750"/>
    </row>
    <row r="1553" spans="1:33" ht="82.5">
      <c r="A1553" s="2539">
        <v>2</v>
      </c>
      <c r="B1553" s="381"/>
      <c r="C1553" s="990" t="s">
        <v>56</v>
      </c>
      <c r="D1553" s="822">
        <v>1</v>
      </c>
      <c r="E1553" s="990" t="s">
        <v>28</v>
      </c>
      <c r="F1553" s="822">
        <v>11</v>
      </c>
      <c r="G1553" s="822">
        <v>18</v>
      </c>
      <c r="H1553" s="822"/>
      <c r="I1553" s="381" t="s">
        <v>3153</v>
      </c>
      <c r="J1553" s="33" t="s">
        <v>1424</v>
      </c>
      <c r="K1553" s="146">
        <v>9</v>
      </c>
      <c r="L1553" s="230">
        <f>SUM(L1555:L1568)</f>
        <v>64509250600</v>
      </c>
      <c r="M1553" s="538">
        <v>2</v>
      </c>
      <c r="N1553" s="222">
        <v>30106588900</v>
      </c>
      <c r="O1553" s="538">
        <v>2</v>
      </c>
      <c r="P1553" s="230">
        <f>SUM(P1555:P1568)</f>
        <v>15990272400</v>
      </c>
      <c r="Q1553" s="538">
        <v>0</v>
      </c>
      <c r="R1553" s="159">
        <f>SUM(R1555:R1568)</f>
        <v>71503912</v>
      </c>
      <c r="S1553" s="33"/>
      <c r="T1553" s="159">
        <f>SUM(T1555:T1568)</f>
        <v>1313376200</v>
      </c>
      <c r="U1553" s="33"/>
      <c r="V1553" s="159">
        <f>SUM(V1555:V1568)</f>
        <v>0</v>
      </c>
      <c r="W1553" s="33"/>
      <c r="X1553" s="159">
        <f>SUM(X1555:X1568)</f>
        <v>0</v>
      </c>
      <c r="Y1553" s="538">
        <f t="shared" ref="Y1553:Y1566" si="455">Q1553+S1553+U1553+W1553</f>
        <v>0</v>
      </c>
      <c r="Z1553" s="155">
        <f>Z1555+Z1556+Z1557+Z1558+Z1560+Z1561+Z1562+Z1563+Z1564+Z1565+Z1566+Z1568</f>
        <v>1363166412</v>
      </c>
      <c r="AA1553" s="538">
        <f t="shared" si="453"/>
        <v>2</v>
      </c>
      <c r="AB1553" s="155">
        <f t="shared" si="451"/>
        <v>31469755312</v>
      </c>
      <c r="AC1553" s="148">
        <f t="shared" si="454"/>
        <v>22.222222222222221</v>
      </c>
      <c r="AD1553" s="292">
        <f>AB1553/L1553*100</f>
        <v>48.783321801602206</v>
      </c>
      <c r="AE1553" s="2558" t="s">
        <v>126</v>
      </c>
      <c r="AF1553" s="750"/>
      <c r="AG1553" s="750"/>
    </row>
    <row r="1554" spans="1:33" ht="82.5">
      <c r="A1554" s="2540"/>
      <c r="B1554" s="364"/>
      <c r="C1554" s="998"/>
      <c r="D1554" s="1136"/>
      <c r="E1554" s="998"/>
      <c r="F1554" s="1136"/>
      <c r="G1554" s="1136"/>
      <c r="H1554" s="1136"/>
      <c r="I1554" s="364"/>
      <c r="J1554" s="33" t="s">
        <v>3154</v>
      </c>
      <c r="K1554" s="146">
        <v>13.13</v>
      </c>
      <c r="L1554" s="230"/>
      <c r="M1554" s="545">
        <v>12.53</v>
      </c>
      <c r="N1554" s="222"/>
      <c r="O1554" s="545">
        <f>12.57-M1554</f>
        <v>4.0000000000000924E-2</v>
      </c>
      <c r="P1554" s="230"/>
      <c r="Q1554" s="545">
        <v>0</v>
      </c>
      <c r="R1554" s="159"/>
      <c r="S1554" s="33"/>
      <c r="T1554" s="159"/>
      <c r="U1554" s="33"/>
      <c r="V1554" s="159"/>
      <c r="W1554" s="33"/>
      <c r="X1554" s="159"/>
      <c r="Y1554" s="545">
        <f t="shared" si="455"/>
        <v>0</v>
      </c>
      <c r="Z1554" s="155"/>
      <c r="AA1554" s="545">
        <f t="shared" si="453"/>
        <v>12.53</v>
      </c>
      <c r="AB1554" s="155"/>
      <c r="AC1554" s="148">
        <f t="shared" si="454"/>
        <v>95.430312261995425</v>
      </c>
      <c r="AD1554" s="292"/>
      <c r="AE1554" s="2558"/>
      <c r="AF1554" s="750"/>
      <c r="AG1554" s="750"/>
    </row>
    <row r="1555" spans="1:33" ht="49.5">
      <c r="A1555" s="89"/>
      <c r="B1555" s="88"/>
      <c r="C1555" s="605" t="s">
        <v>56</v>
      </c>
      <c r="D1555" s="89">
        <v>1</v>
      </c>
      <c r="E1555" s="605" t="s">
        <v>28</v>
      </c>
      <c r="F1555" s="89">
        <v>11</v>
      </c>
      <c r="G1555" s="89">
        <v>18</v>
      </c>
      <c r="H1555" s="605" t="s">
        <v>56</v>
      </c>
      <c r="I1555" s="88" t="s">
        <v>1425</v>
      </c>
      <c r="J1555" s="88" t="s">
        <v>1426</v>
      </c>
      <c r="K1555" s="115">
        <v>12</v>
      </c>
      <c r="L1555" s="203">
        <v>938850000</v>
      </c>
      <c r="M1555" s="100">
        <v>6</v>
      </c>
      <c r="N1555" s="203">
        <v>490985220</v>
      </c>
      <c r="O1555" s="100">
        <v>3</v>
      </c>
      <c r="P1555" s="207">
        <v>161198400</v>
      </c>
      <c r="Q1555" s="100">
        <v>0</v>
      </c>
      <c r="R1555" s="99">
        <v>12015762</v>
      </c>
      <c r="S1555" s="88">
        <v>0</v>
      </c>
      <c r="T1555" s="202">
        <v>14403950</v>
      </c>
      <c r="U1555" s="88"/>
      <c r="V1555" s="99"/>
      <c r="W1555" s="88"/>
      <c r="X1555" s="99"/>
      <c r="Y1555" s="100">
        <f t="shared" si="455"/>
        <v>0</v>
      </c>
      <c r="Z1555" s="112">
        <f>R1555+T1555+V1555+X1555</f>
        <v>26419712</v>
      </c>
      <c r="AA1555" s="100">
        <f t="shared" si="453"/>
        <v>6</v>
      </c>
      <c r="AB1555" s="112">
        <f>N1555+Z1555</f>
        <v>517404932</v>
      </c>
      <c r="AC1555" s="117">
        <f t="shared" si="454"/>
        <v>50</v>
      </c>
      <c r="AD1555" s="1196">
        <f>AB1555/L1555*100</f>
        <v>55.110500292911546</v>
      </c>
      <c r="AE1555" s="89"/>
      <c r="AF1555" s="750"/>
      <c r="AG1555" s="750"/>
    </row>
    <row r="1556" spans="1:33" ht="49.5">
      <c r="A1556" s="89"/>
      <c r="B1556" s="88"/>
      <c r="C1556" s="605" t="s">
        <v>56</v>
      </c>
      <c r="D1556" s="89">
        <v>1</v>
      </c>
      <c r="E1556" s="605" t="s">
        <v>28</v>
      </c>
      <c r="F1556" s="89">
        <v>11</v>
      </c>
      <c r="G1556" s="89">
        <v>18</v>
      </c>
      <c r="H1556" s="89">
        <v>11</v>
      </c>
      <c r="I1556" s="88" t="s">
        <v>1427</v>
      </c>
      <c r="J1556" s="88" t="s">
        <v>3155</v>
      </c>
      <c r="K1556" s="115">
        <v>72</v>
      </c>
      <c r="L1556" s="203">
        <v>1378644000</v>
      </c>
      <c r="M1556" s="100">
        <v>36</v>
      </c>
      <c r="N1556" s="203">
        <v>474481780</v>
      </c>
      <c r="O1556" s="100">
        <v>12</v>
      </c>
      <c r="P1556" s="207">
        <v>68160000</v>
      </c>
      <c r="Q1556" s="100">
        <v>3</v>
      </c>
      <c r="R1556" s="99">
        <v>14666250</v>
      </c>
      <c r="S1556" s="88">
        <v>3</v>
      </c>
      <c r="T1556" s="99">
        <v>22396250</v>
      </c>
      <c r="U1556" s="88"/>
      <c r="V1556" s="99"/>
      <c r="W1556" s="88"/>
      <c r="X1556" s="99"/>
      <c r="Y1556" s="100">
        <f t="shared" si="455"/>
        <v>6</v>
      </c>
      <c r="Z1556" s="112">
        <f>R1556+T1556+V1556+X1556</f>
        <v>37062500</v>
      </c>
      <c r="AA1556" s="100">
        <f t="shared" si="453"/>
        <v>42</v>
      </c>
      <c r="AB1556" s="112">
        <f>N1556+Z1556</f>
        <v>511544280</v>
      </c>
      <c r="AC1556" s="117">
        <f t="shared" si="454"/>
        <v>58.333333333333336</v>
      </c>
      <c r="AD1556" s="1196">
        <f>AB1556/L1556*100</f>
        <v>37.104885670267308</v>
      </c>
      <c r="AE1556" s="89"/>
      <c r="AF1556" s="750"/>
      <c r="AG1556" s="750"/>
    </row>
    <row r="1557" spans="1:33" ht="49.5">
      <c r="A1557" s="89"/>
      <c r="B1557" s="88"/>
      <c r="C1557" s="605" t="s">
        <v>56</v>
      </c>
      <c r="D1557" s="89">
        <v>1</v>
      </c>
      <c r="E1557" s="605" t="s">
        <v>28</v>
      </c>
      <c r="F1557" s="89">
        <v>11</v>
      </c>
      <c r="G1557" s="89">
        <v>18</v>
      </c>
      <c r="H1557" s="89">
        <v>12</v>
      </c>
      <c r="I1557" s="88" t="s">
        <v>1428</v>
      </c>
      <c r="J1557" s="88" t="s">
        <v>1429</v>
      </c>
      <c r="K1557" s="115">
        <v>72</v>
      </c>
      <c r="L1557" s="203">
        <v>2105724000</v>
      </c>
      <c r="M1557" s="100">
        <v>36</v>
      </c>
      <c r="N1557" s="203">
        <v>939828270</v>
      </c>
      <c r="O1557" s="100">
        <v>12</v>
      </c>
      <c r="P1557" s="207">
        <v>368363400</v>
      </c>
      <c r="Q1557" s="100">
        <v>3</v>
      </c>
      <c r="R1557" s="99">
        <v>37340650</v>
      </c>
      <c r="S1557" s="88">
        <v>3</v>
      </c>
      <c r="T1557" s="99">
        <v>111487400</v>
      </c>
      <c r="U1557" s="88"/>
      <c r="V1557" s="99"/>
      <c r="W1557" s="88"/>
      <c r="X1557" s="99"/>
      <c r="Y1557" s="100">
        <f t="shared" si="455"/>
        <v>6</v>
      </c>
      <c r="Z1557" s="112">
        <f>R1557+T1557+V1557+X1557</f>
        <v>148828050</v>
      </c>
      <c r="AA1557" s="100">
        <f t="shared" si="453"/>
        <v>42</v>
      </c>
      <c r="AB1557" s="112">
        <f>N1557+Z1557</f>
        <v>1088656320</v>
      </c>
      <c r="AC1557" s="117">
        <f t="shared" si="454"/>
        <v>58.333333333333336</v>
      </c>
      <c r="AD1557" s="1196">
        <f>AB1557/L1557*100</f>
        <v>51.699858101061679</v>
      </c>
      <c r="AE1557" s="89"/>
      <c r="AF1557" s="750"/>
      <c r="AG1557" s="750"/>
    </row>
    <row r="1558" spans="1:33" ht="49.5">
      <c r="A1558" s="89"/>
      <c r="B1558" s="88"/>
      <c r="C1558" s="605" t="s">
        <v>56</v>
      </c>
      <c r="D1558" s="89">
        <v>1</v>
      </c>
      <c r="E1558" s="605" t="s">
        <v>28</v>
      </c>
      <c r="F1558" s="89">
        <v>11</v>
      </c>
      <c r="G1558" s="89">
        <v>18</v>
      </c>
      <c r="H1558" s="89">
        <v>34</v>
      </c>
      <c r="I1558" s="88" t="s">
        <v>1430</v>
      </c>
      <c r="J1558" s="88" t="s">
        <v>1431</v>
      </c>
      <c r="K1558" s="115">
        <v>20</v>
      </c>
      <c r="L1558" s="203">
        <v>8677932000</v>
      </c>
      <c r="M1558" s="100">
        <v>9</v>
      </c>
      <c r="N1558" s="203">
        <v>1507145100</v>
      </c>
      <c r="O1558" s="100">
        <v>0</v>
      </c>
      <c r="P1558" s="207">
        <v>0</v>
      </c>
      <c r="Q1558" s="125">
        <v>0</v>
      </c>
      <c r="R1558" s="99">
        <v>0</v>
      </c>
      <c r="S1558" s="88"/>
      <c r="T1558" s="99"/>
      <c r="U1558" s="88"/>
      <c r="V1558" s="99"/>
      <c r="W1558" s="88"/>
      <c r="X1558" s="99"/>
      <c r="Y1558" s="100">
        <f t="shared" si="455"/>
        <v>0</v>
      </c>
      <c r="Z1558" s="112">
        <f>R1558+T1558+V1558+X1558</f>
        <v>0</v>
      </c>
      <c r="AA1558" s="100">
        <f t="shared" si="453"/>
        <v>9</v>
      </c>
      <c r="AB1558" s="112">
        <f>N1558+Z1558</f>
        <v>1507145100</v>
      </c>
      <c r="AC1558" s="117">
        <f t="shared" si="454"/>
        <v>45</v>
      </c>
      <c r="AD1558" s="1196">
        <f>AB1558/L1558*100</f>
        <v>17.367560612367093</v>
      </c>
      <c r="AE1558" s="89"/>
      <c r="AF1558" s="750"/>
      <c r="AG1558" s="750"/>
    </row>
    <row r="1559" spans="1:33" ht="49.5">
      <c r="A1559" s="89"/>
      <c r="B1559" s="88"/>
      <c r="C1559" s="89"/>
      <c r="D1559" s="89"/>
      <c r="E1559" s="89"/>
      <c r="F1559" s="89"/>
      <c r="G1559" s="89"/>
      <c r="H1559" s="89">
        <v>39</v>
      </c>
      <c r="I1559" s="88" t="s">
        <v>1432</v>
      </c>
      <c r="J1559" s="1316" t="s">
        <v>1433</v>
      </c>
      <c r="K1559" s="115">
        <v>4</v>
      </c>
      <c r="L1559" s="203">
        <f>4*P1559</f>
        <v>1188220000</v>
      </c>
      <c r="M1559" s="100">
        <v>0</v>
      </c>
      <c r="N1559" s="203">
        <v>0</v>
      </c>
      <c r="O1559" s="100">
        <v>1</v>
      </c>
      <c r="P1559" s="207">
        <v>297055000</v>
      </c>
      <c r="Q1559" s="125">
        <v>0</v>
      </c>
      <c r="R1559" s="99">
        <v>0</v>
      </c>
      <c r="S1559" s="88"/>
      <c r="T1559" s="99"/>
      <c r="U1559" s="88"/>
      <c r="V1559" s="99"/>
      <c r="W1559" s="88"/>
      <c r="X1559" s="99"/>
      <c r="Y1559" s="100">
        <f t="shared" si="455"/>
        <v>0</v>
      </c>
      <c r="Z1559" s="112"/>
      <c r="AA1559" s="100">
        <f t="shared" si="453"/>
        <v>0</v>
      </c>
      <c r="AB1559" s="112"/>
      <c r="AC1559" s="117">
        <f t="shared" si="454"/>
        <v>0</v>
      </c>
      <c r="AD1559" s="1196"/>
      <c r="AE1559" s="89"/>
      <c r="AF1559" s="750"/>
      <c r="AG1559" s="750"/>
    </row>
    <row r="1560" spans="1:33" ht="49.5">
      <c r="A1560" s="89"/>
      <c r="B1560" s="88"/>
      <c r="C1560" s="605" t="s">
        <v>56</v>
      </c>
      <c r="D1560" s="89">
        <v>1</v>
      </c>
      <c r="E1560" s="605" t="s">
        <v>28</v>
      </c>
      <c r="F1560" s="89">
        <v>11</v>
      </c>
      <c r="G1560" s="89">
        <v>18</v>
      </c>
      <c r="H1560" s="89">
        <v>43</v>
      </c>
      <c r="I1560" s="88" t="s">
        <v>1434</v>
      </c>
      <c r="J1560" s="88" t="s">
        <v>1435</v>
      </c>
      <c r="K1560" s="115">
        <v>15</v>
      </c>
      <c r="L1560" s="203">
        <v>9104405000</v>
      </c>
      <c r="M1560" s="100">
        <v>8</v>
      </c>
      <c r="N1560" s="203">
        <v>1759902400</v>
      </c>
      <c r="O1560" s="100">
        <v>0</v>
      </c>
      <c r="P1560" s="207">
        <v>0</v>
      </c>
      <c r="Q1560" s="100">
        <v>0</v>
      </c>
      <c r="R1560" s="99">
        <v>0</v>
      </c>
      <c r="S1560" s="88"/>
      <c r="T1560" s="233"/>
      <c r="U1560" s="88"/>
      <c r="V1560" s="99"/>
      <c r="W1560" s="88"/>
      <c r="X1560" s="99"/>
      <c r="Y1560" s="100">
        <f t="shared" si="455"/>
        <v>0</v>
      </c>
      <c r="Z1560" s="112">
        <f t="shared" ref="Z1560:Z1566" si="456">R1560+T1560+V1560+X1560</f>
        <v>0</v>
      </c>
      <c r="AA1560" s="100">
        <f t="shared" si="453"/>
        <v>8</v>
      </c>
      <c r="AB1560" s="112">
        <f t="shared" ref="AB1560:AB1566" si="457">N1560+Z1560</f>
        <v>1759902400</v>
      </c>
      <c r="AC1560" s="117">
        <f t="shared" si="454"/>
        <v>53.333333333333336</v>
      </c>
      <c r="AD1560" s="1196">
        <f t="shared" ref="AD1560:AD1566" si="458">AB1560/L1560*100</f>
        <v>19.330229707487749</v>
      </c>
      <c r="AE1560" s="89"/>
      <c r="AF1560" s="750"/>
      <c r="AG1560" s="750"/>
    </row>
    <row r="1561" spans="1:33" ht="82.5">
      <c r="A1561" s="89"/>
      <c r="B1561" s="88"/>
      <c r="C1561" s="605" t="s">
        <v>56</v>
      </c>
      <c r="D1561" s="89">
        <v>1</v>
      </c>
      <c r="E1561" s="605" t="s">
        <v>28</v>
      </c>
      <c r="F1561" s="89">
        <v>11</v>
      </c>
      <c r="G1561" s="89">
        <v>18</v>
      </c>
      <c r="H1561" s="89">
        <v>50</v>
      </c>
      <c r="I1561" s="88" t="s">
        <v>1436</v>
      </c>
      <c r="J1561" s="88" t="s">
        <v>1435</v>
      </c>
      <c r="K1561" s="115">
        <v>1</v>
      </c>
      <c r="L1561" s="203">
        <v>213855000</v>
      </c>
      <c r="M1561" s="100">
        <v>1</v>
      </c>
      <c r="N1561" s="203">
        <v>213855120</v>
      </c>
      <c r="O1561" s="100">
        <v>0</v>
      </c>
      <c r="P1561" s="207"/>
      <c r="Q1561" s="100"/>
      <c r="R1561" s="99"/>
      <c r="S1561" s="88"/>
      <c r="T1561" s="99"/>
      <c r="U1561" s="88"/>
      <c r="V1561" s="99"/>
      <c r="W1561" s="88"/>
      <c r="X1561" s="88"/>
      <c r="Y1561" s="100">
        <f t="shared" si="455"/>
        <v>0</v>
      </c>
      <c r="Z1561" s="112">
        <f t="shared" si="456"/>
        <v>0</v>
      </c>
      <c r="AA1561" s="100">
        <f t="shared" si="453"/>
        <v>1</v>
      </c>
      <c r="AB1561" s="112">
        <f t="shared" si="457"/>
        <v>213855120</v>
      </c>
      <c r="AC1561" s="117">
        <f t="shared" si="454"/>
        <v>100</v>
      </c>
      <c r="AD1561" s="1196">
        <f t="shared" si="458"/>
        <v>100.00005611278671</v>
      </c>
      <c r="AE1561" s="89"/>
      <c r="AF1561" s="750"/>
      <c r="AG1561" s="750"/>
    </row>
    <row r="1562" spans="1:33" ht="82.5">
      <c r="A1562" s="89"/>
      <c r="B1562" s="88"/>
      <c r="C1562" s="605" t="s">
        <v>56</v>
      </c>
      <c r="D1562" s="89">
        <v>1</v>
      </c>
      <c r="E1562" s="605" t="s">
        <v>28</v>
      </c>
      <c r="F1562" s="89">
        <v>11</v>
      </c>
      <c r="G1562" s="89">
        <v>18</v>
      </c>
      <c r="H1562" s="89">
        <v>51</v>
      </c>
      <c r="I1562" s="88" t="s">
        <v>1437</v>
      </c>
      <c r="J1562" s="88" t="s">
        <v>1435</v>
      </c>
      <c r="K1562" s="115">
        <v>1</v>
      </c>
      <c r="L1562" s="203">
        <v>199436000</v>
      </c>
      <c r="M1562" s="100">
        <v>1</v>
      </c>
      <c r="N1562" s="203">
        <v>199435570</v>
      </c>
      <c r="O1562" s="100">
        <v>0</v>
      </c>
      <c r="P1562" s="207"/>
      <c r="Q1562" s="100"/>
      <c r="R1562" s="99"/>
      <c r="S1562" s="88"/>
      <c r="T1562" s="88"/>
      <c r="U1562" s="88"/>
      <c r="V1562" s="99"/>
      <c r="W1562" s="88"/>
      <c r="X1562" s="88"/>
      <c r="Y1562" s="100">
        <f t="shared" si="455"/>
        <v>0</v>
      </c>
      <c r="Z1562" s="112">
        <f t="shared" si="456"/>
        <v>0</v>
      </c>
      <c r="AA1562" s="100">
        <f t="shared" si="453"/>
        <v>1</v>
      </c>
      <c r="AB1562" s="112">
        <f t="shared" si="457"/>
        <v>199435570</v>
      </c>
      <c r="AC1562" s="117">
        <f t="shared" si="454"/>
        <v>100</v>
      </c>
      <c r="AD1562" s="1196">
        <f t="shared" si="458"/>
        <v>99.999784391985401</v>
      </c>
      <c r="AE1562" s="89"/>
      <c r="AF1562" s="750"/>
      <c r="AG1562" s="750"/>
    </row>
    <row r="1563" spans="1:33" ht="66">
      <c r="A1563" s="89"/>
      <c r="B1563" s="88"/>
      <c r="C1563" s="605" t="s">
        <v>56</v>
      </c>
      <c r="D1563" s="89">
        <v>1</v>
      </c>
      <c r="E1563" s="605" t="s">
        <v>28</v>
      </c>
      <c r="F1563" s="89">
        <v>11</v>
      </c>
      <c r="G1563" s="89">
        <v>18</v>
      </c>
      <c r="H1563" s="89">
        <v>56</v>
      </c>
      <c r="I1563" s="88" t="s">
        <v>1438</v>
      </c>
      <c r="J1563" s="88" t="s">
        <v>1439</v>
      </c>
      <c r="K1563" s="115">
        <v>24</v>
      </c>
      <c r="L1563" s="203">
        <v>24524919000</v>
      </c>
      <c r="M1563" s="100">
        <v>13</v>
      </c>
      <c r="N1563" s="203">
        <v>20605718540</v>
      </c>
      <c r="O1563" s="100">
        <v>6</v>
      </c>
      <c r="P1563" s="207">
        <v>12011650000</v>
      </c>
      <c r="Q1563" s="100">
        <v>0</v>
      </c>
      <c r="R1563" s="99">
        <v>5592250</v>
      </c>
      <c r="S1563" s="88">
        <v>0</v>
      </c>
      <c r="T1563" s="202">
        <v>391149250</v>
      </c>
      <c r="U1563" s="88"/>
      <c r="V1563" s="99"/>
      <c r="W1563" s="88"/>
      <c r="X1563" s="99"/>
      <c r="Y1563" s="100">
        <f t="shared" si="455"/>
        <v>0</v>
      </c>
      <c r="Z1563" s="112">
        <f t="shared" si="456"/>
        <v>396741500</v>
      </c>
      <c r="AA1563" s="100">
        <f t="shared" si="453"/>
        <v>13</v>
      </c>
      <c r="AB1563" s="112">
        <f t="shared" si="457"/>
        <v>21002460040</v>
      </c>
      <c r="AC1563" s="117">
        <f t="shared" si="454"/>
        <v>54.166666666666664</v>
      </c>
      <c r="AD1563" s="1196">
        <f t="shared" si="458"/>
        <v>85.637224897664282</v>
      </c>
      <c r="AE1563" s="89"/>
      <c r="AF1563" s="750"/>
      <c r="AG1563" s="750"/>
    </row>
    <row r="1564" spans="1:33" ht="82.5">
      <c r="A1564" s="89"/>
      <c r="B1564" s="88"/>
      <c r="C1564" s="605" t="s">
        <v>56</v>
      </c>
      <c r="D1564" s="89">
        <v>1</v>
      </c>
      <c r="E1564" s="605" t="s">
        <v>28</v>
      </c>
      <c r="F1564" s="89">
        <v>11</v>
      </c>
      <c r="G1564" s="89">
        <v>18</v>
      </c>
      <c r="H1564" s="89">
        <v>58</v>
      </c>
      <c r="I1564" s="88" t="s">
        <v>1440</v>
      </c>
      <c r="J1564" s="88" t="s">
        <v>1441</v>
      </c>
      <c r="K1564" s="115">
        <v>1</v>
      </c>
      <c r="L1564" s="203">
        <v>147576000</v>
      </c>
      <c r="M1564" s="100">
        <v>1</v>
      </c>
      <c r="N1564" s="203">
        <v>147576000</v>
      </c>
      <c r="O1564" s="100">
        <v>0</v>
      </c>
      <c r="P1564" s="207"/>
      <c r="Q1564" s="100"/>
      <c r="R1564" s="99"/>
      <c r="S1564" s="88"/>
      <c r="T1564" s="88"/>
      <c r="U1564" s="88"/>
      <c r="V1564" s="99"/>
      <c r="W1564" s="88"/>
      <c r="X1564" s="88"/>
      <c r="Y1564" s="100">
        <f t="shared" si="455"/>
        <v>0</v>
      </c>
      <c r="Z1564" s="112">
        <f t="shared" si="456"/>
        <v>0</v>
      </c>
      <c r="AA1564" s="100">
        <f t="shared" si="453"/>
        <v>1</v>
      </c>
      <c r="AB1564" s="112">
        <f t="shared" si="457"/>
        <v>147576000</v>
      </c>
      <c r="AC1564" s="117">
        <f t="shared" si="454"/>
        <v>100</v>
      </c>
      <c r="AD1564" s="1196">
        <f t="shared" si="458"/>
        <v>100</v>
      </c>
      <c r="AE1564" s="89"/>
      <c r="AF1564" s="750"/>
      <c r="AG1564" s="750"/>
    </row>
    <row r="1565" spans="1:33" ht="66">
      <c r="A1565" s="89"/>
      <c r="B1565" s="88"/>
      <c r="C1565" s="605" t="s">
        <v>56</v>
      </c>
      <c r="D1565" s="89">
        <v>1</v>
      </c>
      <c r="E1565" s="605" t="s">
        <v>28</v>
      </c>
      <c r="F1565" s="89">
        <v>11</v>
      </c>
      <c r="G1565" s="89">
        <v>18</v>
      </c>
      <c r="H1565" s="89">
        <v>60</v>
      </c>
      <c r="I1565" s="88" t="s">
        <v>1442</v>
      </c>
      <c r="J1565" s="88" t="s">
        <v>3156</v>
      </c>
      <c r="K1565" s="115">
        <v>48</v>
      </c>
      <c r="L1565" s="203">
        <v>800000000</v>
      </c>
      <c r="M1565" s="100">
        <v>12</v>
      </c>
      <c r="N1565" s="203">
        <v>270357000</v>
      </c>
      <c r="O1565" s="100">
        <v>12</v>
      </c>
      <c r="P1565" s="207">
        <v>87790000</v>
      </c>
      <c r="Q1565" s="100">
        <v>3</v>
      </c>
      <c r="R1565" s="99">
        <v>0</v>
      </c>
      <c r="S1565" s="88">
        <v>3</v>
      </c>
      <c r="T1565" s="99">
        <v>0</v>
      </c>
      <c r="U1565" s="88"/>
      <c r="V1565" s="99"/>
      <c r="W1565" s="88"/>
      <c r="X1565" s="99"/>
      <c r="Y1565" s="100">
        <f t="shared" si="455"/>
        <v>6</v>
      </c>
      <c r="Z1565" s="112">
        <f t="shared" si="456"/>
        <v>0</v>
      </c>
      <c r="AA1565" s="100">
        <f t="shared" si="453"/>
        <v>18</v>
      </c>
      <c r="AB1565" s="112">
        <f t="shared" si="457"/>
        <v>270357000</v>
      </c>
      <c r="AC1565" s="117">
        <f t="shared" si="454"/>
        <v>37.5</v>
      </c>
      <c r="AD1565" s="1196">
        <f t="shared" si="458"/>
        <v>33.794625000000003</v>
      </c>
      <c r="AE1565" s="89"/>
      <c r="AF1565" s="750"/>
      <c r="AG1565" s="750"/>
    </row>
    <row r="1566" spans="1:33" ht="33.75" customHeight="1">
      <c r="A1566" s="89"/>
      <c r="B1566" s="88"/>
      <c r="C1566" s="605" t="s">
        <v>56</v>
      </c>
      <c r="D1566" s="89">
        <v>1</v>
      </c>
      <c r="E1566" s="605" t="s">
        <v>28</v>
      </c>
      <c r="F1566" s="89">
        <v>11</v>
      </c>
      <c r="G1566" s="89">
        <v>18</v>
      </c>
      <c r="H1566" s="89">
        <v>63</v>
      </c>
      <c r="I1566" s="88" t="s">
        <v>1443</v>
      </c>
      <c r="J1566" s="88" t="s">
        <v>1444</v>
      </c>
      <c r="K1566" s="115">
        <v>2</v>
      </c>
      <c r="L1566" s="203">
        <f>2*N1566</f>
        <v>40918800</v>
      </c>
      <c r="M1566" s="100">
        <v>1</v>
      </c>
      <c r="N1566" s="203">
        <v>20459400</v>
      </c>
      <c r="O1566" s="100">
        <v>0</v>
      </c>
      <c r="P1566" s="207"/>
      <c r="Q1566" s="100"/>
      <c r="R1566" s="99"/>
      <c r="S1566" s="88"/>
      <c r="T1566" s="99"/>
      <c r="U1566" s="88"/>
      <c r="V1566" s="99"/>
      <c r="W1566" s="88"/>
      <c r="X1566" s="99"/>
      <c r="Y1566" s="100">
        <f t="shared" si="455"/>
        <v>0</v>
      </c>
      <c r="Z1566" s="112">
        <f t="shared" si="456"/>
        <v>0</v>
      </c>
      <c r="AA1566" s="100">
        <f t="shared" si="453"/>
        <v>1</v>
      </c>
      <c r="AB1566" s="112">
        <f t="shared" si="457"/>
        <v>20459400</v>
      </c>
      <c r="AC1566" s="117">
        <f t="shared" si="454"/>
        <v>50</v>
      </c>
      <c r="AD1566" s="1196">
        <f t="shared" si="458"/>
        <v>50</v>
      </c>
      <c r="AE1566" s="89"/>
      <c r="AF1566" s="750"/>
      <c r="AG1566" s="750"/>
    </row>
    <row r="1567" spans="1:33" ht="49.5">
      <c r="A1567" s="89"/>
      <c r="B1567" s="88"/>
      <c r="C1567" s="605"/>
      <c r="D1567" s="89"/>
      <c r="E1567" s="605"/>
      <c r="F1567" s="89"/>
      <c r="G1567" s="89"/>
      <c r="H1567" s="89"/>
      <c r="I1567" s="88" t="s">
        <v>1423</v>
      </c>
      <c r="J1567" s="88" t="s">
        <v>3152</v>
      </c>
      <c r="K1567" s="115">
        <v>3</v>
      </c>
      <c r="L1567" s="203">
        <f>3*P1567</f>
        <v>188770800</v>
      </c>
      <c r="M1567" s="100">
        <v>0</v>
      </c>
      <c r="N1567" s="203">
        <v>0</v>
      </c>
      <c r="O1567" s="100">
        <v>1</v>
      </c>
      <c r="P1567" s="207">
        <v>62923600</v>
      </c>
      <c r="Q1567" s="100"/>
      <c r="R1567" s="99"/>
      <c r="S1567" s="88"/>
      <c r="T1567" s="99">
        <v>21713700</v>
      </c>
      <c r="U1567" s="88"/>
      <c r="V1567" s="99"/>
      <c r="W1567" s="88"/>
      <c r="X1567" s="99"/>
      <c r="Y1567" s="100"/>
      <c r="Z1567" s="112"/>
      <c r="AA1567" s="100"/>
      <c r="AB1567" s="112"/>
      <c r="AC1567" s="117"/>
      <c r="AD1567" s="1196"/>
      <c r="AE1567" s="89"/>
      <c r="AF1567" s="750"/>
      <c r="AG1567" s="750"/>
    </row>
    <row r="1568" spans="1:33" ht="49.5">
      <c r="A1568" s="89"/>
      <c r="B1568" s="88"/>
      <c r="C1568" s="605" t="s">
        <v>56</v>
      </c>
      <c r="D1568" s="89">
        <v>1</v>
      </c>
      <c r="E1568" s="605" t="s">
        <v>28</v>
      </c>
      <c r="F1568" s="89">
        <v>11</v>
      </c>
      <c r="G1568" s="89">
        <v>18</v>
      </c>
      <c r="H1568" s="89">
        <v>65</v>
      </c>
      <c r="I1568" s="34" t="s">
        <v>1445</v>
      </c>
      <c r="J1568" s="88" t="s">
        <v>1446</v>
      </c>
      <c r="K1568" s="115">
        <v>15</v>
      </c>
      <c r="L1568" s="203">
        <v>15000000000</v>
      </c>
      <c r="M1568" s="100">
        <v>3</v>
      </c>
      <c r="N1568" s="203">
        <v>3476844500</v>
      </c>
      <c r="O1568" s="100">
        <v>2</v>
      </c>
      <c r="P1568" s="207">
        <v>2933132000</v>
      </c>
      <c r="Q1568" s="100">
        <v>0</v>
      </c>
      <c r="R1568" s="99">
        <v>1889000</v>
      </c>
      <c r="S1568" s="88"/>
      <c r="T1568" s="99">
        <v>752225650</v>
      </c>
      <c r="U1568" s="88"/>
      <c r="V1568" s="99"/>
      <c r="W1568" s="88"/>
      <c r="X1568" s="99"/>
      <c r="Y1568" s="100">
        <f>Q1568+S1568+U1568+W1568</f>
        <v>0</v>
      </c>
      <c r="Z1568" s="112">
        <f>R1568+T1568+V1568+X1568</f>
        <v>754114650</v>
      </c>
      <c r="AA1568" s="100">
        <f>M1568+Y1568</f>
        <v>3</v>
      </c>
      <c r="AB1568" s="112">
        <f>N1568+Z1568</f>
        <v>4230959150</v>
      </c>
      <c r="AC1568" s="117">
        <f>AA1568/K1568*100</f>
        <v>20</v>
      </c>
      <c r="AD1568" s="1196">
        <f>AB1568/L1568*100</f>
        <v>28.206394333333336</v>
      </c>
      <c r="AE1568" s="89"/>
      <c r="AF1568" s="750"/>
      <c r="AG1568" s="750"/>
    </row>
    <row r="1569" spans="1:70" s="1235" customFormat="1" ht="23.25" customHeight="1">
      <c r="A1569" s="2737" t="s">
        <v>63</v>
      </c>
      <c r="B1569" s="2737"/>
      <c r="C1569" s="2741"/>
      <c r="D1569" s="2741"/>
      <c r="E1569" s="2741"/>
      <c r="F1569" s="2741"/>
      <c r="G1569" s="2741"/>
      <c r="H1569" s="2741"/>
      <c r="I1569" s="2741"/>
      <c r="J1569" s="2741"/>
      <c r="K1569" s="2741"/>
      <c r="L1569" s="2741"/>
      <c r="M1569" s="2741"/>
      <c r="N1569" s="2741"/>
      <c r="O1569" s="2741"/>
      <c r="P1569" s="2741"/>
      <c r="Q1569" s="2741"/>
      <c r="R1569" s="2741"/>
      <c r="S1569" s="2741"/>
      <c r="T1569" s="2741"/>
      <c r="U1569" s="2741"/>
      <c r="V1569" s="2741"/>
      <c r="W1569" s="2741"/>
      <c r="X1569" s="2741"/>
      <c r="Y1569" s="2741"/>
      <c r="Z1569" s="2741"/>
      <c r="AA1569" s="2741"/>
      <c r="AB1569" s="2741"/>
      <c r="AC1569" s="965">
        <f>(AC1547+AC1553+AC1554)/3</f>
        <v>72.550844828072556</v>
      </c>
      <c r="AD1569" s="965">
        <f>(AD1547+AD1553)/2</f>
        <v>33.043933138584975</v>
      </c>
      <c r="AE1569" s="131"/>
      <c r="AF1569" s="861"/>
      <c r="AG1569" s="861"/>
      <c r="AH1569" s="861"/>
      <c r="AI1569" s="861"/>
      <c r="AJ1569" s="861"/>
      <c r="AK1569" s="861"/>
      <c r="AL1569" s="861"/>
      <c r="AM1569" s="861"/>
      <c r="AN1569" s="861"/>
      <c r="AO1569" s="861"/>
      <c r="AP1569" s="861"/>
      <c r="AQ1569" s="861"/>
      <c r="AR1569" s="861"/>
      <c r="AS1569" s="861"/>
      <c r="AT1569" s="861"/>
      <c r="AU1569" s="861"/>
      <c r="AV1569" s="861"/>
      <c r="AW1569" s="861"/>
      <c r="AX1569" s="861"/>
      <c r="AY1569" s="861"/>
      <c r="AZ1569" s="861"/>
      <c r="BA1569" s="861"/>
      <c r="BB1569" s="861"/>
      <c r="BC1569" s="862"/>
      <c r="BD1569" s="862"/>
      <c r="BE1569" s="862"/>
      <c r="BF1569" s="862"/>
      <c r="BG1569" s="862"/>
      <c r="BH1569" s="862"/>
      <c r="BI1569" s="862"/>
      <c r="BJ1569" s="862"/>
      <c r="BK1569" s="862"/>
      <c r="BL1569" s="862"/>
      <c r="BM1569" s="862"/>
      <c r="BN1569" s="862"/>
      <c r="BO1569" s="862"/>
      <c r="BP1569" s="862"/>
      <c r="BQ1569" s="862"/>
      <c r="BR1569" s="862"/>
    </row>
    <row r="1570" spans="1:70" s="1235" customFormat="1" ht="21.75" customHeight="1">
      <c r="A1570" s="2737" t="s">
        <v>64</v>
      </c>
      <c r="B1570" s="2737"/>
      <c r="C1570" s="2741"/>
      <c r="D1570" s="2741"/>
      <c r="E1570" s="2741"/>
      <c r="F1570" s="2741"/>
      <c r="G1570" s="2741"/>
      <c r="H1570" s="2741"/>
      <c r="I1570" s="2741"/>
      <c r="J1570" s="2741"/>
      <c r="K1570" s="2741"/>
      <c r="L1570" s="2741"/>
      <c r="M1570" s="2741"/>
      <c r="N1570" s="2741"/>
      <c r="O1570" s="2741"/>
      <c r="P1570" s="2741"/>
      <c r="Q1570" s="2741"/>
      <c r="R1570" s="2741"/>
      <c r="S1570" s="2741"/>
      <c r="T1570" s="2741"/>
      <c r="U1570" s="2741"/>
      <c r="V1570" s="2741"/>
      <c r="W1570" s="2741"/>
      <c r="X1570" s="2741"/>
      <c r="Y1570" s="2741"/>
      <c r="Z1570" s="2741"/>
      <c r="AA1570" s="2741"/>
      <c r="AB1570" s="2741"/>
      <c r="AC1570" s="604" t="str">
        <f>IF(AC1569&gt;=91,"ST",IF(AC1569&gt;=76,"T",IF(AC1569&gt;=66,"S",IF(AC1569&gt;=51,"R","SR"))))</f>
        <v>S</v>
      </c>
      <c r="AD1570" s="604" t="str">
        <f>IF(AD1569&gt;=91,"ST",IF(AD1569&gt;=76,"T",IF(AD1569&gt;=66,"S",IF(AD1569&gt;=51,"R","SR"))))</f>
        <v>SR</v>
      </c>
      <c r="AE1570" s="131"/>
      <c r="AF1570" s="861"/>
      <c r="AG1570" s="861"/>
      <c r="AH1570" s="861"/>
      <c r="AI1570" s="861"/>
      <c r="AJ1570" s="861"/>
      <c r="AK1570" s="861"/>
      <c r="AL1570" s="861"/>
      <c r="AM1570" s="861"/>
      <c r="AN1570" s="861"/>
      <c r="AO1570" s="861"/>
      <c r="AP1570" s="861"/>
      <c r="AQ1570" s="861"/>
      <c r="AR1570" s="861"/>
      <c r="AS1570" s="861"/>
      <c r="AT1570" s="861"/>
      <c r="AU1570" s="861"/>
      <c r="AV1570" s="861"/>
      <c r="AW1570" s="861"/>
      <c r="AX1570" s="861"/>
      <c r="AY1570" s="861"/>
      <c r="AZ1570" s="861"/>
      <c r="BA1570" s="861"/>
      <c r="BB1570" s="861"/>
      <c r="BC1570" s="862"/>
      <c r="BD1570" s="862"/>
      <c r="BE1570" s="862"/>
      <c r="BF1570" s="862"/>
      <c r="BG1570" s="862"/>
      <c r="BH1570" s="862"/>
      <c r="BI1570" s="862"/>
      <c r="BJ1570" s="862"/>
      <c r="BK1570" s="862"/>
      <c r="BL1570" s="862"/>
      <c r="BM1570" s="862"/>
      <c r="BN1570" s="862"/>
      <c r="BO1570" s="862"/>
      <c r="BP1570" s="862"/>
      <c r="BQ1570" s="862"/>
      <c r="BR1570" s="862"/>
    </row>
    <row r="1571" spans="1:70" ht="24.75" customHeight="1">
      <c r="A1571" s="1766" t="s">
        <v>86</v>
      </c>
      <c r="B1571" s="1767"/>
      <c r="C1571" s="1766"/>
      <c r="D1571" s="1766"/>
      <c r="E1571" s="1766"/>
      <c r="F1571" s="1766"/>
      <c r="G1571" s="1766"/>
      <c r="H1571" s="1766"/>
      <c r="I1571" s="1618" t="s">
        <v>221</v>
      </c>
      <c r="J1571" s="1618"/>
      <c r="K1571" s="1665"/>
      <c r="L1571" s="1672">
        <f>L1572+L1585+L1589</f>
        <v>8995381750</v>
      </c>
      <c r="M1571" s="1665"/>
      <c r="N1571" s="1855">
        <f>N1572+N1585+N1589</f>
        <v>3820323228</v>
      </c>
      <c r="O1571" s="1665"/>
      <c r="P1571" s="1855">
        <f>SUM(P1572+P1581+P1583+P1585)</f>
        <v>15759614000</v>
      </c>
      <c r="Q1571" s="1665"/>
      <c r="R1571" s="1856">
        <f>R1572+R1585+R1589</f>
        <v>31165200</v>
      </c>
      <c r="S1571" s="1618"/>
      <c r="T1571" s="1856">
        <f>T1572+T1581+T1583+T1585</f>
        <v>265373151</v>
      </c>
      <c r="U1571" s="1618"/>
      <c r="V1571" s="1857"/>
      <c r="W1571" s="1618"/>
      <c r="X1571" s="1618"/>
      <c r="Y1571" s="1665"/>
      <c r="Z1571" s="1856">
        <f>SUM(R1571+T1571)</f>
        <v>296538351</v>
      </c>
      <c r="AA1571" s="1665"/>
      <c r="AB1571" s="1856">
        <f>AB1572+AB1585+AB1589</f>
        <v>4037841579</v>
      </c>
      <c r="AC1571" s="1665"/>
      <c r="AD1571" s="1665"/>
      <c r="AE1571" s="1766"/>
      <c r="AF1571" s="200"/>
      <c r="AG1571" s="200"/>
    </row>
    <row r="1572" spans="1:70" s="752" customFormat="1" ht="35.25" customHeight="1">
      <c r="A1572" s="2547">
        <v>1</v>
      </c>
      <c r="B1572" s="159"/>
      <c r="C1572" s="1197" t="s">
        <v>29</v>
      </c>
      <c r="D1572" s="547">
        <v>1</v>
      </c>
      <c r="E1572" s="1197" t="s">
        <v>28</v>
      </c>
      <c r="F1572" s="547">
        <v>11</v>
      </c>
      <c r="G1572" s="547">
        <v>16</v>
      </c>
      <c r="H1572" s="547"/>
      <c r="I1572" s="159" t="s">
        <v>1388</v>
      </c>
      <c r="J1572" s="159" t="s">
        <v>3157</v>
      </c>
      <c r="K1572" s="284">
        <v>2.79</v>
      </c>
      <c r="L1572" s="230">
        <f>SUM(L1574:L1580)</f>
        <v>4373902750</v>
      </c>
      <c r="M1572" s="292">
        <v>2</v>
      </c>
      <c r="N1572" s="222">
        <v>1984920799</v>
      </c>
      <c r="O1572" s="292">
        <v>0.39</v>
      </c>
      <c r="P1572" s="230">
        <f>SUM(P1573:P1577)</f>
        <v>555282000</v>
      </c>
      <c r="Q1572" s="230">
        <v>0</v>
      </c>
      <c r="R1572" s="159">
        <f>SUM(R1575:R1580)</f>
        <v>21424000</v>
      </c>
      <c r="S1572" s="159"/>
      <c r="T1572" s="159">
        <f>SUM(T1575:T1580)</f>
        <v>145520894</v>
      </c>
      <c r="U1572" s="159"/>
      <c r="V1572" s="159"/>
      <c r="W1572" s="159"/>
      <c r="X1572" s="159">
        <f>SUM(X1574:X1580)</f>
        <v>0</v>
      </c>
      <c r="Y1572" s="230">
        <f>Q1572+S1572+U1572+W1572</f>
        <v>0</v>
      </c>
      <c r="Z1572" s="159">
        <f>Z1574+Z1575+Z1576+Z1578+Z1579+Z1580</f>
        <v>162639894</v>
      </c>
      <c r="AA1572" s="230">
        <f t="shared" ref="AA1572:AA1580" si="459">M1572+Y1572</f>
        <v>2</v>
      </c>
      <c r="AB1572" s="159">
        <f t="shared" ref="AB1572:AB1580" si="460">N1572+Z1572</f>
        <v>2147560693</v>
      </c>
      <c r="AC1572" s="148">
        <f t="shared" ref="AC1572:AC1590" si="461">AA1572/K1572*100</f>
        <v>71.68458781362007</v>
      </c>
      <c r="AD1572" s="292">
        <f t="shared" ref="AD1572:AD1590" si="462">AB1572/L1572*100</f>
        <v>49.099415687740198</v>
      </c>
      <c r="AE1572" s="2558" t="s">
        <v>126</v>
      </c>
      <c r="AF1572" s="201"/>
      <c r="AG1572" s="201"/>
      <c r="AH1572" s="750"/>
      <c r="AI1572" s="750"/>
      <c r="AJ1572" s="750"/>
      <c r="AK1572" s="750"/>
      <c r="AL1572" s="750"/>
      <c r="AM1572" s="750"/>
      <c r="AN1572" s="750"/>
      <c r="AO1572" s="750"/>
      <c r="AP1572" s="750"/>
      <c r="AQ1572" s="750"/>
      <c r="AR1572" s="750"/>
      <c r="AS1572" s="750"/>
      <c r="AT1572" s="750"/>
      <c r="AU1572" s="750"/>
      <c r="AV1572" s="750"/>
      <c r="AW1572" s="750"/>
      <c r="AX1572" s="750"/>
      <c r="AY1572" s="750"/>
      <c r="AZ1572" s="750"/>
      <c r="BA1572" s="750"/>
      <c r="BB1572" s="750"/>
    </row>
    <row r="1573" spans="1:70" s="1288" customFormat="1" ht="66">
      <c r="A1573" s="1198"/>
      <c r="B1573" s="26"/>
      <c r="C1573" s="1201" t="s">
        <v>29</v>
      </c>
      <c r="D1573" s="606">
        <v>1</v>
      </c>
      <c r="E1573" s="1201" t="s">
        <v>28</v>
      </c>
      <c r="F1573" s="606">
        <v>11</v>
      </c>
      <c r="G1573" s="606">
        <v>16</v>
      </c>
      <c r="H1573" s="1201"/>
      <c r="I1573" s="25" t="s">
        <v>1389</v>
      </c>
      <c r="J1573" s="25" t="s">
        <v>1390</v>
      </c>
      <c r="K1573" s="236">
        <v>1</v>
      </c>
      <c r="L1573" s="237">
        <v>75000000</v>
      </c>
      <c r="M1573" s="237">
        <v>0</v>
      </c>
      <c r="N1573" s="236">
        <v>0</v>
      </c>
      <c r="O1573" s="237">
        <v>1</v>
      </c>
      <c r="P1573" s="238">
        <v>18123000</v>
      </c>
      <c r="Q1573" s="237"/>
      <c r="R1573" s="25">
        <v>6605000</v>
      </c>
      <c r="S1573" s="26"/>
      <c r="T1573" s="26">
        <v>6306000</v>
      </c>
      <c r="U1573" s="26"/>
      <c r="V1573" s="26"/>
      <c r="W1573" s="26"/>
      <c r="X1573" s="26"/>
      <c r="Y1573" s="237"/>
      <c r="Z1573" s="1199">
        <f>SUM(R1573+T1573)</f>
        <v>12911000</v>
      </c>
      <c r="AA1573" s="238">
        <f t="shared" si="459"/>
        <v>0</v>
      </c>
      <c r="AB1573" s="26">
        <f t="shared" si="460"/>
        <v>12911000</v>
      </c>
      <c r="AC1573" s="499">
        <f t="shared" si="461"/>
        <v>0</v>
      </c>
      <c r="AD1573" s="1290">
        <f t="shared" si="462"/>
        <v>17.214666666666666</v>
      </c>
      <c r="AE1573" s="513"/>
      <c r="AF1573" s="200"/>
      <c r="AG1573" s="200"/>
      <c r="AH1573" s="1287"/>
      <c r="AI1573" s="1287"/>
      <c r="AJ1573" s="1287"/>
      <c r="AK1573" s="1287"/>
      <c r="AL1573" s="1287"/>
      <c r="AM1573" s="1287"/>
      <c r="AN1573" s="1287"/>
      <c r="AO1573" s="1287"/>
      <c r="AP1573" s="1287"/>
      <c r="AQ1573" s="1287"/>
      <c r="AR1573" s="1287"/>
      <c r="AS1573" s="1287"/>
      <c r="AT1573" s="1287"/>
      <c r="AU1573" s="1287"/>
      <c r="AV1573" s="1287"/>
      <c r="AW1573" s="1287"/>
      <c r="AX1573" s="1287"/>
      <c r="AY1573" s="1287"/>
      <c r="AZ1573" s="1287"/>
      <c r="BA1573" s="1287"/>
      <c r="BB1573" s="1287"/>
    </row>
    <row r="1574" spans="1:70" s="1288" customFormat="1" ht="66">
      <c r="A1574" s="1200"/>
      <c r="B1574" s="99"/>
      <c r="C1574" s="1201" t="s">
        <v>29</v>
      </c>
      <c r="D1574" s="606">
        <v>1</v>
      </c>
      <c r="E1574" s="1201" t="s">
        <v>28</v>
      </c>
      <c r="F1574" s="606">
        <v>11</v>
      </c>
      <c r="G1574" s="606">
        <v>16</v>
      </c>
      <c r="H1574" s="1201" t="s">
        <v>43</v>
      </c>
      <c r="I1574" s="99" t="s">
        <v>1391</v>
      </c>
      <c r="J1574" s="99" t="s">
        <v>1392</v>
      </c>
      <c r="K1574" s="203">
        <v>100</v>
      </c>
      <c r="L1574" s="203">
        <v>120000000</v>
      </c>
      <c r="M1574" s="125">
        <v>30</v>
      </c>
      <c r="N1574" s="203">
        <v>66425900</v>
      </c>
      <c r="O1574" s="125">
        <v>40</v>
      </c>
      <c r="P1574" s="125">
        <v>45407000</v>
      </c>
      <c r="Q1574" s="125"/>
      <c r="R1574" s="99">
        <v>0</v>
      </c>
      <c r="S1574" s="99"/>
      <c r="T1574" s="99">
        <v>12600000</v>
      </c>
      <c r="U1574" s="99"/>
      <c r="V1574" s="99"/>
      <c r="W1574" s="99"/>
      <c r="X1574" s="99"/>
      <c r="Y1574" s="125">
        <f t="shared" ref="Y1574:Z1576" si="463">Q1574+S1574+U1574+W1574</f>
        <v>0</v>
      </c>
      <c r="Z1574" s="99">
        <f t="shared" si="463"/>
        <v>12600000</v>
      </c>
      <c r="AA1574" s="125">
        <f t="shared" si="459"/>
        <v>30</v>
      </c>
      <c r="AB1574" s="214">
        <f t="shared" si="460"/>
        <v>79025900</v>
      </c>
      <c r="AC1574" s="1289">
        <f t="shared" si="461"/>
        <v>30</v>
      </c>
      <c r="AD1574" s="806">
        <f t="shared" si="462"/>
        <v>65.854916666666668</v>
      </c>
      <c r="AE1574" s="1119"/>
      <c r="AF1574" s="200"/>
      <c r="AG1574" s="200"/>
      <c r="AH1574" s="1287"/>
      <c r="AI1574" s="1287"/>
      <c r="AJ1574" s="1287"/>
      <c r="AK1574" s="1287"/>
      <c r="AL1574" s="1287"/>
      <c r="AM1574" s="1287"/>
      <c r="AN1574" s="1287"/>
      <c r="AO1574" s="1287"/>
      <c r="AP1574" s="1287"/>
      <c r="AQ1574" s="1287"/>
      <c r="AR1574" s="1287"/>
      <c r="AS1574" s="1287"/>
      <c r="AT1574" s="1287"/>
      <c r="AU1574" s="1287"/>
      <c r="AV1574" s="1287"/>
      <c r="AW1574" s="1287"/>
      <c r="AX1574" s="1287"/>
      <c r="AY1574" s="1287"/>
      <c r="AZ1574" s="1287"/>
      <c r="BA1574" s="1287"/>
      <c r="BB1574" s="1287"/>
    </row>
    <row r="1575" spans="1:70" s="1288" customFormat="1" ht="28.5" customHeight="1">
      <c r="A1575" s="1200"/>
      <c r="B1575" s="99"/>
      <c r="C1575" s="1201" t="s">
        <v>29</v>
      </c>
      <c r="D1575" s="606">
        <v>1</v>
      </c>
      <c r="E1575" s="1201" t="s">
        <v>28</v>
      </c>
      <c r="F1575" s="606">
        <v>11</v>
      </c>
      <c r="G1575" s="606">
        <v>16</v>
      </c>
      <c r="H1575" s="606">
        <v>10</v>
      </c>
      <c r="I1575" s="99" t="s">
        <v>1393</v>
      </c>
      <c r="J1575" s="99" t="s">
        <v>1394</v>
      </c>
      <c r="K1575" s="203">
        <v>6</v>
      </c>
      <c r="L1575" s="203">
        <v>366210000</v>
      </c>
      <c r="M1575" s="125">
        <v>3</v>
      </c>
      <c r="N1575" s="203">
        <v>149200520</v>
      </c>
      <c r="O1575" s="125">
        <v>1</v>
      </c>
      <c r="P1575" s="125">
        <v>73481000</v>
      </c>
      <c r="Q1575" s="125">
        <v>0</v>
      </c>
      <c r="R1575" s="99">
        <v>14742000</v>
      </c>
      <c r="S1575" s="99"/>
      <c r="T1575" s="99">
        <v>20060000</v>
      </c>
      <c r="U1575" s="99"/>
      <c r="V1575" s="99"/>
      <c r="W1575" s="99"/>
      <c r="X1575" s="99"/>
      <c r="Y1575" s="125">
        <f t="shared" si="463"/>
        <v>0</v>
      </c>
      <c r="Z1575" s="99">
        <f t="shared" si="463"/>
        <v>34802000</v>
      </c>
      <c r="AA1575" s="125">
        <f t="shared" si="459"/>
        <v>3</v>
      </c>
      <c r="AB1575" s="214">
        <f t="shared" si="460"/>
        <v>184002520</v>
      </c>
      <c r="AC1575" s="1289">
        <f t="shared" si="461"/>
        <v>50</v>
      </c>
      <c r="AD1575" s="806">
        <f t="shared" si="462"/>
        <v>50.245083422080228</v>
      </c>
      <c r="AE1575" s="1119"/>
      <c r="AF1575" s="200"/>
      <c r="AG1575" s="200"/>
      <c r="AH1575" s="1287"/>
      <c r="AI1575" s="1287"/>
      <c r="AJ1575" s="1287"/>
      <c r="AK1575" s="1287"/>
      <c r="AL1575" s="1287"/>
      <c r="AM1575" s="1287"/>
      <c r="AN1575" s="1287"/>
      <c r="AO1575" s="1287"/>
      <c r="AP1575" s="1287"/>
      <c r="AQ1575" s="1287"/>
      <c r="AR1575" s="1287"/>
      <c r="AS1575" s="1287"/>
      <c r="AT1575" s="1287"/>
      <c r="AU1575" s="1287"/>
      <c r="AV1575" s="1287"/>
      <c r="AW1575" s="1287"/>
      <c r="AX1575" s="1287"/>
      <c r="AY1575" s="1287"/>
      <c r="AZ1575" s="1287"/>
      <c r="BA1575" s="1287"/>
      <c r="BB1575" s="1287"/>
    </row>
    <row r="1576" spans="1:70" s="1288" customFormat="1" ht="49.5">
      <c r="A1576" s="1200"/>
      <c r="B1576" s="99"/>
      <c r="C1576" s="1201" t="s">
        <v>29</v>
      </c>
      <c r="D1576" s="606">
        <v>1</v>
      </c>
      <c r="E1576" s="1201" t="s">
        <v>28</v>
      </c>
      <c r="F1576" s="606">
        <v>11</v>
      </c>
      <c r="G1576" s="606">
        <v>16</v>
      </c>
      <c r="H1576" s="606">
        <v>15</v>
      </c>
      <c r="I1576" s="99" t="s">
        <v>1395</v>
      </c>
      <c r="J1576" s="99" t="s">
        <v>3158</v>
      </c>
      <c r="K1576" s="203">
        <v>72</v>
      </c>
      <c r="L1576" s="203">
        <v>2143803000</v>
      </c>
      <c r="M1576" s="125">
        <v>36</v>
      </c>
      <c r="N1576" s="203">
        <v>1452669829</v>
      </c>
      <c r="O1576" s="125">
        <v>12</v>
      </c>
      <c r="P1576" s="125">
        <v>365600000</v>
      </c>
      <c r="Q1576" s="125">
        <v>3</v>
      </c>
      <c r="R1576" s="99">
        <v>4382000</v>
      </c>
      <c r="S1576" s="99">
        <v>3</v>
      </c>
      <c r="T1576" s="99">
        <v>110855894</v>
      </c>
      <c r="U1576" s="99"/>
      <c r="V1576" s="99"/>
      <c r="W1576" s="99"/>
      <c r="X1576" s="99"/>
      <c r="Y1576" s="125">
        <f t="shared" si="463"/>
        <v>6</v>
      </c>
      <c r="Z1576" s="99">
        <f t="shared" si="463"/>
        <v>115237894</v>
      </c>
      <c r="AA1576" s="125">
        <f t="shared" si="459"/>
        <v>42</v>
      </c>
      <c r="AB1576" s="214">
        <f t="shared" si="460"/>
        <v>1567907723</v>
      </c>
      <c r="AC1576" s="1289">
        <f t="shared" si="461"/>
        <v>58.333333333333336</v>
      </c>
      <c r="AD1576" s="806">
        <f t="shared" si="462"/>
        <v>73.136744514304723</v>
      </c>
      <c r="AE1576" s="1119"/>
      <c r="AF1576" s="200"/>
      <c r="AG1576" s="200"/>
      <c r="AH1576" s="1287"/>
      <c r="AI1576" s="1287"/>
      <c r="AJ1576" s="1287"/>
      <c r="AK1576" s="1287"/>
      <c r="AL1576" s="1287"/>
      <c r="AM1576" s="1287"/>
      <c r="AN1576" s="1287"/>
      <c r="AO1576" s="1287"/>
      <c r="AP1576" s="1287"/>
      <c r="AQ1576" s="1287"/>
      <c r="AR1576" s="1287"/>
      <c r="AS1576" s="1287"/>
      <c r="AT1576" s="1287"/>
      <c r="AU1576" s="1287"/>
      <c r="AV1576" s="1287"/>
      <c r="AW1576" s="1287"/>
      <c r="AX1576" s="1287"/>
      <c r="AY1576" s="1287"/>
      <c r="AZ1576" s="1287"/>
      <c r="BA1576" s="1287"/>
      <c r="BB1576" s="1287"/>
    </row>
    <row r="1577" spans="1:70" s="1288" customFormat="1" ht="33">
      <c r="A1577" s="1200"/>
      <c r="B1577" s="99"/>
      <c r="C1577" s="1201"/>
      <c r="D1577" s="606"/>
      <c r="E1577" s="1201"/>
      <c r="F1577" s="606"/>
      <c r="G1577" s="606"/>
      <c r="H1577" s="606"/>
      <c r="I1577" s="99" t="s">
        <v>1396</v>
      </c>
      <c r="J1577" s="99" t="s">
        <v>1397</v>
      </c>
      <c r="K1577" s="203">
        <v>400</v>
      </c>
      <c r="L1577" s="203">
        <v>420000000</v>
      </c>
      <c r="M1577" s="125"/>
      <c r="N1577" s="203"/>
      <c r="O1577" s="125">
        <v>100</v>
      </c>
      <c r="P1577" s="125">
        <v>52671000</v>
      </c>
      <c r="Q1577" s="125">
        <v>10</v>
      </c>
      <c r="R1577" s="99">
        <v>2300000</v>
      </c>
      <c r="S1577" s="99">
        <v>20</v>
      </c>
      <c r="T1577" s="99">
        <v>14605000</v>
      </c>
      <c r="U1577" s="99"/>
      <c r="V1577" s="99"/>
      <c r="W1577" s="99"/>
      <c r="X1577" s="99"/>
      <c r="Y1577" s="125"/>
      <c r="Z1577" s="99">
        <f>R1577+T1577+V1577+X1577</f>
        <v>16905000</v>
      </c>
      <c r="AA1577" s="125">
        <f t="shared" si="459"/>
        <v>0</v>
      </c>
      <c r="AB1577" s="214">
        <f t="shared" si="460"/>
        <v>16905000</v>
      </c>
      <c r="AC1577" s="1289">
        <f t="shared" si="461"/>
        <v>0</v>
      </c>
      <c r="AD1577" s="806">
        <f t="shared" si="462"/>
        <v>4.0250000000000004</v>
      </c>
      <c r="AE1577" s="1119"/>
      <c r="AF1577" s="200"/>
      <c r="AG1577" s="200"/>
      <c r="AH1577" s="1287"/>
      <c r="AI1577" s="1287"/>
      <c r="AJ1577" s="1287"/>
      <c r="AK1577" s="1287"/>
      <c r="AL1577" s="1287"/>
      <c r="AM1577" s="1287"/>
      <c r="AN1577" s="1287"/>
      <c r="AO1577" s="1287"/>
      <c r="AP1577" s="1287"/>
      <c r="AQ1577" s="1287"/>
      <c r="AR1577" s="1287"/>
      <c r="AS1577" s="1287"/>
      <c r="AT1577" s="1287"/>
      <c r="AU1577" s="1287"/>
      <c r="AV1577" s="1287"/>
      <c r="AW1577" s="1287"/>
      <c r="AX1577" s="1287"/>
      <c r="AY1577" s="1287"/>
      <c r="AZ1577" s="1287"/>
      <c r="BA1577" s="1287"/>
      <c r="BB1577" s="1287"/>
    </row>
    <row r="1578" spans="1:70" s="1288" customFormat="1" ht="54" customHeight="1">
      <c r="A1578" s="1200"/>
      <c r="B1578" s="99"/>
      <c r="C1578" s="1201" t="s">
        <v>29</v>
      </c>
      <c r="D1578" s="606">
        <v>1</v>
      </c>
      <c r="E1578" s="1201" t="s">
        <v>28</v>
      </c>
      <c r="F1578" s="606">
        <v>11</v>
      </c>
      <c r="G1578" s="606">
        <v>16</v>
      </c>
      <c r="H1578" s="606">
        <v>20</v>
      </c>
      <c r="I1578" s="99" t="s">
        <v>1398</v>
      </c>
      <c r="J1578" s="99" t="s">
        <v>3159</v>
      </c>
      <c r="K1578" s="203">
        <v>1</v>
      </c>
      <c r="L1578" s="203">
        <f>N1578</f>
        <v>148889750</v>
      </c>
      <c r="M1578" s="125">
        <v>1</v>
      </c>
      <c r="N1578" s="203">
        <v>148889750</v>
      </c>
      <c r="O1578" s="125">
        <v>0</v>
      </c>
      <c r="P1578" s="125">
        <v>0</v>
      </c>
      <c r="Q1578" s="125">
        <v>0</v>
      </c>
      <c r="R1578" s="99">
        <v>0</v>
      </c>
      <c r="S1578" s="99"/>
      <c r="T1578" s="99"/>
      <c r="U1578" s="99"/>
      <c r="V1578" s="99"/>
      <c r="W1578" s="99"/>
      <c r="X1578" s="99"/>
      <c r="Y1578" s="125">
        <f>Q1578+S1578+U1578+W1578</f>
        <v>0</v>
      </c>
      <c r="Z1578" s="99">
        <f>R1578+T1578+V1578+X1578</f>
        <v>0</v>
      </c>
      <c r="AA1578" s="125">
        <f t="shared" si="459"/>
        <v>1</v>
      </c>
      <c r="AB1578" s="214">
        <f t="shared" si="460"/>
        <v>148889750</v>
      </c>
      <c r="AC1578" s="1289">
        <f t="shared" si="461"/>
        <v>100</v>
      </c>
      <c r="AD1578" s="806">
        <f t="shared" si="462"/>
        <v>100</v>
      </c>
      <c r="AE1578" s="1119"/>
      <c r="AF1578" s="200"/>
      <c r="AG1578" s="200"/>
      <c r="AH1578" s="1287"/>
      <c r="AI1578" s="1287"/>
      <c r="AJ1578" s="1287"/>
      <c r="AK1578" s="1287"/>
      <c r="AL1578" s="1287"/>
      <c r="AM1578" s="1287"/>
      <c r="AN1578" s="1287"/>
      <c r="AO1578" s="1287"/>
      <c r="AP1578" s="1287"/>
      <c r="AQ1578" s="1287"/>
      <c r="AR1578" s="1287"/>
      <c r="AS1578" s="1287"/>
      <c r="AT1578" s="1287"/>
      <c r="AU1578" s="1287"/>
      <c r="AV1578" s="1287"/>
      <c r="AW1578" s="1287"/>
      <c r="AX1578" s="1287"/>
      <c r="AY1578" s="1287"/>
      <c r="AZ1578" s="1287"/>
      <c r="BA1578" s="1287"/>
      <c r="BB1578" s="1287"/>
    </row>
    <row r="1579" spans="1:70" s="1288" customFormat="1" ht="49.5">
      <c r="A1579" s="1200" t="s">
        <v>46</v>
      </c>
      <c r="B1579" s="99"/>
      <c r="C1579" s="1201" t="s">
        <v>29</v>
      </c>
      <c r="D1579" s="606">
        <v>1</v>
      </c>
      <c r="E1579" s="1201" t="s">
        <v>28</v>
      </c>
      <c r="F1579" s="606">
        <v>11</v>
      </c>
      <c r="G1579" s="606">
        <v>16</v>
      </c>
      <c r="H1579" s="606">
        <v>22</v>
      </c>
      <c r="I1579" s="232" t="s">
        <v>1399</v>
      </c>
      <c r="J1579" s="99" t="s">
        <v>1400</v>
      </c>
      <c r="K1579" s="203">
        <v>125</v>
      </c>
      <c r="L1579" s="203">
        <v>575000000</v>
      </c>
      <c r="M1579" s="125">
        <v>25</v>
      </c>
      <c r="N1579" s="203">
        <v>71578800</v>
      </c>
      <c r="O1579" s="125">
        <v>0</v>
      </c>
      <c r="P1579" s="125">
        <v>0</v>
      </c>
      <c r="Q1579" s="125">
        <v>0</v>
      </c>
      <c r="R1579" s="99">
        <v>0</v>
      </c>
      <c r="S1579" s="99"/>
      <c r="T1579" s="99"/>
      <c r="U1579" s="99"/>
      <c r="V1579" s="99"/>
      <c r="W1579" s="99"/>
      <c r="X1579" s="99"/>
      <c r="Y1579" s="125">
        <f>Q1579+S1579+U1579+W1579</f>
        <v>0</v>
      </c>
      <c r="Z1579" s="99">
        <f>R1579+T1579+V1579+X1579</f>
        <v>0</v>
      </c>
      <c r="AA1579" s="125">
        <f t="shared" si="459"/>
        <v>25</v>
      </c>
      <c r="AB1579" s="214">
        <f t="shared" si="460"/>
        <v>71578800</v>
      </c>
      <c r="AC1579" s="1289">
        <f t="shared" si="461"/>
        <v>20</v>
      </c>
      <c r="AD1579" s="806">
        <f t="shared" si="462"/>
        <v>12.448486956521739</v>
      </c>
      <c r="AE1579" s="1119"/>
      <c r="AF1579" s="200"/>
      <c r="AG1579" s="200"/>
      <c r="AH1579" s="1287"/>
      <c r="AI1579" s="1287"/>
      <c r="AJ1579" s="1287"/>
      <c r="AK1579" s="1287"/>
      <c r="AL1579" s="1287"/>
      <c r="AM1579" s="1287"/>
      <c r="AN1579" s="1287"/>
      <c r="AO1579" s="1287"/>
      <c r="AP1579" s="1287"/>
      <c r="AQ1579" s="1287"/>
      <c r="AR1579" s="1287"/>
      <c r="AS1579" s="1287"/>
      <c r="AT1579" s="1287"/>
      <c r="AU1579" s="1287"/>
      <c r="AV1579" s="1287"/>
      <c r="AW1579" s="1287"/>
      <c r="AX1579" s="1287"/>
      <c r="AY1579" s="1287"/>
      <c r="AZ1579" s="1287"/>
      <c r="BA1579" s="1287"/>
      <c r="BB1579" s="1287"/>
    </row>
    <row r="1580" spans="1:70" s="1288" customFormat="1" ht="40.5" customHeight="1">
      <c r="A1580" s="1200" t="s">
        <v>46</v>
      </c>
      <c r="B1580" s="99"/>
      <c r="C1580" s="1201" t="s">
        <v>29</v>
      </c>
      <c r="D1580" s="606">
        <v>1</v>
      </c>
      <c r="E1580" s="1201" t="s">
        <v>28</v>
      </c>
      <c r="F1580" s="606">
        <v>11</v>
      </c>
      <c r="G1580" s="606">
        <v>16</v>
      </c>
      <c r="H1580" s="606">
        <v>24</v>
      </c>
      <c r="I1580" s="99" t="s">
        <v>1401</v>
      </c>
      <c r="J1580" s="99" t="s">
        <v>1402</v>
      </c>
      <c r="K1580" s="203">
        <v>250</v>
      </c>
      <c r="L1580" s="203">
        <v>600000000</v>
      </c>
      <c r="M1580" s="125">
        <v>40</v>
      </c>
      <c r="N1580" s="203">
        <v>96156000</v>
      </c>
      <c r="O1580" s="125">
        <v>0</v>
      </c>
      <c r="P1580" s="125">
        <v>0</v>
      </c>
      <c r="Q1580" s="125">
        <v>0</v>
      </c>
      <c r="R1580" s="99">
        <v>0</v>
      </c>
      <c r="S1580" s="99"/>
      <c r="T1580" s="99"/>
      <c r="U1580" s="99"/>
      <c r="V1580" s="99"/>
      <c r="W1580" s="99"/>
      <c r="X1580" s="99"/>
      <c r="Y1580" s="125">
        <f>Q1580+S1580+U1580+W1580</f>
        <v>0</v>
      </c>
      <c r="Z1580" s="99">
        <f>R1580+T1580+V1580+X1580</f>
        <v>0</v>
      </c>
      <c r="AA1580" s="125">
        <f t="shared" si="459"/>
        <v>40</v>
      </c>
      <c r="AB1580" s="214">
        <f t="shared" si="460"/>
        <v>96156000</v>
      </c>
      <c r="AC1580" s="1289">
        <f t="shared" si="461"/>
        <v>16</v>
      </c>
      <c r="AD1580" s="806">
        <f t="shared" si="462"/>
        <v>16.026</v>
      </c>
      <c r="AE1580" s="1119"/>
      <c r="AF1580" s="200"/>
      <c r="AG1580" s="200"/>
      <c r="AH1580" s="1287"/>
      <c r="AI1580" s="1287"/>
      <c r="AJ1580" s="1287"/>
      <c r="AK1580" s="1287"/>
      <c r="AL1580" s="1287"/>
      <c r="AM1580" s="1287"/>
      <c r="AN1580" s="1287"/>
      <c r="AO1580" s="1287"/>
      <c r="AP1580" s="1287"/>
      <c r="AQ1580" s="1287"/>
      <c r="AR1580" s="1287"/>
      <c r="AS1580" s="1287"/>
      <c r="AT1580" s="1287"/>
      <c r="AU1580" s="1287"/>
      <c r="AV1580" s="1287"/>
      <c r="AW1580" s="1287"/>
      <c r="AX1580" s="1287"/>
      <c r="AY1580" s="1287"/>
      <c r="AZ1580" s="1287"/>
      <c r="BA1580" s="1287"/>
      <c r="BB1580" s="1287"/>
    </row>
    <row r="1581" spans="1:70" s="16" customFormat="1" ht="82.5">
      <c r="A1581" s="2547">
        <v>2</v>
      </c>
      <c r="B1581" s="159"/>
      <c r="C1581" s="1197" t="s">
        <v>29</v>
      </c>
      <c r="D1581" s="547">
        <v>1</v>
      </c>
      <c r="E1581" s="1197" t="s">
        <v>28</v>
      </c>
      <c r="F1581" s="547">
        <v>11</v>
      </c>
      <c r="G1581" s="547">
        <v>19</v>
      </c>
      <c r="H1581" s="547"/>
      <c r="I1581" s="159" t="s">
        <v>1403</v>
      </c>
      <c r="J1581" s="159" t="s">
        <v>1404</v>
      </c>
      <c r="K1581" s="222">
        <v>60</v>
      </c>
      <c r="L1581" s="230">
        <f t="shared" ref="L1581:X1581" si="464">L1582</f>
        <v>570000000</v>
      </c>
      <c r="M1581" s="230">
        <f t="shared" si="464"/>
        <v>0</v>
      </c>
      <c r="N1581" s="222">
        <f t="shared" si="464"/>
        <v>0</v>
      </c>
      <c r="O1581" s="230">
        <f t="shared" si="464"/>
        <v>30</v>
      </c>
      <c r="P1581" s="230">
        <f t="shared" si="464"/>
        <v>127345000</v>
      </c>
      <c r="Q1581" s="230">
        <f t="shared" si="464"/>
        <v>0</v>
      </c>
      <c r="R1581" s="230">
        <f t="shared" si="464"/>
        <v>10392000</v>
      </c>
      <c r="S1581" s="230">
        <f t="shared" si="464"/>
        <v>0</v>
      </c>
      <c r="T1581" s="230">
        <f t="shared" si="464"/>
        <v>2570000</v>
      </c>
      <c r="U1581" s="230">
        <f t="shared" si="464"/>
        <v>0</v>
      </c>
      <c r="V1581" s="230">
        <f t="shared" si="464"/>
        <v>0</v>
      </c>
      <c r="W1581" s="230">
        <f t="shared" si="464"/>
        <v>0</v>
      </c>
      <c r="X1581" s="230">
        <f t="shared" si="464"/>
        <v>0</v>
      </c>
      <c r="Y1581" s="230">
        <f>Q1581+S1581+U1581+W1581</f>
        <v>0</v>
      </c>
      <c r="Z1581" s="230">
        <f>Z1582</f>
        <v>12962000</v>
      </c>
      <c r="AA1581" s="230">
        <f>AA1582</f>
        <v>0</v>
      </c>
      <c r="AB1581" s="230">
        <f>AB1582</f>
        <v>12962000</v>
      </c>
      <c r="AC1581" s="148">
        <f t="shared" si="461"/>
        <v>0</v>
      </c>
      <c r="AD1581" s="292">
        <f t="shared" si="462"/>
        <v>2.2740350877192981</v>
      </c>
      <c r="AE1581" s="2558" t="s">
        <v>126</v>
      </c>
      <c r="AF1581" s="201"/>
      <c r="AG1581" s="977"/>
      <c r="AH1581" s="201"/>
      <c r="AI1581" s="201"/>
      <c r="AJ1581" s="201"/>
      <c r="AK1581" s="201"/>
      <c r="AL1581" s="201"/>
      <c r="AM1581" s="201"/>
      <c r="AN1581" s="201"/>
      <c r="AO1581" s="201"/>
      <c r="AP1581" s="201"/>
      <c r="AQ1581" s="201"/>
      <c r="AR1581" s="201"/>
      <c r="AS1581" s="201"/>
      <c r="AT1581" s="201"/>
      <c r="AU1581" s="201"/>
      <c r="AV1581" s="201"/>
      <c r="AW1581" s="201"/>
      <c r="AX1581" s="201"/>
      <c r="AY1581" s="201"/>
      <c r="AZ1581" s="201"/>
      <c r="BA1581" s="201"/>
      <c r="BB1581" s="201"/>
      <c r="BC1581" s="20"/>
      <c r="BD1581" s="20"/>
      <c r="BE1581" s="20"/>
      <c r="BF1581" s="20"/>
      <c r="BG1581" s="20"/>
      <c r="BH1581" s="20"/>
      <c r="BI1581" s="20"/>
      <c r="BJ1581" s="20"/>
      <c r="BK1581" s="20"/>
      <c r="BL1581" s="20"/>
      <c r="BM1581" s="20"/>
      <c r="BN1581" s="20"/>
      <c r="BO1581" s="20"/>
      <c r="BP1581" s="20"/>
      <c r="BQ1581" s="20"/>
      <c r="BR1581" s="20"/>
    </row>
    <row r="1582" spans="1:70" ht="115.5">
      <c r="A1582" s="1200" t="s">
        <v>46</v>
      </c>
      <c r="B1582" s="99"/>
      <c r="C1582" s="1201" t="s">
        <v>29</v>
      </c>
      <c r="D1582" s="606">
        <v>1</v>
      </c>
      <c r="E1582" s="1201" t="s">
        <v>28</v>
      </c>
      <c r="F1582" s="606">
        <v>11</v>
      </c>
      <c r="G1582" s="606">
        <v>19</v>
      </c>
      <c r="H1582" s="606">
        <v>5</v>
      </c>
      <c r="I1582" s="232" t="s">
        <v>1405</v>
      </c>
      <c r="J1582" s="232" t="s">
        <v>3160</v>
      </c>
      <c r="K1582" s="203">
        <v>60</v>
      </c>
      <c r="L1582" s="203">
        <v>570000000</v>
      </c>
      <c r="M1582" s="125">
        <v>0</v>
      </c>
      <c r="N1582" s="203">
        <v>0</v>
      </c>
      <c r="O1582" s="125">
        <v>30</v>
      </c>
      <c r="P1582" s="125">
        <v>127345000</v>
      </c>
      <c r="Q1582" s="125"/>
      <c r="R1582" s="99">
        <v>10392000</v>
      </c>
      <c r="S1582" s="99"/>
      <c r="T1582" s="99">
        <v>2570000</v>
      </c>
      <c r="U1582" s="99"/>
      <c r="V1582" s="99"/>
      <c r="W1582" s="99"/>
      <c r="X1582" s="99"/>
      <c r="Y1582" s="125">
        <f>Q1582+S1582+U1582+W1582</f>
        <v>0</v>
      </c>
      <c r="Z1582" s="99">
        <f>R1582+T1582+V1582+X1582</f>
        <v>12962000</v>
      </c>
      <c r="AA1582" s="125">
        <f t="shared" ref="AA1582:AA1590" si="465">M1582+Y1582</f>
        <v>0</v>
      </c>
      <c r="AB1582" s="214">
        <f t="shared" ref="AB1582:AB1590" si="466">N1582+Z1582</f>
        <v>12962000</v>
      </c>
      <c r="AC1582" s="1289">
        <f t="shared" si="461"/>
        <v>0</v>
      </c>
      <c r="AD1582" s="806">
        <f t="shared" si="462"/>
        <v>2.2740350877192981</v>
      </c>
      <c r="AE1582" s="1119"/>
      <c r="AF1582" s="750"/>
      <c r="AG1582" s="971"/>
    </row>
    <row r="1583" spans="1:70" s="16" customFormat="1" ht="99">
      <c r="A1583" s="2547">
        <v>3</v>
      </c>
      <c r="B1583" s="159"/>
      <c r="C1583" s="1197" t="s">
        <v>29</v>
      </c>
      <c r="D1583" s="547">
        <v>1</v>
      </c>
      <c r="E1583" s="1197" t="s">
        <v>28</v>
      </c>
      <c r="F1583" s="547">
        <v>11</v>
      </c>
      <c r="G1583" s="547">
        <v>19</v>
      </c>
      <c r="H1583" s="547"/>
      <c r="I1583" s="159" t="s">
        <v>3162</v>
      </c>
      <c r="J1583" s="159" t="s">
        <v>3161</v>
      </c>
      <c r="K1583" s="222">
        <v>20</v>
      </c>
      <c r="L1583" s="222">
        <f t="shared" ref="L1583:Z1583" si="467">L1584</f>
        <v>1470000000</v>
      </c>
      <c r="M1583" s="222">
        <v>10</v>
      </c>
      <c r="N1583" s="222">
        <f t="shared" si="467"/>
        <v>0</v>
      </c>
      <c r="O1583" s="222">
        <v>2</v>
      </c>
      <c r="P1583" s="222">
        <f t="shared" si="467"/>
        <v>183563000</v>
      </c>
      <c r="Q1583" s="222">
        <f t="shared" si="467"/>
        <v>0</v>
      </c>
      <c r="R1583" s="222">
        <f t="shared" si="467"/>
        <v>0</v>
      </c>
      <c r="S1583" s="222">
        <f t="shared" si="467"/>
        <v>20</v>
      </c>
      <c r="T1583" s="222">
        <f t="shared" si="467"/>
        <v>72145000</v>
      </c>
      <c r="U1583" s="222">
        <f t="shared" si="467"/>
        <v>0</v>
      </c>
      <c r="V1583" s="222">
        <f t="shared" si="467"/>
        <v>0</v>
      </c>
      <c r="W1583" s="222">
        <f t="shared" si="467"/>
        <v>0</v>
      </c>
      <c r="X1583" s="222">
        <f t="shared" si="467"/>
        <v>0</v>
      </c>
      <c r="Y1583" s="222">
        <f t="shared" si="467"/>
        <v>20</v>
      </c>
      <c r="Z1583" s="222">
        <f t="shared" si="467"/>
        <v>72145000</v>
      </c>
      <c r="AA1583" s="230">
        <f t="shared" si="465"/>
        <v>30</v>
      </c>
      <c r="AB1583" s="159">
        <f t="shared" si="466"/>
        <v>72145000</v>
      </c>
      <c r="AC1583" s="148">
        <f t="shared" si="461"/>
        <v>150</v>
      </c>
      <c r="AD1583" s="292">
        <f t="shared" si="462"/>
        <v>4.9078231292517005</v>
      </c>
      <c r="AE1583" s="2558" t="s">
        <v>126</v>
      </c>
      <c r="AF1583" s="201"/>
      <c r="AG1583" s="977"/>
      <c r="AH1583" s="201"/>
      <c r="AI1583" s="201"/>
      <c r="AJ1583" s="201"/>
      <c r="AK1583" s="201"/>
      <c r="AL1583" s="201"/>
      <c r="AM1583" s="201"/>
      <c r="AN1583" s="201"/>
      <c r="AO1583" s="201"/>
      <c r="AP1583" s="201"/>
      <c r="AQ1583" s="201"/>
      <c r="AR1583" s="201"/>
      <c r="AS1583" s="201"/>
      <c r="AT1583" s="201"/>
      <c r="AU1583" s="201"/>
      <c r="AV1583" s="201"/>
      <c r="AW1583" s="201"/>
      <c r="AX1583" s="201"/>
      <c r="AY1583" s="201"/>
      <c r="AZ1583" s="201"/>
      <c r="BA1583" s="201"/>
      <c r="BB1583" s="201"/>
      <c r="BC1583" s="20"/>
      <c r="BD1583" s="20"/>
      <c r="BE1583" s="20"/>
      <c r="BF1583" s="20"/>
      <c r="BG1583" s="20"/>
      <c r="BH1583" s="20"/>
      <c r="BI1583" s="20"/>
      <c r="BJ1583" s="20"/>
      <c r="BK1583" s="20"/>
      <c r="BL1583" s="20"/>
      <c r="BM1583" s="20"/>
      <c r="BN1583" s="20"/>
      <c r="BO1583" s="20"/>
      <c r="BP1583" s="20"/>
      <c r="BQ1583" s="20"/>
      <c r="BR1583" s="20"/>
    </row>
    <row r="1584" spans="1:70" ht="82.5">
      <c r="A1584" s="1200" t="s">
        <v>46</v>
      </c>
      <c r="B1584" s="99"/>
      <c r="C1584" s="1201" t="s">
        <v>29</v>
      </c>
      <c r="D1584" s="606">
        <v>1</v>
      </c>
      <c r="E1584" s="1201" t="s">
        <v>28</v>
      </c>
      <c r="F1584" s="606">
        <v>11</v>
      </c>
      <c r="G1584" s="606">
        <v>19</v>
      </c>
      <c r="H1584" s="606">
        <v>5</v>
      </c>
      <c r="I1584" s="232" t="s">
        <v>1406</v>
      </c>
      <c r="J1584" s="1316" t="s">
        <v>3163</v>
      </c>
      <c r="K1584" s="203">
        <v>360</v>
      </c>
      <c r="L1584" s="203">
        <v>1470000000</v>
      </c>
      <c r="M1584" s="125">
        <v>0</v>
      </c>
      <c r="N1584" s="203">
        <v>0</v>
      </c>
      <c r="O1584" s="125">
        <v>40</v>
      </c>
      <c r="P1584" s="125">
        <v>183563000</v>
      </c>
      <c r="Q1584" s="125"/>
      <c r="R1584" s="99">
        <v>0</v>
      </c>
      <c r="S1584" s="99">
        <v>20</v>
      </c>
      <c r="T1584" s="99">
        <v>72145000</v>
      </c>
      <c r="U1584" s="99"/>
      <c r="V1584" s="99"/>
      <c r="W1584" s="99"/>
      <c r="X1584" s="99"/>
      <c r="Y1584" s="125">
        <f>Q1584+S1584+U1584+W1584</f>
        <v>20</v>
      </c>
      <c r="Z1584" s="99">
        <f>R1584+T1584+V1584+X1584</f>
        <v>72145000</v>
      </c>
      <c r="AA1584" s="125">
        <f t="shared" si="465"/>
        <v>20</v>
      </c>
      <c r="AB1584" s="214">
        <f t="shared" si="466"/>
        <v>72145000</v>
      </c>
      <c r="AC1584" s="1289">
        <f t="shared" si="461"/>
        <v>5.5555555555555554</v>
      </c>
      <c r="AD1584" s="806">
        <f t="shared" si="462"/>
        <v>4.9078231292517005</v>
      </c>
      <c r="AE1584" s="1119"/>
      <c r="AF1584" s="750"/>
      <c r="AG1584" s="971"/>
    </row>
    <row r="1585" spans="1:70" s="16" customFormat="1" ht="49.5">
      <c r="A1585" s="2547">
        <v>4</v>
      </c>
      <c r="B1585" s="159"/>
      <c r="C1585" s="1197" t="s">
        <v>29</v>
      </c>
      <c r="D1585" s="547">
        <v>1</v>
      </c>
      <c r="E1585" s="1197" t="s">
        <v>28</v>
      </c>
      <c r="F1585" s="547">
        <v>11</v>
      </c>
      <c r="G1585" s="547">
        <v>19</v>
      </c>
      <c r="H1585" s="547"/>
      <c r="I1585" s="159" t="s">
        <v>1407</v>
      </c>
      <c r="J1585" s="159" t="s">
        <v>3164</v>
      </c>
      <c r="K1585" s="222">
        <v>4</v>
      </c>
      <c r="L1585" s="230">
        <f>SUM(L1586:L1588)</f>
        <v>4563754000</v>
      </c>
      <c r="M1585" s="230">
        <v>0</v>
      </c>
      <c r="N1585" s="222">
        <v>1787245629</v>
      </c>
      <c r="O1585" s="230">
        <v>1</v>
      </c>
      <c r="P1585" s="230">
        <f>SUM(P1586:P1588)</f>
        <v>14893424000</v>
      </c>
      <c r="Q1585" s="230">
        <v>0</v>
      </c>
      <c r="R1585" s="159">
        <f>SUM(R1586:R1588)</f>
        <v>9741200</v>
      </c>
      <c r="S1585" s="159"/>
      <c r="T1585" s="159">
        <f>SUM(T1586:T1588)</f>
        <v>45137257</v>
      </c>
      <c r="U1585" s="159"/>
      <c r="V1585" s="159"/>
      <c r="W1585" s="159"/>
      <c r="X1585" s="159">
        <f>SUM(X1578:X1580)</f>
        <v>0</v>
      </c>
      <c r="Y1585" s="230">
        <f t="shared" ref="Y1585:Y1590" si="468">Q1585+S1585+U1585+W1585</f>
        <v>0</v>
      </c>
      <c r="Z1585" s="159">
        <f>Z1586+Z1587+Z1588</f>
        <v>54878457</v>
      </c>
      <c r="AA1585" s="230">
        <f t="shared" si="465"/>
        <v>0</v>
      </c>
      <c r="AB1585" s="159">
        <f t="shared" si="466"/>
        <v>1842124086</v>
      </c>
      <c r="AC1585" s="148">
        <f t="shared" si="461"/>
        <v>0</v>
      </c>
      <c r="AD1585" s="292">
        <f t="shared" si="462"/>
        <v>40.364228352360797</v>
      </c>
      <c r="AE1585" s="2558" t="s">
        <v>126</v>
      </c>
      <c r="AF1585" s="201"/>
      <c r="AG1585" s="977"/>
      <c r="AH1585" s="201"/>
      <c r="AI1585" s="201"/>
      <c r="AJ1585" s="201"/>
      <c r="AK1585" s="201"/>
      <c r="AL1585" s="201"/>
      <c r="AM1585" s="201"/>
      <c r="AN1585" s="201"/>
      <c r="AO1585" s="201"/>
      <c r="AP1585" s="201"/>
      <c r="AQ1585" s="201"/>
      <c r="AR1585" s="201"/>
      <c r="AS1585" s="201"/>
      <c r="AT1585" s="201"/>
      <c r="AU1585" s="201"/>
      <c r="AV1585" s="201"/>
      <c r="AW1585" s="201"/>
      <c r="AX1585" s="201"/>
      <c r="AY1585" s="201"/>
      <c r="AZ1585" s="201"/>
      <c r="BA1585" s="201"/>
      <c r="BB1585" s="201"/>
      <c r="BC1585" s="20"/>
      <c r="BD1585" s="20"/>
      <c r="BE1585" s="20"/>
      <c r="BF1585" s="20"/>
      <c r="BG1585" s="20"/>
      <c r="BH1585" s="20"/>
      <c r="BI1585" s="20"/>
      <c r="BJ1585" s="20"/>
      <c r="BK1585" s="20"/>
      <c r="BL1585" s="20"/>
      <c r="BM1585" s="20"/>
      <c r="BN1585" s="20"/>
      <c r="BO1585" s="20"/>
      <c r="BP1585" s="20"/>
      <c r="BQ1585" s="20"/>
      <c r="BR1585" s="20"/>
    </row>
    <row r="1586" spans="1:70" ht="49.5">
      <c r="A1586" s="1200" t="s">
        <v>46</v>
      </c>
      <c r="B1586" s="99"/>
      <c r="C1586" s="1201" t="s">
        <v>29</v>
      </c>
      <c r="D1586" s="606">
        <v>1</v>
      </c>
      <c r="E1586" s="1201" t="s">
        <v>28</v>
      </c>
      <c r="F1586" s="606">
        <v>11</v>
      </c>
      <c r="G1586" s="606">
        <v>19</v>
      </c>
      <c r="H1586" s="606">
        <v>5</v>
      </c>
      <c r="I1586" s="232" t="s">
        <v>1408</v>
      </c>
      <c r="J1586" s="232" t="s">
        <v>3165</v>
      </c>
      <c r="K1586" s="203">
        <v>240</v>
      </c>
      <c r="L1586" s="203">
        <v>1146383000</v>
      </c>
      <c r="M1586" s="125">
        <v>65</v>
      </c>
      <c r="N1586" s="203">
        <v>171429600</v>
      </c>
      <c r="O1586" s="125">
        <v>40</v>
      </c>
      <c r="P1586" s="125">
        <v>125424000</v>
      </c>
      <c r="Q1586" s="125">
        <v>0</v>
      </c>
      <c r="R1586" s="99">
        <v>2000000</v>
      </c>
      <c r="S1586" s="99"/>
      <c r="T1586" s="99">
        <v>7235000</v>
      </c>
      <c r="U1586" s="99"/>
      <c r="V1586" s="99"/>
      <c r="W1586" s="99"/>
      <c r="X1586" s="99"/>
      <c r="Y1586" s="125">
        <f t="shared" si="468"/>
        <v>0</v>
      </c>
      <c r="Z1586" s="99">
        <f>R1586+T1586+V1586+X1586</f>
        <v>9235000</v>
      </c>
      <c r="AA1586" s="125">
        <f t="shared" si="465"/>
        <v>65</v>
      </c>
      <c r="AB1586" s="214">
        <f t="shared" si="466"/>
        <v>180664600</v>
      </c>
      <c r="AC1586" s="1289">
        <f t="shared" si="461"/>
        <v>27.083333333333332</v>
      </c>
      <c r="AD1586" s="806">
        <f t="shared" si="462"/>
        <v>15.759532372688708</v>
      </c>
      <c r="AE1586" s="1119"/>
      <c r="AF1586" s="750"/>
      <c r="AG1586" s="971"/>
    </row>
    <row r="1587" spans="1:70" ht="49.5">
      <c r="A1587" s="1200" t="s">
        <v>46</v>
      </c>
      <c r="B1587" s="99"/>
      <c r="C1587" s="1201" t="s">
        <v>29</v>
      </c>
      <c r="D1587" s="606">
        <v>1</v>
      </c>
      <c r="E1587" s="1201" t="s">
        <v>28</v>
      </c>
      <c r="F1587" s="606">
        <v>11</v>
      </c>
      <c r="G1587" s="606">
        <v>19</v>
      </c>
      <c r="H1587" s="1201" t="s">
        <v>29</v>
      </c>
      <c r="I1587" s="232" t="s">
        <v>1409</v>
      </c>
      <c r="J1587" s="232" t="s">
        <v>1410</v>
      </c>
      <c r="K1587" s="203">
        <v>3</v>
      </c>
      <c r="L1587" s="203">
        <v>3106701000</v>
      </c>
      <c r="M1587" s="125">
        <v>1</v>
      </c>
      <c r="N1587" s="203">
        <v>938970000</v>
      </c>
      <c r="O1587" s="125">
        <v>1</v>
      </c>
      <c r="P1587" s="125">
        <v>14500000000</v>
      </c>
      <c r="Q1587" s="125">
        <v>0</v>
      </c>
      <c r="R1587" s="99">
        <v>6866000</v>
      </c>
      <c r="S1587" s="99"/>
      <c r="T1587" s="99">
        <v>11736000</v>
      </c>
      <c r="U1587" s="99"/>
      <c r="V1587" s="99"/>
      <c r="W1587" s="99"/>
      <c r="X1587" s="99"/>
      <c r="Y1587" s="125">
        <f t="shared" si="468"/>
        <v>0</v>
      </c>
      <c r="Z1587" s="99">
        <f>R1587+T1587+V1587+X1587</f>
        <v>18602000</v>
      </c>
      <c r="AA1587" s="125">
        <f t="shared" si="465"/>
        <v>1</v>
      </c>
      <c r="AB1587" s="214">
        <f t="shared" si="466"/>
        <v>957572000</v>
      </c>
      <c r="AC1587" s="1289">
        <f t="shared" si="461"/>
        <v>33.333333333333329</v>
      </c>
      <c r="AD1587" s="806">
        <f t="shared" si="462"/>
        <v>30.82279240905385</v>
      </c>
      <c r="AE1587" s="1119"/>
      <c r="AF1587" s="750"/>
      <c r="AG1587" s="971"/>
    </row>
    <row r="1588" spans="1:70" ht="66">
      <c r="A1588" s="1200" t="s">
        <v>46</v>
      </c>
      <c r="B1588" s="99"/>
      <c r="C1588" s="1201" t="s">
        <v>29</v>
      </c>
      <c r="D1588" s="606">
        <v>1</v>
      </c>
      <c r="E1588" s="1201" t="s">
        <v>28</v>
      </c>
      <c r="F1588" s="606">
        <v>11</v>
      </c>
      <c r="G1588" s="606">
        <v>19</v>
      </c>
      <c r="H1588" s="1201" t="s">
        <v>30</v>
      </c>
      <c r="I1588" s="232" t="s">
        <v>1411</v>
      </c>
      <c r="J1588" s="232" t="s">
        <v>1412</v>
      </c>
      <c r="K1588" s="203">
        <v>24</v>
      </c>
      <c r="L1588" s="203">
        <v>310670000</v>
      </c>
      <c r="M1588" s="125">
        <v>12</v>
      </c>
      <c r="N1588" s="203">
        <v>676846029</v>
      </c>
      <c r="O1588" s="125">
        <v>12</v>
      </c>
      <c r="P1588" s="125">
        <v>268000000</v>
      </c>
      <c r="Q1588" s="125">
        <v>3</v>
      </c>
      <c r="R1588" s="99">
        <v>875200</v>
      </c>
      <c r="S1588" s="99"/>
      <c r="T1588" s="99">
        <v>26166257</v>
      </c>
      <c r="U1588" s="99"/>
      <c r="V1588" s="99"/>
      <c r="W1588" s="99"/>
      <c r="X1588" s="99"/>
      <c r="Y1588" s="125">
        <f t="shared" si="468"/>
        <v>3</v>
      </c>
      <c r="Z1588" s="99">
        <f>R1588+T1588+V1588+X1588</f>
        <v>27041457</v>
      </c>
      <c r="AA1588" s="125">
        <f t="shared" si="465"/>
        <v>15</v>
      </c>
      <c r="AB1588" s="214">
        <f t="shared" si="466"/>
        <v>703887486</v>
      </c>
      <c r="AC1588" s="1289">
        <f t="shared" si="461"/>
        <v>62.5</v>
      </c>
      <c r="AD1588" s="806">
        <f t="shared" si="462"/>
        <v>226.57079409019215</v>
      </c>
      <c r="AE1588" s="1119"/>
      <c r="AF1588" s="750"/>
      <c r="AG1588" s="971"/>
    </row>
    <row r="1589" spans="1:70" s="16" customFormat="1" ht="49.5">
      <c r="A1589" s="2547">
        <v>5</v>
      </c>
      <c r="B1589" s="159"/>
      <c r="C1589" s="1197" t="s">
        <v>29</v>
      </c>
      <c r="D1589" s="547">
        <v>1</v>
      </c>
      <c r="E1589" s="1197" t="s">
        <v>28</v>
      </c>
      <c r="F1589" s="547">
        <v>11</v>
      </c>
      <c r="G1589" s="547">
        <v>20</v>
      </c>
      <c r="H1589" s="547"/>
      <c r="I1589" s="159" t="s">
        <v>1413</v>
      </c>
      <c r="J1589" s="159" t="s">
        <v>1414</v>
      </c>
      <c r="K1589" s="222">
        <v>50</v>
      </c>
      <c r="L1589" s="230">
        <f>SUM(L1590)</f>
        <v>57725000</v>
      </c>
      <c r="M1589" s="230">
        <v>50</v>
      </c>
      <c r="N1589" s="222">
        <v>48156800</v>
      </c>
      <c r="O1589" s="230">
        <v>50</v>
      </c>
      <c r="P1589" s="230">
        <f>SUM(P1590)</f>
        <v>0</v>
      </c>
      <c r="Q1589" s="230">
        <v>0</v>
      </c>
      <c r="R1589" s="159">
        <f>SUM(R1590)</f>
        <v>0</v>
      </c>
      <c r="S1589" s="159"/>
      <c r="T1589" s="159">
        <f>SUM(T1590)</f>
        <v>0</v>
      </c>
      <c r="U1589" s="159"/>
      <c r="V1589" s="159"/>
      <c r="W1589" s="159"/>
      <c r="X1589" s="159"/>
      <c r="Y1589" s="230">
        <f t="shared" si="468"/>
        <v>0</v>
      </c>
      <c r="Z1589" s="159">
        <f>Z1590</f>
        <v>0</v>
      </c>
      <c r="AA1589" s="230">
        <f t="shared" si="465"/>
        <v>50</v>
      </c>
      <c r="AB1589" s="159">
        <f t="shared" si="466"/>
        <v>48156800</v>
      </c>
      <c r="AC1589" s="148">
        <f t="shared" si="461"/>
        <v>100</v>
      </c>
      <c r="AD1589" s="292">
        <f t="shared" si="462"/>
        <v>83.42451277609355</v>
      </c>
      <c r="AE1589" s="2558" t="s">
        <v>3167</v>
      </c>
      <c r="AF1589" s="201"/>
      <c r="AG1589" s="977"/>
      <c r="AH1589" s="201"/>
      <c r="AI1589" s="201"/>
      <c r="AJ1589" s="201"/>
      <c r="AK1589" s="201"/>
      <c r="AL1589" s="201"/>
      <c r="AM1589" s="201"/>
      <c r="AN1589" s="201"/>
      <c r="AO1589" s="201"/>
      <c r="AP1589" s="201"/>
      <c r="AQ1589" s="201"/>
      <c r="AR1589" s="201"/>
      <c r="AS1589" s="201"/>
      <c r="AT1589" s="201"/>
      <c r="AU1589" s="201"/>
      <c r="AV1589" s="201"/>
      <c r="AW1589" s="201"/>
      <c r="AX1589" s="201"/>
      <c r="AY1589" s="201"/>
      <c r="AZ1589" s="201"/>
      <c r="BA1589" s="201"/>
      <c r="BB1589" s="201"/>
      <c r="BC1589" s="20"/>
      <c r="BD1589" s="20"/>
      <c r="BE1589" s="20"/>
      <c r="BF1589" s="20"/>
      <c r="BG1589" s="20"/>
      <c r="BH1589" s="20"/>
      <c r="BI1589" s="20"/>
      <c r="BJ1589" s="20"/>
      <c r="BK1589" s="20"/>
      <c r="BL1589" s="20"/>
      <c r="BM1589" s="20"/>
      <c r="BN1589" s="20"/>
      <c r="BO1589" s="20"/>
      <c r="BP1589" s="20"/>
      <c r="BQ1589" s="20"/>
      <c r="BR1589" s="20"/>
    </row>
    <row r="1590" spans="1:70" ht="35.25" customHeight="1">
      <c r="A1590" s="89" t="s">
        <v>46</v>
      </c>
      <c r="B1590" s="88"/>
      <c r="C1590" s="605" t="s">
        <v>29</v>
      </c>
      <c r="D1590" s="89">
        <v>1</v>
      </c>
      <c r="E1590" s="605" t="s">
        <v>28</v>
      </c>
      <c r="F1590" s="89">
        <v>11</v>
      </c>
      <c r="G1590" s="89">
        <v>20</v>
      </c>
      <c r="H1590" s="605" t="s">
        <v>28</v>
      </c>
      <c r="I1590" s="34" t="s">
        <v>1415</v>
      </c>
      <c r="J1590" s="88" t="s">
        <v>1414</v>
      </c>
      <c r="K1590" s="115">
        <v>50</v>
      </c>
      <c r="L1590" s="213">
        <v>57725000</v>
      </c>
      <c r="M1590" s="100">
        <v>50</v>
      </c>
      <c r="N1590" s="203">
        <v>48156800</v>
      </c>
      <c r="O1590" s="100">
        <v>0</v>
      </c>
      <c r="P1590" s="125"/>
      <c r="Q1590" s="100"/>
      <c r="R1590" s="99"/>
      <c r="S1590" s="88"/>
      <c r="T1590" s="99"/>
      <c r="U1590" s="88"/>
      <c r="V1590" s="99"/>
      <c r="W1590" s="88"/>
      <c r="X1590" s="99"/>
      <c r="Y1590" s="100">
        <f t="shared" si="468"/>
        <v>0</v>
      </c>
      <c r="Z1590" s="112">
        <f>R1590+T1590+V1590+X1590</f>
        <v>0</v>
      </c>
      <c r="AA1590" s="100">
        <f t="shared" si="465"/>
        <v>50</v>
      </c>
      <c r="AB1590" s="1202">
        <f t="shared" si="466"/>
        <v>48156800</v>
      </c>
      <c r="AC1590" s="1289">
        <f t="shared" si="461"/>
        <v>100</v>
      </c>
      <c r="AD1590" s="806">
        <f t="shared" si="462"/>
        <v>83.42451277609355</v>
      </c>
      <c r="AE1590" s="1119" t="s">
        <v>3166</v>
      </c>
      <c r="AF1590" s="750"/>
      <c r="AG1590" s="971"/>
    </row>
    <row r="1591" spans="1:70" s="1235" customFormat="1" ht="27" customHeight="1">
      <c r="A1591" s="2737" t="s">
        <v>63</v>
      </c>
      <c r="B1591" s="2737"/>
      <c r="C1591" s="2741"/>
      <c r="D1591" s="2741"/>
      <c r="E1591" s="2741"/>
      <c r="F1591" s="2741"/>
      <c r="G1591" s="2741"/>
      <c r="H1591" s="2741"/>
      <c r="I1591" s="2741"/>
      <c r="J1591" s="2741"/>
      <c r="K1591" s="2741"/>
      <c r="L1591" s="2741"/>
      <c r="M1591" s="2741"/>
      <c r="N1591" s="2741"/>
      <c r="O1591" s="2741"/>
      <c r="P1591" s="2741"/>
      <c r="Q1591" s="2741"/>
      <c r="R1591" s="2741"/>
      <c r="S1591" s="2741"/>
      <c r="T1591" s="2741"/>
      <c r="U1591" s="2741"/>
      <c r="V1591" s="2741"/>
      <c r="W1591" s="2741"/>
      <c r="X1591" s="2741"/>
      <c r="Y1591" s="2741"/>
      <c r="Z1591" s="2741"/>
      <c r="AA1591" s="2741"/>
      <c r="AB1591" s="2741"/>
      <c r="AC1591" s="965">
        <f>(AC1572+AC1581+AC1583+AC1585)/4</f>
        <v>55.421146953405014</v>
      </c>
      <c r="AD1591" s="965">
        <f>(AD1572+AD1581+AD1583+AD1585)/4</f>
        <v>24.161375564267999</v>
      </c>
      <c r="AE1591" s="131"/>
      <c r="AF1591" s="861"/>
      <c r="AG1591" s="1859"/>
      <c r="AH1591" s="861"/>
      <c r="AI1591" s="861"/>
      <c r="AJ1591" s="861"/>
      <c r="AK1591" s="861"/>
      <c r="AL1591" s="861"/>
      <c r="AM1591" s="861"/>
      <c r="AN1591" s="861"/>
      <c r="AO1591" s="861"/>
      <c r="AP1591" s="861"/>
      <c r="AQ1591" s="861"/>
      <c r="AR1591" s="861"/>
      <c r="AS1591" s="861"/>
      <c r="AT1591" s="861"/>
      <c r="AU1591" s="861"/>
      <c r="AV1591" s="861"/>
      <c r="AW1591" s="861"/>
      <c r="AX1591" s="861"/>
      <c r="AY1591" s="861"/>
      <c r="AZ1591" s="861"/>
      <c r="BA1591" s="861"/>
      <c r="BB1591" s="861"/>
      <c r="BC1591" s="862"/>
      <c r="BD1591" s="862"/>
      <c r="BE1591" s="862"/>
      <c r="BF1591" s="862"/>
      <c r="BG1591" s="862"/>
      <c r="BH1591" s="862"/>
      <c r="BI1591" s="862"/>
      <c r="BJ1591" s="862"/>
      <c r="BK1591" s="862"/>
      <c r="BL1591" s="862"/>
      <c r="BM1591" s="862"/>
      <c r="BN1591" s="862"/>
      <c r="BO1591" s="862"/>
      <c r="BP1591" s="862"/>
      <c r="BQ1591" s="862"/>
      <c r="BR1591" s="862"/>
    </row>
    <row r="1592" spans="1:70" s="1235" customFormat="1" ht="24" customHeight="1">
      <c r="A1592" s="2737" t="s">
        <v>64</v>
      </c>
      <c r="B1592" s="2737"/>
      <c r="C1592" s="2741"/>
      <c r="D1592" s="2741"/>
      <c r="E1592" s="2741"/>
      <c r="F1592" s="2741"/>
      <c r="G1592" s="2741"/>
      <c r="H1592" s="2741"/>
      <c r="I1592" s="2741"/>
      <c r="J1592" s="2741"/>
      <c r="K1592" s="2741"/>
      <c r="L1592" s="2741"/>
      <c r="M1592" s="2741"/>
      <c r="N1592" s="2741"/>
      <c r="O1592" s="2741"/>
      <c r="P1592" s="2741"/>
      <c r="Q1592" s="2741"/>
      <c r="R1592" s="2741"/>
      <c r="S1592" s="2741"/>
      <c r="T1592" s="2741"/>
      <c r="U1592" s="2741"/>
      <c r="V1592" s="2741"/>
      <c r="W1592" s="2741"/>
      <c r="X1592" s="2741"/>
      <c r="Y1592" s="2741"/>
      <c r="Z1592" s="2741"/>
      <c r="AA1592" s="2741"/>
      <c r="AB1592" s="2741"/>
      <c r="AC1592" s="604" t="str">
        <f>IF(AC1591&gt;=91,"ST",IF(AC1591&gt;=76,"T",IF(AC1591&gt;=66,"S",IF(AC1591&gt;=51,"R","SR"))))</f>
        <v>R</v>
      </c>
      <c r="AD1592" s="604" t="str">
        <f>IF(AD1591&gt;=91,"ST",IF(AD1591&gt;=76,"T",IF(AD1591&gt;=66,"S",IF(AD1591&gt;=51,"R","SR"))))</f>
        <v>SR</v>
      </c>
      <c r="AE1592" s="131"/>
      <c r="AF1592" s="861"/>
      <c r="AG1592" s="1859"/>
      <c r="AH1592" s="861"/>
      <c r="AI1592" s="861"/>
      <c r="AJ1592" s="861"/>
      <c r="AK1592" s="861"/>
      <c r="AL1592" s="861"/>
      <c r="AM1592" s="861"/>
      <c r="AN1592" s="861"/>
      <c r="AO1592" s="861"/>
      <c r="AP1592" s="861"/>
      <c r="AQ1592" s="861"/>
      <c r="AR1592" s="861"/>
      <c r="AS1592" s="861"/>
      <c r="AT1592" s="861"/>
      <c r="AU1592" s="861"/>
      <c r="AV1592" s="861"/>
      <c r="AW1592" s="861"/>
      <c r="AX1592" s="861"/>
      <c r="AY1592" s="861"/>
      <c r="AZ1592" s="861"/>
      <c r="BA1592" s="861"/>
      <c r="BB1592" s="861"/>
      <c r="BC1592" s="862"/>
      <c r="BD1592" s="862"/>
      <c r="BE1592" s="862"/>
      <c r="BF1592" s="862"/>
      <c r="BG1592" s="862"/>
      <c r="BH1592" s="862"/>
      <c r="BI1592" s="862"/>
      <c r="BJ1592" s="862"/>
      <c r="BK1592" s="862"/>
      <c r="BL1592" s="862"/>
      <c r="BM1592" s="862"/>
      <c r="BN1592" s="862"/>
      <c r="BO1592" s="862"/>
      <c r="BP1592" s="862"/>
      <c r="BQ1592" s="862"/>
      <c r="BR1592" s="862"/>
    </row>
    <row r="1593" spans="1:70" s="1235" customFormat="1" ht="26.25" customHeight="1">
      <c r="A1593" s="863" t="s">
        <v>91</v>
      </c>
      <c r="B1593" s="863"/>
      <c r="C1593" s="863"/>
      <c r="D1593" s="863"/>
      <c r="E1593" s="863"/>
      <c r="F1593" s="863"/>
      <c r="G1593" s="863"/>
      <c r="H1593" s="863"/>
      <c r="I1593" s="2746" t="s">
        <v>2269</v>
      </c>
      <c r="J1593" s="2747"/>
      <c r="K1593" s="1665"/>
      <c r="L1593" s="1285">
        <f>L1594</f>
        <v>19051197929.599998</v>
      </c>
      <c r="M1593" s="1665"/>
      <c r="N1593" s="1286">
        <f>N1594</f>
        <v>2333565270</v>
      </c>
      <c r="O1593" s="1665"/>
      <c r="P1593" s="1286">
        <f>SUM(P1594)</f>
        <v>4641831800</v>
      </c>
      <c r="Q1593" s="1665"/>
      <c r="R1593" s="1320">
        <f>R1594</f>
        <v>4400000</v>
      </c>
      <c r="S1593" s="1618"/>
      <c r="T1593" s="1320">
        <f>T1594</f>
        <v>1063596550</v>
      </c>
      <c r="U1593" s="1618"/>
      <c r="V1593" s="1619">
        <f>V1594</f>
        <v>0</v>
      </c>
      <c r="W1593" s="1618"/>
      <c r="X1593" s="1860">
        <f>X1594</f>
        <v>0</v>
      </c>
      <c r="Y1593" s="1665"/>
      <c r="Z1593" s="1320">
        <f>R1593+T1593</f>
        <v>1067996550</v>
      </c>
      <c r="AA1593" s="1665"/>
      <c r="AB1593" s="1320">
        <f>AB1594</f>
        <v>3401561820</v>
      </c>
      <c r="AC1593" s="1665"/>
      <c r="AD1593" s="1665"/>
      <c r="AE1593" s="863"/>
      <c r="AF1593" s="200"/>
      <c r="AG1593" s="200"/>
      <c r="AH1593" s="861"/>
      <c r="AI1593" s="861"/>
      <c r="AJ1593" s="861"/>
      <c r="AK1593" s="861"/>
      <c r="AL1593" s="861"/>
      <c r="AM1593" s="861"/>
      <c r="AN1593" s="861"/>
      <c r="AO1593" s="861"/>
      <c r="AP1593" s="861"/>
      <c r="AQ1593" s="861"/>
      <c r="AR1593" s="861"/>
      <c r="AS1593" s="861"/>
      <c r="AT1593" s="861"/>
      <c r="AU1593" s="861"/>
      <c r="AV1593" s="861"/>
      <c r="AW1593" s="861"/>
      <c r="AX1593" s="861"/>
      <c r="AY1593" s="861"/>
      <c r="AZ1593" s="861"/>
      <c r="BA1593" s="861"/>
      <c r="BB1593" s="861"/>
      <c r="BC1593" s="862"/>
      <c r="BD1593" s="862"/>
      <c r="BE1593" s="862"/>
      <c r="BF1593" s="862"/>
      <c r="BG1593" s="862"/>
      <c r="BH1593" s="862"/>
      <c r="BI1593" s="862"/>
      <c r="BJ1593" s="862"/>
      <c r="BK1593" s="862"/>
      <c r="BL1593" s="862"/>
      <c r="BM1593" s="862"/>
      <c r="BN1593" s="862"/>
      <c r="BO1593" s="862"/>
      <c r="BP1593" s="862"/>
      <c r="BQ1593" s="862"/>
      <c r="BR1593" s="862"/>
    </row>
    <row r="1594" spans="1:70" s="1288" customFormat="1" ht="84" customHeight="1">
      <c r="A1594" s="2558">
        <v>1</v>
      </c>
      <c r="B1594" s="33"/>
      <c r="C1594" s="2558"/>
      <c r="D1594" s="2558"/>
      <c r="E1594" s="2558"/>
      <c r="F1594" s="2558"/>
      <c r="G1594" s="2558"/>
      <c r="H1594" s="2558"/>
      <c r="I1594" s="142" t="s">
        <v>2270</v>
      </c>
      <c r="J1594" s="2559" t="s">
        <v>3168</v>
      </c>
      <c r="K1594" s="614">
        <v>100</v>
      </c>
      <c r="L1594" s="2606">
        <f>SUM(L1596:L1599)</f>
        <v>19051197929.599998</v>
      </c>
      <c r="M1594" s="609">
        <v>70</v>
      </c>
      <c r="N1594" s="2607">
        <v>2333565270</v>
      </c>
      <c r="O1594" s="609">
        <v>10</v>
      </c>
      <c r="P1594" s="2608">
        <f>SUM(P1595:P1599)</f>
        <v>4641831800</v>
      </c>
      <c r="Q1594" s="609">
        <v>2</v>
      </c>
      <c r="R1594" s="1645">
        <f>SUM(R1596:R1599)</f>
        <v>4400000</v>
      </c>
      <c r="S1594" s="33"/>
      <c r="T1594" s="139">
        <f>SUM(T1595:T1599)</f>
        <v>1063596550</v>
      </c>
      <c r="U1594" s="33"/>
      <c r="V1594" s="144">
        <f>SUM(V1595:V1599)</f>
        <v>0</v>
      </c>
      <c r="W1594" s="33"/>
      <c r="X1594" s="1645">
        <f>SUM(X1595:X1599)</f>
        <v>0</v>
      </c>
      <c r="Y1594" s="609">
        <f>Y1596</f>
        <v>1</v>
      </c>
      <c r="Z1594" s="137">
        <f>SUM(Z1595:Z1599)</f>
        <v>1067996550</v>
      </c>
      <c r="AA1594" s="135">
        <f t="shared" ref="AA1594:AB1599" si="469">M1594+Y1594</f>
        <v>71</v>
      </c>
      <c r="AB1594" s="2609">
        <f t="shared" si="469"/>
        <v>3401561820</v>
      </c>
      <c r="AC1594" s="1251">
        <f t="shared" ref="AC1594:AD1599" si="470">AA1594/K1594*100</f>
        <v>71</v>
      </c>
      <c r="AD1594" s="1251">
        <f t="shared" si="470"/>
        <v>17.854844784930641</v>
      </c>
      <c r="AE1594" s="2558" t="s">
        <v>96</v>
      </c>
      <c r="AF1594" s="200"/>
      <c r="AG1594" s="200"/>
      <c r="AH1594" s="1287"/>
      <c r="AI1594" s="1287"/>
      <c r="AJ1594" s="1287"/>
      <c r="AK1594" s="1287"/>
      <c r="AL1594" s="1287"/>
      <c r="AM1594" s="1287"/>
      <c r="AN1594" s="1287"/>
      <c r="AO1594" s="1287"/>
      <c r="AP1594" s="1287"/>
      <c r="AQ1594" s="1287"/>
      <c r="AR1594" s="1287"/>
      <c r="AS1594" s="1287"/>
      <c r="AT1594" s="1287"/>
      <c r="AU1594" s="1287"/>
      <c r="AV1594" s="1287"/>
      <c r="AW1594" s="1287"/>
      <c r="AX1594" s="1287"/>
      <c r="AY1594" s="1287"/>
      <c r="AZ1594" s="1287"/>
      <c r="BA1594" s="1287"/>
      <c r="BB1594" s="1287"/>
    </row>
    <row r="1595" spans="1:70" s="1288" customFormat="1" ht="49.5">
      <c r="A1595" s="102"/>
      <c r="B1595" s="8"/>
      <c r="C1595" s="102"/>
      <c r="D1595" s="102"/>
      <c r="E1595" s="102"/>
      <c r="F1595" s="102"/>
      <c r="G1595" s="102"/>
      <c r="H1595" s="102"/>
      <c r="I1595" s="313" t="s">
        <v>2271</v>
      </c>
      <c r="J1595" s="780" t="s">
        <v>3169</v>
      </c>
      <c r="K1595" s="788">
        <v>12</v>
      </c>
      <c r="L1595" s="789">
        <v>5318496000</v>
      </c>
      <c r="M1595" s="788">
        <v>7</v>
      </c>
      <c r="N1595" s="790">
        <v>892413250</v>
      </c>
      <c r="O1595" s="788">
        <v>0</v>
      </c>
      <c r="P1595" s="504">
        <v>0</v>
      </c>
      <c r="Q1595" s="8"/>
      <c r="R1595" s="504"/>
      <c r="S1595" s="8"/>
      <c r="T1595" s="508"/>
      <c r="U1595" s="791"/>
      <c r="V1595" s="25"/>
      <c r="W1595" s="791"/>
      <c r="X1595" s="24"/>
      <c r="Y1595" s="791">
        <f t="shared" ref="Y1595:Z1599" si="471">Q1595+S1595+U1595+W1595</f>
        <v>0</v>
      </c>
      <c r="Z1595" s="94">
        <f t="shared" si="471"/>
        <v>0</v>
      </c>
      <c r="AA1595" s="104">
        <f t="shared" si="469"/>
        <v>7</v>
      </c>
      <c r="AB1595" s="106">
        <f t="shared" si="469"/>
        <v>892413250</v>
      </c>
      <c r="AC1595" s="792">
        <f t="shared" si="470"/>
        <v>58.333333333333336</v>
      </c>
      <c r="AD1595" s="792">
        <f t="shared" si="470"/>
        <v>16.779428808445093</v>
      </c>
      <c r="AE1595" s="102"/>
      <c r="AF1595" s="200"/>
      <c r="AG1595" s="200"/>
      <c r="AH1595" s="1287"/>
      <c r="AI1595" s="1287"/>
      <c r="AJ1595" s="1287"/>
      <c r="AK1595" s="1287"/>
      <c r="AL1595" s="1287"/>
      <c r="AM1595" s="1287"/>
      <c r="AN1595" s="1287"/>
      <c r="AO1595" s="1287"/>
      <c r="AP1595" s="1287"/>
      <c r="AQ1595" s="1287"/>
      <c r="AR1595" s="1287"/>
      <c r="AS1595" s="1287"/>
      <c r="AT1595" s="1287"/>
      <c r="AU1595" s="1287"/>
      <c r="AV1595" s="1287"/>
      <c r="AW1595" s="1287"/>
      <c r="AX1595" s="1287"/>
      <c r="AY1595" s="1287"/>
      <c r="AZ1595" s="1287"/>
      <c r="BA1595" s="1287"/>
      <c r="BB1595" s="1287"/>
    </row>
    <row r="1596" spans="1:70" s="1288" customFormat="1" ht="49.5">
      <c r="A1596" s="102"/>
      <c r="B1596" s="8"/>
      <c r="C1596" s="102"/>
      <c r="D1596" s="102"/>
      <c r="E1596" s="102"/>
      <c r="F1596" s="102"/>
      <c r="G1596" s="102"/>
      <c r="H1596" s="102"/>
      <c r="I1596" s="103" t="s">
        <v>2272</v>
      </c>
      <c r="J1596" s="780" t="s">
        <v>3170</v>
      </c>
      <c r="K1596" s="788">
        <v>6</v>
      </c>
      <c r="L1596" s="789">
        <v>1440871940</v>
      </c>
      <c r="M1596" s="788">
        <v>3</v>
      </c>
      <c r="N1596" s="233">
        <v>623489540</v>
      </c>
      <c r="O1596" s="788">
        <v>1</v>
      </c>
      <c r="P1596" s="233">
        <v>113516400</v>
      </c>
      <c r="Q1596" s="8">
        <v>1</v>
      </c>
      <c r="R1596" s="982">
        <v>2400000</v>
      </c>
      <c r="S1596" s="8"/>
      <c r="T1596" s="793">
        <v>54630150</v>
      </c>
      <c r="U1596" s="8"/>
      <c r="V1596" s="508"/>
      <c r="W1596" s="8"/>
      <c r="X1596" s="24"/>
      <c r="Y1596" s="791">
        <f t="shared" si="471"/>
        <v>1</v>
      </c>
      <c r="Z1596" s="94">
        <f t="shared" si="471"/>
        <v>57030150</v>
      </c>
      <c r="AA1596" s="104">
        <f t="shared" si="469"/>
        <v>4</v>
      </c>
      <c r="AB1596" s="106">
        <f t="shared" si="469"/>
        <v>680519690</v>
      </c>
      <c r="AC1596" s="792">
        <f t="shared" si="470"/>
        <v>66.666666666666657</v>
      </c>
      <c r="AD1596" s="792">
        <f t="shared" si="470"/>
        <v>47.229713558027925</v>
      </c>
      <c r="AE1596" s="102"/>
      <c r="AF1596" s="200"/>
      <c r="AG1596" s="200"/>
      <c r="AH1596" s="1287"/>
      <c r="AI1596" s="1287"/>
      <c r="AJ1596" s="1287"/>
      <c r="AK1596" s="1287"/>
      <c r="AL1596" s="1287"/>
      <c r="AM1596" s="1287"/>
      <c r="AN1596" s="1287"/>
      <c r="AO1596" s="1287"/>
      <c r="AP1596" s="1287"/>
      <c r="AQ1596" s="1287"/>
      <c r="AR1596" s="1287"/>
      <c r="AS1596" s="1287"/>
      <c r="AT1596" s="1287"/>
      <c r="AU1596" s="1287"/>
      <c r="AV1596" s="1287"/>
      <c r="AW1596" s="1287"/>
      <c r="AX1596" s="1287"/>
      <c r="AY1596" s="1287"/>
      <c r="AZ1596" s="1287"/>
      <c r="BA1596" s="1287"/>
      <c r="BB1596" s="1287"/>
    </row>
    <row r="1597" spans="1:70" s="1288" customFormat="1" ht="33">
      <c r="A1597" s="102"/>
      <c r="B1597" s="10"/>
      <c r="C1597" s="102"/>
      <c r="D1597" s="102"/>
      <c r="E1597" s="102"/>
      <c r="F1597" s="102"/>
      <c r="G1597" s="102"/>
      <c r="H1597" s="102"/>
      <c r="I1597" s="103" t="s">
        <v>2273</v>
      </c>
      <c r="J1597" s="10" t="s">
        <v>2274</v>
      </c>
      <c r="K1597" s="788">
        <v>6</v>
      </c>
      <c r="L1597" s="789">
        <v>2168672789.5999999</v>
      </c>
      <c r="M1597" s="788">
        <v>4</v>
      </c>
      <c r="N1597" s="233">
        <v>431723040</v>
      </c>
      <c r="O1597" s="788">
        <v>1</v>
      </c>
      <c r="P1597" s="233">
        <v>113100000</v>
      </c>
      <c r="Q1597" s="8">
        <v>1</v>
      </c>
      <c r="R1597" s="504">
        <v>1000000</v>
      </c>
      <c r="S1597" s="8"/>
      <c r="T1597" s="793">
        <v>25254200</v>
      </c>
      <c r="U1597" s="8"/>
      <c r="V1597" s="508"/>
      <c r="W1597" s="8"/>
      <c r="X1597" s="27"/>
      <c r="Y1597" s="791">
        <f t="shared" si="471"/>
        <v>1</v>
      </c>
      <c r="Z1597" s="94">
        <f t="shared" si="471"/>
        <v>26254200</v>
      </c>
      <c r="AA1597" s="104">
        <f t="shared" si="469"/>
        <v>5</v>
      </c>
      <c r="AB1597" s="106">
        <f t="shared" si="469"/>
        <v>457977240</v>
      </c>
      <c r="AC1597" s="792">
        <f t="shared" si="470"/>
        <v>83.333333333333343</v>
      </c>
      <c r="AD1597" s="792">
        <f t="shared" si="470"/>
        <v>21.11785799112975</v>
      </c>
      <c r="AE1597" s="102"/>
      <c r="AF1597" s="200"/>
      <c r="AG1597" s="200"/>
      <c r="AH1597" s="1287"/>
      <c r="AI1597" s="1287"/>
      <c r="AJ1597" s="1287"/>
      <c r="AK1597" s="1287"/>
      <c r="AL1597" s="1287"/>
      <c r="AM1597" s="1287"/>
      <c r="AN1597" s="1287"/>
      <c r="AO1597" s="1287"/>
      <c r="AP1597" s="1287"/>
      <c r="AQ1597" s="1287"/>
      <c r="AR1597" s="1287"/>
      <c r="AS1597" s="1287"/>
      <c r="AT1597" s="1287"/>
      <c r="AU1597" s="1287"/>
      <c r="AV1597" s="1287"/>
      <c r="AW1597" s="1287"/>
      <c r="AX1597" s="1287"/>
      <c r="AY1597" s="1287"/>
      <c r="AZ1597" s="1287"/>
      <c r="BA1597" s="1287"/>
      <c r="BB1597" s="1287"/>
    </row>
    <row r="1598" spans="1:70" s="1288" customFormat="1" ht="66">
      <c r="A1598" s="102"/>
      <c r="B1598" s="8"/>
      <c r="C1598" s="102"/>
      <c r="D1598" s="102"/>
      <c r="E1598" s="102"/>
      <c r="F1598" s="102"/>
      <c r="G1598" s="102"/>
      <c r="H1598" s="102"/>
      <c r="I1598" s="103" t="s">
        <v>2275</v>
      </c>
      <c r="J1598" s="780" t="s">
        <v>3171</v>
      </c>
      <c r="K1598" s="788">
        <v>20</v>
      </c>
      <c r="L1598" s="789">
        <v>1539653200</v>
      </c>
      <c r="M1598" s="788">
        <v>4</v>
      </c>
      <c r="N1598" s="233">
        <v>385939440</v>
      </c>
      <c r="O1598" s="788">
        <v>5</v>
      </c>
      <c r="P1598" s="233">
        <v>215215400</v>
      </c>
      <c r="Q1598" s="8">
        <v>1</v>
      </c>
      <c r="R1598" s="504">
        <v>1000000</v>
      </c>
      <c r="S1598" s="8">
        <v>2</v>
      </c>
      <c r="T1598" s="793">
        <v>7390400</v>
      </c>
      <c r="U1598" s="8"/>
      <c r="V1598" s="508"/>
      <c r="W1598" s="8"/>
      <c r="X1598" s="24"/>
      <c r="Y1598" s="791">
        <f t="shared" si="471"/>
        <v>3</v>
      </c>
      <c r="Z1598" s="94">
        <f t="shared" si="471"/>
        <v>8390400</v>
      </c>
      <c r="AA1598" s="104">
        <f t="shared" si="469"/>
        <v>7</v>
      </c>
      <c r="AB1598" s="106">
        <f t="shared" si="469"/>
        <v>394329840</v>
      </c>
      <c r="AC1598" s="792">
        <f t="shared" si="470"/>
        <v>35</v>
      </c>
      <c r="AD1598" s="792">
        <f t="shared" si="470"/>
        <v>25.611601365814067</v>
      </c>
      <c r="AE1598" s="102"/>
      <c r="AF1598" s="200"/>
      <c r="AG1598" s="200"/>
      <c r="AH1598" s="1287"/>
      <c r="AI1598" s="1287"/>
      <c r="AJ1598" s="1287"/>
      <c r="AK1598" s="1287"/>
      <c r="AL1598" s="1287"/>
      <c r="AM1598" s="1287"/>
      <c r="AN1598" s="1287"/>
      <c r="AO1598" s="1287"/>
      <c r="AP1598" s="1287"/>
      <c r="AQ1598" s="1287"/>
      <c r="AR1598" s="1287"/>
      <c r="AS1598" s="1287"/>
      <c r="AT1598" s="1287"/>
      <c r="AU1598" s="1287"/>
      <c r="AV1598" s="1287"/>
      <c r="AW1598" s="1287"/>
      <c r="AX1598" s="1287"/>
      <c r="AY1598" s="1287"/>
      <c r="AZ1598" s="1287"/>
      <c r="BA1598" s="1287"/>
      <c r="BB1598" s="1287"/>
    </row>
    <row r="1599" spans="1:70" s="1288" customFormat="1" ht="82.5">
      <c r="A1599" s="102"/>
      <c r="B1599" s="8"/>
      <c r="C1599" s="102"/>
      <c r="D1599" s="102"/>
      <c r="E1599" s="102"/>
      <c r="F1599" s="102"/>
      <c r="G1599" s="102"/>
      <c r="H1599" s="102"/>
      <c r="I1599" s="103" t="s">
        <v>2276</v>
      </c>
      <c r="J1599" s="780" t="s">
        <v>3172</v>
      </c>
      <c r="K1599" s="788">
        <v>10</v>
      </c>
      <c r="L1599" s="1317">
        <v>13902000000</v>
      </c>
      <c r="M1599" s="788">
        <v>0</v>
      </c>
      <c r="N1599" s="504">
        <v>0</v>
      </c>
      <c r="O1599" s="788">
        <v>2</v>
      </c>
      <c r="P1599" s="233">
        <v>4200000000</v>
      </c>
      <c r="Q1599" s="8">
        <v>0</v>
      </c>
      <c r="R1599" s="504">
        <v>0</v>
      </c>
      <c r="S1599" s="8">
        <v>1</v>
      </c>
      <c r="T1599" s="793">
        <v>976321800</v>
      </c>
      <c r="U1599" s="8"/>
      <c r="V1599" s="508"/>
      <c r="W1599" s="8"/>
      <c r="X1599" s="24"/>
      <c r="Y1599" s="791">
        <f t="shared" si="471"/>
        <v>1</v>
      </c>
      <c r="Z1599" s="94">
        <f t="shared" si="471"/>
        <v>976321800</v>
      </c>
      <c r="AA1599" s="104">
        <f t="shared" si="469"/>
        <v>1</v>
      </c>
      <c r="AB1599" s="106">
        <f t="shared" si="469"/>
        <v>976321800</v>
      </c>
      <c r="AC1599" s="792">
        <f t="shared" si="470"/>
        <v>10</v>
      </c>
      <c r="AD1599" s="792">
        <f t="shared" si="470"/>
        <v>7.022887354337505</v>
      </c>
      <c r="AE1599" s="102"/>
      <c r="AF1599" s="200"/>
      <c r="AG1599" s="200"/>
      <c r="AH1599" s="1287"/>
      <c r="AI1599" s="1287"/>
      <c r="AJ1599" s="1287"/>
      <c r="AK1599" s="1287"/>
      <c r="AL1599" s="1287"/>
      <c r="AM1599" s="1287"/>
      <c r="AN1599" s="1287"/>
      <c r="AO1599" s="1287"/>
      <c r="AP1599" s="1287"/>
      <c r="AQ1599" s="1287"/>
      <c r="AR1599" s="1287"/>
      <c r="AS1599" s="1287"/>
      <c r="AT1599" s="1287"/>
      <c r="AU1599" s="1287"/>
      <c r="AV1599" s="1287"/>
      <c r="AW1599" s="1287"/>
      <c r="AX1599" s="1287"/>
      <c r="AY1599" s="1287"/>
      <c r="AZ1599" s="1287"/>
      <c r="BA1599" s="1287"/>
      <c r="BB1599" s="1287"/>
    </row>
    <row r="1600" spans="1:70" s="862" customFormat="1" ht="23.25" customHeight="1">
      <c r="A1600" s="2737" t="s">
        <v>63</v>
      </c>
      <c r="B1600" s="2737"/>
      <c r="C1600" s="2737"/>
      <c r="D1600" s="2737"/>
      <c r="E1600" s="2737"/>
      <c r="F1600" s="2737"/>
      <c r="G1600" s="2737"/>
      <c r="H1600" s="2737"/>
      <c r="I1600" s="2741"/>
      <c r="J1600" s="2741"/>
      <c r="K1600" s="2741"/>
      <c r="L1600" s="2741"/>
      <c r="M1600" s="2741"/>
      <c r="N1600" s="2741"/>
      <c r="O1600" s="2741"/>
      <c r="P1600" s="2741"/>
      <c r="Q1600" s="2741"/>
      <c r="R1600" s="2741"/>
      <c r="S1600" s="2741"/>
      <c r="T1600" s="2741"/>
      <c r="U1600" s="2741"/>
      <c r="V1600" s="2741"/>
      <c r="W1600" s="2741"/>
      <c r="X1600" s="2741"/>
      <c r="Y1600" s="2741"/>
      <c r="Z1600" s="2741"/>
      <c r="AA1600" s="2741"/>
      <c r="AB1600" s="2741"/>
      <c r="AC1600" s="965">
        <f>AC1594</f>
        <v>71</v>
      </c>
      <c r="AD1600" s="965">
        <f>AD1594</f>
        <v>17.854844784930641</v>
      </c>
      <c r="AE1600" s="131"/>
      <c r="AF1600" s="200"/>
      <c r="AG1600" s="200"/>
      <c r="AH1600" s="861"/>
      <c r="AI1600" s="861"/>
      <c r="AJ1600" s="861"/>
      <c r="AK1600" s="861"/>
      <c r="AL1600" s="861"/>
      <c r="AM1600" s="861"/>
      <c r="AN1600" s="861"/>
      <c r="AO1600" s="861"/>
      <c r="AP1600" s="861"/>
      <c r="AQ1600" s="861"/>
      <c r="AR1600" s="861"/>
      <c r="AS1600" s="861"/>
      <c r="AT1600" s="861"/>
      <c r="AU1600" s="861"/>
      <c r="AV1600" s="861"/>
      <c r="AW1600" s="861"/>
      <c r="AX1600" s="861"/>
      <c r="AY1600" s="861"/>
      <c r="AZ1600" s="861"/>
      <c r="BA1600" s="861"/>
      <c r="BB1600" s="861"/>
    </row>
    <row r="1601" spans="1:70" s="862" customFormat="1" ht="21" customHeight="1">
      <c r="A1601" s="2742" t="s">
        <v>64</v>
      </c>
      <c r="B1601" s="2743"/>
      <c r="C1601" s="2743"/>
      <c r="D1601" s="2743"/>
      <c r="E1601" s="2743"/>
      <c r="F1601" s="2743"/>
      <c r="G1601" s="2743"/>
      <c r="H1601" s="2744"/>
      <c r="I1601" s="2744"/>
      <c r="J1601" s="2744"/>
      <c r="K1601" s="2744"/>
      <c r="L1601" s="2744"/>
      <c r="M1601" s="2744"/>
      <c r="N1601" s="2744"/>
      <c r="O1601" s="2744"/>
      <c r="P1601" s="2744"/>
      <c r="Q1601" s="2744"/>
      <c r="R1601" s="2744"/>
      <c r="S1601" s="2744"/>
      <c r="T1601" s="2744"/>
      <c r="U1601" s="2744"/>
      <c r="V1601" s="2744"/>
      <c r="W1601" s="2744"/>
      <c r="X1601" s="2744"/>
      <c r="Y1601" s="2744"/>
      <c r="Z1601" s="2744"/>
      <c r="AA1601" s="2744"/>
      <c r="AB1601" s="2745"/>
      <c r="AC1601" s="1861" t="str">
        <f>IF(AC1600&gt;=91,"ST",IF(AC1600&gt;=76,"T",IF(AC1600&gt;=66,"S",IF(AC1600&gt;=51,"R","SR"))))</f>
        <v>S</v>
      </c>
      <c r="AD1601" s="1861" t="str">
        <f>IF(AD1600&gt;=91,"ST",IF(AD1600&gt;=76,"T",IF(AD1600&gt;=66,"S",IF(AD1600&gt;=51,"R","SR"))))</f>
        <v>SR</v>
      </c>
      <c r="AE1601" s="1862"/>
      <c r="AF1601" s="200"/>
      <c r="AG1601" s="200"/>
      <c r="AH1601" s="861"/>
      <c r="AI1601" s="861"/>
      <c r="AJ1601" s="861"/>
      <c r="AK1601" s="861"/>
      <c r="AL1601" s="861"/>
      <c r="AM1601" s="861"/>
      <c r="AN1601" s="861"/>
      <c r="AO1601" s="861"/>
      <c r="AP1601" s="861"/>
      <c r="AQ1601" s="861"/>
      <c r="AR1601" s="861"/>
      <c r="AS1601" s="861"/>
      <c r="AT1601" s="861"/>
      <c r="AU1601" s="861"/>
      <c r="AV1601" s="861"/>
      <c r="AW1601" s="861"/>
      <c r="AX1601" s="861"/>
      <c r="AY1601" s="861"/>
      <c r="AZ1601" s="861"/>
      <c r="BA1601" s="861"/>
      <c r="BB1601" s="861"/>
    </row>
    <row r="1602" spans="1:70" ht="24.75" customHeight="1">
      <c r="A1602" s="477"/>
      <c r="B1602" s="906"/>
      <c r="C1602" s="477"/>
      <c r="D1602" s="477"/>
      <c r="E1602" s="477"/>
      <c r="F1602" s="477"/>
      <c r="G1602" s="477"/>
      <c r="H1602" s="477"/>
      <c r="I1602" s="2748" t="s">
        <v>222</v>
      </c>
      <c r="J1602" s="2749"/>
      <c r="K1602" s="907"/>
      <c r="L1602" s="907"/>
      <c r="M1602" s="907"/>
      <c r="N1602" s="907"/>
      <c r="O1602" s="933"/>
      <c r="P1602" s="477"/>
      <c r="Q1602" s="934"/>
      <c r="R1602" s="906"/>
      <c r="S1602" s="906"/>
      <c r="T1602" s="906"/>
      <c r="U1602" s="906"/>
      <c r="V1602" s="935"/>
      <c r="W1602" s="906"/>
      <c r="X1602" s="906"/>
      <c r="Y1602" s="934"/>
      <c r="Z1602" s="908"/>
      <c r="AA1602" s="907"/>
      <c r="AB1602" s="908"/>
      <c r="AC1602" s="907"/>
      <c r="AD1602" s="907"/>
      <c r="AE1602" s="198"/>
      <c r="AF1602" s="861"/>
      <c r="AG1602" s="861"/>
      <c r="AH1602" s="861"/>
      <c r="AI1602" s="861"/>
      <c r="AJ1602" s="861"/>
      <c r="AK1602" s="861"/>
      <c r="AL1602" s="861"/>
      <c r="AM1602" s="861"/>
      <c r="AN1602" s="861"/>
      <c r="AO1602" s="861"/>
      <c r="AP1602" s="861"/>
      <c r="AQ1602" s="861"/>
      <c r="AR1602" s="861"/>
      <c r="AS1602" s="861"/>
      <c r="AT1602" s="861"/>
      <c r="AU1602" s="861"/>
      <c r="AV1602" s="861"/>
      <c r="AW1602" s="861"/>
      <c r="AX1602" s="861"/>
      <c r="AY1602" s="861"/>
      <c r="AZ1602" s="861"/>
      <c r="BA1602" s="861"/>
      <c r="BB1602" s="861"/>
      <c r="BC1602" s="861"/>
      <c r="BD1602" s="861"/>
      <c r="BE1602" s="861"/>
      <c r="BF1602" s="861"/>
      <c r="BG1602" s="861"/>
      <c r="BH1602" s="861"/>
      <c r="BI1602" s="861"/>
      <c r="BJ1602" s="861"/>
      <c r="BK1602" s="861"/>
      <c r="BL1602" s="861"/>
      <c r="BM1602" s="861"/>
      <c r="BN1602" s="861"/>
      <c r="BO1602" s="861"/>
      <c r="BP1602" s="861"/>
      <c r="BQ1602" s="861"/>
    </row>
    <row r="1603" spans="1:70" ht="24.75" customHeight="1">
      <c r="A1603" s="865"/>
      <c r="B1603" s="1863"/>
      <c r="C1603" s="1864"/>
      <c r="D1603" s="1864"/>
      <c r="E1603" s="1864"/>
      <c r="F1603" s="1864"/>
      <c r="G1603" s="1864"/>
      <c r="H1603" s="1864"/>
      <c r="I1603" s="2746" t="s">
        <v>3173</v>
      </c>
      <c r="J1603" s="2747"/>
      <c r="K1603" s="866"/>
      <c r="L1603" s="1672">
        <f>SUM(L1604+L1616+L1622+L1625+L1627+L1647+L1650)</f>
        <v>36629070000</v>
      </c>
      <c r="M1603" s="1665"/>
      <c r="N1603" s="1672">
        <f>SUM(N1604+N1616+N1622+N1625+N1627+N1647+N1650)</f>
        <v>9684957522</v>
      </c>
      <c r="O1603" s="1666"/>
      <c r="P1603" s="1672">
        <f>SUM(P1604+P1616+P1622+P1625+P1627+P1647+P1650)</f>
        <v>3345873716</v>
      </c>
      <c r="Q1603" s="1667"/>
      <c r="R1603" s="1672">
        <f>SUM(R1604+R1616+R1622+R1625+R1627+R1647+R1650)</f>
        <v>627028464</v>
      </c>
      <c r="S1603" s="1618"/>
      <c r="T1603" s="1619">
        <f>T1604+T1616+T1627+T1647</f>
        <v>516189863</v>
      </c>
      <c r="U1603" s="1618"/>
      <c r="V1603" s="1680"/>
      <c r="W1603" s="1618"/>
      <c r="X1603" s="1618"/>
      <c r="Y1603" s="1667"/>
      <c r="Z1603" s="1672">
        <f>SUM(Z1604+Z1616+Z1622+Z1625+Z1627+Z1647+Z1650)</f>
        <v>1143218327</v>
      </c>
      <c r="AA1603" s="1665"/>
      <c r="AB1603" s="1672">
        <f>SUM(AB1604+AB1616+AB1622+AB1625+AB1627+AB1647+AB1650)</f>
        <v>10828175849</v>
      </c>
      <c r="AC1603" s="1665"/>
      <c r="AD1603" s="1665"/>
      <c r="AE1603" s="1865"/>
      <c r="AF1603" s="861"/>
      <c r="AG1603" s="861"/>
      <c r="AH1603" s="861"/>
      <c r="AI1603" s="861"/>
      <c r="AJ1603" s="861"/>
      <c r="AK1603" s="861"/>
      <c r="AL1603" s="861"/>
      <c r="AM1603" s="861"/>
      <c r="AN1603" s="861"/>
      <c r="AO1603" s="861"/>
      <c r="AP1603" s="861"/>
      <c r="AQ1603" s="861"/>
      <c r="AR1603" s="861"/>
      <c r="AS1603" s="861"/>
      <c r="AT1603" s="861"/>
      <c r="AU1603" s="861"/>
      <c r="AV1603" s="861"/>
      <c r="AW1603" s="861"/>
      <c r="AX1603" s="861"/>
      <c r="AY1603" s="861"/>
      <c r="AZ1603" s="861"/>
      <c r="BA1603" s="861"/>
      <c r="BB1603" s="861"/>
      <c r="BC1603" s="861"/>
      <c r="BD1603" s="861"/>
      <c r="BE1603" s="861"/>
      <c r="BF1603" s="861"/>
      <c r="BG1603" s="861"/>
      <c r="BH1603" s="861"/>
      <c r="BI1603" s="861"/>
      <c r="BJ1603" s="861"/>
      <c r="BK1603" s="861"/>
      <c r="BL1603" s="861"/>
      <c r="BM1603" s="861"/>
      <c r="BN1603" s="861"/>
      <c r="BO1603" s="861"/>
      <c r="BP1603" s="861"/>
      <c r="BQ1603" s="861"/>
    </row>
    <row r="1604" spans="1:70" s="1315" customFormat="1" ht="82.5">
      <c r="A1604" s="2541">
        <v>1</v>
      </c>
      <c r="B1604" s="398"/>
      <c r="C1604" s="1449"/>
      <c r="D1604" s="1449"/>
      <c r="E1604" s="1449"/>
      <c r="F1604" s="1449"/>
      <c r="G1604" s="1449"/>
      <c r="H1604" s="1449"/>
      <c r="I1604" s="399" t="s">
        <v>1560</v>
      </c>
      <c r="J1604" s="399" t="s">
        <v>684</v>
      </c>
      <c r="K1604" s="400">
        <f>SUM(K1605:K1615)/11</f>
        <v>72</v>
      </c>
      <c r="L1604" s="400">
        <f>SUM(L1605:L1615)</f>
        <v>5817500000</v>
      </c>
      <c r="M1604" s="400">
        <v>36</v>
      </c>
      <c r="N1604" s="399">
        <f>SUM(N1605:N1615)</f>
        <v>1701164798</v>
      </c>
      <c r="O1604" s="400">
        <f>SUM(O1605:O1615)/11</f>
        <v>12</v>
      </c>
      <c r="P1604" s="399">
        <f>SUM(P1605:P1615)</f>
        <v>492641857</v>
      </c>
      <c r="Q1604" s="400">
        <f>SUM(Q1605:Q1615)/11</f>
        <v>3</v>
      </c>
      <c r="R1604" s="400">
        <f>SUM(R1605:R1615)</f>
        <v>93280905</v>
      </c>
      <c r="S1604" s="400">
        <f>SUM(S1605:S1615)/11</f>
        <v>2.4545454545454546</v>
      </c>
      <c r="T1604" s="399">
        <f>SUM(T1605:T1615)</f>
        <v>101883891</v>
      </c>
      <c r="U1604" s="399">
        <f>+S1604+Q1604</f>
        <v>5.454545454545455</v>
      </c>
      <c r="V1604" s="297">
        <f>SUM(V1605:V1615)</f>
        <v>0</v>
      </c>
      <c r="W1604" s="399">
        <f t="shared" ref="W1604:W1618" si="472">X1604/P1604*100</f>
        <v>0</v>
      </c>
      <c r="X1604" s="399">
        <f>SUM(X1605:X1615)</f>
        <v>0</v>
      </c>
      <c r="Y1604" s="400">
        <f t="shared" ref="Y1604:Y1651" si="473">Q1604+S1604+U1604+W1604</f>
        <v>10.90909090909091</v>
      </c>
      <c r="Z1604" s="399">
        <f t="shared" ref="Z1604:Z1651" si="474">R1604+T1604+V1604+X1604</f>
        <v>195164796</v>
      </c>
      <c r="AA1604" s="400">
        <f t="shared" ref="AA1604:AA1646" si="475">M1604+Y1604</f>
        <v>46.909090909090907</v>
      </c>
      <c r="AB1604" s="399">
        <f t="shared" ref="AB1604:AB1646" si="476">N1604+Z1604</f>
        <v>1896329594</v>
      </c>
      <c r="AC1604" s="406">
        <f t="shared" ref="AC1604:AC1646" si="477">AA1604/K1604*100</f>
        <v>65.151515151515156</v>
      </c>
      <c r="AD1604" s="406">
        <f t="shared" ref="AD1604:AD1646" si="478">AB1604/L1604*100</f>
        <v>32.596984856037821</v>
      </c>
      <c r="AE1604" s="2546" t="s">
        <v>2458</v>
      </c>
      <c r="AF1604" s="200"/>
      <c r="AG1604" s="200"/>
      <c r="AH1604" s="200"/>
      <c r="AI1604" s="200"/>
      <c r="AJ1604" s="200"/>
      <c r="AK1604" s="200"/>
      <c r="AL1604" s="200"/>
      <c r="AM1604" s="200"/>
      <c r="AN1604" s="200"/>
      <c r="AO1604" s="200"/>
      <c r="AP1604" s="200"/>
      <c r="AQ1604" s="200"/>
      <c r="AR1604" s="200"/>
      <c r="AS1604" s="200"/>
      <c r="AT1604" s="200"/>
      <c r="AU1604" s="200"/>
      <c r="AV1604" s="200"/>
      <c r="AW1604" s="200"/>
      <c r="AX1604" s="200"/>
      <c r="AY1604" s="200"/>
      <c r="AZ1604" s="200"/>
      <c r="BA1604" s="200"/>
      <c r="BB1604" s="200"/>
      <c r="BC1604" s="200"/>
      <c r="BD1604" s="200"/>
      <c r="BE1604" s="200"/>
      <c r="BF1604" s="200"/>
      <c r="BG1604" s="200"/>
      <c r="BH1604" s="200"/>
      <c r="BI1604" s="200"/>
      <c r="BJ1604" s="200"/>
      <c r="BK1604" s="200"/>
      <c r="BL1604" s="200"/>
      <c r="BM1604" s="200"/>
      <c r="BN1604" s="200"/>
      <c r="BO1604" s="200"/>
      <c r="BP1604" s="200"/>
      <c r="BQ1604" s="200"/>
      <c r="BR1604" s="1346"/>
    </row>
    <row r="1605" spans="1:70" ht="49.5">
      <c r="A1605" s="2579"/>
      <c r="B1605" s="397"/>
      <c r="C1605" s="1450"/>
      <c r="D1605" s="1450"/>
      <c r="E1605" s="1450"/>
      <c r="F1605" s="1450"/>
      <c r="G1605" s="1450"/>
      <c r="H1605" s="1450"/>
      <c r="I1605" s="389" t="s">
        <v>67</v>
      </c>
      <c r="J1605" s="387" t="s">
        <v>1561</v>
      </c>
      <c r="K1605" s="386">
        <v>72</v>
      </c>
      <c r="L1605" s="386">
        <f>60000000+65000000+75000000+75500000+78000000+80000000</f>
        <v>433500000</v>
      </c>
      <c r="M1605" s="385">
        <v>36</v>
      </c>
      <c r="N1605" s="386">
        <f>45987962+49885950+35002648</f>
        <v>130876560</v>
      </c>
      <c r="O1605" s="386">
        <v>12</v>
      </c>
      <c r="P1605" s="386">
        <v>51460500</v>
      </c>
      <c r="Q1605" s="386">
        <v>3</v>
      </c>
      <c r="R1605" s="386">
        <v>8242924</v>
      </c>
      <c r="S1605" s="386">
        <v>3</v>
      </c>
      <c r="T1605" s="386">
        <v>6472011</v>
      </c>
      <c r="U1605" s="386">
        <f t="shared" ref="U1605:U1618" si="479">V1605/P1605*100</f>
        <v>0</v>
      </c>
      <c r="V1605" s="390">
        <v>0</v>
      </c>
      <c r="W1605" s="385">
        <f t="shared" si="472"/>
        <v>0</v>
      </c>
      <c r="X1605" s="385">
        <v>0</v>
      </c>
      <c r="Y1605" s="386">
        <f t="shared" si="473"/>
        <v>6</v>
      </c>
      <c r="Z1605" s="386">
        <f t="shared" si="474"/>
        <v>14714935</v>
      </c>
      <c r="AA1605" s="386">
        <f t="shared" si="475"/>
        <v>42</v>
      </c>
      <c r="AB1605" s="387">
        <f t="shared" si="476"/>
        <v>145591495</v>
      </c>
      <c r="AC1605" s="388">
        <f t="shared" si="477"/>
        <v>58.333333333333336</v>
      </c>
      <c r="AD1605" s="388">
        <f t="shared" si="478"/>
        <v>33.585119953863902</v>
      </c>
      <c r="AE1605" s="2597"/>
      <c r="AF1605" s="750"/>
      <c r="AG1605" s="750"/>
      <c r="AH1605" s="750"/>
      <c r="AI1605" s="750"/>
      <c r="AJ1605" s="750"/>
      <c r="AK1605" s="750"/>
      <c r="AL1605" s="750"/>
      <c r="AM1605" s="750"/>
      <c r="AN1605" s="750"/>
      <c r="AO1605" s="750"/>
      <c r="AP1605" s="750"/>
      <c r="AQ1605" s="750"/>
      <c r="AR1605" s="750"/>
      <c r="AS1605" s="750"/>
      <c r="AT1605" s="750"/>
      <c r="AU1605" s="750"/>
      <c r="AV1605" s="750"/>
      <c r="AW1605" s="750"/>
      <c r="AX1605" s="750"/>
      <c r="AY1605" s="750"/>
      <c r="AZ1605" s="750"/>
      <c r="BA1605" s="750"/>
      <c r="BB1605" s="750"/>
      <c r="BC1605" s="750"/>
      <c r="BD1605" s="750"/>
      <c r="BE1605" s="750"/>
      <c r="BF1605" s="750"/>
      <c r="BG1605" s="750"/>
      <c r="BH1605" s="750"/>
      <c r="BI1605" s="750"/>
      <c r="BJ1605" s="750"/>
      <c r="BK1605" s="750"/>
      <c r="BL1605" s="750"/>
      <c r="BM1605" s="750"/>
      <c r="BN1605" s="750"/>
      <c r="BO1605" s="750"/>
      <c r="BP1605" s="750"/>
      <c r="BQ1605" s="750"/>
    </row>
    <row r="1606" spans="1:70" ht="66">
      <c r="A1606" s="1450"/>
      <c r="B1606" s="384"/>
      <c r="C1606" s="1450"/>
      <c r="D1606" s="1450"/>
      <c r="E1606" s="1450"/>
      <c r="F1606" s="1450"/>
      <c r="G1606" s="1450"/>
      <c r="H1606" s="1450"/>
      <c r="I1606" s="389" t="s">
        <v>68</v>
      </c>
      <c r="J1606" s="387" t="s">
        <v>1562</v>
      </c>
      <c r="K1606" s="386">
        <v>72</v>
      </c>
      <c r="L1606" s="386">
        <f>70000000+75000000+80000000+81000000+85000000+90000000</f>
        <v>481000000</v>
      </c>
      <c r="M1606" s="385">
        <v>36</v>
      </c>
      <c r="N1606" s="386">
        <f>63245000+67480000+90350000</f>
        <v>221075000</v>
      </c>
      <c r="O1606" s="386">
        <v>12</v>
      </c>
      <c r="P1606" s="386">
        <v>89400000</v>
      </c>
      <c r="Q1606" s="386">
        <v>3</v>
      </c>
      <c r="R1606" s="386">
        <v>13550000</v>
      </c>
      <c r="S1606" s="386">
        <v>3</v>
      </c>
      <c r="T1606" s="386">
        <v>25450000</v>
      </c>
      <c r="U1606" s="386">
        <f t="shared" si="479"/>
        <v>0</v>
      </c>
      <c r="V1606" s="390">
        <v>0</v>
      </c>
      <c r="W1606" s="385">
        <f t="shared" si="472"/>
        <v>0</v>
      </c>
      <c r="X1606" s="386">
        <v>0</v>
      </c>
      <c r="Y1606" s="386">
        <f t="shared" si="473"/>
        <v>6</v>
      </c>
      <c r="Z1606" s="386">
        <f t="shared" si="474"/>
        <v>39000000</v>
      </c>
      <c r="AA1606" s="386">
        <f t="shared" si="475"/>
        <v>42</v>
      </c>
      <c r="AB1606" s="387">
        <f t="shared" si="476"/>
        <v>260075000</v>
      </c>
      <c r="AC1606" s="388">
        <f t="shared" si="477"/>
        <v>58.333333333333336</v>
      </c>
      <c r="AD1606" s="388">
        <f t="shared" si="478"/>
        <v>54.069646569646565</v>
      </c>
      <c r="AE1606" s="2597"/>
      <c r="AF1606" s="750"/>
      <c r="AG1606" s="750"/>
      <c r="AH1606" s="750"/>
      <c r="AI1606" s="750"/>
      <c r="AJ1606" s="750"/>
      <c r="AK1606" s="750"/>
      <c r="AL1606" s="750"/>
      <c r="AM1606" s="750"/>
      <c r="AN1606" s="750"/>
      <c r="AO1606" s="750"/>
      <c r="AP1606" s="750"/>
      <c r="AQ1606" s="750"/>
      <c r="AR1606" s="750"/>
      <c r="AS1606" s="750"/>
      <c r="AT1606" s="750"/>
      <c r="AU1606" s="750"/>
      <c r="AV1606" s="750"/>
      <c r="AW1606" s="750"/>
      <c r="AX1606" s="750"/>
      <c r="AY1606" s="750"/>
      <c r="AZ1606" s="750"/>
      <c r="BA1606" s="750"/>
      <c r="BB1606" s="750"/>
      <c r="BC1606" s="750"/>
      <c r="BD1606" s="750"/>
      <c r="BE1606" s="750"/>
      <c r="BF1606" s="750"/>
      <c r="BG1606" s="750"/>
      <c r="BH1606" s="750"/>
      <c r="BI1606" s="750"/>
      <c r="BJ1606" s="750"/>
      <c r="BK1606" s="750"/>
      <c r="BL1606" s="750"/>
      <c r="BM1606" s="750"/>
      <c r="BN1606" s="750"/>
      <c r="BO1606" s="750"/>
      <c r="BP1606" s="750"/>
      <c r="BQ1606" s="750"/>
    </row>
    <row r="1607" spans="1:70" ht="39.75" customHeight="1">
      <c r="A1607" s="2579"/>
      <c r="B1607" s="386"/>
      <c r="C1607" s="1451"/>
      <c r="D1607" s="1451"/>
      <c r="E1607" s="1451"/>
      <c r="F1607" s="1451"/>
      <c r="G1607" s="1451"/>
      <c r="H1607" s="1451"/>
      <c r="I1607" s="389" t="s">
        <v>69</v>
      </c>
      <c r="J1607" s="387" t="s">
        <v>1563</v>
      </c>
      <c r="K1607" s="386">
        <v>72</v>
      </c>
      <c r="L1607" s="386">
        <f>65000000+70000000+70500000+72500000+75000000+80000000</f>
        <v>433000000</v>
      </c>
      <c r="M1607" s="385">
        <v>36</v>
      </c>
      <c r="N1607" s="386">
        <f>67296000+42849400+57205000</f>
        <v>167350400</v>
      </c>
      <c r="O1607" s="386">
        <v>12</v>
      </c>
      <c r="P1607" s="386">
        <v>61205000</v>
      </c>
      <c r="Q1607" s="386">
        <v>3</v>
      </c>
      <c r="R1607" s="386">
        <v>13549236</v>
      </c>
      <c r="S1607" s="386">
        <v>3</v>
      </c>
      <c r="T1607" s="386">
        <v>16000000</v>
      </c>
      <c r="U1607" s="386">
        <f t="shared" si="479"/>
        <v>0</v>
      </c>
      <c r="V1607" s="390">
        <v>0</v>
      </c>
      <c r="W1607" s="385">
        <f t="shared" si="472"/>
        <v>0</v>
      </c>
      <c r="X1607" s="386">
        <v>0</v>
      </c>
      <c r="Y1607" s="386">
        <f t="shared" si="473"/>
        <v>6</v>
      </c>
      <c r="Z1607" s="386">
        <f t="shared" si="474"/>
        <v>29549236</v>
      </c>
      <c r="AA1607" s="386">
        <f t="shared" si="475"/>
        <v>42</v>
      </c>
      <c r="AB1607" s="387">
        <f t="shared" si="476"/>
        <v>196899636</v>
      </c>
      <c r="AC1607" s="388">
        <f t="shared" si="477"/>
        <v>58.333333333333336</v>
      </c>
      <c r="AD1607" s="388">
        <f t="shared" si="478"/>
        <v>45.473357043879908</v>
      </c>
      <c r="AE1607" s="2597"/>
      <c r="AF1607" s="750"/>
      <c r="AG1607" s="750"/>
      <c r="AH1607" s="750"/>
      <c r="AI1607" s="750"/>
      <c r="AJ1607" s="750"/>
      <c r="AK1607" s="750"/>
      <c r="AL1607" s="750"/>
      <c r="AM1607" s="750"/>
      <c r="AN1607" s="750"/>
      <c r="AO1607" s="750"/>
      <c r="AP1607" s="750"/>
      <c r="AQ1607" s="750"/>
      <c r="AR1607" s="750"/>
      <c r="AS1607" s="750"/>
      <c r="AT1607" s="750"/>
      <c r="AU1607" s="750"/>
      <c r="AV1607" s="750"/>
      <c r="AW1607" s="750"/>
      <c r="AX1607" s="750"/>
      <c r="AY1607" s="750"/>
      <c r="AZ1607" s="750"/>
      <c r="BA1607" s="750"/>
      <c r="BB1607" s="750"/>
      <c r="BC1607" s="750"/>
      <c r="BD1607" s="750"/>
      <c r="BE1607" s="750"/>
      <c r="BF1607" s="750"/>
      <c r="BG1607" s="750"/>
      <c r="BH1607" s="750"/>
      <c r="BI1607" s="750"/>
      <c r="BJ1607" s="750"/>
      <c r="BK1607" s="750"/>
      <c r="BL1607" s="750"/>
      <c r="BM1607" s="750"/>
      <c r="BN1607" s="750"/>
      <c r="BO1607" s="750"/>
      <c r="BP1607" s="750"/>
      <c r="BQ1607" s="750"/>
    </row>
    <row r="1608" spans="1:70" ht="49.5">
      <c r="A1608" s="2579"/>
      <c r="B1608" s="386"/>
      <c r="C1608" s="1451"/>
      <c r="D1608" s="1451"/>
      <c r="E1608" s="1451"/>
      <c r="F1608" s="1451"/>
      <c r="G1608" s="1451"/>
      <c r="H1608" s="1451"/>
      <c r="I1608" s="389" t="s">
        <v>1564</v>
      </c>
      <c r="J1608" s="391" t="s">
        <v>1565</v>
      </c>
      <c r="K1608" s="386">
        <v>72</v>
      </c>
      <c r="L1608" s="386">
        <f>70000000+45000000+45000000+45500000+50000000+55000000</f>
        <v>310500000</v>
      </c>
      <c r="M1608" s="385">
        <v>36</v>
      </c>
      <c r="N1608" s="386">
        <f>28931900+33050000+19350000</f>
        <v>81331900</v>
      </c>
      <c r="O1608" s="386">
        <v>12</v>
      </c>
      <c r="P1608" s="386">
        <v>20400000</v>
      </c>
      <c r="Q1608" s="386">
        <v>3</v>
      </c>
      <c r="R1608" s="386">
        <v>0</v>
      </c>
      <c r="S1608" s="386">
        <v>0</v>
      </c>
      <c r="T1608" s="386">
        <v>0</v>
      </c>
      <c r="U1608" s="386">
        <f t="shared" si="479"/>
        <v>0</v>
      </c>
      <c r="V1608" s="390">
        <v>0</v>
      </c>
      <c r="W1608" s="385">
        <f t="shared" si="472"/>
        <v>0</v>
      </c>
      <c r="X1608" s="386">
        <v>0</v>
      </c>
      <c r="Y1608" s="386">
        <f t="shared" si="473"/>
        <v>3</v>
      </c>
      <c r="Z1608" s="386">
        <f t="shared" si="474"/>
        <v>0</v>
      </c>
      <c r="AA1608" s="386">
        <f t="shared" si="475"/>
        <v>39</v>
      </c>
      <c r="AB1608" s="387">
        <f t="shared" si="476"/>
        <v>81331900</v>
      </c>
      <c r="AC1608" s="388">
        <f t="shared" si="477"/>
        <v>54.166666666666664</v>
      </c>
      <c r="AD1608" s="388">
        <f t="shared" si="478"/>
        <v>26.193848631239934</v>
      </c>
      <c r="AE1608" s="2597"/>
      <c r="AF1608" s="201"/>
      <c r="AG1608" s="201"/>
      <c r="AH1608" s="201"/>
      <c r="AI1608" s="201"/>
      <c r="AJ1608" s="201"/>
      <c r="AK1608" s="201"/>
      <c r="AL1608" s="201"/>
      <c r="AM1608" s="201"/>
      <c r="AN1608" s="201"/>
      <c r="AO1608" s="201"/>
      <c r="AP1608" s="201"/>
      <c r="AQ1608" s="201"/>
      <c r="AR1608" s="201"/>
      <c r="AS1608" s="201"/>
      <c r="AT1608" s="201"/>
      <c r="AU1608" s="201"/>
      <c r="AV1608" s="201"/>
      <c r="AW1608" s="201"/>
      <c r="AX1608" s="201"/>
      <c r="AY1608" s="201"/>
      <c r="AZ1608" s="201"/>
      <c r="BA1608" s="201"/>
      <c r="BB1608" s="201"/>
      <c r="BC1608" s="201"/>
      <c r="BD1608" s="201"/>
      <c r="BE1608" s="201"/>
      <c r="BF1608" s="201"/>
      <c r="BG1608" s="201"/>
      <c r="BH1608" s="201"/>
      <c r="BI1608" s="201"/>
      <c r="BJ1608" s="201"/>
      <c r="BK1608" s="201"/>
      <c r="BL1608" s="201"/>
      <c r="BM1608" s="201"/>
      <c r="BN1608" s="201"/>
      <c r="BO1608" s="201"/>
      <c r="BP1608" s="201"/>
      <c r="BQ1608" s="201"/>
    </row>
    <row r="1609" spans="1:70" ht="41.25" customHeight="1">
      <c r="A1609" s="2579"/>
      <c r="B1609" s="386"/>
      <c r="C1609" s="1451"/>
      <c r="D1609" s="1451"/>
      <c r="E1609" s="1451"/>
      <c r="F1609" s="1451"/>
      <c r="G1609" s="1451"/>
      <c r="H1609" s="1451"/>
      <c r="I1609" s="389" t="s">
        <v>1566</v>
      </c>
      <c r="J1609" s="387" t="s">
        <v>1567</v>
      </c>
      <c r="K1609" s="386">
        <v>72</v>
      </c>
      <c r="L1609" s="386">
        <f>70000000+73000000+75000000+75500000+80000000+85000000</f>
        <v>458500000</v>
      </c>
      <c r="M1609" s="385">
        <v>36</v>
      </c>
      <c r="N1609" s="386">
        <f>35342500+35031000+31655900</f>
        <v>102029400</v>
      </c>
      <c r="O1609" s="386">
        <v>12</v>
      </c>
      <c r="P1609" s="386">
        <v>56138367</v>
      </c>
      <c r="Q1609" s="386">
        <v>3</v>
      </c>
      <c r="R1609" s="386">
        <v>14428545</v>
      </c>
      <c r="S1609" s="386">
        <v>3</v>
      </c>
      <c r="T1609" s="386">
        <v>7397230</v>
      </c>
      <c r="U1609" s="386">
        <f t="shared" si="479"/>
        <v>0</v>
      </c>
      <c r="V1609" s="390">
        <v>0</v>
      </c>
      <c r="W1609" s="385">
        <f t="shared" si="472"/>
        <v>0</v>
      </c>
      <c r="X1609" s="386">
        <v>0</v>
      </c>
      <c r="Y1609" s="386">
        <f t="shared" si="473"/>
        <v>6</v>
      </c>
      <c r="Z1609" s="386">
        <f t="shared" si="474"/>
        <v>21825775</v>
      </c>
      <c r="AA1609" s="386">
        <f t="shared" si="475"/>
        <v>42</v>
      </c>
      <c r="AB1609" s="387">
        <f t="shared" si="476"/>
        <v>123855175</v>
      </c>
      <c r="AC1609" s="388">
        <f t="shared" si="477"/>
        <v>58.333333333333336</v>
      </c>
      <c r="AD1609" s="388">
        <f t="shared" si="478"/>
        <v>27.013124318429661</v>
      </c>
      <c r="AE1609" s="2597"/>
      <c r="AF1609" s="750"/>
      <c r="AG1609" s="750"/>
      <c r="AH1609" s="750"/>
      <c r="AI1609" s="750"/>
      <c r="AJ1609" s="750"/>
      <c r="AK1609" s="750"/>
      <c r="AL1609" s="750"/>
      <c r="AM1609" s="750"/>
      <c r="AN1609" s="750"/>
      <c r="AO1609" s="750"/>
      <c r="AP1609" s="750"/>
      <c r="AQ1609" s="750"/>
      <c r="AR1609" s="750"/>
      <c r="AS1609" s="750"/>
      <c r="AT1609" s="750"/>
      <c r="AU1609" s="750"/>
      <c r="AV1609" s="750"/>
      <c r="AW1609" s="750"/>
      <c r="AX1609" s="750"/>
      <c r="AY1609" s="750"/>
      <c r="AZ1609" s="750"/>
      <c r="BA1609" s="750"/>
      <c r="BB1609" s="750"/>
      <c r="BC1609" s="750"/>
      <c r="BD1609" s="750"/>
      <c r="BE1609" s="750"/>
      <c r="BF1609" s="750"/>
      <c r="BG1609" s="750"/>
      <c r="BH1609" s="750"/>
      <c r="BI1609" s="750"/>
      <c r="BJ1609" s="750"/>
      <c r="BK1609" s="750"/>
      <c r="BL1609" s="750"/>
      <c r="BM1609" s="750"/>
      <c r="BN1609" s="750"/>
      <c r="BO1609" s="750"/>
      <c r="BP1609" s="750"/>
      <c r="BQ1609" s="750"/>
    </row>
    <row r="1610" spans="1:70" ht="41.25" customHeight="1">
      <c r="A1610" s="2579"/>
      <c r="B1610" s="386"/>
      <c r="C1610" s="1451"/>
      <c r="D1610" s="1451"/>
      <c r="E1610" s="1451"/>
      <c r="F1610" s="1451"/>
      <c r="G1610" s="1451"/>
      <c r="H1610" s="1451"/>
      <c r="I1610" s="389" t="s">
        <v>71</v>
      </c>
      <c r="J1610" s="387" t="s">
        <v>1568</v>
      </c>
      <c r="K1610" s="386">
        <v>72</v>
      </c>
      <c r="L1610" s="386">
        <f>50000000+53000000+55000000+55500000+60000000+70000000</f>
        <v>343500000</v>
      </c>
      <c r="M1610" s="385">
        <v>36</v>
      </c>
      <c r="N1610" s="386">
        <f>42522500+42519000+40041900</f>
        <v>125083400</v>
      </c>
      <c r="O1610" s="386">
        <v>12</v>
      </c>
      <c r="P1610" s="386">
        <v>28219990</v>
      </c>
      <c r="Q1610" s="386">
        <v>3</v>
      </c>
      <c r="R1610" s="386">
        <v>4747200</v>
      </c>
      <c r="S1610" s="386">
        <v>3</v>
      </c>
      <c r="T1610" s="386">
        <v>2584650</v>
      </c>
      <c r="U1610" s="386">
        <f t="shared" si="479"/>
        <v>0</v>
      </c>
      <c r="V1610" s="390">
        <v>0</v>
      </c>
      <c r="W1610" s="385">
        <f t="shared" si="472"/>
        <v>0</v>
      </c>
      <c r="X1610" s="386">
        <v>0</v>
      </c>
      <c r="Y1610" s="386">
        <f t="shared" si="473"/>
        <v>6</v>
      </c>
      <c r="Z1610" s="386">
        <f t="shared" si="474"/>
        <v>7331850</v>
      </c>
      <c r="AA1610" s="386">
        <f t="shared" si="475"/>
        <v>42</v>
      </c>
      <c r="AB1610" s="387">
        <f t="shared" si="476"/>
        <v>132415250</v>
      </c>
      <c r="AC1610" s="388">
        <f t="shared" si="477"/>
        <v>58.333333333333336</v>
      </c>
      <c r="AD1610" s="388">
        <f t="shared" si="478"/>
        <v>38.548835516739452</v>
      </c>
      <c r="AE1610" s="2597"/>
      <c r="AF1610" s="750"/>
      <c r="AG1610" s="750"/>
      <c r="AH1610" s="750"/>
      <c r="AI1610" s="750"/>
      <c r="AJ1610" s="750"/>
      <c r="AK1610" s="750"/>
      <c r="AL1610" s="750"/>
      <c r="AM1610" s="750"/>
      <c r="AN1610" s="750"/>
      <c r="AO1610" s="750"/>
      <c r="AP1610" s="750"/>
      <c r="AQ1610" s="750"/>
      <c r="AR1610" s="750"/>
      <c r="AS1610" s="750"/>
      <c r="AT1610" s="750"/>
      <c r="AU1610" s="750"/>
      <c r="AV1610" s="750"/>
      <c r="AW1610" s="750"/>
      <c r="AX1610" s="750"/>
      <c r="AY1610" s="750"/>
      <c r="AZ1610" s="750"/>
      <c r="BA1610" s="750"/>
      <c r="BB1610" s="750"/>
      <c r="BC1610" s="750"/>
      <c r="BD1610" s="750"/>
      <c r="BE1610" s="750"/>
      <c r="BF1610" s="750"/>
      <c r="BG1610" s="750"/>
      <c r="BH1610" s="750"/>
      <c r="BI1610" s="750"/>
      <c r="BJ1610" s="750"/>
      <c r="BK1610" s="750"/>
      <c r="BL1610" s="750"/>
      <c r="BM1610" s="750"/>
      <c r="BN1610" s="750"/>
      <c r="BO1610" s="750"/>
      <c r="BP1610" s="750"/>
      <c r="BQ1610" s="750"/>
    </row>
    <row r="1611" spans="1:70" ht="82.5">
      <c r="A1611" s="2579"/>
      <c r="B1611" s="386"/>
      <c r="C1611" s="1451"/>
      <c r="D1611" s="1451"/>
      <c r="E1611" s="1451"/>
      <c r="F1611" s="1451"/>
      <c r="G1611" s="1451"/>
      <c r="H1611" s="1451"/>
      <c r="I1611" s="389" t="s">
        <v>72</v>
      </c>
      <c r="J1611" s="387" t="s">
        <v>1569</v>
      </c>
      <c r="K1611" s="386">
        <v>72</v>
      </c>
      <c r="L1611" s="386">
        <f>30000000+33000000+35000000+35500000+40000000+45000000</f>
        <v>218500000</v>
      </c>
      <c r="M1611" s="385">
        <v>36</v>
      </c>
      <c r="N1611" s="386">
        <f>21659000+21719000+9735000</f>
        <v>53113000</v>
      </c>
      <c r="O1611" s="386">
        <v>12</v>
      </c>
      <c r="P1611" s="386">
        <v>9738000</v>
      </c>
      <c r="Q1611" s="386">
        <v>3</v>
      </c>
      <c r="R1611" s="386">
        <f>[9]Sheet1!$E$22</f>
        <v>0</v>
      </c>
      <c r="S1611" s="386">
        <v>0</v>
      </c>
      <c r="T1611" s="386">
        <v>0</v>
      </c>
      <c r="U1611" s="386">
        <f t="shared" si="479"/>
        <v>0</v>
      </c>
      <c r="V1611" s="390">
        <v>0</v>
      </c>
      <c r="W1611" s="385">
        <f t="shared" si="472"/>
        <v>0</v>
      </c>
      <c r="X1611" s="386">
        <v>0</v>
      </c>
      <c r="Y1611" s="386">
        <f t="shared" si="473"/>
        <v>3</v>
      </c>
      <c r="Z1611" s="386">
        <f t="shared" si="474"/>
        <v>0</v>
      </c>
      <c r="AA1611" s="386">
        <f t="shared" si="475"/>
        <v>39</v>
      </c>
      <c r="AB1611" s="387">
        <f t="shared" si="476"/>
        <v>53113000</v>
      </c>
      <c r="AC1611" s="388">
        <f t="shared" si="477"/>
        <v>54.166666666666664</v>
      </c>
      <c r="AD1611" s="388">
        <f t="shared" si="478"/>
        <v>24.308009153318078</v>
      </c>
      <c r="AE1611" s="2597"/>
      <c r="AF1611" s="750"/>
      <c r="AG1611" s="750"/>
      <c r="AH1611" s="750"/>
      <c r="AI1611" s="750"/>
      <c r="AJ1611" s="750"/>
      <c r="AK1611" s="750"/>
      <c r="AL1611" s="750"/>
      <c r="AM1611" s="750"/>
      <c r="AN1611" s="750"/>
      <c r="AO1611" s="750"/>
      <c r="AP1611" s="750"/>
      <c r="AQ1611" s="750"/>
      <c r="AR1611" s="750"/>
      <c r="AS1611" s="750"/>
      <c r="AT1611" s="750"/>
      <c r="AU1611" s="750"/>
      <c r="AV1611" s="750"/>
      <c r="AW1611" s="750"/>
      <c r="AX1611" s="750"/>
      <c r="AY1611" s="750"/>
      <c r="AZ1611" s="750"/>
      <c r="BA1611" s="750"/>
      <c r="BB1611" s="750"/>
      <c r="BC1611" s="750"/>
      <c r="BD1611" s="750"/>
      <c r="BE1611" s="750"/>
      <c r="BF1611" s="750"/>
      <c r="BG1611" s="750"/>
      <c r="BH1611" s="750"/>
      <c r="BI1611" s="750"/>
      <c r="BJ1611" s="750"/>
      <c r="BK1611" s="750"/>
      <c r="BL1611" s="750"/>
      <c r="BM1611" s="750"/>
      <c r="BN1611" s="750"/>
      <c r="BO1611" s="750"/>
      <c r="BP1611" s="750"/>
      <c r="BQ1611" s="750"/>
    </row>
    <row r="1612" spans="1:70" ht="49.5">
      <c r="A1612" s="2579"/>
      <c r="B1612" s="386"/>
      <c r="C1612" s="1451"/>
      <c r="D1612" s="1451"/>
      <c r="E1612" s="1451"/>
      <c r="F1612" s="1451"/>
      <c r="G1612" s="1451"/>
      <c r="H1612" s="1451"/>
      <c r="I1612" s="389" t="s">
        <v>73</v>
      </c>
      <c r="J1612" s="387" t="s">
        <v>1570</v>
      </c>
      <c r="K1612" s="386">
        <v>72</v>
      </c>
      <c r="L1612" s="386">
        <f>20000000+23000000+25000000+25500000+30000000+35000000</f>
        <v>158500000</v>
      </c>
      <c r="M1612" s="385">
        <v>36</v>
      </c>
      <c r="N1612" s="386">
        <f>8900000+12400000+4320000</f>
        <v>25620000</v>
      </c>
      <c r="O1612" s="386">
        <v>12</v>
      </c>
      <c r="P1612" s="386">
        <v>4500000</v>
      </c>
      <c r="Q1612" s="386">
        <v>3</v>
      </c>
      <c r="R1612" s="386">
        <v>720000</v>
      </c>
      <c r="S1612" s="386">
        <v>3</v>
      </c>
      <c r="T1612" s="386">
        <v>1080000</v>
      </c>
      <c r="U1612" s="386">
        <f t="shared" si="479"/>
        <v>0</v>
      </c>
      <c r="V1612" s="390">
        <v>0</v>
      </c>
      <c r="W1612" s="385">
        <f t="shared" si="472"/>
        <v>0</v>
      </c>
      <c r="X1612" s="386">
        <v>0</v>
      </c>
      <c r="Y1612" s="386">
        <f t="shared" si="473"/>
        <v>6</v>
      </c>
      <c r="Z1612" s="386">
        <f t="shared" si="474"/>
        <v>1800000</v>
      </c>
      <c r="AA1612" s="386">
        <f t="shared" si="475"/>
        <v>42</v>
      </c>
      <c r="AB1612" s="387">
        <f t="shared" si="476"/>
        <v>27420000</v>
      </c>
      <c r="AC1612" s="388">
        <f t="shared" si="477"/>
        <v>58.333333333333336</v>
      </c>
      <c r="AD1612" s="388">
        <f t="shared" si="478"/>
        <v>17.299684542586753</v>
      </c>
      <c r="AE1612" s="2597"/>
    </row>
    <row r="1613" spans="1:70" ht="49.5">
      <c r="A1613" s="2579"/>
      <c r="B1613" s="386"/>
      <c r="C1613" s="1451"/>
      <c r="D1613" s="1451"/>
      <c r="E1613" s="1451"/>
      <c r="F1613" s="1451"/>
      <c r="G1613" s="1451"/>
      <c r="H1613" s="1451"/>
      <c r="I1613" s="389" t="s">
        <v>75</v>
      </c>
      <c r="J1613" s="387" t="s">
        <v>1571</v>
      </c>
      <c r="K1613" s="386">
        <v>72</v>
      </c>
      <c r="L1613" s="386">
        <f>40000000+45000000+55000000+55500000+60000000+65000000</f>
        <v>320500000</v>
      </c>
      <c r="M1613" s="385">
        <v>36</v>
      </c>
      <c r="N1613" s="386">
        <f>42215000+38192500+39592500</f>
        <v>120000000</v>
      </c>
      <c r="O1613" s="386">
        <v>12</v>
      </c>
      <c r="P1613" s="386">
        <v>42205000</v>
      </c>
      <c r="Q1613" s="386">
        <v>3</v>
      </c>
      <c r="R1613" s="1204">
        <v>20533000</v>
      </c>
      <c r="S1613" s="386">
        <v>3</v>
      </c>
      <c r="T1613" s="386">
        <v>1045000</v>
      </c>
      <c r="U1613" s="386">
        <f t="shared" si="479"/>
        <v>0</v>
      </c>
      <c r="V1613" s="390">
        <v>0</v>
      </c>
      <c r="W1613" s="385">
        <f t="shared" si="472"/>
        <v>0</v>
      </c>
      <c r="X1613" s="386">
        <v>0</v>
      </c>
      <c r="Y1613" s="386">
        <f t="shared" si="473"/>
        <v>6</v>
      </c>
      <c r="Z1613" s="386">
        <f t="shared" si="474"/>
        <v>21578000</v>
      </c>
      <c r="AA1613" s="386">
        <f t="shared" si="475"/>
        <v>42</v>
      </c>
      <c r="AB1613" s="387">
        <f t="shared" si="476"/>
        <v>141578000</v>
      </c>
      <c r="AC1613" s="388">
        <f t="shared" si="477"/>
        <v>58.333333333333336</v>
      </c>
      <c r="AD1613" s="388">
        <f t="shared" si="478"/>
        <v>44.174102964118568</v>
      </c>
      <c r="AE1613" s="2597"/>
    </row>
    <row r="1614" spans="1:70" ht="66">
      <c r="A1614" s="2579"/>
      <c r="B1614" s="386"/>
      <c r="C1614" s="1451"/>
      <c r="D1614" s="1451"/>
      <c r="E1614" s="1451"/>
      <c r="F1614" s="1451"/>
      <c r="G1614" s="1451"/>
      <c r="H1614" s="1451"/>
      <c r="I1614" s="389" t="s">
        <v>76</v>
      </c>
      <c r="J1614" s="387" t="s">
        <v>1572</v>
      </c>
      <c r="K1614" s="386">
        <v>72</v>
      </c>
      <c r="L1614" s="386">
        <f>250000000+300000000+335000000+340000000+350000000+360000000</f>
        <v>1935000000</v>
      </c>
      <c r="M1614" s="385">
        <v>36</v>
      </c>
      <c r="N1614" s="386">
        <f>203794943+159982700+161212495</f>
        <v>524990138</v>
      </c>
      <c r="O1614" s="386">
        <v>12</v>
      </c>
      <c r="P1614" s="386">
        <v>76375000</v>
      </c>
      <c r="Q1614" s="386">
        <v>3</v>
      </c>
      <c r="R1614" s="1205">
        <v>9725000</v>
      </c>
      <c r="S1614" s="386">
        <v>3</v>
      </c>
      <c r="T1614" s="386">
        <v>23405000</v>
      </c>
      <c r="U1614" s="386">
        <f t="shared" si="479"/>
        <v>0</v>
      </c>
      <c r="V1614" s="390">
        <v>0</v>
      </c>
      <c r="W1614" s="385">
        <f t="shared" si="472"/>
        <v>0</v>
      </c>
      <c r="X1614" s="386">
        <v>0</v>
      </c>
      <c r="Y1614" s="386">
        <f t="shared" si="473"/>
        <v>6</v>
      </c>
      <c r="Z1614" s="386">
        <f t="shared" si="474"/>
        <v>33130000</v>
      </c>
      <c r="AA1614" s="386">
        <f t="shared" si="475"/>
        <v>42</v>
      </c>
      <c r="AB1614" s="387">
        <f t="shared" si="476"/>
        <v>558120138</v>
      </c>
      <c r="AC1614" s="388">
        <f t="shared" si="477"/>
        <v>58.333333333333336</v>
      </c>
      <c r="AD1614" s="388">
        <f t="shared" si="478"/>
        <v>28.843417984496121</v>
      </c>
      <c r="AE1614" s="2597"/>
    </row>
    <row r="1615" spans="1:70" ht="82.5">
      <c r="A1615" s="2579"/>
      <c r="B1615" s="386"/>
      <c r="C1615" s="1451"/>
      <c r="D1615" s="1451"/>
      <c r="E1615" s="1451"/>
      <c r="F1615" s="1451"/>
      <c r="G1615" s="1451"/>
      <c r="H1615" s="1451"/>
      <c r="I1615" s="389" t="s">
        <v>77</v>
      </c>
      <c r="J1615" s="387" t="s">
        <v>1573</v>
      </c>
      <c r="K1615" s="386">
        <v>72</v>
      </c>
      <c r="L1615" s="386">
        <f>100000000+110000000+120000000+125000000+130000000+140000000</f>
        <v>725000000</v>
      </c>
      <c r="M1615" s="385">
        <v>36</v>
      </c>
      <c r="N1615" s="386">
        <f>51200000+51200000+47295000</f>
        <v>149695000</v>
      </c>
      <c r="O1615" s="386">
        <v>12</v>
      </c>
      <c r="P1615" s="386">
        <v>53000000</v>
      </c>
      <c r="Q1615" s="386">
        <v>3</v>
      </c>
      <c r="R1615" s="386">
        <v>7785000</v>
      </c>
      <c r="S1615" s="386">
        <v>3</v>
      </c>
      <c r="T1615" s="386">
        <v>18450000</v>
      </c>
      <c r="U1615" s="386">
        <f t="shared" si="479"/>
        <v>0</v>
      </c>
      <c r="V1615" s="390">
        <v>0</v>
      </c>
      <c r="W1615" s="385">
        <f t="shared" si="472"/>
        <v>0</v>
      </c>
      <c r="X1615" s="386">
        <v>0</v>
      </c>
      <c r="Y1615" s="386">
        <f t="shared" si="473"/>
        <v>6</v>
      </c>
      <c r="Z1615" s="386">
        <f t="shared" si="474"/>
        <v>26235000</v>
      </c>
      <c r="AA1615" s="386">
        <f t="shared" si="475"/>
        <v>42</v>
      </c>
      <c r="AB1615" s="387">
        <f t="shared" si="476"/>
        <v>175930000</v>
      </c>
      <c r="AC1615" s="388">
        <f t="shared" si="477"/>
        <v>58.333333333333336</v>
      </c>
      <c r="AD1615" s="388">
        <f t="shared" si="478"/>
        <v>24.266206896551722</v>
      </c>
      <c r="AE1615" s="2597"/>
    </row>
    <row r="1616" spans="1:70" s="22" customFormat="1" ht="82.5">
      <c r="A1616" s="1452">
        <v>2</v>
      </c>
      <c r="B1616" s="400"/>
      <c r="C1616" s="1452"/>
      <c r="D1616" s="1452"/>
      <c r="E1616" s="1452"/>
      <c r="F1616" s="1452"/>
      <c r="G1616" s="1452"/>
      <c r="H1616" s="1452"/>
      <c r="I1616" s="404" t="s">
        <v>36</v>
      </c>
      <c r="J1616" s="400" t="s">
        <v>3174</v>
      </c>
      <c r="K1616" s="400">
        <v>72</v>
      </c>
      <c r="L1616" s="400">
        <f>SUM(L1617:L1621)</f>
        <v>3077000000</v>
      </c>
      <c r="M1616" s="400">
        <v>36</v>
      </c>
      <c r="N1616" s="400">
        <f>SUM(N1617:N1621)</f>
        <v>810915387</v>
      </c>
      <c r="O1616" s="400">
        <v>12</v>
      </c>
      <c r="P1616" s="400">
        <f>SUM(P1617:P1621)</f>
        <v>457049500</v>
      </c>
      <c r="Q1616" s="400">
        <v>3</v>
      </c>
      <c r="R1616" s="400">
        <f>SUM(R1617:R1621)</f>
        <v>124804544</v>
      </c>
      <c r="S1616" s="400">
        <f>T1616/P1616*100</f>
        <v>9.1391577936306678</v>
      </c>
      <c r="T1616" s="400">
        <f>SUM(T1617:T1621)</f>
        <v>41770475</v>
      </c>
      <c r="U1616" s="400">
        <f t="shared" si="479"/>
        <v>0</v>
      </c>
      <c r="V1616" s="297">
        <f>SUM(V1617:V1621)</f>
        <v>0</v>
      </c>
      <c r="W1616" s="400">
        <f t="shared" si="472"/>
        <v>0</v>
      </c>
      <c r="X1616" s="400">
        <f>SUM(X1617:X1621)</f>
        <v>0</v>
      </c>
      <c r="Y1616" s="401">
        <f t="shared" si="473"/>
        <v>12.139157793630668</v>
      </c>
      <c r="Z1616" s="401">
        <f t="shared" si="474"/>
        <v>166575019</v>
      </c>
      <c r="AA1616" s="401">
        <f t="shared" si="475"/>
        <v>48.139157793630666</v>
      </c>
      <c r="AB1616" s="399">
        <f t="shared" si="476"/>
        <v>977490406</v>
      </c>
      <c r="AC1616" s="406">
        <f t="shared" si="477"/>
        <v>66.859941380042585</v>
      </c>
      <c r="AD1616" s="402">
        <f t="shared" si="478"/>
        <v>31.767644003899903</v>
      </c>
      <c r="AE1616" s="2546" t="s">
        <v>2458</v>
      </c>
      <c r="AF1616" s="750"/>
      <c r="AG1616" s="750"/>
      <c r="AH1616" s="750"/>
      <c r="AI1616" s="750"/>
      <c r="AJ1616" s="750"/>
      <c r="AK1616" s="750"/>
      <c r="AL1616" s="750"/>
      <c r="AM1616" s="750"/>
      <c r="AN1616" s="750"/>
      <c r="AO1616" s="750"/>
      <c r="AP1616" s="750"/>
      <c r="AQ1616" s="750"/>
      <c r="AR1616" s="750"/>
      <c r="AS1616" s="750"/>
      <c r="AT1616" s="750"/>
      <c r="AU1616" s="750"/>
      <c r="AV1616" s="750"/>
      <c r="AW1616" s="750"/>
      <c r="AX1616" s="750"/>
      <c r="AY1616" s="750"/>
      <c r="AZ1616" s="750"/>
      <c r="BA1616" s="750"/>
      <c r="BB1616" s="750"/>
      <c r="BC1616" s="752"/>
      <c r="BD1616" s="752"/>
      <c r="BE1616" s="752"/>
      <c r="BF1616" s="752"/>
      <c r="BG1616" s="752"/>
      <c r="BH1616" s="752"/>
      <c r="BI1616" s="752"/>
      <c r="BJ1616" s="752"/>
      <c r="BK1616" s="752"/>
      <c r="BL1616" s="752"/>
      <c r="BM1616" s="752"/>
      <c r="BN1616" s="752"/>
      <c r="BO1616" s="752"/>
      <c r="BP1616" s="752"/>
      <c r="BQ1616" s="752"/>
      <c r="BR1616" s="752"/>
    </row>
    <row r="1617" spans="1:70" ht="82.5">
      <c r="A1617" s="2579"/>
      <c r="B1617" s="386"/>
      <c r="C1617" s="1451"/>
      <c r="D1617" s="1451"/>
      <c r="E1617" s="1451"/>
      <c r="F1617" s="1451"/>
      <c r="G1617" s="1451"/>
      <c r="H1617" s="1451"/>
      <c r="I1617" s="389" t="s">
        <v>1574</v>
      </c>
      <c r="J1617" s="387" t="s">
        <v>3175</v>
      </c>
      <c r="K1617" s="386">
        <v>6</v>
      </c>
      <c r="L1617" s="386">
        <f>35000000+40000000+50000000+60000000+70000000+80000000</f>
        <v>335000000</v>
      </c>
      <c r="M1617" s="392">
        <v>3</v>
      </c>
      <c r="N1617" s="386">
        <f>44000000+112000000+3000000</f>
        <v>159000000</v>
      </c>
      <c r="O1617" s="392">
        <v>1</v>
      </c>
      <c r="P1617" s="386">
        <v>20000000</v>
      </c>
      <c r="Q1617" s="392">
        <v>1</v>
      </c>
      <c r="R1617" s="386">
        <v>15800000</v>
      </c>
      <c r="S1617" s="386">
        <f>T1617/P1617*100</f>
        <v>0</v>
      </c>
      <c r="T1617" s="386">
        <v>0</v>
      </c>
      <c r="U1617" s="386">
        <f t="shared" si="479"/>
        <v>0</v>
      </c>
      <c r="V1617" s="390">
        <v>0</v>
      </c>
      <c r="W1617" s="386">
        <f t="shared" si="472"/>
        <v>0</v>
      </c>
      <c r="X1617" s="386">
        <v>0</v>
      </c>
      <c r="Y1617" s="386">
        <f t="shared" si="473"/>
        <v>1</v>
      </c>
      <c r="Z1617" s="386">
        <f t="shared" si="474"/>
        <v>15800000</v>
      </c>
      <c r="AA1617" s="386">
        <f t="shared" si="475"/>
        <v>4</v>
      </c>
      <c r="AB1617" s="387">
        <f t="shared" si="476"/>
        <v>174800000</v>
      </c>
      <c r="AC1617" s="388">
        <f t="shared" si="477"/>
        <v>66.666666666666657</v>
      </c>
      <c r="AD1617" s="388">
        <f t="shared" si="478"/>
        <v>52.179104477611936</v>
      </c>
      <c r="AE1617" s="2597"/>
    </row>
    <row r="1618" spans="1:70" ht="66">
      <c r="A1618" s="2579"/>
      <c r="B1618" s="386"/>
      <c r="C1618" s="1451"/>
      <c r="D1618" s="1451"/>
      <c r="E1618" s="1451"/>
      <c r="F1618" s="1451"/>
      <c r="G1618" s="1451"/>
      <c r="H1618" s="1451"/>
      <c r="I1618" s="389" t="s">
        <v>1575</v>
      </c>
      <c r="J1618" s="391" t="s">
        <v>3176</v>
      </c>
      <c r="K1618" s="386">
        <v>6</v>
      </c>
      <c r="L1618" s="386">
        <f>45000000+50000000+60000000+75000000+80000000+85000000</f>
        <v>395000000</v>
      </c>
      <c r="M1618" s="392">
        <v>3</v>
      </c>
      <c r="N1618" s="386">
        <f>47230000+37000000+9000000</f>
        <v>93230000</v>
      </c>
      <c r="O1618" s="392">
        <v>1</v>
      </c>
      <c r="P1618" s="386">
        <v>114200000</v>
      </c>
      <c r="Q1618" s="392">
        <v>1</v>
      </c>
      <c r="R1618" s="386">
        <v>0</v>
      </c>
      <c r="S1618" s="386">
        <f>T1618/P1618*100</f>
        <v>0</v>
      </c>
      <c r="T1618" s="386">
        <v>0</v>
      </c>
      <c r="U1618" s="386">
        <f t="shared" si="479"/>
        <v>0</v>
      </c>
      <c r="V1618" s="390">
        <v>0</v>
      </c>
      <c r="W1618" s="386">
        <f t="shared" si="472"/>
        <v>0</v>
      </c>
      <c r="X1618" s="386">
        <v>0</v>
      </c>
      <c r="Y1618" s="386">
        <f t="shared" si="473"/>
        <v>1</v>
      </c>
      <c r="Z1618" s="386">
        <f t="shared" si="474"/>
        <v>0</v>
      </c>
      <c r="AA1618" s="386">
        <f t="shared" si="475"/>
        <v>4</v>
      </c>
      <c r="AB1618" s="387">
        <f t="shared" si="476"/>
        <v>93230000</v>
      </c>
      <c r="AC1618" s="388">
        <f t="shared" si="477"/>
        <v>66.666666666666657</v>
      </c>
      <c r="AD1618" s="388">
        <f t="shared" si="478"/>
        <v>23.60253164556962</v>
      </c>
      <c r="AE1618" s="2597"/>
    </row>
    <row r="1619" spans="1:70" ht="49.5">
      <c r="A1619" s="2579"/>
      <c r="B1619" s="386"/>
      <c r="C1619" s="1451"/>
      <c r="D1619" s="1451"/>
      <c r="E1619" s="1451"/>
      <c r="F1619" s="1451"/>
      <c r="G1619" s="1451"/>
      <c r="H1619" s="1451"/>
      <c r="I1619" s="389" t="s">
        <v>1576</v>
      </c>
      <c r="J1619" s="391" t="s">
        <v>3177</v>
      </c>
      <c r="K1619" s="386">
        <v>3</v>
      </c>
      <c r="L1619" s="386">
        <f>73000000+77000000+80000000+84000000+85000000+88000000</f>
        <v>487000000</v>
      </c>
      <c r="M1619" s="386">
        <v>0</v>
      </c>
      <c r="N1619" s="386">
        <v>0</v>
      </c>
      <c r="O1619" s="386">
        <v>1</v>
      </c>
      <c r="P1619" s="386">
        <v>61500000</v>
      </c>
      <c r="Q1619" s="386">
        <v>0</v>
      </c>
      <c r="R1619" s="1204">
        <v>57185000</v>
      </c>
      <c r="S1619" s="386">
        <v>0</v>
      </c>
      <c r="T1619" s="386">
        <v>0</v>
      </c>
      <c r="U1619" s="386">
        <v>0</v>
      </c>
      <c r="V1619" s="390">
        <v>0</v>
      </c>
      <c r="W1619" s="386">
        <v>0</v>
      </c>
      <c r="X1619" s="386">
        <v>0</v>
      </c>
      <c r="Y1619" s="386">
        <f t="shared" si="473"/>
        <v>0</v>
      </c>
      <c r="Z1619" s="386">
        <f t="shared" si="474"/>
        <v>57185000</v>
      </c>
      <c r="AA1619" s="386">
        <f t="shared" si="475"/>
        <v>0</v>
      </c>
      <c r="AB1619" s="387">
        <f t="shared" si="476"/>
        <v>57185000</v>
      </c>
      <c r="AC1619" s="388">
        <f t="shared" si="477"/>
        <v>0</v>
      </c>
      <c r="AD1619" s="388">
        <f t="shared" si="478"/>
        <v>11.742299794661191</v>
      </c>
      <c r="AE1619" s="2597"/>
    </row>
    <row r="1620" spans="1:70" ht="33">
      <c r="A1620" s="2579"/>
      <c r="B1620" s="386"/>
      <c r="C1620" s="1451"/>
      <c r="D1620" s="1451"/>
      <c r="E1620" s="1451"/>
      <c r="F1620" s="1451"/>
      <c r="G1620" s="1451"/>
      <c r="H1620" s="1451"/>
      <c r="I1620" s="389" t="s">
        <v>1577</v>
      </c>
      <c r="J1620" s="393" t="s">
        <v>3178</v>
      </c>
      <c r="K1620" s="386">
        <v>72</v>
      </c>
      <c r="L1620" s="386">
        <f>90000000+100000000+110000000+125000000+130000000+135000000</f>
        <v>690000000</v>
      </c>
      <c r="M1620" s="392">
        <v>36</v>
      </c>
      <c r="N1620" s="386">
        <f>19965000+50000000+40000000</f>
        <v>109965000</v>
      </c>
      <c r="O1620" s="392">
        <v>12</v>
      </c>
      <c r="P1620" s="386">
        <v>20000000</v>
      </c>
      <c r="Q1620" s="386">
        <v>3</v>
      </c>
      <c r="R1620" s="386">
        <v>8000000</v>
      </c>
      <c r="S1620" s="386">
        <v>1</v>
      </c>
      <c r="T1620" s="386">
        <v>11965000</v>
      </c>
      <c r="U1620" s="386">
        <f>V1620/P1620*100</f>
        <v>0</v>
      </c>
      <c r="V1620" s="390">
        <v>0</v>
      </c>
      <c r="W1620" s="386">
        <f>X1620/P1620*100</f>
        <v>0</v>
      </c>
      <c r="X1620" s="386">
        <v>0</v>
      </c>
      <c r="Y1620" s="386">
        <f t="shared" si="473"/>
        <v>4</v>
      </c>
      <c r="Z1620" s="386">
        <f t="shared" si="474"/>
        <v>19965000</v>
      </c>
      <c r="AA1620" s="386">
        <f t="shared" si="475"/>
        <v>40</v>
      </c>
      <c r="AB1620" s="387">
        <f t="shared" si="476"/>
        <v>129930000</v>
      </c>
      <c r="AC1620" s="388">
        <f t="shared" si="477"/>
        <v>55.555555555555557</v>
      </c>
      <c r="AD1620" s="388">
        <f t="shared" si="478"/>
        <v>18.830434782608695</v>
      </c>
      <c r="AE1620" s="2597"/>
    </row>
    <row r="1621" spans="1:70" ht="49.5">
      <c r="A1621" s="2579"/>
      <c r="B1621" s="386"/>
      <c r="C1621" s="1451"/>
      <c r="D1621" s="1451"/>
      <c r="E1621" s="1451"/>
      <c r="F1621" s="1451"/>
      <c r="G1621" s="1451"/>
      <c r="H1621" s="1451"/>
      <c r="I1621" s="389" t="s">
        <v>1578</v>
      </c>
      <c r="J1621" s="391" t="s">
        <v>3179</v>
      </c>
      <c r="K1621" s="386">
        <v>72</v>
      </c>
      <c r="L1621" s="386">
        <f>170000000+180000000+190000000+200000000+210000000+220000000</f>
        <v>1170000000</v>
      </c>
      <c r="M1621" s="386">
        <v>36</v>
      </c>
      <c r="N1621" s="386">
        <f>144681100+147653000+156386287</f>
        <v>448720387</v>
      </c>
      <c r="O1621" s="386">
        <v>12</v>
      </c>
      <c r="P1621" s="386">
        <v>241349500</v>
      </c>
      <c r="Q1621" s="386">
        <v>3</v>
      </c>
      <c r="R1621" s="386">
        <v>43819544</v>
      </c>
      <c r="S1621" s="386">
        <v>3</v>
      </c>
      <c r="T1621" s="386">
        <v>29805475</v>
      </c>
      <c r="U1621" s="386">
        <v>0</v>
      </c>
      <c r="V1621" s="390">
        <v>0</v>
      </c>
      <c r="W1621" s="386">
        <f>X1621/P1621*100</f>
        <v>0</v>
      </c>
      <c r="X1621" s="386">
        <v>0</v>
      </c>
      <c r="Y1621" s="386">
        <f t="shared" si="473"/>
        <v>6</v>
      </c>
      <c r="Z1621" s="386">
        <f t="shared" si="474"/>
        <v>73625019</v>
      </c>
      <c r="AA1621" s="386">
        <f t="shared" si="475"/>
        <v>42</v>
      </c>
      <c r="AB1621" s="387">
        <f t="shared" si="476"/>
        <v>522345406</v>
      </c>
      <c r="AC1621" s="388">
        <f t="shared" si="477"/>
        <v>58.333333333333336</v>
      </c>
      <c r="AD1621" s="388">
        <f t="shared" si="478"/>
        <v>44.644906495726495</v>
      </c>
      <c r="AE1621" s="2597"/>
    </row>
    <row r="1622" spans="1:70" s="1315" customFormat="1" ht="66">
      <c r="A1622" s="2546">
        <v>3</v>
      </c>
      <c r="B1622" s="399"/>
      <c r="C1622" s="546"/>
      <c r="D1622" s="546"/>
      <c r="E1622" s="546"/>
      <c r="F1622" s="546"/>
      <c r="G1622" s="546"/>
      <c r="H1622" s="546"/>
      <c r="I1622" s="405" t="s">
        <v>1580</v>
      </c>
      <c r="J1622" s="399" t="s">
        <v>1581</v>
      </c>
      <c r="K1622" s="1206">
        <v>100</v>
      </c>
      <c r="L1622" s="400">
        <f>L1623+L1624</f>
        <v>420070000</v>
      </c>
      <c r="M1622" s="399">
        <v>100</v>
      </c>
      <c r="N1622" s="399">
        <f>N1623</f>
        <v>24570000</v>
      </c>
      <c r="O1622" s="1206" t="s">
        <v>46</v>
      </c>
      <c r="P1622" s="400">
        <f>P1623</f>
        <v>0</v>
      </c>
      <c r="Q1622" s="399">
        <v>0</v>
      </c>
      <c r="R1622" s="400">
        <f>R1623</f>
        <v>0</v>
      </c>
      <c r="S1622" s="400">
        <v>0</v>
      </c>
      <c r="T1622" s="400">
        <f>T1623</f>
        <v>0</v>
      </c>
      <c r="U1622" s="400">
        <v>0</v>
      </c>
      <c r="V1622" s="297">
        <f>V1623</f>
        <v>0</v>
      </c>
      <c r="W1622" s="399">
        <v>0</v>
      </c>
      <c r="X1622" s="399">
        <f>X1623</f>
        <v>0</v>
      </c>
      <c r="Y1622" s="400">
        <f t="shared" si="473"/>
        <v>0</v>
      </c>
      <c r="Z1622" s="399">
        <f t="shared" si="474"/>
        <v>0</v>
      </c>
      <c r="AA1622" s="400">
        <f t="shared" si="475"/>
        <v>100</v>
      </c>
      <c r="AB1622" s="399">
        <f t="shared" si="476"/>
        <v>24570000</v>
      </c>
      <c r="AC1622" s="406">
        <f t="shared" si="477"/>
        <v>100</v>
      </c>
      <c r="AD1622" s="406">
        <f t="shared" si="478"/>
        <v>5.8490251624729215</v>
      </c>
      <c r="AE1622" s="2546" t="s">
        <v>2458</v>
      </c>
      <c r="AF1622" s="1345"/>
      <c r="AG1622" s="1345"/>
      <c r="AH1622" s="1345"/>
      <c r="AI1622" s="1345"/>
      <c r="AJ1622" s="1345"/>
      <c r="AK1622" s="1345"/>
      <c r="AL1622" s="1345"/>
      <c r="AM1622" s="1345"/>
      <c r="AN1622" s="1345"/>
      <c r="AO1622" s="1345"/>
      <c r="AP1622" s="1345"/>
      <c r="AQ1622" s="1345"/>
      <c r="AR1622" s="1345"/>
      <c r="AS1622" s="1345"/>
      <c r="AT1622" s="1345"/>
      <c r="AU1622" s="1345"/>
      <c r="AV1622" s="1345"/>
      <c r="AW1622" s="1345"/>
      <c r="AX1622" s="1345"/>
      <c r="AY1622" s="1345"/>
      <c r="AZ1622" s="1345"/>
      <c r="BA1622" s="1345"/>
      <c r="BB1622" s="1345"/>
      <c r="BC1622" s="1346"/>
      <c r="BD1622" s="1346"/>
      <c r="BE1622" s="1346"/>
      <c r="BF1622" s="1346"/>
      <c r="BG1622" s="1346"/>
      <c r="BH1622" s="1346"/>
      <c r="BI1622" s="1346"/>
      <c r="BJ1622" s="1346"/>
      <c r="BK1622" s="1346"/>
      <c r="BL1622" s="1346"/>
      <c r="BM1622" s="1346"/>
      <c r="BN1622" s="1346"/>
      <c r="BO1622" s="1346"/>
      <c r="BP1622" s="1346"/>
      <c r="BQ1622" s="1346"/>
      <c r="BR1622" s="1346"/>
    </row>
    <row r="1623" spans="1:70" ht="99">
      <c r="A1623" s="1450"/>
      <c r="B1623" s="387"/>
      <c r="C1623" s="1453"/>
      <c r="D1623" s="1453"/>
      <c r="E1623" s="1453"/>
      <c r="F1623" s="1453"/>
      <c r="G1623" s="1453"/>
      <c r="H1623" s="1453"/>
      <c r="I1623" s="394" t="s">
        <v>1582</v>
      </c>
      <c r="J1623" s="387" t="s">
        <v>3181</v>
      </c>
      <c r="K1623" s="387">
        <v>72</v>
      </c>
      <c r="L1623" s="386">
        <f>N1623</f>
        <v>24570000</v>
      </c>
      <c r="M1623" s="391">
        <v>36</v>
      </c>
      <c r="N1623" s="386">
        <v>24570000</v>
      </c>
      <c r="O1623" s="386">
        <v>0</v>
      </c>
      <c r="P1623" s="386">
        <v>0</v>
      </c>
      <c r="Q1623" s="387">
        <v>0</v>
      </c>
      <c r="R1623" s="387">
        <f>'[10]Maret 17 '!$H$70</f>
        <v>0</v>
      </c>
      <c r="S1623" s="386">
        <v>0</v>
      </c>
      <c r="T1623" s="387">
        <v>0</v>
      </c>
      <c r="U1623" s="386">
        <v>0</v>
      </c>
      <c r="V1623" s="390">
        <v>0</v>
      </c>
      <c r="W1623" s="387">
        <v>0</v>
      </c>
      <c r="X1623" s="387">
        <v>0</v>
      </c>
      <c r="Y1623" s="386">
        <f t="shared" si="473"/>
        <v>0</v>
      </c>
      <c r="Z1623" s="386">
        <f t="shared" si="474"/>
        <v>0</v>
      </c>
      <c r="AA1623" s="386">
        <f t="shared" si="475"/>
        <v>36</v>
      </c>
      <c r="AB1623" s="387">
        <f t="shared" si="476"/>
        <v>24570000</v>
      </c>
      <c r="AC1623" s="388">
        <f t="shared" si="477"/>
        <v>50</v>
      </c>
      <c r="AD1623" s="388">
        <f t="shared" si="478"/>
        <v>100</v>
      </c>
      <c r="AE1623" s="2597"/>
    </row>
    <row r="1624" spans="1:70" ht="82.5">
      <c r="A1624" s="1450"/>
      <c r="B1624" s="387"/>
      <c r="C1624" s="1453"/>
      <c r="D1624" s="1453"/>
      <c r="E1624" s="1453"/>
      <c r="F1624" s="1453"/>
      <c r="G1624" s="1453"/>
      <c r="H1624" s="1453"/>
      <c r="I1624" s="394" t="s">
        <v>1583</v>
      </c>
      <c r="J1624" s="387" t="s">
        <v>3180</v>
      </c>
      <c r="K1624" s="387">
        <v>6</v>
      </c>
      <c r="L1624" s="386">
        <f>60000000+62500000+65000000+65500000+70000000+72500000</f>
        <v>395500000</v>
      </c>
      <c r="M1624" s="387"/>
      <c r="N1624" s="386">
        <v>0</v>
      </c>
      <c r="O1624" s="386">
        <v>0</v>
      </c>
      <c r="P1624" s="386">
        <v>0</v>
      </c>
      <c r="Q1624" s="387">
        <v>0</v>
      </c>
      <c r="R1624" s="387">
        <v>0</v>
      </c>
      <c r="S1624" s="386">
        <v>0</v>
      </c>
      <c r="T1624" s="387">
        <v>0</v>
      </c>
      <c r="U1624" s="386">
        <v>0</v>
      </c>
      <c r="V1624" s="390">
        <v>0</v>
      </c>
      <c r="W1624" s="387">
        <v>0</v>
      </c>
      <c r="X1624" s="387"/>
      <c r="Y1624" s="386">
        <f t="shared" si="473"/>
        <v>0</v>
      </c>
      <c r="Z1624" s="386">
        <f t="shared" si="474"/>
        <v>0</v>
      </c>
      <c r="AA1624" s="386">
        <f t="shared" si="475"/>
        <v>0</v>
      </c>
      <c r="AB1624" s="387">
        <f t="shared" si="476"/>
        <v>0</v>
      </c>
      <c r="AC1624" s="388">
        <f t="shared" si="477"/>
        <v>0</v>
      </c>
      <c r="AD1624" s="388">
        <f t="shared" si="478"/>
        <v>0</v>
      </c>
      <c r="AE1624" s="2597"/>
    </row>
    <row r="1625" spans="1:70" s="1315" customFormat="1" ht="49.5">
      <c r="A1625" s="2546">
        <v>4</v>
      </c>
      <c r="B1625" s="399"/>
      <c r="C1625" s="546"/>
      <c r="D1625" s="546"/>
      <c r="E1625" s="546"/>
      <c r="F1625" s="546"/>
      <c r="G1625" s="546"/>
      <c r="H1625" s="546"/>
      <c r="I1625" s="405" t="s">
        <v>1584</v>
      </c>
      <c r="J1625" s="399" t="s">
        <v>3135</v>
      </c>
      <c r="K1625" s="400">
        <v>100</v>
      </c>
      <c r="L1625" s="400">
        <f>L1626</f>
        <v>297000000</v>
      </c>
      <c r="M1625" s="399">
        <v>70</v>
      </c>
      <c r="N1625" s="399">
        <f>N1626</f>
        <v>82599900</v>
      </c>
      <c r="O1625" s="1206" t="s">
        <v>46</v>
      </c>
      <c r="P1625" s="400">
        <f>P1626</f>
        <v>0</v>
      </c>
      <c r="Q1625" s="399">
        <v>0</v>
      </c>
      <c r="R1625" s="400">
        <f>R1626</f>
        <v>0</v>
      </c>
      <c r="S1625" s="400">
        <v>0</v>
      </c>
      <c r="T1625" s="400">
        <f>T1626</f>
        <v>0</v>
      </c>
      <c r="U1625" s="400">
        <v>0</v>
      </c>
      <c r="V1625" s="297">
        <f>V1626</f>
        <v>0</v>
      </c>
      <c r="W1625" s="399">
        <v>0</v>
      </c>
      <c r="X1625" s="399">
        <f>X1626</f>
        <v>0</v>
      </c>
      <c r="Y1625" s="400">
        <f t="shared" si="473"/>
        <v>0</v>
      </c>
      <c r="Z1625" s="400">
        <f t="shared" si="474"/>
        <v>0</v>
      </c>
      <c r="AA1625" s="400">
        <f t="shared" si="475"/>
        <v>70</v>
      </c>
      <c r="AB1625" s="399">
        <f t="shared" si="476"/>
        <v>82599900</v>
      </c>
      <c r="AC1625" s="406">
        <f t="shared" si="477"/>
        <v>70</v>
      </c>
      <c r="AD1625" s="406">
        <f t="shared" si="478"/>
        <v>27.811414141414144</v>
      </c>
      <c r="AE1625" s="2546" t="s">
        <v>2458</v>
      </c>
      <c r="AF1625" s="201"/>
      <c r="AG1625" s="201"/>
      <c r="AH1625" s="201"/>
      <c r="AI1625" s="201"/>
      <c r="AJ1625" s="201"/>
      <c r="AK1625" s="201"/>
      <c r="AL1625" s="201"/>
      <c r="AM1625" s="201"/>
      <c r="AN1625" s="201"/>
      <c r="AO1625" s="201"/>
      <c r="AP1625" s="201"/>
      <c r="AQ1625" s="201"/>
      <c r="AR1625" s="201"/>
      <c r="AS1625" s="201"/>
      <c r="AT1625" s="201"/>
      <c r="AU1625" s="201"/>
      <c r="AV1625" s="201"/>
      <c r="AW1625" s="201"/>
      <c r="AX1625" s="201"/>
      <c r="AY1625" s="201"/>
      <c r="AZ1625" s="201"/>
      <c r="BA1625" s="201"/>
      <c r="BB1625" s="201"/>
      <c r="BC1625" s="201"/>
      <c r="BD1625" s="201"/>
      <c r="BE1625" s="201"/>
      <c r="BF1625" s="201"/>
      <c r="BG1625" s="201"/>
      <c r="BH1625" s="201"/>
      <c r="BI1625" s="201"/>
      <c r="BJ1625" s="201"/>
      <c r="BK1625" s="201"/>
      <c r="BL1625" s="201"/>
      <c r="BM1625" s="201"/>
      <c r="BN1625" s="201"/>
      <c r="BO1625" s="201"/>
      <c r="BP1625" s="201"/>
      <c r="BQ1625" s="201"/>
      <c r="BR1625" s="1346"/>
    </row>
    <row r="1626" spans="1:70" ht="66">
      <c r="A1626" s="1450"/>
      <c r="B1626" s="387"/>
      <c r="C1626" s="1453"/>
      <c r="D1626" s="1453"/>
      <c r="E1626" s="1453"/>
      <c r="F1626" s="1453"/>
      <c r="G1626" s="1453"/>
      <c r="H1626" s="1453"/>
      <c r="I1626" s="394" t="s">
        <v>427</v>
      </c>
      <c r="J1626" s="387" t="s">
        <v>1585</v>
      </c>
      <c r="K1626" s="387">
        <v>72</v>
      </c>
      <c r="L1626" s="386">
        <f>47000000+50000000+50000000+50000000+50000000+50000000</f>
        <v>297000000</v>
      </c>
      <c r="M1626" s="387">
        <v>24</v>
      </c>
      <c r="N1626" s="386">
        <f>48994700+33605200</f>
        <v>82599900</v>
      </c>
      <c r="O1626" s="386">
        <v>0</v>
      </c>
      <c r="P1626" s="386">
        <v>0</v>
      </c>
      <c r="Q1626" s="387">
        <v>0</v>
      </c>
      <c r="R1626" s="387">
        <f>'[10]Maret 17 '!$H$70</f>
        <v>0</v>
      </c>
      <c r="S1626" s="386">
        <v>0</v>
      </c>
      <c r="T1626" s="387">
        <v>0</v>
      </c>
      <c r="U1626" s="386">
        <v>0</v>
      </c>
      <c r="V1626" s="390">
        <v>0</v>
      </c>
      <c r="W1626" s="387">
        <v>0</v>
      </c>
      <c r="X1626" s="387">
        <v>0</v>
      </c>
      <c r="Y1626" s="386">
        <f t="shared" si="473"/>
        <v>0</v>
      </c>
      <c r="Z1626" s="386">
        <f t="shared" si="474"/>
        <v>0</v>
      </c>
      <c r="AA1626" s="386">
        <f t="shared" si="475"/>
        <v>24</v>
      </c>
      <c r="AB1626" s="387">
        <f t="shared" si="476"/>
        <v>82599900</v>
      </c>
      <c r="AC1626" s="388">
        <f t="shared" si="477"/>
        <v>33.333333333333329</v>
      </c>
      <c r="AD1626" s="388">
        <f t="shared" si="478"/>
        <v>27.811414141414144</v>
      </c>
      <c r="AE1626" s="2597"/>
      <c r="AF1626" s="201"/>
      <c r="AG1626" s="201"/>
      <c r="AH1626" s="201"/>
      <c r="AI1626" s="201"/>
      <c r="AJ1626" s="201"/>
      <c r="AK1626" s="201"/>
      <c r="AL1626" s="201"/>
      <c r="AM1626" s="201"/>
      <c r="AN1626" s="201"/>
      <c r="AO1626" s="201"/>
      <c r="AP1626" s="201"/>
      <c r="AQ1626" s="201"/>
      <c r="AR1626" s="201"/>
      <c r="AS1626" s="201"/>
      <c r="AT1626" s="201"/>
      <c r="AU1626" s="201"/>
      <c r="AV1626" s="201"/>
      <c r="AW1626" s="201"/>
      <c r="AX1626" s="201"/>
      <c r="AY1626" s="201"/>
      <c r="AZ1626" s="201"/>
      <c r="BA1626" s="201"/>
      <c r="BB1626" s="201"/>
      <c r="BC1626" s="201"/>
      <c r="BD1626" s="201"/>
      <c r="BE1626" s="201"/>
      <c r="BF1626" s="201"/>
      <c r="BG1626" s="201"/>
      <c r="BH1626" s="201"/>
      <c r="BI1626" s="201"/>
      <c r="BJ1626" s="201"/>
      <c r="BK1626" s="201"/>
      <c r="BL1626" s="201"/>
      <c r="BM1626" s="201"/>
      <c r="BN1626" s="201"/>
      <c r="BO1626" s="201"/>
      <c r="BP1626" s="201"/>
      <c r="BQ1626" s="201"/>
    </row>
    <row r="1627" spans="1:70" s="1315" customFormat="1" ht="66">
      <c r="A1627" s="1452">
        <v>5</v>
      </c>
      <c r="B1627" s="400"/>
      <c r="C1627" s="1452"/>
      <c r="D1627" s="1452"/>
      <c r="E1627" s="1452"/>
      <c r="F1627" s="1452"/>
      <c r="G1627" s="1452"/>
      <c r="H1627" s="1452"/>
      <c r="I1627" s="400" t="s">
        <v>1580</v>
      </c>
      <c r="J1627" s="399" t="s">
        <v>1581</v>
      </c>
      <c r="K1627" s="400">
        <f>SUM(K1628:K1646)/19</f>
        <v>1168.8947368421052</v>
      </c>
      <c r="L1627" s="400">
        <f>SUM(L1628:L1644)</f>
        <v>24617500000</v>
      </c>
      <c r="M1627" s="400">
        <f>SUM(M1628:M1646)/19</f>
        <v>228.15789473684211</v>
      </c>
      <c r="N1627" s="400">
        <f>SUM(N1628:N1638)</f>
        <v>6349984756</v>
      </c>
      <c r="O1627" s="400">
        <f>SUM(O1628:O1646)/19</f>
        <v>185.26315789473685</v>
      </c>
      <c r="P1627" s="400">
        <f>SUM(P1628:P1646)</f>
        <v>2214111809</v>
      </c>
      <c r="Q1627" s="400">
        <f>SUM(Q1628:Q1646)/19</f>
        <v>22.368421052631579</v>
      </c>
      <c r="R1627" s="400">
        <f>SUM(R1628:R1646)</f>
        <v>408943015</v>
      </c>
      <c r="S1627" s="400">
        <f>T1627/P1627*100</f>
        <v>15.140856737104372</v>
      </c>
      <c r="T1627" s="400">
        <f>SUM(T1628:T1638)</f>
        <v>335235497</v>
      </c>
      <c r="U1627" s="400">
        <f>V1627/P1627*100</f>
        <v>0</v>
      </c>
      <c r="V1627" s="297">
        <f>SUM(V1628:V1638)</f>
        <v>0</v>
      </c>
      <c r="W1627" s="400">
        <f>X1627/P1627*100</f>
        <v>0</v>
      </c>
      <c r="X1627" s="400">
        <f>SUM(X1628:X1638)</f>
        <v>0</v>
      </c>
      <c r="Y1627" s="400">
        <f t="shared" si="473"/>
        <v>37.509277789735947</v>
      </c>
      <c r="Z1627" s="400">
        <f t="shared" si="474"/>
        <v>744178512</v>
      </c>
      <c r="AA1627" s="400">
        <f t="shared" si="475"/>
        <v>265.66717252657804</v>
      </c>
      <c r="AB1627" s="399">
        <f t="shared" si="476"/>
        <v>7094163268</v>
      </c>
      <c r="AC1627" s="406">
        <f t="shared" si="477"/>
        <v>22.728066450560508</v>
      </c>
      <c r="AD1627" s="406">
        <f t="shared" si="478"/>
        <v>28.817561767035642</v>
      </c>
      <c r="AE1627" s="2546" t="s">
        <v>2458</v>
      </c>
      <c r="AF1627" s="201"/>
      <c r="AG1627" s="201"/>
      <c r="AH1627" s="201"/>
      <c r="AI1627" s="201"/>
      <c r="AJ1627" s="201"/>
      <c r="AK1627" s="201"/>
      <c r="AL1627" s="201"/>
      <c r="AM1627" s="201"/>
      <c r="AN1627" s="201"/>
      <c r="AO1627" s="201"/>
      <c r="AP1627" s="201"/>
      <c r="AQ1627" s="201"/>
      <c r="AR1627" s="201"/>
      <c r="AS1627" s="201"/>
      <c r="AT1627" s="201"/>
      <c r="AU1627" s="201"/>
      <c r="AV1627" s="201"/>
      <c r="AW1627" s="201"/>
      <c r="AX1627" s="201"/>
      <c r="AY1627" s="201"/>
      <c r="AZ1627" s="201"/>
      <c r="BA1627" s="201"/>
      <c r="BB1627" s="201"/>
      <c r="BC1627" s="201"/>
      <c r="BD1627" s="201"/>
      <c r="BE1627" s="201"/>
      <c r="BF1627" s="201"/>
      <c r="BG1627" s="201"/>
      <c r="BH1627" s="201"/>
      <c r="BI1627" s="201"/>
      <c r="BJ1627" s="201"/>
      <c r="BK1627" s="201"/>
      <c r="BL1627" s="201"/>
      <c r="BM1627" s="201"/>
      <c r="BN1627" s="201"/>
      <c r="BO1627" s="201"/>
      <c r="BP1627" s="201"/>
      <c r="BQ1627" s="201"/>
      <c r="BR1627" s="1346"/>
    </row>
    <row r="1628" spans="1:70" ht="66">
      <c r="A1628" s="2579"/>
      <c r="B1628" s="386"/>
      <c r="C1628" s="1451"/>
      <c r="D1628" s="1451"/>
      <c r="E1628" s="1451"/>
      <c r="F1628" s="1451"/>
      <c r="G1628" s="1451"/>
      <c r="H1628" s="1451"/>
      <c r="I1628" s="386" t="s">
        <v>1586</v>
      </c>
      <c r="J1628" s="387" t="s">
        <v>1587</v>
      </c>
      <c r="K1628" s="386">
        <v>1424</v>
      </c>
      <c r="L1628" s="386">
        <f>1400000000+1500000000+1600000000+1650000000+1700000000+1900000000</f>
        <v>9750000000</v>
      </c>
      <c r="M1628" s="386">
        <v>256</v>
      </c>
      <c r="N1628" s="386">
        <f>889835750+954842450+1195383750</f>
        <v>3040061950</v>
      </c>
      <c r="O1628" s="386">
        <v>200</v>
      </c>
      <c r="P1628" s="386">
        <v>1323828827</v>
      </c>
      <c r="Q1628" s="386">
        <v>60</v>
      </c>
      <c r="R1628" s="386">
        <v>131071250</v>
      </c>
      <c r="S1628" s="386">
        <v>43</v>
      </c>
      <c r="T1628" s="386">
        <v>244530445</v>
      </c>
      <c r="U1628" s="386">
        <f>V1628/P1628*100</f>
        <v>0</v>
      </c>
      <c r="V1628" s="390">
        <v>0</v>
      </c>
      <c r="W1628" s="385">
        <f>X1628/P1628*100</f>
        <v>0</v>
      </c>
      <c r="X1628" s="386">
        <v>0</v>
      </c>
      <c r="Y1628" s="386">
        <f t="shared" si="473"/>
        <v>103</v>
      </c>
      <c r="Z1628" s="386">
        <f t="shared" si="474"/>
        <v>375601695</v>
      </c>
      <c r="AA1628" s="386">
        <f t="shared" si="475"/>
        <v>359</v>
      </c>
      <c r="AB1628" s="387">
        <f t="shared" si="476"/>
        <v>3415663645</v>
      </c>
      <c r="AC1628" s="388">
        <f t="shared" si="477"/>
        <v>25.210674157303369</v>
      </c>
      <c r="AD1628" s="388">
        <f t="shared" si="478"/>
        <v>35.032447641025641</v>
      </c>
      <c r="AE1628" s="2597"/>
      <c r="AF1628" s="201"/>
      <c r="AG1628" s="201"/>
      <c r="AH1628" s="201"/>
      <c r="AI1628" s="201"/>
      <c r="AJ1628" s="201"/>
      <c r="AK1628" s="201"/>
      <c r="AL1628" s="201"/>
      <c r="AM1628" s="201"/>
      <c r="AN1628" s="201"/>
      <c r="AO1628" s="201"/>
      <c r="AP1628" s="201"/>
      <c r="AQ1628" s="201"/>
      <c r="AR1628" s="201"/>
      <c r="AS1628" s="201"/>
      <c r="AT1628" s="201"/>
      <c r="AU1628" s="201"/>
      <c r="AV1628" s="201"/>
      <c r="AW1628" s="201"/>
      <c r="AX1628" s="201"/>
      <c r="AY1628" s="201"/>
      <c r="AZ1628" s="201"/>
      <c r="BA1628" s="201"/>
      <c r="BB1628" s="201"/>
      <c r="BC1628" s="201"/>
      <c r="BD1628" s="201"/>
      <c r="BE1628" s="201"/>
      <c r="BF1628" s="201"/>
      <c r="BG1628" s="201"/>
      <c r="BH1628" s="201"/>
      <c r="BI1628" s="201"/>
      <c r="BJ1628" s="201"/>
      <c r="BK1628" s="201"/>
      <c r="BL1628" s="201"/>
      <c r="BM1628" s="201"/>
      <c r="BN1628" s="201"/>
      <c r="BO1628" s="201"/>
      <c r="BP1628" s="201"/>
      <c r="BQ1628" s="201"/>
    </row>
    <row r="1629" spans="1:70" ht="82.5">
      <c r="A1629" s="2579"/>
      <c r="B1629" s="386"/>
      <c r="C1629" s="1451"/>
      <c r="D1629" s="1451"/>
      <c r="E1629" s="1451"/>
      <c r="F1629" s="1451"/>
      <c r="G1629" s="1451"/>
      <c r="H1629" s="1451"/>
      <c r="I1629" s="386" t="s">
        <v>1588</v>
      </c>
      <c r="J1629" s="387" t="s">
        <v>1589</v>
      </c>
      <c r="K1629" s="386">
        <v>280</v>
      </c>
      <c r="L1629" s="386">
        <v>650000000</v>
      </c>
      <c r="M1629" s="386">
        <v>63</v>
      </c>
      <c r="N1629" s="386">
        <f>512517500+421693850+759905380</f>
        <v>1694116730</v>
      </c>
      <c r="O1629" s="386">
        <v>45</v>
      </c>
      <c r="P1629" s="386">
        <v>345287842</v>
      </c>
      <c r="Q1629" s="386">
        <v>10</v>
      </c>
      <c r="R1629" s="386">
        <v>196178400</v>
      </c>
      <c r="S1629" s="386">
        <v>1</v>
      </c>
      <c r="T1629" s="386">
        <v>16607360</v>
      </c>
      <c r="U1629" s="386">
        <f>V1629/P1629*100</f>
        <v>0</v>
      </c>
      <c r="V1629" s="390">
        <v>0</v>
      </c>
      <c r="W1629" s="385">
        <f>X1629/P1629*100</f>
        <v>0</v>
      </c>
      <c r="X1629" s="386">
        <v>0</v>
      </c>
      <c r="Y1629" s="386">
        <f t="shared" si="473"/>
        <v>11</v>
      </c>
      <c r="Z1629" s="386">
        <f t="shared" si="474"/>
        <v>212785760</v>
      </c>
      <c r="AA1629" s="386">
        <f t="shared" si="475"/>
        <v>74</v>
      </c>
      <c r="AB1629" s="387">
        <f t="shared" si="476"/>
        <v>1906902490</v>
      </c>
      <c r="AC1629" s="388">
        <f t="shared" si="477"/>
        <v>26.428571428571431</v>
      </c>
      <c r="AD1629" s="388">
        <f t="shared" si="478"/>
        <v>293.36961384615387</v>
      </c>
      <c r="AE1629" s="2597"/>
      <c r="AF1629" s="201"/>
      <c r="AG1629" s="201"/>
      <c r="AH1629" s="201"/>
      <c r="AI1629" s="201"/>
      <c r="AJ1629" s="201"/>
      <c r="AK1629" s="201"/>
      <c r="AL1629" s="201"/>
      <c r="AM1629" s="201"/>
      <c r="AN1629" s="201"/>
      <c r="AO1629" s="201"/>
      <c r="AP1629" s="201"/>
      <c r="AQ1629" s="201"/>
      <c r="AR1629" s="201"/>
      <c r="AS1629" s="201"/>
      <c r="AT1629" s="201"/>
      <c r="AU1629" s="201"/>
      <c r="AV1629" s="201"/>
      <c r="AW1629" s="201"/>
      <c r="AX1629" s="201"/>
      <c r="AY1629" s="201"/>
      <c r="AZ1629" s="201"/>
      <c r="BA1629" s="201"/>
      <c r="BB1629" s="201"/>
      <c r="BC1629" s="201"/>
      <c r="BD1629" s="201"/>
      <c r="BE1629" s="201"/>
      <c r="BF1629" s="201"/>
      <c r="BG1629" s="201"/>
      <c r="BH1629" s="201"/>
      <c r="BI1629" s="201"/>
      <c r="BJ1629" s="201"/>
      <c r="BK1629" s="201"/>
      <c r="BL1629" s="201"/>
      <c r="BM1629" s="201"/>
      <c r="BN1629" s="201"/>
      <c r="BO1629" s="201"/>
      <c r="BP1629" s="201"/>
      <c r="BQ1629" s="201"/>
    </row>
    <row r="1630" spans="1:70" ht="66">
      <c r="A1630" s="2579"/>
      <c r="B1630" s="386"/>
      <c r="C1630" s="1451"/>
      <c r="D1630" s="1451"/>
      <c r="E1630" s="1451"/>
      <c r="F1630" s="1451"/>
      <c r="G1630" s="1451"/>
      <c r="H1630" s="1451"/>
      <c r="I1630" s="386" t="s">
        <v>1590</v>
      </c>
      <c r="J1630" s="386" t="s">
        <v>1591</v>
      </c>
      <c r="K1630" s="386">
        <v>9600</v>
      </c>
      <c r="L1630" s="386">
        <f>45000000+50000000+55000000+55500000+56000000+60000000</f>
        <v>321500000</v>
      </c>
      <c r="M1630" s="386">
        <v>2279</v>
      </c>
      <c r="N1630" s="386">
        <f>23985000+43662770+20239176</f>
        <v>87886946</v>
      </c>
      <c r="O1630" s="386">
        <v>1500</v>
      </c>
      <c r="P1630" s="386">
        <v>17139325</v>
      </c>
      <c r="Q1630" s="386">
        <v>55</v>
      </c>
      <c r="R1630" s="386">
        <v>0</v>
      </c>
      <c r="S1630" s="386">
        <f t="shared" ref="S1630:S1631" si="480">T1630/P1630*100</f>
        <v>0</v>
      </c>
      <c r="T1630" s="386">
        <v>0</v>
      </c>
      <c r="U1630" s="386">
        <f>V1630/P1630*100</f>
        <v>0</v>
      </c>
      <c r="V1630" s="390">
        <v>0</v>
      </c>
      <c r="W1630" s="385">
        <f>X1630/P1630*100</f>
        <v>0</v>
      </c>
      <c r="X1630" s="386">
        <v>0</v>
      </c>
      <c r="Y1630" s="386">
        <f t="shared" si="473"/>
        <v>55</v>
      </c>
      <c r="Z1630" s="386">
        <f t="shared" si="474"/>
        <v>0</v>
      </c>
      <c r="AA1630" s="386">
        <f t="shared" si="475"/>
        <v>2334</v>
      </c>
      <c r="AB1630" s="387">
        <f t="shared" si="476"/>
        <v>87886946</v>
      </c>
      <c r="AC1630" s="388">
        <f t="shared" si="477"/>
        <v>24.3125</v>
      </c>
      <c r="AD1630" s="388">
        <f t="shared" si="478"/>
        <v>27.336530637636081</v>
      </c>
      <c r="AE1630" s="2597"/>
      <c r="AF1630" s="201"/>
      <c r="AG1630" s="201"/>
      <c r="AH1630" s="201"/>
      <c r="AI1630" s="201"/>
      <c r="AJ1630" s="201"/>
      <c r="AK1630" s="201"/>
      <c r="AL1630" s="201"/>
      <c r="AM1630" s="201"/>
      <c r="AN1630" s="201"/>
      <c r="AO1630" s="201"/>
      <c r="AP1630" s="201"/>
      <c r="AQ1630" s="201"/>
      <c r="AR1630" s="201"/>
      <c r="AS1630" s="201"/>
      <c r="AT1630" s="201"/>
      <c r="AU1630" s="201"/>
      <c r="AV1630" s="201"/>
      <c r="AW1630" s="201"/>
      <c r="AX1630" s="201"/>
      <c r="AY1630" s="201"/>
      <c r="AZ1630" s="201"/>
      <c r="BA1630" s="201"/>
      <c r="BB1630" s="201"/>
      <c r="BC1630" s="201"/>
      <c r="BD1630" s="201"/>
      <c r="BE1630" s="201"/>
      <c r="BF1630" s="201"/>
      <c r="BG1630" s="201"/>
      <c r="BH1630" s="201"/>
      <c r="BI1630" s="201"/>
      <c r="BJ1630" s="201"/>
      <c r="BK1630" s="201"/>
      <c r="BL1630" s="201"/>
      <c r="BM1630" s="201"/>
      <c r="BN1630" s="201"/>
      <c r="BO1630" s="201"/>
      <c r="BP1630" s="201"/>
      <c r="BQ1630" s="201"/>
    </row>
    <row r="1631" spans="1:70" ht="82.5">
      <c r="A1631" s="2579"/>
      <c r="B1631" s="386"/>
      <c r="C1631" s="1451"/>
      <c r="D1631" s="1451"/>
      <c r="E1631" s="1451"/>
      <c r="F1631" s="1451"/>
      <c r="G1631" s="1451"/>
      <c r="H1631" s="1451"/>
      <c r="I1631" s="386" t="s">
        <v>1592</v>
      </c>
      <c r="J1631" s="386" t="s">
        <v>1593</v>
      </c>
      <c r="K1631" s="386">
        <v>9600</v>
      </c>
      <c r="L1631" s="386">
        <f>1350000000+1400000000+1500000000+1550000000+1600000000+1700000000</f>
        <v>9100000000</v>
      </c>
      <c r="M1631" s="386">
        <v>1602</v>
      </c>
      <c r="N1631" s="386">
        <f>357728600+338694000+435158650</f>
        <v>1131581250</v>
      </c>
      <c r="O1631" s="386">
        <v>1500</v>
      </c>
      <c r="P1631" s="386">
        <v>398652333</v>
      </c>
      <c r="Q1631" s="386">
        <v>300</v>
      </c>
      <c r="R1631" s="386">
        <v>61167142</v>
      </c>
      <c r="S1631" s="386">
        <f t="shared" si="480"/>
        <v>18.587045870869144</v>
      </c>
      <c r="T1631" s="386">
        <v>74097692</v>
      </c>
      <c r="U1631" s="386">
        <f>V1631/P1631*100</f>
        <v>0</v>
      </c>
      <c r="V1631" s="390">
        <v>0</v>
      </c>
      <c r="W1631" s="385">
        <f>X1631/P1631*100</f>
        <v>0</v>
      </c>
      <c r="X1631" s="386">
        <v>0</v>
      </c>
      <c r="Y1631" s="386">
        <f t="shared" si="473"/>
        <v>318.58704587086913</v>
      </c>
      <c r="Z1631" s="386">
        <f t="shared" si="474"/>
        <v>135264834</v>
      </c>
      <c r="AA1631" s="386">
        <f t="shared" si="475"/>
        <v>1920.5870458708691</v>
      </c>
      <c r="AB1631" s="387">
        <f t="shared" si="476"/>
        <v>1266846084</v>
      </c>
      <c r="AC1631" s="388">
        <f t="shared" si="477"/>
        <v>20.006115061154887</v>
      </c>
      <c r="AD1631" s="388">
        <f t="shared" si="478"/>
        <v>13.921385538461539</v>
      </c>
      <c r="AE1631" s="2597"/>
      <c r="AF1631" s="201"/>
      <c r="AG1631" s="201"/>
      <c r="AH1631" s="201"/>
      <c r="AI1631" s="201"/>
      <c r="AJ1631" s="201"/>
      <c r="AK1631" s="201"/>
      <c r="AL1631" s="201"/>
      <c r="AM1631" s="201"/>
      <c r="AN1631" s="201"/>
      <c r="AO1631" s="201"/>
      <c r="AP1631" s="201"/>
      <c r="AQ1631" s="201"/>
      <c r="AR1631" s="201"/>
      <c r="AS1631" s="201"/>
      <c r="AT1631" s="201"/>
      <c r="AU1631" s="201"/>
      <c r="AV1631" s="201"/>
      <c r="AW1631" s="201"/>
      <c r="AX1631" s="201"/>
      <c r="AY1631" s="201"/>
      <c r="AZ1631" s="201"/>
      <c r="BA1631" s="201"/>
      <c r="BB1631" s="201"/>
      <c r="BC1631" s="201"/>
      <c r="BD1631" s="201"/>
      <c r="BE1631" s="201"/>
      <c r="BF1631" s="201"/>
      <c r="BG1631" s="201"/>
      <c r="BH1631" s="201"/>
      <c r="BI1631" s="201"/>
      <c r="BJ1631" s="201"/>
      <c r="BK1631" s="201"/>
      <c r="BL1631" s="201"/>
      <c r="BM1631" s="201"/>
      <c r="BN1631" s="201"/>
      <c r="BO1631" s="201"/>
      <c r="BP1631" s="201"/>
      <c r="BQ1631" s="201"/>
    </row>
    <row r="1632" spans="1:70" ht="82.5">
      <c r="A1632" s="2579"/>
      <c r="B1632" s="386"/>
      <c r="C1632" s="1451"/>
      <c r="D1632" s="1451"/>
      <c r="E1632" s="1451"/>
      <c r="F1632" s="1451"/>
      <c r="G1632" s="1451"/>
      <c r="H1632" s="1451"/>
      <c r="I1632" s="386" t="s">
        <v>1594</v>
      </c>
      <c r="J1632" s="386" t="s">
        <v>1595</v>
      </c>
      <c r="K1632" s="386">
        <v>45</v>
      </c>
      <c r="L1632" s="386">
        <f>40000000+50000000+60000000+62500000+70000000+80000000</f>
        <v>362500000</v>
      </c>
      <c r="M1632" s="386">
        <v>0</v>
      </c>
      <c r="N1632" s="386">
        <v>0</v>
      </c>
      <c r="O1632" s="386">
        <v>0</v>
      </c>
      <c r="P1632" s="386">
        <v>0</v>
      </c>
      <c r="Q1632" s="386">
        <v>0</v>
      </c>
      <c r="R1632" s="386">
        <v>0</v>
      </c>
      <c r="S1632" s="386">
        <v>0</v>
      </c>
      <c r="T1632" s="386">
        <v>0</v>
      </c>
      <c r="U1632" s="386">
        <v>0</v>
      </c>
      <c r="V1632" s="390">
        <v>0</v>
      </c>
      <c r="W1632" s="385">
        <v>0</v>
      </c>
      <c r="X1632" s="386"/>
      <c r="Y1632" s="386">
        <f t="shared" si="473"/>
        <v>0</v>
      </c>
      <c r="Z1632" s="386">
        <f t="shared" si="474"/>
        <v>0</v>
      </c>
      <c r="AA1632" s="386">
        <f t="shared" si="475"/>
        <v>0</v>
      </c>
      <c r="AB1632" s="387">
        <f t="shared" si="476"/>
        <v>0</v>
      </c>
      <c r="AC1632" s="388">
        <f t="shared" si="477"/>
        <v>0</v>
      </c>
      <c r="AD1632" s="388">
        <f t="shared" si="478"/>
        <v>0</v>
      </c>
      <c r="AE1632" s="2597"/>
      <c r="AF1632" s="750"/>
      <c r="AG1632" s="750"/>
      <c r="AH1632" s="750"/>
      <c r="AI1632" s="750"/>
      <c r="AJ1632" s="750"/>
      <c r="AK1632" s="750"/>
      <c r="AL1632" s="750"/>
      <c r="AM1632" s="750"/>
      <c r="AN1632" s="750"/>
      <c r="AO1632" s="750"/>
      <c r="AP1632" s="750"/>
      <c r="AQ1632" s="750"/>
      <c r="AR1632" s="750"/>
      <c r="AS1632" s="750"/>
      <c r="AT1632" s="750"/>
      <c r="AU1632" s="750"/>
      <c r="AV1632" s="750"/>
      <c r="AW1632" s="750"/>
      <c r="AX1632" s="750"/>
      <c r="AY1632" s="750"/>
      <c r="AZ1632" s="750"/>
      <c r="BA1632" s="750"/>
      <c r="BB1632" s="750"/>
      <c r="BC1632" s="750"/>
      <c r="BD1632" s="750"/>
      <c r="BE1632" s="750"/>
      <c r="BF1632" s="750"/>
      <c r="BG1632" s="750"/>
      <c r="BH1632" s="750"/>
      <c r="BI1632" s="750"/>
      <c r="BJ1632" s="750"/>
      <c r="BK1632" s="750"/>
      <c r="BL1632" s="750"/>
      <c r="BM1632" s="750"/>
      <c r="BN1632" s="750"/>
      <c r="BO1632" s="750"/>
      <c r="BP1632" s="750"/>
      <c r="BQ1632" s="750"/>
    </row>
    <row r="1633" spans="1:70" ht="115.5">
      <c r="A1633" s="2579"/>
      <c r="B1633" s="386"/>
      <c r="C1633" s="1451"/>
      <c r="D1633" s="1451"/>
      <c r="E1633" s="1451"/>
      <c r="F1633" s="1451"/>
      <c r="G1633" s="1451"/>
      <c r="H1633" s="1451"/>
      <c r="I1633" s="386" t="s">
        <v>1596</v>
      </c>
      <c r="J1633" s="386" t="s">
        <v>3182</v>
      </c>
      <c r="K1633" s="386">
        <v>45</v>
      </c>
      <c r="L1633" s="386">
        <f>40000000+50000000+60000000+65000000+70000000+80000000</f>
        <v>365000000</v>
      </c>
      <c r="M1633" s="386">
        <v>0</v>
      </c>
      <c r="N1633" s="386">
        <v>0</v>
      </c>
      <c r="O1633" s="386">
        <v>0</v>
      </c>
      <c r="P1633" s="386">
        <v>0</v>
      </c>
      <c r="Q1633" s="386">
        <v>0</v>
      </c>
      <c r="R1633" s="386">
        <v>0</v>
      </c>
      <c r="S1633" s="386">
        <v>0</v>
      </c>
      <c r="T1633" s="386">
        <v>0</v>
      </c>
      <c r="U1633" s="386">
        <v>0</v>
      </c>
      <c r="V1633" s="390">
        <v>0</v>
      </c>
      <c r="W1633" s="385">
        <v>0</v>
      </c>
      <c r="X1633" s="386"/>
      <c r="Y1633" s="386">
        <f t="shared" si="473"/>
        <v>0</v>
      </c>
      <c r="Z1633" s="386">
        <f t="shared" si="474"/>
        <v>0</v>
      </c>
      <c r="AA1633" s="386">
        <f t="shared" si="475"/>
        <v>0</v>
      </c>
      <c r="AB1633" s="387">
        <f t="shared" si="476"/>
        <v>0</v>
      </c>
      <c r="AC1633" s="388">
        <f t="shared" si="477"/>
        <v>0</v>
      </c>
      <c r="AD1633" s="388">
        <f t="shared" si="478"/>
        <v>0</v>
      </c>
      <c r="AE1633" s="2597"/>
      <c r="AF1633" s="750"/>
      <c r="AG1633" s="750"/>
      <c r="AH1633" s="750"/>
      <c r="AI1633" s="750"/>
      <c r="AJ1633" s="750"/>
      <c r="AK1633" s="750"/>
      <c r="AL1633" s="750"/>
      <c r="AM1633" s="750"/>
      <c r="AN1633" s="750"/>
      <c r="AO1633" s="750"/>
      <c r="AP1633" s="750"/>
      <c r="AQ1633" s="750"/>
      <c r="AR1633" s="750"/>
      <c r="AS1633" s="750"/>
      <c r="AT1633" s="750"/>
      <c r="AU1633" s="750"/>
      <c r="AV1633" s="750"/>
      <c r="AW1633" s="750"/>
      <c r="AX1633" s="750"/>
      <c r="AY1633" s="750"/>
      <c r="AZ1633" s="750"/>
      <c r="BA1633" s="750"/>
      <c r="BB1633" s="750"/>
      <c r="BC1633" s="750"/>
      <c r="BD1633" s="750"/>
      <c r="BE1633" s="750"/>
      <c r="BF1633" s="750"/>
      <c r="BG1633" s="750"/>
      <c r="BH1633" s="750"/>
      <c r="BI1633" s="750"/>
      <c r="BJ1633" s="750"/>
      <c r="BK1633" s="750"/>
      <c r="BL1633" s="750"/>
      <c r="BM1633" s="750"/>
      <c r="BN1633" s="750"/>
      <c r="BO1633" s="750"/>
      <c r="BP1633" s="750"/>
      <c r="BQ1633" s="750"/>
    </row>
    <row r="1634" spans="1:70" ht="66">
      <c r="A1634" s="1450"/>
      <c r="B1634" s="384"/>
      <c r="C1634" s="1450"/>
      <c r="D1634" s="1450"/>
      <c r="E1634" s="1450"/>
      <c r="F1634" s="1450"/>
      <c r="G1634" s="1450"/>
      <c r="H1634" s="1450"/>
      <c r="I1634" s="386" t="s">
        <v>1597</v>
      </c>
      <c r="J1634" s="386" t="s">
        <v>1598</v>
      </c>
      <c r="K1634" s="386">
        <v>45</v>
      </c>
      <c r="L1634" s="386">
        <f>90000000+100000000+110000000+111000000+120000000+135000000</f>
        <v>666000000</v>
      </c>
      <c r="M1634" s="386">
        <v>42</v>
      </c>
      <c r="N1634" s="386">
        <v>59563500</v>
      </c>
      <c r="O1634" s="386">
        <v>0</v>
      </c>
      <c r="P1634" s="386">
        <v>0</v>
      </c>
      <c r="Q1634" s="386">
        <v>0</v>
      </c>
      <c r="R1634" s="386">
        <v>0</v>
      </c>
      <c r="S1634" s="386">
        <v>0</v>
      </c>
      <c r="T1634" s="386">
        <v>0</v>
      </c>
      <c r="U1634" s="386">
        <v>0</v>
      </c>
      <c r="V1634" s="390">
        <v>0</v>
      </c>
      <c r="W1634" s="385">
        <v>0</v>
      </c>
      <c r="X1634" s="386">
        <v>0</v>
      </c>
      <c r="Y1634" s="386">
        <f t="shared" si="473"/>
        <v>0</v>
      </c>
      <c r="Z1634" s="386">
        <f t="shared" si="474"/>
        <v>0</v>
      </c>
      <c r="AA1634" s="386">
        <f t="shared" si="475"/>
        <v>42</v>
      </c>
      <c r="AB1634" s="387">
        <f t="shared" si="476"/>
        <v>59563500</v>
      </c>
      <c r="AC1634" s="388">
        <f t="shared" si="477"/>
        <v>93.333333333333329</v>
      </c>
      <c r="AD1634" s="388">
        <f t="shared" si="478"/>
        <v>8.9434684684684687</v>
      </c>
      <c r="AE1634" s="2597"/>
      <c r="AF1634" s="750"/>
      <c r="AG1634" s="750"/>
      <c r="AH1634" s="750"/>
      <c r="AI1634" s="750"/>
      <c r="AJ1634" s="750"/>
      <c r="AK1634" s="750"/>
      <c r="AL1634" s="750"/>
      <c r="AM1634" s="750"/>
      <c r="AN1634" s="750"/>
      <c r="AO1634" s="750"/>
      <c r="AP1634" s="750"/>
      <c r="AQ1634" s="750"/>
      <c r="AR1634" s="750"/>
      <c r="AS1634" s="750"/>
      <c r="AT1634" s="750"/>
      <c r="AU1634" s="750"/>
      <c r="AV1634" s="750"/>
      <c r="AW1634" s="750"/>
      <c r="AX1634" s="750"/>
      <c r="AY1634" s="750"/>
      <c r="AZ1634" s="750"/>
      <c r="BA1634" s="750"/>
      <c r="BB1634" s="750"/>
      <c r="BC1634" s="750"/>
      <c r="BD1634" s="750"/>
      <c r="BE1634" s="750"/>
      <c r="BF1634" s="750"/>
      <c r="BG1634" s="750"/>
      <c r="BH1634" s="750"/>
      <c r="BI1634" s="750"/>
      <c r="BJ1634" s="750"/>
      <c r="BK1634" s="750"/>
      <c r="BL1634" s="750"/>
      <c r="BM1634" s="750"/>
      <c r="BN1634" s="750"/>
      <c r="BO1634" s="750"/>
      <c r="BP1634" s="750"/>
      <c r="BQ1634" s="750"/>
    </row>
    <row r="1635" spans="1:70" ht="82.5">
      <c r="A1635" s="2579"/>
      <c r="B1635" s="386"/>
      <c r="C1635" s="1451"/>
      <c r="D1635" s="1451"/>
      <c r="E1635" s="1451"/>
      <c r="F1635" s="1451"/>
      <c r="G1635" s="1451"/>
      <c r="H1635" s="1451"/>
      <c r="I1635" s="386" t="s">
        <v>1599</v>
      </c>
      <c r="J1635" s="386" t="s">
        <v>1600</v>
      </c>
      <c r="K1635" s="386">
        <v>45</v>
      </c>
      <c r="L1635" s="386">
        <f>40000000+50000000+60000000+65000000+70000000+75000000</f>
        <v>360000000</v>
      </c>
      <c r="M1635" s="386">
        <v>0</v>
      </c>
      <c r="N1635" s="386">
        <v>0</v>
      </c>
      <c r="O1635" s="386">
        <v>0</v>
      </c>
      <c r="P1635" s="386">
        <v>0</v>
      </c>
      <c r="Q1635" s="386">
        <v>0</v>
      </c>
      <c r="R1635" s="386">
        <v>0</v>
      </c>
      <c r="S1635" s="386">
        <v>0</v>
      </c>
      <c r="T1635" s="386">
        <v>0</v>
      </c>
      <c r="U1635" s="386">
        <v>0</v>
      </c>
      <c r="V1635" s="390">
        <v>0</v>
      </c>
      <c r="W1635" s="385">
        <v>0</v>
      </c>
      <c r="X1635" s="386">
        <v>0</v>
      </c>
      <c r="Y1635" s="386">
        <f t="shared" si="473"/>
        <v>0</v>
      </c>
      <c r="Z1635" s="386">
        <f t="shared" si="474"/>
        <v>0</v>
      </c>
      <c r="AA1635" s="386">
        <f t="shared" si="475"/>
        <v>0</v>
      </c>
      <c r="AB1635" s="387">
        <f t="shared" si="476"/>
        <v>0</v>
      </c>
      <c r="AC1635" s="388">
        <f t="shared" si="477"/>
        <v>0</v>
      </c>
      <c r="AD1635" s="388">
        <f t="shared" si="478"/>
        <v>0</v>
      </c>
      <c r="AE1635" s="2597"/>
      <c r="AF1635" s="750"/>
      <c r="AG1635" s="750"/>
      <c r="AH1635" s="750"/>
      <c r="AI1635" s="750"/>
      <c r="AJ1635" s="750"/>
      <c r="AK1635" s="750"/>
      <c r="AL1635" s="750"/>
      <c r="AM1635" s="750"/>
      <c r="AN1635" s="750"/>
      <c r="AO1635" s="750"/>
      <c r="AP1635" s="750"/>
      <c r="AQ1635" s="750"/>
      <c r="AR1635" s="750"/>
      <c r="AS1635" s="750"/>
      <c r="AT1635" s="750"/>
      <c r="AU1635" s="750"/>
      <c r="AV1635" s="750"/>
      <c r="AW1635" s="750"/>
      <c r="AX1635" s="750"/>
      <c r="AY1635" s="750"/>
      <c r="AZ1635" s="750"/>
      <c r="BA1635" s="750"/>
      <c r="BB1635" s="750"/>
      <c r="BC1635" s="750"/>
      <c r="BD1635" s="750"/>
      <c r="BE1635" s="750"/>
      <c r="BF1635" s="750"/>
      <c r="BG1635" s="750"/>
      <c r="BH1635" s="750"/>
      <c r="BI1635" s="750"/>
      <c r="BJ1635" s="750"/>
      <c r="BK1635" s="750"/>
      <c r="BL1635" s="750"/>
      <c r="BM1635" s="750"/>
      <c r="BN1635" s="750"/>
      <c r="BO1635" s="750"/>
      <c r="BP1635" s="750"/>
      <c r="BQ1635" s="750"/>
    </row>
    <row r="1636" spans="1:70" ht="33">
      <c r="A1636" s="2579"/>
      <c r="B1636" s="386"/>
      <c r="C1636" s="1451"/>
      <c r="D1636" s="1451"/>
      <c r="E1636" s="1451"/>
      <c r="F1636" s="1451"/>
      <c r="G1636" s="1451"/>
      <c r="H1636" s="1451"/>
      <c r="I1636" s="386" t="s">
        <v>1601</v>
      </c>
      <c r="J1636" s="386" t="s">
        <v>1602</v>
      </c>
      <c r="K1636" s="386">
        <v>6</v>
      </c>
      <c r="L1636" s="386">
        <f>35000000+40000000+45000000+45500000+65000000+70000000</f>
        <v>300500000</v>
      </c>
      <c r="M1636" s="386">
        <v>1</v>
      </c>
      <c r="N1636" s="386">
        <f>65905200+31088400+14336500</f>
        <v>111330100</v>
      </c>
      <c r="O1636" s="386">
        <v>1</v>
      </c>
      <c r="P1636" s="386">
        <v>0</v>
      </c>
      <c r="Q1636" s="386">
        <v>0</v>
      </c>
      <c r="R1636" s="386">
        <f>[9]Sheet1!$E$70</f>
        <v>0</v>
      </c>
      <c r="S1636" s="386">
        <v>0</v>
      </c>
      <c r="T1636" s="386">
        <v>0</v>
      </c>
      <c r="U1636" s="386">
        <v>0</v>
      </c>
      <c r="V1636" s="390">
        <v>0</v>
      </c>
      <c r="W1636" s="385">
        <v>0</v>
      </c>
      <c r="X1636" s="386">
        <v>0</v>
      </c>
      <c r="Y1636" s="386">
        <f t="shared" si="473"/>
        <v>0</v>
      </c>
      <c r="Z1636" s="386">
        <f t="shared" si="474"/>
        <v>0</v>
      </c>
      <c r="AA1636" s="386">
        <f t="shared" si="475"/>
        <v>1</v>
      </c>
      <c r="AB1636" s="387">
        <f t="shared" si="476"/>
        <v>111330100</v>
      </c>
      <c r="AC1636" s="388">
        <f t="shared" si="477"/>
        <v>16.666666666666664</v>
      </c>
      <c r="AD1636" s="388">
        <f t="shared" si="478"/>
        <v>37.048286189683857</v>
      </c>
      <c r="AE1636" s="2597"/>
      <c r="AF1636" s="201"/>
      <c r="AG1636" s="201"/>
      <c r="AH1636" s="201"/>
      <c r="AI1636" s="201"/>
      <c r="AJ1636" s="201"/>
      <c r="AK1636" s="201"/>
      <c r="AL1636" s="201"/>
      <c r="AM1636" s="201"/>
      <c r="AN1636" s="201"/>
      <c r="AO1636" s="201"/>
      <c r="AP1636" s="201"/>
      <c r="AQ1636" s="201"/>
      <c r="AR1636" s="201"/>
      <c r="AS1636" s="201"/>
      <c r="AT1636" s="201"/>
      <c r="AU1636" s="201"/>
      <c r="AV1636" s="201"/>
      <c r="AW1636" s="201"/>
      <c r="AX1636" s="201"/>
      <c r="AY1636" s="201"/>
      <c r="AZ1636" s="201"/>
      <c r="BA1636" s="201"/>
      <c r="BB1636" s="201"/>
      <c r="BC1636" s="20"/>
      <c r="BD1636" s="20"/>
      <c r="BE1636" s="20"/>
      <c r="BF1636" s="20"/>
      <c r="BG1636" s="20"/>
      <c r="BH1636" s="20"/>
      <c r="BI1636" s="20"/>
      <c r="BJ1636" s="20"/>
      <c r="BK1636" s="20"/>
      <c r="BL1636" s="20"/>
      <c r="BM1636" s="20"/>
      <c r="BN1636" s="20"/>
      <c r="BO1636" s="20"/>
      <c r="BP1636" s="20"/>
      <c r="BQ1636" s="20"/>
    </row>
    <row r="1637" spans="1:70" ht="82.5">
      <c r="A1637" s="2579"/>
      <c r="B1637" s="386"/>
      <c r="C1637" s="1451"/>
      <c r="D1637" s="1451"/>
      <c r="E1637" s="1451"/>
      <c r="F1637" s="1451"/>
      <c r="G1637" s="1451"/>
      <c r="H1637" s="1451"/>
      <c r="I1637" s="386" t="s">
        <v>1603</v>
      </c>
      <c r="J1637" s="386" t="s">
        <v>1604</v>
      </c>
      <c r="K1637" s="386">
        <v>45</v>
      </c>
      <c r="L1637" s="386">
        <f>40000000+42000000+47500000+48000000+60000000+70000000</f>
        <v>307500000</v>
      </c>
      <c r="M1637" s="386">
        <v>45</v>
      </c>
      <c r="N1637" s="386">
        <f>40045950+32538280+21662500</f>
        <v>94246730</v>
      </c>
      <c r="O1637" s="386">
        <v>45</v>
      </c>
      <c r="P1637" s="386">
        <v>0</v>
      </c>
      <c r="Q1637" s="386">
        <v>0</v>
      </c>
      <c r="R1637" s="386">
        <f>[9]Sheet1!$E$73</f>
        <v>0</v>
      </c>
      <c r="S1637" s="386">
        <v>0</v>
      </c>
      <c r="T1637" s="386">
        <v>0</v>
      </c>
      <c r="U1637" s="386">
        <v>0</v>
      </c>
      <c r="V1637" s="390">
        <v>0</v>
      </c>
      <c r="W1637" s="385">
        <v>0</v>
      </c>
      <c r="X1637" s="386">
        <v>0</v>
      </c>
      <c r="Y1637" s="386">
        <f t="shared" si="473"/>
        <v>0</v>
      </c>
      <c r="Z1637" s="386">
        <f t="shared" si="474"/>
        <v>0</v>
      </c>
      <c r="AA1637" s="386">
        <f t="shared" si="475"/>
        <v>45</v>
      </c>
      <c r="AB1637" s="387">
        <f t="shared" si="476"/>
        <v>94246730</v>
      </c>
      <c r="AC1637" s="388">
        <f t="shared" si="477"/>
        <v>100</v>
      </c>
      <c r="AD1637" s="388">
        <f t="shared" si="478"/>
        <v>30.649343089430893</v>
      </c>
      <c r="AE1637" s="2597"/>
      <c r="AF1637" s="750"/>
      <c r="AG1637" s="750"/>
      <c r="AH1637" s="750"/>
      <c r="AI1637" s="750"/>
      <c r="AJ1637" s="750"/>
      <c r="AK1637" s="750"/>
      <c r="AL1637" s="750"/>
      <c r="AM1637" s="750"/>
      <c r="AN1637" s="750"/>
      <c r="AO1637" s="750"/>
      <c r="AP1637" s="750"/>
      <c r="AQ1637" s="750"/>
      <c r="AR1637" s="750"/>
      <c r="AS1637" s="750"/>
      <c r="AT1637" s="750"/>
      <c r="AU1637" s="750"/>
      <c r="AV1637" s="750"/>
      <c r="AW1637" s="750"/>
      <c r="AX1637" s="750"/>
      <c r="AY1637" s="750"/>
      <c r="AZ1637" s="750"/>
      <c r="BA1637" s="750"/>
      <c r="BB1637" s="750"/>
      <c r="BC1637" s="752"/>
      <c r="BD1637" s="752"/>
      <c r="BE1637" s="752"/>
      <c r="BF1637" s="752"/>
      <c r="BG1637" s="752"/>
      <c r="BH1637" s="752"/>
      <c r="BI1637" s="752"/>
      <c r="BJ1637" s="752"/>
      <c r="BK1637" s="752"/>
      <c r="BL1637" s="752"/>
      <c r="BM1637" s="752"/>
      <c r="BN1637" s="752"/>
      <c r="BO1637" s="752"/>
      <c r="BP1637" s="752"/>
      <c r="BQ1637" s="752"/>
    </row>
    <row r="1638" spans="1:70" ht="99">
      <c r="A1638" s="2579"/>
      <c r="B1638" s="386"/>
      <c r="C1638" s="1451"/>
      <c r="D1638" s="1451"/>
      <c r="E1638" s="1451"/>
      <c r="F1638" s="1451"/>
      <c r="G1638" s="1451"/>
      <c r="H1638" s="1451"/>
      <c r="I1638" s="386" t="s">
        <v>1605</v>
      </c>
      <c r="J1638" s="386" t="s">
        <v>1606</v>
      </c>
      <c r="K1638" s="386">
        <v>45</v>
      </c>
      <c r="L1638" s="386">
        <f>75000000+80000000+90000000+95000000+100000000+110000000</f>
        <v>550000000</v>
      </c>
      <c r="M1638" s="386">
        <v>45</v>
      </c>
      <c r="N1638" s="386">
        <f>51833500+54468550+24895500</f>
        <v>131197550</v>
      </c>
      <c r="O1638" s="386">
        <v>45</v>
      </c>
      <c r="P1638" s="386">
        <v>0</v>
      </c>
      <c r="Q1638" s="386">
        <v>0</v>
      </c>
      <c r="R1638" s="386">
        <f>[9]Sheet1!$E$76</f>
        <v>0</v>
      </c>
      <c r="S1638" s="386">
        <v>0</v>
      </c>
      <c r="T1638" s="386">
        <f>'[10]juni 17'!$H$99</f>
        <v>0</v>
      </c>
      <c r="U1638" s="386">
        <v>0</v>
      </c>
      <c r="V1638" s="390">
        <v>0</v>
      </c>
      <c r="W1638" s="385">
        <v>0</v>
      </c>
      <c r="X1638" s="386">
        <v>0</v>
      </c>
      <c r="Y1638" s="386">
        <f t="shared" si="473"/>
        <v>0</v>
      </c>
      <c r="Z1638" s="386">
        <f t="shared" si="474"/>
        <v>0</v>
      </c>
      <c r="AA1638" s="386">
        <f t="shared" si="475"/>
        <v>45</v>
      </c>
      <c r="AB1638" s="387">
        <f t="shared" si="476"/>
        <v>131197550</v>
      </c>
      <c r="AC1638" s="388">
        <f t="shared" si="477"/>
        <v>100</v>
      </c>
      <c r="AD1638" s="388">
        <f t="shared" si="478"/>
        <v>23.854099999999999</v>
      </c>
      <c r="AE1638" s="2597"/>
      <c r="AF1638" s="1207"/>
      <c r="AG1638" s="1207"/>
      <c r="AH1638" s="1207"/>
      <c r="AI1638" s="1207"/>
      <c r="AJ1638" s="1207"/>
      <c r="AK1638" s="1207"/>
      <c r="AL1638" s="1207"/>
      <c r="AM1638" s="1207"/>
      <c r="AN1638" s="1207"/>
      <c r="AO1638" s="1207"/>
      <c r="AP1638" s="1207"/>
      <c r="AQ1638" s="1207"/>
      <c r="AR1638" s="1207"/>
      <c r="AS1638" s="1207"/>
      <c r="AT1638" s="1207"/>
      <c r="AU1638" s="1207"/>
      <c r="AV1638" s="1207"/>
      <c r="AW1638" s="1207"/>
      <c r="AX1638" s="1207"/>
      <c r="AY1638" s="1207"/>
      <c r="AZ1638" s="1207"/>
      <c r="BA1638" s="1207"/>
      <c r="BB1638" s="1207"/>
      <c r="BC1638" s="1207"/>
      <c r="BD1638" s="1207"/>
      <c r="BE1638" s="1207"/>
      <c r="BF1638" s="1207"/>
      <c r="BG1638" s="1207"/>
      <c r="BH1638" s="1207"/>
      <c r="BI1638" s="1207"/>
      <c r="BJ1638" s="1207"/>
      <c r="BK1638" s="1207"/>
      <c r="BL1638" s="1207"/>
      <c r="BM1638" s="1207"/>
      <c r="BN1638" s="1207"/>
      <c r="BO1638" s="1207"/>
      <c r="BP1638" s="1207"/>
      <c r="BQ1638" s="1207"/>
    </row>
    <row r="1639" spans="1:70" ht="66">
      <c r="A1639" s="2579"/>
      <c r="B1639" s="386"/>
      <c r="C1639" s="1451"/>
      <c r="D1639" s="1451"/>
      <c r="E1639" s="1451"/>
      <c r="F1639" s="1451"/>
      <c r="G1639" s="1451"/>
      <c r="H1639" s="1451"/>
      <c r="I1639" s="386" t="s">
        <v>1607</v>
      </c>
      <c r="J1639" s="386" t="s">
        <v>1608</v>
      </c>
      <c r="K1639" s="386">
        <v>45</v>
      </c>
      <c r="L1639" s="386">
        <f>35000000+40000000+45000000+45500000+65000000+70000000</f>
        <v>300500000</v>
      </c>
      <c r="M1639" s="386">
        <v>0</v>
      </c>
      <c r="N1639" s="386">
        <v>0</v>
      </c>
      <c r="O1639" s="386">
        <v>0</v>
      </c>
      <c r="P1639" s="386">
        <v>0</v>
      </c>
      <c r="Q1639" s="386">
        <v>0</v>
      </c>
      <c r="R1639" s="386">
        <v>0</v>
      </c>
      <c r="S1639" s="386">
        <v>0</v>
      </c>
      <c r="T1639" s="386">
        <v>0</v>
      </c>
      <c r="U1639" s="386">
        <v>0</v>
      </c>
      <c r="V1639" s="390">
        <v>0</v>
      </c>
      <c r="W1639" s="385"/>
      <c r="X1639" s="386"/>
      <c r="Y1639" s="386">
        <f t="shared" si="473"/>
        <v>0</v>
      </c>
      <c r="Z1639" s="386">
        <f t="shared" si="474"/>
        <v>0</v>
      </c>
      <c r="AA1639" s="386">
        <f t="shared" si="475"/>
        <v>0</v>
      </c>
      <c r="AB1639" s="387">
        <f t="shared" si="476"/>
        <v>0</v>
      </c>
      <c r="AC1639" s="388">
        <f t="shared" si="477"/>
        <v>0</v>
      </c>
      <c r="AD1639" s="388">
        <f t="shared" si="478"/>
        <v>0</v>
      </c>
      <c r="AE1639" s="2597"/>
      <c r="AF1639" s="870"/>
      <c r="AG1639" s="1208"/>
      <c r="AH1639" s="870"/>
      <c r="AI1639" s="870"/>
      <c r="AJ1639" s="870"/>
      <c r="AK1639" s="870"/>
      <c r="AL1639" s="870"/>
      <c r="AM1639" s="870"/>
      <c r="AN1639" s="870"/>
      <c r="AO1639" s="870"/>
      <c r="AP1639" s="870"/>
      <c r="AQ1639" s="870"/>
      <c r="AR1639" s="870"/>
      <c r="AS1639" s="870"/>
      <c r="AT1639" s="870"/>
      <c r="AU1639" s="870"/>
      <c r="AV1639" s="870"/>
      <c r="AW1639" s="870"/>
      <c r="AX1639" s="870"/>
      <c r="AY1639" s="870"/>
      <c r="AZ1639" s="870"/>
      <c r="BA1639" s="870"/>
      <c r="BB1639" s="870"/>
      <c r="BC1639" s="871"/>
      <c r="BD1639" s="871"/>
      <c r="BE1639" s="871"/>
      <c r="BF1639" s="871"/>
      <c r="BG1639" s="871"/>
      <c r="BH1639" s="871"/>
      <c r="BI1639" s="871"/>
      <c r="BJ1639" s="871"/>
      <c r="BK1639" s="871"/>
      <c r="BL1639" s="871"/>
      <c r="BM1639" s="871"/>
      <c r="BN1639" s="871"/>
      <c r="BO1639" s="871"/>
      <c r="BP1639" s="871"/>
      <c r="BQ1639" s="871"/>
    </row>
    <row r="1640" spans="1:70" ht="66">
      <c r="A1640" s="2579"/>
      <c r="B1640" s="386"/>
      <c r="C1640" s="1451"/>
      <c r="D1640" s="1451"/>
      <c r="E1640" s="1451"/>
      <c r="F1640" s="1451"/>
      <c r="G1640" s="1451"/>
      <c r="H1640" s="1451"/>
      <c r="I1640" s="386" t="s">
        <v>1609</v>
      </c>
      <c r="J1640" s="386" t="s">
        <v>1610</v>
      </c>
      <c r="K1640" s="386">
        <v>240</v>
      </c>
      <c r="L1640" s="386">
        <f>35000000+40000000+45000000+45500000+65000000+70000000</f>
        <v>300500000</v>
      </c>
      <c r="M1640" s="386">
        <v>0</v>
      </c>
      <c r="N1640" s="386">
        <v>0</v>
      </c>
      <c r="O1640" s="386">
        <v>0</v>
      </c>
      <c r="P1640" s="386">
        <v>0</v>
      </c>
      <c r="Q1640" s="386">
        <v>0</v>
      </c>
      <c r="R1640" s="386">
        <v>0</v>
      </c>
      <c r="S1640" s="386">
        <v>0</v>
      </c>
      <c r="T1640" s="386">
        <v>0</v>
      </c>
      <c r="U1640" s="386">
        <v>0</v>
      </c>
      <c r="V1640" s="390">
        <v>0</v>
      </c>
      <c r="W1640" s="385"/>
      <c r="X1640" s="386"/>
      <c r="Y1640" s="386">
        <f t="shared" si="473"/>
        <v>0</v>
      </c>
      <c r="Z1640" s="386">
        <f t="shared" si="474"/>
        <v>0</v>
      </c>
      <c r="AA1640" s="386">
        <f t="shared" si="475"/>
        <v>0</v>
      </c>
      <c r="AB1640" s="387">
        <f t="shared" si="476"/>
        <v>0</v>
      </c>
      <c r="AC1640" s="388">
        <f t="shared" si="477"/>
        <v>0</v>
      </c>
      <c r="AD1640" s="388">
        <f t="shared" si="478"/>
        <v>0</v>
      </c>
      <c r="AE1640" s="2597"/>
      <c r="AF1640" s="569"/>
      <c r="AG1640" s="1208"/>
      <c r="AH1640" s="569"/>
      <c r="AI1640" s="569"/>
      <c r="AJ1640" s="569"/>
      <c r="AK1640" s="569"/>
      <c r="AL1640" s="569"/>
      <c r="AM1640" s="569"/>
      <c r="AN1640" s="569"/>
      <c r="AO1640" s="569"/>
      <c r="AP1640" s="569"/>
      <c r="AQ1640" s="569"/>
      <c r="AR1640" s="569"/>
      <c r="AS1640" s="569"/>
      <c r="AT1640" s="569"/>
      <c r="AU1640" s="569"/>
      <c r="AV1640" s="569"/>
      <c r="AW1640" s="569"/>
      <c r="AX1640" s="569"/>
      <c r="AY1640" s="569"/>
      <c r="AZ1640" s="569"/>
      <c r="BA1640" s="569"/>
      <c r="BB1640" s="569"/>
      <c r="BC1640" s="570"/>
      <c r="BD1640" s="570"/>
      <c r="BE1640" s="570"/>
      <c r="BF1640" s="570"/>
      <c r="BG1640" s="570"/>
      <c r="BH1640" s="570"/>
      <c r="BI1640" s="570"/>
      <c r="BJ1640" s="570"/>
      <c r="BK1640" s="570"/>
      <c r="BL1640" s="570"/>
      <c r="BM1640" s="570"/>
      <c r="BN1640" s="570"/>
      <c r="BO1640" s="570"/>
      <c r="BP1640" s="570"/>
      <c r="BQ1640" s="570"/>
    </row>
    <row r="1641" spans="1:70" ht="82.5">
      <c r="A1641" s="2579"/>
      <c r="B1641" s="386"/>
      <c r="C1641" s="1451"/>
      <c r="D1641" s="1451"/>
      <c r="E1641" s="1451"/>
      <c r="F1641" s="1451"/>
      <c r="G1641" s="1451"/>
      <c r="H1641" s="1451"/>
      <c r="I1641" s="386" t="s">
        <v>1611</v>
      </c>
      <c r="J1641" s="386" t="s">
        <v>1612</v>
      </c>
      <c r="K1641" s="386">
        <v>100</v>
      </c>
      <c r="L1641" s="386">
        <f>30000000+36000000+40000000+42500000+50000000+60000000</f>
        <v>258500000</v>
      </c>
      <c r="M1641" s="386">
        <v>0</v>
      </c>
      <c r="N1641" s="386">
        <v>0</v>
      </c>
      <c r="O1641" s="386">
        <v>0</v>
      </c>
      <c r="P1641" s="386">
        <v>0</v>
      </c>
      <c r="Q1641" s="386">
        <v>0</v>
      </c>
      <c r="R1641" s="386">
        <v>0</v>
      </c>
      <c r="S1641" s="386">
        <v>0</v>
      </c>
      <c r="T1641" s="386">
        <v>0</v>
      </c>
      <c r="U1641" s="386">
        <v>0</v>
      </c>
      <c r="V1641" s="390">
        <v>0</v>
      </c>
      <c r="W1641" s="385"/>
      <c r="X1641" s="386"/>
      <c r="Y1641" s="386">
        <f t="shared" si="473"/>
        <v>0</v>
      </c>
      <c r="Z1641" s="386">
        <f t="shared" si="474"/>
        <v>0</v>
      </c>
      <c r="AA1641" s="386">
        <f t="shared" si="475"/>
        <v>0</v>
      </c>
      <c r="AB1641" s="387">
        <f t="shared" si="476"/>
        <v>0</v>
      </c>
      <c r="AC1641" s="388">
        <f t="shared" si="477"/>
        <v>0</v>
      </c>
      <c r="AD1641" s="388">
        <f t="shared" si="478"/>
        <v>0</v>
      </c>
      <c r="AE1641" s="2597"/>
      <c r="AF1641" s="569"/>
      <c r="AG1641" s="1208"/>
      <c r="AH1641" s="569"/>
      <c r="AI1641" s="569"/>
      <c r="AJ1641" s="569"/>
      <c r="AK1641" s="569"/>
      <c r="AL1641" s="569"/>
      <c r="AM1641" s="569"/>
      <c r="AN1641" s="569"/>
      <c r="AO1641" s="569"/>
      <c r="AP1641" s="569"/>
      <c r="AQ1641" s="569"/>
      <c r="AR1641" s="569"/>
      <c r="AS1641" s="569"/>
      <c r="AT1641" s="569"/>
      <c r="AU1641" s="569"/>
      <c r="AV1641" s="569"/>
      <c r="AW1641" s="569"/>
      <c r="AX1641" s="569"/>
      <c r="AY1641" s="569"/>
      <c r="AZ1641" s="569"/>
      <c r="BA1641" s="569"/>
      <c r="BB1641" s="569"/>
      <c r="BC1641" s="570"/>
      <c r="BD1641" s="570"/>
      <c r="BE1641" s="570"/>
      <c r="BF1641" s="570"/>
      <c r="BG1641" s="570"/>
      <c r="BH1641" s="570"/>
      <c r="BI1641" s="570"/>
      <c r="BJ1641" s="570"/>
      <c r="BK1641" s="570"/>
      <c r="BL1641" s="570"/>
      <c r="BM1641" s="570"/>
      <c r="BN1641" s="570"/>
      <c r="BO1641" s="570"/>
      <c r="BP1641" s="570"/>
      <c r="BQ1641" s="570"/>
    </row>
    <row r="1642" spans="1:70" ht="66">
      <c r="A1642" s="2579"/>
      <c r="B1642" s="386"/>
      <c r="C1642" s="1451"/>
      <c r="D1642" s="1451"/>
      <c r="E1642" s="1451"/>
      <c r="F1642" s="1451"/>
      <c r="G1642" s="1451"/>
      <c r="H1642" s="1451"/>
      <c r="I1642" s="386" t="s">
        <v>1613</v>
      </c>
      <c r="J1642" s="386" t="s">
        <v>1614</v>
      </c>
      <c r="K1642" s="386">
        <v>45</v>
      </c>
      <c r="L1642" s="386">
        <f>40000000+50000000+60000000+65000000+70000000+80000000</f>
        <v>365000000</v>
      </c>
      <c r="M1642" s="386">
        <v>0</v>
      </c>
      <c r="N1642" s="386">
        <v>0</v>
      </c>
      <c r="O1642" s="386">
        <v>0</v>
      </c>
      <c r="P1642" s="386">
        <v>0</v>
      </c>
      <c r="Q1642" s="386">
        <v>0</v>
      </c>
      <c r="R1642" s="386">
        <v>0</v>
      </c>
      <c r="S1642" s="386">
        <v>0</v>
      </c>
      <c r="T1642" s="386">
        <v>0</v>
      </c>
      <c r="U1642" s="386"/>
      <c r="V1642" s="390"/>
      <c r="W1642" s="385"/>
      <c r="X1642" s="386"/>
      <c r="Y1642" s="386">
        <f t="shared" si="473"/>
        <v>0</v>
      </c>
      <c r="Z1642" s="386">
        <f t="shared" si="474"/>
        <v>0</v>
      </c>
      <c r="AA1642" s="386">
        <f t="shared" si="475"/>
        <v>0</v>
      </c>
      <c r="AB1642" s="387">
        <f t="shared" si="476"/>
        <v>0</v>
      </c>
      <c r="AC1642" s="388">
        <f t="shared" si="477"/>
        <v>0</v>
      </c>
      <c r="AD1642" s="388">
        <f t="shared" si="478"/>
        <v>0</v>
      </c>
      <c r="AE1642" s="2597"/>
      <c r="AF1642" s="569"/>
      <c r="AG1642" s="1208"/>
      <c r="AH1642" s="569"/>
      <c r="AI1642" s="569"/>
      <c r="AJ1642" s="569"/>
      <c r="AK1642" s="569"/>
      <c r="AL1642" s="569"/>
      <c r="AM1642" s="569"/>
      <c r="AN1642" s="569"/>
      <c r="AO1642" s="569"/>
      <c r="AP1642" s="569"/>
      <c r="AQ1642" s="569"/>
      <c r="AR1642" s="569"/>
      <c r="AS1642" s="569"/>
      <c r="AT1642" s="569"/>
      <c r="AU1642" s="569"/>
      <c r="AV1642" s="569"/>
      <c r="AW1642" s="569"/>
      <c r="AX1642" s="569"/>
      <c r="AY1642" s="569"/>
      <c r="AZ1642" s="569"/>
      <c r="BA1642" s="569"/>
      <c r="BB1642" s="569"/>
      <c r="BC1642" s="570"/>
      <c r="BD1642" s="570"/>
      <c r="BE1642" s="570"/>
      <c r="BF1642" s="570"/>
      <c r="BG1642" s="570"/>
      <c r="BH1642" s="570"/>
      <c r="BI1642" s="570"/>
      <c r="BJ1642" s="570"/>
      <c r="BK1642" s="570"/>
      <c r="BL1642" s="570"/>
      <c r="BM1642" s="570"/>
      <c r="BN1642" s="570"/>
      <c r="BO1642" s="570"/>
      <c r="BP1642" s="570"/>
      <c r="BQ1642" s="570"/>
    </row>
    <row r="1643" spans="1:70" ht="33">
      <c r="A1643" s="2579"/>
      <c r="B1643" s="386"/>
      <c r="C1643" s="1451"/>
      <c r="D1643" s="1451"/>
      <c r="E1643" s="1451"/>
      <c r="F1643" s="1451"/>
      <c r="G1643" s="1451"/>
      <c r="H1643" s="1451"/>
      <c r="I1643" s="386" t="s">
        <v>1615</v>
      </c>
      <c r="J1643" s="386" t="s">
        <v>1616</v>
      </c>
      <c r="K1643" s="386">
        <v>2</v>
      </c>
      <c r="L1643" s="386">
        <f>40000000+45000000+50000000+60000000+65000000+70000000</f>
        <v>330000000</v>
      </c>
      <c r="M1643" s="386">
        <v>2</v>
      </c>
      <c r="N1643" s="386">
        <v>37431700</v>
      </c>
      <c r="O1643" s="386">
        <v>0</v>
      </c>
      <c r="P1643" s="386">
        <v>0</v>
      </c>
      <c r="Q1643" s="386">
        <v>0</v>
      </c>
      <c r="R1643" s="386">
        <v>0</v>
      </c>
      <c r="S1643" s="386">
        <v>0</v>
      </c>
      <c r="T1643" s="386">
        <v>0</v>
      </c>
      <c r="U1643" s="386">
        <v>0</v>
      </c>
      <c r="V1643" s="390">
        <v>0</v>
      </c>
      <c r="W1643" s="385">
        <v>0</v>
      </c>
      <c r="X1643" s="386">
        <v>0</v>
      </c>
      <c r="Y1643" s="386">
        <f t="shared" si="473"/>
        <v>0</v>
      </c>
      <c r="Z1643" s="386">
        <f t="shared" si="474"/>
        <v>0</v>
      </c>
      <c r="AA1643" s="386">
        <f t="shared" si="475"/>
        <v>2</v>
      </c>
      <c r="AB1643" s="387">
        <f t="shared" si="476"/>
        <v>37431700</v>
      </c>
      <c r="AC1643" s="388">
        <f t="shared" si="477"/>
        <v>100</v>
      </c>
      <c r="AD1643" s="388">
        <f t="shared" si="478"/>
        <v>11.342939393939394</v>
      </c>
      <c r="AE1643" s="2597"/>
      <c r="AF1643" s="569"/>
      <c r="AG1643" s="1208"/>
      <c r="AH1643" s="569"/>
      <c r="AI1643" s="569"/>
      <c r="AJ1643" s="569"/>
      <c r="AK1643" s="569"/>
      <c r="AL1643" s="569"/>
      <c r="AM1643" s="569"/>
      <c r="AN1643" s="569"/>
      <c r="AO1643" s="569"/>
      <c r="AP1643" s="569"/>
      <c r="AQ1643" s="569"/>
      <c r="AR1643" s="569"/>
      <c r="AS1643" s="569"/>
      <c r="AT1643" s="569"/>
      <c r="AU1643" s="569"/>
      <c r="AV1643" s="569"/>
      <c r="AW1643" s="569"/>
      <c r="AX1643" s="569"/>
      <c r="AY1643" s="569"/>
      <c r="AZ1643" s="569"/>
      <c r="BA1643" s="569"/>
      <c r="BB1643" s="569"/>
      <c r="BC1643" s="570"/>
      <c r="BD1643" s="570"/>
      <c r="BE1643" s="570"/>
      <c r="BF1643" s="570"/>
      <c r="BG1643" s="570"/>
      <c r="BH1643" s="570"/>
      <c r="BI1643" s="570"/>
      <c r="BJ1643" s="570"/>
      <c r="BK1643" s="570"/>
      <c r="BL1643" s="570"/>
      <c r="BM1643" s="570"/>
      <c r="BN1643" s="570"/>
      <c r="BO1643" s="570"/>
      <c r="BP1643" s="570"/>
      <c r="BQ1643" s="570"/>
    </row>
    <row r="1644" spans="1:70" ht="66">
      <c r="A1644" s="2579"/>
      <c r="B1644" s="386"/>
      <c r="C1644" s="1451"/>
      <c r="D1644" s="1451"/>
      <c r="E1644" s="1451"/>
      <c r="F1644" s="1451"/>
      <c r="G1644" s="1451"/>
      <c r="H1644" s="1451"/>
      <c r="I1644" s="386" t="s">
        <v>1617</v>
      </c>
      <c r="J1644" s="386" t="s">
        <v>1618</v>
      </c>
      <c r="K1644" s="386">
        <v>45</v>
      </c>
      <c r="L1644" s="386">
        <f>40000000+45000000+50000000+60000000+65000000+70000000</f>
        <v>330000000</v>
      </c>
      <c r="M1644" s="386">
        <v>0</v>
      </c>
      <c r="N1644" s="386">
        <v>0</v>
      </c>
      <c r="O1644" s="386">
        <v>0</v>
      </c>
      <c r="P1644" s="386">
        <v>0</v>
      </c>
      <c r="Q1644" s="386">
        <v>0</v>
      </c>
      <c r="R1644" s="386">
        <v>0</v>
      </c>
      <c r="S1644" s="386"/>
      <c r="T1644" s="386"/>
      <c r="U1644" s="386"/>
      <c r="V1644" s="390"/>
      <c r="W1644" s="385"/>
      <c r="X1644" s="386"/>
      <c r="Y1644" s="386">
        <f t="shared" si="473"/>
        <v>0</v>
      </c>
      <c r="Z1644" s="386">
        <f t="shared" si="474"/>
        <v>0</v>
      </c>
      <c r="AA1644" s="386">
        <f t="shared" si="475"/>
        <v>0</v>
      </c>
      <c r="AB1644" s="387">
        <f t="shared" si="476"/>
        <v>0</v>
      </c>
      <c r="AC1644" s="388">
        <f t="shared" si="477"/>
        <v>0</v>
      </c>
      <c r="AD1644" s="388">
        <f t="shared" si="478"/>
        <v>0</v>
      </c>
      <c r="AE1644" s="2597"/>
      <c r="AF1644" s="569"/>
      <c r="AG1644" s="1208"/>
      <c r="AH1644" s="569"/>
      <c r="AI1644" s="569"/>
      <c r="AJ1644" s="569"/>
      <c r="AK1644" s="569"/>
      <c r="AL1644" s="569"/>
      <c r="AM1644" s="569"/>
      <c r="AN1644" s="569"/>
      <c r="AO1644" s="569"/>
      <c r="AP1644" s="569"/>
      <c r="AQ1644" s="569"/>
      <c r="AR1644" s="569"/>
      <c r="AS1644" s="569"/>
      <c r="AT1644" s="569"/>
      <c r="AU1644" s="569"/>
      <c r="AV1644" s="569"/>
      <c r="AW1644" s="569"/>
      <c r="AX1644" s="569"/>
      <c r="AY1644" s="569"/>
      <c r="AZ1644" s="569"/>
      <c r="BA1644" s="569"/>
      <c r="BB1644" s="569"/>
      <c r="BC1644" s="570"/>
      <c r="BD1644" s="570"/>
      <c r="BE1644" s="570"/>
      <c r="BF1644" s="570"/>
      <c r="BG1644" s="570"/>
      <c r="BH1644" s="570"/>
      <c r="BI1644" s="570"/>
      <c r="BJ1644" s="570"/>
      <c r="BK1644" s="570"/>
      <c r="BL1644" s="570"/>
      <c r="BM1644" s="570"/>
      <c r="BN1644" s="570"/>
      <c r="BO1644" s="570"/>
      <c r="BP1644" s="570"/>
      <c r="BQ1644" s="570"/>
    </row>
    <row r="1645" spans="1:70" ht="49.5">
      <c r="A1645" s="2579"/>
      <c r="B1645" s="386"/>
      <c r="C1645" s="1451"/>
      <c r="D1645" s="1451"/>
      <c r="E1645" s="1451"/>
      <c r="F1645" s="1451"/>
      <c r="G1645" s="1451"/>
      <c r="H1645" s="1451"/>
      <c r="I1645" s="386" t="s">
        <v>1619</v>
      </c>
      <c r="J1645" s="386" t="s">
        <v>3183</v>
      </c>
      <c r="K1645" s="386">
        <f>3*O1645</f>
        <v>276</v>
      </c>
      <c r="L1645" s="386">
        <f>3*P1645</f>
        <v>240546228</v>
      </c>
      <c r="M1645" s="386">
        <v>0</v>
      </c>
      <c r="N1645" s="386">
        <v>0</v>
      </c>
      <c r="O1645" s="386">
        <v>92</v>
      </c>
      <c r="P1645" s="386">
        <v>80182076</v>
      </c>
      <c r="Q1645" s="386">
        <v>0</v>
      </c>
      <c r="R1645" s="386">
        <v>20526223</v>
      </c>
      <c r="S1645" s="386">
        <v>0</v>
      </c>
      <c r="T1645" s="386"/>
      <c r="U1645" s="386">
        <v>0</v>
      </c>
      <c r="V1645" s="390"/>
      <c r="W1645" s="385">
        <v>0</v>
      </c>
      <c r="X1645" s="386"/>
      <c r="Y1645" s="386">
        <f t="shared" si="473"/>
        <v>0</v>
      </c>
      <c r="Z1645" s="386">
        <f t="shared" si="474"/>
        <v>20526223</v>
      </c>
      <c r="AA1645" s="386">
        <f t="shared" si="475"/>
        <v>0</v>
      </c>
      <c r="AB1645" s="387">
        <f t="shared" si="476"/>
        <v>20526223</v>
      </c>
      <c r="AC1645" s="388">
        <f t="shared" si="477"/>
        <v>0</v>
      </c>
      <c r="AD1645" s="388">
        <f t="shared" si="478"/>
        <v>8.5331718442078408</v>
      </c>
      <c r="AE1645" s="2597"/>
      <c r="AF1645" s="569"/>
      <c r="AG1645" s="1208"/>
      <c r="AH1645" s="569"/>
      <c r="AI1645" s="569"/>
      <c r="AJ1645" s="569"/>
      <c r="AK1645" s="569"/>
      <c r="AL1645" s="569"/>
      <c r="AM1645" s="569"/>
      <c r="AN1645" s="569"/>
      <c r="AO1645" s="569"/>
      <c r="AP1645" s="569"/>
      <c r="AQ1645" s="569"/>
      <c r="AR1645" s="569"/>
      <c r="AS1645" s="569"/>
      <c r="AT1645" s="569"/>
      <c r="AU1645" s="569"/>
      <c r="AV1645" s="569"/>
      <c r="AW1645" s="569"/>
      <c r="AX1645" s="569"/>
      <c r="AY1645" s="569"/>
      <c r="AZ1645" s="569"/>
      <c r="BA1645" s="569"/>
      <c r="BB1645" s="569"/>
      <c r="BC1645" s="570"/>
      <c r="BD1645" s="570"/>
      <c r="BE1645" s="570"/>
      <c r="BF1645" s="570"/>
      <c r="BG1645" s="570"/>
      <c r="BH1645" s="570"/>
      <c r="BI1645" s="570"/>
      <c r="BJ1645" s="570"/>
      <c r="BK1645" s="570"/>
      <c r="BL1645" s="570"/>
      <c r="BM1645" s="570"/>
      <c r="BN1645" s="570"/>
      <c r="BO1645" s="570"/>
      <c r="BP1645" s="570"/>
      <c r="BQ1645" s="570"/>
    </row>
    <row r="1646" spans="1:70" ht="102.75" customHeight="1">
      <c r="A1646" s="2579"/>
      <c r="B1646" s="386"/>
      <c r="C1646" s="1451"/>
      <c r="D1646" s="1451"/>
      <c r="E1646" s="1451"/>
      <c r="F1646" s="1451"/>
      <c r="G1646" s="1451"/>
      <c r="H1646" s="1451"/>
      <c r="I1646" s="386" t="s">
        <v>1620</v>
      </c>
      <c r="J1646" s="386" t="s">
        <v>3184</v>
      </c>
      <c r="K1646" s="386">
        <v>276</v>
      </c>
      <c r="L1646" s="386">
        <f>3*P1646</f>
        <v>147064218</v>
      </c>
      <c r="M1646" s="386">
        <v>0</v>
      </c>
      <c r="N1646" s="386">
        <v>0</v>
      </c>
      <c r="O1646" s="386">
        <v>92</v>
      </c>
      <c r="P1646" s="386">
        <v>49021406</v>
      </c>
      <c r="Q1646" s="386">
        <v>0</v>
      </c>
      <c r="R1646" s="386">
        <v>0</v>
      </c>
      <c r="S1646" s="386"/>
      <c r="T1646" s="386"/>
      <c r="U1646" s="386"/>
      <c r="V1646" s="390"/>
      <c r="W1646" s="385"/>
      <c r="X1646" s="386"/>
      <c r="Y1646" s="386">
        <f t="shared" si="473"/>
        <v>0</v>
      </c>
      <c r="Z1646" s="386">
        <f t="shared" si="474"/>
        <v>0</v>
      </c>
      <c r="AA1646" s="386">
        <f t="shared" si="475"/>
        <v>0</v>
      </c>
      <c r="AB1646" s="387">
        <f t="shared" si="476"/>
        <v>0</v>
      </c>
      <c r="AC1646" s="388">
        <f t="shared" si="477"/>
        <v>0</v>
      </c>
      <c r="AD1646" s="388">
        <f t="shared" si="478"/>
        <v>0</v>
      </c>
      <c r="AE1646" s="2597"/>
      <c r="AF1646" s="569"/>
      <c r="AG1646" s="1208"/>
      <c r="AH1646" s="569"/>
      <c r="AI1646" s="569"/>
      <c r="AJ1646" s="569"/>
      <c r="AK1646" s="569"/>
      <c r="AL1646" s="569"/>
      <c r="AM1646" s="569"/>
      <c r="AN1646" s="569"/>
      <c r="AO1646" s="569"/>
      <c r="AP1646" s="569"/>
      <c r="AQ1646" s="569"/>
      <c r="AR1646" s="569"/>
      <c r="AS1646" s="569"/>
      <c r="AT1646" s="569"/>
      <c r="AU1646" s="569"/>
      <c r="AV1646" s="569"/>
      <c r="AW1646" s="569"/>
      <c r="AX1646" s="569"/>
      <c r="AY1646" s="569"/>
      <c r="AZ1646" s="569"/>
      <c r="BA1646" s="569"/>
      <c r="BB1646" s="569"/>
      <c r="BC1646" s="570"/>
      <c r="BD1646" s="570"/>
      <c r="BE1646" s="570"/>
      <c r="BF1646" s="570"/>
      <c r="BG1646" s="570"/>
      <c r="BH1646" s="570"/>
      <c r="BI1646" s="570"/>
      <c r="BJ1646" s="570"/>
      <c r="BK1646" s="570"/>
      <c r="BL1646" s="570"/>
      <c r="BM1646" s="570"/>
      <c r="BN1646" s="570"/>
      <c r="BO1646" s="570"/>
      <c r="BP1646" s="570"/>
      <c r="BQ1646" s="570"/>
    </row>
    <row r="1647" spans="1:70" s="1315" customFormat="1" ht="82.5">
      <c r="A1647" s="1452">
        <v>6</v>
      </c>
      <c r="B1647" s="400"/>
      <c r="C1647" s="1452"/>
      <c r="D1647" s="1452"/>
      <c r="E1647" s="1452"/>
      <c r="F1647" s="1452"/>
      <c r="G1647" s="1452"/>
      <c r="H1647" s="1452"/>
      <c r="I1647" s="400" t="s">
        <v>1621</v>
      </c>
      <c r="J1647" s="400" t="s">
        <v>1622</v>
      </c>
      <c r="K1647" s="400" t="s">
        <v>3185</v>
      </c>
      <c r="L1647" s="400">
        <f>SUM(L1648:L1649)</f>
        <v>2160000000</v>
      </c>
      <c r="M1647" s="400" t="s">
        <v>3186</v>
      </c>
      <c r="N1647" s="400">
        <f>N1648+N1649</f>
        <v>698112681</v>
      </c>
      <c r="O1647" s="400" t="s">
        <v>3186</v>
      </c>
      <c r="P1647" s="400">
        <f>SUM(P1648:P1649)</f>
        <v>143150550</v>
      </c>
      <c r="Q1647" s="400">
        <v>0</v>
      </c>
      <c r="R1647" s="400">
        <f>SUM(R1648:R1651)</f>
        <v>0</v>
      </c>
      <c r="S1647" s="400">
        <f>T1647/P1647*100</f>
        <v>26.05648389056137</v>
      </c>
      <c r="T1647" s="400">
        <f>SUM(T1648:T1651)</f>
        <v>37300000</v>
      </c>
      <c r="U1647" s="400">
        <f>V1647/P1647*100</f>
        <v>0</v>
      </c>
      <c r="V1647" s="297">
        <f>SUM(V1648:V1651)</f>
        <v>0</v>
      </c>
      <c r="W1647" s="400">
        <f>X1647/P1647*100</f>
        <v>0</v>
      </c>
      <c r="X1647" s="400">
        <f>SUM(X1648:X1649)</f>
        <v>0</v>
      </c>
      <c r="Y1647" s="400">
        <f t="shared" si="473"/>
        <v>26.05648389056137</v>
      </c>
      <c r="Z1647" s="400">
        <f t="shared" si="474"/>
        <v>37300000</v>
      </c>
      <c r="AA1647" s="400" t="s">
        <v>3186</v>
      </c>
      <c r="AB1647" s="399">
        <f>N1647+Z1647</f>
        <v>735412681</v>
      </c>
      <c r="AC1647" s="406">
        <v>100</v>
      </c>
      <c r="AD1647" s="406">
        <f>AB1647/L1647*100</f>
        <v>34.046883379629627</v>
      </c>
      <c r="AE1647" s="2546" t="s">
        <v>2458</v>
      </c>
      <c r="AF1647" s="870"/>
      <c r="AG1647" s="1208"/>
      <c r="AH1647" s="870"/>
      <c r="AI1647" s="870"/>
      <c r="AJ1647" s="870"/>
      <c r="AK1647" s="870"/>
      <c r="AL1647" s="870"/>
      <c r="AM1647" s="870"/>
      <c r="AN1647" s="870"/>
      <c r="AO1647" s="870"/>
      <c r="AP1647" s="870"/>
      <c r="AQ1647" s="870"/>
      <c r="AR1647" s="870"/>
      <c r="AS1647" s="870"/>
      <c r="AT1647" s="870"/>
      <c r="AU1647" s="870"/>
      <c r="AV1647" s="870"/>
      <c r="AW1647" s="870"/>
      <c r="AX1647" s="870"/>
      <c r="AY1647" s="870"/>
      <c r="AZ1647" s="870"/>
      <c r="BA1647" s="870"/>
      <c r="BB1647" s="870"/>
      <c r="BC1647" s="871"/>
      <c r="BD1647" s="871"/>
      <c r="BE1647" s="871"/>
      <c r="BF1647" s="871"/>
      <c r="BG1647" s="871"/>
      <c r="BH1647" s="871"/>
      <c r="BI1647" s="871"/>
      <c r="BJ1647" s="871"/>
      <c r="BK1647" s="871"/>
      <c r="BL1647" s="871"/>
      <c r="BM1647" s="871"/>
      <c r="BN1647" s="871"/>
      <c r="BO1647" s="871"/>
      <c r="BP1647" s="871"/>
      <c r="BQ1647" s="871"/>
      <c r="BR1647" s="1346"/>
    </row>
    <row r="1648" spans="1:70" ht="49.5">
      <c r="A1648" s="2579"/>
      <c r="B1648" s="386"/>
      <c r="C1648" s="1451"/>
      <c r="D1648" s="1451"/>
      <c r="E1648" s="1451"/>
      <c r="F1648" s="1451"/>
      <c r="G1648" s="1451"/>
      <c r="H1648" s="1451"/>
      <c r="I1648" s="395" t="s">
        <v>1623</v>
      </c>
      <c r="J1648" s="387" t="s">
        <v>1624</v>
      </c>
      <c r="K1648" s="386">
        <v>72</v>
      </c>
      <c r="L1648" s="386">
        <f>225000000+250000000+275000000+300000000+325000000+350000000</f>
        <v>1725000000</v>
      </c>
      <c r="M1648" s="386">
        <v>24</v>
      </c>
      <c r="N1648" s="386">
        <f>228743500+217239850+178586331</f>
        <v>624569681</v>
      </c>
      <c r="O1648" s="386">
        <v>12</v>
      </c>
      <c r="P1648" s="386">
        <v>113215000</v>
      </c>
      <c r="Q1648" s="386">
        <v>4</v>
      </c>
      <c r="R1648" s="386">
        <v>0</v>
      </c>
      <c r="S1648" s="386">
        <v>12</v>
      </c>
      <c r="T1648" s="386">
        <v>37300000</v>
      </c>
      <c r="U1648" s="386">
        <f>V1648/P1648*100</f>
        <v>0</v>
      </c>
      <c r="V1648" s="390">
        <v>0</v>
      </c>
      <c r="W1648" s="386">
        <f>X1648/P1648*100</f>
        <v>0</v>
      </c>
      <c r="X1648" s="386">
        <v>0</v>
      </c>
      <c r="Y1648" s="386">
        <f t="shared" si="473"/>
        <v>16</v>
      </c>
      <c r="Z1648" s="386">
        <f t="shared" si="474"/>
        <v>37300000</v>
      </c>
      <c r="AA1648" s="386">
        <f>M1648+Y1648</f>
        <v>40</v>
      </c>
      <c r="AB1648" s="387">
        <f>N1648+Z1648</f>
        <v>661869681</v>
      </c>
      <c r="AC1648" s="388">
        <f>AA1648/K1648*100</f>
        <v>55.555555555555557</v>
      </c>
      <c r="AD1648" s="388">
        <f>AB1648/L1648*100</f>
        <v>38.369256869565213</v>
      </c>
      <c r="AE1648" s="2597"/>
      <c r="AF1648" s="569"/>
      <c r="AG1648" s="1208"/>
      <c r="AH1648" s="569"/>
      <c r="AI1648" s="569"/>
      <c r="AJ1648" s="569"/>
      <c r="AK1648" s="569"/>
      <c r="AL1648" s="569"/>
      <c r="AM1648" s="569"/>
      <c r="AN1648" s="569"/>
      <c r="AO1648" s="569"/>
      <c r="AP1648" s="569"/>
      <c r="AQ1648" s="569"/>
      <c r="AR1648" s="569"/>
      <c r="AS1648" s="569"/>
      <c r="AT1648" s="569"/>
      <c r="AU1648" s="569"/>
      <c r="AV1648" s="569"/>
      <c r="AW1648" s="569"/>
      <c r="AX1648" s="569"/>
      <c r="AY1648" s="569"/>
      <c r="AZ1648" s="569"/>
      <c r="BA1648" s="569"/>
      <c r="BB1648" s="569"/>
      <c r="BC1648" s="570"/>
      <c r="BD1648" s="570"/>
      <c r="BE1648" s="570"/>
      <c r="BF1648" s="570"/>
      <c r="BG1648" s="570"/>
      <c r="BH1648" s="570"/>
      <c r="BI1648" s="570"/>
      <c r="BJ1648" s="570"/>
      <c r="BK1648" s="570"/>
      <c r="BL1648" s="570"/>
      <c r="BM1648" s="570"/>
      <c r="BN1648" s="570"/>
      <c r="BO1648" s="570"/>
      <c r="BP1648" s="570"/>
      <c r="BQ1648" s="570"/>
    </row>
    <row r="1649" spans="1:70" ht="66">
      <c r="A1649" s="2579"/>
      <c r="B1649" s="386"/>
      <c r="C1649" s="1451"/>
      <c r="D1649" s="1451"/>
      <c r="E1649" s="1451"/>
      <c r="F1649" s="1451"/>
      <c r="G1649" s="1451"/>
      <c r="H1649" s="1451"/>
      <c r="I1649" s="395" t="s">
        <v>1625</v>
      </c>
      <c r="J1649" s="387" t="s">
        <v>1626</v>
      </c>
      <c r="K1649" s="386">
        <v>12</v>
      </c>
      <c r="L1649" s="386">
        <f>60000000+65000000+70000000+75000000+80000000+85000000</f>
        <v>435000000</v>
      </c>
      <c r="M1649" s="386">
        <v>4</v>
      </c>
      <c r="N1649" s="386">
        <f>34704000+25048000+13791000</f>
        <v>73543000</v>
      </c>
      <c r="O1649" s="386">
        <v>2</v>
      </c>
      <c r="P1649" s="386">
        <v>29935550</v>
      </c>
      <c r="Q1649" s="386">
        <f>R1649/P1649*100</f>
        <v>0</v>
      </c>
      <c r="R1649" s="386">
        <f>[9]Sheet1!$E$84</f>
        <v>0</v>
      </c>
      <c r="S1649" s="386">
        <f>T1649/P1649*100</f>
        <v>0</v>
      </c>
      <c r="T1649" s="386">
        <f>'[10]juni 17'!$H$112</f>
        <v>0</v>
      </c>
      <c r="U1649" s="386">
        <f>V1649/P1649*100</f>
        <v>0</v>
      </c>
      <c r="V1649" s="390">
        <f>'[10]Sept 17'!$H$116</f>
        <v>0</v>
      </c>
      <c r="W1649" s="386">
        <f>X1649/P1649*100</f>
        <v>0</v>
      </c>
      <c r="X1649" s="386">
        <v>0</v>
      </c>
      <c r="Y1649" s="386">
        <f t="shared" si="473"/>
        <v>0</v>
      </c>
      <c r="Z1649" s="386">
        <f t="shared" si="474"/>
        <v>0</v>
      </c>
      <c r="AA1649" s="386">
        <f>M1649+Y1649</f>
        <v>4</v>
      </c>
      <c r="AB1649" s="387">
        <f>N1649+Z1649</f>
        <v>73543000</v>
      </c>
      <c r="AC1649" s="388">
        <f>AA1649/K1649*100</f>
        <v>33.333333333333329</v>
      </c>
      <c r="AD1649" s="388">
        <f>AB1649/L1649*100</f>
        <v>16.906436781609198</v>
      </c>
      <c r="AE1649" s="2597"/>
      <c r="AF1649" s="569"/>
      <c r="AG1649" s="1208"/>
      <c r="AH1649" s="569"/>
      <c r="AI1649" s="569"/>
      <c r="AJ1649" s="569"/>
      <c r="AK1649" s="569"/>
      <c r="AL1649" s="569"/>
      <c r="AM1649" s="569"/>
      <c r="AN1649" s="569"/>
      <c r="AO1649" s="569"/>
      <c r="AP1649" s="569"/>
      <c r="AQ1649" s="569"/>
      <c r="AR1649" s="569"/>
      <c r="AS1649" s="569"/>
      <c r="AT1649" s="569"/>
      <c r="AU1649" s="569"/>
      <c r="AV1649" s="569"/>
      <c r="AW1649" s="569"/>
      <c r="AX1649" s="569"/>
      <c r="AY1649" s="569"/>
      <c r="AZ1649" s="569"/>
      <c r="BA1649" s="569"/>
      <c r="BB1649" s="569"/>
      <c r="BC1649" s="570"/>
      <c r="BD1649" s="570"/>
      <c r="BE1649" s="570"/>
      <c r="BF1649" s="570"/>
      <c r="BG1649" s="570"/>
      <c r="BH1649" s="570"/>
      <c r="BI1649" s="570"/>
      <c r="BJ1649" s="570"/>
      <c r="BK1649" s="570"/>
      <c r="BL1649" s="570"/>
      <c r="BM1649" s="570"/>
      <c r="BN1649" s="570"/>
      <c r="BO1649" s="570"/>
      <c r="BP1649" s="570"/>
      <c r="BQ1649" s="570"/>
    </row>
    <row r="1650" spans="1:70" s="1315" customFormat="1" ht="69.75" customHeight="1">
      <c r="A1650" s="1452">
        <v>7</v>
      </c>
      <c r="B1650" s="400"/>
      <c r="C1650" s="1452"/>
      <c r="D1650" s="1452"/>
      <c r="E1650" s="1452"/>
      <c r="F1650" s="1452"/>
      <c r="G1650" s="1452"/>
      <c r="H1650" s="1452"/>
      <c r="I1650" s="400" t="s">
        <v>682</v>
      </c>
      <c r="J1650" s="399" t="s">
        <v>3187</v>
      </c>
      <c r="K1650" s="400">
        <v>100</v>
      </c>
      <c r="L1650" s="400">
        <f>L1651</f>
        <v>240000000</v>
      </c>
      <c r="M1650" s="400">
        <v>75</v>
      </c>
      <c r="N1650" s="400">
        <f>N1651</f>
        <v>17610000</v>
      </c>
      <c r="O1650" s="400">
        <v>10</v>
      </c>
      <c r="P1650" s="400">
        <f>P1651</f>
        <v>38920000</v>
      </c>
      <c r="Q1650" s="400">
        <f>Q1651</f>
        <v>0</v>
      </c>
      <c r="R1650" s="400">
        <f>R1651</f>
        <v>0</v>
      </c>
      <c r="S1650" s="400"/>
      <c r="T1650" s="400">
        <f>T1651</f>
        <v>0</v>
      </c>
      <c r="U1650" s="400"/>
      <c r="V1650" s="297">
        <f>V1651</f>
        <v>0</v>
      </c>
      <c r="W1650" s="400"/>
      <c r="X1650" s="400">
        <f>X1651</f>
        <v>0</v>
      </c>
      <c r="Y1650" s="400">
        <f t="shared" si="473"/>
        <v>0</v>
      </c>
      <c r="Z1650" s="400">
        <f t="shared" si="474"/>
        <v>0</v>
      </c>
      <c r="AA1650" s="400">
        <f>M1650+Y1650</f>
        <v>75</v>
      </c>
      <c r="AB1650" s="399">
        <f>N1650+Z1650</f>
        <v>17610000</v>
      </c>
      <c r="AC1650" s="406">
        <f>AA1650/K1650*100</f>
        <v>75</v>
      </c>
      <c r="AD1650" s="406">
        <f>AB1650/L1650*100</f>
        <v>7.3374999999999995</v>
      </c>
      <c r="AE1650" s="2598"/>
      <c r="AF1650" s="870"/>
      <c r="AG1650" s="1208"/>
      <c r="AH1650" s="870"/>
      <c r="AI1650" s="870"/>
      <c r="AJ1650" s="870"/>
      <c r="AK1650" s="870"/>
      <c r="AL1650" s="870"/>
      <c r="AM1650" s="870"/>
      <c r="AN1650" s="870"/>
      <c r="AO1650" s="870"/>
      <c r="AP1650" s="870"/>
      <c r="AQ1650" s="870"/>
      <c r="AR1650" s="870"/>
      <c r="AS1650" s="870"/>
      <c r="AT1650" s="870"/>
      <c r="AU1650" s="870"/>
      <c r="AV1650" s="870"/>
      <c r="AW1650" s="870"/>
      <c r="AX1650" s="870"/>
      <c r="AY1650" s="870"/>
      <c r="AZ1650" s="870"/>
      <c r="BA1650" s="870"/>
      <c r="BB1650" s="870"/>
      <c r="BC1650" s="871"/>
      <c r="BD1650" s="871"/>
      <c r="BE1650" s="871"/>
      <c r="BF1650" s="871"/>
      <c r="BG1650" s="871"/>
      <c r="BH1650" s="871"/>
      <c r="BI1650" s="871"/>
      <c r="BJ1650" s="871"/>
      <c r="BK1650" s="871"/>
      <c r="BL1650" s="871"/>
      <c r="BM1650" s="871"/>
      <c r="BN1650" s="871"/>
      <c r="BO1650" s="871"/>
      <c r="BP1650" s="871"/>
      <c r="BQ1650" s="871"/>
      <c r="BR1650" s="1346"/>
    </row>
    <row r="1651" spans="1:70" ht="49.5">
      <c r="A1651" s="2579"/>
      <c r="B1651" s="386"/>
      <c r="C1651" s="1451"/>
      <c r="D1651" s="1451"/>
      <c r="E1651" s="1451"/>
      <c r="F1651" s="1451"/>
      <c r="G1651" s="1451"/>
      <c r="H1651" s="1451"/>
      <c r="I1651" s="395" t="s">
        <v>585</v>
      </c>
      <c r="J1651" s="391" t="s">
        <v>3188</v>
      </c>
      <c r="K1651" s="386">
        <v>8</v>
      </c>
      <c r="L1651" s="386">
        <f>25000000+30000000+35000000+40000000+50000000+60000000</f>
        <v>240000000</v>
      </c>
      <c r="M1651" s="386">
        <v>2</v>
      </c>
      <c r="N1651" s="386">
        <v>17610000</v>
      </c>
      <c r="O1651" s="386">
        <v>2</v>
      </c>
      <c r="P1651" s="386">
        <v>38920000</v>
      </c>
      <c r="Q1651" s="386">
        <f>R1651/P1651*100</f>
        <v>0</v>
      </c>
      <c r="R1651" s="386">
        <f>[9]Sheet1!$E$37</f>
        <v>0</v>
      </c>
      <c r="S1651" s="386"/>
      <c r="T1651" s="386"/>
      <c r="U1651" s="386"/>
      <c r="V1651" s="390"/>
      <c r="W1651" s="385"/>
      <c r="X1651" s="386"/>
      <c r="Y1651" s="386">
        <f t="shared" si="473"/>
        <v>0</v>
      </c>
      <c r="Z1651" s="386">
        <f t="shared" si="474"/>
        <v>0</v>
      </c>
      <c r="AA1651" s="386">
        <f>M1651+Y1651</f>
        <v>2</v>
      </c>
      <c r="AB1651" s="387">
        <f>N1651+Z1651</f>
        <v>17610000</v>
      </c>
      <c r="AC1651" s="396">
        <f>AA1651/K1651*100</f>
        <v>25</v>
      </c>
      <c r="AD1651" s="388">
        <f>AB1651/L1651*100</f>
        <v>7.3374999999999995</v>
      </c>
      <c r="AE1651" s="2597"/>
      <c r="AF1651" s="569"/>
      <c r="AG1651" s="1208"/>
      <c r="AH1651" s="569"/>
      <c r="AI1651" s="569"/>
      <c r="AJ1651" s="569"/>
      <c r="AK1651" s="569"/>
      <c r="AL1651" s="569"/>
      <c r="AM1651" s="569"/>
      <c r="AN1651" s="569"/>
      <c r="AO1651" s="569"/>
      <c r="AP1651" s="569"/>
      <c r="AQ1651" s="569"/>
      <c r="AR1651" s="569"/>
      <c r="AS1651" s="569"/>
      <c r="AT1651" s="569"/>
      <c r="AU1651" s="569"/>
      <c r="AV1651" s="569"/>
      <c r="AW1651" s="569"/>
      <c r="AX1651" s="569"/>
      <c r="AY1651" s="569"/>
      <c r="AZ1651" s="569"/>
      <c r="BA1651" s="569"/>
      <c r="BB1651" s="569"/>
      <c r="BC1651" s="570"/>
      <c r="BD1651" s="570"/>
      <c r="BE1651" s="570"/>
      <c r="BF1651" s="570"/>
      <c r="BG1651" s="570"/>
      <c r="BH1651" s="570"/>
      <c r="BI1651" s="570"/>
      <c r="BJ1651" s="570"/>
      <c r="BK1651" s="570"/>
      <c r="BL1651" s="570"/>
      <c r="BM1651" s="570"/>
      <c r="BN1651" s="570"/>
      <c r="BO1651" s="570"/>
      <c r="BP1651" s="570"/>
      <c r="BQ1651" s="570"/>
    </row>
    <row r="1652" spans="1:70" ht="23.25" customHeight="1">
      <c r="A1652" s="2750" t="s">
        <v>63</v>
      </c>
      <c r="B1652" s="2751"/>
      <c r="C1652" s="2751"/>
      <c r="D1652" s="2751"/>
      <c r="E1652" s="2751"/>
      <c r="F1652" s="2751"/>
      <c r="G1652" s="2751"/>
      <c r="H1652" s="2751"/>
      <c r="I1652" s="2751"/>
      <c r="J1652" s="2751"/>
      <c r="K1652" s="2751"/>
      <c r="L1652" s="2751"/>
      <c r="M1652" s="2751"/>
      <c r="N1652" s="2751"/>
      <c r="O1652" s="2751"/>
      <c r="P1652" s="2751"/>
      <c r="Q1652" s="2751"/>
      <c r="R1652" s="2751"/>
      <c r="S1652" s="2751"/>
      <c r="T1652" s="2751"/>
      <c r="U1652" s="2751"/>
      <c r="V1652" s="2751"/>
      <c r="W1652" s="2751"/>
      <c r="X1652" s="2751"/>
      <c r="Y1652" s="2751"/>
      <c r="Z1652" s="2751"/>
      <c r="AA1652" s="2751"/>
      <c r="AB1652" s="2752"/>
      <c r="AC1652" s="1897">
        <f>(AC1604+AC1616+AC1622+AC1625+AC1627+AC1647+AC1650)/7</f>
        <v>71.391360426016902</v>
      </c>
      <c r="AD1652" s="1897">
        <f>(AD1604+AD1616+AD1622+AD1625+AD1627+AD1647+AD1650)/7</f>
        <v>24.032430472927153</v>
      </c>
      <c r="AE1652" s="102"/>
      <c r="AF1652" s="569"/>
      <c r="AG1652" s="1208"/>
      <c r="AH1652" s="569"/>
      <c r="AI1652" s="569"/>
      <c r="AJ1652" s="569"/>
      <c r="AK1652" s="569"/>
      <c r="AL1652" s="569"/>
      <c r="AM1652" s="569"/>
      <c r="AN1652" s="569"/>
      <c r="AO1652" s="569"/>
      <c r="AP1652" s="569"/>
      <c r="AQ1652" s="569"/>
      <c r="AR1652" s="569"/>
      <c r="AS1652" s="569"/>
      <c r="AT1652" s="569"/>
      <c r="AU1652" s="569"/>
      <c r="AV1652" s="569"/>
      <c r="AW1652" s="569"/>
      <c r="AX1652" s="569"/>
      <c r="AY1652" s="569"/>
      <c r="AZ1652" s="569"/>
      <c r="BA1652" s="569"/>
      <c r="BB1652" s="569"/>
      <c r="BC1652" s="570"/>
      <c r="BD1652" s="570"/>
      <c r="BE1652" s="570"/>
      <c r="BF1652" s="570"/>
      <c r="BG1652" s="570"/>
      <c r="BH1652" s="570"/>
      <c r="BI1652" s="570"/>
      <c r="BJ1652" s="570"/>
      <c r="BK1652" s="570"/>
      <c r="BL1652" s="570"/>
      <c r="BM1652" s="570"/>
      <c r="BN1652" s="570"/>
      <c r="BO1652" s="570"/>
      <c r="BP1652" s="570"/>
      <c r="BQ1652" s="570"/>
    </row>
    <row r="1653" spans="1:70" ht="23.25" customHeight="1">
      <c r="A1653" s="2750" t="s">
        <v>64</v>
      </c>
      <c r="B1653" s="2751"/>
      <c r="C1653" s="2751"/>
      <c r="D1653" s="2751"/>
      <c r="E1653" s="2751"/>
      <c r="F1653" s="2751"/>
      <c r="G1653" s="2751"/>
      <c r="H1653" s="2751"/>
      <c r="I1653" s="2751"/>
      <c r="J1653" s="2751"/>
      <c r="K1653" s="2751"/>
      <c r="L1653" s="2751"/>
      <c r="M1653" s="2751"/>
      <c r="N1653" s="2751"/>
      <c r="O1653" s="2751"/>
      <c r="P1653" s="2751"/>
      <c r="Q1653" s="2751"/>
      <c r="R1653" s="2751"/>
      <c r="S1653" s="2751"/>
      <c r="T1653" s="2751"/>
      <c r="U1653" s="2751"/>
      <c r="V1653" s="2751"/>
      <c r="W1653" s="2751"/>
      <c r="X1653" s="2751"/>
      <c r="Y1653" s="2751"/>
      <c r="Z1653" s="2751"/>
      <c r="AA1653" s="2751"/>
      <c r="AB1653" s="2752"/>
      <c r="AC1653" s="1861" t="str">
        <f>IF(AC1652&gt;=91,"ST",IF(AC1652&gt;=76,"T",IF(AC1652&gt;=66,"S",IF(AC1652&gt;=51,"R","SR"))))</f>
        <v>S</v>
      </c>
      <c r="AD1653" s="1861" t="str">
        <f>IF(AD1652&gt;=91,"ST",IF(AD1652&gt;=76,"T",IF(AD1652&gt;=66,"S",IF(AD1652&gt;=51,"R","SR"))))</f>
        <v>SR</v>
      </c>
      <c r="AE1653" s="102"/>
      <c r="AF1653" s="870"/>
      <c r="AG1653" s="1208"/>
      <c r="AH1653" s="870"/>
      <c r="AI1653" s="870"/>
      <c r="AJ1653" s="870"/>
      <c r="AK1653" s="870"/>
      <c r="AL1653" s="870"/>
      <c r="AM1653" s="870"/>
      <c r="AN1653" s="870"/>
      <c r="AO1653" s="870"/>
      <c r="AP1653" s="870"/>
      <c r="AQ1653" s="870"/>
      <c r="AR1653" s="870"/>
      <c r="AS1653" s="870"/>
      <c r="AT1653" s="870"/>
      <c r="AU1653" s="870"/>
      <c r="AV1653" s="870"/>
      <c r="AW1653" s="870"/>
      <c r="AX1653" s="870"/>
      <c r="AY1653" s="870"/>
      <c r="AZ1653" s="870"/>
      <c r="BA1653" s="870"/>
      <c r="BB1653" s="870"/>
      <c r="BC1653" s="871"/>
      <c r="BD1653" s="871"/>
      <c r="BE1653" s="871"/>
      <c r="BF1653" s="871"/>
      <c r="BG1653" s="871"/>
      <c r="BH1653" s="871"/>
      <c r="BI1653" s="871"/>
      <c r="BJ1653" s="871"/>
      <c r="BK1653" s="871"/>
      <c r="BL1653" s="871"/>
      <c r="BM1653" s="871"/>
      <c r="BN1653" s="871"/>
      <c r="BO1653" s="871"/>
      <c r="BP1653" s="871"/>
      <c r="BQ1653" s="871"/>
    </row>
    <row r="1654" spans="1:70" ht="27.75" customHeight="1">
      <c r="A1654" s="1867" t="s">
        <v>14</v>
      </c>
      <c r="B1654" s="1868"/>
      <c r="C1654" s="1867"/>
      <c r="D1654" s="1867"/>
      <c r="E1654" s="1867"/>
      <c r="F1654" s="1867"/>
      <c r="G1654" s="1867"/>
      <c r="H1654" s="1867"/>
      <c r="I1654" s="2734" t="s">
        <v>2169</v>
      </c>
      <c r="J1654" s="2735"/>
      <c r="K1654" s="1869"/>
      <c r="L1654" s="1870">
        <f>L1655+L1670+L1674+L1676+L1680+L1684+L1698+L1701+L1703</f>
        <v>28204297500</v>
      </c>
      <c r="M1654" s="1869"/>
      <c r="N1654" s="1871">
        <f>N1655+N1670+N1674+N1676+N1680+N1684+N1698+N1701+N1703</f>
        <v>9464744037</v>
      </c>
      <c r="O1654" s="1869"/>
      <c r="P1654" s="1871">
        <f>P1655+P1670+P1674+P1676+P1680+P1684+P1698+P1701+P1703</f>
        <v>2923702850</v>
      </c>
      <c r="Q1654" s="1869"/>
      <c r="R1654" s="1871">
        <f>R1655+R1670+R1674+R1676+R1680+R1684+R1698+R1701+R1703</f>
        <v>379712538</v>
      </c>
      <c r="S1654" s="1872"/>
      <c r="T1654" s="1871">
        <f>T1655+T1670+T1674+T1676+T1680+T1684+T1698+T1701+T1703</f>
        <v>636814601</v>
      </c>
      <c r="U1654" s="1872"/>
      <c r="V1654" s="1873"/>
      <c r="W1654" s="1872"/>
      <c r="X1654" s="1871"/>
      <c r="Y1654" s="1869"/>
      <c r="Z1654" s="1871">
        <f>Z1655+Z1670+Z1674+Z1676+Z1680+Z1684+Z1698+Z1701+Z1703</f>
        <v>1016527139</v>
      </c>
      <c r="AA1654" s="1869"/>
      <c r="AB1654" s="1871">
        <f>AB1655+AB1670+AB1674+AB1676+AB1680+AB1684+AB1698+AB1701+AB1703</f>
        <v>10481271176</v>
      </c>
      <c r="AC1654" s="1869"/>
      <c r="AD1654" s="1869"/>
      <c r="AE1654" s="1867"/>
      <c r="AF1654" s="569"/>
      <c r="AG1654" s="1208"/>
      <c r="AH1654" s="569"/>
      <c r="AI1654" s="569"/>
      <c r="AJ1654" s="569"/>
      <c r="AK1654" s="569"/>
      <c r="AL1654" s="569"/>
      <c r="AM1654" s="569"/>
      <c r="AN1654" s="569"/>
      <c r="AO1654" s="569"/>
      <c r="AP1654" s="569"/>
      <c r="AQ1654" s="569"/>
      <c r="AR1654" s="569"/>
      <c r="AS1654" s="569"/>
      <c r="AT1654" s="569"/>
      <c r="AU1654" s="569"/>
      <c r="AV1654" s="569"/>
      <c r="AW1654" s="569"/>
      <c r="AX1654" s="569"/>
      <c r="AY1654" s="569"/>
      <c r="AZ1654" s="569"/>
      <c r="BA1654" s="569"/>
      <c r="BB1654" s="569"/>
      <c r="BC1654" s="570"/>
      <c r="BD1654" s="570"/>
      <c r="BE1654" s="570"/>
      <c r="BF1654" s="570"/>
      <c r="BG1654" s="570"/>
      <c r="BH1654" s="570"/>
      <c r="BI1654" s="570"/>
      <c r="BJ1654" s="570"/>
      <c r="BK1654" s="570"/>
      <c r="BL1654" s="570"/>
      <c r="BM1654" s="570"/>
      <c r="BN1654" s="570"/>
      <c r="BO1654" s="570"/>
      <c r="BP1654" s="570"/>
      <c r="BQ1654" s="570"/>
    </row>
    <row r="1655" spans="1:70" ht="82.5">
      <c r="A1655" s="2554">
        <v>1</v>
      </c>
      <c r="B1655" s="44"/>
      <c r="C1655" s="286"/>
      <c r="D1655" s="286"/>
      <c r="E1655" s="286"/>
      <c r="F1655" s="286"/>
      <c r="G1655" s="286"/>
      <c r="H1655" s="286"/>
      <c r="I1655" s="46" t="s">
        <v>2170</v>
      </c>
      <c r="J1655" s="46" t="s">
        <v>3189</v>
      </c>
      <c r="K1655" s="289">
        <v>72</v>
      </c>
      <c r="L1655" s="833">
        <v>5660000000</v>
      </c>
      <c r="M1655" s="289">
        <v>36</v>
      </c>
      <c r="N1655" s="833">
        <f>SUM(N1656:N1669)</f>
        <v>2755324305</v>
      </c>
      <c r="O1655" s="289">
        <v>12</v>
      </c>
      <c r="P1655" s="833">
        <f>SUM(P1656:P1669)</f>
        <v>855367884</v>
      </c>
      <c r="Q1655" s="289">
        <v>3</v>
      </c>
      <c r="R1655" s="833">
        <f>SUM(R1656:R1669)</f>
        <v>154199297</v>
      </c>
      <c r="S1655" s="147">
        <f>SUM(S1656:S1669)</f>
        <v>42</v>
      </c>
      <c r="T1655" s="147">
        <f t="shared" ref="T1655:X1655" si="481">SUM(T1656:T1669)</f>
        <v>256187434</v>
      </c>
      <c r="U1655" s="146">
        <f t="shared" si="481"/>
        <v>0</v>
      </c>
      <c r="V1655" s="1210">
        <f t="shared" si="481"/>
        <v>0</v>
      </c>
      <c r="W1655" s="146">
        <f t="shared" si="481"/>
        <v>0</v>
      </c>
      <c r="X1655" s="1210">
        <f t="shared" si="481"/>
        <v>0</v>
      </c>
      <c r="Y1655" s="146">
        <f t="shared" ref="Y1655:Y1684" si="482">Q1655+S1655+U1655+W1655</f>
        <v>45</v>
      </c>
      <c r="Z1655" s="833">
        <f t="shared" ref="Z1655:Z1684" si="483">R1655+T1655+V1655+X1655</f>
        <v>410386731</v>
      </c>
      <c r="AA1655" s="146">
        <f t="shared" ref="AA1655:AA1684" si="484">M1655+Y1655</f>
        <v>81</v>
      </c>
      <c r="AB1655" s="833">
        <f t="shared" ref="AB1655:AB1684" si="485">N1655+Z1655</f>
        <v>3165711036</v>
      </c>
      <c r="AC1655" s="834">
        <f t="shared" ref="AC1655:AC1677" si="486">AA1655/K1655*100</f>
        <v>112.5</v>
      </c>
      <c r="AD1655" s="868">
        <f t="shared" ref="AD1655:AD1677" si="487">AB1655/L1655*100</f>
        <v>55.931290388692581</v>
      </c>
      <c r="AE1655" s="2554" t="s">
        <v>223</v>
      </c>
      <c r="AF1655" s="569"/>
      <c r="AG1655" s="1208"/>
      <c r="AH1655" s="569"/>
      <c r="AI1655" s="569"/>
      <c r="AJ1655" s="569"/>
      <c r="AK1655" s="569"/>
      <c r="AL1655" s="569"/>
      <c r="AM1655" s="569"/>
      <c r="AN1655" s="569"/>
      <c r="AO1655" s="569"/>
      <c r="AP1655" s="569"/>
      <c r="AQ1655" s="569"/>
      <c r="AR1655" s="569"/>
      <c r="AS1655" s="569"/>
      <c r="AT1655" s="569"/>
      <c r="AU1655" s="569"/>
      <c r="AV1655" s="569"/>
      <c r="AW1655" s="569"/>
      <c r="AX1655" s="569"/>
      <c r="AY1655" s="569"/>
      <c r="AZ1655" s="569"/>
      <c r="BA1655" s="569"/>
      <c r="BB1655" s="569"/>
      <c r="BC1655" s="570"/>
      <c r="BD1655" s="570"/>
      <c r="BE1655" s="570"/>
      <c r="BF1655" s="570"/>
      <c r="BG1655" s="570"/>
      <c r="BH1655" s="570"/>
      <c r="BI1655" s="570"/>
      <c r="BJ1655" s="570"/>
      <c r="BK1655" s="570"/>
      <c r="BL1655" s="570"/>
      <c r="BM1655" s="570"/>
      <c r="BN1655" s="570"/>
      <c r="BO1655" s="570"/>
      <c r="BP1655" s="570"/>
      <c r="BQ1655" s="570"/>
    </row>
    <row r="1656" spans="1:70" ht="60" customHeight="1">
      <c r="A1656" s="794"/>
      <c r="B1656" s="6"/>
      <c r="C1656" s="794"/>
      <c r="D1656" s="794"/>
      <c r="E1656" s="794"/>
      <c r="F1656" s="794"/>
      <c r="G1656" s="794"/>
      <c r="H1656" s="794"/>
      <c r="I1656" s="407" t="s">
        <v>224</v>
      </c>
      <c r="J1656" s="407" t="s">
        <v>2171</v>
      </c>
      <c r="K1656" s="1211">
        <v>72</v>
      </c>
      <c r="L1656" s="1212">
        <v>395000000</v>
      </c>
      <c r="M1656" s="795">
        <v>36</v>
      </c>
      <c r="N1656" s="1212">
        <v>156000000</v>
      </c>
      <c r="O1656" s="795">
        <v>12</v>
      </c>
      <c r="P1656" s="1212">
        <v>65000000</v>
      </c>
      <c r="Q1656" s="1213">
        <v>3</v>
      </c>
      <c r="R1656" s="1212">
        <v>10000000</v>
      </c>
      <c r="S1656" s="1213">
        <v>3</v>
      </c>
      <c r="T1656" s="2694">
        <v>20000000</v>
      </c>
      <c r="U1656" s="1212">
        <v>0</v>
      </c>
      <c r="V1656" s="1214">
        <v>0</v>
      </c>
      <c r="W1656" s="1214">
        <v>0</v>
      </c>
      <c r="X1656" s="1214">
        <v>0</v>
      </c>
      <c r="Y1656" s="1214">
        <f t="shared" si="482"/>
        <v>6</v>
      </c>
      <c r="Z1656" s="1212">
        <f t="shared" si="483"/>
        <v>30000000</v>
      </c>
      <c r="AA1656" s="795">
        <f t="shared" si="484"/>
        <v>42</v>
      </c>
      <c r="AB1656" s="1212">
        <f t="shared" si="485"/>
        <v>186000000</v>
      </c>
      <c r="AC1656" s="1215">
        <f t="shared" si="486"/>
        <v>58.333333333333336</v>
      </c>
      <c r="AD1656" s="1215">
        <f t="shared" si="487"/>
        <v>47.088607594936711</v>
      </c>
      <c r="AE1656" s="450"/>
      <c r="AF1656" s="569"/>
      <c r="AG1656" s="1208"/>
      <c r="AH1656" s="569"/>
      <c r="AI1656" s="569"/>
      <c r="AJ1656" s="569"/>
      <c r="AK1656" s="569"/>
      <c r="AL1656" s="569"/>
      <c r="AM1656" s="569"/>
      <c r="AN1656" s="569"/>
      <c r="AO1656" s="569"/>
      <c r="AP1656" s="569"/>
      <c r="AQ1656" s="569"/>
      <c r="AR1656" s="569"/>
      <c r="AS1656" s="569"/>
      <c r="AT1656" s="569"/>
      <c r="AU1656" s="569"/>
      <c r="AV1656" s="569"/>
      <c r="AW1656" s="569"/>
      <c r="AX1656" s="569"/>
      <c r="AY1656" s="569"/>
      <c r="AZ1656" s="569"/>
      <c r="BA1656" s="569"/>
      <c r="BB1656" s="569"/>
      <c r="BC1656" s="570"/>
      <c r="BD1656" s="570"/>
      <c r="BE1656" s="570"/>
      <c r="BF1656" s="570"/>
      <c r="BG1656" s="570"/>
      <c r="BH1656" s="570"/>
      <c r="BI1656" s="570"/>
      <c r="BJ1656" s="570"/>
      <c r="BK1656" s="570"/>
      <c r="BL1656" s="570"/>
      <c r="BM1656" s="570"/>
      <c r="BN1656" s="570"/>
      <c r="BO1656" s="570"/>
      <c r="BP1656" s="570"/>
      <c r="BQ1656" s="570"/>
    </row>
    <row r="1657" spans="1:70" ht="64.5" customHeight="1">
      <c r="A1657" s="794"/>
      <c r="B1657" s="6"/>
      <c r="C1657" s="794"/>
      <c r="D1657" s="794"/>
      <c r="E1657" s="794"/>
      <c r="F1657" s="794"/>
      <c r="G1657" s="794"/>
      <c r="H1657" s="794"/>
      <c r="I1657" s="407" t="s">
        <v>1627</v>
      </c>
      <c r="J1657" s="407" t="s">
        <v>2172</v>
      </c>
      <c r="K1657" s="1211">
        <v>72</v>
      </c>
      <c r="L1657" s="1212">
        <v>690000000</v>
      </c>
      <c r="M1657" s="795">
        <v>36</v>
      </c>
      <c r="N1657" s="1212">
        <v>307228277</v>
      </c>
      <c r="O1657" s="795">
        <v>12</v>
      </c>
      <c r="P1657" s="1212">
        <v>94560000</v>
      </c>
      <c r="Q1657" s="1213">
        <v>3</v>
      </c>
      <c r="R1657" s="1212">
        <v>22122651</v>
      </c>
      <c r="S1657" s="1213">
        <v>3</v>
      </c>
      <c r="T1657" s="2694">
        <v>23454334</v>
      </c>
      <c r="U1657" s="1212">
        <v>0</v>
      </c>
      <c r="V1657" s="1214">
        <v>0</v>
      </c>
      <c r="W1657" s="1214">
        <v>0</v>
      </c>
      <c r="X1657" s="1214">
        <v>0</v>
      </c>
      <c r="Y1657" s="1214">
        <f t="shared" si="482"/>
        <v>6</v>
      </c>
      <c r="Z1657" s="1212">
        <f t="shared" si="483"/>
        <v>45576985</v>
      </c>
      <c r="AA1657" s="795">
        <f t="shared" si="484"/>
        <v>42</v>
      </c>
      <c r="AB1657" s="1212">
        <f t="shared" si="485"/>
        <v>352805262</v>
      </c>
      <c r="AC1657" s="1215">
        <f t="shared" si="486"/>
        <v>58.333333333333336</v>
      </c>
      <c r="AD1657" s="1215">
        <f t="shared" si="487"/>
        <v>51.131197391304347</v>
      </c>
      <c r="AE1657" s="450"/>
      <c r="AF1657" s="870"/>
      <c r="AG1657" s="1208"/>
      <c r="AH1657" s="870"/>
      <c r="AI1657" s="870"/>
      <c r="AJ1657" s="870"/>
      <c r="AK1657" s="870"/>
      <c r="AL1657" s="870"/>
      <c r="AM1657" s="870"/>
      <c r="AN1657" s="870"/>
      <c r="AO1657" s="870"/>
      <c r="AP1657" s="870"/>
      <c r="AQ1657" s="870"/>
      <c r="AR1657" s="870"/>
      <c r="AS1657" s="870"/>
      <c r="AT1657" s="870"/>
      <c r="AU1657" s="870"/>
      <c r="AV1657" s="870"/>
      <c r="AW1657" s="870"/>
      <c r="AX1657" s="870"/>
      <c r="AY1657" s="870"/>
      <c r="AZ1657" s="870"/>
      <c r="BA1657" s="870"/>
      <c r="BB1657" s="870"/>
      <c r="BC1657" s="871"/>
      <c r="BD1657" s="871"/>
      <c r="BE1657" s="871"/>
      <c r="BF1657" s="871"/>
      <c r="BG1657" s="871"/>
      <c r="BH1657" s="871"/>
      <c r="BI1657" s="871"/>
      <c r="BJ1657" s="871"/>
      <c r="BK1657" s="871"/>
      <c r="BL1657" s="871"/>
      <c r="BM1657" s="871"/>
      <c r="BN1657" s="871"/>
      <c r="BO1657" s="871"/>
      <c r="BP1657" s="871"/>
      <c r="BQ1657" s="871"/>
    </row>
    <row r="1658" spans="1:70" ht="71.25" customHeight="1">
      <c r="A1658" s="794"/>
      <c r="B1658" s="6"/>
      <c r="C1658" s="794"/>
      <c r="D1658" s="794"/>
      <c r="E1658" s="794"/>
      <c r="F1658" s="794"/>
      <c r="G1658" s="794"/>
      <c r="H1658" s="794"/>
      <c r="I1658" s="407" t="s">
        <v>614</v>
      </c>
      <c r="J1658" s="407" t="s">
        <v>2173</v>
      </c>
      <c r="K1658" s="1211">
        <v>72</v>
      </c>
      <c r="L1658" s="1212">
        <v>375000000</v>
      </c>
      <c r="M1658" s="795">
        <v>36</v>
      </c>
      <c r="N1658" s="1212">
        <v>270771416</v>
      </c>
      <c r="O1658" s="795">
        <v>12</v>
      </c>
      <c r="P1658" s="1212">
        <v>74034400</v>
      </c>
      <c r="Q1658" s="1213">
        <v>3</v>
      </c>
      <c r="R1658" s="1212">
        <v>0</v>
      </c>
      <c r="S1658" s="1213">
        <v>3</v>
      </c>
      <c r="T1658" s="2694">
        <v>26986600</v>
      </c>
      <c r="U1658" s="1212">
        <v>0</v>
      </c>
      <c r="V1658" s="1214">
        <v>0</v>
      </c>
      <c r="W1658" s="1214">
        <v>0</v>
      </c>
      <c r="X1658" s="1214">
        <v>0</v>
      </c>
      <c r="Y1658" s="795">
        <f t="shared" si="482"/>
        <v>6</v>
      </c>
      <c r="Z1658" s="1212">
        <f t="shared" si="483"/>
        <v>26986600</v>
      </c>
      <c r="AA1658" s="795">
        <f t="shared" si="484"/>
        <v>42</v>
      </c>
      <c r="AB1658" s="1212">
        <f t="shared" si="485"/>
        <v>297758016</v>
      </c>
      <c r="AC1658" s="1215">
        <f t="shared" si="486"/>
        <v>58.333333333333336</v>
      </c>
      <c r="AD1658" s="1215">
        <f t="shared" si="487"/>
        <v>79.402137600000003</v>
      </c>
      <c r="AE1658" s="450"/>
      <c r="AF1658" s="569"/>
      <c r="AG1658" s="1208"/>
      <c r="AH1658" s="569"/>
      <c r="AI1658" s="569"/>
      <c r="AJ1658" s="569"/>
      <c r="AK1658" s="569"/>
      <c r="AL1658" s="569"/>
      <c r="AM1658" s="569"/>
      <c r="AN1658" s="569"/>
      <c r="AO1658" s="569"/>
      <c r="AP1658" s="569"/>
      <c r="AQ1658" s="569"/>
      <c r="AR1658" s="569"/>
      <c r="AS1658" s="569"/>
      <c r="AT1658" s="569"/>
      <c r="AU1658" s="569"/>
      <c r="AV1658" s="569"/>
      <c r="AW1658" s="569"/>
      <c r="AX1658" s="569"/>
      <c r="AY1658" s="569"/>
      <c r="AZ1658" s="569"/>
      <c r="BA1658" s="569"/>
      <c r="BB1658" s="569"/>
      <c r="BC1658" s="570"/>
      <c r="BD1658" s="570"/>
      <c r="BE1658" s="570"/>
      <c r="BF1658" s="570"/>
      <c r="BG1658" s="570"/>
      <c r="BH1658" s="570"/>
      <c r="BI1658" s="570"/>
      <c r="BJ1658" s="570"/>
      <c r="BK1658" s="570"/>
      <c r="BL1658" s="570"/>
      <c r="BM1658" s="570"/>
      <c r="BN1658" s="570"/>
      <c r="BO1658" s="570"/>
      <c r="BP1658" s="570"/>
      <c r="BQ1658" s="570"/>
    </row>
    <row r="1659" spans="1:70" ht="64.5" customHeight="1">
      <c r="A1659" s="794"/>
      <c r="B1659" s="6"/>
      <c r="C1659" s="794"/>
      <c r="D1659" s="794"/>
      <c r="E1659" s="794"/>
      <c r="F1659" s="794"/>
      <c r="G1659" s="794"/>
      <c r="H1659" s="794"/>
      <c r="I1659" s="407" t="s">
        <v>616</v>
      </c>
      <c r="J1659" s="407" t="s">
        <v>2174</v>
      </c>
      <c r="K1659" s="1211">
        <v>72</v>
      </c>
      <c r="L1659" s="1212">
        <v>375000000</v>
      </c>
      <c r="M1659" s="795">
        <v>36</v>
      </c>
      <c r="N1659" s="1212">
        <v>159250000</v>
      </c>
      <c r="O1659" s="795">
        <v>12</v>
      </c>
      <c r="P1659" s="1212">
        <v>78909727</v>
      </c>
      <c r="Q1659" s="1213">
        <v>3</v>
      </c>
      <c r="R1659" s="1212">
        <v>10455000</v>
      </c>
      <c r="S1659" s="1213">
        <v>3</v>
      </c>
      <c r="T1659" s="2694">
        <v>22594500</v>
      </c>
      <c r="U1659" s="1212">
        <v>0</v>
      </c>
      <c r="V1659" s="1214">
        <v>0</v>
      </c>
      <c r="W1659" s="1214">
        <v>0</v>
      </c>
      <c r="X1659" s="1214">
        <v>0</v>
      </c>
      <c r="Y1659" s="795">
        <f t="shared" si="482"/>
        <v>6</v>
      </c>
      <c r="Z1659" s="1212">
        <f t="shared" si="483"/>
        <v>33049500</v>
      </c>
      <c r="AA1659" s="795">
        <f t="shared" si="484"/>
        <v>42</v>
      </c>
      <c r="AB1659" s="1212">
        <f t="shared" si="485"/>
        <v>192299500</v>
      </c>
      <c r="AC1659" s="1215">
        <f t="shared" si="486"/>
        <v>58.333333333333336</v>
      </c>
      <c r="AD1659" s="1215">
        <f t="shared" si="487"/>
        <v>51.279866666666663</v>
      </c>
      <c r="AE1659" s="450"/>
      <c r="AF1659" s="569"/>
      <c r="AG1659" s="1208"/>
      <c r="AH1659" s="569"/>
      <c r="AI1659" s="569"/>
      <c r="AJ1659" s="569"/>
      <c r="AK1659" s="569"/>
      <c r="AL1659" s="569"/>
      <c r="AM1659" s="569"/>
      <c r="AN1659" s="569"/>
      <c r="AO1659" s="569"/>
      <c r="AP1659" s="569"/>
      <c r="AQ1659" s="569"/>
      <c r="AR1659" s="569"/>
      <c r="AS1659" s="569"/>
      <c r="AT1659" s="569"/>
      <c r="AU1659" s="569"/>
      <c r="AV1659" s="569"/>
      <c r="AW1659" s="569"/>
      <c r="AX1659" s="569"/>
      <c r="AY1659" s="569"/>
      <c r="AZ1659" s="569"/>
      <c r="BA1659" s="569"/>
      <c r="BB1659" s="569"/>
      <c r="BC1659" s="570"/>
      <c r="BD1659" s="570"/>
      <c r="BE1659" s="570"/>
      <c r="BF1659" s="570"/>
      <c r="BG1659" s="570"/>
      <c r="BH1659" s="570"/>
      <c r="BI1659" s="570"/>
      <c r="BJ1659" s="570"/>
      <c r="BK1659" s="570"/>
      <c r="BL1659" s="570"/>
      <c r="BM1659" s="570"/>
      <c r="BN1659" s="570"/>
      <c r="BO1659" s="570"/>
      <c r="BP1659" s="570"/>
      <c r="BQ1659" s="570"/>
    </row>
    <row r="1660" spans="1:70" ht="66">
      <c r="A1660" s="794"/>
      <c r="B1660" s="6"/>
      <c r="C1660" s="794"/>
      <c r="D1660" s="794"/>
      <c r="E1660" s="794"/>
      <c r="F1660" s="794"/>
      <c r="G1660" s="794"/>
      <c r="H1660" s="794"/>
      <c r="I1660" s="407" t="s">
        <v>420</v>
      </c>
      <c r="J1660" s="407" t="s">
        <v>2175</v>
      </c>
      <c r="K1660" s="1211">
        <v>72</v>
      </c>
      <c r="L1660" s="1212">
        <v>360000000</v>
      </c>
      <c r="M1660" s="795">
        <v>36</v>
      </c>
      <c r="N1660" s="1212">
        <v>127232100</v>
      </c>
      <c r="O1660" s="795">
        <v>12</v>
      </c>
      <c r="P1660" s="1212">
        <v>37550000</v>
      </c>
      <c r="Q1660" s="1213">
        <v>3</v>
      </c>
      <c r="R1660" s="1212">
        <v>8640500</v>
      </c>
      <c r="S1660" s="1213">
        <v>3</v>
      </c>
      <c r="T1660" s="2694">
        <v>10070500</v>
      </c>
      <c r="U1660" s="1212">
        <v>0</v>
      </c>
      <c r="V1660" s="1214">
        <v>0</v>
      </c>
      <c r="W1660" s="1214">
        <v>0</v>
      </c>
      <c r="X1660" s="1214">
        <v>0</v>
      </c>
      <c r="Y1660" s="1212">
        <f t="shared" si="482"/>
        <v>6</v>
      </c>
      <c r="Z1660" s="1212">
        <f t="shared" si="483"/>
        <v>18711000</v>
      </c>
      <c r="AA1660" s="795">
        <f t="shared" si="484"/>
        <v>42</v>
      </c>
      <c r="AB1660" s="1212">
        <f t="shared" si="485"/>
        <v>145943100</v>
      </c>
      <c r="AC1660" s="1215">
        <f t="shared" si="486"/>
        <v>58.333333333333336</v>
      </c>
      <c r="AD1660" s="1215">
        <f t="shared" si="487"/>
        <v>40.539750000000005</v>
      </c>
      <c r="AE1660" s="450"/>
      <c r="AF1660" s="870"/>
      <c r="AG1660" s="1208"/>
      <c r="AH1660" s="870"/>
      <c r="AI1660" s="870"/>
      <c r="AJ1660" s="870"/>
      <c r="AK1660" s="870"/>
      <c r="AL1660" s="870"/>
      <c r="AM1660" s="870"/>
      <c r="AN1660" s="870"/>
      <c r="AO1660" s="870"/>
      <c r="AP1660" s="870"/>
      <c r="AQ1660" s="870"/>
      <c r="AR1660" s="870"/>
      <c r="AS1660" s="870"/>
      <c r="AT1660" s="870"/>
      <c r="AU1660" s="870"/>
      <c r="AV1660" s="870"/>
      <c r="AW1660" s="870"/>
      <c r="AX1660" s="870"/>
      <c r="AY1660" s="870"/>
      <c r="AZ1660" s="870"/>
      <c r="BA1660" s="870"/>
      <c r="BB1660" s="870"/>
      <c r="BC1660" s="871"/>
      <c r="BD1660" s="871"/>
      <c r="BE1660" s="871"/>
      <c r="BF1660" s="871"/>
      <c r="BG1660" s="871"/>
      <c r="BH1660" s="871"/>
      <c r="BI1660" s="871"/>
      <c r="BJ1660" s="871"/>
      <c r="BK1660" s="871"/>
      <c r="BL1660" s="871"/>
      <c r="BM1660" s="871"/>
      <c r="BN1660" s="871"/>
      <c r="BO1660" s="871"/>
      <c r="BP1660" s="871"/>
      <c r="BQ1660" s="871"/>
    </row>
    <row r="1661" spans="1:70" ht="33">
      <c r="A1661" s="794"/>
      <c r="B1661" s="6"/>
      <c r="C1661" s="794"/>
      <c r="D1661" s="794"/>
      <c r="E1661" s="794"/>
      <c r="F1661" s="794"/>
      <c r="G1661" s="794"/>
      <c r="H1661" s="794"/>
      <c r="I1661" s="407" t="s">
        <v>32</v>
      </c>
      <c r="J1661" s="407" t="s">
        <v>2176</v>
      </c>
      <c r="K1661" s="1211">
        <v>72</v>
      </c>
      <c r="L1661" s="1212">
        <v>390000000</v>
      </c>
      <c r="M1661" s="795">
        <v>36</v>
      </c>
      <c r="N1661" s="1212">
        <v>107799429.00000001</v>
      </c>
      <c r="O1661" s="795">
        <v>12</v>
      </c>
      <c r="P1661" s="1212">
        <v>163225908</v>
      </c>
      <c r="Q1661" s="1213">
        <v>3</v>
      </c>
      <c r="R1661" s="1212">
        <v>58754300</v>
      </c>
      <c r="S1661" s="1213">
        <v>3</v>
      </c>
      <c r="T1661" s="2694">
        <v>46762550</v>
      </c>
      <c r="U1661" s="1212">
        <v>0</v>
      </c>
      <c r="V1661" s="1214">
        <v>0</v>
      </c>
      <c r="W1661" s="1214">
        <v>0</v>
      </c>
      <c r="X1661" s="1214">
        <v>0</v>
      </c>
      <c r="Y1661" s="1212">
        <f t="shared" si="482"/>
        <v>6</v>
      </c>
      <c r="Z1661" s="1212">
        <f t="shared" si="483"/>
        <v>105516850</v>
      </c>
      <c r="AA1661" s="795">
        <f t="shared" si="484"/>
        <v>42</v>
      </c>
      <c r="AB1661" s="1212">
        <f t="shared" si="485"/>
        <v>213316279</v>
      </c>
      <c r="AC1661" s="1215">
        <f t="shared" si="486"/>
        <v>58.333333333333336</v>
      </c>
      <c r="AD1661" s="1215">
        <f t="shared" si="487"/>
        <v>54.696481794871801</v>
      </c>
      <c r="AE1661" s="450"/>
      <c r="AF1661" s="569"/>
      <c r="AG1661" s="1208"/>
      <c r="AH1661" s="569"/>
      <c r="AI1661" s="569"/>
      <c r="AJ1661" s="569"/>
      <c r="AK1661" s="569"/>
      <c r="AL1661" s="569"/>
      <c r="AM1661" s="569"/>
      <c r="AN1661" s="569"/>
      <c r="AO1661" s="569"/>
      <c r="AP1661" s="569"/>
      <c r="AQ1661" s="569"/>
      <c r="AR1661" s="569"/>
      <c r="AS1661" s="569"/>
      <c r="AT1661" s="569"/>
      <c r="AU1661" s="569"/>
      <c r="AV1661" s="569"/>
      <c r="AW1661" s="569"/>
      <c r="AX1661" s="569"/>
      <c r="AY1661" s="569"/>
      <c r="AZ1661" s="569"/>
      <c r="BA1661" s="569"/>
      <c r="BB1661" s="569"/>
      <c r="BC1661" s="570"/>
      <c r="BD1661" s="570"/>
      <c r="BE1661" s="570"/>
      <c r="BF1661" s="570"/>
      <c r="BG1661" s="570"/>
      <c r="BH1661" s="570"/>
      <c r="BI1661" s="570"/>
      <c r="BJ1661" s="570"/>
      <c r="BK1661" s="570"/>
      <c r="BL1661" s="570"/>
      <c r="BM1661" s="570"/>
      <c r="BN1661" s="570"/>
      <c r="BO1661" s="570"/>
      <c r="BP1661" s="570"/>
      <c r="BQ1661" s="570"/>
    </row>
    <row r="1662" spans="1:70" ht="66">
      <c r="A1662" s="794"/>
      <c r="B1662" s="6"/>
      <c r="C1662" s="794"/>
      <c r="D1662" s="794"/>
      <c r="E1662" s="794"/>
      <c r="F1662" s="794"/>
      <c r="G1662" s="794"/>
      <c r="H1662" s="794"/>
      <c r="I1662" s="407" t="s">
        <v>2177</v>
      </c>
      <c r="J1662" s="407" t="s">
        <v>2178</v>
      </c>
      <c r="K1662" s="1211">
        <v>72</v>
      </c>
      <c r="L1662" s="1212">
        <v>390000000</v>
      </c>
      <c r="M1662" s="795">
        <v>36</v>
      </c>
      <c r="N1662" s="1212">
        <v>144265620</v>
      </c>
      <c r="O1662" s="795">
        <v>12</v>
      </c>
      <c r="P1662" s="1212">
        <v>53804950</v>
      </c>
      <c r="Q1662" s="1213">
        <v>3</v>
      </c>
      <c r="R1662" s="1212">
        <v>3496400</v>
      </c>
      <c r="S1662" s="1213">
        <v>3</v>
      </c>
      <c r="T1662" s="2694">
        <v>19915200</v>
      </c>
      <c r="U1662" s="1212">
        <v>0</v>
      </c>
      <c r="V1662" s="1214">
        <v>0</v>
      </c>
      <c r="W1662" s="1214">
        <v>0</v>
      </c>
      <c r="X1662" s="1214">
        <v>0</v>
      </c>
      <c r="Y1662" s="1212">
        <f t="shared" si="482"/>
        <v>6</v>
      </c>
      <c r="Z1662" s="1212">
        <f t="shared" si="483"/>
        <v>23411600</v>
      </c>
      <c r="AA1662" s="795">
        <f t="shared" si="484"/>
        <v>42</v>
      </c>
      <c r="AB1662" s="1212">
        <f t="shared" si="485"/>
        <v>167677220</v>
      </c>
      <c r="AC1662" s="1215">
        <f t="shared" si="486"/>
        <v>58.333333333333336</v>
      </c>
      <c r="AD1662" s="1215">
        <f t="shared" si="487"/>
        <v>42.994158974358974</v>
      </c>
      <c r="AE1662" s="450"/>
      <c r="AF1662" s="569"/>
      <c r="AG1662" s="1208"/>
      <c r="AH1662" s="569"/>
      <c r="AI1662" s="569"/>
      <c r="AJ1662" s="569"/>
      <c r="AK1662" s="569"/>
      <c r="AL1662" s="569"/>
      <c r="AM1662" s="569"/>
      <c r="AN1662" s="569"/>
      <c r="AO1662" s="569"/>
      <c r="AP1662" s="569"/>
      <c r="AQ1662" s="569"/>
      <c r="AR1662" s="569"/>
      <c r="AS1662" s="569"/>
      <c r="AT1662" s="569"/>
      <c r="AU1662" s="569"/>
      <c r="AV1662" s="569"/>
      <c r="AW1662" s="569"/>
      <c r="AX1662" s="569"/>
      <c r="AY1662" s="569"/>
      <c r="AZ1662" s="569"/>
      <c r="BA1662" s="569"/>
      <c r="BB1662" s="569"/>
      <c r="BC1662" s="570"/>
      <c r="BD1662" s="570"/>
      <c r="BE1662" s="570"/>
      <c r="BF1662" s="570"/>
      <c r="BG1662" s="570"/>
      <c r="BH1662" s="570"/>
      <c r="BI1662" s="570"/>
      <c r="BJ1662" s="570"/>
      <c r="BK1662" s="570"/>
      <c r="BL1662" s="570"/>
      <c r="BM1662" s="570"/>
      <c r="BN1662" s="570"/>
      <c r="BO1662" s="570"/>
      <c r="BP1662" s="570"/>
      <c r="BQ1662" s="570"/>
    </row>
    <row r="1663" spans="1:70" ht="66">
      <c r="A1663" s="794"/>
      <c r="B1663" s="6"/>
      <c r="C1663" s="794"/>
      <c r="D1663" s="794"/>
      <c r="E1663" s="794"/>
      <c r="F1663" s="794"/>
      <c r="G1663" s="794"/>
      <c r="H1663" s="794"/>
      <c r="I1663" s="407" t="s">
        <v>2179</v>
      </c>
      <c r="J1663" s="407" t="s">
        <v>2180</v>
      </c>
      <c r="K1663" s="1211">
        <v>72</v>
      </c>
      <c r="L1663" s="1212">
        <v>165000000</v>
      </c>
      <c r="M1663" s="795">
        <v>36</v>
      </c>
      <c r="N1663" s="1212">
        <v>80867200</v>
      </c>
      <c r="O1663" s="795">
        <v>12</v>
      </c>
      <c r="P1663" s="1212">
        <v>25162899</v>
      </c>
      <c r="Q1663" s="1213">
        <v>3</v>
      </c>
      <c r="R1663" s="1212">
        <v>2710600</v>
      </c>
      <c r="S1663" s="1213">
        <v>3</v>
      </c>
      <c r="T1663" s="2694">
        <v>5259100</v>
      </c>
      <c r="U1663" s="1212">
        <v>0</v>
      </c>
      <c r="V1663" s="1214">
        <v>0</v>
      </c>
      <c r="W1663" s="1214">
        <v>0</v>
      </c>
      <c r="X1663" s="1214">
        <v>0</v>
      </c>
      <c r="Y1663" s="1212">
        <f t="shared" si="482"/>
        <v>6</v>
      </c>
      <c r="Z1663" s="1212">
        <f t="shared" si="483"/>
        <v>7969700</v>
      </c>
      <c r="AA1663" s="795">
        <f t="shared" si="484"/>
        <v>42</v>
      </c>
      <c r="AB1663" s="1212">
        <f t="shared" si="485"/>
        <v>88836900</v>
      </c>
      <c r="AC1663" s="1215">
        <f t="shared" si="486"/>
        <v>58.333333333333336</v>
      </c>
      <c r="AD1663" s="1215">
        <f t="shared" si="487"/>
        <v>53.840545454545449</v>
      </c>
      <c r="AE1663" s="450"/>
      <c r="AF1663" s="569"/>
      <c r="AG1663" s="1208"/>
      <c r="AH1663" s="569"/>
      <c r="AI1663" s="569"/>
      <c r="AJ1663" s="569"/>
      <c r="AK1663" s="569"/>
      <c r="AL1663" s="569"/>
      <c r="AM1663" s="569"/>
      <c r="AN1663" s="569"/>
      <c r="AO1663" s="569"/>
      <c r="AP1663" s="569"/>
      <c r="AQ1663" s="569"/>
      <c r="AR1663" s="569"/>
      <c r="AS1663" s="569"/>
      <c r="AT1663" s="569"/>
      <c r="AU1663" s="569"/>
      <c r="AV1663" s="569"/>
      <c r="AW1663" s="569"/>
      <c r="AX1663" s="569"/>
      <c r="AY1663" s="569"/>
      <c r="AZ1663" s="569"/>
      <c r="BA1663" s="569"/>
      <c r="BB1663" s="569"/>
      <c r="BC1663" s="570"/>
      <c r="BD1663" s="570"/>
      <c r="BE1663" s="570"/>
      <c r="BF1663" s="570"/>
      <c r="BG1663" s="570"/>
      <c r="BH1663" s="570"/>
      <c r="BI1663" s="570"/>
      <c r="BJ1663" s="570"/>
      <c r="BK1663" s="570"/>
      <c r="BL1663" s="570"/>
      <c r="BM1663" s="570"/>
      <c r="BN1663" s="570"/>
      <c r="BO1663" s="570"/>
      <c r="BP1663" s="570"/>
      <c r="BQ1663" s="570"/>
    </row>
    <row r="1664" spans="1:70" ht="82.5">
      <c r="A1664" s="794"/>
      <c r="B1664" s="6"/>
      <c r="C1664" s="794"/>
      <c r="D1664" s="794"/>
      <c r="E1664" s="794"/>
      <c r="F1664" s="794"/>
      <c r="G1664" s="794"/>
      <c r="H1664" s="794"/>
      <c r="I1664" s="407" t="s">
        <v>2181</v>
      </c>
      <c r="J1664" s="407" t="s">
        <v>2182</v>
      </c>
      <c r="K1664" s="1211">
        <v>72</v>
      </c>
      <c r="L1664" s="1212">
        <v>60000000</v>
      </c>
      <c r="M1664" s="795">
        <v>36</v>
      </c>
      <c r="N1664" s="1212">
        <v>16666500</v>
      </c>
      <c r="O1664" s="795">
        <v>12</v>
      </c>
      <c r="P1664" s="1212">
        <v>7900000</v>
      </c>
      <c r="Q1664" s="1213">
        <v>3</v>
      </c>
      <c r="R1664" s="1212">
        <v>1350000</v>
      </c>
      <c r="S1664" s="1213">
        <v>3</v>
      </c>
      <c r="T1664" s="2694">
        <v>1350000</v>
      </c>
      <c r="U1664" s="1212">
        <v>0</v>
      </c>
      <c r="V1664" s="1214">
        <v>0</v>
      </c>
      <c r="W1664" s="1214">
        <v>0</v>
      </c>
      <c r="X1664" s="1214">
        <v>0</v>
      </c>
      <c r="Y1664" s="795">
        <f t="shared" si="482"/>
        <v>6</v>
      </c>
      <c r="Z1664" s="1212">
        <f t="shared" si="483"/>
        <v>2700000</v>
      </c>
      <c r="AA1664" s="795">
        <f t="shared" si="484"/>
        <v>42</v>
      </c>
      <c r="AB1664" s="1212">
        <f t="shared" si="485"/>
        <v>19366500</v>
      </c>
      <c r="AC1664" s="1215">
        <f t="shared" si="486"/>
        <v>58.333333333333336</v>
      </c>
      <c r="AD1664" s="1215">
        <f t="shared" si="487"/>
        <v>32.277499999999996</v>
      </c>
      <c r="AE1664" s="450"/>
      <c r="AF1664" s="569"/>
      <c r="AG1664" s="1208"/>
      <c r="AH1664" s="569"/>
      <c r="AI1664" s="569"/>
      <c r="AJ1664" s="569"/>
      <c r="AK1664" s="569"/>
      <c r="AL1664" s="569"/>
      <c r="AM1664" s="569"/>
      <c r="AN1664" s="569"/>
      <c r="AO1664" s="569"/>
      <c r="AP1664" s="569"/>
      <c r="AQ1664" s="569"/>
      <c r="AR1664" s="569"/>
      <c r="AS1664" s="569"/>
      <c r="AT1664" s="569"/>
      <c r="AU1664" s="569"/>
      <c r="AV1664" s="569"/>
      <c r="AW1664" s="569"/>
      <c r="AX1664" s="569"/>
      <c r="AY1664" s="569"/>
      <c r="AZ1664" s="569"/>
      <c r="BA1664" s="569"/>
      <c r="BB1664" s="569"/>
      <c r="BC1664" s="570"/>
      <c r="BD1664" s="570"/>
      <c r="BE1664" s="570"/>
      <c r="BF1664" s="570"/>
      <c r="BG1664" s="570"/>
      <c r="BH1664" s="570"/>
      <c r="BI1664" s="570"/>
      <c r="BJ1664" s="570"/>
      <c r="BK1664" s="570"/>
      <c r="BL1664" s="570"/>
      <c r="BM1664" s="570"/>
      <c r="BN1664" s="570"/>
      <c r="BO1664" s="570"/>
      <c r="BP1664" s="570"/>
      <c r="BQ1664" s="570"/>
    </row>
    <row r="1665" spans="1:69" ht="82.5">
      <c r="A1665" s="794"/>
      <c r="B1665" s="6"/>
      <c r="C1665" s="794"/>
      <c r="D1665" s="794"/>
      <c r="E1665" s="794"/>
      <c r="F1665" s="794"/>
      <c r="G1665" s="794"/>
      <c r="H1665" s="794"/>
      <c r="I1665" s="407" t="s">
        <v>2183</v>
      </c>
      <c r="J1665" s="407" t="s">
        <v>2184</v>
      </c>
      <c r="K1665" s="1211">
        <v>72</v>
      </c>
      <c r="L1665" s="1212">
        <v>255000000</v>
      </c>
      <c r="M1665" s="795">
        <v>30</v>
      </c>
      <c r="N1665" s="1212">
        <v>171017125</v>
      </c>
      <c r="O1665" s="795">
        <v>12</v>
      </c>
      <c r="P1665" s="1212">
        <v>22800000</v>
      </c>
      <c r="Q1665" s="1213">
        <v>3</v>
      </c>
      <c r="R1665" s="1212">
        <v>3956150</v>
      </c>
      <c r="S1665" s="1213">
        <v>3</v>
      </c>
      <c r="T1665" s="2694">
        <v>9936850</v>
      </c>
      <c r="U1665" s="1212">
        <v>0</v>
      </c>
      <c r="V1665" s="1214">
        <v>0</v>
      </c>
      <c r="W1665" s="1214">
        <v>0</v>
      </c>
      <c r="X1665" s="1214">
        <v>0</v>
      </c>
      <c r="Y1665" s="1212">
        <f t="shared" si="482"/>
        <v>6</v>
      </c>
      <c r="Z1665" s="1212">
        <f t="shared" si="483"/>
        <v>13893000</v>
      </c>
      <c r="AA1665" s="795">
        <f t="shared" si="484"/>
        <v>36</v>
      </c>
      <c r="AB1665" s="1212">
        <f t="shared" si="485"/>
        <v>184910125</v>
      </c>
      <c r="AC1665" s="1215">
        <f t="shared" si="486"/>
        <v>50</v>
      </c>
      <c r="AD1665" s="1215">
        <f t="shared" si="487"/>
        <v>72.513774509803923</v>
      </c>
      <c r="AE1665" s="450"/>
      <c r="AF1665" s="870"/>
      <c r="AG1665" s="1208"/>
      <c r="AH1665" s="870"/>
      <c r="AI1665" s="870"/>
      <c r="AJ1665" s="870"/>
      <c r="AK1665" s="870"/>
      <c r="AL1665" s="870"/>
      <c r="AM1665" s="870"/>
      <c r="AN1665" s="870"/>
      <c r="AO1665" s="870"/>
      <c r="AP1665" s="870"/>
      <c r="AQ1665" s="870"/>
      <c r="AR1665" s="870"/>
      <c r="AS1665" s="870"/>
      <c r="AT1665" s="870"/>
      <c r="AU1665" s="870"/>
      <c r="AV1665" s="870"/>
      <c r="AW1665" s="870"/>
      <c r="AX1665" s="870"/>
      <c r="AY1665" s="870"/>
      <c r="AZ1665" s="870"/>
      <c r="BA1665" s="870"/>
      <c r="BB1665" s="870"/>
      <c r="BC1665" s="871"/>
      <c r="BD1665" s="871"/>
      <c r="BE1665" s="871"/>
      <c r="BF1665" s="871"/>
      <c r="BG1665" s="871"/>
      <c r="BH1665" s="871"/>
      <c r="BI1665" s="871"/>
      <c r="BJ1665" s="871"/>
      <c r="BK1665" s="871"/>
      <c r="BL1665" s="871"/>
      <c r="BM1665" s="871"/>
      <c r="BN1665" s="871"/>
      <c r="BO1665" s="871"/>
      <c r="BP1665" s="871"/>
      <c r="BQ1665" s="871"/>
    </row>
    <row r="1666" spans="1:69" ht="99">
      <c r="A1666" s="794"/>
      <c r="B1666" s="6"/>
      <c r="C1666" s="794"/>
      <c r="D1666" s="794"/>
      <c r="E1666" s="794"/>
      <c r="F1666" s="794"/>
      <c r="G1666" s="794"/>
      <c r="H1666" s="794"/>
      <c r="I1666" s="407" t="s">
        <v>621</v>
      </c>
      <c r="J1666" s="407" t="s">
        <v>2185</v>
      </c>
      <c r="K1666" s="1211">
        <v>72</v>
      </c>
      <c r="L1666" s="1212">
        <v>1200000000</v>
      </c>
      <c r="M1666" s="795">
        <v>30</v>
      </c>
      <c r="N1666" s="1212">
        <v>807187187.99999988</v>
      </c>
      <c r="O1666" s="795">
        <v>12</v>
      </c>
      <c r="P1666" s="1212">
        <v>71875000</v>
      </c>
      <c r="Q1666" s="1213">
        <v>3</v>
      </c>
      <c r="R1666" s="1212">
        <v>9825096</v>
      </c>
      <c r="S1666" s="1213">
        <v>3</v>
      </c>
      <c r="T1666" s="2694">
        <v>17321000</v>
      </c>
      <c r="U1666" s="1212">
        <v>0</v>
      </c>
      <c r="V1666" s="1214">
        <v>0</v>
      </c>
      <c r="W1666" s="1214">
        <v>0</v>
      </c>
      <c r="X1666" s="1214">
        <v>0</v>
      </c>
      <c r="Y1666" s="1212">
        <f t="shared" si="482"/>
        <v>6</v>
      </c>
      <c r="Z1666" s="1212">
        <f t="shared" si="483"/>
        <v>27146096</v>
      </c>
      <c r="AA1666" s="795">
        <f t="shared" si="484"/>
        <v>36</v>
      </c>
      <c r="AB1666" s="1212">
        <f t="shared" si="485"/>
        <v>834333283.99999988</v>
      </c>
      <c r="AC1666" s="1215">
        <f t="shared" si="486"/>
        <v>50</v>
      </c>
      <c r="AD1666" s="1215">
        <f t="shared" si="487"/>
        <v>69.527773666666661</v>
      </c>
      <c r="AE1666" s="450"/>
      <c r="AF1666" s="569"/>
      <c r="AG1666" s="1208"/>
      <c r="AH1666" s="569"/>
      <c r="AI1666" s="569"/>
      <c r="AJ1666" s="569"/>
      <c r="AK1666" s="569"/>
      <c r="AL1666" s="569"/>
      <c r="AM1666" s="569"/>
      <c r="AN1666" s="569"/>
      <c r="AO1666" s="569"/>
      <c r="AP1666" s="569"/>
      <c r="AQ1666" s="569"/>
      <c r="AR1666" s="569"/>
      <c r="AS1666" s="569"/>
      <c r="AT1666" s="569"/>
      <c r="AU1666" s="569"/>
      <c r="AV1666" s="569"/>
      <c r="AW1666" s="569"/>
      <c r="AX1666" s="569"/>
      <c r="AY1666" s="569"/>
      <c r="AZ1666" s="569"/>
      <c r="BA1666" s="569"/>
      <c r="BB1666" s="569"/>
      <c r="BC1666" s="570"/>
      <c r="BD1666" s="570"/>
      <c r="BE1666" s="570"/>
      <c r="BF1666" s="570"/>
      <c r="BG1666" s="570"/>
      <c r="BH1666" s="570"/>
      <c r="BI1666" s="570"/>
      <c r="BJ1666" s="570"/>
      <c r="BK1666" s="570"/>
      <c r="BL1666" s="570"/>
      <c r="BM1666" s="570"/>
      <c r="BN1666" s="570"/>
      <c r="BO1666" s="570"/>
      <c r="BP1666" s="570"/>
      <c r="BQ1666" s="570"/>
    </row>
    <row r="1667" spans="1:69" ht="49.5">
      <c r="A1667" s="794"/>
      <c r="B1667" s="6"/>
      <c r="C1667" s="794"/>
      <c r="D1667" s="794"/>
      <c r="E1667" s="794"/>
      <c r="F1667" s="794"/>
      <c r="G1667" s="794"/>
      <c r="H1667" s="794"/>
      <c r="I1667" s="407" t="s">
        <v>925</v>
      </c>
      <c r="J1667" s="407" t="s">
        <v>2186</v>
      </c>
      <c r="K1667" s="1211">
        <v>72</v>
      </c>
      <c r="L1667" s="1212">
        <v>330000000</v>
      </c>
      <c r="M1667" s="795">
        <v>36</v>
      </c>
      <c r="N1667" s="1212">
        <v>151668000</v>
      </c>
      <c r="O1667" s="795">
        <v>12</v>
      </c>
      <c r="P1667" s="1212">
        <v>91600000</v>
      </c>
      <c r="Q1667" s="1213">
        <v>3</v>
      </c>
      <c r="R1667" s="1212">
        <v>14490000</v>
      </c>
      <c r="S1667" s="1213">
        <v>3</v>
      </c>
      <c r="T1667" s="2694">
        <v>26120000</v>
      </c>
      <c r="U1667" s="1212">
        <v>0</v>
      </c>
      <c r="V1667" s="1214">
        <v>0</v>
      </c>
      <c r="W1667" s="1214">
        <v>0</v>
      </c>
      <c r="X1667" s="1214">
        <v>0</v>
      </c>
      <c r="Y1667" s="795">
        <f t="shared" si="482"/>
        <v>6</v>
      </c>
      <c r="Z1667" s="1212">
        <f t="shared" si="483"/>
        <v>40610000</v>
      </c>
      <c r="AA1667" s="795">
        <f t="shared" si="484"/>
        <v>42</v>
      </c>
      <c r="AB1667" s="1212">
        <f t="shared" si="485"/>
        <v>192278000</v>
      </c>
      <c r="AC1667" s="1215">
        <f t="shared" si="486"/>
        <v>58.333333333333336</v>
      </c>
      <c r="AD1667" s="1215">
        <f t="shared" si="487"/>
        <v>58.266060606060613</v>
      </c>
      <c r="AE1667" s="450"/>
      <c r="AF1667" s="569"/>
      <c r="AG1667" s="1208"/>
      <c r="AH1667" s="569"/>
      <c r="AI1667" s="569"/>
      <c r="AJ1667" s="569"/>
      <c r="AK1667" s="569"/>
      <c r="AL1667" s="569"/>
      <c r="AM1667" s="569"/>
      <c r="AN1667" s="569"/>
      <c r="AO1667" s="569"/>
      <c r="AP1667" s="569"/>
      <c r="AQ1667" s="569"/>
      <c r="AR1667" s="569"/>
      <c r="AS1667" s="569"/>
      <c r="AT1667" s="569"/>
      <c r="AU1667" s="569"/>
      <c r="AV1667" s="569"/>
      <c r="AW1667" s="569"/>
      <c r="AX1667" s="569"/>
      <c r="AY1667" s="569"/>
      <c r="AZ1667" s="569"/>
      <c r="BA1667" s="569"/>
      <c r="BB1667" s="569"/>
      <c r="BC1667" s="570"/>
      <c r="BD1667" s="570"/>
      <c r="BE1667" s="570"/>
      <c r="BF1667" s="570"/>
      <c r="BG1667" s="570"/>
      <c r="BH1667" s="570"/>
      <c r="BI1667" s="570"/>
      <c r="BJ1667" s="570"/>
      <c r="BK1667" s="570"/>
      <c r="BL1667" s="570"/>
      <c r="BM1667" s="570"/>
      <c r="BN1667" s="570"/>
      <c r="BO1667" s="570"/>
      <c r="BP1667" s="570"/>
      <c r="BQ1667" s="570"/>
    </row>
    <row r="1668" spans="1:69" ht="99">
      <c r="A1668" s="794"/>
      <c r="B1668" s="6"/>
      <c r="C1668" s="794"/>
      <c r="D1668" s="794"/>
      <c r="E1668" s="794"/>
      <c r="F1668" s="794"/>
      <c r="G1668" s="794"/>
      <c r="H1668" s="794"/>
      <c r="I1668" s="407" t="s">
        <v>2187</v>
      </c>
      <c r="J1668" s="407" t="s">
        <v>2188</v>
      </c>
      <c r="K1668" s="1211">
        <v>72</v>
      </c>
      <c r="L1668" s="1212">
        <v>375000000</v>
      </c>
      <c r="M1668" s="795">
        <v>36</v>
      </c>
      <c r="N1668" s="1212">
        <v>149923000</v>
      </c>
      <c r="O1668" s="795">
        <v>12</v>
      </c>
      <c r="P1668" s="1212">
        <v>31150000</v>
      </c>
      <c r="Q1668" s="1213">
        <v>3</v>
      </c>
      <c r="R1668" s="1212">
        <v>5660000</v>
      </c>
      <c r="S1668" s="1213">
        <v>3</v>
      </c>
      <c r="T1668" s="2694">
        <v>16572000</v>
      </c>
      <c r="U1668" s="1212">
        <v>0</v>
      </c>
      <c r="V1668" s="1214">
        <v>0</v>
      </c>
      <c r="W1668" s="1214">
        <v>0</v>
      </c>
      <c r="X1668" s="1214">
        <v>0</v>
      </c>
      <c r="Y1668" s="795">
        <f t="shared" si="482"/>
        <v>6</v>
      </c>
      <c r="Z1668" s="1212">
        <f t="shared" si="483"/>
        <v>22232000</v>
      </c>
      <c r="AA1668" s="795">
        <f t="shared" si="484"/>
        <v>42</v>
      </c>
      <c r="AB1668" s="1212">
        <f t="shared" si="485"/>
        <v>172155000</v>
      </c>
      <c r="AC1668" s="1215">
        <f t="shared" si="486"/>
        <v>58.333333333333336</v>
      </c>
      <c r="AD1668" s="1215">
        <f t="shared" si="487"/>
        <v>45.908000000000001</v>
      </c>
      <c r="AE1668" s="450"/>
      <c r="AF1668" s="870"/>
      <c r="AG1668" s="1208"/>
      <c r="AH1668" s="870"/>
      <c r="AI1668" s="870"/>
      <c r="AJ1668" s="870"/>
      <c r="AK1668" s="870"/>
      <c r="AL1668" s="870"/>
      <c r="AM1668" s="870"/>
      <c r="AN1668" s="870"/>
      <c r="AO1668" s="870"/>
      <c r="AP1668" s="870"/>
      <c r="AQ1668" s="870"/>
      <c r="AR1668" s="870"/>
      <c r="AS1668" s="870"/>
      <c r="AT1668" s="870"/>
      <c r="AU1668" s="870"/>
      <c r="AV1668" s="870"/>
      <c r="AW1668" s="870"/>
      <c r="AX1668" s="870"/>
      <c r="AY1668" s="870"/>
      <c r="AZ1668" s="870"/>
      <c r="BA1668" s="870"/>
      <c r="BB1668" s="870"/>
      <c r="BC1668" s="871"/>
      <c r="BD1668" s="871"/>
      <c r="BE1668" s="871"/>
      <c r="BF1668" s="871"/>
      <c r="BG1668" s="871"/>
      <c r="BH1668" s="871"/>
      <c r="BI1668" s="871"/>
      <c r="BJ1668" s="871"/>
      <c r="BK1668" s="871"/>
      <c r="BL1668" s="871"/>
      <c r="BM1668" s="871"/>
      <c r="BN1668" s="871"/>
      <c r="BO1668" s="871"/>
      <c r="BP1668" s="871"/>
      <c r="BQ1668" s="871"/>
    </row>
    <row r="1669" spans="1:69" ht="49.5">
      <c r="A1669" s="794"/>
      <c r="B1669" s="6"/>
      <c r="C1669" s="794"/>
      <c r="D1669" s="794"/>
      <c r="E1669" s="794"/>
      <c r="F1669" s="794"/>
      <c r="G1669" s="794"/>
      <c r="H1669" s="794"/>
      <c r="I1669" s="6" t="s">
        <v>2189</v>
      </c>
      <c r="J1669" s="407" t="s">
        <v>2190</v>
      </c>
      <c r="K1669" s="1211">
        <v>72</v>
      </c>
      <c r="L1669" s="1212">
        <v>300000000</v>
      </c>
      <c r="M1669" s="795">
        <v>33</v>
      </c>
      <c r="N1669" s="1212">
        <v>105448450</v>
      </c>
      <c r="O1669" s="795">
        <v>12</v>
      </c>
      <c r="P1669" s="1212">
        <v>37795000</v>
      </c>
      <c r="Q1669" s="1213">
        <v>3</v>
      </c>
      <c r="R1669" s="1212">
        <v>2738600</v>
      </c>
      <c r="S1669" s="1213">
        <v>3</v>
      </c>
      <c r="T1669" s="2694">
        <v>9844800</v>
      </c>
      <c r="U1669" s="1212">
        <v>0</v>
      </c>
      <c r="V1669" s="1214">
        <v>0</v>
      </c>
      <c r="W1669" s="1214">
        <v>0</v>
      </c>
      <c r="X1669" s="1214">
        <v>0</v>
      </c>
      <c r="Y1669" s="795">
        <f t="shared" si="482"/>
        <v>6</v>
      </c>
      <c r="Z1669" s="1212">
        <f t="shared" si="483"/>
        <v>12583400</v>
      </c>
      <c r="AA1669" s="795">
        <f t="shared" si="484"/>
        <v>39</v>
      </c>
      <c r="AB1669" s="1212">
        <f t="shared" si="485"/>
        <v>118031850</v>
      </c>
      <c r="AC1669" s="1215">
        <f t="shared" si="486"/>
        <v>54.166666666666664</v>
      </c>
      <c r="AD1669" s="1215">
        <f t="shared" si="487"/>
        <v>39.34395</v>
      </c>
      <c r="AE1669" s="450"/>
      <c r="AF1669" s="569"/>
      <c r="AG1669" s="1208"/>
      <c r="AH1669" s="569"/>
      <c r="AI1669" s="569"/>
      <c r="AJ1669" s="569"/>
      <c r="AK1669" s="569"/>
      <c r="AL1669" s="569"/>
      <c r="AM1669" s="569"/>
      <c r="AN1669" s="569"/>
      <c r="AO1669" s="569"/>
      <c r="AP1669" s="569"/>
      <c r="AQ1669" s="569"/>
      <c r="AR1669" s="569"/>
      <c r="AS1669" s="569"/>
      <c r="AT1669" s="569"/>
      <c r="AU1669" s="569"/>
      <c r="AV1669" s="569"/>
      <c r="AW1669" s="569"/>
      <c r="AX1669" s="569"/>
      <c r="AY1669" s="569"/>
      <c r="AZ1669" s="569"/>
      <c r="BA1669" s="569"/>
      <c r="BB1669" s="569"/>
      <c r="BC1669" s="570"/>
      <c r="BD1669" s="570"/>
      <c r="BE1669" s="570"/>
      <c r="BF1669" s="570"/>
      <c r="BG1669" s="570"/>
      <c r="BH1669" s="570"/>
      <c r="BI1669" s="570"/>
      <c r="BJ1669" s="570"/>
      <c r="BK1669" s="570"/>
      <c r="BL1669" s="570"/>
      <c r="BM1669" s="570"/>
      <c r="BN1669" s="570"/>
      <c r="BO1669" s="570"/>
      <c r="BP1669" s="570"/>
      <c r="BQ1669" s="570"/>
    </row>
    <row r="1670" spans="1:69" ht="66">
      <c r="A1670" s="2554">
        <v>2</v>
      </c>
      <c r="B1670" s="44"/>
      <c r="C1670" s="286"/>
      <c r="D1670" s="286"/>
      <c r="E1670" s="286"/>
      <c r="F1670" s="286"/>
      <c r="G1670" s="286"/>
      <c r="H1670" s="286"/>
      <c r="I1670" s="46" t="s">
        <v>2191</v>
      </c>
      <c r="J1670" s="46" t="s">
        <v>2192</v>
      </c>
      <c r="K1670" s="146">
        <v>72</v>
      </c>
      <c r="L1670" s="833">
        <v>3762309000</v>
      </c>
      <c r="M1670" s="146">
        <v>36</v>
      </c>
      <c r="N1670" s="833">
        <f>SUM(N1671:N1673)</f>
        <v>1507272703</v>
      </c>
      <c r="O1670" s="146">
        <v>12</v>
      </c>
      <c r="P1670" s="833">
        <f>SUM(P1671:P1673)</f>
        <v>405558500</v>
      </c>
      <c r="Q1670" s="289">
        <v>3</v>
      </c>
      <c r="R1670" s="833">
        <f>SUM(R1671:R1673)</f>
        <v>50401938</v>
      </c>
      <c r="S1670" s="289">
        <f>SUM(S1671:S1673)</f>
        <v>0</v>
      </c>
      <c r="T1670" s="833">
        <f>SUM(T1671:T1673)</f>
        <v>83083913</v>
      </c>
      <c r="U1670" s="289">
        <f t="shared" ref="U1670:X1670" si="488">SUM(U1671:U1673)</f>
        <v>0</v>
      </c>
      <c r="V1670" s="833">
        <f t="shared" si="488"/>
        <v>0</v>
      </c>
      <c r="W1670" s="289">
        <f t="shared" si="488"/>
        <v>0</v>
      </c>
      <c r="X1670" s="833">
        <f t="shared" si="488"/>
        <v>0</v>
      </c>
      <c r="Y1670" s="146">
        <f t="shared" si="482"/>
        <v>3</v>
      </c>
      <c r="Z1670" s="833">
        <f t="shared" si="483"/>
        <v>133485851</v>
      </c>
      <c r="AA1670" s="146">
        <f t="shared" si="484"/>
        <v>39</v>
      </c>
      <c r="AB1670" s="833">
        <f t="shared" si="485"/>
        <v>1640758554</v>
      </c>
      <c r="AC1670" s="868">
        <f t="shared" si="486"/>
        <v>54.166666666666664</v>
      </c>
      <c r="AD1670" s="868">
        <f t="shared" si="487"/>
        <v>43.610414615067498</v>
      </c>
      <c r="AE1670" s="2554" t="s">
        <v>223</v>
      </c>
      <c r="AF1670" s="870"/>
      <c r="AG1670" s="1208"/>
      <c r="AH1670" s="870"/>
      <c r="AI1670" s="870"/>
      <c r="AJ1670" s="870"/>
      <c r="AK1670" s="870"/>
      <c r="AL1670" s="870"/>
      <c r="AM1670" s="870"/>
      <c r="AN1670" s="870"/>
      <c r="AO1670" s="870"/>
      <c r="AP1670" s="870"/>
      <c r="AQ1670" s="870"/>
      <c r="AR1670" s="870"/>
      <c r="AS1670" s="870"/>
      <c r="AT1670" s="870"/>
      <c r="AU1670" s="870"/>
      <c r="AV1670" s="870"/>
      <c r="AW1670" s="870"/>
      <c r="AX1670" s="870"/>
      <c r="AY1670" s="870"/>
      <c r="AZ1670" s="870"/>
      <c r="BA1670" s="870"/>
      <c r="BB1670" s="870"/>
      <c r="BC1670" s="871"/>
      <c r="BD1670" s="871"/>
      <c r="BE1670" s="871"/>
      <c r="BF1670" s="871"/>
      <c r="BG1670" s="871"/>
      <c r="BH1670" s="871"/>
      <c r="BI1670" s="871"/>
      <c r="BJ1670" s="871"/>
      <c r="BK1670" s="871"/>
      <c r="BL1670" s="871"/>
      <c r="BM1670" s="871"/>
      <c r="BN1670" s="871"/>
      <c r="BO1670" s="871"/>
      <c r="BP1670" s="871"/>
      <c r="BQ1670" s="871"/>
    </row>
    <row r="1671" spans="1:69" ht="37.5" customHeight="1">
      <c r="A1671" s="794"/>
      <c r="B1671" s="6"/>
      <c r="C1671" s="794"/>
      <c r="D1671" s="794"/>
      <c r="E1671" s="794"/>
      <c r="F1671" s="794"/>
      <c r="G1671" s="794"/>
      <c r="H1671" s="794"/>
      <c r="I1671" s="407" t="s">
        <v>82</v>
      </c>
      <c r="J1671" s="407" t="s">
        <v>3190</v>
      </c>
      <c r="K1671" s="795">
        <v>6</v>
      </c>
      <c r="L1671" s="1212">
        <v>1536500000</v>
      </c>
      <c r="M1671" s="795">
        <v>3</v>
      </c>
      <c r="N1671" s="1212">
        <v>376645140</v>
      </c>
      <c r="O1671" s="795">
        <v>1</v>
      </c>
      <c r="P1671" s="1212">
        <v>95850000</v>
      </c>
      <c r="Q1671" s="1212">
        <v>0</v>
      </c>
      <c r="R1671" s="1212">
        <v>0</v>
      </c>
      <c r="S1671" s="1214">
        <v>0</v>
      </c>
      <c r="T1671" s="1214">
        <v>0</v>
      </c>
      <c r="U1671" s="1214">
        <v>0</v>
      </c>
      <c r="V1671" s="1214">
        <v>0</v>
      </c>
      <c r="W1671" s="1214">
        <v>0</v>
      </c>
      <c r="X1671" s="1214">
        <v>0</v>
      </c>
      <c r="Y1671" s="795">
        <f t="shared" si="482"/>
        <v>0</v>
      </c>
      <c r="Z1671" s="1212">
        <f t="shared" si="483"/>
        <v>0</v>
      </c>
      <c r="AA1671" s="795">
        <f t="shared" si="484"/>
        <v>3</v>
      </c>
      <c r="AB1671" s="1212">
        <f t="shared" si="485"/>
        <v>376645140</v>
      </c>
      <c r="AC1671" s="1215">
        <f t="shared" si="486"/>
        <v>50</v>
      </c>
      <c r="AD1671" s="1215">
        <f t="shared" si="487"/>
        <v>24.513188415229418</v>
      </c>
      <c r="AE1671" s="450"/>
      <c r="AF1671" s="569"/>
      <c r="AG1671" s="1208"/>
      <c r="AH1671" s="569"/>
      <c r="AI1671" s="569"/>
      <c r="AJ1671" s="569"/>
      <c r="AK1671" s="569"/>
      <c r="AL1671" s="569"/>
      <c r="AM1671" s="569"/>
      <c r="AN1671" s="569"/>
      <c r="AO1671" s="569"/>
      <c r="AP1671" s="569"/>
      <c r="AQ1671" s="569"/>
      <c r="AR1671" s="569"/>
      <c r="AS1671" s="569"/>
      <c r="AT1671" s="569"/>
      <c r="AU1671" s="569"/>
      <c r="AV1671" s="569"/>
      <c r="AW1671" s="569"/>
      <c r="AX1671" s="569"/>
      <c r="AY1671" s="569"/>
      <c r="AZ1671" s="569"/>
      <c r="BA1671" s="569"/>
      <c r="BB1671" s="569"/>
      <c r="BC1671" s="570"/>
      <c r="BD1671" s="570"/>
      <c r="BE1671" s="570"/>
      <c r="BF1671" s="570"/>
      <c r="BG1671" s="570"/>
      <c r="BH1671" s="570"/>
      <c r="BI1671" s="570"/>
      <c r="BJ1671" s="570"/>
      <c r="BK1671" s="570"/>
      <c r="BL1671" s="570"/>
      <c r="BM1671" s="570"/>
      <c r="BN1671" s="570"/>
      <c r="BO1671" s="570"/>
      <c r="BP1671" s="570"/>
      <c r="BQ1671" s="570"/>
    </row>
    <row r="1672" spans="1:69" ht="66">
      <c r="A1672" s="794"/>
      <c r="B1672" s="6"/>
      <c r="C1672" s="794"/>
      <c r="D1672" s="794"/>
      <c r="E1672" s="794"/>
      <c r="F1672" s="794"/>
      <c r="G1672" s="794"/>
      <c r="H1672" s="794"/>
      <c r="I1672" s="407" t="s">
        <v>2193</v>
      </c>
      <c r="J1672" s="407" t="s">
        <v>2194</v>
      </c>
      <c r="K1672" s="795">
        <v>72</v>
      </c>
      <c r="L1672" s="1212">
        <v>831277000</v>
      </c>
      <c r="M1672" s="795">
        <v>36</v>
      </c>
      <c r="N1672" s="1212">
        <v>396299200</v>
      </c>
      <c r="O1672" s="795">
        <v>12</v>
      </c>
      <c r="P1672" s="1212">
        <v>74636000</v>
      </c>
      <c r="Q1672" s="1212">
        <v>3</v>
      </c>
      <c r="R1672" s="1212">
        <v>1878573</v>
      </c>
      <c r="S1672" s="1214">
        <v>0</v>
      </c>
      <c r="T1672" s="1214">
        <v>18855650</v>
      </c>
      <c r="U1672" s="1214">
        <v>0</v>
      </c>
      <c r="V1672" s="1214">
        <v>0</v>
      </c>
      <c r="W1672" s="1214">
        <v>0</v>
      </c>
      <c r="X1672" s="1214">
        <v>0</v>
      </c>
      <c r="Y1672" s="795">
        <f t="shared" si="482"/>
        <v>3</v>
      </c>
      <c r="Z1672" s="1212">
        <f t="shared" si="483"/>
        <v>20734223</v>
      </c>
      <c r="AA1672" s="795">
        <f t="shared" si="484"/>
        <v>39</v>
      </c>
      <c r="AB1672" s="1212">
        <f t="shared" si="485"/>
        <v>417033423</v>
      </c>
      <c r="AC1672" s="1215">
        <f t="shared" si="486"/>
        <v>54.166666666666664</v>
      </c>
      <c r="AD1672" s="1215">
        <f t="shared" si="487"/>
        <v>50.167804835211371</v>
      </c>
      <c r="AE1672" s="450"/>
      <c r="AF1672" s="569"/>
      <c r="AG1672" s="1208"/>
      <c r="AH1672" s="569"/>
      <c r="AI1672" s="569"/>
      <c r="AJ1672" s="569"/>
      <c r="AK1672" s="569"/>
      <c r="AL1672" s="569"/>
      <c r="AM1672" s="569"/>
      <c r="AN1672" s="569"/>
      <c r="AO1672" s="569"/>
      <c r="AP1672" s="569"/>
      <c r="AQ1672" s="569"/>
      <c r="AR1672" s="569"/>
      <c r="AS1672" s="569"/>
      <c r="AT1672" s="569"/>
      <c r="AU1672" s="569"/>
      <c r="AV1672" s="569"/>
      <c r="AW1672" s="569"/>
      <c r="AX1672" s="569"/>
      <c r="AY1672" s="569"/>
      <c r="AZ1672" s="569"/>
      <c r="BA1672" s="569"/>
      <c r="BB1672" s="569"/>
      <c r="BC1672" s="570"/>
      <c r="BD1672" s="570"/>
      <c r="BE1672" s="570"/>
      <c r="BF1672" s="570"/>
      <c r="BG1672" s="570"/>
      <c r="BH1672" s="570"/>
      <c r="BI1672" s="570"/>
      <c r="BJ1672" s="570"/>
      <c r="BK1672" s="570"/>
      <c r="BL1672" s="570"/>
      <c r="BM1672" s="570"/>
      <c r="BN1672" s="570"/>
      <c r="BO1672" s="570"/>
      <c r="BP1672" s="570"/>
      <c r="BQ1672" s="570"/>
    </row>
    <row r="1673" spans="1:69" ht="111.75" customHeight="1">
      <c r="A1673" s="794"/>
      <c r="B1673" s="6"/>
      <c r="C1673" s="794"/>
      <c r="D1673" s="794"/>
      <c r="E1673" s="794"/>
      <c r="F1673" s="794"/>
      <c r="G1673" s="794"/>
      <c r="H1673" s="794"/>
      <c r="I1673" s="407" t="s">
        <v>2195</v>
      </c>
      <c r="J1673" s="407" t="s">
        <v>2196</v>
      </c>
      <c r="K1673" s="795">
        <v>72</v>
      </c>
      <c r="L1673" s="1212">
        <v>1394532000</v>
      </c>
      <c r="M1673" s="795">
        <v>36</v>
      </c>
      <c r="N1673" s="1212">
        <v>734328363</v>
      </c>
      <c r="O1673" s="795">
        <v>12</v>
      </c>
      <c r="P1673" s="1212">
        <v>235072500</v>
      </c>
      <c r="Q1673" s="1212">
        <v>3</v>
      </c>
      <c r="R1673" s="1212">
        <v>48523365</v>
      </c>
      <c r="S1673" s="1214">
        <v>0</v>
      </c>
      <c r="T1673" s="1214">
        <v>64228263</v>
      </c>
      <c r="U1673" s="1214">
        <v>0</v>
      </c>
      <c r="V1673" s="1214">
        <v>0</v>
      </c>
      <c r="W1673" s="1214">
        <v>0</v>
      </c>
      <c r="X1673" s="1214">
        <v>0</v>
      </c>
      <c r="Y1673" s="1216">
        <f t="shared" si="482"/>
        <v>3</v>
      </c>
      <c r="Z1673" s="1212">
        <f t="shared" si="483"/>
        <v>112751628</v>
      </c>
      <c r="AA1673" s="795">
        <f t="shared" si="484"/>
        <v>39</v>
      </c>
      <c r="AB1673" s="1212">
        <f t="shared" si="485"/>
        <v>847079991</v>
      </c>
      <c r="AC1673" s="1217">
        <f t="shared" si="486"/>
        <v>54.166666666666664</v>
      </c>
      <c r="AD1673" s="1215">
        <f t="shared" si="487"/>
        <v>60.742958282778737</v>
      </c>
      <c r="AE1673" s="450"/>
      <c r="AF1673" s="569"/>
      <c r="AG1673" s="1208"/>
      <c r="AH1673" s="569"/>
      <c r="AI1673" s="569"/>
      <c r="AJ1673" s="569"/>
      <c r="AK1673" s="569"/>
      <c r="AL1673" s="569"/>
      <c r="AM1673" s="569"/>
      <c r="AN1673" s="569"/>
      <c r="AO1673" s="569"/>
      <c r="AP1673" s="569"/>
      <c r="AQ1673" s="569"/>
      <c r="AR1673" s="569"/>
      <c r="AS1673" s="569"/>
      <c r="AT1673" s="569"/>
      <c r="AU1673" s="569"/>
      <c r="AV1673" s="569"/>
      <c r="AW1673" s="569"/>
      <c r="AX1673" s="569"/>
      <c r="AY1673" s="569"/>
      <c r="AZ1673" s="569"/>
      <c r="BA1673" s="569"/>
      <c r="BB1673" s="569"/>
      <c r="BC1673" s="570"/>
      <c r="BD1673" s="570"/>
      <c r="BE1673" s="570"/>
      <c r="BF1673" s="570"/>
      <c r="BG1673" s="570"/>
      <c r="BH1673" s="570"/>
      <c r="BI1673" s="570"/>
      <c r="BJ1673" s="570"/>
      <c r="BK1673" s="570"/>
      <c r="BL1673" s="570"/>
      <c r="BM1673" s="570"/>
      <c r="BN1673" s="570"/>
      <c r="BO1673" s="570"/>
      <c r="BP1673" s="570"/>
      <c r="BQ1673" s="570"/>
    </row>
    <row r="1674" spans="1:69" ht="66">
      <c r="A1674" s="2554">
        <v>3</v>
      </c>
      <c r="B1674" s="44"/>
      <c r="C1674" s="286"/>
      <c r="D1674" s="286"/>
      <c r="E1674" s="286"/>
      <c r="F1674" s="286"/>
      <c r="G1674" s="286"/>
      <c r="H1674" s="286"/>
      <c r="I1674" s="46" t="s">
        <v>2197</v>
      </c>
      <c r="J1674" s="46" t="s">
        <v>3191</v>
      </c>
      <c r="K1674" s="146">
        <v>6</v>
      </c>
      <c r="L1674" s="833">
        <v>595000000</v>
      </c>
      <c r="M1674" s="146">
        <v>2</v>
      </c>
      <c r="N1674" s="1218">
        <f>SUM(N1675)</f>
        <v>97367589</v>
      </c>
      <c r="O1674" s="146">
        <v>1</v>
      </c>
      <c r="P1674" s="147">
        <f>SUM(P1675)</f>
        <v>141800390</v>
      </c>
      <c r="Q1674" s="289">
        <v>0</v>
      </c>
      <c r="R1674" s="833">
        <f>SUM(R1675)</f>
        <v>10375750</v>
      </c>
      <c r="S1674" s="833">
        <f>SUM(S1675)</f>
        <v>0</v>
      </c>
      <c r="T1674" s="833">
        <f t="shared" ref="T1674:X1674" si="489">SUM(T1675)</f>
        <v>8761750</v>
      </c>
      <c r="U1674" s="833">
        <f t="shared" si="489"/>
        <v>0</v>
      </c>
      <c r="V1674" s="833">
        <f t="shared" si="489"/>
        <v>0</v>
      </c>
      <c r="W1674" s="1219">
        <f t="shared" si="489"/>
        <v>0</v>
      </c>
      <c r="X1674" s="833">
        <f t="shared" si="489"/>
        <v>0</v>
      </c>
      <c r="Y1674" s="868">
        <f t="shared" si="482"/>
        <v>0</v>
      </c>
      <c r="Z1674" s="833">
        <f t="shared" si="483"/>
        <v>19137500</v>
      </c>
      <c r="AA1674" s="146">
        <f t="shared" si="484"/>
        <v>2</v>
      </c>
      <c r="AB1674" s="833">
        <f t="shared" si="485"/>
        <v>116505089</v>
      </c>
      <c r="AC1674" s="834">
        <f t="shared" si="486"/>
        <v>33.333333333333329</v>
      </c>
      <c r="AD1674" s="834">
        <f t="shared" si="487"/>
        <v>19.580687226890756</v>
      </c>
      <c r="AE1674" s="2554" t="s">
        <v>223</v>
      </c>
      <c r="AF1674" s="569"/>
      <c r="AG1674" s="1208"/>
      <c r="AH1674" s="569"/>
      <c r="AI1674" s="569"/>
      <c r="AJ1674" s="569"/>
      <c r="AK1674" s="569"/>
      <c r="AL1674" s="569"/>
      <c r="AM1674" s="569"/>
      <c r="AN1674" s="569"/>
      <c r="AO1674" s="569"/>
      <c r="AP1674" s="569"/>
      <c r="AQ1674" s="569"/>
      <c r="AR1674" s="569"/>
      <c r="AS1674" s="569"/>
      <c r="AT1674" s="569"/>
      <c r="AU1674" s="569"/>
      <c r="AV1674" s="569"/>
      <c r="AW1674" s="569"/>
      <c r="AX1674" s="569"/>
      <c r="AY1674" s="569"/>
      <c r="AZ1674" s="569"/>
      <c r="BA1674" s="569"/>
      <c r="BB1674" s="569"/>
      <c r="BC1674" s="570"/>
      <c r="BD1674" s="570"/>
      <c r="BE1674" s="570"/>
      <c r="BF1674" s="570"/>
      <c r="BG1674" s="570"/>
      <c r="BH1674" s="570"/>
      <c r="BI1674" s="570"/>
      <c r="BJ1674" s="570"/>
      <c r="BK1674" s="570"/>
      <c r="BL1674" s="570"/>
      <c r="BM1674" s="570"/>
      <c r="BN1674" s="570"/>
      <c r="BO1674" s="570"/>
      <c r="BP1674" s="570"/>
      <c r="BQ1674" s="570"/>
    </row>
    <row r="1675" spans="1:69" ht="49.5">
      <c r="A1675" s="794"/>
      <c r="B1675" s="6"/>
      <c r="C1675" s="794"/>
      <c r="D1675" s="794"/>
      <c r="E1675" s="794"/>
      <c r="F1675" s="794"/>
      <c r="G1675" s="794"/>
      <c r="H1675" s="794"/>
      <c r="I1675" s="407" t="s">
        <v>2198</v>
      </c>
      <c r="J1675" s="6" t="s">
        <v>3192</v>
      </c>
      <c r="K1675" s="795">
        <v>6</v>
      </c>
      <c r="L1675" s="1212">
        <v>595000000</v>
      </c>
      <c r="M1675" s="777">
        <v>2</v>
      </c>
      <c r="N1675" s="777">
        <v>97367589</v>
      </c>
      <c r="O1675" s="107">
        <v>1</v>
      </c>
      <c r="P1675" s="408">
        <v>141800390</v>
      </c>
      <c r="Q1675" s="1220">
        <v>3</v>
      </c>
      <c r="R1675" s="777">
        <v>10375750</v>
      </c>
      <c r="S1675" s="1221">
        <v>0</v>
      </c>
      <c r="T1675" s="1221">
        <v>8761750</v>
      </c>
      <c r="U1675" s="1221">
        <v>0</v>
      </c>
      <c r="V1675" s="1221">
        <v>0</v>
      </c>
      <c r="W1675" s="1221">
        <v>0</v>
      </c>
      <c r="X1675" s="1221">
        <v>0</v>
      </c>
      <c r="Y1675" s="778">
        <f t="shared" si="482"/>
        <v>3</v>
      </c>
      <c r="Z1675" s="530">
        <f t="shared" si="483"/>
        <v>19137500</v>
      </c>
      <c r="AA1675" s="777">
        <f t="shared" si="484"/>
        <v>5</v>
      </c>
      <c r="AB1675" s="777">
        <f t="shared" si="485"/>
        <v>116505089</v>
      </c>
      <c r="AC1675" s="1049">
        <f t="shared" si="486"/>
        <v>83.333333333333343</v>
      </c>
      <c r="AD1675" s="1049">
        <f t="shared" si="487"/>
        <v>19.580687226890756</v>
      </c>
      <c r="AE1675" s="2599"/>
      <c r="AF1675" s="569"/>
      <c r="AG1675" s="1208"/>
      <c r="AH1675" s="569"/>
      <c r="AI1675" s="569"/>
      <c r="AJ1675" s="569"/>
      <c r="AK1675" s="569"/>
      <c r="AL1675" s="569"/>
      <c r="AM1675" s="569"/>
      <c r="AN1675" s="569"/>
      <c r="AO1675" s="569"/>
      <c r="AP1675" s="569"/>
      <c r="AQ1675" s="569"/>
      <c r="AR1675" s="569"/>
      <c r="AS1675" s="569"/>
      <c r="AT1675" s="569"/>
      <c r="AU1675" s="569"/>
      <c r="AV1675" s="569"/>
      <c r="AW1675" s="569"/>
      <c r="AX1675" s="569"/>
      <c r="AY1675" s="569"/>
      <c r="AZ1675" s="569"/>
      <c r="BA1675" s="569"/>
      <c r="BB1675" s="569"/>
      <c r="BC1675" s="570"/>
      <c r="BD1675" s="570"/>
      <c r="BE1675" s="570"/>
      <c r="BF1675" s="570"/>
      <c r="BG1675" s="570"/>
      <c r="BH1675" s="570"/>
      <c r="BI1675" s="570"/>
      <c r="BJ1675" s="570"/>
      <c r="BK1675" s="570"/>
      <c r="BL1675" s="570"/>
      <c r="BM1675" s="570"/>
      <c r="BN1675" s="570"/>
      <c r="BO1675" s="570"/>
      <c r="BP1675" s="570"/>
      <c r="BQ1675" s="570"/>
    </row>
    <row r="1676" spans="1:69" ht="82.5">
      <c r="A1676" s="2554">
        <v>4</v>
      </c>
      <c r="B1676" s="44"/>
      <c r="C1676" s="286"/>
      <c r="D1676" s="286"/>
      <c r="E1676" s="286"/>
      <c r="F1676" s="286"/>
      <c r="G1676" s="286"/>
      <c r="H1676" s="286"/>
      <c r="I1676" s="44" t="s">
        <v>2199</v>
      </c>
      <c r="J1676" s="44" t="s">
        <v>3193</v>
      </c>
      <c r="K1676" s="833">
        <v>100</v>
      </c>
      <c r="L1676" s="833">
        <v>1750000000</v>
      </c>
      <c r="M1676" s="833">
        <v>90</v>
      </c>
      <c r="N1676" s="1222">
        <f>SUM(N1677:N1679)</f>
        <v>383446062</v>
      </c>
      <c r="O1676" s="833">
        <v>5</v>
      </c>
      <c r="P1676" s="833">
        <f>SUM(P1677:P1679)</f>
        <v>123313500</v>
      </c>
      <c r="Q1676" s="834">
        <v>1</v>
      </c>
      <c r="R1676" s="833">
        <f>SUM(R1677:R1679)</f>
        <v>2668250</v>
      </c>
      <c r="S1676" s="834">
        <f>SUM(S1677:S1679)</f>
        <v>2</v>
      </c>
      <c r="T1676" s="833">
        <f>SUM(T1677:T1679)</f>
        <v>51345000</v>
      </c>
      <c r="U1676" s="834">
        <f t="shared" ref="U1676:X1676" si="490">SUM(U1677:U1679)</f>
        <v>0</v>
      </c>
      <c r="V1676" s="833">
        <f t="shared" si="490"/>
        <v>0</v>
      </c>
      <c r="W1676" s="834">
        <f t="shared" si="490"/>
        <v>0</v>
      </c>
      <c r="X1676" s="833">
        <f t="shared" si="490"/>
        <v>0</v>
      </c>
      <c r="Y1676" s="834">
        <f t="shared" si="482"/>
        <v>3</v>
      </c>
      <c r="Z1676" s="833">
        <f t="shared" si="483"/>
        <v>54013250</v>
      </c>
      <c r="AA1676" s="146">
        <f t="shared" si="484"/>
        <v>93</v>
      </c>
      <c r="AB1676" s="833">
        <f t="shared" si="485"/>
        <v>437459312</v>
      </c>
      <c r="AC1676" s="834">
        <f t="shared" si="486"/>
        <v>93</v>
      </c>
      <c r="AD1676" s="834">
        <f t="shared" si="487"/>
        <v>24.99767497142857</v>
      </c>
      <c r="AE1676" s="2554" t="s">
        <v>223</v>
      </c>
      <c r="AF1676" s="569"/>
      <c r="AG1676" s="1208"/>
      <c r="AH1676" s="569"/>
      <c r="AI1676" s="569"/>
      <c r="AJ1676" s="569"/>
      <c r="AK1676" s="569"/>
      <c r="AL1676" s="569"/>
      <c r="AM1676" s="569"/>
      <c r="AN1676" s="569"/>
      <c r="AO1676" s="569"/>
      <c r="AP1676" s="569"/>
      <c r="AQ1676" s="569"/>
      <c r="AR1676" s="569"/>
      <c r="AS1676" s="569"/>
      <c r="AT1676" s="569"/>
      <c r="AU1676" s="569"/>
      <c r="AV1676" s="569"/>
      <c r="AW1676" s="569"/>
      <c r="AX1676" s="569"/>
      <c r="AY1676" s="569"/>
      <c r="AZ1676" s="569"/>
      <c r="BA1676" s="569"/>
      <c r="BB1676" s="569"/>
      <c r="BC1676" s="570"/>
      <c r="BD1676" s="570"/>
      <c r="BE1676" s="570"/>
      <c r="BF1676" s="570"/>
      <c r="BG1676" s="570"/>
      <c r="BH1676" s="570"/>
      <c r="BI1676" s="570"/>
      <c r="BJ1676" s="570"/>
      <c r="BK1676" s="570"/>
      <c r="BL1676" s="570"/>
      <c r="BM1676" s="570"/>
      <c r="BN1676" s="570"/>
      <c r="BO1676" s="570"/>
      <c r="BP1676" s="570"/>
      <c r="BQ1676" s="570"/>
    </row>
    <row r="1677" spans="1:69" ht="37.5" customHeight="1">
      <c r="A1677" s="794"/>
      <c r="B1677" s="6"/>
      <c r="C1677" s="794"/>
      <c r="D1677" s="794"/>
      <c r="E1677" s="794"/>
      <c r="F1677" s="794"/>
      <c r="G1677" s="794"/>
      <c r="H1677" s="794"/>
      <c r="I1677" s="407" t="s">
        <v>2200</v>
      </c>
      <c r="J1677" s="407" t="s">
        <v>2201</v>
      </c>
      <c r="K1677" s="795">
        <v>6</v>
      </c>
      <c r="L1677" s="1212">
        <v>700000000</v>
      </c>
      <c r="M1677" s="1216">
        <v>3</v>
      </c>
      <c r="N1677" s="1212">
        <v>256009182</v>
      </c>
      <c r="O1677" s="795">
        <v>1</v>
      </c>
      <c r="P1677" s="1212">
        <v>24113500</v>
      </c>
      <c r="Q1677" s="1216">
        <v>0</v>
      </c>
      <c r="R1677" s="1212">
        <v>618250</v>
      </c>
      <c r="S1677" s="1223">
        <v>0</v>
      </c>
      <c r="T1677" s="1212">
        <v>2455000</v>
      </c>
      <c r="U1677" s="1223">
        <v>0</v>
      </c>
      <c r="V1677" s="1223">
        <v>0</v>
      </c>
      <c r="W1677" s="1223">
        <v>0</v>
      </c>
      <c r="X1677" s="1223">
        <v>0</v>
      </c>
      <c r="Y1677" s="1216">
        <f t="shared" si="482"/>
        <v>0</v>
      </c>
      <c r="Z1677" s="1212">
        <f t="shared" si="483"/>
        <v>3073250</v>
      </c>
      <c r="AA1677" s="1216">
        <f t="shared" si="484"/>
        <v>3</v>
      </c>
      <c r="AB1677" s="1212">
        <f t="shared" si="485"/>
        <v>259082432</v>
      </c>
      <c r="AC1677" s="1224">
        <f t="shared" si="486"/>
        <v>50</v>
      </c>
      <c r="AD1677" s="1224">
        <f t="shared" si="487"/>
        <v>37.011776000000005</v>
      </c>
      <c r="AE1677" s="794"/>
      <c r="AF1677" s="569"/>
      <c r="AG1677" s="1208"/>
      <c r="AH1677" s="569"/>
      <c r="AI1677" s="569"/>
      <c r="AJ1677" s="569"/>
      <c r="AK1677" s="569"/>
      <c r="AL1677" s="569"/>
      <c r="AM1677" s="569"/>
      <c r="AN1677" s="569"/>
      <c r="AO1677" s="569"/>
      <c r="AP1677" s="569"/>
      <c r="AQ1677" s="569"/>
      <c r="AR1677" s="569"/>
      <c r="AS1677" s="569"/>
      <c r="AT1677" s="569"/>
      <c r="AU1677" s="569"/>
      <c r="AV1677" s="569"/>
      <c r="AW1677" s="569"/>
      <c r="AX1677" s="569"/>
      <c r="AY1677" s="569"/>
      <c r="AZ1677" s="569"/>
      <c r="BA1677" s="569"/>
      <c r="BB1677" s="569"/>
      <c r="BC1677" s="570"/>
      <c r="BD1677" s="570"/>
      <c r="BE1677" s="570"/>
      <c r="BF1677" s="570"/>
      <c r="BG1677" s="570"/>
      <c r="BH1677" s="570"/>
      <c r="BI1677" s="570"/>
      <c r="BJ1677" s="570"/>
      <c r="BK1677" s="570"/>
      <c r="BL1677" s="570"/>
      <c r="BM1677" s="570"/>
      <c r="BN1677" s="570"/>
      <c r="BO1677" s="570"/>
      <c r="BP1677" s="570"/>
      <c r="BQ1677" s="570"/>
    </row>
    <row r="1678" spans="1:69" ht="33">
      <c r="A1678" s="794"/>
      <c r="B1678" s="6"/>
      <c r="C1678" s="794"/>
      <c r="D1678" s="794"/>
      <c r="E1678" s="794"/>
      <c r="F1678" s="794"/>
      <c r="G1678" s="794"/>
      <c r="H1678" s="794"/>
      <c r="I1678" s="407"/>
      <c r="J1678" s="407" t="s">
        <v>2202</v>
      </c>
      <c r="K1678" s="795">
        <v>6</v>
      </c>
      <c r="L1678" s="1212"/>
      <c r="M1678" s="795">
        <v>3</v>
      </c>
      <c r="N1678" s="1212"/>
      <c r="O1678" s="795">
        <v>1</v>
      </c>
      <c r="P1678" s="1212"/>
      <c r="Q1678" s="1216">
        <v>0</v>
      </c>
      <c r="R1678" s="1212"/>
      <c r="S1678" s="1223"/>
      <c r="T1678" s="1212"/>
      <c r="U1678" s="1212"/>
      <c r="V1678" s="1212"/>
      <c r="W1678" s="1212"/>
      <c r="X1678" s="1212"/>
      <c r="Y1678" s="1216">
        <f t="shared" si="482"/>
        <v>0</v>
      </c>
      <c r="Z1678" s="1212">
        <f t="shared" si="483"/>
        <v>0</v>
      </c>
      <c r="AA1678" s="1216">
        <f t="shared" si="484"/>
        <v>3</v>
      </c>
      <c r="AB1678" s="1212">
        <f t="shared" si="485"/>
        <v>0</v>
      </c>
      <c r="AC1678" s="1224">
        <f t="shared" ref="AC1678:AC1684" si="491">AA1678/K1678*100</f>
        <v>50</v>
      </c>
      <c r="AD1678" s="1224"/>
      <c r="AE1678" s="794"/>
      <c r="AF1678" s="569"/>
      <c r="AG1678" s="1208"/>
      <c r="AH1678" s="569"/>
      <c r="AI1678" s="569"/>
      <c r="AJ1678" s="569"/>
      <c r="AK1678" s="569"/>
      <c r="AL1678" s="569"/>
      <c r="AM1678" s="569"/>
      <c r="AN1678" s="569"/>
      <c r="AO1678" s="569"/>
      <c r="AP1678" s="569"/>
      <c r="AQ1678" s="569"/>
      <c r="AR1678" s="569"/>
      <c r="AS1678" s="569"/>
      <c r="AT1678" s="569"/>
      <c r="AU1678" s="569"/>
      <c r="AV1678" s="569"/>
      <c r="AW1678" s="569"/>
      <c r="AX1678" s="569"/>
      <c r="AY1678" s="569"/>
      <c r="AZ1678" s="569"/>
      <c r="BA1678" s="569"/>
      <c r="BB1678" s="569"/>
      <c r="BC1678" s="570"/>
      <c r="BD1678" s="570"/>
      <c r="BE1678" s="570"/>
      <c r="BF1678" s="570"/>
      <c r="BG1678" s="570"/>
      <c r="BH1678" s="570"/>
      <c r="BI1678" s="570"/>
      <c r="BJ1678" s="570"/>
      <c r="BK1678" s="570"/>
      <c r="BL1678" s="570"/>
      <c r="BM1678" s="570"/>
      <c r="BN1678" s="570"/>
      <c r="BO1678" s="570"/>
      <c r="BP1678" s="570"/>
      <c r="BQ1678" s="570"/>
    </row>
    <row r="1679" spans="1:69" ht="82.5">
      <c r="A1679" s="794"/>
      <c r="B1679" s="6"/>
      <c r="C1679" s="794"/>
      <c r="D1679" s="794"/>
      <c r="E1679" s="794"/>
      <c r="F1679" s="794"/>
      <c r="G1679" s="794"/>
      <c r="H1679" s="794"/>
      <c r="I1679" s="407" t="s">
        <v>585</v>
      </c>
      <c r="J1679" s="6" t="s">
        <v>2203</v>
      </c>
      <c r="K1679" s="795">
        <v>95</v>
      </c>
      <c r="L1679" s="1212">
        <v>350000000</v>
      </c>
      <c r="M1679" s="795">
        <v>86</v>
      </c>
      <c r="N1679" s="1212">
        <v>127436880</v>
      </c>
      <c r="O1679" s="795">
        <v>5</v>
      </c>
      <c r="P1679" s="1212">
        <v>99200000</v>
      </c>
      <c r="Q1679" s="1216">
        <v>1</v>
      </c>
      <c r="R1679" s="1212">
        <v>2050000</v>
      </c>
      <c r="S1679" s="1225">
        <v>2</v>
      </c>
      <c r="T1679" s="1212">
        <v>48890000</v>
      </c>
      <c r="U1679" s="1225">
        <v>0</v>
      </c>
      <c r="V1679" s="1225">
        <v>0</v>
      </c>
      <c r="W1679" s="1225">
        <v>0</v>
      </c>
      <c r="X1679" s="1225">
        <v>0</v>
      </c>
      <c r="Y1679" s="1216">
        <f t="shared" si="482"/>
        <v>3</v>
      </c>
      <c r="Z1679" s="1212">
        <f t="shared" si="483"/>
        <v>50940000</v>
      </c>
      <c r="AA1679" s="795">
        <f t="shared" si="484"/>
        <v>89</v>
      </c>
      <c r="AB1679" s="1212">
        <f t="shared" si="485"/>
        <v>178376880</v>
      </c>
      <c r="AC1679" s="1226">
        <f t="shared" si="491"/>
        <v>93.684210526315795</v>
      </c>
      <c r="AD1679" s="1215">
        <f t="shared" ref="AD1679:AD1684" si="492">AB1679/L1679*100</f>
        <v>50.964822857142856</v>
      </c>
      <c r="AE1679" s="794"/>
      <c r="AF1679" s="569"/>
      <c r="AG1679" s="1208"/>
      <c r="AH1679" s="569"/>
      <c r="AI1679" s="569"/>
      <c r="AJ1679" s="569"/>
      <c r="AK1679" s="569"/>
      <c r="AL1679" s="569"/>
      <c r="AM1679" s="569"/>
      <c r="AN1679" s="569"/>
      <c r="AO1679" s="569"/>
      <c r="AP1679" s="569"/>
      <c r="AQ1679" s="569"/>
      <c r="AR1679" s="569"/>
      <c r="AS1679" s="569"/>
      <c r="AT1679" s="569"/>
      <c r="AU1679" s="569"/>
      <c r="AV1679" s="569"/>
      <c r="AW1679" s="569"/>
      <c r="AX1679" s="569"/>
      <c r="AY1679" s="569"/>
      <c r="AZ1679" s="569"/>
      <c r="BA1679" s="569"/>
      <c r="BB1679" s="569"/>
      <c r="BC1679" s="570"/>
      <c r="BD1679" s="570"/>
      <c r="BE1679" s="570"/>
      <c r="BF1679" s="570"/>
      <c r="BG1679" s="570"/>
      <c r="BH1679" s="570"/>
      <c r="BI1679" s="570"/>
      <c r="BJ1679" s="570"/>
      <c r="BK1679" s="570"/>
      <c r="BL1679" s="570"/>
      <c r="BM1679" s="570"/>
      <c r="BN1679" s="570"/>
      <c r="BO1679" s="570"/>
      <c r="BP1679" s="570"/>
      <c r="BQ1679" s="570"/>
    </row>
    <row r="1680" spans="1:69" ht="99">
      <c r="A1680" s="2554">
        <v>5</v>
      </c>
      <c r="B1680" s="44"/>
      <c r="C1680" s="286"/>
      <c r="D1680" s="286"/>
      <c r="E1680" s="286"/>
      <c r="F1680" s="286"/>
      <c r="G1680" s="286"/>
      <c r="H1680" s="286"/>
      <c r="I1680" s="46" t="s">
        <v>2204</v>
      </c>
      <c r="J1680" s="46" t="s">
        <v>3194</v>
      </c>
      <c r="K1680" s="147">
        <v>100</v>
      </c>
      <c r="L1680" s="833">
        <v>2229000000</v>
      </c>
      <c r="M1680" s="147">
        <v>95</v>
      </c>
      <c r="N1680" s="147">
        <f>SUM(N1681:N1683)</f>
        <v>412695831</v>
      </c>
      <c r="O1680" s="147">
        <v>5</v>
      </c>
      <c r="P1680" s="147">
        <f>SUM(P1681:P1683)</f>
        <v>305159000</v>
      </c>
      <c r="Q1680" s="289">
        <v>2</v>
      </c>
      <c r="R1680" s="833">
        <f>SUM(R1681:R1683)</f>
        <v>23838869</v>
      </c>
      <c r="S1680" s="833">
        <f>SUM(S1681:S1683)</f>
        <v>0</v>
      </c>
      <c r="T1680" s="833">
        <f>SUM(T1681:T1683)</f>
        <v>57997166</v>
      </c>
      <c r="U1680" s="833">
        <f t="shared" ref="U1680:X1680" si="493">SUM(U1681:U1683)</f>
        <v>0</v>
      </c>
      <c r="V1680" s="833">
        <f t="shared" si="493"/>
        <v>0</v>
      </c>
      <c r="W1680" s="833">
        <f t="shared" si="493"/>
        <v>0</v>
      </c>
      <c r="X1680" s="833">
        <f t="shared" si="493"/>
        <v>0</v>
      </c>
      <c r="Y1680" s="868">
        <f t="shared" si="482"/>
        <v>2</v>
      </c>
      <c r="Z1680" s="833">
        <f t="shared" si="483"/>
        <v>81836035</v>
      </c>
      <c r="AA1680" s="146">
        <f t="shared" si="484"/>
        <v>97</v>
      </c>
      <c r="AB1680" s="833">
        <f t="shared" si="485"/>
        <v>494531866</v>
      </c>
      <c r="AC1680" s="868">
        <f t="shared" si="491"/>
        <v>97</v>
      </c>
      <c r="AD1680" s="868">
        <f t="shared" si="492"/>
        <v>22.186265859129655</v>
      </c>
      <c r="AE1680" s="2554" t="s">
        <v>223</v>
      </c>
      <c r="AF1680" s="569"/>
      <c r="AG1680" s="1208"/>
      <c r="AH1680" s="569"/>
      <c r="AI1680" s="569"/>
      <c r="AJ1680" s="569"/>
      <c r="AK1680" s="569"/>
      <c r="AL1680" s="569"/>
      <c r="AM1680" s="569"/>
      <c r="AN1680" s="569"/>
      <c r="AO1680" s="569"/>
      <c r="AP1680" s="569"/>
      <c r="AQ1680" s="569"/>
      <c r="AR1680" s="569"/>
      <c r="AS1680" s="569"/>
      <c r="AT1680" s="569"/>
      <c r="AU1680" s="569"/>
      <c r="AV1680" s="569"/>
      <c r="AW1680" s="569"/>
      <c r="AX1680" s="569"/>
      <c r="AY1680" s="569"/>
      <c r="AZ1680" s="569"/>
      <c r="BA1680" s="569"/>
      <c r="BB1680" s="569"/>
      <c r="BC1680" s="570"/>
      <c r="BD1680" s="570"/>
      <c r="BE1680" s="570"/>
      <c r="BF1680" s="570"/>
      <c r="BG1680" s="570"/>
      <c r="BH1680" s="570"/>
      <c r="BI1680" s="570"/>
      <c r="BJ1680" s="570"/>
      <c r="BK1680" s="570"/>
      <c r="BL1680" s="570"/>
      <c r="BM1680" s="570"/>
      <c r="BN1680" s="570"/>
      <c r="BO1680" s="570"/>
      <c r="BP1680" s="570"/>
      <c r="BQ1680" s="570"/>
    </row>
    <row r="1681" spans="1:249" ht="66">
      <c r="A1681" s="794"/>
      <c r="B1681" s="6"/>
      <c r="C1681" s="794"/>
      <c r="D1681" s="794"/>
      <c r="E1681" s="794"/>
      <c r="F1681" s="794"/>
      <c r="G1681" s="794"/>
      <c r="H1681" s="794"/>
      <c r="I1681" s="407" t="s">
        <v>2205</v>
      </c>
      <c r="J1681" s="407" t="s">
        <v>225</v>
      </c>
      <c r="K1681" s="1212">
        <v>72</v>
      </c>
      <c r="L1681" s="1212">
        <v>1254000000</v>
      </c>
      <c r="M1681" s="795">
        <v>25</v>
      </c>
      <c r="N1681" s="1212">
        <v>351708431</v>
      </c>
      <c r="O1681" s="1212">
        <v>12</v>
      </c>
      <c r="P1681" s="1212">
        <v>48725000</v>
      </c>
      <c r="Q1681" s="1225">
        <v>3</v>
      </c>
      <c r="R1681" s="1212">
        <v>4557900</v>
      </c>
      <c r="S1681" s="1225">
        <v>0</v>
      </c>
      <c r="T1681" s="1212">
        <v>7030200</v>
      </c>
      <c r="U1681" s="1225">
        <v>0</v>
      </c>
      <c r="V1681" s="1225">
        <v>0</v>
      </c>
      <c r="W1681" s="1225">
        <v>0</v>
      </c>
      <c r="X1681" s="1225">
        <v>0</v>
      </c>
      <c r="Y1681" s="1216">
        <f t="shared" si="482"/>
        <v>3</v>
      </c>
      <c r="Z1681" s="1212">
        <f t="shared" si="483"/>
        <v>11588100</v>
      </c>
      <c r="AA1681" s="795">
        <f t="shared" si="484"/>
        <v>28</v>
      </c>
      <c r="AB1681" s="1212">
        <f t="shared" si="485"/>
        <v>363296531</v>
      </c>
      <c r="AC1681" s="1215">
        <f t="shared" si="491"/>
        <v>38.888888888888893</v>
      </c>
      <c r="AD1681" s="1215">
        <f t="shared" si="492"/>
        <v>28.971015231259965</v>
      </c>
      <c r="AE1681" s="794"/>
      <c r="AF1681" s="569"/>
      <c r="AG1681" s="1208"/>
      <c r="AH1681" s="569"/>
      <c r="AI1681" s="569"/>
      <c r="AJ1681" s="569"/>
      <c r="AK1681" s="569"/>
      <c r="AL1681" s="569"/>
      <c r="AM1681" s="569"/>
      <c r="AN1681" s="569"/>
      <c r="AO1681" s="569"/>
      <c r="AP1681" s="569"/>
      <c r="AQ1681" s="569"/>
      <c r="AR1681" s="569"/>
      <c r="AS1681" s="569"/>
      <c r="AT1681" s="569"/>
      <c r="AU1681" s="569"/>
      <c r="AV1681" s="569"/>
      <c r="AW1681" s="569"/>
      <c r="AX1681" s="569"/>
      <c r="AY1681" s="569"/>
      <c r="AZ1681" s="569"/>
      <c r="BA1681" s="569"/>
      <c r="BB1681" s="569"/>
      <c r="BC1681" s="570"/>
      <c r="BD1681" s="570"/>
      <c r="BE1681" s="570"/>
      <c r="BF1681" s="570"/>
      <c r="BG1681" s="570"/>
      <c r="BH1681" s="570"/>
      <c r="BI1681" s="570"/>
      <c r="BJ1681" s="570"/>
      <c r="BK1681" s="570"/>
      <c r="BL1681" s="570"/>
      <c r="BM1681" s="570"/>
      <c r="BN1681" s="570"/>
      <c r="BO1681" s="570"/>
      <c r="BP1681" s="570"/>
      <c r="BQ1681" s="570"/>
    </row>
    <row r="1682" spans="1:249" ht="49.5">
      <c r="A1682" s="794"/>
      <c r="B1682" s="6"/>
      <c r="C1682" s="794"/>
      <c r="D1682" s="794"/>
      <c r="E1682" s="794"/>
      <c r="F1682" s="794"/>
      <c r="G1682" s="794"/>
      <c r="H1682" s="794"/>
      <c r="I1682" s="407" t="s">
        <v>2206</v>
      </c>
      <c r="J1682" s="407" t="s">
        <v>2207</v>
      </c>
      <c r="K1682" s="795">
        <v>48</v>
      </c>
      <c r="L1682" s="1212">
        <v>975000000</v>
      </c>
      <c r="M1682" s="795">
        <v>12</v>
      </c>
      <c r="N1682" s="1212">
        <v>60987400</v>
      </c>
      <c r="O1682" s="795">
        <v>12</v>
      </c>
      <c r="P1682" s="1227">
        <v>220184000</v>
      </c>
      <c r="Q1682" s="1225">
        <v>3</v>
      </c>
      <c r="R1682" s="1212">
        <v>16385969</v>
      </c>
      <c r="S1682" s="1225">
        <v>0</v>
      </c>
      <c r="T1682" s="1212">
        <v>37971266</v>
      </c>
      <c r="U1682" s="1225">
        <v>0</v>
      </c>
      <c r="V1682" s="1225">
        <v>0</v>
      </c>
      <c r="W1682" s="1225">
        <v>0</v>
      </c>
      <c r="X1682" s="1225">
        <v>0</v>
      </c>
      <c r="Y1682" s="1216">
        <f t="shared" si="482"/>
        <v>3</v>
      </c>
      <c r="Z1682" s="1228">
        <f t="shared" si="483"/>
        <v>54357235</v>
      </c>
      <c r="AA1682" s="795">
        <f t="shared" si="484"/>
        <v>15</v>
      </c>
      <c r="AB1682" s="1212">
        <f t="shared" si="485"/>
        <v>115344635</v>
      </c>
      <c r="AC1682" s="1215">
        <f t="shared" si="491"/>
        <v>31.25</v>
      </c>
      <c r="AD1682" s="1215">
        <f t="shared" si="492"/>
        <v>11.830218974358974</v>
      </c>
      <c r="AE1682" s="794"/>
      <c r="AF1682" s="569"/>
      <c r="AG1682" s="1208"/>
      <c r="AH1682" s="569"/>
      <c r="AI1682" s="569"/>
      <c r="AJ1682" s="569"/>
      <c r="AK1682" s="569"/>
      <c r="AL1682" s="569"/>
      <c r="AM1682" s="569"/>
      <c r="AN1682" s="569"/>
      <c r="AO1682" s="569"/>
      <c r="AP1682" s="569"/>
      <c r="AQ1682" s="569"/>
      <c r="AR1682" s="569"/>
      <c r="AS1682" s="569"/>
      <c r="AT1682" s="569"/>
      <c r="AU1682" s="569"/>
      <c r="AV1682" s="569"/>
      <c r="AW1682" s="569"/>
      <c r="AX1682" s="569"/>
      <c r="AY1682" s="569"/>
      <c r="AZ1682" s="569"/>
      <c r="BA1682" s="569"/>
      <c r="BB1682" s="569"/>
      <c r="BC1682" s="570"/>
      <c r="BD1682" s="570"/>
      <c r="BE1682" s="570"/>
      <c r="BF1682" s="570"/>
      <c r="BG1682" s="570"/>
      <c r="BH1682" s="570"/>
      <c r="BI1682" s="570"/>
      <c r="BJ1682" s="570"/>
      <c r="BK1682" s="570"/>
      <c r="BL1682" s="570"/>
      <c r="BM1682" s="570"/>
      <c r="BN1682" s="570"/>
      <c r="BO1682" s="570"/>
      <c r="BP1682" s="570"/>
      <c r="BQ1682" s="570"/>
    </row>
    <row r="1683" spans="1:249" ht="66">
      <c r="A1683" s="794"/>
      <c r="B1683" s="6"/>
      <c r="C1683" s="794"/>
      <c r="D1683" s="794"/>
      <c r="E1683" s="794"/>
      <c r="F1683" s="794"/>
      <c r="G1683" s="794"/>
      <c r="H1683" s="794"/>
      <c r="I1683" s="407" t="s">
        <v>2208</v>
      </c>
      <c r="J1683" s="407" t="s">
        <v>225</v>
      </c>
      <c r="K1683" s="795">
        <v>36</v>
      </c>
      <c r="L1683" s="1212">
        <f>3*P1683</f>
        <v>108750000</v>
      </c>
      <c r="M1683" s="795">
        <v>0</v>
      </c>
      <c r="N1683" s="1212">
        <v>0</v>
      </c>
      <c r="O1683" s="795">
        <v>12</v>
      </c>
      <c r="P1683" s="1227">
        <v>36250000</v>
      </c>
      <c r="Q1683" s="1225">
        <v>3</v>
      </c>
      <c r="R1683" s="1212">
        <v>2895000</v>
      </c>
      <c r="S1683" s="1225">
        <v>0</v>
      </c>
      <c r="T1683" s="1212">
        <v>12995700</v>
      </c>
      <c r="U1683" s="1225">
        <v>0</v>
      </c>
      <c r="V1683" s="1225">
        <v>0</v>
      </c>
      <c r="W1683" s="1225">
        <v>0</v>
      </c>
      <c r="X1683" s="1225">
        <v>0</v>
      </c>
      <c r="Y1683" s="1216">
        <f t="shared" si="482"/>
        <v>3</v>
      </c>
      <c r="Z1683" s="1228">
        <f t="shared" si="483"/>
        <v>15890700</v>
      </c>
      <c r="AA1683" s="795">
        <f t="shared" si="484"/>
        <v>3</v>
      </c>
      <c r="AB1683" s="1212">
        <f t="shared" si="485"/>
        <v>15890700</v>
      </c>
      <c r="AC1683" s="1215">
        <f t="shared" si="491"/>
        <v>8.3333333333333321</v>
      </c>
      <c r="AD1683" s="1215">
        <f t="shared" si="492"/>
        <v>14.612137931034482</v>
      </c>
      <c r="AE1683" s="794"/>
      <c r="AF1683" s="870"/>
      <c r="AG1683" s="1208"/>
      <c r="AH1683" s="870"/>
      <c r="AI1683" s="870"/>
      <c r="AJ1683" s="870"/>
      <c r="AK1683" s="870"/>
      <c r="AL1683" s="870"/>
      <c r="AM1683" s="870"/>
      <c r="AN1683" s="870"/>
      <c r="AO1683" s="870"/>
      <c r="AP1683" s="870"/>
      <c r="AQ1683" s="870"/>
      <c r="AR1683" s="870"/>
      <c r="AS1683" s="870"/>
      <c r="AT1683" s="870"/>
      <c r="AU1683" s="870"/>
      <c r="AV1683" s="870"/>
      <c r="AW1683" s="870"/>
      <c r="AX1683" s="870"/>
      <c r="AY1683" s="870"/>
      <c r="AZ1683" s="870"/>
      <c r="BA1683" s="870"/>
      <c r="BB1683" s="870"/>
      <c r="BC1683" s="871"/>
      <c r="BD1683" s="871"/>
      <c r="BE1683" s="871"/>
      <c r="BF1683" s="871"/>
      <c r="BG1683" s="871"/>
      <c r="BH1683" s="871"/>
      <c r="BI1683" s="871"/>
      <c r="BJ1683" s="871"/>
      <c r="BK1683" s="871"/>
      <c r="BL1683" s="871"/>
      <c r="BM1683" s="871"/>
      <c r="BN1683" s="871"/>
      <c r="BO1683" s="871"/>
      <c r="BP1683" s="871"/>
      <c r="BQ1683" s="871"/>
    </row>
    <row r="1684" spans="1:249" ht="66">
      <c r="A1684" s="1322">
        <v>8</v>
      </c>
      <c r="B1684" s="1339"/>
      <c r="C1684" s="1322"/>
      <c r="D1684" s="1322"/>
      <c r="E1684" s="1322"/>
      <c r="F1684" s="1322"/>
      <c r="G1684" s="1322"/>
      <c r="H1684" s="1322"/>
      <c r="I1684" s="1339" t="s">
        <v>2209</v>
      </c>
      <c r="J1684" s="46" t="s">
        <v>3195</v>
      </c>
      <c r="K1684" s="289">
        <v>100</v>
      </c>
      <c r="L1684" s="833">
        <v>8790000000</v>
      </c>
      <c r="M1684" s="289">
        <v>95</v>
      </c>
      <c r="N1684" s="833">
        <f>SUM(N1688:N1697)</f>
        <v>2600852639</v>
      </c>
      <c r="O1684" s="289">
        <v>5</v>
      </c>
      <c r="P1684" s="833">
        <f>SUM(P1688:P1697)</f>
        <v>754868198</v>
      </c>
      <c r="Q1684" s="289">
        <v>1</v>
      </c>
      <c r="R1684" s="833">
        <f>SUM(R1688:R1697)</f>
        <v>111128988</v>
      </c>
      <c r="S1684" s="833">
        <f>SUM(S1688:S1697)</f>
        <v>8.8000000000000007</v>
      </c>
      <c r="T1684" s="833">
        <f>SUM(T1688:T1697)</f>
        <v>114020139</v>
      </c>
      <c r="U1684" s="833">
        <f t="shared" ref="U1684:X1684" si="494">SUM(U1688:U1697)</f>
        <v>0</v>
      </c>
      <c r="V1684" s="833">
        <f t="shared" si="494"/>
        <v>0</v>
      </c>
      <c r="W1684" s="833">
        <f t="shared" si="494"/>
        <v>0</v>
      </c>
      <c r="X1684" s="833">
        <f t="shared" si="494"/>
        <v>0</v>
      </c>
      <c r="Y1684" s="289">
        <f t="shared" si="482"/>
        <v>9.8000000000000007</v>
      </c>
      <c r="Z1684" s="833">
        <f t="shared" si="483"/>
        <v>225149127</v>
      </c>
      <c r="AA1684" s="289">
        <f t="shared" si="484"/>
        <v>104.8</v>
      </c>
      <c r="AB1684" s="833">
        <f t="shared" si="485"/>
        <v>2826001766</v>
      </c>
      <c r="AC1684" s="834">
        <f t="shared" si="491"/>
        <v>104.80000000000001</v>
      </c>
      <c r="AD1684" s="834">
        <f t="shared" si="492"/>
        <v>32.150190739476677</v>
      </c>
      <c r="AE1684" s="1322" t="s">
        <v>223</v>
      </c>
      <c r="AF1684" s="569"/>
      <c r="AG1684" s="1208"/>
      <c r="AH1684" s="569"/>
      <c r="AI1684" s="569"/>
      <c r="AJ1684" s="569"/>
      <c r="AK1684" s="569"/>
      <c r="AL1684" s="569"/>
      <c r="AM1684" s="569"/>
      <c r="AN1684" s="569"/>
      <c r="AO1684" s="569"/>
      <c r="AP1684" s="569"/>
      <c r="AQ1684" s="569"/>
      <c r="AR1684" s="569"/>
      <c r="AS1684" s="569"/>
      <c r="AT1684" s="569"/>
      <c r="AU1684" s="569"/>
      <c r="AV1684" s="569"/>
      <c r="AW1684" s="569"/>
      <c r="AX1684" s="569"/>
      <c r="AY1684" s="569"/>
      <c r="AZ1684" s="569"/>
      <c r="BA1684" s="569"/>
      <c r="BB1684" s="569"/>
      <c r="BC1684" s="570"/>
      <c r="BD1684" s="570"/>
      <c r="BE1684" s="570"/>
      <c r="BF1684" s="570"/>
      <c r="BG1684" s="570"/>
      <c r="BH1684" s="570"/>
      <c r="BI1684" s="570"/>
      <c r="BJ1684" s="570"/>
      <c r="BK1684" s="570"/>
      <c r="BL1684" s="570"/>
      <c r="BM1684" s="570"/>
      <c r="BN1684" s="570"/>
      <c r="BO1684" s="570"/>
      <c r="BP1684" s="570"/>
      <c r="BQ1684" s="570"/>
    </row>
    <row r="1685" spans="1:249" ht="33">
      <c r="A1685" s="1325"/>
      <c r="B1685" s="1874"/>
      <c r="C1685" s="1325"/>
      <c r="D1685" s="1325"/>
      <c r="E1685" s="1325"/>
      <c r="F1685" s="1325"/>
      <c r="G1685" s="1325"/>
      <c r="H1685" s="1325"/>
      <c r="I1685" s="1874"/>
      <c r="J1685" s="46" t="s">
        <v>3196</v>
      </c>
      <c r="K1685" s="289" t="s">
        <v>3074</v>
      </c>
      <c r="L1685" s="833"/>
      <c r="M1685" s="289" t="s">
        <v>3074</v>
      </c>
      <c r="N1685" s="833"/>
      <c r="O1685" s="289" t="s">
        <v>3074</v>
      </c>
      <c r="P1685" s="833"/>
      <c r="Q1685" s="289" t="s">
        <v>3074</v>
      </c>
      <c r="R1685" s="833"/>
      <c r="S1685" s="833"/>
      <c r="T1685" s="833"/>
      <c r="U1685" s="833"/>
      <c r="V1685" s="833"/>
      <c r="W1685" s="833"/>
      <c r="X1685" s="833"/>
      <c r="Y1685" s="289" t="s">
        <v>3074</v>
      </c>
      <c r="Z1685" s="833"/>
      <c r="AA1685" s="289" t="s">
        <v>3074</v>
      </c>
      <c r="AB1685" s="833"/>
      <c r="AC1685" s="834">
        <v>100</v>
      </c>
      <c r="AD1685" s="834"/>
      <c r="AE1685" s="1325"/>
      <c r="AF1685" s="569"/>
      <c r="AG1685" s="1208"/>
      <c r="AH1685" s="569"/>
      <c r="AI1685" s="569"/>
      <c r="AJ1685" s="569"/>
      <c r="AK1685" s="569"/>
      <c r="AL1685" s="569"/>
      <c r="AM1685" s="569"/>
      <c r="AN1685" s="569"/>
      <c r="AO1685" s="569"/>
      <c r="AP1685" s="569"/>
      <c r="AQ1685" s="569"/>
      <c r="AR1685" s="569"/>
      <c r="AS1685" s="569"/>
      <c r="AT1685" s="569"/>
      <c r="AU1685" s="569"/>
      <c r="AV1685" s="569"/>
      <c r="AW1685" s="569"/>
      <c r="AX1685" s="569"/>
      <c r="AY1685" s="569"/>
      <c r="AZ1685" s="569"/>
      <c r="BA1685" s="569"/>
      <c r="BB1685" s="569"/>
      <c r="BC1685" s="570"/>
      <c r="BD1685" s="570"/>
      <c r="BE1685" s="570"/>
      <c r="BF1685" s="570"/>
      <c r="BG1685" s="570"/>
      <c r="BH1685" s="570"/>
      <c r="BI1685" s="570"/>
      <c r="BJ1685" s="570"/>
      <c r="BK1685" s="570"/>
      <c r="BL1685" s="570"/>
      <c r="BM1685" s="570"/>
      <c r="BN1685" s="570"/>
      <c r="BO1685" s="570"/>
      <c r="BP1685" s="570"/>
      <c r="BQ1685" s="570"/>
    </row>
    <row r="1686" spans="1:249" ht="33">
      <c r="A1686" s="1325"/>
      <c r="B1686" s="1874"/>
      <c r="C1686" s="1325"/>
      <c r="D1686" s="1325"/>
      <c r="E1686" s="1325"/>
      <c r="F1686" s="1325"/>
      <c r="G1686" s="1325"/>
      <c r="H1686" s="1325"/>
      <c r="I1686" s="1874"/>
      <c r="J1686" s="46" t="s">
        <v>3197</v>
      </c>
      <c r="K1686" s="289" t="s">
        <v>3074</v>
      </c>
      <c r="L1686" s="833"/>
      <c r="M1686" s="289" t="s">
        <v>3074</v>
      </c>
      <c r="N1686" s="833"/>
      <c r="O1686" s="289" t="s">
        <v>3074</v>
      </c>
      <c r="P1686" s="833"/>
      <c r="Q1686" s="289" t="s">
        <v>3074</v>
      </c>
      <c r="R1686" s="833"/>
      <c r="S1686" s="833"/>
      <c r="T1686" s="833"/>
      <c r="U1686" s="833"/>
      <c r="V1686" s="833"/>
      <c r="W1686" s="833"/>
      <c r="X1686" s="833"/>
      <c r="Y1686" s="289" t="s">
        <v>3074</v>
      </c>
      <c r="Z1686" s="833"/>
      <c r="AA1686" s="289" t="s">
        <v>3074</v>
      </c>
      <c r="AB1686" s="833"/>
      <c r="AC1686" s="834">
        <v>100</v>
      </c>
      <c r="AD1686" s="834"/>
      <c r="AE1686" s="1325"/>
      <c r="AF1686" s="569"/>
      <c r="AG1686" s="1208"/>
      <c r="AH1686" s="569"/>
      <c r="AI1686" s="569"/>
      <c r="AJ1686" s="569"/>
      <c r="AK1686" s="569"/>
      <c r="AL1686" s="569"/>
      <c r="AM1686" s="569"/>
      <c r="AN1686" s="569"/>
      <c r="AO1686" s="569"/>
      <c r="AP1686" s="569"/>
      <c r="AQ1686" s="569"/>
      <c r="AR1686" s="569"/>
      <c r="AS1686" s="569"/>
      <c r="AT1686" s="569"/>
      <c r="AU1686" s="569"/>
      <c r="AV1686" s="569"/>
      <c r="AW1686" s="569"/>
      <c r="AX1686" s="569"/>
      <c r="AY1686" s="569"/>
      <c r="AZ1686" s="569"/>
      <c r="BA1686" s="569"/>
      <c r="BB1686" s="569"/>
      <c r="BC1686" s="570"/>
      <c r="BD1686" s="570"/>
      <c r="BE1686" s="570"/>
      <c r="BF1686" s="570"/>
      <c r="BG1686" s="570"/>
      <c r="BH1686" s="570"/>
      <c r="BI1686" s="570"/>
      <c r="BJ1686" s="570"/>
      <c r="BK1686" s="570"/>
      <c r="BL1686" s="570"/>
      <c r="BM1686" s="570"/>
      <c r="BN1686" s="570"/>
      <c r="BO1686" s="570"/>
      <c r="BP1686" s="570"/>
      <c r="BQ1686" s="570"/>
    </row>
    <row r="1687" spans="1:249">
      <c r="A1687" s="1171"/>
      <c r="B1687" s="518"/>
      <c r="C1687" s="1171"/>
      <c r="D1687" s="1171"/>
      <c r="E1687" s="1171"/>
      <c r="F1687" s="1171"/>
      <c r="G1687" s="1171"/>
      <c r="H1687" s="1171"/>
      <c r="I1687" s="518"/>
      <c r="J1687" s="46" t="s">
        <v>3198</v>
      </c>
      <c r="K1687" s="289" t="s">
        <v>3074</v>
      </c>
      <c r="L1687" s="833"/>
      <c r="M1687" s="289" t="s">
        <v>3074</v>
      </c>
      <c r="N1687" s="833"/>
      <c r="O1687" s="289" t="s">
        <v>3074</v>
      </c>
      <c r="P1687" s="833"/>
      <c r="Q1687" s="289"/>
      <c r="R1687" s="833"/>
      <c r="S1687" s="833"/>
      <c r="T1687" s="833"/>
      <c r="U1687" s="833"/>
      <c r="V1687" s="833"/>
      <c r="W1687" s="833"/>
      <c r="X1687" s="833"/>
      <c r="Y1687" s="289"/>
      <c r="Z1687" s="833"/>
      <c r="AA1687" s="289"/>
      <c r="AB1687" s="833"/>
      <c r="AC1687" s="834">
        <v>70</v>
      </c>
      <c r="AD1687" s="834"/>
      <c r="AE1687" s="1171"/>
      <c r="AF1687" s="569"/>
      <c r="AG1687" s="1208"/>
      <c r="AH1687" s="569"/>
      <c r="AI1687" s="569"/>
      <c r="AJ1687" s="569"/>
      <c r="AK1687" s="569"/>
      <c r="AL1687" s="569"/>
      <c r="AM1687" s="569"/>
      <c r="AN1687" s="569"/>
      <c r="AO1687" s="569"/>
      <c r="AP1687" s="569"/>
      <c r="AQ1687" s="569"/>
      <c r="AR1687" s="569"/>
      <c r="AS1687" s="569"/>
      <c r="AT1687" s="569"/>
      <c r="AU1687" s="569"/>
      <c r="AV1687" s="569"/>
      <c r="AW1687" s="569"/>
      <c r="AX1687" s="569"/>
      <c r="AY1687" s="569"/>
      <c r="AZ1687" s="569"/>
      <c r="BA1687" s="569"/>
      <c r="BB1687" s="569"/>
      <c r="BC1687" s="570"/>
      <c r="BD1687" s="570"/>
      <c r="BE1687" s="570"/>
      <c r="BF1687" s="570"/>
      <c r="BG1687" s="570"/>
      <c r="BH1687" s="570"/>
      <c r="BI1687" s="570"/>
      <c r="BJ1687" s="570"/>
      <c r="BK1687" s="570"/>
      <c r="BL1687" s="570"/>
      <c r="BM1687" s="570"/>
      <c r="BN1687" s="570"/>
      <c r="BO1687" s="570"/>
      <c r="BP1687" s="570"/>
      <c r="BQ1687" s="570"/>
    </row>
    <row r="1688" spans="1:249" ht="49.5">
      <c r="A1688" s="794"/>
      <c r="B1688" s="6"/>
      <c r="C1688" s="794"/>
      <c r="D1688" s="794"/>
      <c r="E1688" s="794"/>
      <c r="F1688" s="794"/>
      <c r="G1688" s="794"/>
      <c r="H1688" s="794"/>
      <c r="I1688" s="407" t="s">
        <v>2210</v>
      </c>
      <c r="J1688" s="6" t="s">
        <v>2211</v>
      </c>
      <c r="K1688" s="795">
        <v>6</v>
      </c>
      <c r="L1688" s="1212">
        <v>1050000000</v>
      </c>
      <c r="M1688" s="795">
        <v>3</v>
      </c>
      <c r="N1688" s="1212">
        <v>389208906</v>
      </c>
      <c r="O1688" s="1228">
        <v>1</v>
      </c>
      <c r="P1688" s="1212">
        <v>136925000</v>
      </c>
      <c r="Q1688" s="1229">
        <v>1</v>
      </c>
      <c r="R1688" s="1212">
        <v>65007638</v>
      </c>
      <c r="S1688" s="1229">
        <v>0</v>
      </c>
      <c r="T1688" s="1228">
        <v>45402600</v>
      </c>
      <c r="U1688" s="1229">
        <v>0</v>
      </c>
      <c r="V1688" s="1229">
        <v>0</v>
      </c>
      <c r="W1688" s="1229">
        <v>0</v>
      </c>
      <c r="X1688" s="1229">
        <v>0</v>
      </c>
      <c r="Y1688" s="1211">
        <f t="shared" ref="Y1688:Y1706" si="495">Q1688+S1688+U1688+W1688</f>
        <v>1</v>
      </c>
      <c r="Z1688" s="1212">
        <f t="shared" ref="Z1688:Z1706" si="496">R1688+T1688+V1688+X1688</f>
        <v>110410238</v>
      </c>
      <c r="AA1688" s="795">
        <f t="shared" ref="AA1688:AA1706" si="497">M1688+Y1688</f>
        <v>4</v>
      </c>
      <c r="AB1688" s="1212">
        <f t="shared" ref="AB1688:AB1706" si="498">N1688+Z1688</f>
        <v>499619144</v>
      </c>
      <c r="AC1688" s="1224">
        <f t="shared" ref="AC1688:AC1706" si="499">AA1688/K1688*100</f>
        <v>66.666666666666657</v>
      </c>
      <c r="AD1688" s="1224">
        <f t="shared" ref="AD1688:AD1706" si="500">AB1688/L1688*100</f>
        <v>47.582775619047617</v>
      </c>
      <c r="AE1688" s="794"/>
      <c r="AF1688" s="569"/>
      <c r="AG1688" s="1208"/>
      <c r="AH1688" s="569"/>
      <c r="AI1688" s="569"/>
      <c r="AJ1688" s="569"/>
      <c r="AK1688" s="569"/>
      <c r="AL1688" s="569"/>
      <c r="AM1688" s="569"/>
      <c r="AN1688" s="569"/>
      <c r="AO1688" s="569"/>
      <c r="AP1688" s="569"/>
      <c r="AQ1688" s="569"/>
      <c r="AR1688" s="569"/>
      <c r="AS1688" s="569"/>
      <c r="AT1688" s="569"/>
      <c r="AU1688" s="569"/>
      <c r="AV1688" s="569"/>
      <c r="AW1688" s="569"/>
      <c r="AX1688" s="569"/>
      <c r="AY1688" s="569"/>
      <c r="AZ1688" s="569"/>
      <c r="BA1688" s="569"/>
      <c r="BB1688" s="569"/>
      <c r="BC1688" s="570"/>
      <c r="BD1688" s="570"/>
      <c r="BE1688" s="570"/>
      <c r="BF1688" s="570"/>
      <c r="BG1688" s="570"/>
      <c r="BH1688" s="570"/>
      <c r="BI1688" s="570"/>
      <c r="BJ1688" s="570"/>
      <c r="BK1688" s="570"/>
      <c r="BL1688" s="570"/>
      <c r="BM1688" s="570"/>
      <c r="BN1688" s="570"/>
      <c r="BO1688" s="570"/>
      <c r="BP1688" s="570"/>
      <c r="BQ1688" s="570"/>
    </row>
    <row r="1689" spans="1:249" ht="33">
      <c r="A1689" s="794"/>
      <c r="B1689" s="6"/>
      <c r="C1689" s="794"/>
      <c r="D1689" s="794"/>
      <c r="E1689" s="794"/>
      <c r="F1689" s="794"/>
      <c r="G1689" s="794"/>
      <c r="H1689" s="794"/>
      <c r="I1689" s="407" t="s">
        <v>2212</v>
      </c>
      <c r="J1689" s="6" t="s">
        <v>2213</v>
      </c>
      <c r="K1689" s="795">
        <v>6</v>
      </c>
      <c r="L1689" s="1212">
        <v>700000000</v>
      </c>
      <c r="M1689" s="795">
        <v>3</v>
      </c>
      <c r="N1689" s="1212">
        <v>254922717.99999997</v>
      </c>
      <c r="O1689" s="1228">
        <v>1</v>
      </c>
      <c r="P1689" s="1212">
        <v>58141598</v>
      </c>
      <c r="Q1689" s="1230">
        <v>0.7</v>
      </c>
      <c r="R1689" s="1212">
        <v>18372550</v>
      </c>
      <c r="S1689" s="1229">
        <v>0.8</v>
      </c>
      <c r="T1689" s="1228">
        <v>15214350</v>
      </c>
      <c r="U1689" s="1229">
        <v>0</v>
      </c>
      <c r="V1689" s="1229">
        <v>0</v>
      </c>
      <c r="W1689" s="1229">
        <v>0</v>
      </c>
      <c r="X1689" s="1229">
        <v>0</v>
      </c>
      <c r="Y1689" s="1231">
        <f t="shared" si="495"/>
        <v>1.5</v>
      </c>
      <c r="Z1689" s="1212">
        <f t="shared" si="496"/>
        <v>33586900</v>
      </c>
      <c r="AA1689" s="795">
        <f t="shared" si="497"/>
        <v>4.5</v>
      </c>
      <c r="AB1689" s="1212">
        <f t="shared" si="498"/>
        <v>288509618</v>
      </c>
      <c r="AC1689" s="1224">
        <f t="shared" si="499"/>
        <v>75</v>
      </c>
      <c r="AD1689" s="1224">
        <f t="shared" si="500"/>
        <v>41.215659714285714</v>
      </c>
      <c r="AE1689" s="794"/>
      <c r="AF1689" s="870"/>
      <c r="AG1689" s="1208"/>
      <c r="AH1689" s="870"/>
      <c r="AI1689" s="870"/>
      <c r="AJ1689" s="870"/>
      <c r="AK1689" s="870"/>
      <c r="AL1689" s="870"/>
      <c r="AM1689" s="870"/>
      <c r="AN1689" s="870"/>
      <c r="AO1689" s="870"/>
      <c r="AP1689" s="870"/>
      <c r="AQ1689" s="870"/>
      <c r="AR1689" s="870"/>
      <c r="AS1689" s="870"/>
      <c r="AT1689" s="870"/>
      <c r="AU1689" s="870"/>
      <c r="AV1689" s="870"/>
      <c r="AW1689" s="870"/>
      <c r="AX1689" s="870"/>
      <c r="AY1689" s="870"/>
      <c r="AZ1689" s="870"/>
      <c r="BA1689" s="870"/>
      <c r="BB1689" s="870"/>
      <c r="BC1689" s="871"/>
      <c r="BD1689" s="871"/>
      <c r="BE1689" s="871"/>
      <c r="BF1689" s="871"/>
      <c r="BG1689" s="871"/>
      <c r="BH1689" s="871"/>
      <c r="BI1689" s="871"/>
      <c r="BJ1689" s="871"/>
      <c r="BK1689" s="871"/>
      <c r="BL1689" s="871"/>
      <c r="BM1689" s="871"/>
      <c r="BN1689" s="871"/>
      <c r="BO1689" s="871"/>
      <c r="BP1689" s="871"/>
      <c r="BQ1689" s="871"/>
    </row>
    <row r="1690" spans="1:249" ht="49.5">
      <c r="A1690" s="794"/>
      <c r="B1690" s="6"/>
      <c r="C1690" s="794"/>
      <c r="D1690" s="794"/>
      <c r="E1690" s="794"/>
      <c r="F1690" s="794"/>
      <c r="G1690" s="794"/>
      <c r="H1690" s="794"/>
      <c r="I1690" s="407" t="s">
        <v>2214</v>
      </c>
      <c r="J1690" s="6" t="s">
        <v>3199</v>
      </c>
      <c r="K1690" s="795">
        <v>12</v>
      </c>
      <c r="L1690" s="1212">
        <v>1190000000</v>
      </c>
      <c r="M1690" s="795">
        <v>6</v>
      </c>
      <c r="N1690" s="1212">
        <v>334361315</v>
      </c>
      <c r="O1690" s="1228">
        <v>2</v>
      </c>
      <c r="P1690" s="1212">
        <v>34505000</v>
      </c>
      <c r="Q1690" s="1230">
        <v>0</v>
      </c>
      <c r="R1690" s="1212">
        <v>0</v>
      </c>
      <c r="S1690" s="1229">
        <v>0</v>
      </c>
      <c r="T1690" s="1228">
        <v>4053000</v>
      </c>
      <c r="U1690" s="1229">
        <v>0</v>
      </c>
      <c r="V1690" s="1229">
        <v>0</v>
      </c>
      <c r="W1690" s="1229">
        <v>0</v>
      </c>
      <c r="X1690" s="1229">
        <v>0</v>
      </c>
      <c r="Y1690" s="1214">
        <f t="shared" si="495"/>
        <v>0</v>
      </c>
      <c r="Z1690" s="1212">
        <f t="shared" si="496"/>
        <v>4053000</v>
      </c>
      <c r="AA1690" s="795">
        <f t="shared" si="497"/>
        <v>6</v>
      </c>
      <c r="AB1690" s="1212">
        <f t="shared" si="498"/>
        <v>338414315</v>
      </c>
      <c r="AC1690" s="1224">
        <f t="shared" si="499"/>
        <v>50</v>
      </c>
      <c r="AD1690" s="1224">
        <f t="shared" si="500"/>
        <v>28.438177731092434</v>
      </c>
      <c r="AE1690" s="794"/>
      <c r="AF1690" s="569"/>
      <c r="AG1690" s="1208"/>
      <c r="AH1690" s="569"/>
      <c r="AI1690" s="569"/>
      <c r="AJ1690" s="569"/>
      <c r="AK1690" s="569"/>
      <c r="AL1690" s="569"/>
      <c r="AM1690" s="569"/>
      <c r="AN1690" s="569"/>
      <c r="AO1690" s="569"/>
      <c r="AP1690" s="569"/>
      <c r="AQ1690" s="569"/>
      <c r="AR1690" s="569"/>
      <c r="AS1690" s="569"/>
      <c r="AT1690" s="569"/>
      <c r="AU1690" s="569"/>
      <c r="AV1690" s="569"/>
      <c r="AW1690" s="569"/>
      <c r="AX1690" s="569"/>
      <c r="AY1690" s="569"/>
      <c r="AZ1690" s="569"/>
      <c r="BA1690" s="569"/>
      <c r="BB1690" s="569"/>
      <c r="BC1690" s="570"/>
      <c r="BD1690" s="570"/>
      <c r="BE1690" s="570"/>
      <c r="BF1690" s="570"/>
      <c r="BG1690" s="570"/>
      <c r="BH1690" s="570"/>
      <c r="BI1690" s="570"/>
      <c r="BJ1690" s="570"/>
      <c r="BK1690" s="570"/>
      <c r="BL1690" s="570"/>
      <c r="BM1690" s="570"/>
      <c r="BN1690" s="570"/>
      <c r="BO1690" s="570"/>
      <c r="BP1690" s="570"/>
      <c r="BQ1690" s="570"/>
      <c r="BR1690" s="570"/>
      <c r="BS1690" s="1232"/>
      <c r="BT1690" s="1232"/>
      <c r="BU1690" s="1232"/>
      <c r="BV1690" s="1232"/>
      <c r="BW1690" s="1232"/>
      <c r="BX1690" s="1232"/>
      <c r="BY1690" s="1232"/>
      <c r="BZ1690" s="1232"/>
      <c r="CA1690" s="1232"/>
      <c r="CB1690" s="1232"/>
      <c r="CC1690" s="1232"/>
      <c r="CD1690" s="1232"/>
      <c r="CE1690" s="1232"/>
      <c r="CF1690" s="1232"/>
      <c r="CG1690" s="1232"/>
      <c r="CH1690" s="1232"/>
      <c r="CI1690" s="1232"/>
      <c r="CJ1690" s="1232"/>
      <c r="CK1690" s="1232"/>
      <c r="CL1690" s="1232"/>
      <c r="CM1690" s="1232"/>
      <c r="CN1690" s="1232"/>
      <c r="CO1690" s="1232"/>
      <c r="CP1690" s="1232"/>
      <c r="CQ1690" s="1232"/>
      <c r="CR1690" s="1232"/>
      <c r="CS1690" s="1232"/>
      <c r="CT1690" s="1232"/>
      <c r="CU1690" s="1232"/>
      <c r="CV1690" s="1232"/>
      <c r="CW1690" s="1232"/>
      <c r="CX1690" s="1232"/>
      <c r="CY1690" s="1232"/>
      <c r="CZ1690" s="1232"/>
      <c r="DA1690" s="1232"/>
      <c r="DB1690" s="1232"/>
      <c r="DC1690" s="1232"/>
      <c r="DD1690" s="1232"/>
      <c r="DE1690" s="1232"/>
      <c r="DF1690" s="1232"/>
      <c r="DG1690" s="1232"/>
      <c r="DH1690" s="1232"/>
      <c r="DI1690" s="1232"/>
      <c r="DJ1690" s="1232"/>
      <c r="DK1690" s="1232"/>
      <c r="DL1690" s="1232"/>
      <c r="DM1690" s="1232"/>
      <c r="DN1690" s="1232"/>
      <c r="DO1690" s="1232"/>
      <c r="DP1690" s="1232"/>
      <c r="DQ1690" s="1232"/>
      <c r="DR1690" s="1232"/>
      <c r="DS1690" s="1232"/>
      <c r="DT1690" s="1232"/>
      <c r="DU1690" s="1232"/>
      <c r="DV1690" s="1232"/>
      <c r="DW1690" s="1232"/>
      <c r="DX1690" s="1232"/>
      <c r="DY1690" s="1232"/>
      <c r="DZ1690" s="1232"/>
      <c r="EA1690" s="1232"/>
      <c r="EB1690" s="1232"/>
      <c r="EC1690" s="1232"/>
      <c r="ED1690" s="1232"/>
      <c r="EE1690" s="1232"/>
      <c r="EF1690" s="1232"/>
      <c r="EG1690" s="1232"/>
      <c r="EH1690" s="1232"/>
      <c r="EI1690" s="1232"/>
      <c r="EJ1690" s="1232"/>
      <c r="EK1690" s="1232"/>
      <c r="EL1690" s="1232"/>
      <c r="EM1690" s="1232"/>
      <c r="EN1690" s="1232"/>
      <c r="EO1690" s="1232"/>
      <c r="EP1690" s="1232"/>
      <c r="EQ1690" s="1232"/>
      <c r="ER1690" s="1232"/>
      <c r="ES1690" s="1232"/>
      <c r="ET1690" s="1232"/>
      <c r="EU1690" s="1232"/>
      <c r="EV1690" s="1232"/>
      <c r="EW1690" s="1232"/>
      <c r="EX1690" s="1232"/>
      <c r="EY1690" s="1232"/>
      <c r="EZ1690" s="1232"/>
      <c r="FA1690" s="1232"/>
      <c r="FB1690" s="1232"/>
      <c r="FC1690" s="1232"/>
      <c r="FD1690" s="1232"/>
      <c r="FE1690" s="1232"/>
      <c r="FF1690" s="1232"/>
      <c r="FG1690" s="1232"/>
      <c r="FH1690" s="1232"/>
      <c r="FI1690" s="1232"/>
      <c r="FJ1690" s="1232"/>
      <c r="FK1690" s="1232"/>
      <c r="FL1690" s="1232"/>
      <c r="FM1690" s="1232"/>
      <c r="FN1690" s="1232"/>
      <c r="FO1690" s="1232"/>
      <c r="FP1690" s="1232"/>
      <c r="FQ1690" s="1232"/>
      <c r="FR1690" s="1232"/>
      <c r="FS1690" s="1232"/>
      <c r="FT1690" s="1232"/>
      <c r="FU1690" s="1232"/>
      <c r="FV1690" s="1232"/>
      <c r="FW1690" s="1232"/>
      <c r="FX1690" s="1232"/>
      <c r="FY1690" s="1232"/>
      <c r="FZ1690" s="1232"/>
      <c r="GA1690" s="1232"/>
      <c r="GB1690" s="1232"/>
      <c r="GC1690" s="1232"/>
      <c r="GD1690" s="1232"/>
      <c r="GE1690" s="1232"/>
      <c r="GF1690" s="1232"/>
      <c r="GG1690" s="1232"/>
      <c r="GH1690" s="1232"/>
      <c r="GI1690" s="1232"/>
      <c r="GJ1690" s="1232"/>
      <c r="GK1690" s="1232"/>
      <c r="GL1690" s="1232"/>
      <c r="GM1690" s="1232"/>
      <c r="GN1690" s="1232"/>
      <c r="GO1690" s="1232"/>
      <c r="GP1690" s="1232"/>
      <c r="GQ1690" s="1232"/>
      <c r="GR1690" s="1232"/>
      <c r="GS1690" s="1232"/>
      <c r="GT1690" s="1232"/>
      <c r="GU1690" s="1232"/>
      <c r="GV1690" s="1232"/>
      <c r="GW1690" s="1232"/>
      <c r="GX1690" s="1232"/>
      <c r="GY1690" s="1232"/>
      <c r="GZ1690" s="1232"/>
      <c r="HA1690" s="1232"/>
      <c r="HB1690" s="1232"/>
      <c r="HC1690" s="1232"/>
      <c r="HD1690" s="1232"/>
      <c r="HE1690" s="1232"/>
      <c r="HF1690" s="1232"/>
      <c r="HG1690" s="1232"/>
      <c r="HH1690" s="1232"/>
      <c r="HI1690" s="1232"/>
      <c r="HJ1690" s="1232"/>
      <c r="HK1690" s="1232"/>
      <c r="HL1690" s="1232"/>
      <c r="HM1690" s="1232"/>
      <c r="HN1690" s="1232"/>
      <c r="HO1690" s="1232"/>
      <c r="HP1690" s="1232"/>
      <c r="HQ1690" s="1232"/>
      <c r="HR1690" s="1232"/>
      <c r="HS1690" s="1232"/>
      <c r="HT1690" s="1232"/>
      <c r="HU1690" s="1232"/>
      <c r="HV1690" s="1232"/>
      <c r="HW1690" s="1232"/>
      <c r="HX1690" s="1232"/>
      <c r="HY1690" s="1232"/>
      <c r="HZ1690" s="1232"/>
      <c r="IA1690" s="1232"/>
      <c r="IB1690" s="1232"/>
      <c r="IC1690" s="1232"/>
      <c r="ID1690" s="1232"/>
      <c r="IE1690" s="1232"/>
      <c r="IF1690" s="1232"/>
      <c r="IG1690" s="1232"/>
      <c r="IH1690" s="1232"/>
      <c r="II1690" s="1232"/>
      <c r="IJ1690" s="1232"/>
      <c r="IK1690" s="1232"/>
      <c r="IL1690" s="1232"/>
      <c r="IM1690" s="1232"/>
      <c r="IN1690" s="1232"/>
      <c r="IO1690" s="1232"/>
    </row>
    <row r="1691" spans="1:249" ht="49.5">
      <c r="A1691" s="794"/>
      <c r="B1691" s="6"/>
      <c r="C1691" s="794"/>
      <c r="D1691" s="794"/>
      <c r="E1691" s="794"/>
      <c r="F1691" s="794"/>
      <c r="G1691" s="794"/>
      <c r="H1691" s="794"/>
      <c r="I1691" s="407" t="s">
        <v>2215</v>
      </c>
      <c r="J1691" s="6" t="s">
        <v>3200</v>
      </c>
      <c r="K1691" s="795">
        <v>12</v>
      </c>
      <c r="L1691" s="1212">
        <v>1190000000</v>
      </c>
      <c r="M1691" s="795">
        <v>6</v>
      </c>
      <c r="N1691" s="1212">
        <v>303454960</v>
      </c>
      <c r="O1691" s="1228">
        <v>2</v>
      </c>
      <c r="P1691" s="1212">
        <v>34330000</v>
      </c>
      <c r="Q1691" s="1230">
        <v>0</v>
      </c>
      <c r="R1691" s="1212">
        <v>0</v>
      </c>
      <c r="S1691" s="1229">
        <v>0</v>
      </c>
      <c r="T1691" s="1228">
        <v>240000</v>
      </c>
      <c r="U1691" s="1229">
        <v>0</v>
      </c>
      <c r="V1691" s="1229">
        <v>0</v>
      </c>
      <c r="W1691" s="1229">
        <v>0</v>
      </c>
      <c r="X1691" s="1229">
        <v>0</v>
      </c>
      <c r="Y1691" s="1211">
        <f t="shared" si="495"/>
        <v>0</v>
      </c>
      <c r="Z1691" s="1212">
        <f t="shared" si="496"/>
        <v>240000</v>
      </c>
      <c r="AA1691" s="795">
        <f t="shared" si="497"/>
        <v>6</v>
      </c>
      <c r="AB1691" s="1212">
        <f t="shared" si="498"/>
        <v>303694960</v>
      </c>
      <c r="AC1691" s="1224">
        <f t="shared" si="499"/>
        <v>50</v>
      </c>
      <c r="AD1691" s="1224">
        <f t="shared" si="500"/>
        <v>25.520584873949581</v>
      </c>
      <c r="AE1691" s="794"/>
      <c r="AF1691" s="870"/>
      <c r="AG1691" s="1208"/>
      <c r="AH1691" s="870"/>
      <c r="AI1691" s="870"/>
      <c r="AJ1691" s="870"/>
      <c r="AK1691" s="870"/>
      <c r="AL1691" s="870"/>
      <c r="AM1691" s="870"/>
      <c r="AN1691" s="870"/>
      <c r="AO1691" s="870"/>
      <c r="AP1691" s="870"/>
      <c r="AQ1691" s="870"/>
      <c r="AR1691" s="870"/>
      <c r="AS1691" s="870"/>
      <c r="AT1691" s="870"/>
      <c r="AU1691" s="870"/>
      <c r="AV1691" s="870"/>
      <c r="AW1691" s="870"/>
      <c r="AX1691" s="870"/>
      <c r="AY1691" s="870"/>
      <c r="AZ1691" s="870"/>
      <c r="BA1691" s="870"/>
      <c r="BB1691" s="870"/>
      <c r="BC1691" s="871"/>
      <c r="BD1691" s="871"/>
      <c r="BE1691" s="871"/>
      <c r="BF1691" s="871"/>
      <c r="BG1691" s="871"/>
      <c r="BH1691" s="871"/>
      <c r="BI1691" s="871"/>
      <c r="BJ1691" s="871"/>
      <c r="BK1691" s="871"/>
      <c r="BL1691" s="871"/>
      <c r="BM1691" s="871"/>
      <c r="BN1691" s="871"/>
      <c r="BO1691" s="871"/>
      <c r="BP1691" s="871"/>
      <c r="BQ1691" s="871"/>
      <c r="BR1691" s="871"/>
      <c r="BS1691" s="1233"/>
      <c r="BT1691" s="1233"/>
      <c r="BU1691" s="1233"/>
      <c r="BV1691" s="1233"/>
      <c r="BW1691" s="1233"/>
      <c r="BX1691" s="1233"/>
      <c r="BY1691" s="1233"/>
      <c r="BZ1691" s="1233"/>
      <c r="CA1691" s="1233"/>
      <c r="CB1691" s="1233"/>
      <c r="CC1691" s="1233"/>
      <c r="CD1691" s="1233"/>
      <c r="CE1691" s="1233"/>
      <c r="CF1691" s="1233"/>
      <c r="CG1691" s="1233"/>
      <c r="CH1691" s="1233"/>
      <c r="CI1691" s="1233"/>
      <c r="CJ1691" s="1233"/>
      <c r="CK1691" s="1233"/>
      <c r="CL1691" s="1233"/>
      <c r="CM1691" s="1233"/>
      <c r="CN1691" s="1233"/>
      <c r="CO1691" s="1233"/>
      <c r="CP1691" s="1233"/>
      <c r="CQ1691" s="1233"/>
      <c r="CR1691" s="1233"/>
      <c r="CS1691" s="1233"/>
      <c r="CT1691" s="1233"/>
      <c r="CU1691" s="1233"/>
      <c r="CV1691" s="1233"/>
      <c r="CW1691" s="1233"/>
      <c r="CX1691" s="1233"/>
      <c r="CY1691" s="1233"/>
      <c r="CZ1691" s="1233"/>
      <c r="DA1691" s="1233"/>
      <c r="DB1691" s="1233"/>
      <c r="DC1691" s="1233"/>
      <c r="DD1691" s="1233"/>
      <c r="DE1691" s="1233"/>
      <c r="DF1691" s="1233"/>
      <c r="DG1691" s="1233"/>
      <c r="DH1691" s="1233"/>
      <c r="DI1691" s="1233"/>
      <c r="DJ1691" s="1233"/>
      <c r="DK1691" s="1233"/>
      <c r="DL1691" s="1233"/>
      <c r="DM1691" s="1233"/>
      <c r="DN1691" s="1233"/>
      <c r="DO1691" s="1233"/>
      <c r="DP1691" s="1233"/>
      <c r="DQ1691" s="1233"/>
      <c r="DR1691" s="1233"/>
      <c r="DS1691" s="1233"/>
      <c r="DT1691" s="1233"/>
      <c r="DU1691" s="1233"/>
      <c r="DV1691" s="1233"/>
      <c r="DW1691" s="1233"/>
      <c r="DX1691" s="1233"/>
      <c r="DY1691" s="1233"/>
      <c r="DZ1691" s="1233"/>
      <c r="EA1691" s="1233"/>
      <c r="EB1691" s="1233"/>
      <c r="EC1691" s="1233"/>
      <c r="ED1691" s="1233"/>
      <c r="EE1691" s="1233"/>
      <c r="EF1691" s="1233"/>
      <c r="EG1691" s="1233"/>
      <c r="EH1691" s="1233"/>
      <c r="EI1691" s="1233"/>
      <c r="EJ1691" s="1233"/>
      <c r="EK1691" s="1233"/>
      <c r="EL1691" s="1233"/>
      <c r="EM1691" s="1233"/>
      <c r="EN1691" s="1233"/>
      <c r="EO1691" s="1233"/>
      <c r="EP1691" s="1233"/>
      <c r="EQ1691" s="1233"/>
      <c r="ER1691" s="1233"/>
      <c r="ES1691" s="1233"/>
      <c r="ET1691" s="1233"/>
      <c r="EU1691" s="1233"/>
      <c r="EV1691" s="1233"/>
      <c r="EW1691" s="1233"/>
      <c r="EX1691" s="1233"/>
      <c r="EY1691" s="1233"/>
      <c r="EZ1691" s="1233"/>
      <c r="FA1691" s="1233"/>
      <c r="FB1691" s="1233"/>
      <c r="FC1691" s="1233"/>
      <c r="FD1691" s="1233"/>
      <c r="FE1691" s="1233"/>
      <c r="FF1691" s="1233"/>
      <c r="FG1691" s="1233"/>
      <c r="FH1691" s="1233"/>
      <c r="FI1691" s="1233"/>
      <c r="FJ1691" s="1233"/>
      <c r="FK1691" s="1233"/>
      <c r="FL1691" s="1233"/>
      <c r="FM1691" s="1233"/>
      <c r="FN1691" s="1233"/>
      <c r="FO1691" s="1233"/>
      <c r="FP1691" s="1233"/>
      <c r="FQ1691" s="1233"/>
      <c r="FR1691" s="1233"/>
      <c r="FS1691" s="1233"/>
      <c r="FT1691" s="1233"/>
      <c r="FU1691" s="1233"/>
      <c r="FV1691" s="1233"/>
      <c r="FW1691" s="1233"/>
      <c r="FX1691" s="1233"/>
      <c r="FY1691" s="1233"/>
      <c r="FZ1691" s="1233"/>
      <c r="GA1691" s="1233"/>
      <c r="GB1691" s="1233"/>
      <c r="GC1691" s="1233"/>
      <c r="GD1691" s="1233"/>
      <c r="GE1691" s="1233"/>
      <c r="GF1691" s="1233"/>
      <c r="GG1691" s="1233"/>
      <c r="GH1691" s="1233"/>
      <c r="GI1691" s="1233"/>
      <c r="GJ1691" s="1233"/>
      <c r="GK1691" s="1233"/>
      <c r="GL1691" s="1233"/>
      <c r="GM1691" s="1233"/>
      <c r="GN1691" s="1233"/>
      <c r="GO1691" s="1233"/>
      <c r="GP1691" s="1233"/>
      <c r="GQ1691" s="1233"/>
      <c r="GR1691" s="1233"/>
      <c r="GS1691" s="1233"/>
      <c r="GT1691" s="1233"/>
      <c r="GU1691" s="1233"/>
      <c r="GV1691" s="1233"/>
      <c r="GW1691" s="1233"/>
      <c r="GX1691" s="1233"/>
      <c r="GY1691" s="1233"/>
      <c r="GZ1691" s="1233"/>
      <c r="HA1691" s="1233"/>
      <c r="HB1691" s="1233"/>
      <c r="HC1691" s="1233"/>
      <c r="HD1691" s="1233"/>
      <c r="HE1691" s="1233"/>
      <c r="HF1691" s="1233"/>
      <c r="HG1691" s="1233"/>
      <c r="HH1691" s="1233"/>
      <c r="HI1691" s="1233"/>
      <c r="HJ1691" s="1233"/>
      <c r="HK1691" s="1233"/>
      <c r="HL1691" s="1233"/>
      <c r="HM1691" s="1233"/>
      <c r="HN1691" s="1233"/>
      <c r="HO1691" s="1233"/>
      <c r="HP1691" s="1233"/>
      <c r="HQ1691" s="1233"/>
      <c r="HR1691" s="1233"/>
      <c r="HS1691" s="1233"/>
      <c r="HT1691" s="1233"/>
      <c r="HU1691" s="1233"/>
      <c r="HV1691" s="1233"/>
      <c r="HW1691" s="1233"/>
      <c r="HX1691" s="1233"/>
      <c r="HY1691" s="1233"/>
      <c r="HZ1691" s="1233"/>
      <c r="IA1691" s="1233"/>
      <c r="IB1691" s="1233"/>
      <c r="IC1691" s="1233"/>
      <c r="ID1691" s="1233"/>
      <c r="IE1691" s="1233"/>
      <c r="IF1691" s="1233"/>
      <c r="IG1691" s="1233"/>
      <c r="IH1691" s="1233"/>
      <c r="II1691" s="1233"/>
      <c r="IJ1691" s="1233"/>
      <c r="IK1691" s="1233"/>
      <c r="IL1691" s="1233"/>
      <c r="IM1691" s="1233"/>
      <c r="IN1691" s="1233"/>
      <c r="IO1691" s="1233"/>
    </row>
    <row r="1692" spans="1:249" ht="66">
      <c r="A1692" s="794"/>
      <c r="B1692" s="6"/>
      <c r="C1692" s="794"/>
      <c r="D1692" s="794"/>
      <c r="E1692" s="794"/>
      <c r="F1692" s="794"/>
      <c r="G1692" s="794"/>
      <c r="H1692" s="794"/>
      <c r="I1692" s="407" t="s">
        <v>2216</v>
      </c>
      <c r="J1692" s="6" t="s">
        <v>2217</v>
      </c>
      <c r="K1692" s="795">
        <v>182</v>
      </c>
      <c r="L1692" s="1212">
        <v>500000000</v>
      </c>
      <c r="M1692" s="795">
        <v>38</v>
      </c>
      <c r="N1692" s="1212">
        <v>191268250</v>
      </c>
      <c r="O1692" s="795">
        <v>36</v>
      </c>
      <c r="P1692" s="1212">
        <v>38147600</v>
      </c>
      <c r="Q1692" s="1214">
        <v>0</v>
      </c>
      <c r="R1692" s="1212">
        <v>0</v>
      </c>
      <c r="S1692" s="1229">
        <v>0</v>
      </c>
      <c r="T1692" s="1228">
        <v>0</v>
      </c>
      <c r="U1692" s="1229">
        <v>0</v>
      </c>
      <c r="V1692" s="1229">
        <v>0</v>
      </c>
      <c r="W1692" s="1229">
        <v>0</v>
      </c>
      <c r="X1692" s="1229">
        <v>0</v>
      </c>
      <c r="Y1692" s="1216">
        <f t="shared" si="495"/>
        <v>0</v>
      </c>
      <c r="Z1692" s="1212">
        <f t="shared" si="496"/>
        <v>0</v>
      </c>
      <c r="AA1692" s="795">
        <f t="shared" si="497"/>
        <v>38</v>
      </c>
      <c r="AB1692" s="1212">
        <f t="shared" si="498"/>
        <v>191268250</v>
      </c>
      <c r="AC1692" s="1215">
        <f t="shared" si="499"/>
        <v>20.87912087912088</v>
      </c>
      <c r="AD1692" s="1215">
        <f t="shared" si="500"/>
        <v>38.25365</v>
      </c>
      <c r="AE1692" s="794"/>
      <c r="AF1692" s="569"/>
      <c r="AG1692" s="1208"/>
      <c r="AH1692" s="569"/>
      <c r="AI1692" s="569"/>
      <c r="AJ1692" s="569"/>
      <c r="AK1692" s="569"/>
      <c r="AL1692" s="569"/>
      <c r="AM1692" s="569"/>
      <c r="AN1692" s="569"/>
      <c r="AO1692" s="569"/>
      <c r="AP1692" s="569"/>
      <c r="AQ1692" s="569"/>
      <c r="AR1692" s="569"/>
      <c r="AS1692" s="569"/>
      <c r="AT1692" s="569"/>
      <c r="AU1692" s="569"/>
      <c r="AV1692" s="569"/>
      <c r="AW1692" s="569"/>
      <c r="AX1692" s="569"/>
      <c r="AY1692" s="569"/>
      <c r="AZ1692" s="569"/>
      <c r="BA1692" s="569"/>
      <c r="BB1692" s="569"/>
      <c r="BC1692" s="570"/>
      <c r="BD1692" s="570"/>
      <c r="BE1692" s="570"/>
      <c r="BF1692" s="570"/>
      <c r="BG1692" s="570"/>
      <c r="BH1692" s="570"/>
      <c r="BI1692" s="570"/>
      <c r="BJ1692" s="570"/>
      <c r="BK1692" s="570"/>
      <c r="BL1692" s="570"/>
      <c r="BM1692" s="570"/>
      <c r="BN1692" s="570"/>
      <c r="BO1692" s="570"/>
      <c r="BP1692" s="570"/>
      <c r="BQ1692" s="570"/>
      <c r="BR1692" s="570"/>
      <c r="BS1692" s="1232"/>
      <c r="BT1692" s="1232"/>
      <c r="BU1692" s="1232"/>
      <c r="BV1692" s="1232"/>
      <c r="BW1692" s="1232"/>
      <c r="BX1692" s="1232"/>
      <c r="BY1692" s="1232"/>
      <c r="BZ1692" s="1232"/>
      <c r="CA1692" s="1232"/>
      <c r="CB1692" s="1232"/>
      <c r="CC1692" s="1232"/>
      <c r="CD1692" s="1232"/>
      <c r="CE1692" s="1232"/>
      <c r="CF1692" s="1232"/>
      <c r="CG1692" s="1232"/>
      <c r="CH1692" s="1232"/>
      <c r="CI1692" s="1232"/>
      <c r="CJ1692" s="1232"/>
      <c r="CK1692" s="1232"/>
      <c r="CL1692" s="1232"/>
      <c r="CM1692" s="1232"/>
      <c r="CN1692" s="1232"/>
      <c r="CO1692" s="1232"/>
      <c r="CP1692" s="1232"/>
      <c r="CQ1692" s="1232"/>
      <c r="CR1692" s="1232"/>
      <c r="CS1692" s="1232"/>
      <c r="CT1692" s="1232"/>
      <c r="CU1692" s="1232"/>
      <c r="CV1692" s="1232"/>
      <c r="CW1692" s="1232"/>
      <c r="CX1692" s="1232"/>
      <c r="CY1692" s="1232"/>
      <c r="CZ1692" s="1232"/>
      <c r="DA1692" s="1232"/>
      <c r="DB1692" s="1232"/>
      <c r="DC1692" s="1232"/>
      <c r="DD1692" s="1232"/>
      <c r="DE1692" s="1232"/>
      <c r="DF1692" s="1232"/>
      <c r="DG1692" s="1232"/>
      <c r="DH1692" s="1232"/>
      <c r="DI1692" s="1232"/>
      <c r="DJ1692" s="1232"/>
      <c r="DK1692" s="1232"/>
      <c r="DL1692" s="1232"/>
      <c r="DM1692" s="1232"/>
      <c r="DN1692" s="1232"/>
      <c r="DO1692" s="1232"/>
      <c r="DP1692" s="1232"/>
      <c r="DQ1692" s="1232"/>
      <c r="DR1692" s="1232"/>
      <c r="DS1692" s="1232"/>
      <c r="DT1692" s="1232"/>
      <c r="DU1692" s="1232"/>
      <c r="DV1692" s="1232"/>
      <c r="DW1692" s="1232"/>
      <c r="DX1692" s="1232"/>
      <c r="DY1692" s="1232"/>
      <c r="DZ1692" s="1232"/>
      <c r="EA1692" s="1232"/>
      <c r="EB1692" s="1232"/>
      <c r="EC1692" s="1232"/>
      <c r="ED1692" s="1232"/>
      <c r="EE1692" s="1232"/>
      <c r="EF1692" s="1232"/>
      <c r="EG1692" s="1232"/>
      <c r="EH1692" s="1232"/>
      <c r="EI1692" s="1232"/>
      <c r="EJ1692" s="1232"/>
      <c r="EK1692" s="1232"/>
      <c r="EL1692" s="1232"/>
      <c r="EM1692" s="1232"/>
      <c r="EN1692" s="1232"/>
      <c r="EO1692" s="1232"/>
      <c r="EP1692" s="1232"/>
      <c r="EQ1692" s="1232"/>
      <c r="ER1692" s="1232"/>
      <c r="ES1692" s="1232"/>
      <c r="ET1692" s="1232"/>
      <c r="EU1692" s="1232"/>
      <c r="EV1692" s="1232"/>
      <c r="EW1692" s="1232"/>
      <c r="EX1692" s="1232"/>
      <c r="EY1692" s="1232"/>
      <c r="EZ1692" s="1232"/>
      <c r="FA1692" s="1232"/>
      <c r="FB1692" s="1232"/>
      <c r="FC1692" s="1232"/>
      <c r="FD1692" s="1232"/>
      <c r="FE1692" s="1232"/>
      <c r="FF1692" s="1232"/>
      <c r="FG1692" s="1232"/>
      <c r="FH1692" s="1232"/>
      <c r="FI1692" s="1232"/>
      <c r="FJ1692" s="1232"/>
      <c r="FK1692" s="1232"/>
      <c r="FL1692" s="1232"/>
      <c r="FM1692" s="1232"/>
      <c r="FN1692" s="1232"/>
      <c r="FO1692" s="1232"/>
      <c r="FP1692" s="1232"/>
      <c r="FQ1692" s="1232"/>
      <c r="FR1692" s="1232"/>
      <c r="FS1692" s="1232"/>
      <c r="FT1692" s="1232"/>
      <c r="FU1692" s="1232"/>
      <c r="FV1692" s="1232"/>
      <c r="FW1692" s="1232"/>
      <c r="FX1692" s="1232"/>
      <c r="FY1692" s="1232"/>
      <c r="FZ1692" s="1232"/>
      <c r="GA1692" s="1232"/>
      <c r="GB1692" s="1232"/>
      <c r="GC1692" s="1232"/>
      <c r="GD1692" s="1232"/>
      <c r="GE1692" s="1232"/>
      <c r="GF1692" s="1232"/>
      <c r="GG1692" s="1232"/>
      <c r="GH1692" s="1232"/>
      <c r="GI1692" s="1232"/>
      <c r="GJ1692" s="1232"/>
      <c r="GK1692" s="1232"/>
      <c r="GL1692" s="1232"/>
      <c r="GM1692" s="1232"/>
      <c r="GN1692" s="1232"/>
      <c r="GO1692" s="1232"/>
      <c r="GP1692" s="1232"/>
      <c r="GQ1692" s="1232"/>
      <c r="GR1692" s="1232"/>
      <c r="GS1692" s="1232"/>
      <c r="GT1692" s="1232"/>
      <c r="GU1692" s="1232"/>
      <c r="GV1692" s="1232"/>
      <c r="GW1692" s="1232"/>
      <c r="GX1692" s="1232"/>
      <c r="GY1692" s="1232"/>
      <c r="GZ1692" s="1232"/>
      <c r="HA1692" s="1232"/>
      <c r="HB1692" s="1232"/>
      <c r="HC1692" s="1232"/>
      <c r="HD1692" s="1232"/>
      <c r="HE1692" s="1232"/>
      <c r="HF1692" s="1232"/>
      <c r="HG1692" s="1232"/>
      <c r="HH1692" s="1232"/>
      <c r="HI1692" s="1232"/>
      <c r="HJ1692" s="1232"/>
      <c r="HK1692" s="1232"/>
      <c r="HL1692" s="1232"/>
      <c r="HM1692" s="1232"/>
      <c r="HN1692" s="1232"/>
      <c r="HO1692" s="1232"/>
      <c r="HP1692" s="1232"/>
      <c r="HQ1692" s="1232"/>
      <c r="HR1692" s="1232"/>
      <c r="HS1692" s="1232"/>
      <c r="HT1692" s="1232"/>
      <c r="HU1692" s="1232"/>
      <c r="HV1692" s="1232"/>
      <c r="HW1692" s="1232"/>
      <c r="HX1692" s="1232"/>
      <c r="HY1692" s="1232"/>
      <c r="HZ1692" s="1232"/>
      <c r="IA1692" s="1232"/>
      <c r="IB1692" s="1232"/>
      <c r="IC1692" s="1232"/>
      <c r="ID1692" s="1232"/>
      <c r="IE1692" s="1232"/>
      <c r="IF1692" s="1232"/>
      <c r="IG1692" s="1232"/>
      <c r="IH1692" s="1232"/>
      <c r="II1692" s="1232"/>
      <c r="IJ1692" s="1232"/>
      <c r="IK1692" s="1232"/>
      <c r="IL1692" s="1232"/>
      <c r="IM1692" s="1232"/>
      <c r="IN1692" s="1232"/>
      <c r="IO1692" s="1232"/>
    </row>
    <row r="1693" spans="1:249" ht="99">
      <c r="A1693" s="794"/>
      <c r="B1693" s="6"/>
      <c r="C1693" s="794"/>
      <c r="D1693" s="794"/>
      <c r="E1693" s="794"/>
      <c r="F1693" s="794"/>
      <c r="G1693" s="794"/>
      <c r="H1693" s="794"/>
      <c r="I1693" s="407" t="s">
        <v>2218</v>
      </c>
      <c r="J1693" s="6" t="s">
        <v>2219</v>
      </c>
      <c r="K1693" s="795">
        <v>48</v>
      </c>
      <c r="L1693" s="1212">
        <v>400000000</v>
      </c>
      <c r="M1693" s="795">
        <v>12</v>
      </c>
      <c r="N1693" s="1212">
        <v>134685277</v>
      </c>
      <c r="O1693" s="795">
        <v>12</v>
      </c>
      <c r="P1693" s="1212">
        <v>54570000</v>
      </c>
      <c r="Q1693" s="1212">
        <v>3</v>
      </c>
      <c r="R1693" s="1212">
        <v>3426000</v>
      </c>
      <c r="S1693" s="1228">
        <v>3</v>
      </c>
      <c r="T1693" s="1228">
        <v>16075339</v>
      </c>
      <c r="U1693" s="1229">
        <v>0</v>
      </c>
      <c r="V1693" s="1229">
        <v>0</v>
      </c>
      <c r="W1693" s="1229">
        <v>0</v>
      </c>
      <c r="X1693" s="1229">
        <v>0</v>
      </c>
      <c r="Y1693" s="1216">
        <f t="shared" si="495"/>
        <v>6</v>
      </c>
      <c r="Z1693" s="1212">
        <f t="shared" si="496"/>
        <v>19501339</v>
      </c>
      <c r="AA1693" s="795">
        <f t="shared" si="497"/>
        <v>18</v>
      </c>
      <c r="AB1693" s="1212">
        <f t="shared" si="498"/>
        <v>154186616</v>
      </c>
      <c r="AC1693" s="1215">
        <f t="shared" si="499"/>
        <v>37.5</v>
      </c>
      <c r="AD1693" s="1215">
        <f t="shared" si="500"/>
        <v>38.546654000000004</v>
      </c>
      <c r="AE1693" s="794"/>
      <c r="AF1693" s="569"/>
      <c r="AG1693" s="1208"/>
      <c r="AH1693" s="569"/>
      <c r="AI1693" s="569"/>
      <c r="AJ1693" s="569"/>
      <c r="AK1693" s="569"/>
      <c r="AL1693" s="569"/>
      <c r="AM1693" s="569"/>
      <c r="AN1693" s="569"/>
      <c r="AO1693" s="569"/>
      <c r="AP1693" s="569"/>
      <c r="AQ1693" s="569"/>
      <c r="AR1693" s="569"/>
      <c r="AS1693" s="569"/>
      <c r="AT1693" s="569"/>
      <c r="AU1693" s="569"/>
      <c r="AV1693" s="569"/>
      <c r="AW1693" s="569"/>
      <c r="AX1693" s="569"/>
      <c r="AY1693" s="569"/>
      <c r="AZ1693" s="569"/>
      <c r="BA1693" s="569"/>
      <c r="BB1693" s="569"/>
      <c r="BC1693" s="570"/>
      <c r="BD1693" s="570"/>
      <c r="BE1693" s="570"/>
      <c r="BF1693" s="570"/>
      <c r="BG1693" s="570"/>
      <c r="BH1693" s="570"/>
      <c r="BI1693" s="570"/>
      <c r="BJ1693" s="570"/>
      <c r="BK1693" s="570"/>
      <c r="BL1693" s="570"/>
      <c r="BM1693" s="570"/>
      <c r="BN1693" s="570"/>
      <c r="BO1693" s="570"/>
      <c r="BP1693" s="570"/>
      <c r="BQ1693" s="570"/>
      <c r="BR1693" s="570"/>
      <c r="BS1693" s="1232"/>
      <c r="BT1693" s="1232"/>
      <c r="BU1693" s="1232"/>
      <c r="BV1693" s="1232"/>
      <c r="BW1693" s="1232"/>
      <c r="BX1693" s="1232"/>
      <c r="BY1693" s="1232"/>
      <c r="BZ1693" s="1232"/>
      <c r="CA1693" s="1232"/>
      <c r="CB1693" s="1232"/>
      <c r="CC1693" s="1232"/>
      <c r="CD1693" s="1232"/>
      <c r="CE1693" s="1232"/>
      <c r="CF1693" s="1232"/>
      <c r="CG1693" s="1232"/>
      <c r="CH1693" s="1232"/>
      <c r="CI1693" s="1232"/>
      <c r="CJ1693" s="1232"/>
      <c r="CK1693" s="1232"/>
      <c r="CL1693" s="1232"/>
      <c r="CM1693" s="1232"/>
      <c r="CN1693" s="1232"/>
      <c r="CO1693" s="1232"/>
      <c r="CP1693" s="1232"/>
      <c r="CQ1693" s="1232"/>
      <c r="CR1693" s="1232"/>
      <c r="CS1693" s="1232"/>
      <c r="CT1693" s="1232"/>
      <c r="CU1693" s="1232"/>
      <c r="CV1693" s="1232"/>
      <c r="CW1693" s="1232"/>
      <c r="CX1693" s="1232"/>
      <c r="CY1693" s="1232"/>
      <c r="CZ1693" s="1232"/>
      <c r="DA1693" s="1232"/>
      <c r="DB1693" s="1232"/>
      <c r="DC1693" s="1232"/>
      <c r="DD1693" s="1232"/>
      <c r="DE1693" s="1232"/>
      <c r="DF1693" s="1232"/>
      <c r="DG1693" s="1232"/>
      <c r="DH1693" s="1232"/>
      <c r="DI1693" s="1232"/>
      <c r="DJ1693" s="1232"/>
      <c r="DK1693" s="1232"/>
      <c r="DL1693" s="1232"/>
      <c r="DM1693" s="1232"/>
      <c r="DN1693" s="1232"/>
      <c r="DO1693" s="1232"/>
      <c r="DP1693" s="1232"/>
      <c r="DQ1693" s="1232"/>
      <c r="DR1693" s="1232"/>
      <c r="DS1693" s="1232"/>
      <c r="DT1693" s="1232"/>
      <c r="DU1693" s="1232"/>
      <c r="DV1693" s="1232"/>
      <c r="DW1693" s="1232"/>
      <c r="DX1693" s="1232"/>
      <c r="DY1693" s="1232"/>
      <c r="DZ1693" s="1232"/>
      <c r="EA1693" s="1232"/>
      <c r="EB1693" s="1232"/>
      <c r="EC1693" s="1232"/>
      <c r="ED1693" s="1232"/>
      <c r="EE1693" s="1232"/>
      <c r="EF1693" s="1232"/>
      <c r="EG1693" s="1232"/>
      <c r="EH1693" s="1232"/>
      <c r="EI1693" s="1232"/>
      <c r="EJ1693" s="1232"/>
      <c r="EK1693" s="1232"/>
      <c r="EL1693" s="1232"/>
      <c r="EM1693" s="1232"/>
      <c r="EN1693" s="1232"/>
      <c r="EO1693" s="1232"/>
      <c r="EP1693" s="1232"/>
      <c r="EQ1693" s="1232"/>
      <c r="ER1693" s="1232"/>
      <c r="ES1693" s="1232"/>
      <c r="ET1693" s="1232"/>
      <c r="EU1693" s="1232"/>
      <c r="EV1693" s="1232"/>
      <c r="EW1693" s="1232"/>
      <c r="EX1693" s="1232"/>
      <c r="EY1693" s="1232"/>
      <c r="EZ1693" s="1232"/>
      <c r="FA1693" s="1232"/>
      <c r="FB1693" s="1232"/>
      <c r="FC1693" s="1232"/>
      <c r="FD1693" s="1232"/>
      <c r="FE1693" s="1232"/>
      <c r="FF1693" s="1232"/>
      <c r="FG1693" s="1232"/>
      <c r="FH1693" s="1232"/>
      <c r="FI1693" s="1232"/>
      <c r="FJ1693" s="1232"/>
      <c r="FK1693" s="1232"/>
      <c r="FL1693" s="1232"/>
      <c r="FM1693" s="1232"/>
      <c r="FN1693" s="1232"/>
      <c r="FO1693" s="1232"/>
      <c r="FP1693" s="1232"/>
      <c r="FQ1693" s="1232"/>
      <c r="FR1693" s="1232"/>
      <c r="FS1693" s="1232"/>
      <c r="FT1693" s="1232"/>
      <c r="FU1693" s="1232"/>
      <c r="FV1693" s="1232"/>
      <c r="FW1693" s="1232"/>
      <c r="FX1693" s="1232"/>
      <c r="FY1693" s="1232"/>
      <c r="FZ1693" s="1232"/>
      <c r="GA1693" s="1232"/>
      <c r="GB1693" s="1232"/>
      <c r="GC1693" s="1232"/>
      <c r="GD1693" s="1232"/>
      <c r="GE1693" s="1232"/>
      <c r="GF1693" s="1232"/>
      <c r="GG1693" s="1232"/>
      <c r="GH1693" s="1232"/>
      <c r="GI1693" s="1232"/>
      <c r="GJ1693" s="1232"/>
      <c r="GK1693" s="1232"/>
      <c r="GL1693" s="1232"/>
      <c r="GM1693" s="1232"/>
      <c r="GN1693" s="1232"/>
      <c r="GO1693" s="1232"/>
      <c r="GP1693" s="1232"/>
      <c r="GQ1693" s="1232"/>
      <c r="GR1693" s="1232"/>
      <c r="GS1693" s="1232"/>
      <c r="GT1693" s="1232"/>
      <c r="GU1693" s="1232"/>
      <c r="GV1693" s="1232"/>
      <c r="GW1693" s="1232"/>
      <c r="GX1693" s="1232"/>
      <c r="GY1693" s="1232"/>
      <c r="GZ1693" s="1232"/>
      <c r="HA1693" s="1232"/>
      <c r="HB1693" s="1232"/>
      <c r="HC1693" s="1232"/>
      <c r="HD1693" s="1232"/>
      <c r="HE1693" s="1232"/>
      <c r="HF1693" s="1232"/>
      <c r="HG1693" s="1232"/>
      <c r="HH1693" s="1232"/>
      <c r="HI1693" s="1232"/>
      <c r="HJ1693" s="1232"/>
      <c r="HK1693" s="1232"/>
      <c r="HL1693" s="1232"/>
      <c r="HM1693" s="1232"/>
      <c r="HN1693" s="1232"/>
      <c r="HO1693" s="1232"/>
      <c r="HP1693" s="1232"/>
      <c r="HQ1693" s="1232"/>
      <c r="HR1693" s="1232"/>
      <c r="HS1693" s="1232"/>
      <c r="HT1693" s="1232"/>
      <c r="HU1693" s="1232"/>
      <c r="HV1693" s="1232"/>
      <c r="HW1693" s="1232"/>
      <c r="HX1693" s="1232"/>
      <c r="HY1693" s="1232"/>
      <c r="HZ1693" s="1232"/>
      <c r="IA1693" s="1232"/>
      <c r="IB1693" s="1232"/>
      <c r="IC1693" s="1232"/>
      <c r="ID1693" s="1232"/>
      <c r="IE1693" s="1232"/>
      <c r="IF1693" s="1232"/>
      <c r="IG1693" s="1232"/>
      <c r="IH1693" s="1232"/>
      <c r="II1693" s="1232"/>
      <c r="IJ1693" s="1232"/>
      <c r="IK1693" s="1232"/>
      <c r="IL1693" s="1232"/>
      <c r="IM1693" s="1232"/>
      <c r="IN1693" s="1232"/>
      <c r="IO1693" s="1232"/>
    </row>
    <row r="1694" spans="1:249" ht="99">
      <c r="A1694" s="794"/>
      <c r="B1694" s="6"/>
      <c r="C1694" s="794"/>
      <c r="D1694" s="794"/>
      <c r="E1694" s="794"/>
      <c r="F1694" s="794"/>
      <c r="G1694" s="794"/>
      <c r="H1694" s="794"/>
      <c r="I1694" s="407" t="s">
        <v>2220</v>
      </c>
      <c r="J1694" s="6" t="s">
        <v>2221</v>
      </c>
      <c r="K1694" s="795">
        <v>72</v>
      </c>
      <c r="L1694" s="1212">
        <v>1250000000</v>
      </c>
      <c r="M1694" s="795">
        <v>36</v>
      </c>
      <c r="N1694" s="1212">
        <v>481891249</v>
      </c>
      <c r="O1694" s="795">
        <v>12</v>
      </c>
      <c r="P1694" s="1212">
        <v>118464000</v>
      </c>
      <c r="Q1694" s="1211">
        <v>3</v>
      </c>
      <c r="R1694" s="1212">
        <v>17045200</v>
      </c>
      <c r="S1694" s="1228">
        <v>3</v>
      </c>
      <c r="T1694" s="1228">
        <v>11240400</v>
      </c>
      <c r="U1694" s="1229">
        <v>0</v>
      </c>
      <c r="V1694" s="1229">
        <v>0</v>
      </c>
      <c r="W1694" s="1229">
        <v>0</v>
      </c>
      <c r="X1694" s="1229">
        <v>0</v>
      </c>
      <c r="Y1694" s="1216">
        <f t="shared" si="495"/>
        <v>6</v>
      </c>
      <c r="Z1694" s="1212">
        <f t="shared" si="496"/>
        <v>28285600</v>
      </c>
      <c r="AA1694" s="795">
        <f t="shared" si="497"/>
        <v>42</v>
      </c>
      <c r="AB1694" s="1212">
        <f t="shared" si="498"/>
        <v>510176849</v>
      </c>
      <c r="AC1694" s="1215">
        <f t="shared" si="499"/>
        <v>58.333333333333336</v>
      </c>
      <c r="AD1694" s="1215">
        <f t="shared" si="500"/>
        <v>40.814147919999996</v>
      </c>
      <c r="AE1694" s="794"/>
      <c r="AF1694" s="569"/>
      <c r="AG1694" s="1208"/>
      <c r="AH1694" s="569"/>
      <c r="AI1694" s="569"/>
      <c r="AJ1694" s="569"/>
      <c r="AK1694" s="569"/>
      <c r="AL1694" s="569"/>
      <c r="AM1694" s="569"/>
      <c r="AN1694" s="569"/>
      <c r="AO1694" s="569"/>
      <c r="AP1694" s="569"/>
      <c r="AQ1694" s="569"/>
      <c r="AR1694" s="569"/>
      <c r="AS1694" s="569"/>
      <c r="AT1694" s="569"/>
      <c r="AU1694" s="569"/>
      <c r="AV1694" s="569"/>
      <c r="AW1694" s="569"/>
      <c r="AX1694" s="569"/>
      <c r="AY1694" s="569"/>
      <c r="AZ1694" s="569"/>
      <c r="BA1694" s="569"/>
      <c r="BB1694" s="569"/>
      <c r="BC1694" s="570"/>
      <c r="BD1694" s="570"/>
      <c r="BE1694" s="570"/>
      <c r="BF1694" s="570"/>
      <c r="BG1694" s="570"/>
      <c r="BH1694" s="570"/>
      <c r="BI1694" s="570"/>
      <c r="BJ1694" s="570"/>
      <c r="BK1694" s="570"/>
      <c r="BL1694" s="570"/>
      <c r="BM1694" s="570"/>
      <c r="BN1694" s="570"/>
      <c r="BO1694" s="570"/>
      <c r="BP1694" s="570"/>
      <c r="BQ1694" s="570"/>
      <c r="BR1694" s="570"/>
      <c r="BS1694" s="1232"/>
      <c r="BT1694" s="1232"/>
      <c r="BU1694" s="1232"/>
      <c r="BV1694" s="1232"/>
      <c r="BW1694" s="1232"/>
      <c r="BX1694" s="1232"/>
      <c r="BY1694" s="1232"/>
      <c r="BZ1694" s="1232"/>
      <c r="CA1694" s="1232"/>
      <c r="CB1694" s="1232"/>
      <c r="CC1694" s="1232"/>
      <c r="CD1694" s="1232"/>
      <c r="CE1694" s="1232"/>
      <c r="CF1694" s="1232"/>
      <c r="CG1694" s="1232"/>
      <c r="CH1694" s="1232"/>
      <c r="CI1694" s="1232"/>
      <c r="CJ1694" s="1232"/>
      <c r="CK1694" s="1232"/>
      <c r="CL1694" s="1232"/>
      <c r="CM1694" s="1232"/>
      <c r="CN1694" s="1232"/>
      <c r="CO1694" s="1232"/>
      <c r="CP1694" s="1232"/>
      <c r="CQ1694" s="1232"/>
      <c r="CR1694" s="1232"/>
      <c r="CS1694" s="1232"/>
      <c r="CT1694" s="1232"/>
      <c r="CU1694" s="1232"/>
      <c r="CV1694" s="1232"/>
      <c r="CW1694" s="1232"/>
      <c r="CX1694" s="1232"/>
      <c r="CY1694" s="1232"/>
      <c r="CZ1694" s="1232"/>
      <c r="DA1694" s="1232"/>
      <c r="DB1694" s="1232"/>
      <c r="DC1694" s="1232"/>
      <c r="DD1694" s="1232"/>
      <c r="DE1694" s="1232"/>
      <c r="DF1694" s="1232"/>
      <c r="DG1694" s="1232"/>
      <c r="DH1694" s="1232"/>
      <c r="DI1694" s="1232"/>
      <c r="DJ1694" s="1232"/>
      <c r="DK1694" s="1232"/>
      <c r="DL1694" s="1232"/>
      <c r="DM1694" s="1232"/>
      <c r="DN1694" s="1232"/>
      <c r="DO1694" s="1232"/>
      <c r="DP1694" s="1232"/>
      <c r="DQ1694" s="1232"/>
      <c r="DR1694" s="1232"/>
      <c r="DS1694" s="1232"/>
      <c r="DT1694" s="1232"/>
      <c r="DU1694" s="1232"/>
      <c r="DV1694" s="1232"/>
      <c r="DW1694" s="1232"/>
      <c r="DX1694" s="1232"/>
      <c r="DY1694" s="1232"/>
      <c r="DZ1694" s="1232"/>
      <c r="EA1694" s="1232"/>
      <c r="EB1694" s="1232"/>
      <c r="EC1694" s="1232"/>
      <c r="ED1694" s="1232"/>
      <c r="EE1694" s="1232"/>
      <c r="EF1694" s="1232"/>
      <c r="EG1694" s="1232"/>
      <c r="EH1694" s="1232"/>
      <c r="EI1694" s="1232"/>
      <c r="EJ1694" s="1232"/>
      <c r="EK1694" s="1232"/>
      <c r="EL1694" s="1232"/>
      <c r="EM1694" s="1232"/>
      <c r="EN1694" s="1232"/>
      <c r="EO1694" s="1232"/>
      <c r="EP1694" s="1232"/>
      <c r="EQ1694" s="1232"/>
      <c r="ER1694" s="1232"/>
      <c r="ES1694" s="1232"/>
      <c r="ET1694" s="1232"/>
      <c r="EU1694" s="1232"/>
      <c r="EV1694" s="1232"/>
      <c r="EW1694" s="1232"/>
      <c r="EX1694" s="1232"/>
      <c r="EY1694" s="1232"/>
      <c r="EZ1694" s="1232"/>
      <c r="FA1694" s="1232"/>
      <c r="FB1694" s="1232"/>
      <c r="FC1694" s="1232"/>
      <c r="FD1694" s="1232"/>
      <c r="FE1694" s="1232"/>
      <c r="FF1694" s="1232"/>
      <c r="FG1694" s="1232"/>
      <c r="FH1694" s="1232"/>
      <c r="FI1694" s="1232"/>
      <c r="FJ1694" s="1232"/>
      <c r="FK1694" s="1232"/>
      <c r="FL1694" s="1232"/>
      <c r="FM1694" s="1232"/>
      <c r="FN1694" s="1232"/>
      <c r="FO1694" s="1232"/>
      <c r="FP1694" s="1232"/>
      <c r="FQ1694" s="1232"/>
      <c r="FR1694" s="1232"/>
      <c r="FS1694" s="1232"/>
      <c r="FT1694" s="1232"/>
      <c r="FU1694" s="1232"/>
      <c r="FV1694" s="1232"/>
      <c r="FW1694" s="1232"/>
      <c r="FX1694" s="1232"/>
      <c r="FY1694" s="1232"/>
      <c r="FZ1694" s="1232"/>
      <c r="GA1694" s="1232"/>
      <c r="GB1694" s="1232"/>
      <c r="GC1694" s="1232"/>
      <c r="GD1694" s="1232"/>
      <c r="GE1694" s="1232"/>
      <c r="GF1694" s="1232"/>
      <c r="GG1694" s="1232"/>
      <c r="GH1694" s="1232"/>
      <c r="GI1694" s="1232"/>
      <c r="GJ1694" s="1232"/>
      <c r="GK1694" s="1232"/>
      <c r="GL1694" s="1232"/>
      <c r="GM1694" s="1232"/>
      <c r="GN1694" s="1232"/>
      <c r="GO1694" s="1232"/>
      <c r="GP1694" s="1232"/>
      <c r="GQ1694" s="1232"/>
      <c r="GR1694" s="1232"/>
      <c r="GS1694" s="1232"/>
      <c r="GT1694" s="1232"/>
      <c r="GU1694" s="1232"/>
      <c r="GV1694" s="1232"/>
      <c r="GW1694" s="1232"/>
      <c r="GX1694" s="1232"/>
      <c r="GY1694" s="1232"/>
      <c r="GZ1694" s="1232"/>
      <c r="HA1694" s="1232"/>
      <c r="HB1694" s="1232"/>
      <c r="HC1694" s="1232"/>
      <c r="HD1694" s="1232"/>
      <c r="HE1694" s="1232"/>
      <c r="HF1694" s="1232"/>
      <c r="HG1694" s="1232"/>
      <c r="HH1694" s="1232"/>
      <c r="HI1694" s="1232"/>
      <c r="HJ1694" s="1232"/>
      <c r="HK1694" s="1232"/>
      <c r="HL1694" s="1232"/>
      <c r="HM1694" s="1232"/>
      <c r="HN1694" s="1232"/>
      <c r="HO1694" s="1232"/>
      <c r="HP1694" s="1232"/>
      <c r="HQ1694" s="1232"/>
      <c r="HR1694" s="1232"/>
      <c r="HS1694" s="1232"/>
      <c r="HT1694" s="1232"/>
      <c r="HU1694" s="1232"/>
      <c r="HV1694" s="1232"/>
      <c r="HW1694" s="1232"/>
      <c r="HX1694" s="1232"/>
      <c r="HY1694" s="1232"/>
      <c r="HZ1694" s="1232"/>
      <c r="IA1694" s="1232"/>
      <c r="IB1694" s="1232"/>
      <c r="IC1694" s="1232"/>
      <c r="ID1694" s="1232"/>
      <c r="IE1694" s="1232"/>
      <c r="IF1694" s="1232"/>
      <c r="IG1694" s="1232"/>
      <c r="IH1694" s="1232"/>
      <c r="II1694" s="1232"/>
      <c r="IJ1694" s="1232"/>
      <c r="IK1694" s="1232"/>
      <c r="IL1694" s="1232"/>
      <c r="IM1694" s="1232"/>
      <c r="IN1694" s="1232"/>
      <c r="IO1694" s="1232"/>
    </row>
    <row r="1695" spans="1:249" ht="49.5">
      <c r="A1695" s="794"/>
      <c r="B1695" s="6"/>
      <c r="C1695" s="794"/>
      <c r="D1695" s="794"/>
      <c r="E1695" s="794"/>
      <c r="F1695" s="794"/>
      <c r="G1695" s="794"/>
      <c r="H1695" s="794"/>
      <c r="I1695" s="407" t="s">
        <v>2222</v>
      </c>
      <c r="J1695" s="6" t="s">
        <v>2223</v>
      </c>
      <c r="K1695" s="795">
        <v>24</v>
      </c>
      <c r="L1695" s="1212">
        <v>450000000</v>
      </c>
      <c r="M1695" s="795">
        <v>12</v>
      </c>
      <c r="N1695" s="1212">
        <v>139650480</v>
      </c>
      <c r="O1695" s="795">
        <v>4</v>
      </c>
      <c r="P1695" s="1212">
        <v>29200000</v>
      </c>
      <c r="Q1695" s="1211">
        <v>1</v>
      </c>
      <c r="R1695" s="1212">
        <v>5339600</v>
      </c>
      <c r="S1695" s="1228">
        <v>1</v>
      </c>
      <c r="T1695" s="1228">
        <v>9376750</v>
      </c>
      <c r="U1695" s="1229">
        <v>0</v>
      </c>
      <c r="V1695" s="1229">
        <v>0</v>
      </c>
      <c r="W1695" s="1229">
        <v>0</v>
      </c>
      <c r="X1695" s="1229">
        <v>0</v>
      </c>
      <c r="Y1695" s="1216">
        <f t="shared" si="495"/>
        <v>2</v>
      </c>
      <c r="Z1695" s="1212">
        <f t="shared" si="496"/>
        <v>14716350</v>
      </c>
      <c r="AA1695" s="795">
        <f t="shared" si="497"/>
        <v>14</v>
      </c>
      <c r="AB1695" s="1212">
        <f t="shared" si="498"/>
        <v>154366830</v>
      </c>
      <c r="AC1695" s="1215">
        <f t="shared" si="499"/>
        <v>58.333333333333336</v>
      </c>
      <c r="AD1695" s="1215">
        <f t="shared" si="500"/>
        <v>34.303739999999998</v>
      </c>
      <c r="AE1695" s="794"/>
      <c r="AF1695" s="796"/>
      <c r="AG1695" s="796"/>
      <c r="AH1695" s="796"/>
      <c r="AI1695" s="796"/>
      <c r="AJ1695" s="796"/>
      <c r="AK1695" s="796"/>
      <c r="AL1695" s="796"/>
      <c r="AM1695" s="796"/>
      <c r="AN1695" s="796"/>
      <c r="AO1695" s="796"/>
      <c r="AP1695" s="796"/>
      <c r="AQ1695" s="796"/>
      <c r="AR1695" s="796"/>
      <c r="AS1695" s="796"/>
      <c r="AT1695" s="796"/>
      <c r="AU1695" s="796"/>
      <c r="AV1695" s="796"/>
      <c r="AW1695" s="796"/>
      <c r="AX1695" s="796"/>
      <c r="AY1695" s="796"/>
      <c r="AZ1695" s="796"/>
      <c r="BA1695" s="796"/>
      <c r="BB1695" s="796"/>
      <c r="BC1695" s="797"/>
      <c r="BD1695" s="797"/>
      <c r="BE1695" s="797"/>
      <c r="BF1695" s="797"/>
      <c r="BG1695" s="797"/>
      <c r="BH1695" s="797"/>
      <c r="BI1695" s="797"/>
      <c r="BJ1695" s="797"/>
      <c r="BK1695" s="797"/>
      <c r="BL1695" s="797"/>
      <c r="BM1695" s="797"/>
      <c r="BN1695" s="797"/>
      <c r="BO1695" s="797"/>
      <c r="BP1695" s="797"/>
      <c r="BQ1695" s="797"/>
      <c r="BR1695" s="797"/>
      <c r="BS1695" s="797"/>
      <c r="BT1695" s="797"/>
      <c r="BU1695" s="797"/>
      <c r="BV1695" s="797"/>
      <c r="BW1695" s="797"/>
      <c r="BX1695" s="797"/>
      <c r="BY1695" s="797"/>
      <c r="BZ1695" s="797"/>
      <c r="CA1695" s="797"/>
      <c r="CB1695" s="797"/>
      <c r="CC1695" s="797"/>
      <c r="CD1695" s="797"/>
      <c r="CE1695" s="797"/>
      <c r="CF1695" s="797"/>
      <c r="CG1695" s="797"/>
      <c r="CH1695" s="797"/>
      <c r="CI1695" s="797"/>
      <c r="CJ1695" s="797"/>
      <c r="CK1695" s="797"/>
      <c r="CL1695" s="797"/>
      <c r="CM1695" s="797"/>
      <c r="CN1695" s="797"/>
      <c r="CO1695" s="797"/>
      <c r="CP1695" s="797"/>
      <c r="CQ1695" s="797"/>
      <c r="CR1695" s="797"/>
      <c r="CS1695" s="797"/>
      <c r="CT1695" s="797"/>
      <c r="CU1695" s="797"/>
      <c r="CV1695" s="797"/>
      <c r="CW1695" s="797"/>
      <c r="CX1695" s="797"/>
      <c r="CY1695" s="797"/>
      <c r="CZ1695" s="797"/>
      <c r="DA1695" s="797"/>
      <c r="DB1695" s="797"/>
      <c r="DC1695" s="797"/>
      <c r="DD1695" s="797"/>
      <c r="DE1695" s="797"/>
      <c r="DF1695" s="797"/>
      <c r="DG1695" s="797"/>
      <c r="DH1695" s="797"/>
      <c r="DI1695" s="797"/>
      <c r="DJ1695" s="797"/>
      <c r="DK1695" s="797"/>
      <c r="DL1695" s="797"/>
      <c r="DM1695" s="797"/>
      <c r="DN1695" s="797"/>
      <c r="DO1695" s="797"/>
      <c r="DP1695" s="797"/>
      <c r="DQ1695" s="797"/>
      <c r="DR1695" s="797"/>
      <c r="DS1695" s="797"/>
      <c r="DT1695" s="797"/>
      <c r="DU1695" s="797"/>
      <c r="DV1695" s="797"/>
      <c r="DW1695" s="797"/>
      <c r="DX1695" s="797"/>
      <c r="DY1695" s="797"/>
      <c r="DZ1695" s="797"/>
      <c r="EA1695" s="797"/>
      <c r="EB1695" s="797"/>
      <c r="EC1695" s="797"/>
      <c r="ED1695" s="797"/>
      <c r="EE1695" s="797"/>
      <c r="EF1695" s="797"/>
      <c r="EG1695" s="797"/>
      <c r="EH1695" s="797"/>
      <c r="EI1695" s="797"/>
      <c r="EJ1695" s="797"/>
      <c r="EK1695" s="797"/>
      <c r="EL1695" s="797"/>
      <c r="EM1695" s="797"/>
      <c r="EN1695" s="797"/>
      <c r="EO1695" s="797"/>
      <c r="EP1695" s="797"/>
      <c r="EQ1695" s="797"/>
      <c r="ER1695" s="797"/>
      <c r="ES1695" s="797"/>
      <c r="ET1695" s="797"/>
      <c r="EU1695" s="797"/>
      <c r="EV1695" s="797"/>
      <c r="EW1695" s="797"/>
      <c r="EX1695" s="797"/>
      <c r="EY1695" s="797"/>
      <c r="EZ1695" s="797"/>
      <c r="FA1695" s="797"/>
      <c r="FB1695" s="797"/>
      <c r="FC1695" s="797"/>
      <c r="FD1695" s="797"/>
      <c r="FE1695" s="797"/>
      <c r="FF1695" s="797"/>
      <c r="FG1695" s="797"/>
      <c r="FH1695" s="797"/>
      <c r="FI1695" s="797"/>
      <c r="FJ1695" s="797"/>
      <c r="FK1695" s="797"/>
      <c r="FL1695" s="797"/>
      <c r="FM1695" s="797"/>
      <c r="FN1695" s="797"/>
      <c r="FO1695" s="797"/>
      <c r="FP1695" s="797"/>
      <c r="FQ1695" s="797"/>
      <c r="FR1695" s="797"/>
      <c r="FS1695" s="797"/>
      <c r="FT1695" s="797"/>
      <c r="FU1695" s="797"/>
      <c r="FV1695" s="797"/>
      <c r="FW1695" s="797"/>
      <c r="FX1695" s="797"/>
      <c r="FY1695" s="797"/>
      <c r="FZ1695" s="797"/>
      <c r="GA1695" s="797"/>
      <c r="GB1695" s="797"/>
      <c r="GC1695" s="797"/>
      <c r="GD1695" s="797"/>
      <c r="GE1695" s="797"/>
      <c r="GF1695" s="797"/>
      <c r="GG1695" s="797"/>
      <c r="GH1695" s="797"/>
      <c r="GI1695" s="797"/>
      <c r="GJ1695" s="797"/>
      <c r="GK1695" s="797"/>
      <c r="GL1695" s="797"/>
      <c r="GM1695" s="797"/>
      <c r="GN1695" s="797"/>
      <c r="GO1695" s="797"/>
      <c r="GP1695" s="797"/>
      <c r="GQ1695" s="797"/>
      <c r="GR1695" s="797"/>
      <c r="GS1695" s="797"/>
      <c r="GT1695" s="797"/>
      <c r="GU1695" s="797"/>
      <c r="GV1695" s="797"/>
      <c r="GW1695" s="797"/>
      <c r="GX1695" s="797"/>
      <c r="GY1695" s="797"/>
      <c r="GZ1695" s="797"/>
      <c r="HA1695" s="797"/>
      <c r="HB1695" s="797"/>
      <c r="HC1695" s="797"/>
      <c r="HD1695" s="797"/>
      <c r="HE1695" s="797"/>
      <c r="HF1695" s="797"/>
      <c r="HG1695" s="797"/>
      <c r="HH1695" s="797"/>
      <c r="HI1695" s="797"/>
      <c r="HJ1695" s="797"/>
      <c r="HK1695" s="797"/>
      <c r="HL1695" s="797"/>
      <c r="HM1695" s="797"/>
      <c r="HN1695" s="797"/>
      <c r="HO1695" s="797"/>
      <c r="HP1695" s="797"/>
      <c r="HQ1695" s="797"/>
      <c r="HR1695" s="797"/>
      <c r="HS1695" s="797"/>
      <c r="HT1695" s="797"/>
      <c r="HU1695" s="797"/>
      <c r="HV1695" s="797"/>
      <c r="HW1695" s="797"/>
      <c r="HX1695" s="797"/>
      <c r="HY1695" s="797"/>
      <c r="HZ1695" s="797"/>
      <c r="IA1695" s="797"/>
      <c r="IB1695" s="797"/>
      <c r="IC1695" s="797"/>
      <c r="ID1695" s="797"/>
      <c r="IE1695" s="797"/>
      <c r="IF1695" s="797"/>
      <c r="IG1695" s="797"/>
      <c r="IH1695" s="797"/>
      <c r="II1695" s="797"/>
      <c r="IJ1695" s="797"/>
      <c r="IK1695" s="797"/>
      <c r="IL1695" s="797"/>
      <c r="IM1695" s="797"/>
      <c r="IN1695" s="797"/>
      <c r="IO1695" s="797"/>
    </row>
    <row r="1696" spans="1:249" ht="66">
      <c r="A1696" s="794"/>
      <c r="B1696" s="6"/>
      <c r="C1696" s="794"/>
      <c r="D1696" s="794"/>
      <c r="E1696" s="794"/>
      <c r="F1696" s="794"/>
      <c r="G1696" s="794"/>
      <c r="H1696" s="794"/>
      <c r="I1696" s="407" t="s">
        <v>2224</v>
      </c>
      <c r="J1696" s="6" t="s">
        <v>2225</v>
      </c>
      <c r="K1696" s="795">
        <v>24</v>
      </c>
      <c r="L1696" s="1212">
        <v>960000000</v>
      </c>
      <c r="M1696" s="795">
        <v>12</v>
      </c>
      <c r="N1696" s="1212">
        <v>258356214.00000003</v>
      </c>
      <c r="O1696" s="795">
        <v>24</v>
      </c>
      <c r="P1696" s="1212">
        <v>48685000</v>
      </c>
      <c r="Q1696" s="1211">
        <v>1</v>
      </c>
      <c r="R1696" s="1212">
        <v>1554000</v>
      </c>
      <c r="S1696" s="1228">
        <v>1</v>
      </c>
      <c r="T1696" s="1228">
        <v>12417700</v>
      </c>
      <c r="U1696" s="1229">
        <v>0</v>
      </c>
      <c r="V1696" s="1229">
        <v>0</v>
      </c>
      <c r="W1696" s="1229">
        <v>0</v>
      </c>
      <c r="X1696" s="1229">
        <v>0</v>
      </c>
      <c r="Y1696" s="1216">
        <f t="shared" si="495"/>
        <v>2</v>
      </c>
      <c r="Z1696" s="1212">
        <f t="shared" si="496"/>
        <v>13971700</v>
      </c>
      <c r="AA1696" s="795">
        <f t="shared" si="497"/>
        <v>14</v>
      </c>
      <c r="AB1696" s="1212">
        <f t="shared" si="498"/>
        <v>272327914</v>
      </c>
      <c r="AC1696" s="1215">
        <f t="shared" si="499"/>
        <v>58.333333333333336</v>
      </c>
      <c r="AD1696" s="1215">
        <f t="shared" si="500"/>
        <v>28.367491041666664</v>
      </c>
      <c r="AE1696" s="794"/>
      <c r="AF1696" s="798"/>
      <c r="AG1696" s="798"/>
      <c r="AH1696" s="798"/>
      <c r="AI1696" s="798"/>
      <c r="AJ1696" s="798"/>
      <c r="AK1696" s="798"/>
      <c r="AL1696" s="798"/>
      <c r="AM1696" s="798"/>
      <c r="AN1696" s="798"/>
      <c r="AO1696" s="798"/>
      <c r="AP1696" s="798"/>
      <c r="AQ1696" s="798"/>
      <c r="AR1696" s="798"/>
      <c r="AS1696" s="798"/>
      <c r="AT1696" s="798"/>
      <c r="AU1696" s="798"/>
      <c r="AV1696" s="798"/>
      <c r="AW1696" s="798"/>
      <c r="AX1696" s="798"/>
      <c r="AY1696" s="798"/>
      <c r="AZ1696" s="798"/>
      <c r="BA1696" s="798"/>
      <c r="BB1696" s="798"/>
      <c r="BC1696" s="799"/>
      <c r="BD1696" s="799"/>
      <c r="BE1696" s="799"/>
      <c r="BF1696" s="799"/>
      <c r="BG1696" s="799"/>
      <c r="BH1696" s="799"/>
      <c r="BI1696" s="799"/>
      <c r="BJ1696" s="799"/>
      <c r="BK1696" s="799"/>
      <c r="BL1696" s="799"/>
      <c r="BM1696" s="799"/>
      <c r="BN1696" s="799"/>
      <c r="BO1696" s="799"/>
      <c r="BP1696" s="799"/>
      <c r="BQ1696" s="799"/>
      <c r="BR1696" s="799"/>
      <c r="BS1696" s="799"/>
      <c r="BT1696" s="799"/>
      <c r="BU1696" s="799"/>
      <c r="BV1696" s="799"/>
      <c r="BW1696" s="799"/>
      <c r="BX1696" s="799"/>
      <c r="BY1696" s="799"/>
      <c r="BZ1696" s="799"/>
      <c r="CA1696" s="799"/>
      <c r="CB1696" s="799"/>
      <c r="CC1696" s="799"/>
      <c r="CD1696" s="799"/>
      <c r="CE1696" s="799"/>
      <c r="CF1696" s="799"/>
      <c r="CG1696" s="799"/>
      <c r="CH1696" s="799"/>
      <c r="CI1696" s="799"/>
      <c r="CJ1696" s="799"/>
      <c r="CK1696" s="799"/>
      <c r="CL1696" s="799"/>
      <c r="CM1696" s="799"/>
      <c r="CN1696" s="799"/>
      <c r="CO1696" s="799"/>
      <c r="CP1696" s="799"/>
      <c r="CQ1696" s="799"/>
      <c r="CR1696" s="799"/>
      <c r="CS1696" s="799"/>
      <c r="CT1696" s="799"/>
      <c r="CU1696" s="799"/>
      <c r="CV1696" s="799"/>
      <c r="CW1696" s="799"/>
      <c r="CX1696" s="799"/>
      <c r="CY1696" s="799"/>
      <c r="CZ1696" s="799"/>
      <c r="DA1696" s="799"/>
      <c r="DB1696" s="799"/>
      <c r="DC1696" s="799"/>
      <c r="DD1696" s="799"/>
      <c r="DE1696" s="799"/>
      <c r="DF1696" s="799"/>
      <c r="DG1696" s="799"/>
      <c r="DH1696" s="799"/>
      <c r="DI1696" s="799"/>
      <c r="DJ1696" s="799"/>
      <c r="DK1696" s="799"/>
      <c r="DL1696" s="799"/>
      <c r="DM1696" s="799"/>
      <c r="DN1696" s="799"/>
      <c r="DO1696" s="799"/>
      <c r="DP1696" s="799"/>
      <c r="DQ1696" s="799"/>
      <c r="DR1696" s="799"/>
      <c r="DS1696" s="799"/>
      <c r="DT1696" s="799"/>
      <c r="DU1696" s="799"/>
      <c r="DV1696" s="799"/>
      <c r="DW1696" s="799"/>
      <c r="DX1696" s="799"/>
      <c r="DY1696" s="799"/>
      <c r="DZ1696" s="799"/>
      <c r="EA1696" s="799"/>
      <c r="EB1696" s="799"/>
      <c r="EC1696" s="799"/>
      <c r="ED1696" s="799"/>
      <c r="EE1696" s="799"/>
      <c r="EF1696" s="799"/>
      <c r="EG1696" s="799"/>
      <c r="EH1696" s="799"/>
      <c r="EI1696" s="799"/>
      <c r="EJ1696" s="799"/>
      <c r="EK1696" s="799"/>
      <c r="EL1696" s="799"/>
      <c r="EM1696" s="799"/>
      <c r="EN1696" s="799"/>
      <c r="EO1696" s="799"/>
      <c r="EP1696" s="799"/>
      <c r="EQ1696" s="799"/>
      <c r="ER1696" s="799"/>
      <c r="ES1696" s="799"/>
      <c r="ET1696" s="799"/>
      <c r="EU1696" s="799"/>
      <c r="EV1696" s="799"/>
      <c r="EW1696" s="799"/>
      <c r="EX1696" s="799"/>
      <c r="EY1696" s="799"/>
      <c r="EZ1696" s="799"/>
      <c r="FA1696" s="799"/>
      <c r="FB1696" s="799"/>
      <c r="FC1696" s="799"/>
      <c r="FD1696" s="799"/>
      <c r="FE1696" s="799"/>
      <c r="FF1696" s="799"/>
      <c r="FG1696" s="799"/>
      <c r="FH1696" s="799"/>
      <c r="FI1696" s="799"/>
      <c r="FJ1696" s="799"/>
      <c r="FK1696" s="799"/>
      <c r="FL1696" s="799"/>
      <c r="FM1696" s="799"/>
      <c r="FN1696" s="799"/>
      <c r="FO1696" s="799"/>
      <c r="FP1696" s="799"/>
      <c r="FQ1696" s="799"/>
      <c r="FR1696" s="799"/>
      <c r="FS1696" s="799"/>
      <c r="FT1696" s="799"/>
      <c r="FU1696" s="799"/>
      <c r="FV1696" s="799"/>
      <c r="FW1696" s="799"/>
      <c r="FX1696" s="799"/>
      <c r="FY1696" s="799"/>
      <c r="FZ1696" s="799"/>
      <c r="GA1696" s="799"/>
      <c r="GB1696" s="799"/>
      <c r="GC1696" s="799"/>
      <c r="GD1696" s="799"/>
      <c r="GE1696" s="799"/>
      <c r="GF1696" s="799"/>
      <c r="GG1696" s="799"/>
      <c r="GH1696" s="799"/>
      <c r="GI1696" s="799"/>
      <c r="GJ1696" s="799"/>
      <c r="GK1696" s="799"/>
      <c r="GL1696" s="799"/>
      <c r="GM1696" s="799"/>
      <c r="GN1696" s="799"/>
      <c r="GO1696" s="799"/>
      <c r="GP1696" s="799"/>
      <c r="GQ1696" s="799"/>
      <c r="GR1696" s="799"/>
      <c r="GS1696" s="799"/>
      <c r="GT1696" s="799"/>
      <c r="GU1696" s="799"/>
      <c r="GV1696" s="799"/>
      <c r="GW1696" s="799"/>
      <c r="GX1696" s="799"/>
      <c r="GY1696" s="799"/>
      <c r="GZ1696" s="799"/>
      <c r="HA1696" s="799"/>
      <c r="HB1696" s="799"/>
      <c r="HC1696" s="799"/>
      <c r="HD1696" s="799"/>
      <c r="HE1696" s="799"/>
      <c r="HF1696" s="799"/>
      <c r="HG1696" s="799"/>
      <c r="HH1696" s="799"/>
      <c r="HI1696" s="799"/>
      <c r="HJ1696" s="799"/>
      <c r="HK1696" s="799"/>
      <c r="HL1696" s="799"/>
      <c r="HM1696" s="799"/>
      <c r="HN1696" s="799"/>
      <c r="HO1696" s="799"/>
      <c r="HP1696" s="799"/>
      <c r="HQ1696" s="799"/>
      <c r="HR1696" s="799"/>
      <c r="HS1696" s="799"/>
      <c r="HT1696" s="799"/>
      <c r="HU1696" s="799"/>
      <c r="HV1696" s="799"/>
      <c r="HW1696" s="799"/>
      <c r="HX1696" s="799"/>
      <c r="HY1696" s="799"/>
      <c r="HZ1696" s="799"/>
      <c r="IA1696" s="799"/>
      <c r="IB1696" s="799"/>
      <c r="IC1696" s="799"/>
      <c r="ID1696" s="799"/>
      <c r="IE1696" s="799"/>
      <c r="IF1696" s="799"/>
      <c r="IG1696" s="799"/>
      <c r="IH1696" s="799"/>
      <c r="II1696" s="799"/>
      <c r="IJ1696" s="799"/>
      <c r="IK1696" s="799"/>
      <c r="IL1696" s="799"/>
      <c r="IM1696" s="799"/>
      <c r="IN1696" s="799"/>
      <c r="IO1696" s="799"/>
    </row>
    <row r="1697" spans="1:249" ht="66">
      <c r="A1697" s="794"/>
      <c r="B1697" s="6"/>
      <c r="C1697" s="794"/>
      <c r="D1697" s="794"/>
      <c r="E1697" s="794"/>
      <c r="F1697" s="794"/>
      <c r="G1697" s="794"/>
      <c r="H1697" s="794"/>
      <c r="I1697" s="407" t="s">
        <v>2226</v>
      </c>
      <c r="J1697" s="6" t="s">
        <v>2227</v>
      </c>
      <c r="K1697" s="795">
        <v>10</v>
      </c>
      <c r="L1697" s="1212">
        <v>525000000</v>
      </c>
      <c r="M1697" s="795">
        <v>4</v>
      </c>
      <c r="N1697" s="1212">
        <v>113053270</v>
      </c>
      <c r="O1697" s="795">
        <v>2</v>
      </c>
      <c r="P1697" s="1212">
        <v>201900000</v>
      </c>
      <c r="Q1697" s="1230">
        <v>1</v>
      </c>
      <c r="R1697" s="1212">
        <v>384000</v>
      </c>
      <c r="S1697" s="1229">
        <v>0</v>
      </c>
      <c r="T1697" s="1228">
        <v>0</v>
      </c>
      <c r="U1697" s="1229">
        <v>0</v>
      </c>
      <c r="V1697" s="1229">
        <v>0</v>
      </c>
      <c r="W1697" s="1229">
        <v>0</v>
      </c>
      <c r="X1697" s="1229">
        <v>0</v>
      </c>
      <c r="Y1697" s="1216">
        <f t="shared" si="495"/>
        <v>1</v>
      </c>
      <c r="Z1697" s="1228">
        <f t="shared" si="496"/>
        <v>384000</v>
      </c>
      <c r="AA1697" s="795">
        <f t="shared" si="497"/>
        <v>5</v>
      </c>
      <c r="AB1697" s="1212">
        <f t="shared" si="498"/>
        <v>113437270</v>
      </c>
      <c r="AC1697" s="1215">
        <f t="shared" si="499"/>
        <v>50</v>
      </c>
      <c r="AD1697" s="1215">
        <f t="shared" si="500"/>
        <v>21.607099047619048</v>
      </c>
      <c r="AE1697" s="794"/>
      <c r="AF1697" s="200"/>
      <c r="AG1697" s="200"/>
      <c r="AH1697" s="200"/>
      <c r="AI1697" s="200"/>
      <c r="AJ1697" s="200"/>
      <c r="AK1697" s="200"/>
      <c r="AL1697" s="200"/>
      <c r="AM1697" s="200"/>
      <c r="AN1697" s="200"/>
      <c r="AO1697" s="200"/>
      <c r="AP1697" s="200"/>
      <c r="AQ1697" s="200"/>
      <c r="AR1697" s="200"/>
      <c r="AS1697" s="200"/>
      <c r="AT1697" s="200"/>
      <c r="AU1697" s="200"/>
      <c r="AV1697" s="200"/>
      <c r="AW1697" s="200"/>
      <c r="AX1697" s="200"/>
      <c r="AY1697" s="200"/>
      <c r="AZ1697" s="200"/>
      <c r="BA1697" s="200"/>
      <c r="BB1697" s="200"/>
      <c r="BC1697" s="200"/>
      <c r="BD1697" s="200"/>
      <c r="BE1697" s="200"/>
      <c r="BF1697" s="200"/>
      <c r="BG1697" s="200"/>
      <c r="BH1697" s="200"/>
      <c r="BI1697" s="200"/>
      <c r="BJ1697" s="200"/>
      <c r="BK1697" s="200"/>
      <c r="BL1697" s="200"/>
      <c r="BM1697" s="200"/>
      <c r="BN1697" s="200"/>
      <c r="BO1697" s="200"/>
      <c r="BP1697" s="200"/>
      <c r="BQ1697" s="200"/>
      <c r="BR1697" s="200"/>
      <c r="BS1697" s="1234"/>
      <c r="BT1697" s="1234"/>
      <c r="BU1697" s="1234"/>
      <c r="BV1697" s="1234"/>
      <c r="BW1697" s="1234"/>
      <c r="BX1697" s="1234"/>
      <c r="BY1697" s="1234"/>
      <c r="BZ1697" s="1234"/>
      <c r="CA1697" s="1234"/>
      <c r="CB1697" s="1234"/>
      <c r="CC1697" s="1234"/>
      <c r="CD1697" s="1234"/>
      <c r="CE1697" s="1234"/>
      <c r="CF1697" s="1234"/>
      <c r="CG1697" s="1234"/>
      <c r="CH1697" s="1234"/>
      <c r="CI1697" s="1234"/>
      <c r="CJ1697" s="1234"/>
      <c r="CK1697" s="1234"/>
      <c r="CL1697" s="1234"/>
      <c r="CM1697" s="1234"/>
      <c r="CN1697" s="1234"/>
      <c r="CO1697" s="1234"/>
      <c r="CP1697" s="1234"/>
      <c r="CQ1697" s="1234"/>
      <c r="CR1697" s="1234"/>
      <c r="CS1697" s="1234"/>
      <c r="CT1697" s="1234"/>
      <c r="CU1697" s="1234"/>
      <c r="CV1697" s="1234"/>
      <c r="CW1697" s="1234"/>
      <c r="CX1697" s="1234"/>
      <c r="CY1697" s="1234"/>
      <c r="CZ1697" s="1234"/>
      <c r="DA1697" s="1234"/>
      <c r="DB1697" s="1234"/>
      <c r="DC1697" s="1234"/>
      <c r="DD1697" s="1234"/>
      <c r="DE1697" s="1234"/>
      <c r="DF1697" s="1234"/>
      <c r="DG1697" s="1234"/>
      <c r="DH1697" s="1234"/>
      <c r="DI1697" s="1234"/>
      <c r="DJ1697" s="1234"/>
      <c r="DK1697" s="1234"/>
      <c r="DL1697" s="1234"/>
      <c r="DM1697" s="1234"/>
      <c r="DN1697" s="1234"/>
      <c r="DO1697" s="1234"/>
      <c r="DP1697" s="1234"/>
      <c r="DQ1697" s="1234"/>
      <c r="DR1697" s="1234"/>
      <c r="DS1697" s="1234"/>
      <c r="DT1697" s="1234"/>
      <c r="DU1697" s="1234"/>
      <c r="DV1697" s="1234"/>
      <c r="DW1697" s="1234"/>
      <c r="DX1697" s="1234"/>
      <c r="DY1697" s="1234"/>
      <c r="DZ1697" s="1234"/>
      <c r="EA1697" s="1234"/>
      <c r="EB1697" s="1234"/>
      <c r="EC1697" s="1234"/>
      <c r="ED1697" s="1234"/>
      <c r="EE1697" s="1234"/>
      <c r="EF1697" s="1234"/>
      <c r="EG1697" s="1234"/>
      <c r="EH1697" s="1234"/>
      <c r="EI1697" s="1234"/>
      <c r="EJ1697" s="1234"/>
      <c r="EK1697" s="1234"/>
      <c r="EL1697" s="1234"/>
      <c r="EM1697" s="1234"/>
      <c r="EN1697" s="1234"/>
      <c r="EO1697" s="1234"/>
      <c r="EP1697" s="1234"/>
      <c r="EQ1697" s="1234"/>
      <c r="ER1697" s="1234"/>
      <c r="ES1697" s="1234"/>
      <c r="ET1697" s="1234"/>
      <c r="EU1697" s="1234"/>
      <c r="EV1697" s="1234"/>
      <c r="EW1697" s="1234"/>
      <c r="EX1697" s="1234"/>
      <c r="EY1697" s="1234"/>
      <c r="EZ1697" s="1234"/>
      <c r="FA1697" s="1234"/>
      <c r="FB1697" s="1234"/>
      <c r="FC1697" s="1234"/>
      <c r="FD1697" s="1234"/>
      <c r="FE1697" s="1234"/>
      <c r="FF1697" s="1234"/>
      <c r="FG1697" s="1234"/>
      <c r="FH1697" s="1234"/>
      <c r="FI1697" s="1234"/>
      <c r="FJ1697" s="1234"/>
      <c r="FK1697" s="1234"/>
      <c r="FL1697" s="1234"/>
      <c r="FM1697" s="1234"/>
      <c r="FN1697" s="1234"/>
      <c r="FO1697" s="1234"/>
      <c r="FP1697" s="1234"/>
      <c r="FQ1697" s="1234"/>
      <c r="FR1697" s="1234"/>
      <c r="FS1697" s="1234"/>
      <c r="FT1697" s="1234"/>
      <c r="FU1697" s="1234"/>
      <c r="FV1697" s="1234"/>
      <c r="FW1697" s="1234"/>
      <c r="FX1697" s="1234"/>
      <c r="FY1697" s="1234"/>
      <c r="FZ1697" s="1234"/>
      <c r="GA1697" s="1234"/>
      <c r="GB1697" s="1234"/>
      <c r="GC1697" s="1234"/>
      <c r="GD1697" s="1234"/>
      <c r="GE1697" s="1234"/>
      <c r="GF1697" s="1234"/>
      <c r="GG1697" s="1234"/>
      <c r="GH1697" s="1234"/>
      <c r="GI1697" s="1234"/>
      <c r="GJ1697" s="1234"/>
      <c r="GK1697" s="1234"/>
      <c r="GL1697" s="1234"/>
      <c r="GM1697" s="1234"/>
      <c r="GN1697" s="1234"/>
      <c r="GO1697" s="1234"/>
      <c r="GP1697" s="1234"/>
      <c r="GQ1697" s="1234"/>
      <c r="GR1697" s="1234"/>
      <c r="GS1697" s="1234"/>
      <c r="GT1697" s="1234"/>
      <c r="GU1697" s="1234"/>
      <c r="GV1697" s="1234"/>
      <c r="GW1697" s="1234"/>
      <c r="GX1697" s="1234"/>
      <c r="GY1697" s="1234"/>
      <c r="GZ1697" s="1234"/>
      <c r="HA1697" s="1234"/>
      <c r="HB1697" s="1234"/>
      <c r="HC1697" s="1234"/>
      <c r="HD1697" s="1234"/>
      <c r="HE1697" s="1234"/>
      <c r="HF1697" s="1234"/>
      <c r="HG1697" s="1234"/>
      <c r="HH1697" s="1234"/>
      <c r="HI1697" s="1234"/>
      <c r="HJ1697" s="1234"/>
      <c r="HK1697" s="1234"/>
      <c r="HL1697" s="1234"/>
      <c r="HM1697" s="1234"/>
      <c r="HN1697" s="1234"/>
      <c r="HO1697" s="1234"/>
      <c r="HP1697" s="1234"/>
      <c r="HQ1697" s="1234"/>
      <c r="HR1697" s="1234"/>
      <c r="HS1697" s="1234"/>
      <c r="HT1697" s="1234"/>
      <c r="HU1697" s="1234"/>
      <c r="HV1697" s="1234"/>
      <c r="HW1697" s="1234"/>
      <c r="HX1697" s="1234"/>
      <c r="HY1697" s="1234"/>
      <c r="HZ1697" s="1234"/>
      <c r="IA1697" s="1234"/>
      <c r="IB1697" s="1234"/>
      <c r="IC1697" s="1234"/>
      <c r="ID1697" s="1234"/>
      <c r="IE1697" s="1234"/>
      <c r="IF1697" s="1234"/>
      <c r="IG1697" s="1234"/>
      <c r="IH1697" s="1234"/>
      <c r="II1697" s="1234"/>
      <c r="IJ1697" s="1234"/>
      <c r="IK1697" s="1234"/>
      <c r="IL1697" s="1234"/>
      <c r="IM1697" s="1234"/>
      <c r="IN1697" s="1234"/>
      <c r="IO1697" s="1234"/>
    </row>
    <row r="1698" spans="1:249" ht="99">
      <c r="A1698" s="2554">
        <v>9</v>
      </c>
      <c r="B1698" s="44"/>
      <c r="C1698" s="286"/>
      <c r="D1698" s="286"/>
      <c r="E1698" s="286"/>
      <c r="F1698" s="286"/>
      <c r="G1698" s="286"/>
      <c r="H1698" s="286"/>
      <c r="I1698" s="44" t="s">
        <v>2228</v>
      </c>
      <c r="J1698" s="46" t="s">
        <v>3201</v>
      </c>
      <c r="K1698" s="146">
        <v>100</v>
      </c>
      <c r="L1698" s="833">
        <v>1787000000</v>
      </c>
      <c r="M1698" s="146">
        <v>70</v>
      </c>
      <c r="N1698" s="147">
        <f>SUM(N1699:N1700)</f>
        <v>506007030</v>
      </c>
      <c r="O1698" s="146">
        <v>10</v>
      </c>
      <c r="P1698" s="147">
        <f>SUM(P1699:P1700)</f>
        <v>100428978</v>
      </c>
      <c r="Q1698" s="289">
        <v>6</v>
      </c>
      <c r="R1698" s="833">
        <f>SUM(R1699:R1700)</f>
        <v>6500250</v>
      </c>
      <c r="S1698" s="833">
        <f>SUM(S1699:S1700)</f>
        <v>6</v>
      </c>
      <c r="T1698" s="833">
        <f>SUM(T1699:T1700)</f>
        <v>14975577</v>
      </c>
      <c r="U1698" s="833">
        <f t="shared" ref="U1698:X1698" si="501">SUM(U1699:U1700)</f>
        <v>0</v>
      </c>
      <c r="V1698" s="833">
        <f t="shared" si="501"/>
        <v>0</v>
      </c>
      <c r="W1698" s="833">
        <f t="shared" si="501"/>
        <v>0</v>
      </c>
      <c r="X1698" s="833">
        <f t="shared" si="501"/>
        <v>0</v>
      </c>
      <c r="Y1698" s="868">
        <f t="shared" si="495"/>
        <v>12</v>
      </c>
      <c r="Z1698" s="833">
        <f t="shared" si="496"/>
        <v>21475827</v>
      </c>
      <c r="AA1698" s="146">
        <f t="shared" si="497"/>
        <v>82</v>
      </c>
      <c r="AB1698" s="833">
        <f t="shared" si="498"/>
        <v>527482857</v>
      </c>
      <c r="AC1698" s="868">
        <f t="shared" si="499"/>
        <v>82</v>
      </c>
      <c r="AD1698" s="868">
        <f t="shared" si="500"/>
        <v>29.517787185226634</v>
      </c>
      <c r="AE1698" s="2554" t="s">
        <v>223</v>
      </c>
      <c r="AF1698" s="861"/>
      <c r="AG1698" s="861"/>
      <c r="AH1698" s="861"/>
      <c r="AI1698" s="861"/>
      <c r="AJ1698" s="861"/>
      <c r="AK1698" s="861"/>
      <c r="AL1698" s="861"/>
      <c r="AM1698" s="861"/>
      <c r="AN1698" s="861"/>
      <c r="AO1698" s="861"/>
      <c r="AP1698" s="861"/>
      <c r="AQ1698" s="861"/>
      <c r="AR1698" s="861"/>
      <c r="AS1698" s="861"/>
      <c r="AT1698" s="861"/>
      <c r="AU1698" s="861"/>
      <c r="AV1698" s="861"/>
      <c r="AW1698" s="861"/>
      <c r="AX1698" s="861"/>
      <c r="AY1698" s="861"/>
      <c r="AZ1698" s="861"/>
      <c r="BA1698" s="861"/>
      <c r="BB1698" s="861"/>
      <c r="BC1698" s="862"/>
      <c r="BD1698" s="862"/>
      <c r="BE1698" s="862"/>
      <c r="BF1698" s="862"/>
      <c r="BG1698" s="862"/>
      <c r="BH1698" s="862"/>
      <c r="BI1698" s="862"/>
      <c r="BJ1698" s="862"/>
      <c r="BK1698" s="862"/>
      <c r="BL1698" s="862"/>
      <c r="BM1698" s="862"/>
      <c r="BN1698" s="862"/>
      <c r="BO1698" s="862"/>
      <c r="BP1698" s="862"/>
      <c r="BQ1698" s="862"/>
      <c r="BR1698" s="862"/>
      <c r="BS1698" s="1235"/>
      <c r="BT1698" s="1235"/>
      <c r="BU1698" s="1235"/>
      <c r="BV1698" s="1235"/>
      <c r="BW1698" s="1235"/>
      <c r="BX1698" s="1235"/>
      <c r="BY1698" s="1235"/>
      <c r="BZ1698" s="1235"/>
      <c r="CA1698" s="1235"/>
      <c r="CB1698" s="1235"/>
      <c r="CC1698" s="1235"/>
      <c r="CD1698" s="1235"/>
      <c r="CE1698" s="1235"/>
      <c r="CF1698" s="1235"/>
      <c r="CG1698" s="1235"/>
      <c r="CH1698" s="1235"/>
      <c r="CI1698" s="1235"/>
      <c r="CJ1698" s="1235"/>
      <c r="CK1698" s="1235"/>
      <c r="CL1698" s="1235"/>
      <c r="CM1698" s="1235"/>
      <c r="CN1698" s="1235"/>
      <c r="CO1698" s="1235"/>
      <c r="CP1698" s="1235"/>
      <c r="CQ1698" s="1235"/>
      <c r="CR1698" s="1235"/>
      <c r="CS1698" s="1235"/>
      <c r="CT1698" s="1235"/>
      <c r="CU1698" s="1235"/>
      <c r="CV1698" s="1235"/>
      <c r="CW1698" s="1235"/>
      <c r="CX1698" s="1235"/>
      <c r="CY1698" s="1235"/>
      <c r="CZ1698" s="1235"/>
      <c r="DA1698" s="1235"/>
      <c r="DB1698" s="1235"/>
      <c r="DC1698" s="1235"/>
      <c r="DD1698" s="1235"/>
      <c r="DE1698" s="1235"/>
      <c r="DF1698" s="1235"/>
      <c r="DG1698" s="1235"/>
      <c r="DH1698" s="1235"/>
      <c r="DI1698" s="1235"/>
      <c r="DJ1698" s="1235"/>
      <c r="DK1698" s="1235"/>
      <c r="DL1698" s="1235"/>
      <c r="DM1698" s="1235"/>
      <c r="DN1698" s="1235"/>
      <c r="DO1698" s="1235"/>
      <c r="DP1698" s="1235"/>
      <c r="DQ1698" s="1235"/>
      <c r="DR1698" s="1235"/>
      <c r="DS1698" s="1235"/>
      <c r="DT1698" s="1235"/>
      <c r="DU1698" s="1235"/>
      <c r="DV1698" s="1235"/>
      <c r="DW1698" s="1235"/>
      <c r="DX1698" s="1235"/>
      <c r="DY1698" s="1235"/>
      <c r="DZ1698" s="1235"/>
      <c r="EA1698" s="1235"/>
      <c r="EB1698" s="1235"/>
      <c r="EC1698" s="1235"/>
      <c r="ED1698" s="1235"/>
      <c r="EE1698" s="1235"/>
      <c r="EF1698" s="1235"/>
      <c r="EG1698" s="1235"/>
      <c r="EH1698" s="1235"/>
      <c r="EI1698" s="1235"/>
      <c r="EJ1698" s="1235"/>
      <c r="EK1698" s="1235"/>
      <c r="EL1698" s="1235"/>
      <c r="EM1698" s="1235"/>
      <c r="EN1698" s="1235"/>
      <c r="EO1698" s="1235"/>
      <c r="EP1698" s="1235"/>
      <c r="EQ1698" s="1235"/>
      <c r="ER1698" s="1235"/>
      <c r="ES1698" s="1235"/>
      <c r="ET1698" s="1235"/>
      <c r="EU1698" s="1235"/>
      <c r="EV1698" s="1235"/>
      <c r="EW1698" s="1235"/>
      <c r="EX1698" s="1235"/>
      <c r="EY1698" s="1235"/>
      <c r="EZ1698" s="1235"/>
      <c r="FA1698" s="1235"/>
      <c r="FB1698" s="1235"/>
      <c r="FC1698" s="1235"/>
      <c r="FD1698" s="1235"/>
      <c r="FE1698" s="1235"/>
      <c r="FF1698" s="1235"/>
      <c r="FG1698" s="1235"/>
      <c r="FH1698" s="1235"/>
      <c r="FI1698" s="1235"/>
      <c r="FJ1698" s="1235"/>
      <c r="FK1698" s="1235"/>
      <c r="FL1698" s="1235"/>
      <c r="FM1698" s="1235"/>
      <c r="FN1698" s="1235"/>
      <c r="FO1698" s="1235"/>
      <c r="FP1698" s="1235"/>
      <c r="FQ1698" s="1235"/>
      <c r="FR1698" s="1235"/>
      <c r="FS1698" s="1235"/>
      <c r="FT1698" s="1235"/>
      <c r="FU1698" s="1235"/>
      <c r="FV1698" s="1235"/>
      <c r="FW1698" s="1235"/>
      <c r="FX1698" s="1235"/>
      <c r="FY1698" s="1235"/>
      <c r="FZ1698" s="1235"/>
      <c r="GA1698" s="1235"/>
      <c r="GB1698" s="1235"/>
      <c r="GC1698" s="1235"/>
      <c r="GD1698" s="1235"/>
      <c r="GE1698" s="1235"/>
      <c r="GF1698" s="1235"/>
      <c r="GG1698" s="1235"/>
      <c r="GH1698" s="1235"/>
      <c r="GI1698" s="1235"/>
      <c r="GJ1698" s="1235"/>
      <c r="GK1698" s="1235"/>
      <c r="GL1698" s="1235"/>
      <c r="GM1698" s="1235"/>
      <c r="GN1698" s="1235"/>
      <c r="GO1698" s="1235"/>
      <c r="GP1698" s="1235"/>
      <c r="GQ1698" s="1235"/>
      <c r="GR1698" s="1235"/>
      <c r="GS1698" s="1235"/>
      <c r="GT1698" s="1235"/>
      <c r="GU1698" s="1235"/>
      <c r="GV1698" s="1235"/>
      <c r="GW1698" s="1235"/>
      <c r="GX1698" s="1235"/>
      <c r="GY1698" s="1235"/>
      <c r="GZ1698" s="1235"/>
      <c r="HA1698" s="1235"/>
      <c r="HB1698" s="1235"/>
      <c r="HC1698" s="1235"/>
      <c r="HD1698" s="1235"/>
      <c r="HE1698" s="1235"/>
      <c r="HF1698" s="1235"/>
      <c r="HG1698" s="1235"/>
      <c r="HH1698" s="1235"/>
      <c r="HI1698" s="1235"/>
      <c r="HJ1698" s="1235"/>
      <c r="HK1698" s="1235"/>
      <c r="HL1698" s="1235"/>
      <c r="HM1698" s="1235"/>
      <c r="HN1698" s="1235"/>
      <c r="HO1698" s="1235"/>
      <c r="HP1698" s="1235"/>
      <c r="HQ1698" s="1235"/>
      <c r="HR1698" s="1235"/>
      <c r="HS1698" s="1235"/>
      <c r="HT1698" s="1235"/>
      <c r="HU1698" s="1235"/>
      <c r="HV1698" s="1235"/>
      <c r="HW1698" s="1235"/>
      <c r="HX1698" s="1235"/>
      <c r="HY1698" s="1235"/>
      <c r="HZ1698" s="1235"/>
      <c r="IA1698" s="1235"/>
      <c r="IB1698" s="1235"/>
      <c r="IC1698" s="1235"/>
      <c r="ID1698" s="1235"/>
      <c r="IE1698" s="1235"/>
      <c r="IF1698" s="1235"/>
      <c r="IG1698" s="1235"/>
      <c r="IH1698" s="1235"/>
      <c r="II1698" s="1235"/>
      <c r="IJ1698" s="1235"/>
      <c r="IK1698" s="1235"/>
      <c r="IL1698" s="1235"/>
      <c r="IM1698" s="1235"/>
      <c r="IN1698" s="1235"/>
      <c r="IO1698" s="1235"/>
    </row>
    <row r="1699" spans="1:249" ht="66">
      <c r="A1699" s="794"/>
      <c r="B1699" s="6"/>
      <c r="C1699" s="794"/>
      <c r="D1699" s="794"/>
      <c r="E1699" s="794"/>
      <c r="F1699" s="794"/>
      <c r="G1699" s="794"/>
      <c r="H1699" s="794"/>
      <c r="I1699" s="407" t="s">
        <v>2229</v>
      </c>
      <c r="J1699" s="6" t="s">
        <v>3202</v>
      </c>
      <c r="K1699" s="795">
        <v>72</v>
      </c>
      <c r="L1699" s="1212">
        <v>527000000</v>
      </c>
      <c r="M1699" s="795">
        <v>36</v>
      </c>
      <c r="N1699" s="1212">
        <v>178155430</v>
      </c>
      <c r="O1699" s="107">
        <v>12</v>
      </c>
      <c r="P1699" s="1212">
        <v>27225000</v>
      </c>
      <c r="Q1699" s="1211">
        <v>3</v>
      </c>
      <c r="R1699" s="1212">
        <v>1000000</v>
      </c>
      <c r="S1699" s="1212">
        <v>3</v>
      </c>
      <c r="T1699" s="1212">
        <v>4790500</v>
      </c>
      <c r="U1699" s="1225">
        <v>0</v>
      </c>
      <c r="V1699" s="1225">
        <v>0</v>
      </c>
      <c r="W1699" s="1225">
        <v>0</v>
      </c>
      <c r="X1699" s="1225">
        <v>0</v>
      </c>
      <c r="Y1699" s="1216">
        <f t="shared" si="495"/>
        <v>6</v>
      </c>
      <c r="Z1699" s="1212">
        <f t="shared" si="496"/>
        <v>5790500</v>
      </c>
      <c r="AA1699" s="795">
        <f t="shared" si="497"/>
        <v>42</v>
      </c>
      <c r="AB1699" s="1212">
        <f t="shared" si="498"/>
        <v>183945930</v>
      </c>
      <c r="AC1699" s="1236">
        <f t="shared" si="499"/>
        <v>58.333333333333336</v>
      </c>
      <c r="AD1699" s="1215">
        <f t="shared" si="500"/>
        <v>34.90435104364326</v>
      </c>
      <c r="AE1699" s="794"/>
      <c r="AF1699" s="201"/>
      <c r="AG1699" s="201"/>
      <c r="AH1699" s="201"/>
      <c r="AI1699" s="201"/>
      <c r="AJ1699" s="201"/>
      <c r="AK1699" s="201"/>
      <c r="AL1699" s="201"/>
      <c r="AM1699" s="201"/>
      <c r="AN1699" s="201"/>
      <c r="AO1699" s="201"/>
      <c r="AP1699" s="201"/>
      <c r="AQ1699" s="201"/>
      <c r="AR1699" s="201"/>
      <c r="AS1699" s="201"/>
      <c r="AT1699" s="201"/>
      <c r="AU1699" s="201"/>
      <c r="AV1699" s="201"/>
      <c r="AW1699" s="201"/>
      <c r="AX1699" s="201"/>
      <c r="AY1699" s="201"/>
      <c r="AZ1699" s="201"/>
      <c r="BA1699" s="201"/>
      <c r="BB1699" s="201"/>
      <c r="BC1699" s="20"/>
      <c r="BD1699" s="20"/>
      <c r="BE1699" s="20"/>
      <c r="BF1699" s="20"/>
      <c r="BG1699" s="20"/>
      <c r="BH1699" s="20"/>
      <c r="BI1699" s="20"/>
      <c r="BJ1699" s="20"/>
      <c r="BK1699" s="20"/>
      <c r="BL1699" s="20"/>
      <c r="BM1699" s="20"/>
      <c r="BN1699" s="20"/>
      <c r="BO1699" s="20"/>
      <c r="BP1699" s="20"/>
      <c r="BQ1699" s="20"/>
      <c r="BR1699" s="20"/>
      <c r="BS1699" s="20"/>
      <c r="BT1699" s="20"/>
      <c r="BU1699" s="20"/>
      <c r="BV1699" s="20"/>
      <c r="BW1699" s="20"/>
      <c r="BX1699" s="20"/>
      <c r="BY1699" s="20"/>
      <c r="BZ1699" s="20"/>
      <c r="CA1699" s="20"/>
      <c r="CB1699" s="20"/>
      <c r="CC1699" s="20"/>
      <c r="CD1699" s="20"/>
      <c r="CE1699" s="20"/>
      <c r="CF1699" s="20"/>
      <c r="CG1699" s="20"/>
      <c r="CH1699" s="20"/>
      <c r="CI1699" s="20"/>
      <c r="CJ1699" s="20"/>
      <c r="CK1699" s="20"/>
      <c r="CL1699" s="20"/>
      <c r="CM1699" s="20"/>
      <c r="CN1699" s="20"/>
      <c r="CO1699" s="20"/>
      <c r="CP1699" s="20"/>
      <c r="CQ1699" s="20"/>
      <c r="CR1699" s="20"/>
      <c r="CS1699" s="20"/>
      <c r="CT1699" s="20"/>
      <c r="CU1699" s="20"/>
      <c r="CV1699" s="20"/>
      <c r="CW1699" s="20"/>
      <c r="CX1699" s="20"/>
      <c r="CY1699" s="20"/>
      <c r="CZ1699" s="20"/>
      <c r="DA1699" s="20"/>
      <c r="DB1699" s="20"/>
      <c r="DC1699" s="20"/>
      <c r="DD1699" s="20"/>
      <c r="DE1699" s="20"/>
      <c r="DF1699" s="20"/>
      <c r="DG1699" s="20"/>
      <c r="DH1699" s="20"/>
      <c r="DI1699" s="20"/>
      <c r="DJ1699" s="20"/>
      <c r="DK1699" s="20"/>
      <c r="DL1699" s="20"/>
      <c r="DM1699" s="20"/>
      <c r="DN1699" s="20"/>
      <c r="DO1699" s="20"/>
      <c r="DP1699" s="20"/>
      <c r="DQ1699" s="20"/>
      <c r="DR1699" s="20"/>
      <c r="DS1699" s="20"/>
      <c r="DT1699" s="20"/>
      <c r="DU1699" s="20"/>
      <c r="DV1699" s="20"/>
      <c r="DW1699" s="20"/>
      <c r="DX1699" s="20"/>
      <c r="DY1699" s="20"/>
      <c r="DZ1699" s="20"/>
      <c r="EA1699" s="20"/>
      <c r="EB1699" s="20"/>
      <c r="EC1699" s="20"/>
      <c r="ED1699" s="20"/>
      <c r="EE1699" s="20"/>
      <c r="EF1699" s="20"/>
      <c r="EG1699" s="20"/>
      <c r="EH1699" s="20"/>
      <c r="EI1699" s="20"/>
      <c r="EJ1699" s="20"/>
      <c r="EK1699" s="20"/>
      <c r="EL1699" s="20"/>
      <c r="EM1699" s="20"/>
      <c r="EN1699" s="20"/>
      <c r="EO1699" s="20"/>
      <c r="EP1699" s="20"/>
      <c r="EQ1699" s="20"/>
      <c r="ER1699" s="20"/>
      <c r="ES1699" s="20"/>
      <c r="ET1699" s="20"/>
      <c r="EU1699" s="20"/>
      <c r="EV1699" s="20"/>
      <c r="EW1699" s="20"/>
      <c r="EX1699" s="20"/>
      <c r="EY1699" s="20"/>
      <c r="EZ1699" s="20"/>
      <c r="FA1699" s="20"/>
      <c r="FB1699" s="20"/>
      <c r="FC1699" s="20"/>
      <c r="FD1699" s="20"/>
      <c r="FE1699" s="20"/>
      <c r="FF1699" s="20"/>
      <c r="FG1699" s="20"/>
      <c r="FH1699" s="20"/>
      <c r="FI1699" s="20"/>
      <c r="FJ1699" s="20"/>
      <c r="FK1699" s="20"/>
      <c r="FL1699" s="20"/>
      <c r="FM1699" s="20"/>
      <c r="FN1699" s="20"/>
      <c r="FO1699" s="20"/>
      <c r="FP1699" s="20"/>
      <c r="FQ1699" s="20"/>
      <c r="FR1699" s="20"/>
      <c r="FS1699" s="20"/>
      <c r="FT1699" s="20"/>
      <c r="FU1699" s="20"/>
      <c r="FV1699" s="20"/>
      <c r="FW1699" s="20"/>
      <c r="FX1699" s="20"/>
      <c r="FY1699" s="20"/>
      <c r="FZ1699" s="20"/>
      <c r="GA1699" s="20"/>
      <c r="GB1699" s="20"/>
      <c r="GC1699" s="20"/>
      <c r="GD1699" s="20"/>
      <c r="GE1699" s="20"/>
      <c r="GF1699" s="20"/>
      <c r="GG1699" s="20"/>
      <c r="GH1699" s="20"/>
      <c r="GI1699" s="20"/>
      <c r="GJ1699" s="20"/>
      <c r="GK1699" s="20"/>
      <c r="GL1699" s="20"/>
      <c r="GM1699" s="20"/>
      <c r="GN1699" s="20"/>
      <c r="GO1699" s="20"/>
      <c r="GP1699" s="20"/>
      <c r="GQ1699" s="20"/>
      <c r="GR1699" s="20"/>
      <c r="GS1699" s="20"/>
      <c r="GT1699" s="20"/>
      <c r="GU1699" s="20"/>
      <c r="GV1699" s="20"/>
      <c r="GW1699" s="20"/>
      <c r="GX1699" s="20"/>
      <c r="GY1699" s="20"/>
      <c r="GZ1699" s="20"/>
      <c r="HA1699" s="20"/>
      <c r="HB1699" s="20"/>
      <c r="HC1699" s="20"/>
      <c r="HD1699" s="20"/>
      <c r="HE1699" s="20"/>
      <c r="HF1699" s="20"/>
      <c r="HG1699" s="20"/>
      <c r="HH1699" s="20"/>
      <c r="HI1699" s="20"/>
      <c r="HJ1699" s="20"/>
      <c r="HK1699" s="20"/>
      <c r="HL1699" s="20"/>
      <c r="HM1699" s="20"/>
      <c r="HN1699" s="20"/>
      <c r="HO1699" s="20"/>
      <c r="HP1699" s="20"/>
      <c r="HQ1699" s="20"/>
      <c r="HR1699" s="20"/>
      <c r="HS1699" s="20"/>
      <c r="HT1699" s="20"/>
      <c r="HU1699" s="20"/>
      <c r="HV1699" s="20"/>
      <c r="HW1699" s="20"/>
      <c r="HX1699" s="20"/>
      <c r="HY1699" s="20"/>
      <c r="HZ1699" s="20"/>
      <c r="IA1699" s="20"/>
      <c r="IB1699" s="20"/>
      <c r="IC1699" s="20"/>
      <c r="ID1699" s="20"/>
      <c r="IE1699" s="20"/>
      <c r="IF1699" s="20"/>
      <c r="IG1699" s="20"/>
      <c r="IH1699" s="20"/>
      <c r="II1699" s="20"/>
      <c r="IJ1699" s="20"/>
      <c r="IK1699" s="20"/>
      <c r="IL1699" s="20"/>
      <c r="IM1699" s="20"/>
      <c r="IN1699" s="20"/>
      <c r="IO1699" s="20"/>
    </row>
    <row r="1700" spans="1:249" ht="66">
      <c r="A1700" s="794"/>
      <c r="B1700" s="6"/>
      <c r="C1700" s="794"/>
      <c r="D1700" s="794"/>
      <c r="E1700" s="794"/>
      <c r="F1700" s="794"/>
      <c r="G1700" s="794"/>
      <c r="H1700" s="794"/>
      <c r="I1700" s="407" t="s">
        <v>2230</v>
      </c>
      <c r="J1700" s="6" t="s">
        <v>3203</v>
      </c>
      <c r="K1700" s="795">
        <v>72</v>
      </c>
      <c r="L1700" s="1212">
        <v>1260000000</v>
      </c>
      <c r="M1700" s="795">
        <v>36</v>
      </c>
      <c r="N1700" s="1212">
        <v>327851600</v>
      </c>
      <c r="O1700" s="107">
        <v>12</v>
      </c>
      <c r="P1700" s="1212">
        <v>73203978</v>
      </c>
      <c r="Q1700" s="1211">
        <v>3</v>
      </c>
      <c r="R1700" s="1212">
        <v>5500250</v>
      </c>
      <c r="S1700" s="207">
        <v>3</v>
      </c>
      <c r="T1700" s="207">
        <v>10185077</v>
      </c>
      <c r="U1700" s="207">
        <v>0</v>
      </c>
      <c r="V1700" s="207">
        <v>0</v>
      </c>
      <c r="W1700" s="207">
        <v>0</v>
      </c>
      <c r="X1700" s="207">
        <v>0</v>
      </c>
      <c r="Y1700" s="1216">
        <f t="shared" si="495"/>
        <v>6</v>
      </c>
      <c r="Z1700" s="1212">
        <f t="shared" si="496"/>
        <v>15685327</v>
      </c>
      <c r="AA1700" s="795">
        <f t="shared" si="497"/>
        <v>42</v>
      </c>
      <c r="AB1700" s="1212">
        <f t="shared" si="498"/>
        <v>343536927</v>
      </c>
      <c r="AC1700" s="1215">
        <f t="shared" si="499"/>
        <v>58.333333333333336</v>
      </c>
      <c r="AD1700" s="1215">
        <f t="shared" si="500"/>
        <v>27.264835476190473</v>
      </c>
      <c r="AE1700" s="794"/>
      <c r="AF1700" s="750"/>
      <c r="AG1700" s="750"/>
      <c r="AH1700" s="750"/>
      <c r="AI1700" s="750"/>
      <c r="AJ1700" s="750"/>
      <c r="AK1700" s="750"/>
      <c r="AL1700" s="750"/>
      <c r="AM1700" s="750"/>
      <c r="AN1700" s="750"/>
      <c r="AO1700" s="750"/>
      <c r="AP1700" s="750"/>
      <c r="AQ1700" s="750"/>
      <c r="AR1700" s="750"/>
      <c r="AS1700" s="750"/>
      <c r="AT1700" s="750"/>
      <c r="AU1700" s="750"/>
      <c r="AV1700" s="750"/>
      <c r="AW1700" s="750"/>
      <c r="AX1700" s="750"/>
      <c r="AY1700" s="750"/>
      <c r="AZ1700" s="750"/>
      <c r="BA1700" s="750"/>
      <c r="BB1700" s="750"/>
      <c r="BC1700" s="752"/>
      <c r="BD1700" s="752"/>
      <c r="BE1700" s="752"/>
      <c r="BF1700" s="752"/>
      <c r="BG1700" s="752"/>
      <c r="BH1700" s="752"/>
      <c r="BI1700" s="752"/>
      <c r="BJ1700" s="752"/>
      <c r="BK1700" s="752"/>
      <c r="BL1700" s="752"/>
      <c r="BM1700" s="752"/>
      <c r="BN1700" s="752"/>
      <c r="BO1700" s="752"/>
      <c r="BP1700" s="752"/>
      <c r="BQ1700" s="752"/>
      <c r="BR1700" s="752"/>
      <c r="BS1700" s="752"/>
      <c r="BT1700" s="752"/>
      <c r="BU1700" s="752"/>
      <c r="BV1700" s="752"/>
      <c r="BW1700" s="752"/>
      <c r="BX1700" s="752"/>
      <c r="BY1700" s="752"/>
      <c r="BZ1700" s="752"/>
      <c r="CA1700" s="752"/>
      <c r="CB1700" s="752"/>
      <c r="CC1700" s="752"/>
      <c r="CD1700" s="752"/>
      <c r="CE1700" s="752"/>
      <c r="CF1700" s="752"/>
      <c r="CG1700" s="752"/>
      <c r="CH1700" s="752"/>
      <c r="CI1700" s="752"/>
      <c r="CJ1700" s="752"/>
      <c r="CK1700" s="752"/>
      <c r="CL1700" s="752"/>
      <c r="CM1700" s="752"/>
      <c r="CN1700" s="752"/>
      <c r="CO1700" s="752"/>
      <c r="CP1700" s="752"/>
      <c r="CQ1700" s="752"/>
      <c r="CR1700" s="752"/>
      <c r="CS1700" s="752"/>
      <c r="CT1700" s="752"/>
      <c r="CU1700" s="752"/>
      <c r="CV1700" s="752"/>
      <c r="CW1700" s="752"/>
      <c r="CX1700" s="752"/>
      <c r="CY1700" s="752"/>
      <c r="CZ1700" s="752"/>
      <c r="DA1700" s="752"/>
      <c r="DB1700" s="752"/>
      <c r="DC1700" s="752"/>
      <c r="DD1700" s="752"/>
      <c r="DE1700" s="752"/>
      <c r="DF1700" s="752"/>
      <c r="DG1700" s="752"/>
      <c r="DH1700" s="752"/>
      <c r="DI1700" s="752"/>
      <c r="DJ1700" s="752"/>
      <c r="DK1700" s="752"/>
      <c r="DL1700" s="752"/>
      <c r="DM1700" s="752"/>
      <c r="DN1700" s="752"/>
      <c r="DO1700" s="752"/>
      <c r="DP1700" s="752"/>
      <c r="DQ1700" s="752"/>
      <c r="DR1700" s="752"/>
      <c r="DS1700" s="752"/>
      <c r="DT1700" s="752"/>
      <c r="DU1700" s="752"/>
      <c r="DV1700" s="752"/>
      <c r="DW1700" s="752"/>
      <c r="DX1700" s="752"/>
      <c r="DY1700" s="752"/>
      <c r="DZ1700" s="752"/>
      <c r="EA1700" s="752"/>
      <c r="EB1700" s="752"/>
      <c r="EC1700" s="752"/>
      <c r="ED1700" s="752"/>
      <c r="EE1700" s="752"/>
      <c r="EF1700" s="752"/>
      <c r="EG1700" s="752"/>
      <c r="EH1700" s="752"/>
      <c r="EI1700" s="752"/>
      <c r="EJ1700" s="752"/>
      <c r="EK1700" s="752"/>
      <c r="EL1700" s="752"/>
      <c r="EM1700" s="752"/>
      <c r="EN1700" s="752"/>
      <c r="EO1700" s="752"/>
      <c r="EP1700" s="752"/>
      <c r="EQ1700" s="752"/>
      <c r="ER1700" s="752"/>
      <c r="ES1700" s="752"/>
      <c r="ET1700" s="752"/>
      <c r="EU1700" s="752"/>
      <c r="EV1700" s="752"/>
      <c r="EW1700" s="752"/>
      <c r="EX1700" s="752"/>
      <c r="EY1700" s="752"/>
      <c r="EZ1700" s="752"/>
      <c r="FA1700" s="752"/>
      <c r="FB1700" s="752"/>
      <c r="FC1700" s="752"/>
      <c r="FD1700" s="752"/>
      <c r="FE1700" s="752"/>
      <c r="FF1700" s="752"/>
      <c r="FG1700" s="752"/>
      <c r="FH1700" s="752"/>
      <c r="FI1700" s="752"/>
      <c r="FJ1700" s="752"/>
      <c r="FK1700" s="752"/>
      <c r="FL1700" s="752"/>
      <c r="FM1700" s="752"/>
      <c r="FN1700" s="752"/>
      <c r="FO1700" s="752"/>
      <c r="FP1700" s="752"/>
      <c r="FQ1700" s="752"/>
      <c r="FR1700" s="752"/>
      <c r="FS1700" s="752"/>
      <c r="FT1700" s="752"/>
      <c r="FU1700" s="752"/>
      <c r="FV1700" s="752"/>
      <c r="FW1700" s="752"/>
      <c r="FX1700" s="752"/>
      <c r="FY1700" s="752"/>
      <c r="FZ1700" s="752"/>
      <c r="GA1700" s="752"/>
      <c r="GB1700" s="752"/>
      <c r="GC1700" s="752"/>
      <c r="GD1700" s="752"/>
      <c r="GE1700" s="752"/>
      <c r="GF1700" s="752"/>
      <c r="GG1700" s="752"/>
      <c r="GH1700" s="752"/>
      <c r="GI1700" s="752"/>
      <c r="GJ1700" s="752"/>
      <c r="GK1700" s="752"/>
      <c r="GL1700" s="752"/>
      <c r="GM1700" s="752"/>
      <c r="GN1700" s="752"/>
      <c r="GO1700" s="752"/>
      <c r="GP1700" s="752"/>
      <c r="GQ1700" s="752"/>
      <c r="GR1700" s="752"/>
      <c r="GS1700" s="752"/>
      <c r="GT1700" s="752"/>
      <c r="GU1700" s="752"/>
      <c r="GV1700" s="752"/>
      <c r="GW1700" s="752"/>
      <c r="GX1700" s="752"/>
      <c r="GY1700" s="752"/>
      <c r="GZ1700" s="752"/>
      <c r="HA1700" s="752"/>
      <c r="HB1700" s="752"/>
      <c r="HC1700" s="752"/>
      <c r="HD1700" s="752"/>
      <c r="HE1700" s="752"/>
      <c r="HF1700" s="752"/>
      <c r="HG1700" s="752"/>
      <c r="HH1700" s="752"/>
      <c r="HI1700" s="752"/>
      <c r="HJ1700" s="752"/>
      <c r="HK1700" s="752"/>
      <c r="HL1700" s="752"/>
      <c r="HM1700" s="752"/>
      <c r="HN1700" s="752"/>
      <c r="HO1700" s="752"/>
      <c r="HP1700" s="752"/>
      <c r="HQ1700" s="752"/>
      <c r="HR1700" s="752"/>
      <c r="HS1700" s="752"/>
      <c r="HT1700" s="752"/>
      <c r="HU1700" s="752"/>
      <c r="HV1700" s="752"/>
      <c r="HW1700" s="752"/>
      <c r="HX1700" s="752"/>
      <c r="HY1700" s="752"/>
      <c r="HZ1700" s="752"/>
      <c r="IA1700" s="752"/>
      <c r="IB1700" s="752"/>
      <c r="IC1700" s="752"/>
      <c r="ID1700" s="752"/>
      <c r="IE1700" s="752"/>
      <c r="IF1700" s="752"/>
      <c r="IG1700" s="752"/>
      <c r="IH1700" s="752"/>
      <c r="II1700" s="752"/>
      <c r="IJ1700" s="752"/>
      <c r="IK1700" s="752"/>
      <c r="IL1700" s="752"/>
      <c r="IM1700" s="752"/>
      <c r="IN1700" s="752"/>
      <c r="IO1700" s="752"/>
    </row>
    <row r="1701" spans="1:249" ht="82.5">
      <c r="A1701" s="2554">
        <v>10</v>
      </c>
      <c r="B1701" s="44"/>
      <c r="C1701" s="286"/>
      <c r="D1701" s="286"/>
      <c r="E1701" s="286"/>
      <c r="F1701" s="286"/>
      <c r="G1701" s="286"/>
      <c r="H1701" s="286"/>
      <c r="I1701" s="44" t="s">
        <v>2231</v>
      </c>
      <c r="J1701" s="46" t="s">
        <v>3204</v>
      </c>
      <c r="K1701" s="289">
        <v>100</v>
      </c>
      <c r="L1701" s="147">
        <v>1398918000</v>
      </c>
      <c r="M1701" s="289">
        <v>92</v>
      </c>
      <c r="N1701" s="147">
        <f>SUM(N1702)</f>
        <v>339981336</v>
      </c>
      <c r="O1701" s="147">
        <v>8</v>
      </c>
      <c r="P1701" s="147">
        <f>SUM(P1702)</f>
        <v>64462400</v>
      </c>
      <c r="Q1701" s="833">
        <v>3</v>
      </c>
      <c r="R1701" s="147">
        <f>SUM(R1702)</f>
        <v>7056168</v>
      </c>
      <c r="S1701" s="833">
        <f>SUM(S1702)</f>
        <v>3</v>
      </c>
      <c r="T1701" s="833">
        <f t="shared" ref="T1701:X1701" si="502">SUM(T1702)</f>
        <v>16772500</v>
      </c>
      <c r="U1701" s="833">
        <f t="shared" si="502"/>
        <v>0</v>
      </c>
      <c r="V1701" s="833">
        <f t="shared" si="502"/>
        <v>0</v>
      </c>
      <c r="W1701" s="833">
        <f t="shared" si="502"/>
        <v>0</v>
      </c>
      <c r="X1701" s="833">
        <f t="shared" si="502"/>
        <v>0</v>
      </c>
      <c r="Y1701" s="868">
        <f t="shared" si="495"/>
        <v>6</v>
      </c>
      <c r="Z1701" s="147">
        <f t="shared" si="496"/>
        <v>23828668</v>
      </c>
      <c r="AA1701" s="146">
        <f t="shared" si="497"/>
        <v>98</v>
      </c>
      <c r="AB1701" s="833">
        <f t="shared" si="498"/>
        <v>363810004</v>
      </c>
      <c r="AC1701" s="868">
        <f t="shared" si="499"/>
        <v>98</v>
      </c>
      <c r="AD1701" s="868">
        <f t="shared" si="500"/>
        <v>26.006528188214034</v>
      </c>
      <c r="AE1701" s="2554" t="s">
        <v>223</v>
      </c>
      <c r="AF1701" s="750"/>
      <c r="AG1701" s="750"/>
      <c r="AH1701" s="750"/>
      <c r="AI1701" s="750"/>
      <c r="AJ1701" s="750"/>
      <c r="AK1701" s="750"/>
      <c r="AL1701" s="750"/>
      <c r="AM1701" s="750"/>
      <c r="AN1701" s="750"/>
      <c r="AO1701" s="750"/>
      <c r="AP1701" s="750"/>
      <c r="AQ1701" s="750"/>
      <c r="AR1701" s="750"/>
      <c r="AS1701" s="750"/>
      <c r="AT1701" s="750"/>
      <c r="AU1701" s="750"/>
      <c r="AV1701" s="750"/>
      <c r="AW1701" s="750"/>
      <c r="AX1701" s="750"/>
      <c r="AY1701" s="750"/>
      <c r="AZ1701" s="750"/>
      <c r="BA1701" s="750"/>
      <c r="BB1701" s="750"/>
      <c r="BC1701" s="752"/>
      <c r="BD1701" s="752"/>
      <c r="BE1701" s="752"/>
      <c r="BF1701" s="752"/>
      <c r="BG1701" s="752"/>
      <c r="BH1701" s="752"/>
      <c r="BI1701" s="752"/>
      <c r="BJ1701" s="752"/>
      <c r="BK1701" s="752"/>
      <c r="BL1701" s="752"/>
      <c r="BM1701" s="752"/>
      <c r="BN1701" s="752"/>
      <c r="BO1701" s="752"/>
      <c r="BP1701" s="752"/>
      <c r="BQ1701" s="752"/>
      <c r="BR1701" s="752"/>
      <c r="BS1701" s="752"/>
      <c r="BT1701" s="752"/>
      <c r="BU1701" s="752"/>
      <c r="BV1701" s="752"/>
      <c r="BW1701" s="752"/>
      <c r="BX1701" s="752"/>
      <c r="BY1701" s="752"/>
      <c r="BZ1701" s="752"/>
      <c r="CA1701" s="752"/>
      <c r="CB1701" s="752"/>
      <c r="CC1701" s="752"/>
      <c r="CD1701" s="752"/>
      <c r="CE1701" s="752"/>
      <c r="CF1701" s="752"/>
      <c r="CG1701" s="752"/>
      <c r="CH1701" s="752"/>
      <c r="CI1701" s="752"/>
      <c r="CJ1701" s="752"/>
      <c r="CK1701" s="752"/>
      <c r="CL1701" s="752"/>
      <c r="CM1701" s="752"/>
      <c r="CN1701" s="752"/>
      <c r="CO1701" s="752"/>
      <c r="CP1701" s="752"/>
      <c r="CQ1701" s="752"/>
      <c r="CR1701" s="752"/>
      <c r="CS1701" s="752"/>
      <c r="CT1701" s="752"/>
      <c r="CU1701" s="752"/>
      <c r="CV1701" s="752"/>
      <c r="CW1701" s="752"/>
      <c r="CX1701" s="752"/>
      <c r="CY1701" s="752"/>
      <c r="CZ1701" s="752"/>
      <c r="DA1701" s="752"/>
      <c r="DB1701" s="752"/>
      <c r="DC1701" s="752"/>
      <c r="DD1701" s="752"/>
      <c r="DE1701" s="752"/>
      <c r="DF1701" s="752"/>
      <c r="DG1701" s="752"/>
      <c r="DH1701" s="752"/>
      <c r="DI1701" s="752"/>
      <c r="DJ1701" s="752"/>
      <c r="DK1701" s="752"/>
      <c r="DL1701" s="752"/>
      <c r="DM1701" s="752"/>
      <c r="DN1701" s="752"/>
      <c r="DO1701" s="752"/>
      <c r="DP1701" s="752"/>
      <c r="DQ1701" s="752"/>
      <c r="DR1701" s="752"/>
      <c r="DS1701" s="752"/>
      <c r="DT1701" s="752"/>
      <c r="DU1701" s="752"/>
      <c r="DV1701" s="752"/>
      <c r="DW1701" s="752"/>
      <c r="DX1701" s="752"/>
      <c r="DY1701" s="752"/>
      <c r="DZ1701" s="752"/>
      <c r="EA1701" s="752"/>
      <c r="EB1701" s="752"/>
      <c r="EC1701" s="752"/>
      <c r="ED1701" s="752"/>
      <c r="EE1701" s="752"/>
      <c r="EF1701" s="752"/>
      <c r="EG1701" s="752"/>
      <c r="EH1701" s="752"/>
      <c r="EI1701" s="752"/>
      <c r="EJ1701" s="752"/>
      <c r="EK1701" s="752"/>
      <c r="EL1701" s="752"/>
      <c r="EM1701" s="752"/>
      <c r="EN1701" s="752"/>
      <c r="EO1701" s="752"/>
      <c r="EP1701" s="752"/>
      <c r="EQ1701" s="752"/>
      <c r="ER1701" s="752"/>
      <c r="ES1701" s="752"/>
      <c r="ET1701" s="752"/>
      <c r="EU1701" s="752"/>
      <c r="EV1701" s="752"/>
      <c r="EW1701" s="752"/>
      <c r="EX1701" s="752"/>
      <c r="EY1701" s="752"/>
      <c r="EZ1701" s="752"/>
      <c r="FA1701" s="752"/>
      <c r="FB1701" s="752"/>
      <c r="FC1701" s="752"/>
      <c r="FD1701" s="752"/>
      <c r="FE1701" s="752"/>
      <c r="FF1701" s="752"/>
      <c r="FG1701" s="752"/>
      <c r="FH1701" s="752"/>
      <c r="FI1701" s="752"/>
      <c r="FJ1701" s="752"/>
      <c r="FK1701" s="752"/>
      <c r="FL1701" s="752"/>
      <c r="FM1701" s="752"/>
      <c r="FN1701" s="752"/>
      <c r="FO1701" s="752"/>
      <c r="FP1701" s="752"/>
      <c r="FQ1701" s="752"/>
      <c r="FR1701" s="752"/>
      <c r="FS1701" s="752"/>
      <c r="FT1701" s="752"/>
      <c r="FU1701" s="752"/>
      <c r="FV1701" s="752"/>
      <c r="FW1701" s="752"/>
      <c r="FX1701" s="752"/>
      <c r="FY1701" s="752"/>
      <c r="FZ1701" s="752"/>
      <c r="GA1701" s="752"/>
      <c r="GB1701" s="752"/>
      <c r="GC1701" s="752"/>
      <c r="GD1701" s="752"/>
      <c r="GE1701" s="752"/>
      <c r="GF1701" s="752"/>
      <c r="GG1701" s="752"/>
      <c r="GH1701" s="752"/>
      <c r="GI1701" s="752"/>
      <c r="GJ1701" s="752"/>
      <c r="GK1701" s="752"/>
      <c r="GL1701" s="752"/>
      <c r="GM1701" s="752"/>
      <c r="GN1701" s="752"/>
      <c r="GO1701" s="752"/>
      <c r="GP1701" s="752"/>
      <c r="GQ1701" s="752"/>
      <c r="GR1701" s="752"/>
      <c r="GS1701" s="752"/>
      <c r="GT1701" s="752"/>
      <c r="GU1701" s="752"/>
      <c r="GV1701" s="752"/>
      <c r="GW1701" s="752"/>
      <c r="GX1701" s="752"/>
      <c r="GY1701" s="752"/>
      <c r="GZ1701" s="752"/>
      <c r="HA1701" s="752"/>
      <c r="HB1701" s="752"/>
      <c r="HC1701" s="752"/>
      <c r="HD1701" s="752"/>
      <c r="HE1701" s="752"/>
      <c r="HF1701" s="752"/>
      <c r="HG1701" s="752"/>
      <c r="HH1701" s="752"/>
      <c r="HI1701" s="752"/>
      <c r="HJ1701" s="752"/>
      <c r="HK1701" s="752"/>
      <c r="HL1701" s="752"/>
      <c r="HM1701" s="752"/>
      <c r="HN1701" s="752"/>
      <c r="HO1701" s="752"/>
      <c r="HP1701" s="752"/>
      <c r="HQ1701" s="752"/>
      <c r="HR1701" s="752"/>
      <c r="HS1701" s="752"/>
      <c r="HT1701" s="752"/>
      <c r="HU1701" s="752"/>
      <c r="HV1701" s="752"/>
      <c r="HW1701" s="752"/>
      <c r="HX1701" s="752"/>
      <c r="HY1701" s="752"/>
      <c r="HZ1701" s="752"/>
      <c r="IA1701" s="752"/>
      <c r="IB1701" s="752"/>
      <c r="IC1701" s="752"/>
      <c r="ID1701" s="752"/>
      <c r="IE1701" s="752"/>
      <c r="IF1701" s="752"/>
      <c r="IG1701" s="752"/>
      <c r="IH1701" s="752"/>
      <c r="II1701" s="752"/>
      <c r="IJ1701" s="752"/>
      <c r="IK1701" s="752"/>
      <c r="IL1701" s="752"/>
      <c r="IM1701" s="752"/>
      <c r="IN1701" s="752"/>
      <c r="IO1701" s="752"/>
    </row>
    <row r="1702" spans="1:249" ht="99">
      <c r="A1702" s="794"/>
      <c r="B1702" s="6"/>
      <c r="C1702" s="794"/>
      <c r="D1702" s="794"/>
      <c r="E1702" s="794"/>
      <c r="F1702" s="794"/>
      <c r="G1702" s="794"/>
      <c r="H1702" s="794"/>
      <c r="I1702" s="407" t="s">
        <v>2232</v>
      </c>
      <c r="J1702" s="6" t="s">
        <v>2233</v>
      </c>
      <c r="K1702" s="1211">
        <v>72</v>
      </c>
      <c r="L1702" s="1212">
        <v>1398918000</v>
      </c>
      <c r="M1702" s="795">
        <v>36</v>
      </c>
      <c r="N1702" s="1212">
        <v>339981336</v>
      </c>
      <c r="O1702" s="1228">
        <v>12</v>
      </c>
      <c r="P1702" s="1212">
        <v>64462400</v>
      </c>
      <c r="Q1702" s="1211">
        <v>3</v>
      </c>
      <c r="R1702" s="1212">
        <v>7056168</v>
      </c>
      <c r="S1702" s="1212">
        <v>3</v>
      </c>
      <c r="T1702" s="2687">
        <v>16772500</v>
      </c>
      <c r="U1702" s="1212">
        <v>0</v>
      </c>
      <c r="V1702" s="1212">
        <v>0</v>
      </c>
      <c r="W1702" s="1212">
        <v>0</v>
      </c>
      <c r="X1702" s="1212">
        <v>0</v>
      </c>
      <c r="Y1702" s="1216">
        <f t="shared" si="495"/>
        <v>6</v>
      </c>
      <c r="Z1702" s="1228">
        <f t="shared" si="496"/>
        <v>23828668</v>
      </c>
      <c r="AA1702" s="795">
        <f t="shared" si="497"/>
        <v>42</v>
      </c>
      <c r="AB1702" s="1212">
        <f t="shared" si="498"/>
        <v>363810004</v>
      </c>
      <c r="AC1702" s="1215">
        <f t="shared" si="499"/>
        <v>58.333333333333336</v>
      </c>
      <c r="AD1702" s="1215">
        <f t="shared" si="500"/>
        <v>26.006528188214034</v>
      </c>
      <c r="AE1702" s="794"/>
      <c r="AF1702" s="750"/>
      <c r="AG1702" s="750"/>
      <c r="AH1702" s="750"/>
      <c r="AI1702" s="750"/>
      <c r="AJ1702" s="750"/>
      <c r="AK1702" s="750"/>
      <c r="AL1702" s="750"/>
      <c r="AM1702" s="750"/>
      <c r="AN1702" s="750"/>
      <c r="AO1702" s="750"/>
      <c r="AP1702" s="750"/>
      <c r="AQ1702" s="750"/>
      <c r="AR1702" s="750"/>
      <c r="AS1702" s="750"/>
      <c r="AT1702" s="750"/>
      <c r="AU1702" s="750"/>
      <c r="AV1702" s="750"/>
      <c r="AW1702" s="750"/>
      <c r="AX1702" s="750"/>
      <c r="AY1702" s="750"/>
      <c r="AZ1702" s="750"/>
      <c r="BA1702" s="750"/>
      <c r="BB1702" s="750"/>
      <c r="BC1702" s="752"/>
      <c r="BD1702" s="752"/>
      <c r="BE1702" s="752"/>
      <c r="BF1702" s="752"/>
      <c r="BG1702" s="752"/>
      <c r="BH1702" s="752"/>
      <c r="BI1702" s="752"/>
      <c r="BJ1702" s="752"/>
      <c r="BK1702" s="752"/>
      <c r="BL1702" s="752"/>
      <c r="BM1702" s="752"/>
      <c r="BN1702" s="752"/>
      <c r="BO1702" s="752"/>
      <c r="BP1702" s="752"/>
      <c r="BQ1702" s="752"/>
      <c r="BR1702" s="752"/>
      <c r="BS1702" s="752"/>
      <c r="BT1702" s="752"/>
      <c r="BU1702" s="752"/>
      <c r="BV1702" s="752"/>
      <c r="BW1702" s="752"/>
      <c r="BX1702" s="752"/>
      <c r="BY1702" s="752"/>
      <c r="BZ1702" s="752"/>
      <c r="CA1702" s="752"/>
      <c r="CB1702" s="752"/>
      <c r="CC1702" s="752"/>
      <c r="CD1702" s="752"/>
      <c r="CE1702" s="752"/>
      <c r="CF1702" s="752"/>
      <c r="CG1702" s="752"/>
      <c r="CH1702" s="752"/>
      <c r="CI1702" s="752"/>
      <c r="CJ1702" s="752"/>
      <c r="CK1702" s="752"/>
      <c r="CL1702" s="752"/>
      <c r="CM1702" s="752"/>
      <c r="CN1702" s="752"/>
      <c r="CO1702" s="752"/>
      <c r="CP1702" s="752"/>
      <c r="CQ1702" s="752"/>
      <c r="CR1702" s="752"/>
      <c r="CS1702" s="752"/>
      <c r="CT1702" s="752"/>
      <c r="CU1702" s="752"/>
      <c r="CV1702" s="752"/>
      <c r="CW1702" s="752"/>
      <c r="CX1702" s="752"/>
      <c r="CY1702" s="752"/>
      <c r="CZ1702" s="752"/>
      <c r="DA1702" s="752"/>
      <c r="DB1702" s="752"/>
      <c r="DC1702" s="752"/>
      <c r="DD1702" s="752"/>
      <c r="DE1702" s="752"/>
      <c r="DF1702" s="752"/>
      <c r="DG1702" s="752"/>
      <c r="DH1702" s="752"/>
      <c r="DI1702" s="752"/>
      <c r="DJ1702" s="752"/>
      <c r="DK1702" s="752"/>
      <c r="DL1702" s="752"/>
      <c r="DM1702" s="752"/>
      <c r="DN1702" s="752"/>
      <c r="DO1702" s="752"/>
      <c r="DP1702" s="752"/>
      <c r="DQ1702" s="752"/>
      <c r="DR1702" s="752"/>
      <c r="DS1702" s="752"/>
      <c r="DT1702" s="752"/>
      <c r="DU1702" s="752"/>
      <c r="DV1702" s="752"/>
      <c r="DW1702" s="752"/>
      <c r="DX1702" s="752"/>
      <c r="DY1702" s="752"/>
      <c r="DZ1702" s="752"/>
      <c r="EA1702" s="752"/>
      <c r="EB1702" s="752"/>
      <c r="EC1702" s="752"/>
      <c r="ED1702" s="752"/>
      <c r="EE1702" s="752"/>
      <c r="EF1702" s="752"/>
      <c r="EG1702" s="752"/>
      <c r="EH1702" s="752"/>
      <c r="EI1702" s="752"/>
      <c r="EJ1702" s="752"/>
      <c r="EK1702" s="752"/>
      <c r="EL1702" s="752"/>
      <c r="EM1702" s="752"/>
      <c r="EN1702" s="752"/>
      <c r="EO1702" s="752"/>
      <c r="EP1702" s="752"/>
      <c r="EQ1702" s="752"/>
      <c r="ER1702" s="752"/>
      <c r="ES1702" s="752"/>
      <c r="ET1702" s="752"/>
      <c r="EU1702" s="752"/>
      <c r="EV1702" s="752"/>
      <c r="EW1702" s="752"/>
      <c r="EX1702" s="752"/>
      <c r="EY1702" s="752"/>
      <c r="EZ1702" s="752"/>
      <c r="FA1702" s="752"/>
      <c r="FB1702" s="752"/>
      <c r="FC1702" s="752"/>
      <c r="FD1702" s="752"/>
      <c r="FE1702" s="752"/>
      <c r="FF1702" s="752"/>
      <c r="FG1702" s="752"/>
      <c r="FH1702" s="752"/>
      <c r="FI1702" s="752"/>
      <c r="FJ1702" s="752"/>
      <c r="FK1702" s="752"/>
      <c r="FL1702" s="752"/>
      <c r="FM1702" s="752"/>
      <c r="FN1702" s="752"/>
      <c r="FO1702" s="752"/>
      <c r="FP1702" s="752"/>
      <c r="FQ1702" s="752"/>
      <c r="FR1702" s="752"/>
      <c r="FS1702" s="752"/>
      <c r="FT1702" s="752"/>
      <c r="FU1702" s="752"/>
      <c r="FV1702" s="752"/>
      <c r="FW1702" s="752"/>
      <c r="FX1702" s="752"/>
      <c r="FY1702" s="752"/>
      <c r="FZ1702" s="752"/>
      <c r="GA1702" s="752"/>
      <c r="GB1702" s="752"/>
      <c r="GC1702" s="752"/>
      <c r="GD1702" s="752"/>
      <c r="GE1702" s="752"/>
      <c r="GF1702" s="752"/>
      <c r="GG1702" s="752"/>
      <c r="GH1702" s="752"/>
      <c r="GI1702" s="752"/>
      <c r="GJ1702" s="752"/>
      <c r="GK1702" s="752"/>
      <c r="GL1702" s="752"/>
      <c r="GM1702" s="752"/>
      <c r="GN1702" s="752"/>
      <c r="GO1702" s="752"/>
      <c r="GP1702" s="752"/>
      <c r="GQ1702" s="752"/>
      <c r="GR1702" s="752"/>
      <c r="GS1702" s="752"/>
      <c r="GT1702" s="752"/>
      <c r="GU1702" s="752"/>
      <c r="GV1702" s="752"/>
      <c r="GW1702" s="752"/>
      <c r="GX1702" s="752"/>
      <c r="GY1702" s="752"/>
      <c r="GZ1702" s="752"/>
      <c r="HA1702" s="752"/>
      <c r="HB1702" s="752"/>
      <c r="HC1702" s="752"/>
      <c r="HD1702" s="752"/>
      <c r="HE1702" s="752"/>
      <c r="HF1702" s="752"/>
      <c r="HG1702" s="752"/>
      <c r="HH1702" s="752"/>
      <c r="HI1702" s="752"/>
      <c r="HJ1702" s="752"/>
      <c r="HK1702" s="752"/>
      <c r="HL1702" s="752"/>
      <c r="HM1702" s="752"/>
      <c r="HN1702" s="752"/>
      <c r="HO1702" s="752"/>
      <c r="HP1702" s="752"/>
      <c r="HQ1702" s="752"/>
      <c r="HR1702" s="752"/>
      <c r="HS1702" s="752"/>
      <c r="HT1702" s="752"/>
      <c r="HU1702" s="752"/>
      <c r="HV1702" s="752"/>
      <c r="HW1702" s="752"/>
      <c r="HX1702" s="752"/>
      <c r="HY1702" s="752"/>
      <c r="HZ1702" s="752"/>
      <c r="IA1702" s="752"/>
      <c r="IB1702" s="752"/>
      <c r="IC1702" s="752"/>
      <c r="ID1702" s="752"/>
      <c r="IE1702" s="752"/>
      <c r="IF1702" s="752"/>
      <c r="IG1702" s="752"/>
      <c r="IH1702" s="752"/>
      <c r="II1702" s="752"/>
      <c r="IJ1702" s="752"/>
      <c r="IK1702" s="752"/>
      <c r="IL1702" s="752"/>
      <c r="IM1702" s="752"/>
      <c r="IN1702" s="752"/>
      <c r="IO1702" s="752"/>
    </row>
    <row r="1703" spans="1:249" ht="82.5">
      <c r="A1703" s="2554">
        <v>11</v>
      </c>
      <c r="B1703" s="44"/>
      <c r="C1703" s="286"/>
      <c r="D1703" s="286"/>
      <c r="E1703" s="286"/>
      <c r="F1703" s="286"/>
      <c r="G1703" s="286"/>
      <c r="H1703" s="286"/>
      <c r="I1703" s="46" t="s">
        <v>2234</v>
      </c>
      <c r="J1703" s="46" t="s">
        <v>3205</v>
      </c>
      <c r="K1703" s="833">
        <v>100</v>
      </c>
      <c r="L1703" s="833">
        <v>2232070500</v>
      </c>
      <c r="M1703" s="833">
        <v>90</v>
      </c>
      <c r="N1703" s="833">
        <f>SUM(N1704:N1706)</f>
        <v>861796542</v>
      </c>
      <c r="O1703" s="833">
        <v>10</v>
      </c>
      <c r="P1703" s="833">
        <f>SUM(P1704:P1706)</f>
        <v>172744000</v>
      </c>
      <c r="Q1703" s="833">
        <v>2</v>
      </c>
      <c r="R1703" s="833">
        <f>SUM(R1704:R1706)</f>
        <v>13543028</v>
      </c>
      <c r="S1703" s="833">
        <f>SUM(S1704:S1706)</f>
        <v>6</v>
      </c>
      <c r="T1703" s="833">
        <f>SUM(T1704:T1706)</f>
        <v>33671122</v>
      </c>
      <c r="U1703" s="833">
        <f t="shared" ref="U1703:X1703" si="503">SUM(U1704:U1706)</f>
        <v>0</v>
      </c>
      <c r="V1703" s="833">
        <f t="shared" si="503"/>
        <v>0</v>
      </c>
      <c r="W1703" s="833">
        <f t="shared" si="503"/>
        <v>0</v>
      </c>
      <c r="X1703" s="833">
        <f t="shared" si="503"/>
        <v>0</v>
      </c>
      <c r="Y1703" s="868">
        <f t="shared" si="495"/>
        <v>8</v>
      </c>
      <c r="Z1703" s="147">
        <f t="shared" si="496"/>
        <v>47214150</v>
      </c>
      <c r="AA1703" s="289">
        <f t="shared" si="497"/>
        <v>98</v>
      </c>
      <c r="AB1703" s="833">
        <f t="shared" si="498"/>
        <v>909010692</v>
      </c>
      <c r="AC1703" s="834">
        <f t="shared" si="499"/>
        <v>98</v>
      </c>
      <c r="AD1703" s="834">
        <f t="shared" si="500"/>
        <v>40.724999143172226</v>
      </c>
      <c r="AE1703" s="2554" t="s">
        <v>223</v>
      </c>
      <c r="AF1703" s="750"/>
      <c r="AG1703" s="750"/>
      <c r="AH1703" s="750"/>
      <c r="AI1703" s="750"/>
      <c r="AJ1703" s="750"/>
      <c r="AK1703" s="750"/>
      <c r="AL1703" s="750"/>
      <c r="AM1703" s="750"/>
      <c r="AN1703" s="750"/>
      <c r="AO1703" s="750"/>
      <c r="AP1703" s="750"/>
      <c r="AQ1703" s="750"/>
      <c r="AR1703" s="750"/>
      <c r="AS1703" s="750"/>
      <c r="AT1703" s="750"/>
      <c r="AU1703" s="750"/>
      <c r="AV1703" s="750"/>
      <c r="AW1703" s="750"/>
      <c r="AX1703" s="750"/>
      <c r="AY1703" s="750"/>
      <c r="AZ1703" s="750"/>
      <c r="BA1703" s="750"/>
      <c r="BB1703" s="750"/>
      <c r="BC1703" s="752"/>
      <c r="BD1703" s="752"/>
      <c r="BE1703" s="752"/>
      <c r="BF1703" s="752"/>
      <c r="BG1703" s="752"/>
      <c r="BH1703" s="752"/>
      <c r="BI1703" s="752"/>
      <c r="BJ1703" s="752"/>
      <c r="BK1703" s="752"/>
      <c r="BL1703" s="752"/>
      <c r="BM1703" s="752"/>
      <c r="BN1703" s="752"/>
      <c r="BO1703" s="752"/>
      <c r="BP1703" s="752"/>
      <c r="BQ1703" s="752"/>
      <c r="BR1703" s="752"/>
      <c r="BS1703" s="752"/>
      <c r="BT1703" s="752"/>
      <c r="BU1703" s="752"/>
      <c r="BV1703" s="752"/>
      <c r="BW1703" s="752"/>
      <c r="BX1703" s="752"/>
      <c r="BY1703" s="752"/>
      <c r="BZ1703" s="752"/>
      <c r="CA1703" s="752"/>
      <c r="CB1703" s="752"/>
      <c r="CC1703" s="752"/>
      <c r="CD1703" s="752"/>
      <c r="CE1703" s="752"/>
      <c r="CF1703" s="752"/>
      <c r="CG1703" s="752"/>
      <c r="CH1703" s="752"/>
      <c r="CI1703" s="752"/>
      <c r="CJ1703" s="752"/>
      <c r="CK1703" s="752"/>
      <c r="CL1703" s="752"/>
      <c r="CM1703" s="752"/>
      <c r="CN1703" s="752"/>
      <c r="CO1703" s="752"/>
      <c r="CP1703" s="752"/>
      <c r="CQ1703" s="752"/>
      <c r="CR1703" s="752"/>
      <c r="CS1703" s="752"/>
      <c r="CT1703" s="752"/>
      <c r="CU1703" s="752"/>
      <c r="CV1703" s="752"/>
      <c r="CW1703" s="752"/>
      <c r="CX1703" s="752"/>
      <c r="CY1703" s="752"/>
      <c r="CZ1703" s="752"/>
      <c r="DA1703" s="752"/>
      <c r="DB1703" s="752"/>
      <c r="DC1703" s="752"/>
      <c r="DD1703" s="752"/>
      <c r="DE1703" s="752"/>
      <c r="DF1703" s="752"/>
      <c r="DG1703" s="752"/>
      <c r="DH1703" s="752"/>
      <c r="DI1703" s="752"/>
      <c r="DJ1703" s="752"/>
      <c r="DK1703" s="752"/>
      <c r="DL1703" s="752"/>
      <c r="DM1703" s="752"/>
      <c r="DN1703" s="752"/>
      <c r="DO1703" s="752"/>
      <c r="DP1703" s="752"/>
      <c r="DQ1703" s="752"/>
      <c r="DR1703" s="752"/>
      <c r="DS1703" s="752"/>
      <c r="DT1703" s="752"/>
      <c r="DU1703" s="752"/>
      <c r="DV1703" s="752"/>
      <c r="DW1703" s="752"/>
      <c r="DX1703" s="752"/>
      <c r="DY1703" s="752"/>
      <c r="DZ1703" s="752"/>
      <c r="EA1703" s="752"/>
      <c r="EB1703" s="752"/>
      <c r="EC1703" s="752"/>
      <c r="ED1703" s="752"/>
      <c r="EE1703" s="752"/>
      <c r="EF1703" s="752"/>
      <c r="EG1703" s="752"/>
      <c r="EH1703" s="752"/>
      <c r="EI1703" s="752"/>
      <c r="EJ1703" s="752"/>
      <c r="EK1703" s="752"/>
      <c r="EL1703" s="752"/>
      <c r="EM1703" s="752"/>
      <c r="EN1703" s="752"/>
      <c r="EO1703" s="752"/>
      <c r="EP1703" s="752"/>
      <c r="EQ1703" s="752"/>
      <c r="ER1703" s="752"/>
      <c r="ES1703" s="752"/>
      <c r="ET1703" s="752"/>
      <c r="EU1703" s="752"/>
      <c r="EV1703" s="752"/>
      <c r="EW1703" s="752"/>
      <c r="EX1703" s="752"/>
      <c r="EY1703" s="752"/>
      <c r="EZ1703" s="752"/>
      <c r="FA1703" s="752"/>
      <c r="FB1703" s="752"/>
      <c r="FC1703" s="752"/>
      <c r="FD1703" s="752"/>
      <c r="FE1703" s="752"/>
      <c r="FF1703" s="752"/>
      <c r="FG1703" s="752"/>
      <c r="FH1703" s="752"/>
      <c r="FI1703" s="752"/>
      <c r="FJ1703" s="752"/>
      <c r="FK1703" s="752"/>
      <c r="FL1703" s="752"/>
      <c r="FM1703" s="752"/>
      <c r="FN1703" s="752"/>
      <c r="FO1703" s="752"/>
      <c r="FP1703" s="752"/>
      <c r="FQ1703" s="752"/>
      <c r="FR1703" s="752"/>
      <c r="FS1703" s="752"/>
      <c r="FT1703" s="752"/>
      <c r="FU1703" s="752"/>
      <c r="FV1703" s="752"/>
      <c r="FW1703" s="752"/>
      <c r="FX1703" s="752"/>
      <c r="FY1703" s="752"/>
      <c r="FZ1703" s="752"/>
      <c r="GA1703" s="752"/>
      <c r="GB1703" s="752"/>
      <c r="GC1703" s="752"/>
      <c r="GD1703" s="752"/>
      <c r="GE1703" s="752"/>
      <c r="GF1703" s="752"/>
      <c r="GG1703" s="752"/>
      <c r="GH1703" s="752"/>
      <c r="GI1703" s="752"/>
      <c r="GJ1703" s="752"/>
      <c r="GK1703" s="752"/>
      <c r="GL1703" s="752"/>
      <c r="GM1703" s="752"/>
      <c r="GN1703" s="752"/>
      <c r="GO1703" s="752"/>
      <c r="GP1703" s="752"/>
      <c r="GQ1703" s="752"/>
      <c r="GR1703" s="752"/>
      <c r="GS1703" s="752"/>
      <c r="GT1703" s="752"/>
      <c r="GU1703" s="752"/>
      <c r="GV1703" s="752"/>
      <c r="GW1703" s="752"/>
      <c r="GX1703" s="752"/>
      <c r="GY1703" s="752"/>
      <c r="GZ1703" s="752"/>
      <c r="HA1703" s="752"/>
      <c r="HB1703" s="752"/>
      <c r="HC1703" s="752"/>
      <c r="HD1703" s="752"/>
      <c r="HE1703" s="752"/>
      <c r="HF1703" s="752"/>
      <c r="HG1703" s="752"/>
      <c r="HH1703" s="752"/>
      <c r="HI1703" s="752"/>
      <c r="HJ1703" s="752"/>
      <c r="HK1703" s="752"/>
      <c r="HL1703" s="752"/>
      <c r="HM1703" s="752"/>
      <c r="HN1703" s="752"/>
      <c r="HO1703" s="752"/>
      <c r="HP1703" s="752"/>
      <c r="HQ1703" s="752"/>
      <c r="HR1703" s="752"/>
      <c r="HS1703" s="752"/>
      <c r="HT1703" s="752"/>
      <c r="HU1703" s="752"/>
      <c r="HV1703" s="752"/>
      <c r="HW1703" s="752"/>
      <c r="HX1703" s="752"/>
      <c r="HY1703" s="752"/>
      <c r="HZ1703" s="752"/>
      <c r="IA1703" s="752"/>
      <c r="IB1703" s="752"/>
      <c r="IC1703" s="752"/>
      <c r="ID1703" s="752"/>
      <c r="IE1703" s="752"/>
      <c r="IF1703" s="752"/>
      <c r="IG1703" s="752"/>
      <c r="IH1703" s="752"/>
      <c r="II1703" s="752"/>
      <c r="IJ1703" s="752"/>
      <c r="IK1703" s="752"/>
      <c r="IL1703" s="752"/>
      <c r="IM1703" s="752"/>
      <c r="IN1703" s="752"/>
      <c r="IO1703" s="752"/>
    </row>
    <row r="1704" spans="1:249" ht="82.5">
      <c r="A1704" s="794"/>
      <c r="B1704" s="6"/>
      <c r="C1704" s="794"/>
      <c r="D1704" s="794"/>
      <c r="E1704" s="794"/>
      <c r="F1704" s="794"/>
      <c r="G1704" s="794"/>
      <c r="H1704" s="794"/>
      <c r="I1704" s="407" t="s">
        <v>2235</v>
      </c>
      <c r="J1704" s="407" t="s">
        <v>3206</v>
      </c>
      <c r="K1704" s="1212">
        <v>72</v>
      </c>
      <c r="L1704" s="1212">
        <v>600000000</v>
      </c>
      <c r="M1704" s="795">
        <v>36</v>
      </c>
      <c r="N1704" s="1212">
        <v>250329427</v>
      </c>
      <c r="O1704" s="1212">
        <v>12</v>
      </c>
      <c r="P1704" s="1212">
        <v>56625000</v>
      </c>
      <c r="Q1704" s="1225">
        <v>3</v>
      </c>
      <c r="R1704" s="1212">
        <v>5996428</v>
      </c>
      <c r="S1704" s="1225">
        <v>3</v>
      </c>
      <c r="T1704" s="1212">
        <v>14114400</v>
      </c>
      <c r="U1704" s="1225">
        <v>0</v>
      </c>
      <c r="V1704" s="1225">
        <v>0</v>
      </c>
      <c r="W1704" s="1225">
        <v>0</v>
      </c>
      <c r="X1704" s="1225">
        <v>0</v>
      </c>
      <c r="Y1704" s="1216">
        <f t="shared" si="495"/>
        <v>6</v>
      </c>
      <c r="Z1704" s="1228">
        <f t="shared" si="496"/>
        <v>20110828</v>
      </c>
      <c r="AA1704" s="795">
        <f t="shared" si="497"/>
        <v>42</v>
      </c>
      <c r="AB1704" s="1212">
        <f t="shared" si="498"/>
        <v>270440255</v>
      </c>
      <c r="AC1704" s="1224">
        <f t="shared" si="499"/>
        <v>58.333333333333336</v>
      </c>
      <c r="AD1704" s="1224">
        <f t="shared" si="500"/>
        <v>45.073375833333337</v>
      </c>
      <c r="AE1704" s="794"/>
      <c r="AF1704" s="750"/>
      <c r="AG1704" s="750"/>
      <c r="AH1704" s="750"/>
      <c r="AI1704" s="750"/>
      <c r="AJ1704" s="750"/>
      <c r="AK1704" s="750"/>
      <c r="AL1704" s="750"/>
      <c r="AM1704" s="750"/>
      <c r="AN1704" s="750"/>
      <c r="AO1704" s="750"/>
      <c r="AP1704" s="750"/>
      <c r="AQ1704" s="750"/>
      <c r="AR1704" s="750"/>
      <c r="AS1704" s="750"/>
      <c r="AT1704" s="750"/>
      <c r="AU1704" s="750"/>
      <c r="AV1704" s="750"/>
      <c r="AW1704" s="750"/>
      <c r="AX1704" s="750"/>
      <c r="AY1704" s="750"/>
      <c r="AZ1704" s="750"/>
      <c r="BA1704" s="750"/>
      <c r="BB1704" s="750"/>
      <c r="BC1704" s="752"/>
      <c r="BD1704" s="752"/>
      <c r="BE1704" s="752"/>
      <c r="BF1704" s="752"/>
      <c r="BG1704" s="752"/>
      <c r="BH1704" s="752"/>
      <c r="BI1704" s="752"/>
      <c r="BJ1704" s="752"/>
      <c r="BK1704" s="752"/>
      <c r="BL1704" s="752"/>
      <c r="BM1704" s="752"/>
      <c r="BN1704" s="752"/>
      <c r="BO1704" s="752"/>
      <c r="BP1704" s="752"/>
      <c r="BQ1704" s="752"/>
      <c r="BR1704" s="752"/>
      <c r="BS1704" s="752"/>
      <c r="BT1704" s="752"/>
      <c r="BU1704" s="752"/>
      <c r="BV1704" s="752"/>
      <c r="BW1704" s="752"/>
      <c r="BX1704" s="752"/>
      <c r="BY1704" s="752"/>
      <c r="BZ1704" s="752"/>
      <c r="CA1704" s="752"/>
      <c r="CB1704" s="752"/>
      <c r="CC1704" s="752"/>
      <c r="CD1704" s="752"/>
      <c r="CE1704" s="752"/>
      <c r="CF1704" s="752"/>
      <c r="CG1704" s="752"/>
      <c r="CH1704" s="752"/>
      <c r="CI1704" s="752"/>
      <c r="CJ1704" s="752"/>
      <c r="CK1704" s="752"/>
      <c r="CL1704" s="752"/>
      <c r="CM1704" s="752"/>
      <c r="CN1704" s="752"/>
      <c r="CO1704" s="752"/>
      <c r="CP1704" s="752"/>
      <c r="CQ1704" s="752"/>
      <c r="CR1704" s="752"/>
      <c r="CS1704" s="752"/>
      <c r="CT1704" s="752"/>
      <c r="CU1704" s="752"/>
      <c r="CV1704" s="752"/>
      <c r="CW1704" s="752"/>
      <c r="CX1704" s="752"/>
      <c r="CY1704" s="752"/>
      <c r="CZ1704" s="752"/>
      <c r="DA1704" s="752"/>
      <c r="DB1704" s="752"/>
      <c r="DC1704" s="752"/>
      <c r="DD1704" s="752"/>
      <c r="DE1704" s="752"/>
      <c r="DF1704" s="752"/>
      <c r="DG1704" s="752"/>
      <c r="DH1704" s="752"/>
      <c r="DI1704" s="752"/>
      <c r="DJ1704" s="752"/>
      <c r="DK1704" s="752"/>
      <c r="DL1704" s="752"/>
      <c r="DM1704" s="752"/>
      <c r="DN1704" s="752"/>
      <c r="DO1704" s="752"/>
      <c r="DP1704" s="752"/>
      <c r="DQ1704" s="752"/>
      <c r="DR1704" s="752"/>
      <c r="DS1704" s="752"/>
      <c r="DT1704" s="752"/>
      <c r="DU1704" s="752"/>
      <c r="DV1704" s="752"/>
      <c r="DW1704" s="752"/>
      <c r="DX1704" s="752"/>
      <c r="DY1704" s="752"/>
      <c r="DZ1704" s="752"/>
      <c r="EA1704" s="752"/>
      <c r="EB1704" s="752"/>
      <c r="EC1704" s="752"/>
      <c r="ED1704" s="752"/>
      <c r="EE1704" s="752"/>
      <c r="EF1704" s="752"/>
      <c r="EG1704" s="752"/>
      <c r="EH1704" s="752"/>
      <c r="EI1704" s="752"/>
      <c r="EJ1704" s="752"/>
      <c r="EK1704" s="752"/>
      <c r="EL1704" s="752"/>
      <c r="EM1704" s="752"/>
      <c r="EN1704" s="752"/>
      <c r="EO1704" s="752"/>
      <c r="EP1704" s="752"/>
      <c r="EQ1704" s="752"/>
      <c r="ER1704" s="752"/>
      <c r="ES1704" s="752"/>
      <c r="ET1704" s="752"/>
      <c r="EU1704" s="752"/>
      <c r="EV1704" s="752"/>
      <c r="EW1704" s="752"/>
      <c r="EX1704" s="752"/>
      <c r="EY1704" s="752"/>
      <c r="EZ1704" s="752"/>
      <c r="FA1704" s="752"/>
      <c r="FB1704" s="752"/>
      <c r="FC1704" s="752"/>
      <c r="FD1704" s="752"/>
      <c r="FE1704" s="752"/>
      <c r="FF1704" s="752"/>
      <c r="FG1704" s="752"/>
      <c r="FH1704" s="752"/>
      <c r="FI1704" s="752"/>
      <c r="FJ1704" s="752"/>
      <c r="FK1704" s="752"/>
      <c r="FL1704" s="752"/>
      <c r="FM1704" s="752"/>
      <c r="FN1704" s="752"/>
      <c r="FO1704" s="752"/>
      <c r="FP1704" s="752"/>
      <c r="FQ1704" s="752"/>
      <c r="FR1704" s="752"/>
      <c r="FS1704" s="752"/>
      <c r="FT1704" s="752"/>
      <c r="FU1704" s="752"/>
      <c r="FV1704" s="752"/>
      <c r="FW1704" s="752"/>
      <c r="FX1704" s="752"/>
      <c r="FY1704" s="752"/>
      <c r="FZ1704" s="752"/>
      <c r="GA1704" s="752"/>
      <c r="GB1704" s="752"/>
      <c r="GC1704" s="752"/>
      <c r="GD1704" s="752"/>
      <c r="GE1704" s="752"/>
      <c r="GF1704" s="752"/>
      <c r="GG1704" s="752"/>
      <c r="GH1704" s="752"/>
      <c r="GI1704" s="752"/>
      <c r="GJ1704" s="752"/>
      <c r="GK1704" s="752"/>
      <c r="GL1704" s="752"/>
      <c r="GM1704" s="752"/>
      <c r="GN1704" s="752"/>
      <c r="GO1704" s="752"/>
      <c r="GP1704" s="752"/>
      <c r="GQ1704" s="752"/>
      <c r="GR1704" s="752"/>
      <c r="GS1704" s="752"/>
      <c r="GT1704" s="752"/>
      <c r="GU1704" s="752"/>
      <c r="GV1704" s="752"/>
      <c r="GW1704" s="752"/>
      <c r="GX1704" s="752"/>
      <c r="GY1704" s="752"/>
      <c r="GZ1704" s="752"/>
      <c r="HA1704" s="752"/>
      <c r="HB1704" s="752"/>
      <c r="HC1704" s="752"/>
      <c r="HD1704" s="752"/>
      <c r="HE1704" s="752"/>
      <c r="HF1704" s="752"/>
      <c r="HG1704" s="752"/>
      <c r="HH1704" s="752"/>
      <c r="HI1704" s="752"/>
      <c r="HJ1704" s="752"/>
      <c r="HK1704" s="752"/>
      <c r="HL1704" s="752"/>
      <c r="HM1704" s="752"/>
      <c r="HN1704" s="752"/>
      <c r="HO1704" s="752"/>
      <c r="HP1704" s="752"/>
      <c r="HQ1704" s="752"/>
      <c r="HR1704" s="752"/>
      <c r="HS1704" s="752"/>
      <c r="HT1704" s="752"/>
      <c r="HU1704" s="752"/>
      <c r="HV1704" s="752"/>
      <c r="HW1704" s="752"/>
      <c r="HX1704" s="752"/>
      <c r="HY1704" s="752"/>
      <c r="HZ1704" s="752"/>
      <c r="IA1704" s="752"/>
      <c r="IB1704" s="752"/>
      <c r="IC1704" s="752"/>
      <c r="ID1704" s="752"/>
      <c r="IE1704" s="752"/>
      <c r="IF1704" s="752"/>
      <c r="IG1704" s="752"/>
      <c r="IH1704" s="752"/>
      <c r="II1704" s="752"/>
      <c r="IJ1704" s="752"/>
      <c r="IK1704" s="752"/>
      <c r="IL1704" s="752"/>
      <c r="IM1704" s="752"/>
      <c r="IN1704" s="752"/>
      <c r="IO1704" s="752"/>
    </row>
    <row r="1705" spans="1:249" ht="66">
      <c r="A1705" s="794"/>
      <c r="B1705" s="6"/>
      <c r="C1705" s="794"/>
      <c r="D1705" s="794"/>
      <c r="E1705" s="794"/>
      <c r="F1705" s="794"/>
      <c r="G1705" s="794"/>
      <c r="H1705" s="794"/>
      <c r="I1705" s="407" t="s">
        <v>2236</v>
      </c>
      <c r="J1705" s="407" t="s">
        <v>2237</v>
      </c>
      <c r="K1705" s="795">
        <v>6</v>
      </c>
      <c r="L1705" s="1212">
        <v>932612000</v>
      </c>
      <c r="M1705" s="795">
        <v>3</v>
      </c>
      <c r="N1705" s="1212">
        <v>410505564</v>
      </c>
      <c r="O1705" s="795">
        <v>1</v>
      </c>
      <c r="P1705" s="1212">
        <v>73569000</v>
      </c>
      <c r="Q1705" s="1216">
        <v>0</v>
      </c>
      <c r="R1705" s="1212">
        <v>3164000</v>
      </c>
      <c r="S1705" s="1223">
        <v>3</v>
      </c>
      <c r="T1705" s="1212">
        <v>15635022</v>
      </c>
      <c r="U1705" s="1223">
        <v>0</v>
      </c>
      <c r="V1705" s="1223">
        <v>0</v>
      </c>
      <c r="W1705" s="1223">
        <v>0</v>
      </c>
      <c r="X1705" s="1223">
        <v>0</v>
      </c>
      <c r="Y1705" s="1216">
        <f t="shared" si="495"/>
        <v>3</v>
      </c>
      <c r="Z1705" s="1212">
        <f t="shared" si="496"/>
        <v>18799022</v>
      </c>
      <c r="AA1705" s="795">
        <f t="shared" si="497"/>
        <v>6</v>
      </c>
      <c r="AB1705" s="1212">
        <f t="shared" si="498"/>
        <v>429304586</v>
      </c>
      <c r="AC1705" s="1215">
        <f t="shared" si="499"/>
        <v>100</v>
      </c>
      <c r="AD1705" s="1215">
        <f t="shared" si="500"/>
        <v>46.032496472273571</v>
      </c>
      <c r="AE1705" s="794"/>
      <c r="AF1705" s="750"/>
      <c r="AG1705" s="750"/>
      <c r="AH1705" s="750"/>
      <c r="AI1705" s="750"/>
      <c r="AJ1705" s="750"/>
      <c r="AK1705" s="750"/>
      <c r="AL1705" s="750"/>
      <c r="AM1705" s="750"/>
      <c r="AN1705" s="750"/>
      <c r="AO1705" s="750"/>
      <c r="AP1705" s="750"/>
      <c r="AQ1705" s="750"/>
      <c r="AR1705" s="750"/>
      <c r="AS1705" s="750"/>
      <c r="AT1705" s="750"/>
      <c r="AU1705" s="750"/>
      <c r="AV1705" s="750"/>
      <c r="AW1705" s="750"/>
      <c r="AX1705" s="750"/>
      <c r="AY1705" s="750"/>
      <c r="AZ1705" s="750"/>
      <c r="BA1705" s="750"/>
      <c r="BB1705" s="750"/>
      <c r="BC1705" s="752"/>
      <c r="BD1705" s="752"/>
      <c r="BE1705" s="752"/>
      <c r="BF1705" s="752"/>
      <c r="BG1705" s="752"/>
      <c r="BH1705" s="752"/>
      <c r="BI1705" s="752"/>
      <c r="BJ1705" s="752"/>
      <c r="BK1705" s="752"/>
      <c r="BL1705" s="752"/>
      <c r="BM1705" s="752"/>
      <c r="BN1705" s="752"/>
      <c r="BO1705" s="752"/>
      <c r="BP1705" s="752"/>
      <c r="BQ1705" s="752"/>
      <c r="BR1705" s="752"/>
      <c r="BS1705" s="752"/>
      <c r="BT1705" s="752"/>
      <c r="BU1705" s="752"/>
      <c r="BV1705" s="752"/>
      <c r="BW1705" s="752"/>
      <c r="BX1705" s="752"/>
      <c r="BY1705" s="752"/>
      <c r="BZ1705" s="752"/>
      <c r="CA1705" s="752"/>
      <c r="CB1705" s="752"/>
      <c r="CC1705" s="752"/>
      <c r="CD1705" s="752"/>
      <c r="CE1705" s="752"/>
      <c r="CF1705" s="752"/>
      <c r="CG1705" s="752"/>
      <c r="CH1705" s="752"/>
      <c r="CI1705" s="752"/>
      <c r="CJ1705" s="752"/>
      <c r="CK1705" s="752"/>
      <c r="CL1705" s="752"/>
      <c r="CM1705" s="752"/>
      <c r="CN1705" s="752"/>
      <c r="CO1705" s="752"/>
      <c r="CP1705" s="752"/>
      <c r="CQ1705" s="752"/>
      <c r="CR1705" s="752"/>
      <c r="CS1705" s="752"/>
      <c r="CT1705" s="752"/>
      <c r="CU1705" s="752"/>
      <c r="CV1705" s="752"/>
      <c r="CW1705" s="752"/>
      <c r="CX1705" s="752"/>
      <c r="CY1705" s="752"/>
      <c r="CZ1705" s="752"/>
      <c r="DA1705" s="752"/>
      <c r="DB1705" s="752"/>
      <c r="DC1705" s="752"/>
      <c r="DD1705" s="752"/>
      <c r="DE1705" s="752"/>
      <c r="DF1705" s="752"/>
      <c r="DG1705" s="752"/>
      <c r="DH1705" s="752"/>
      <c r="DI1705" s="752"/>
      <c r="DJ1705" s="752"/>
      <c r="DK1705" s="752"/>
      <c r="DL1705" s="752"/>
      <c r="DM1705" s="752"/>
      <c r="DN1705" s="752"/>
      <c r="DO1705" s="752"/>
      <c r="DP1705" s="752"/>
      <c r="DQ1705" s="752"/>
      <c r="DR1705" s="752"/>
      <c r="DS1705" s="752"/>
      <c r="DT1705" s="752"/>
      <c r="DU1705" s="752"/>
      <c r="DV1705" s="752"/>
      <c r="DW1705" s="752"/>
      <c r="DX1705" s="752"/>
      <c r="DY1705" s="752"/>
      <c r="DZ1705" s="752"/>
      <c r="EA1705" s="752"/>
      <c r="EB1705" s="752"/>
      <c r="EC1705" s="752"/>
      <c r="ED1705" s="752"/>
      <c r="EE1705" s="752"/>
      <c r="EF1705" s="752"/>
      <c r="EG1705" s="752"/>
      <c r="EH1705" s="752"/>
      <c r="EI1705" s="752"/>
      <c r="EJ1705" s="752"/>
      <c r="EK1705" s="752"/>
      <c r="EL1705" s="752"/>
      <c r="EM1705" s="752"/>
      <c r="EN1705" s="752"/>
      <c r="EO1705" s="752"/>
      <c r="EP1705" s="752"/>
      <c r="EQ1705" s="752"/>
      <c r="ER1705" s="752"/>
      <c r="ES1705" s="752"/>
      <c r="ET1705" s="752"/>
      <c r="EU1705" s="752"/>
      <c r="EV1705" s="752"/>
      <c r="EW1705" s="752"/>
      <c r="EX1705" s="752"/>
      <c r="EY1705" s="752"/>
      <c r="EZ1705" s="752"/>
      <c r="FA1705" s="752"/>
      <c r="FB1705" s="752"/>
      <c r="FC1705" s="752"/>
      <c r="FD1705" s="752"/>
      <c r="FE1705" s="752"/>
      <c r="FF1705" s="752"/>
      <c r="FG1705" s="752"/>
      <c r="FH1705" s="752"/>
      <c r="FI1705" s="752"/>
      <c r="FJ1705" s="752"/>
      <c r="FK1705" s="752"/>
      <c r="FL1705" s="752"/>
      <c r="FM1705" s="752"/>
      <c r="FN1705" s="752"/>
      <c r="FO1705" s="752"/>
      <c r="FP1705" s="752"/>
      <c r="FQ1705" s="752"/>
      <c r="FR1705" s="752"/>
      <c r="FS1705" s="752"/>
      <c r="FT1705" s="752"/>
      <c r="FU1705" s="752"/>
      <c r="FV1705" s="752"/>
      <c r="FW1705" s="752"/>
      <c r="FX1705" s="752"/>
      <c r="FY1705" s="752"/>
      <c r="FZ1705" s="752"/>
      <c r="GA1705" s="752"/>
      <c r="GB1705" s="752"/>
      <c r="GC1705" s="752"/>
      <c r="GD1705" s="752"/>
      <c r="GE1705" s="752"/>
      <c r="GF1705" s="752"/>
      <c r="GG1705" s="752"/>
      <c r="GH1705" s="752"/>
      <c r="GI1705" s="752"/>
      <c r="GJ1705" s="752"/>
      <c r="GK1705" s="752"/>
      <c r="GL1705" s="752"/>
      <c r="GM1705" s="752"/>
      <c r="GN1705" s="752"/>
      <c r="GO1705" s="752"/>
      <c r="GP1705" s="752"/>
      <c r="GQ1705" s="752"/>
      <c r="GR1705" s="752"/>
      <c r="GS1705" s="752"/>
      <c r="GT1705" s="752"/>
      <c r="GU1705" s="752"/>
      <c r="GV1705" s="752"/>
      <c r="GW1705" s="752"/>
      <c r="GX1705" s="752"/>
      <c r="GY1705" s="752"/>
      <c r="GZ1705" s="752"/>
      <c r="HA1705" s="752"/>
      <c r="HB1705" s="752"/>
      <c r="HC1705" s="752"/>
      <c r="HD1705" s="752"/>
      <c r="HE1705" s="752"/>
      <c r="HF1705" s="752"/>
      <c r="HG1705" s="752"/>
      <c r="HH1705" s="752"/>
      <c r="HI1705" s="752"/>
      <c r="HJ1705" s="752"/>
      <c r="HK1705" s="752"/>
      <c r="HL1705" s="752"/>
      <c r="HM1705" s="752"/>
      <c r="HN1705" s="752"/>
      <c r="HO1705" s="752"/>
      <c r="HP1705" s="752"/>
      <c r="HQ1705" s="752"/>
      <c r="HR1705" s="752"/>
      <c r="HS1705" s="752"/>
      <c r="HT1705" s="752"/>
      <c r="HU1705" s="752"/>
      <c r="HV1705" s="752"/>
      <c r="HW1705" s="752"/>
      <c r="HX1705" s="752"/>
      <c r="HY1705" s="752"/>
      <c r="HZ1705" s="752"/>
      <c r="IA1705" s="752"/>
      <c r="IB1705" s="752"/>
      <c r="IC1705" s="752"/>
      <c r="ID1705" s="752"/>
      <c r="IE1705" s="752"/>
      <c r="IF1705" s="752"/>
      <c r="IG1705" s="752"/>
      <c r="IH1705" s="752"/>
      <c r="II1705" s="752"/>
      <c r="IJ1705" s="752"/>
      <c r="IK1705" s="752"/>
      <c r="IL1705" s="752"/>
      <c r="IM1705" s="752"/>
      <c r="IN1705" s="752"/>
      <c r="IO1705" s="752"/>
    </row>
    <row r="1706" spans="1:249" ht="99">
      <c r="A1706" s="794"/>
      <c r="B1706" s="6"/>
      <c r="C1706" s="794"/>
      <c r="D1706" s="794"/>
      <c r="E1706" s="794"/>
      <c r="F1706" s="794"/>
      <c r="G1706" s="794"/>
      <c r="H1706" s="794"/>
      <c r="I1706" s="407" t="s">
        <v>2238</v>
      </c>
      <c r="J1706" s="407" t="s">
        <v>3207</v>
      </c>
      <c r="K1706" s="1212">
        <v>18</v>
      </c>
      <c r="L1706" s="1212">
        <v>699458500</v>
      </c>
      <c r="M1706" s="795">
        <v>9</v>
      </c>
      <c r="N1706" s="1212">
        <v>200961551</v>
      </c>
      <c r="O1706" s="1212">
        <v>3</v>
      </c>
      <c r="P1706" s="1212">
        <v>42550000</v>
      </c>
      <c r="Q1706" s="1225">
        <v>0</v>
      </c>
      <c r="R1706" s="1212">
        <v>4382600</v>
      </c>
      <c r="S1706" s="1225">
        <v>0</v>
      </c>
      <c r="T1706" s="1212">
        <v>3921700</v>
      </c>
      <c r="U1706" s="1225">
        <v>0</v>
      </c>
      <c r="V1706" s="1225">
        <v>0</v>
      </c>
      <c r="W1706" s="1225">
        <v>0</v>
      </c>
      <c r="X1706" s="1225">
        <v>0</v>
      </c>
      <c r="Y1706" s="1216">
        <f t="shared" si="495"/>
        <v>0</v>
      </c>
      <c r="Z1706" s="1228">
        <f t="shared" si="496"/>
        <v>8304300</v>
      </c>
      <c r="AA1706" s="795">
        <f t="shared" si="497"/>
        <v>9</v>
      </c>
      <c r="AB1706" s="1212">
        <f t="shared" si="498"/>
        <v>209265851</v>
      </c>
      <c r="AC1706" s="1224">
        <f t="shared" si="499"/>
        <v>50</v>
      </c>
      <c r="AD1706" s="1224">
        <f t="shared" si="500"/>
        <v>29.918265486801577</v>
      </c>
      <c r="AE1706" s="794"/>
      <c r="AF1706" s="750"/>
      <c r="AG1706" s="750"/>
      <c r="AH1706" s="750"/>
      <c r="AI1706" s="750"/>
      <c r="AJ1706" s="750"/>
      <c r="AK1706" s="750"/>
      <c r="AL1706" s="750"/>
      <c r="AM1706" s="750"/>
      <c r="AN1706" s="750"/>
      <c r="AO1706" s="750"/>
      <c r="AP1706" s="750"/>
      <c r="AQ1706" s="750"/>
      <c r="AR1706" s="750"/>
      <c r="AS1706" s="750"/>
      <c r="AT1706" s="750"/>
      <c r="AU1706" s="750"/>
      <c r="AV1706" s="750"/>
      <c r="AW1706" s="750"/>
      <c r="AX1706" s="750"/>
      <c r="AY1706" s="750"/>
      <c r="AZ1706" s="750"/>
      <c r="BA1706" s="750"/>
      <c r="BB1706" s="750"/>
      <c r="BC1706" s="752"/>
      <c r="BD1706" s="752"/>
      <c r="BE1706" s="752"/>
      <c r="BF1706" s="752"/>
      <c r="BG1706" s="752"/>
      <c r="BH1706" s="752"/>
      <c r="BI1706" s="752"/>
      <c r="BJ1706" s="752"/>
      <c r="BK1706" s="752"/>
      <c r="BL1706" s="752"/>
      <c r="BM1706" s="752"/>
      <c r="BN1706" s="752"/>
      <c r="BO1706" s="752"/>
      <c r="BP1706" s="752"/>
      <c r="BQ1706" s="752"/>
      <c r="BR1706" s="752"/>
      <c r="BS1706" s="752"/>
      <c r="BT1706" s="752"/>
      <c r="BU1706" s="752"/>
      <c r="BV1706" s="752"/>
      <c r="BW1706" s="752"/>
      <c r="BX1706" s="752"/>
      <c r="BY1706" s="752"/>
      <c r="BZ1706" s="752"/>
      <c r="CA1706" s="752"/>
      <c r="CB1706" s="752"/>
      <c r="CC1706" s="752"/>
      <c r="CD1706" s="752"/>
      <c r="CE1706" s="752"/>
      <c r="CF1706" s="752"/>
      <c r="CG1706" s="752"/>
      <c r="CH1706" s="752"/>
      <c r="CI1706" s="752"/>
      <c r="CJ1706" s="752"/>
      <c r="CK1706" s="752"/>
      <c r="CL1706" s="752"/>
      <c r="CM1706" s="752"/>
      <c r="CN1706" s="752"/>
      <c r="CO1706" s="752"/>
      <c r="CP1706" s="752"/>
      <c r="CQ1706" s="752"/>
      <c r="CR1706" s="752"/>
      <c r="CS1706" s="752"/>
      <c r="CT1706" s="752"/>
      <c r="CU1706" s="752"/>
      <c r="CV1706" s="752"/>
      <c r="CW1706" s="752"/>
      <c r="CX1706" s="752"/>
      <c r="CY1706" s="752"/>
      <c r="CZ1706" s="752"/>
      <c r="DA1706" s="752"/>
      <c r="DB1706" s="752"/>
      <c r="DC1706" s="752"/>
      <c r="DD1706" s="752"/>
      <c r="DE1706" s="752"/>
      <c r="DF1706" s="752"/>
      <c r="DG1706" s="752"/>
      <c r="DH1706" s="752"/>
      <c r="DI1706" s="752"/>
      <c r="DJ1706" s="752"/>
      <c r="DK1706" s="752"/>
      <c r="DL1706" s="752"/>
      <c r="DM1706" s="752"/>
      <c r="DN1706" s="752"/>
      <c r="DO1706" s="752"/>
      <c r="DP1706" s="752"/>
      <c r="DQ1706" s="752"/>
      <c r="DR1706" s="752"/>
      <c r="DS1706" s="752"/>
      <c r="DT1706" s="752"/>
      <c r="DU1706" s="752"/>
      <c r="DV1706" s="752"/>
      <c r="DW1706" s="752"/>
      <c r="DX1706" s="752"/>
      <c r="DY1706" s="752"/>
      <c r="DZ1706" s="752"/>
      <c r="EA1706" s="752"/>
      <c r="EB1706" s="752"/>
      <c r="EC1706" s="752"/>
      <c r="ED1706" s="752"/>
      <c r="EE1706" s="752"/>
      <c r="EF1706" s="752"/>
      <c r="EG1706" s="752"/>
      <c r="EH1706" s="752"/>
      <c r="EI1706" s="752"/>
      <c r="EJ1706" s="752"/>
      <c r="EK1706" s="752"/>
      <c r="EL1706" s="752"/>
      <c r="EM1706" s="752"/>
      <c r="EN1706" s="752"/>
      <c r="EO1706" s="752"/>
      <c r="EP1706" s="752"/>
      <c r="EQ1706" s="752"/>
      <c r="ER1706" s="752"/>
      <c r="ES1706" s="752"/>
      <c r="ET1706" s="752"/>
      <c r="EU1706" s="752"/>
      <c r="EV1706" s="752"/>
      <c r="EW1706" s="752"/>
      <c r="EX1706" s="752"/>
      <c r="EY1706" s="752"/>
      <c r="EZ1706" s="752"/>
      <c r="FA1706" s="752"/>
      <c r="FB1706" s="752"/>
      <c r="FC1706" s="752"/>
      <c r="FD1706" s="752"/>
      <c r="FE1706" s="752"/>
      <c r="FF1706" s="752"/>
      <c r="FG1706" s="752"/>
      <c r="FH1706" s="752"/>
      <c r="FI1706" s="752"/>
      <c r="FJ1706" s="752"/>
      <c r="FK1706" s="752"/>
      <c r="FL1706" s="752"/>
      <c r="FM1706" s="752"/>
      <c r="FN1706" s="752"/>
      <c r="FO1706" s="752"/>
      <c r="FP1706" s="752"/>
      <c r="FQ1706" s="752"/>
      <c r="FR1706" s="752"/>
      <c r="FS1706" s="752"/>
      <c r="FT1706" s="752"/>
      <c r="FU1706" s="752"/>
      <c r="FV1706" s="752"/>
      <c r="FW1706" s="752"/>
      <c r="FX1706" s="752"/>
      <c r="FY1706" s="752"/>
      <c r="FZ1706" s="752"/>
      <c r="GA1706" s="752"/>
      <c r="GB1706" s="752"/>
      <c r="GC1706" s="752"/>
      <c r="GD1706" s="752"/>
      <c r="GE1706" s="752"/>
      <c r="GF1706" s="752"/>
      <c r="GG1706" s="752"/>
      <c r="GH1706" s="752"/>
      <c r="GI1706" s="752"/>
      <c r="GJ1706" s="752"/>
      <c r="GK1706" s="752"/>
      <c r="GL1706" s="752"/>
      <c r="GM1706" s="752"/>
      <c r="GN1706" s="752"/>
      <c r="GO1706" s="752"/>
      <c r="GP1706" s="752"/>
      <c r="GQ1706" s="752"/>
      <c r="GR1706" s="752"/>
      <c r="GS1706" s="752"/>
      <c r="GT1706" s="752"/>
      <c r="GU1706" s="752"/>
      <c r="GV1706" s="752"/>
      <c r="GW1706" s="752"/>
      <c r="GX1706" s="752"/>
      <c r="GY1706" s="752"/>
      <c r="GZ1706" s="752"/>
      <c r="HA1706" s="752"/>
      <c r="HB1706" s="752"/>
      <c r="HC1706" s="752"/>
      <c r="HD1706" s="752"/>
      <c r="HE1706" s="752"/>
      <c r="HF1706" s="752"/>
      <c r="HG1706" s="752"/>
      <c r="HH1706" s="752"/>
      <c r="HI1706" s="752"/>
      <c r="HJ1706" s="752"/>
      <c r="HK1706" s="752"/>
      <c r="HL1706" s="752"/>
      <c r="HM1706" s="752"/>
      <c r="HN1706" s="752"/>
      <c r="HO1706" s="752"/>
      <c r="HP1706" s="752"/>
      <c r="HQ1706" s="752"/>
      <c r="HR1706" s="752"/>
      <c r="HS1706" s="752"/>
      <c r="HT1706" s="752"/>
      <c r="HU1706" s="752"/>
      <c r="HV1706" s="752"/>
      <c r="HW1706" s="752"/>
      <c r="HX1706" s="752"/>
      <c r="HY1706" s="752"/>
      <c r="HZ1706" s="752"/>
      <c r="IA1706" s="752"/>
      <c r="IB1706" s="752"/>
      <c r="IC1706" s="752"/>
      <c r="ID1706" s="752"/>
      <c r="IE1706" s="752"/>
      <c r="IF1706" s="752"/>
      <c r="IG1706" s="752"/>
      <c r="IH1706" s="752"/>
      <c r="II1706" s="752"/>
      <c r="IJ1706" s="752"/>
      <c r="IK1706" s="752"/>
      <c r="IL1706" s="752"/>
      <c r="IM1706" s="752"/>
      <c r="IN1706" s="752"/>
      <c r="IO1706" s="752"/>
    </row>
    <row r="1707" spans="1:249" s="1235" customFormat="1" ht="21.75" customHeight="1">
      <c r="A1707" s="2736" t="s">
        <v>63</v>
      </c>
      <c r="B1707" s="2736"/>
      <c r="C1707" s="2736"/>
      <c r="D1707" s="2736"/>
      <c r="E1707" s="2736"/>
      <c r="F1707" s="2736"/>
      <c r="G1707" s="2736"/>
      <c r="H1707" s="2736"/>
      <c r="I1707" s="2736"/>
      <c r="J1707" s="2736"/>
      <c r="K1707" s="2736"/>
      <c r="L1707" s="2736"/>
      <c r="M1707" s="2736"/>
      <c r="N1707" s="2736"/>
      <c r="O1707" s="2736"/>
      <c r="P1707" s="2736"/>
      <c r="Q1707" s="2736"/>
      <c r="R1707" s="2736"/>
      <c r="S1707" s="2736"/>
      <c r="T1707" s="2736"/>
      <c r="U1707" s="2736"/>
      <c r="V1707" s="2736"/>
      <c r="W1707" s="2736"/>
      <c r="X1707" s="2736"/>
      <c r="Y1707" s="2736"/>
      <c r="Z1707" s="2736"/>
      <c r="AA1707" s="2736"/>
      <c r="AB1707" s="2736"/>
      <c r="AC1707" s="1875">
        <f>(AC1655+AC1670+AC1674+AC1676+AC1680+AC1684+AC1698+AC1701+AC1703)/9</f>
        <v>85.86666666666666</v>
      </c>
      <c r="AD1707" s="1875">
        <f>(AD1655+AD1670+AD1674+AD1676+AD1680+AD1684+AD1698+AD1701+AD1703)/9</f>
        <v>32.745093146366514</v>
      </c>
      <c r="AE1707" s="1876"/>
      <c r="AF1707" s="861"/>
      <c r="AG1707" s="861"/>
      <c r="AH1707" s="861"/>
      <c r="AI1707" s="861"/>
      <c r="AJ1707" s="861"/>
      <c r="AK1707" s="861"/>
      <c r="AL1707" s="861"/>
      <c r="AM1707" s="861"/>
      <c r="AN1707" s="861"/>
      <c r="AO1707" s="861"/>
      <c r="AP1707" s="861"/>
      <c r="AQ1707" s="861"/>
      <c r="AR1707" s="861"/>
      <c r="AS1707" s="861"/>
      <c r="AT1707" s="861"/>
      <c r="AU1707" s="861"/>
      <c r="AV1707" s="861"/>
      <c r="AW1707" s="861"/>
      <c r="AX1707" s="861"/>
      <c r="AY1707" s="861"/>
      <c r="AZ1707" s="861"/>
      <c r="BA1707" s="861"/>
      <c r="BB1707" s="861"/>
      <c r="BC1707" s="862"/>
      <c r="BD1707" s="862"/>
      <c r="BE1707" s="862"/>
      <c r="BF1707" s="862"/>
      <c r="BG1707" s="862"/>
      <c r="BH1707" s="862"/>
      <c r="BI1707" s="862"/>
      <c r="BJ1707" s="862"/>
      <c r="BK1707" s="862"/>
      <c r="BL1707" s="862"/>
      <c r="BM1707" s="862"/>
      <c r="BN1707" s="862"/>
      <c r="BO1707" s="862"/>
      <c r="BP1707" s="862"/>
      <c r="BQ1707" s="862"/>
      <c r="BR1707" s="862"/>
      <c r="BS1707" s="862"/>
      <c r="BT1707" s="862"/>
      <c r="BU1707" s="862"/>
      <c r="BV1707" s="862"/>
      <c r="BW1707" s="862"/>
      <c r="BX1707" s="862"/>
      <c r="BY1707" s="862"/>
      <c r="BZ1707" s="862"/>
      <c r="CA1707" s="862"/>
      <c r="CB1707" s="862"/>
      <c r="CC1707" s="862"/>
      <c r="CD1707" s="862"/>
      <c r="CE1707" s="862"/>
      <c r="CF1707" s="862"/>
      <c r="CG1707" s="862"/>
      <c r="CH1707" s="862"/>
      <c r="CI1707" s="862"/>
      <c r="CJ1707" s="862"/>
      <c r="CK1707" s="862"/>
      <c r="CL1707" s="862"/>
      <c r="CM1707" s="862"/>
      <c r="CN1707" s="862"/>
      <c r="CO1707" s="862"/>
      <c r="CP1707" s="862"/>
      <c r="CQ1707" s="862"/>
      <c r="CR1707" s="862"/>
      <c r="CS1707" s="862"/>
      <c r="CT1707" s="862"/>
      <c r="CU1707" s="862"/>
      <c r="CV1707" s="862"/>
      <c r="CW1707" s="862"/>
      <c r="CX1707" s="862"/>
      <c r="CY1707" s="862"/>
      <c r="CZ1707" s="862"/>
      <c r="DA1707" s="862"/>
      <c r="DB1707" s="862"/>
      <c r="DC1707" s="862"/>
      <c r="DD1707" s="862"/>
      <c r="DE1707" s="862"/>
      <c r="DF1707" s="862"/>
      <c r="DG1707" s="862"/>
      <c r="DH1707" s="862"/>
      <c r="DI1707" s="862"/>
      <c r="DJ1707" s="862"/>
      <c r="DK1707" s="862"/>
      <c r="DL1707" s="862"/>
      <c r="DM1707" s="862"/>
      <c r="DN1707" s="862"/>
      <c r="DO1707" s="862"/>
      <c r="DP1707" s="862"/>
      <c r="DQ1707" s="862"/>
      <c r="DR1707" s="862"/>
      <c r="DS1707" s="862"/>
      <c r="DT1707" s="862"/>
      <c r="DU1707" s="862"/>
      <c r="DV1707" s="862"/>
      <c r="DW1707" s="862"/>
      <c r="DX1707" s="862"/>
      <c r="DY1707" s="862"/>
      <c r="DZ1707" s="862"/>
      <c r="EA1707" s="862"/>
      <c r="EB1707" s="862"/>
      <c r="EC1707" s="862"/>
      <c r="ED1707" s="862"/>
      <c r="EE1707" s="862"/>
      <c r="EF1707" s="862"/>
      <c r="EG1707" s="862"/>
      <c r="EH1707" s="862"/>
      <c r="EI1707" s="862"/>
      <c r="EJ1707" s="862"/>
      <c r="EK1707" s="862"/>
      <c r="EL1707" s="862"/>
      <c r="EM1707" s="862"/>
      <c r="EN1707" s="862"/>
      <c r="EO1707" s="862"/>
      <c r="EP1707" s="862"/>
      <c r="EQ1707" s="862"/>
      <c r="ER1707" s="862"/>
      <c r="ES1707" s="862"/>
      <c r="ET1707" s="862"/>
      <c r="EU1707" s="862"/>
      <c r="EV1707" s="862"/>
      <c r="EW1707" s="862"/>
      <c r="EX1707" s="862"/>
      <c r="EY1707" s="862"/>
      <c r="EZ1707" s="862"/>
      <c r="FA1707" s="862"/>
      <c r="FB1707" s="862"/>
      <c r="FC1707" s="862"/>
      <c r="FD1707" s="862"/>
      <c r="FE1707" s="862"/>
      <c r="FF1707" s="862"/>
      <c r="FG1707" s="862"/>
      <c r="FH1707" s="862"/>
      <c r="FI1707" s="862"/>
      <c r="FJ1707" s="862"/>
      <c r="FK1707" s="862"/>
      <c r="FL1707" s="862"/>
      <c r="FM1707" s="862"/>
      <c r="FN1707" s="862"/>
      <c r="FO1707" s="862"/>
      <c r="FP1707" s="862"/>
      <c r="FQ1707" s="862"/>
      <c r="FR1707" s="862"/>
      <c r="FS1707" s="862"/>
      <c r="FT1707" s="862"/>
      <c r="FU1707" s="862"/>
      <c r="FV1707" s="862"/>
      <c r="FW1707" s="862"/>
      <c r="FX1707" s="862"/>
      <c r="FY1707" s="862"/>
      <c r="FZ1707" s="862"/>
      <c r="GA1707" s="862"/>
      <c r="GB1707" s="862"/>
      <c r="GC1707" s="862"/>
      <c r="GD1707" s="862"/>
      <c r="GE1707" s="862"/>
      <c r="GF1707" s="862"/>
      <c r="GG1707" s="862"/>
      <c r="GH1707" s="862"/>
      <c r="GI1707" s="862"/>
      <c r="GJ1707" s="862"/>
      <c r="GK1707" s="862"/>
      <c r="GL1707" s="862"/>
      <c r="GM1707" s="862"/>
      <c r="GN1707" s="862"/>
      <c r="GO1707" s="862"/>
      <c r="GP1707" s="862"/>
      <c r="GQ1707" s="862"/>
      <c r="GR1707" s="862"/>
      <c r="GS1707" s="862"/>
      <c r="GT1707" s="862"/>
      <c r="GU1707" s="862"/>
      <c r="GV1707" s="862"/>
      <c r="GW1707" s="862"/>
      <c r="GX1707" s="862"/>
      <c r="GY1707" s="862"/>
      <c r="GZ1707" s="862"/>
      <c r="HA1707" s="862"/>
      <c r="HB1707" s="862"/>
      <c r="HC1707" s="862"/>
      <c r="HD1707" s="862"/>
      <c r="HE1707" s="862"/>
      <c r="HF1707" s="862"/>
      <c r="HG1707" s="862"/>
      <c r="HH1707" s="862"/>
      <c r="HI1707" s="862"/>
      <c r="HJ1707" s="862"/>
      <c r="HK1707" s="862"/>
      <c r="HL1707" s="862"/>
      <c r="HM1707" s="862"/>
      <c r="HN1707" s="862"/>
      <c r="HO1707" s="862"/>
      <c r="HP1707" s="862"/>
      <c r="HQ1707" s="862"/>
      <c r="HR1707" s="862"/>
      <c r="HS1707" s="862"/>
      <c r="HT1707" s="862"/>
      <c r="HU1707" s="862"/>
      <c r="HV1707" s="862"/>
      <c r="HW1707" s="862"/>
      <c r="HX1707" s="862"/>
      <c r="HY1707" s="862"/>
      <c r="HZ1707" s="862"/>
      <c r="IA1707" s="862"/>
      <c r="IB1707" s="862"/>
      <c r="IC1707" s="862"/>
      <c r="ID1707" s="862"/>
      <c r="IE1707" s="862"/>
      <c r="IF1707" s="862"/>
      <c r="IG1707" s="862"/>
      <c r="IH1707" s="862"/>
      <c r="II1707" s="862"/>
      <c r="IJ1707" s="862"/>
      <c r="IK1707" s="862"/>
      <c r="IL1707" s="862"/>
      <c r="IM1707" s="862"/>
      <c r="IN1707" s="862"/>
      <c r="IO1707" s="862"/>
    </row>
    <row r="1708" spans="1:249" s="1235" customFormat="1" ht="26.25" customHeight="1">
      <c r="A1708" s="2736" t="s">
        <v>64</v>
      </c>
      <c r="B1708" s="2736"/>
      <c r="C1708" s="2736"/>
      <c r="D1708" s="2736"/>
      <c r="E1708" s="2736"/>
      <c r="F1708" s="2736"/>
      <c r="G1708" s="2736"/>
      <c r="H1708" s="2736"/>
      <c r="I1708" s="2736"/>
      <c r="J1708" s="2736"/>
      <c r="K1708" s="2736"/>
      <c r="L1708" s="2736"/>
      <c r="M1708" s="2736"/>
      <c r="N1708" s="2736"/>
      <c r="O1708" s="2736"/>
      <c r="P1708" s="2736"/>
      <c r="Q1708" s="2736"/>
      <c r="R1708" s="2736"/>
      <c r="S1708" s="2736"/>
      <c r="T1708" s="2736"/>
      <c r="U1708" s="2736"/>
      <c r="V1708" s="2736"/>
      <c r="W1708" s="2736"/>
      <c r="X1708" s="2736"/>
      <c r="Y1708" s="2736"/>
      <c r="Z1708" s="2736"/>
      <c r="AA1708" s="2736"/>
      <c r="AB1708" s="2736"/>
      <c r="AC1708" s="1861" t="str">
        <f>IF(AC1707&gt;=91,"ST",IF(AC1707&gt;=76,"T",IF(AC1707&gt;=66,"S",IF(AC1707&gt;=51,"R","SR"))))</f>
        <v>T</v>
      </c>
      <c r="AD1708" s="1861" t="str">
        <f>IF(AD1707&gt;=91,"ST",IF(AD1707&gt;=76,"T",IF(AD1707&gt;=66,"S",IF(AD1707&gt;=51,"R","SR"))))</f>
        <v>SR</v>
      </c>
      <c r="AE1708" s="1876"/>
      <c r="AF1708" s="861"/>
      <c r="AG1708" s="861"/>
      <c r="AH1708" s="861"/>
      <c r="AI1708" s="861"/>
      <c r="AJ1708" s="861"/>
      <c r="AK1708" s="861"/>
      <c r="AL1708" s="861"/>
      <c r="AM1708" s="861"/>
      <c r="AN1708" s="861"/>
      <c r="AO1708" s="861"/>
      <c r="AP1708" s="861"/>
      <c r="AQ1708" s="861"/>
      <c r="AR1708" s="861"/>
      <c r="AS1708" s="861"/>
      <c r="AT1708" s="861"/>
      <c r="AU1708" s="861"/>
      <c r="AV1708" s="861"/>
      <c r="AW1708" s="861"/>
      <c r="AX1708" s="861"/>
      <c r="AY1708" s="861"/>
      <c r="AZ1708" s="861"/>
      <c r="BA1708" s="861"/>
      <c r="BB1708" s="861"/>
      <c r="BC1708" s="862"/>
      <c r="BD1708" s="862"/>
      <c r="BE1708" s="862"/>
      <c r="BF1708" s="862"/>
      <c r="BG1708" s="862"/>
      <c r="BH1708" s="862"/>
      <c r="BI1708" s="862"/>
      <c r="BJ1708" s="862"/>
      <c r="BK1708" s="862"/>
      <c r="BL1708" s="862"/>
      <c r="BM1708" s="862"/>
      <c r="BN1708" s="862"/>
      <c r="BO1708" s="862"/>
      <c r="BP1708" s="862"/>
      <c r="BQ1708" s="862"/>
      <c r="BR1708" s="862"/>
      <c r="BS1708" s="862"/>
      <c r="BT1708" s="862"/>
      <c r="BU1708" s="862"/>
      <c r="BV1708" s="862"/>
      <c r="BW1708" s="862"/>
      <c r="BX1708" s="862"/>
      <c r="BY1708" s="862"/>
      <c r="BZ1708" s="862"/>
      <c r="CA1708" s="862"/>
      <c r="CB1708" s="862"/>
      <c r="CC1708" s="862"/>
      <c r="CD1708" s="862"/>
      <c r="CE1708" s="862"/>
      <c r="CF1708" s="862"/>
      <c r="CG1708" s="862"/>
      <c r="CH1708" s="862"/>
      <c r="CI1708" s="862"/>
      <c r="CJ1708" s="862"/>
      <c r="CK1708" s="862"/>
      <c r="CL1708" s="862"/>
      <c r="CM1708" s="862"/>
      <c r="CN1708" s="862"/>
      <c r="CO1708" s="862"/>
      <c r="CP1708" s="862"/>
      <c r="CQ1708" s="862"/>
      <c r="CR1708" s="862"/>
      <c r="CS1708" s="862"/>
      <c r="CT1708" s="862"/>
      <c r="CU1708" s="862"/>
      <c r="CV1708" s="862"/>
      <c r="CW1708" s="862"/>
      <c r="CX1708" s="862"/>
      <c r="CY1708" s="862"/>
      <c r="CZ1708" s="862"/>
      <c r="DA1708" s="862"/>
      <c r="DB1708" s="862"/>
      <c r="DC1708" s="862"/>
      <c r="DD1708" s="862"/>
      <c r="DE1708" s="862"/>
      <c r="DF1708" s="862"/>
      <c r="DG1708" s="862"/>
      <c r="DH1708" s="862"/>
      <c r="DI1708" s="862"/>
      <c r="DJ1708" s="862"/>
      <c r="DK1708" s="862"/>
      <c r="DL1708" s="862"/>
      <c r="DM1708" s="862"/>
      <c r="DN1708" s="862"/>
      <c r="DO1708" s="862"/>
      <c r="DP1708" s="862"/>
      <c r="DQ1708" s="862"/>
      <c r="DR1708" s="862"/>
      <c r="DS1708" s="862"/>
      <c r="DT1708" s="862"/>
      <c r="DU1708" s="862"/>
      <c r="DV1708" s="862"/>
      <c r="DW1708" s="862"/>
      <c r="DX1708" s="862"/>
      <c r="DY1708" s="862"/>
      <c r="DZ1708" s="862"/>
      <c r="EA1708" s="862"/>
      <c r="EB1708" s="862"/>
      <c r="EC1708" s="862"/>
      <c r="ED1708" s="862"/>
      <c r="EE1708" s="862"/>
      <c r="EF1708" s="862"/>
      <c r="EG1708" s="862"/>
      <c r="EH1708" s="862"/>
      <c r="EI1708" s="862"/>
      <c r="EJ1708" s="862"/>
      <c r="EK1708" s="862"/>
      <c r="EL1708" s="862"/>
      <c r="EM1708" s="862"/>
      <c r="EN1708" s="862"/>
      <c r="EO1708" s="862"/>
      <c r="EP1708" s="862"/>
      <c r="EQ1708" s="862"/>
      <c r="ER1708" s="862"/>
      <c r="ES1708" s="862"/>
      <c r="ET1708" s="862"/>
      <c r="EU1708" s="862"/>
      <c r="EV1708" s="862"/>
      <c r="EW1708" s="862"/>
      <c r="EX1708" s="862"/>
      <c r="EY1708" s="862"/>
      <c r="EZ1708" s="862"/>
      <c r="FA1708" s="862"/>
      <c r="FB1708" s="862"/>
      <c r="FC1708" s="862"/>
      <c r="FD1708" s="862"/>
      <c r="FE1708" s="862"/>
      <c r="FF1708" s="862"/>
      <c r="FG1708" s="862"/>
      <c r="FH1708" s="862"/>
      <c r="FI1708" s="862"/>
      <c r="FJ1708" s="862"/>
      <c r="FK1708" s="862"/>
      <c r="FL1708" s="862"/>
      <c r="FM1708" s="862"/>
      <c r="FN1708" s="862"/>
      <c r="FO1708" s="862"/>
      <c r="FP1708" s="862"/>
      <c r="FQ1708" s="862"/>
      <c r="FR1708" s="862"/>
      <c r="FS1708" s="862"/>
      <c r="FT1708" s="862"/>
      <c r="FU1708" s="862"/>
      <c r="FV1708" s="862"/>
      <c r="FW1708" s="862"/>
      <c r="FX1708" s="862"/>
      <c r="FY1708" s="862"/>
      <c r="FZ1708" s="862"/>
      <c r="GA1708" s="862"/>
      <c r="GB1708" s="862"/>
      <c r="GC1708" s="862"/>
      <c r="GD1708" s="862"/>
      <c r="GE1708" s="862"/>
      <c r="GF1708" s="862"/>
      <c r="GG1708" s="862"/>
      <c r="GH1708" s="862"/>
      <c r="GI1708" s="862"/>
      <c r="GJ1708" s="862"/>
      <c r="GK1708" s="862"/>
      <c r="GL1708" s="862"/>
      <c r="GM1708" s="862"/>
      <c r="GN1708" s="862"/>
      <c r="GO1708" s="862"/>
      <c r="GP1708" s="862"/>
      <c r="GQ1708" s="862"/>
      <c r="GR1708" s="862"/>
      <c r="GS1708" s="862"/>
      <c r="GT1708" s="862"/>
      <c r="GU1708" s="862"/>
      <c r="GV1708" s="862"/>
      <c r="GW1708" s="862"/>
      <c r="GX1708" s="862"/>
      <c r="GY1708" s="862"/>
      <c r="GZ1708" s="862"/>
      <c r="HA1708" s="862"/>
      <c r="HB1708" s="862"/>
      <c r="HC1708" s="862"/>
      <c r="HD1708" s="862"/>
      <c r="HE1708" s="862"/>
      <c r="HF1708" s="862"/>
      <c r="HG1708" s="862"/>
      <c r="HH1708" s="862"/>
      <c r="HI1708" s="862"/>
      <c r="HJ1708" s="862"/>
      <c r="HK1708" s="862"/>
      <c r="HL1708" s="862"/>
      <c r="HM1708" s="862"/>
      <c r="HN1708" s="862"/>
      <c r="HO1708" s="862"/>
      <c r="HP1708" s="862"/>
      <c r="HQ1708" s="862"/>
      <c r="HR1708" s="862"/>
      <c r="HS1708" s="862"/>
      <c r="HT1708" s="862"/>
      <c r="HU1708" s="862"/>
      <c r="HV1708" s="862"/>
      <c r="HW1708" s="862"/>
      <c r="HX1708" s="862"/>
      <c r="HY1708" s="862"/>
      <c r="HZ1708" s="862"/>
      <c r="IA1708" s="862"/>
      <c r="IB1708" s="862"/>
      <c r="IC1708" s="862"/>
      <c r="ID1708" s="862"/>
      <c r="IE1708" s="862"/>
      <c r="IF1708" s="862"/>
      <c r="IG1708" s="862"/>
      <c r="IH1708" s="862"/>
      <c r="II1708" s="862"/>
      <c r="IJ1708" s="862"/>
      <c r="IK1708" s="862"/>
      <c r="IL1708" s="862"/>
      <c r="IM1708" s="862"/>
      <c r="IN1708" s="862"/>
      <c r="IO1708" s="862"/>
    </row>
    <row r="1709" spans="1:249" ht="26.25" customHeight="1">
      <c r="A1709" s="863" t="s">
        <v>15</v>
      </c>
      <c r="B1709" s="1618"/>
      <c r="C1709" s="863"/>
      <c r="D1709" s="863"/>
      <c r="E1709" s="863"/>
      <c r="F1709" s="863"/>
      <c r="G1709" s="863"/>
      <c r="H1709" s="863"/>
      <c r="I1709" s="2746" t="s">
        <v>226</v>
      </c>
      <c r="J1709" s="2747"/>
      <c r="K1709" s="1665"/>
      <c r="L1709" s="1286">
        <f>L1710+L1784</f>
        <v>63552359020</v>
      </c>
      <c r="M1709" s="1665"/>
      <c r="N1709" s="1286">
        <f>N1710+N1784</f>
        <v>26835437033</v>
      </c>
      <c r="O1709" s="1665"/>
      <c r="P1709" s="1286">
        <f>P1710+P1784</f>
        <v>18832945852</v>
      </c>
      <c r="Q1709" s="1665"/>
      <c r="R1709" s="1320">
        <f>R1710+R1784</f>
        <v>3268642200</v>
      </c>
      <c r="S1709" s="1618"/>
      <c r="T1709" s="1320">
        <f>T1710+T1784</f>
        <v>6858283437</v>
      </c>
      <c r="U1709" s="1618"/>
      <c r="V1709" s="1320">
        <f>V1710+V1784</f>
        <v>0</v>
      </c>
      <c r="W1709" s="1618"/>
      <c r="X1709" s="1320">
        <f>X1710+X1784</f>
        <v>0</v>
      </c>
      <c r="Y1709" s="1665"/>
      <c r="Z1709" s="1320">
        <f>Z1710+Z1784</f>
        <v>10127285637</v>
      </c>
      <c r="AA1709" s="1665"/>
      <c r="AB1709" s="1320">
        <f>AB1710+AB1784</f>
        <v>36962722670</v>
      </c>
      <c r="AC1709" s="1665"/>
      <c r="AD1709" s="1665"/>
      <c r="AE1709" s="863"/>
      <c r="AF1709" s="750"/>
      <c r="AG1709" s="750"/>
      <c r="AH1709" s="750"/>
      <c r="AI1709" s="750"/>
      <c r="AJ1709" s="750"/>
      <c r="AK1709" s="750"/>
      <c r="AL1709" s="750"/>
      <c r="AM1709" s="750"/>
      <c r="AN1709" s="750"/>
      <c r="AO1709" s="750"/>
      <c r="AP1709" s="750"/>
      <c r="AQ1709" s="750"/>
      <c r="AR1709" s="750"/>
      <c r="AS1709" s="750"/>
      <c r="AT1709" s="750"/>
      <c r="AU1709" s="750"/>
      <c r="AV1709" s="750"/>
      <c r="AW1709" s="750"/>
      <c r="AX1709" s="750"/>
      <c r="AY1709" s="750"/>
      <c r="AZ1709" s="750"/>
      <c r="BA1709" s="750"/>
      <c r="BB1709" s="750"/>
      <c r="BC1709" s="752"/>
      <c r="BD1709" s="752"/>
      <c r="BE1709" s="752"/>
      <c r="BF1709" s="752"/>
      <c r="BG1709" s="752"/>
      <c r="BH1709" s="752"/>
      <c r="BI1709" s="752"/>
      <c r="BJ1709" s="752"/>
      <c r="BK1709" s="752"/>
      <c r="BL1709" s="752"/>
      <c r="BM1709" s="752"/>
      <c r="BN1709" s="752"/>
      <c r="BO1709" s="752"/>
      <c r="BP1709" s="752"/>
      <c r="BQ1709" s="752"/>
      <c r="BR1709" s="752"/>
      <c r="BS1709" s="752"/>
      <c r="BT1709" s="752"/>
      <c r="BU1709" s="752"/>
      <c r="BV1709" s="752"/>
      <c r="BW1709" s="752"/>
      <c r="BX1709" s="752"/>
      <c r="BY1709" s="752"/>
      <c r="BZ1709" s="752"/>
      <c r="CA1709" s="752"/>
      <c r="CB1709" s="752"/>
      <c r="CC1709" s="752"/>
      <c r="CD1709" s="752"/>
      <c r="CE1709" s="752"/>
      <c r="CF1709" s="752"/>
      <c r="CG1709" s="752"/>
      <c r="CH1709" s="752"/>
      <c r="CI1709" s="752"/>
      <c r="CJ1709" s="752"/>
      <c r="CK1709" s="752"/>
      <c r="CL1709" s="752"/>
      <c r="CM1709" s="752"/>
      <c r="CN1709" s="752"/>
      <c r="CO1709" s="752"/>
      <c r="CP1709" s="752"/>
      <c r="CQ1709" s="752"/>
      <c r="CR1709" s="752"/>
      <c r="CS1709" s="752"/>
      <c r="CT1709" s="752"/>
      <c r="CU1709" s="752"/>
      <c r="CV1709" s="752"/>
      <c r="CW1709" s="752"/>
      <c r="CX1709" s="752"/>
      <c r="CY1709" s="752"/>
      <c r="CZ1709" s="752"/>
      <c r="DA1709" s="752"/>
      <c r="DB1709" s="752"/>
      <c r="DC1709" s="752"/>
      <c r="DD1709" s="752"/>
      <c r="DE1709" s="752"/>
      <c r="DF1709" s="752"/>
      <c r="DG1709" s="752"/>
      <c r="DH1709" s="752"/>
      <c r="DI1709" s="752"/>
      <c r="DJ1709" s="752"/>
      <c r="DK1709" s="752"/>
      <c r="DL1709" s="752"/>
      <c r="DM1709" s="752"/>
      <c r="DN1709" s="752"/>
      <c r="DO1709" s="752"/>
      <c r="DP1709" s="752"/>
      <c r="DQ1709" s="752"/>
      <c r="DR1709" s="752"/>
      <c r="DS1709" s="752"/>
      <c r="DT1709" s="752"/>
      <c r="DU1709" s="752"/>
      <c r="DV1709" s="752"/>
      <c r="DW1709" s="752"/>
      <c r="DX1709" s="752"/>
      <c r="DY1709" s="752"/>
      <c r="DZ1709" s="752"/>
      <c r="EA1709" s="752"/>
      <c r="EB1709" s="752"/>
      <c r="EC1709" s="752"/>
      <c r="ED1709" s="752"/>
      <c r="EE1709" s="752"/>
      <c r="EF1709" s="752"/>
      <c r="EG1709" s="752"/>
      <c r="EH1709" s="752"/>
      <c r="EI1709" s="752"/>
      <c r="EJ1709" s="752"/>
      <c r="EK1709" s="752"/>
      <c r="EL1709" s="752"/>
      <c r="EM1709" s="752"/>
      <c r="EN1709" s="752"/>
      <c r="EO1709" s="752"/>
      <c r="EP1709" s="752"/>
      <c r="EQ1709" s="752"/>
      <c r="ER1709" s="752"/>
      <c r="ES1709" s="752"/>
      <c r="ET1709" s="752"/>
      <c r="EU1709" s="752"/>
      <c r="EV1709" s="752"/>
      <c r="EW1709" s="752"/>
      <c r="EX1709" s="752"/>
      <c r="EY1709" s="752"/>
      <c r="EZ1709" s="752"/>
      <c r="FA1709" s="752"/>
      <c r="FB1709" s="752"/>
      <c r="FC1709" s="752"/>
      <c r="FD1709" s="752"/>
      <c r="FE1709" s="752"/>
      <c r="FF1709" s="752"/>
      <c r="FG1709" s="752"/>
      <c r="FH1709" s="752"/>
      <c r="FI1709" s="752"/>
      <c r="FJ1709" s="752"/>
      <c r="FK1709" s="752"/>
      <c r="FL1709" s="752"/>
      <c r="FM1709" s="752"/>
      <c r="FN1709" s="752"/>
      <c r="FO1709" s="752"/>
      <c r="FP1709" s="752"/>
      <c r="FQ1709" s="752"/>
      <c r="FR1709" s="752"/>
      <c r="FS1709" s="752"/>
      <c r="FT1709" s="752"/>
      <c r="FU1709" s="752"/>
      <c r="FV1709" s="752"/>
      <c r="FW1709" s="752"/>
      <c r="FX1709" s="752"/>
      <c r="FY1709" s="752"/>
      <c r="FZ1709" s="752"/>
      <c r="GA1709" s="752"/>
      <c r="GB1709" s="752"/>
      <c r="GC1709" s="752"/>
      <c r="GD1709" s="752"/>
      <c r="GE1709" s="752"/>
      <c r="GF1709" s="752"/>
      <c r="GG1709" s="752"/>
      <c r="GH1709" s="752"/>
      <c r="GI1709" s="752"/>
      <c r="GJ1709" s="752"/>
      <c r="GK1709" s="752"/>
      <c r="GL1709" s="752"/>
      <c r="GM1709" s="752"/>
      <c r="GN1709" s="752"/>
      <c r="GO1709" s="752"/>
      <c r="GP1709" s="752"/>
      <c r="GQ1709" s="752"/>
      <c r="GR1709" s="752"/>
      <c r="GS1709" s="752"/>
      <c r="GT1709" s="752"/>
      <c r="GU1709" s="752"/>
      <c r="GV1709" s="752"/>
      <c r="GW1709" s="752"/>
      <c r="GX1709" s="752"/>
      <c r="GY1709" s="752"/>
      <c r="GZ1709" s="752"/>
      <c r="HA1709" s="752"/>
      <c r="HB1709" s="752"/>
      <c r="HC1709" s="752"/>
      <c r="HD1709" s="752"/>
      <c r="HE1709" s="752"/>
      <c r="HF1709" s="752"/>
      <c r="HG1709" s="752"/>
      <c r="HH1709" s="752"/>
      <c r="HI1709" s="752"/>
      <c r="HJ1709" s="752"/>
      <c r="HK1709" s="752"/>
      <c r="HL1709" s="752"/>
      <c r="HM1709" s="752"/>
      <c r="HN1709" s="752"/>
      <c r="HO1709" s="752"/>
      <c r="HP1709" s="752"/>
      <c r="HQ1709" s="752"/>
      <c r="HR1709" s="752"/>
      <c r="HS1709" s="752"/>
      <c r="HT1709" s="752"/>
      <c r="HU1709" s="752"/>
      <c r="HV1709" s="752"/>
      <c r="HW1709" s="752"/>
      <c r="HX1709" s="752"/>
      <c r="HY1709" s="752"/>
      <c r="HZ1709" s="752"/>
      <c r="IA1709" s="752"/>
      <c r="IB1709" s="752"/>
      <c r="IC1709" s="752"/>
      <c r="ID1709" s="752"/>
      <c r="IE1709" s="752"/>
      <c r="IF1709" s="752"/>
      <c r="IG1709" s="752"/>
      <c r="IH1709" s="752"/>
      <c r="II1709" s="752"/>
      <c r="IJ1709" s="752"/>
      <c r="IK1709" s="752"/>
      <c r="IL1709" s="752"/>
      <c r="IM1709" s="752"/>
      <c r="IN1709" s="752"/>
      <c r="IO1709" s="752"/>
    </row>
    <row r="1710" spans="1:249" ht="27.75" customHeight="1">
      <c r="A1710" s="2738" t="s">
        <v>227</v>
      </c>
      <c r="B1710" s="2739"/>
      <c r="C1710" s="2739"/>
      <c r="D1710" s="2739"/>
      <c r="E1710" s="2739"/>
      <c r="F1710" s="2739"/>
      <c r="G1710" s="2739"/>
      <c r="H1710" s="2740"/>
      <c r="I1710" s="800"/>
      <c r="J1710" s="800"/>
      <c r="K1710" s="800"/>
      <c r="L1710" s="1237">
        <f>L1711+L1724+L1732+L1735+L1737+L1739+L1777</f>
        <v>49417498433</v>
      </c>
      <c r="M1710" s="800"/>
      <c r="N1710" s="1238">
        <f>N1711+N1724+N1732+N1735+N1737+N1739+N1777</f>
        <v>20234323265</v>
      </c>
      <c r="O1710" s="800"/>
      <c r="P1710" s="1238">
        <f>SUM(P1711+P1724+P1732+P1735+P1737+P1739+P1770+P1777)</f>
        <v>15410031664</v>
      </c>
      <c r="Q1710" s="800"/>
      <c r="R1710" s="1238">
        <f>R1711+R1724+R1732+R1735+R1737+R1739+R1770</f>
        <v>2660354891</v>
      </c>
      <c r="S1710" s="800"/>
      <c r="T1710" s="1238">
        <f>T1711+T1724+T1732+T1737+T1739</f>
        <v>5473966056</v>
      </c>
      <c r="U1710" s="800"/>
      <c r="V1710" s="1238">
        <f>V1711+V1724+V1732+V1735+V1737+V1739+V1777</f>
        <v>0</v>
      </c>
      <c r="W1710" s="800"/>
      <c r="X1710" s="1238">
        <f>X1711+X1724+X1732+X1735+X1737+X1739+X1777</f>
        <v>0</v>
      </c>
      <c r="Y1710" s="800"/>
      <c r="Z1710" s="1238">
        <f>Z1711+Z1724+Z1732+Z1735+Z1737+Z1739+Z1770+Z1777</f>
        <v>8134680947</v>
      </c>
      <c r="AA1710" s="800"/>
      <c r="AB1710" s="1238">
        <f>AB1711+AB1724+AB1732+AB1735+AB1737+AB1739+AB1777</f>
        <v>28369004212</v>
      </c>
      <c r="AC1710" s="800"/>
      <c r="AD1710" s="800"/>
      <c r="AE1710" s="1634"/>
      <c r="AF1710" s="750"/>
      <c r="AG1710" s="750"/>
      <c r="AH1710" s="750"/>
      <c r="AI1710" s="750"/>
      <c r="AJ1710" s="750"/>
      <c r="AK1710" s="750"/>
      <c r="AL1710" s="750"/>
      <c r="AM1710" s="750"/>
      <c r="AN1710" s="750"/>
      <c r="AO1710" s="750"/>
      <c r="AP1710" s="750"/>
      <c r="AQ1710" s="750"/>
      <c r="AR1710" s="750"/>
      <c r="AS1710" s="750"/>
      <c r="AT1710" s="750"/>
      <c r="AU1710" s="750"/>
      <c r="AV1710" s="750"/>
      <c r="AW1710" s="750"/>
      <c r="AX1710" s="750"/>
      <c r="AY1710" s="750"/>
      <c r="AZ1710" s="750"/>
      <c r="BA1710" s="750"/>
      <c r="BB1710" s="750"/>
      <c r="BC1710" s="752"/>
      <c r="BD1710" s="752"/>
      <c r="BE1710" s="752"/>
      <c r="BF1710" s="752"/>
      <c r="BG1710" s="752"/>
      <c r="BH1710" s="752"/>
      <c r="BI1710" s="752"/>
      <c r="BJ1710" s="752"/>
      <c r="BK1710" s="752"/>
      <c r="BL1710" s="752"/>
      <c r="BM1710" s="752"/>
      <c r="BN1710" s="752"/>
      <c r="BO1710" s="752"/>
      <c r="BP1710" s="752"/>
      <c r="BQ1710" s="752"/>
      <c r="BR1710" s="752"/>
      <c r="BS1710" s="752"/>
      <c r="BT1710" s="752"/>
      <c r="BU1710" s="752"/>
      <c r="BV1710" s="752"/>
      <c r="BW1710" s="752"/>
      <c r="BX1710" s="752"/>
      <c r="BY1710" s="752"/>
      <c r="BZ1710" s="752"/>
      <c r="CA1710" s="752"/>
      <c r="CB1710" s="752"/>
      <c r="CC1710" s="752"/>
      <c r="CD1710" s="752"/>
      <c r="CE1710" s="752"/>
      <c r="CF1710" s="752"/>
      <c r="CG1710" s="752"/>
      <c r="CH1710" s="752"/>
      <c r="CI1710" s="752"/>
      <c r="CJ1710" s="752"/>
      <c r="CK1710" s="752"/>
      <c r="CL1710" s="752"/>
      <c r="CM1710" s="752"/>
      <c r="CN1710" s="752"/>
      <c r="CO1710" s="752"/>
      <c r="CP1710" s="752"/>
      <c r="CQ1710" s="752"/>
      <c r="CR1710" s="752"/>
      <c r="CS1710" s="752"/>
      <c r="CT1710" s="752"/>
      <c r="CU1710" s="752"/>
      <c r="CV1710" s="752"/>
      <c r="CW1710" s="752"/>
      <c r="CX1710" s="752"/>
      <c r="CY1710" s="752"/>
      <c r="CZ1710" s="752"/>
      <c r="DA1710" s="752"/>
      <c r="DB1710" s="752"/>
      <c r="DC1710" s="752"/>
      <c r="DD1710" s="752"/>
      <c r="DE1710" s="752"/>
      <c r="DF1710" s="752"/>
      <c r="DG1710" s="752"/>
      <c r="DH1710" s="752"/>
      <c r="DI1710" s="752"/>
      <c r="DJ1710" s="752"/>
      <c r="DK1710" s="752"/>
      <c r="DL1710" s="752"/>
      <c r="DM1710" s="752"/>
      <c r="DN1710" s="752"/>
      <c r="DO1710" s="752"/>
      <c r="DP1710" s="752"/>
      <c r="DQ1710" s="752"/>
      <c r="DR1710" s="752"/>
      <c r="DS1710" s="752"/>
      <c r="DT1710" s="752"/>
      <c r="DU1710" s="752"/>
      <c r="DV1710" s="752"/>
      <c r="DW1710" s="752"/>
      <c r="DX1710" s="752"/>
      <c r="DY1710" s="752"/>
      <c r="DZ1710" s="752"/>
      <c r="EA1710" s="752"/>
      <c r="EB1710" s="752"/>
      <c r="EC1710" s="752"/>
      <c r="ED1710" s="752"/>
      <c r="EE1710" s="752"/>
      <c r="EF1710" s="752"/>
      <c r="EG1710" s="752"/>
      <c r="EH1710" s="752"/>
      <c r="EI1710" s="752"/>
      <c r="EJ1710" s="752"/>
      <c r="EK1710" s="752"/>
      <c r="EL1710" s="752"/>
      <c r="EM1710" s="752"/>
      <c r="EN1710" s="752"/>
      <c r="EO1710" s="752"/>
      <c r="EP1710" s="752"/>
      <c r="EQ1710" s="752"/>
      <c r="ER1710" s="752"/>
      <c r="ES1710" s="752"/>
      <c r="ET1710" s="752"/>
      <c r="EU1710" s="752"/>
      <c r="EV1710" s="752"/>
      <c r="EW1710" s="752"/>
      <c r="EX1710" s="752"/>
      <c r="EY1710" s="752"/>
      <c r="EZ1710" s="752"/>
      <c r="FA1710" s="752"/>
      <c r="FB1710" s="752"/>
      <c r="FC1710" s="752"/>
      <c r="FD1710" s="752"/>
      <c r="FE1710" s="752"/>
      <c r="FF1710" s="752"/>
      <c r="FG1710" s="752"/>
      <c r="FH1710" s="752"/>
      <c r="FI1710" s="752"/>
      <c r="FJ1710" s="752"/>
      <c r="FK1710" s="752"/>
      <c r="FL1710" s="752"/>
      <c r="FM1710" s="752"/>
      <c r="FN1710" s="752"/>
      <c r="FO1710" s="752"/>
      <c r="FP1710" s="752"/>
      <c r="FQ1710" s="752"/>
      <c r="FR1710" s="752"/>
      <c r="FS1710" s="752"/>
      <c r="FT1710" s="752"/>
      <c r="FU1710" s="752"/>
      <c r="FV1710" s="752"/>
      <c r="FW1710" s="752"/>
      <c r="FX1710" s="752"/>
      <c r="FY1710" s="752"/>
      <c r="FZ1710" s="752"/>
      <c r="GA1710" s="752"/>
      <c r="GB1710" s="752"/>
      <c r="GC1710" s="752"/>
      <c r="GD1710" s="752"/>
      <c r="GE1710" s="752"/>
      <c r="GF1710" s="752"/>
      <c r="GG1710" s="752"/>
      <c r="GH1710" s="752"/>
      <c r="GI1710" s="752"/>
      <c r="GJ1710" s="752"/>
      <c r="GK1710" s="752"/>
      <c r="GL1710" s="752"/>
      <c r="GM1710" s="752"/>
      <c r="GN1710" s="752"/>
      <c r="GO1710" s="752"/>
      <c r="GP1710" s="752"/>
      <c r="GQ1710" s="752"/>
      <c r="GR1710" s="752"/>
      <c r="GS1710" s="752"/>
      <c r="GT1710" s="752"/>
      <c r="GU1710" s="752"/>
      <c r="GV1710" s="752"/>
      <c r="GW1710" s="752"/>
      <c r="GX1710" s="752"/>
      <c r="GY1710" s="752"/>
      <c r="GZ1710" s="752"/>
      <c r="HA1710" s="752"/>
      <c r="HB1710" s="752"/>
      <c r="HC1710" s="752"/>
      <c r="HD1710" s="752"/>
      <c r="HE1710" s="752"/>
      <c r="HF1710" s="752"/>
      <c r="HG1710" s="752"/>
      <c r="HH1710" s="752"/>
      <c r="HI1710" s="752"/>
      <c r="HJ1710" s="752"/>
      <c r="HK1710" s="752"/>
      <c r="HL1710" s="752"/>
      <c r="HM1710" s="752"/>
      <c r="HN1710" s="752"/>
      <c r="HO1710" s="752"/>
      <c r="HP1710" s="752"/>
      <c r="HQ1710" s="752"/>
      <c r="HR1710" s="752"/>
      <c r="HS1710" s="752"/>
      <c r="HT1710" s="752"/>
      <c r="HU1710" s="752"/>
      <c r="HV1710" s="752"/>
      <c r="HW1710" s="752"/>
      <c r="HX1710" s="752"/>
      <c r="HY1710" s="752"/>
      <c r="HZ1710" s="752"/>
      <c r="IA1710" s="752"/>
      <c r="IB1710" s="752"/>
      <c r="IC1710" s="752"/>
      <c r="ID1710" s="752"/>
      <c r="IE1710" s="752"/>
      <c r="IF1710" s="752"/>
      <c r="IG1710" s="752"/>
      <c r="IH1710" s="752"/>
      <c r="II1710" s="752"/>
      <c r="IJ1710" s="752"/>
      <c r="IK1710" s="752"/>
      <c r="IL1710" s="752"/>
      <c r="IM1710" s="752"/>
      <c r="IN1710" s="752"/>
      <c r="IO1710" s="752"/>
    </row>
    <row r="1711" spans="1:249" ht="66">
      <c r="A1711" s="303">
        <v>1</v>
      </c>
      <c r="B1711" s="156"/>
      <c r="C1711" s="303">
        <v>3</v>
      </c>
      <c r="D1711" s="303" t="s">
        <v>34</v>
      </c>
      <c r="E1711" s="303" t="s">
        <v>39</v>
      </c>
      <c r="F1711" s="303" t="s">
        <v>25</v>
      </c>
      <c r="G1711" s="303"/>
      <c r="H1711" s="303"/>
      <c r="I1711" s="142" t="s">
        <v>26</v>
      </c>
      <c r="J1711" s="629" t="s">
        <v>2173</v>
      </c>
      <c r="K1711" s="511">
        <v>72</v>
      </c>
      <c r="L1711" s="230">
        <f>L1712+L1713+L1714+L1715+L1716+L1717+L1718+L1719+L1720+L1721+L1722</f>
        <v>9596926960</v>
      </c>
      <c r="M1711" s="135">
        <v>36</v>
      </c>
      <c r="N1711" s="801">
        <f>N1712+N1713+N1714+N1715+N1716+N1717+N1718+N1719+N1720+N1721+N1722+N1723</f>
        <v>4039986733</v>
      </c>
      <c r="O1711" s="135">
        <v>12</v>
      </c>
      <c r="P1711" s="230">
        <f>SUM(P1712:P1722)</f>
        <v>10727143363</v>
      </c>
      <c r="Q1711" s="135">
        <v>3</v>
      </c>
      <c r="R1711" s="230">
        <f>R1712+R1713+R1714+R1715+R1716+R1717+R1718+R1719+R1720+R1721+R1722+R1723</f>
        <v>1932134327</v>
      </c>
      <c r="S1711" s="230"/>
      <c r="T1711" s="230">
        <f>SUM(T1712:T1723)</f>
        <v>3909279626</v>
      </c>
      <c r="U1711" s="230"/>
      <c r="V1711" s="801">
        <f>SUM(V1712:V1723)</f>
        <v>0</v>
      </c>
      <c r="W1711" s="230"/>
      <c r="X1711" s="801">
        <f>SUM(X1712:X1723)</f>
        <v>0</v>
      </c>
      <c r="Y1711" s="230">
        <f t="shared" ref="Y1711:Y1742" si="504">Q1711+S1711+U1711+W1711</f>
        <v>3</v>
      </c>
      <c r="Z1711" s="230">
        <f t="shared" ref="Z1711:Z1742" si="505">R1711+T1711+V1711+X1711</f>
        <v>5841413953</v>
      </c>
      <c r="AA1711" s="292">
        <f t="shared" ref="AA1711:AA1742" si="506">M1711+Y1711</f>
        <v>39</v>
      </c>
      <c r="AB1711" s="230">
        <f t="shared" ref="AB1711:AB1742" si="507">N1711+Z1711</f>
        <v>9881400686</v>
      </c>
      <c r="AC1711" s="292">
        <f t="shared" ref="AC1711:AC1739" si="508">AA1711/K1711*100</f>
        <v>54.166666666666664</v>
      </c>
      <c r="AD1711" s="292">
        <f t="shared" ref="AD1711:AD1739" si="509">AB1711/L1711*100</f>
        <v>102.96421684968206</v>
      </c>
      <c r="AE1711" s="2558" t="s">
        <v>228</v>
      </c>
      <c r="AF1711" s="750"/>
      <c r="AG1711" s="750"/>
      <c r="AH1711" s="750"/>
      <c r="AI1711" s="750"/>
      <c r="AJ1711" s="750"/>
      <c r="AK1711" s="750"/>
      <c r="AL1711" s="750"/>
      <c r="AM1711" s="750"/>
      <c r="AN1711" s="750"/>
      <c r="AO1711" s="750"/>
      <c r="AP1711" s="750"/>
      <c r="AQ1711" s="750"/>
      <c r="AR1711" s="750"/>
      <c r="AS1711" s="750"/>
      <c r="AT1711" s="750"/>
      <c r="AU1711" s="750"/>
      <c r="AV1711" s="750"/>
      <c r="AW1711" s="750"/>
      <c r="AX1711" s="750"/>
      <c r="AY1711" s="750"/>
      <c r="AZ1711" s="750"/>
      <c r="BA1711" s="750"/>
      <c r="BB1711" s="750"/>
      <c r="BC1711" s="752"/>
      <c r="BD1711" s="752"/>
      <c r="BE1711" s="752"/>
      <c r="BF1711" s="752"/>
      <c r="BG1711" s="752"/>
      <c r="BH1711" s="752"/>
      <c r="BI1711" s="752"/>
      <c r="BJ1711" s="752"/>
      <c r="BK1711" s="752"/>
      <c r="BL1711" s="752"/>
      <c r="BM1711" s="752"/>
      <c r="BN1711" s="752"/>
      <c r="BO1711" s="752"/>
      <c r="BP1711" s="752"/>
      <c r="BQ1711" s="752"/>
      <c r="BR1711" s="752"/>
      <c r="BS1711" s="752"/>
      <c r="BT1711" s="752"/>
      <c r="BU1711" s="752"/>
      <c r="BV1711" s="752"/>
      <c r="BW1711" s="752"/>
      <c r="BX1711" s="752"/>
      <c r="BY1711" s="752"/>
      <c r="BZ1711" s="752"/>
      <c r="CA1711" s="752"/>
      <c r="CB1711" s="752"/>
      <c r="CC1711" s="752"/>
      <c r="CD1711" s="752"/>
      <c r="CE1711" s="752"/>
      <c r="CF1711" s="752"/>
      <c r="CG1711" s="752"/>
      <c r="CH1711" s="752"/>
      <c r="CI1711" s="752"/>
      <c r="CJ1711" s="752"/>
      <c r="CK1711" s="752"/>
      <c r="CL1711" s="752"/>
      <c r="CM1711" s="752"/>
      <c r="CN1711" s="752"/>
      <c r="CO1711" s="752"/>
      <c r="CP1711" s="752"/>
      <c r="CQ1711" s="752"/>
      <c r="CR1711" s="752"/>
      <c r="CS1711" s="752"/>
      <c r="CT1711" s="752"/>
      <c r="CU1711" s="752"/>
      <c r="CV1711" s="752"/>
      <c r="CW1711" s="752"/>
      <c r="CX1711" s="752"/>
      <c r="CY1711" s="752"/>
      <c r="CZ1711" s="752"/>
      <c r="DA1711" s="752"/>
      <c r="DB1711" s="752"/>
      <c r="DC1711" s="752"/>
      <c r="DD1711" s="752"/>
      <c r="DE1711" s="752"/>
      <c r="DF1711" s="752"/>
      <c r="DG1711" s="752"/>
      <c r="DH1711" s="752"/>
      <c r="DI1711" s="752"/>
      <c r="DJ1711" s="752"/>
      <c r="DK1711" s="752"/>
      <c r="DL1711" s="752"/>
      <c r="DM1711" s="752"/>
      <c r="DN1711" s="752"/>
      <c r="DO1711" s="752"/>
      <c r="DP1711" s="752"/>
      <c r="DQ1711" s="752"/>
      <c r="DR1711" s="752"/>
      <c r="DS1711" s="752"/>
      <c r="DT1711" s="752"/>
      <c r="DU1711" s="752"/>
      <c r="DV1711" s="752"/>
      <c r="DW1711" s="752"/>
      <c r="DX1711" s="752"/>
      <c r="DY1711" s="752"/>
      <c r="DZ1711" s="752"/>
      <c r="EA1711" s="752"/>
      <c r="EB1711" s="752"/>
      <c r="EC1711" s="752"/>
      <c r="ED1711" s="752"/>
      <c r="EE1711" s="752"/>
      <c r="EF1711" s="752"/>
      <c r="EG1711" s="752"/>
      <c r="EH1711" s="752"/>
      <c r="EI1711" s="752"/>
      <c r="EJ1711" s="752"/>
      <c r="EK1711" s="752"/>
      <c r="EL1711" s="752"/>
      <c r="EM1711" s="752"/>
      <c r="EN1711" s="752"/>
      <c r="EO1711" s="752"/>
      <c r="EP1711" s="752"/>
      <c r="EQ1711" s="752"/>
      <c r="ER1711" s="752"/>
      <c r="ES1711" s="752"/>
      <c r="ET1711" s="752"/>
      <c r="EU1711" s="752"/>
      <c r="EV1711" s="752"/>
      <c r="EW1711" s="752"/>
      <c r="EX1711" s="752"/>
      <c r="EY1711" s="752"/>
      <c r="EZ1711" s="752"/>
      <c r="FA1711" s="752"/>
      <c r="FB1711" s="752"/>
      <c r="FC1711" s="752"/>
      <c r="FD1711" s="752"/>
      <c r="FE1711" s="752"/>
      <c r="FF1711" s="752"/>
      <c r="FG1711" s="752"/>
      <c r="FH1711" s="752"/>
      <c r="FI1711" s="752"/>
      <c r="FJ1711" s="752"/>
      <c r="FK1711" s="752"/>
      <c r="FL1711" s="752"/>
      <c r="FM1711" s="752"/>
      <c r="FN1711" s="752"/>
      <c r="FO1711" s="752"/>
      <c r="FP1711" s="752"/>
      <c r="FQ1711" s="752"/>
      <c r="FR1711" s="752"/>
      <c r="FS1711" s="752"/>
      <c r="FT1711" s="752"/>
      <c r="FU1711" s="752"/>
      <c r="FV1711" s="752"/>
      <c r="FW1711" s="752"/>
      <c r="FX1711" s="752"/>
      <c r="FY1711" s="752"/>
      <c r="FZ1711" s="752"/>
      <c r="GA1711" s="752"/>
      <c r="GB1711" s="752"/>
      <c r="GC1711" s="752"/>
      <c r="GD1711" s="752"/>
      <c r="GE1711" s="752"/>
      <c r="GF1711" s="752"/>
      <c r="GG1711" s="752"/>
      <c r="GH1711" s="752"/>
      <c r="GI1711" s="752"/>
      <c r="GJ1711" s="752"/>
      <c r="GK1711" s="752"/>
      <c r="GL1711" s="752"/>
      <c r="GM1711" s="752"/>
      <c r="GN1711" s="752"/>
      <c r="GO1711" s="752"/>
      <c r="GP1711" s="752"/>
      <c r="GQ1711" s="752"/>
      <c r="GR1711" s="752"/>
      <c r="GS1711" s="752"/>
      <c r="GT1711" s="752"/>
      <c r="GU1711" s="752"/>
      <c r="GV1711" s="752"/>
      <c r="GW1711" s="752"/>
      <c r="GX1711" s="752"/>
      <c r="GY1711" s="752"/>
      <c r="GZ1711" s="752"/>
      <c r="HA1711" s="752"/>
      <c r="HB1711" s="752"/>
      <c r="HC1711" s="752"/>
      <c r="HD1711" s="752"/>
      <c r="HE1711" s="752"/>
      <c r="HF1711" s="752"/>
      <c r="HG1711" s="752"/>
      <c r="HH1711" s="752"/>
      <c r="HI1711" s="752"/>
      <c r="HJ1711" s="752"/>
      <c r="HK1711" s="752"/>
      <c r="HL1711" s="752"/>
      <c r="HM1711" s="752"/>
      <c r="HN1711" s="752"/>
      <c r="HO1711" s="752"/>
      <c r="HP1711" s="752"/>
      <c r="HQ1711" s="752"/>
      <c r="HR1711" s="752"/>
      <c r="HS1711" s="752"/>
      <c r="HT1711" s="752"/>
      <c r="HU1711" s="752"/>
      <c r="HV1711" s="752"/>
      <c r="HW1711" s="752"/>
      <c r="HX1711" s="752"/>
      <c r="HY1711" s="752"/>
      <c r="HZ1711" s="752"/>
      <c r="IA1711" s="752"/>
      <c r="IB1711" s="752"/>
      <c r="IC1711" s="752"/>
      <c r="ID1711" s="752"/>
      <c r="IE1711" s="752"/>
      <c r="IF1711" s="752"/>
      <c r="IG1711" s="752"/>
      <c r="IH1711" s="752"/>
      <c r="II1711" s="752"/>
      <c r="IJ1711" s="752"/>
      <c r="IK1711" s="752"/>
      <c r="IL1711" s="752"/>
      <c r="IM1711" s="752"/>
      <c r="IN1711" s="752"/>
      <c r="IO1711" s="752"/>
    </row>
    <row r="1712" spans="1:249" ht="82.5">
      <c r="A1712" s="605"/>
      <c r="B1712" s="802"/>
      <c r="C1712" s="605">
        <v>3</v>
      </c>
      <c r="D1712" s="605" t="s">
        <v>34</v>
      </c>
      <c r="E1712" s="605" t="s">
        <v>39</v>
      </c>
      <c r="F1712" s="605" t="s">
        <v>25</v>
      </c>
      <c r="G1712" s="605" t="s">
        <v>28</v>
      </c>
      <c r="H1712" s="605"/>
      <c r="I1712" s="114" t="s">
        <v>1627</v>
      </c>
      <c r="J1712" s="124" t="s">
        <v>1628</v>
      </c>
      <c r="K1712" s="91">
        <v>72</v>
      </c>
      <c r="L1712" s="125">
        <v>1032900000</v>
      </c>
      <c r="M1712" s="104">
        <v>36</v>
      </c>
      <c r="N1712" s="94">
        <v>481799915</v>
      </c>
      <c r="O1712" s="91">
        <v>12</v>
      </c>
      <c r="P1712" s="125">
        <v>204810000</v>
      </c>
      <c r="Q1712" s="91">
        <v>3</v>
      </c>
      <c r="R1712" s="125">
        <v>28407594</v>
      </c>
      <c r="S1712" s="99">
        <v>3</v>
      </c>
      <c r="T1712" s="606">
        <v>49754600</v>
      </c>
      <c r="U1712" s="125"/>
      <c r="V1712" s="803"/>
      <c r="W1712" s="125"/>
      <c r="X1712" s="125"/>
      <c r="Y1712" s="125">
        <f t="shared" si="504"/>
        <v>6</v>
      </c>
      <c r="Z1712" s="125">
        <f t="shared" si="505"/>
        <v>78162194</v>
      </c>
      <c r="AA1712" s="1196">
        <f t="shared" si="506"/>
        <v>42</v>
      </c>
      <c r="AB1712" s="125">
        <f t="shared" si="507"/>
        <v>559962109</v>
      </c>
      <c r="AC1712" s="1196">
        <f t="shared" si="508"/>
        <v>58.333333333333336</v>
      </c>
      <c r="AD1712" s="1196">
        <f t="shared" si="509"/>
        <v>54.212615838900177</v>
      </c>
      <c r="AE1712" s="89"/>
      <c r="AF1712" s="750"/>
      <c r="AG1712" s="750"/>
      <c r="AH1712" s="750"/>
      <c r="AI1712" s="750"/>
      <c r="AJ1712" s="750"/>
      <c r="AK1712" s="750"/>
      <c r="AL1712" s="750"/>
      <c r="AM1712" s="750"/>
      <c r="AN1712" s="750"/>
      <c r="AO1712" s="750"/>
      <c r="AP1712" s="750"/>
      <c r="AQ1712" s="750"/>
      <c r="AR1712" s="750"/>
      <c r="AS1712" s="750"/>
      <c r="AT1712" s="750"/>
      <c r="AU1712" s="750"/>
      <c r="AV1712" s="750"/>
      <c r="AW1712" s="750"/>
      <c r="AX1712" s="750"/>
      <c r="AY1712" s="750"/>
      <c r="AZ1712" s="750"/>
      <c r="BA1712" s="750"/>
      <c r="BB1712" s="750"/>
      <c r="BC1712" s="752"/>
      <c r="BD1712" s="752"/>
      <c r="BE1712" s="752"/>
      <c r="BF1712" s="752"/>
      <c r="BG1712" s="752"/>
      <c r="BH1712" s="752"/>
      <c r="BI1712" s="752"/>
      <c r="BJ1712" s="752"/>
      <c r="BK1712" s="752"/>
      <c r="BL1712" s="752"/>
      <c r="BM1712" s="752"/>
      <c r="BN1712" s="752"/>
      <c r="BO1712" s="752"/>
      <c r="BP1712" s="752"/>
      <c r="BQ1712" s="752"/>
      <c r="BR1712" s="752"/>
      <c r="BS1712" s="752"/>
      <c r="BT1712" s="752"/>
      <c r="BU1712" s="752"/>
      <c r="BV1712" s="752"/>
      <c r="BW1712" s="752"/>
      <c r="BX1712" s="752"/>
      <c r="BY1712" s="752"/>
      <c r="BZ1712" s="752"/>
      <c r="CA1712" s="752"/>
      <c r="CB1712" s="752"/>
      <c r="CC1712" s="752"/>
      <c r="CD1712" s="752"/>
      <c r="CE1712" s="752"/>
      <c r="CF1712" s="752"/>
      <c r="CG1712" s="752"/>
      <c r="CH1712" s="752"/>
      <c r="CI1712" s="752"/>
      <c r="CJ1712" s="752"/>
      <c r="CK1712" s="752"/>
      <c r="CL1712" s="752"/>
      <c r="CM1712" s="752"/>
      <c r="CN1712" s="752"/>
      <c r="CO1712" s="752"/>
      <c r="CP1712" s="752"/>
      <c r="CQ1712" s="752"/>
      <c r="CR1712" s="752"/>
      <c r="CS1712" s="752"/>
      <c r="CT1712" s="752"/>
      <c r="CU1712" s="752"/>
      <c r="CV1712" s="752"/>
      <c r="CW1712" s="752"/>
      <c r="CX1712" s="752"/>
      <c r="CY1712" s="752"/>
      <c r="CZ1712" s="752"/>
      <c r="DA1712" s="752"/>
      <c r="DB1712" s="752"/>
      <c r="DC1712" s="752"/>
      <c r="DD1712" s="752"/>
      <c r="DE1712" s="752"/>
      <c r="DF1712" s="752"/>
      <c r="DG1712" s="752"/>
      <c r="DH1712" s="752"/>
      <c r="DI1712" s="752"/>
      <c r="DJ1712" s="752"/>
      <c r="DK1712" s="752"/>
      <c r="DL1712" s="752"/>
      <c r="DM1712" s="752"/>
      <c r="DN1712" s="752"/>
      <c r="DO1712" s="752"/>
      <c r="DP1712" s="752"/>
      <c r="DQ1712" s="752"/>
      <c r="DR1712" s="752"/>
      <c r="DS1712" s="752"/>
      <c r="DT1712" s="752"/>
      <c r="DU1712" s="752"/>
      <c r="DV1712" s="752"/>
      <c r="DW1712" s="752"/>
      <c r="DX1712" s="752"/>
      <c r="DY1712" s="752"/>
      <c r="DZ1712" s="752"/>
      <c r="EA1712" s="752"/>
      <c r="EB1712" s="752"/>
      <c r="EC1712" s="752"/>
      <c r="ED1712" s="752"/>
      <c r="EE1712" s="752"/>
      <c r="EF1712" s="752"/>
      <c r="EG1712" s="752"/>
      <c r="EH1712" s="752"/>
      <c r="EI1712" s="752"/>
      <c r="EJ1712" s="752"/>
      <c r="EK1712" s="752"/>
      <c r="EL1712" s="752"/>
      <c r="EM1712" s="752"/>
      <c r="EN1712" s="752"/>
      <c r="EO1712" s="752"/>
      <c r="EP1712" s="752"/>
      <c r="EQ1712" s="752"/>
      <c r="ER1712" s="752"/>
      <c r="ES1712" s="752"/>
      <c r="ET1712" s="752"/>
      <c r="EU1712" s="752"/>
      <c r="EV1712" s="752"/>
      <c r="EW1712" s="752"/>
      <c r="EX1712" s="752"/>
      <c r="EY1712" s="752"/>
      <c r="EZ1712" s="752"/>
      <c r="FA1712" s="752"/>
      <c r="FB1712" s="752"/>
      <c r="FC1712" s="752"/>
      <c r="FD1712" s="752"/>
      <c r="FE1712" s="752"/>
      <c r="FF1712" s="752"/>
      <c r="FG1712" s="752"/>
      <c r="FH1712" s="752"/>
      <c r="FI1712" s="752"/>
      <c r="FJ1712" s="752"/>
      <c r="FK1712" s="752"/>
      <c r="FL1712" s="752"/>
      <c r="FM1712" s="752"/>
      <c r="FN1712" s="752"/>
      <c r="FO1712" s="752"/>
      <c r="FP1712" s="752"/>
      <c r="FQ1712" s="752"/>
      <c r="FR1712" s="752"/>
      <c r="FS1712" s="752"/>
      <c r="FT1712" s="752"/>
      <c r="FU1712" s="752"/>
      <c r="FV1712" s="752"/>
      <c r="FW1712" s="752"/>
      <c r="FX1712" s="752"/>
      <c r="FY1712" s="752"/>
      <c r="FZ1712" s="752"/>
      <c r="GA1712" s="752"/>
      <c r="GB1712" s="752"/>
      <c r="GC1712" s="752"/>
      <c r="GD1712" s="752"/>
      <c r="GE1712" s="752"/>
      <c r="GF1712" s="752"/>
      <c r="GG1712" s="752"/>
      <c r="GH1712" s="752"/>
      <c r="GI1712" s="752"/>
      <c r="GJ1712" s="752"/>
      <c r="GK1712" s="752"/>
      <c r="GL1712" s="752"/>
      <c r="GM1712" s="752"/>
      <c r="GN1712" s="752"/>
      <c r="GO1712" s="752"/>
      <c r="GP1712" s="752"/>
      <c r="GQ1712" s="752"/>
      <c r="GR1712" s="752"/>
      <c r="GS1712" s="752"/>
      <c r="GT1712" s="752"/>
      <c r="GU1712" s="752"/>
      <c r="GV1712" s="752"/>
      <c r="GW1712" s="752"/>
      <c r="GX1712" s="752"/>
      <c r="GY1712" s="752"/>
      <c r="GZ1712" s="752"/>
      <c r="HA1712" s="752"/>
      <c r="HB1712" s="752"/>
      <c r="HC1712" s="752"/>
      <c r="HD1712" s="752"/>
      <c r="HE1712" s="752"/>
      <c r="HF1712" s="752"/>
      <c r="HG1712" s="752"/>
      <c r="HH1712" s="752"/>
      <c r="HI1712" s="752"/>
      <c r="HJ1712" s="752"/>
      <c r="HK1712" s="752"/>
      <c r="HL1712" s="752"/>
      <c r="HM1712" s="752"/>
      <c r="HN1712" s="752"/>
      <c r="HO1712" s="752"/>
      <c r="HP1712" s="752"/>
      <c r="HQ1712" s="752"/>
      <c r="HR1712" s="752"/>
      <c r="HS1712" s="752"/>
      <c r="HT1712" s="752"/>
      <c r="HU1712" s="752"/>
      <c r="HV1712" s="752"/>
      <c r="HW1712" s="752"/>
      <c r="HX1712" s="752"/>
      <c r="HY1712" s="752"/>
      <c r="HZ1712" s="752"/>
      <c r="IA1712" s="752"/>
      <c r="IB1712" s="752"/>
      <c r="IC1712" s="752"/>
      <c r="ID1712" s="752"/>
      <c r="IE1712" s="752"/>
      <c r="IF1712" s="752"/>
      <c r="IG1712" s="752"/>
      <c r="IH1712" s="752"/>
      <c r="II1712" s="752"/>
      <c r="IJ1712" s="752"/>
      <c r="IK1712" s="752"/>
      <c r="IL1712" s="752"/>
      <c r="IM1712" s="752"/>
      <c r="IN1712" s="752"/>
      <c r="IO1712" s="752"/>
    </row>
    <row r="1713" spans="1:249" ht="99">
      <c r="A1713" s="605"/>
      <c r="B1713" s="122"/>
      <c r="C1713" s="605">
        <v>3</v>
      </c>
      <c r="D1713" s="605" t="s">
        <v>34</v>
      </c>
      <c r="E1713" s="605" t="s">
        <v>39</v>
      </c>
      <c r="F1713" s="605" t="s">
        <v>25</v>
      </c>
      <c r="G1713" s="605" t="s">
        <v>29</v>
      </c>
      <c r="H1713" s="605"/>
      <c r="I1713" s="114" t="s">
        <v>614</v>
      </c>
      <c r="J1713" s="124" t="s">
        <v>1629</v>
      </c>
      <c r="K1713" s="100">
        <v>72</v>
      </c>
      <c r="L1713" s="125">
        <v>4152757712</v>
      </c>
      <c r="M1713" s="104">
        <v>36</v>
      </c>
      <c r="N1713" s="94">
        <v>1420456259</v>
      </c>
      <c r="O1713" s="91">
        <v>12</v>
      </c>
      <c r="P1713" s="125">
        <v>327070000</v>
      </c>
      <c r="Q1713" s="91">
        <v>3</v>
      </c>
      <c r="R1713" s="125">
        <v>50767500</v>
      </c>
      <c r="S1713" s="99">
        <v>3</v>
      </c>
      <c r="T1713" s="606">
        <v>131115000</v>
      </c>
      <c r="U1713" s="125"/>
      <c r="V1713" s="803"/>
      <c r="W1713" s="125"/>
      <c r="X1713" s="125"/>
      <c r="Y1713" s="125">
        <f t="shared" si="504"/>
        <v>6</v>
      </c>
      <c r="Z1713" s="125">
        <f t="shared" si="505"/>
        <v>181882500</v>
      </c>
      <c r="AA1713" s="1196">
        <f t="shared" si="506"/>
        <v>42</v>
      </c>
      <c r="AB1713" s="125">
        <f t="shared" si="507"/>
        <v>1602338759</v>
      </c>
      <c r="AC1713" s="1196">
        <f t="shared" si="508"/>
        <v>58.333333333333336</v>
      </c>
      <c r="AD1713" s="1196">
        <f t="shared" si="509"/>
        <v>38.584932474384622</v>
      </c>
      <c r="AE1713" s="89"/>
      <c r="AF1713" s="750"/>
      <c r="AG1713" s="750"/>
      <c r="AH1713" s="750"/>
      <c r="AI1713" s="750"/>
      <c r="AJ1713" s="750"/>
      <c r="AK1713" s="750"/>
      <c r="AL1713" s="750"/>
      <c r="AM1713" s="750"/>
      <c r="AN1713" s="750"/>
      <c r="AO1713" s="750"/>
      <c r="AP1713" s="750"/>
      <c r="AQ1713" s="750"/>
      <c r="AR1713" s="750"/>
      <c r="AS1713" s="750"/>
      <c r="AT1713" s="750"/>
      <c r="AU1713" s="750"/>
      <c r="AV1713" s="750"/>
      <c r="AW1713" s="750"/>
      <c r="AX1713" s="750"/>
      <c r="AY1713" s="750"/>
      <c r="AZ1713" s="750"/>
      <c r="BA1713" s="750"/>
      <c r="BB1713" s="750"/>
      <c r="BC1713" s="752"/>
      <c r="BD1713" s="752"/>
      <c r="BE1713" s="752"/>
      <c r="BF1713" s="752"/>
      <c r="BG1713" s="752"/>
      <c r="BH1713" s="752"/>
      <c r="BI1713" s="752"/>
      <c r="BJ1713" s="752"/>
      <c r="BK1713" s="752"/>
      <c r="BL1713" s="752"/>
      <c r="BM1713" s="752"/>
      <c r="BN1713" s="752"/>
      <c r="BO1713" s="752"/>
      <c r="BP1713" s="752"/>
      <c r="BQ1713" s="752"/>
      <c r="BR1713" s="752"/>
      <c r="BS1713" s="752"/>
      <c r="BT1713" s="752"/>
      <c r="BU1713" s="752"/>
      <c r="BV1713" s="752"/>
      <c r="BW1713" s="752"/>
      <c r="BX1713" s="752"/>
      <c r="BY1713" s="752"/>
      <c r="BZ1713" s="752"/>
      <c r="CA1713" s="752"/>
      <c r="CB1713" s="752"/>
      <c r="CC1713" s="752"/>
      <c r="CD1713" s="752"/>
      <c r="CE1713" s="752"/>
      <c r="CF1713" s="752"/>
      <c r="CG1713" s="752"/>
      <c r="CH1713" s="752"/>
      <c r="CI1713" s="752"/>
      <c r="CJ1713" s="752"/>
      <c r="CK1713" s="752"/>
      <c r="CL1713" s="752"/>
      <c r="CM1713" s="752"/>
      <c r="CN1713" s="752"/>
      <c r="CO1713" s="752"/>
      <c r="CP1713" s="752"/>
      <c r="CQ1713" s="752"/>
      <c r="CR1713" s="752"/>
      <c r="CS1713" s="752"/>
      <c r="CT1713" s="752"/>
      <c r="CU1713" s="752"/>
      <c r="CV1713" s="752"/>
      <c r="CW1713" s="752"/>
      <c r="CX1713" s="752"/>
      <c r="CY1713" s="752"/>
      <c r="CZ1713" s="752"/>
      <c r="DA1713" s="752"/>
      <c r="DB1713" s="752"/>
      <c r="DC1713" s="752"/>
      <c r="DD1713" s="752"/>
      <c r="DE1713" s="752"/>
      <c r="DF1713" s="752"/>
      <c r="DG1713" s="752"/>
      <c r="DH1713" s="752"/>
      <c r="DI1713" s="752"/>
      <c r="DJ1713" s="752"/>
      <c r="DK1713" s="752"/>
      <c r="DL1713" s="752"/>
      <c r="DM1713" s="752"/>
      <c r="DN1713" s="752"/>
      <c r="DO1713" s="752"/>
      <c r="DP1713" s="752"/>
      <c r="DQ1713" s="752"/>
      <c r="DR1713" s="752"/>
      <c r="DS1713" s="752"/>
      <c r="DT1713" s="752"/>
      <c r="DU1713" s="752"/>
      <c r="DV1713" s="752"/>
      <c r="DW1713" s="752"/>
      <c r="DX1713" s="752"/>
      <c r="DY1713" s="752"/>
      <c r="DZ1713" s="752"/>
      <c r="EA1713" s="752"/>
      <c r="EB1713" s="752"/>
      <c r="EC1713" s="752"/>
      <c r="ED1713" s="752"/>
      <c r="EE1713" s="752"/>
      <c r="EF1713" s="752"/>
      <c r="EG1713" s="752"/>
      <c r="EH1713" s="752"/>
      <c r="EI1713" s="752"/>
      <c r="EJ1713" s="752"/>
      <c r="EK1713" s="752"/>
      <c r="EL1713" s="752"/>
      <c r="EM1713" s="752"/>
      <c r="EN1713" s="752"/>
      <c r="EO1713" s="752"/>
      <c r="EP1713" s="752"/>
      <c r="EQ1713" s="752"/>
      <c r="ER1713" s="752"/>
      <c r="ES1713" s="752"/>
      <c r="ET1713" s="752"/>
      <c r="EU1713" s="752"/>
      <c r="EV1713" s="752"/>
      <c r="EW1713" s="752"/>
      <c r="EX1713" s="752"/>
      <c r="EY1713" s="752"/>
      <c r="EZ1713" s="752"/>
      <c r="FA1713" s="752"/>
      <c r="FB1713" s="752"/>
      <c r="FC1713" s="752"/>
      <c r="FD1713" s="752"/>
      <c r="FE1713" s="752"/>
      <c r="FF1713" s="752"/>
      <c r="FG1713" s="752"/>
      <c r="FH1713" s="752"/>
      <c r="FI1713" s="752"/>
      <c r="FJ1713" s="752"/>
      <c r="FK1713" s="752"/>
      <c r="FL1713" s="752"/>
      <c r="FM1713" s="752"/>
      <c r="FN1713" s="752"/>
      <c r="FO1713" s="752"/>
      <c r="FP1713" s="752"/>
      <c r="FQ1713" s="752"/>
      <c r="FR1713" s="752"/>
      <c r="FS1713" s="752"/>
      <c r="FT1713" s="752"/>
      <c r="FU1713" s="752"/>
      <c r="FV1713" s="752"/>
      <c r="FW1713" s="752"/>
      <c r="FX1713" s="752"/>
      <c r="FY1713" s="752"/>
      <c r="FZ1713" s="752"/>
      <c r="GA1713" s="752"/>
      <c r="GB1713" s="752"/>
      <c r="GC1713" s="752"/>
      <c r="GD1713" s="752"/>
      <c r="GE1713" s="752"/>
      <c r="GF1713" s="752"/>
      <c r="GG1713" s="752"/>
      <c r="GH1713" s="752"/>
      <c r="GI1713" s="752"/>
      <c r="GJ1713" s="752"/>
      <c r="GK1713" s="752"/>
      <c r="GL1713" s="752"/>
      <c r="GM1713" s="752"/>
      <c r="GN1713" s="752"/>
      <c r="GO1713" s="752"/>
      <c r="GP1713" s="752"/>
      <c r="GQ1713" s="752"/>
      <c r="GR1713" s="752"/>
      <c r="GS1713" s="752"/>
      <c r="GT1713" s="752"/>
      <c r="GU1713" s="752"/>
      <c r="GV1713" s="752"/>
      <c r="GW1713" s="752"/>
      <c r="GX1713" s="752"/>
      <c r="GY1713" s="752"/>
      <c r="GZ1713" s="752"/>
      <c r="HA1713" s="752"/>
      <c r="HB1713" s="752"/>
      <c r="HC1713" s="752"/>
      <c r="HD1713" s="752"/>
      <c r="HE1713" s="752"/>
      <c r="HF1713" s="752"/>
      <c r="HG1713" s="752"/>
      <c r="HH1713" s="752"/>
      <c r="HI1713" s="752"/>
      <c r="HJ1713" s="752"/>
      <c r="HK1713" s="752"/>
      <c r="HL1713" s="752"/>
      <c r="HM1713" s="752"/>
      <c r="HN1713" s="752"/>
      <c r="HO1713" s="752"/>
      <c r="HP1713" s="752"/>
      <c r="HQ1713" s="752"/>
      <c r="HR1713" s="752"/>
      <c r="HS1713" s="752"/>
      <c r="HT1713" s="752"/>
      <c r="HU1713" s="752"/>
      <c r="HV1713" s="752"/>
      <c r="HW1713" s="752"/>
      <c r="HX1713" s="752"/>
      <c r="HY1713" s="752"/>
      <c r="HZ1713" s="752"/>
      <c r="IA1713" s="752"/>
      <c r="IB1713" s="752"/>
      <c r="IC1713" s="752"/>
      <c r="ID1713" s="752"/>
      <c r="IE1713" s="752"/>
      <c r="IF1713" s="752"/>
      <c r="IG1713" s="752"/>
      <c r="IH1713" s="752"/>
      <c r="II1713" s="752"/>
      <c r="IJ1713" s="752"/>
      <c r="IK1713" s="752"/>
      <c r="IL1713" s="752"/>
      <c r="IM1713" s="752"/>
      <c r="IN1713" s="752"/>
      <c r="IO1713" s="752"/>
    </row>
    <row r="1714" spans="1:249" ht="49.5">
      <c r="A1714" s="605"/>
      <c r="B1714" s="122"/>
      <c r="C1714" s="605">
        <v>3</v>
      </c>
      <c r="D1714" s="605" t="s">
        <v>34</v>
      </c>
      <c r="E1714" s="605" t="s">
        <v>39</v>
      </c>
      <c r="F1714" s="605" t="s">
        <v>25</v>
      </c>
      <c r="G1714" s="605" t="s">
        <v>30</v>
      </c>
      <c r="H1714" s="605"/>
      <c r="I1714" s="114" t="s">
        <v>616</v>
      </c>
      <c r="J1714" s="124" t="s">
        <v>1630</v>
      </c>
      <c r="K1714" s="100">
        <v>72</v>
      </c>
      <c r="L1714" s="125">
        <v>957500000</v>
      </c>
      <c r="M1714" s="104">
        <v>36</v>
      </c>
      <c r="N1714" s="94">
        <v>465221570</v>
      </c>
      <c r="O1714" s="91">
        <v>12</v>
      </c>
      <c r="P1714" s="125">
        <v>180250000</v>
      </c>
      <c r="Q1714" s="91">
        <v>3</v>
      </c>
      <c r="R1714" s="125">
        <v>0</v>
      </c>
      <c r="S1714" s="99">
        <v>3</v>
      </c>
      <c r="T1714" s="606">
        <v>28847500</v>
      </c>
      <c r="U1714" s="125"/>
      <c r="V1714" s="803"/>
      <c r="W1714" s="125"/>
      <c r="X1714" s="125"/>
      <c r="Y1714" s="125">
        <f t="shared" si="504"/>
        <v>6</v>
      </c>
      <c r="Z1714" s="125">
        <f t="shared" si="505"/>
        <v>28847500</v>
      </c>
      <c r="AA1714" s="1196">
        <f t="shared" si="506"/>
        <v>42</v>
      </c>
      <c r="AB1714" s="125">
        <f t="shared" si="507"/>
        <v>494069070</v>
      </c>
      <c r="AC1714" s="1196">
        <f t="shared" si="508"/>
        <v>58.333333333333336</v>
      </c>
      <c r="AD1714" s="1196">
        <f t="shared" si="509"/>
        <v>51.599902872062664</v>
      </c>
      <c r="AE1714" s="89"/>
      <c r="AF1714" s="750"/>
      <c r="AG1714" s="750"/>
      <c r="AH1714" s="750"/>
      <c r="AI1714" s="750"/>
      <c r="AJ1714" s="750"/>
      <c r="AK1714" s="750"/>
      <c r="AL1714" s="750"/>
      <c r="AM1714" s="750"/>
      <c r="AN1714" s="750"/>
      <c r="AO1714" s="750"/>
      <c r="AP1714" s="750"/>
      <c r="AQ1714" s="750"/>
      <c r="AR1714" s="750"/>
      <c r="AS1714" s="750"/>
      <c r="AT1714" s="750"/>
      <c r="AU1714" s="750"/>
      <c r="AV1714" s="750"/>
      <c r="AW1714" s="750"/>
      <c r="AX1714" s="750"/>
      <c r="AY1714" s="750"/>
      <c r="AZ1714" s="750"/>
      <c r="BA1714" s="750"/>
      <c r="BB1714" s="750"/>
      <c r="BC1714" s="752"/>
      <c r="BD1714" s="752"/>
      <c r="BE1714" s="752"/>
      <c r="BF1714" s="752"/>
      <c r="BG1714" s="752"/>
      <c r="BH1714" s="752"/>
      <c r="BI1714" s="752"/>
      <c r="BJ1714" s="752"/>
      <c r="BK1714" s="752"/>
      <c r="BL1714" s="752"/>
      <c r="BM1714" s="752"/>
      <c r="BN1714" s="752"/>
      <c r="BO1714" s="752"/>
      <c r="BP1714" s="752"/>
      <c r="BQ1714" s="752"/>
      <c r="BR1714" s="752"/>
      <c r="BS1714" s="752"/>
      <c r="BT1714" s="752"/>
      <c r="BU1714" s="752"/>
      <c r="BV1714" s="752"/>
      <c r="BW1714" s="752"/>
      <c r="BX1714" s="752"/>
      <c r="BY1714" s="752"/>
      <c r="BZ1714" s="752"/>
      <c r="CA1714" s="752"/>
      <c r="CB1714" s="752"/>
      <c r="CC1714" s="752"/>
      <c r="CD1714" s="752"/>
      <c r="CE1714" s="752"/>
      <c r="CF1714" s="752"/>
      <c r="CG1714" s="752"/>
      <c r="CH1714" s="752"/>
      <c r="CI1714" s="752"/>
      <c r="CJ1714" s="752"/>
      <c r="CK1714" s="752"/>
      <c r="CL1714" s="752"/>
      <c r="CM1714" s="752"/>
      <c r="CN1714" s="752"/>
      <c r="CO1714" s="752"/>
      <c r="CP1714" s="752"/>
      <c r="CQ1714" s="752"/>
      <c r="CR1714" s="752"/>
      <c r="CS1714" s="752"/>
      <c r="CT1714" s="752"/>
      <c r="CU1714" s="752"/>
      <c r="CV1714" s="752"/>
      <c r="CW1714" s="752"/>
      <c r="CX1714" s="752"/>
      <c r="CY1714" s="752"/>
      <c r="CZ1714" s="752"/>
      <c r="DA1714" s="752"/>
      <c r="DB1714" s="752"/>
      <c r="DC1714" s="752"/>
      <c r="DD1714" s="752"/>
      <c r="DE1714" s="752"/>
      <c r="DF1714" s="752"/>
      <c r="DG1714" s="752"/>
      <c r="DH1714" s="752"/>
      <c r="DI1714" s="752"/>
      <c r="DJ1714" s="752"/>
      <c r="DK1714" s="752"/>
      <c r="DL1714" s="752"/>
      <c r="DM1714" s="752"/>
      <c r="DN1714" s="752"/>
      <c r="DO1714" s="752"/>
      <c r="DP1714" s="752"/>
      <c r="DQ1714" s="752"/>
      <c r="DR1714" s="752"/>
      <c r="DS1714" s="752"/>
      <c r="DT1714" s="752"/>
      <c r="DU1714" s="752"/>
      <c r="DV1714" s="752"/>
      <c r="DW1714" s="752"/>
      <c r="DX1714" s="752"/>
      <c r="DY1714" s="752"/>
      <c r="DZ1714" s="752"/>
      <c r="EA1714" s="752"/>
      <c r="EB1714" s="752"/>
      <c r="EC1714" s="752"/>
      <c r="ED1714" s="752"/>
      <c r="EE1714" s="752"/>
      <c r="EF1714" s="752"/>
      <c r="EG1714" s="752"/>
      <c r="EH1714" s="752"/>
      <c r="EI1714" s="752"/>
      <c r="EJ1714" s="752"/>
      <c r="EK1714" s="752"/>
      <c r="EL1714" s="752"/>
      <c r="EM1714" s="752"/>
      <c r="EN1714" s="752"/>
      <c r="EO1714" s="752"/>
      <c r="EP1714" s="752"/>
      <c r="EQ1714" s="752"/>
      <c r="ER1714" s="752"/>
      <c r="ES1714" s="752"/>
      <c r="ET1714" s="752"/>
      <c r="EU1714" s="752"/>
      <c r="EV1714" s="752"/>
      <c r="EW1714" s="752"/>
      <c r="EX1714" s="752"/>
      <c r="EY1714" s="752"/>
      <c r="EZ1714" s="752"/>
      <c r="FA1714" s="752"/>
      <c r="FB1714" s="752"/>
      <c r="FC1714" s="752"/>
      <c r="FD1714" s="752"/>
      <c r="FE1714" s="752"/>
      <c r="FF1714" s="752"/>
      <c r="FG1714" s="752"/>
      <c r="FH1714" s="752"/>
      <c r="FI1714" s="752"/>
      <c r="FJ1714" s="752"/>
      <c r="FK1714" s="752"/>
      <c r="FL1714" s="752"/>
      <c r="FM1714" s="752"/>
      <c r="FN1714" s="752"/>
      <c r="FO1714" s="752"/>
      <c r="FP1714" s="752"/>
      <c r="FQ1714" s="752"/>
      <c r="FR1714" s="752"/>
      <c r="FS1714" s="752"/>
      <c r="FT1714" s="752"/>
      <c r="FU1714" s="752"/>
      <c r="FV1714" s="752"/>
      <c r="FW1714" s="752"/>
      <c r="FX1714" s="752"/>
      <c r="FY1714" s="752"/>
      <c r="FZ1714" s="752"/>
      <c r="GA1714" s="752"/>
      <c r="GB1714" s="752"/>
      <c r="GC1714" s="752"/>
      <c r="GD1714" s="752"/>
      <c r="GE1714" s="752"/>
      <c r="GF1714" s="752"/>
      <c r="GG1714" s="752"/>
      <c r="GH1714" s="752"/>
      <c r="GI1714" s="752"/>
      <c r="GJ1714" s="752"/>
      <c r="GK1714" s="752"/>
      <c r="GL1714" s="752"/>
      <c r="GM1714" s="752"/>
      <c r="GN1714" s="752"/>
      <c r="GO1714" s="752"/>
      <c r="GP1714" s="752"/>
      <c r="GQ1714" s="752"/>
      <c r="GR1714" s="752"/>
      <c r="GS1714" s="752"/>
      <c r="GT1714" s="752"/>
      <c r="GU1714" s="752"/>
      <c r="GV1714" s="752"/>
      <c r="GW1714" s="752"/>
      <c r="GX1714" s="752"/>
      <c r="GY1714" s="752"/>
      <c r="GZ1714" s="752"/>
      <c r="HA1714" s="752"/>
      <c r="HB1714" s="752"/>
      <c r="HC1714" s="752"/>
      <c r="HD1714" s="752"/>
      <c r="HE1714" s="752"/>
      <c r="HF1714" s="752"/>
      <c r="HG1714" s="752"/>
      <c r="HH1714" s="752"/>
      <c r="HI1714" s="752"/>
      <c r="HJ1714" s="752"/>
      <c r="HK1714" s="752"/>
      <c r="HL1714" s="752"/>
      <c r="HM1714" s="752"/>
      <c r="HN1714" s="752"/>
      <c r="HO1714" s="752"/>
      <c r="HP1714" s="752"/>
      <c r="HQ1714" s="752"/>
      <c r="HR1714" s="752"/>
      <c r="HS1714" s="752"/>
      <c r="HT1714" s="752"/>
      <c r="HU1714" s="752"/>
      <c r="HV1714" s="752"/>
      <c r="HW1714" s="752"/>
      <c r="HX1714" s="752"/>
      <c r="HY1714" s="752"/>
      <c r="HZ1714" s="752"/>
      <c r="IA1714" s="752"/>
      <c r="IB1714" s="752"/>
      <c r="IC1714" s="752"/>
      <c r="ID1714" s="752"/>
      <c r="IE1714" s="752"/>
      <c r="IF1714" s="752"/>
      <c r="IG1714" s="752"/>
      <c r="IH1714" s="752"/>
      <c r="II1714" s="752"/>
      <c r="IJ1714" s="752"/>
      <c r="IK1714" s="752"/>
      <c r="IL1714" s="752"/>
      <c r="IM1714" s="752"/>
      <c r="IN1714" s="752"/>
      <c r="IO1714" s="752"/>
    </row>
    <row r="1715" spans="1:249" ht="49.5">
      <c r="A1715" s="605"/>
      <c r="B1715" s="122"/>
      <c r="C1715" s="605">
        <v>3</v>
      </c>
      <c r="D1715" s="605" t="s">
        <v>34</v>
      </c>
      <c r="E1715" s="605" t="s">
        <v>39</v>
      </c>
      <c r="F1715" s="605" t="s">
        <v>25</v>
      </c>
      <c r="G1715" s="605">
        <v>10</v>
      </c>
      <c r="H1715" s="605"/>
      <c r="I1715" s="114" t="s">
        <v>1631</v>
      </c>
      <c r="J1715" s="124" t="s">
        <v>1632</v>
      </c>
      <c r="K1715" s="100">
        <v>72</v>
      </c>
      <c r="L1715" s="125">
        <v>320908386</v>
      </c>
      <c r="M1715" s="104">
        <v>36</v>
      </c>
      <c r="N1715" s="125">
        <v>166347117</v>
      </c>
      <c r="O1715" s="91">
        <v>12</v>
      </c>
      <c r="P1715" s="125">
        <v>62810103</v>
      </c>
      <c r="Q1715" s="91">
        <v>3</v>
      </c>
      <c r="R1715" s="125">
        <v>4433100</v>
      </c>
      <c r="S1715" s="99">
        <v>3</v>
      </c>
      <c r="T1715" s="606">
        <v>18968543</v>
      </c>
      <c r="U1715" s="125"/>
      <c r="V1715" s="803"/>
      <c r="W1715" s="125"/>
      <c r="X1715" s="125"/>
      <c r="Y1715" s="125">
        <f t="shared" si="504"/>
        <v>6</v>
      </c>
      <c r="Z1715" s="125">
        <f t="shared" si="505"/>
        <v>23401643</v>
      </c>
      <c r="AA1715" s="1196">
        <f t="shared" si="506"/>
        <v>42</v>
      </c>
      <c r="AB1715" s="125">
        <f t="shared" si="507"/>
        <v>189748760</v>
      </c>
      <c r="AC1715" s="1196">
        <f t="shared" si="508"/>
        <v>58.333333333333336</v>
      </c>
      <c r="AD1715" s="1196">
        <f t="shared" si="509"/>
        <v>59.128638663870881</v>
      </c>
      <c r="AE1715" s="89"/>
      <c r="AF1715" s="750"/>
      <c r="AG1715" s="750"/>
      <c r="AH1715" s="750"/>
      <c r="AI1715" s="750"/>
      <c r="AJ1715" s="750"/>
      <c r="AK1715" s="750"/>
      <c r="AL1715" s="750"/>
      <c r="AM1715" s="750"/>
      <c r="AN1715" s="750"/>
      <c r="AO1715" s="750"/>
      <c r="AP1715" s="750"/>
      <c r="AQ1715" s="750"/>
      <c r="AR1715" s="750"/>
      <c r="AS1715" s="750"/>
      <c r="AT1715" s="750"/>
      <c r="AU1715" s="750"/>
      <c r="AV1715" s="750"/>
      <c r="AW1715" s="750"/>
      <c r="AX1715" s="750"/>
      <c r="AY1715" s="750"/>
      <c r="AZ1715" s="750"/>
      <c r="BA1715" s="750"/>
      <c r="BB1715" s="750"/>
      <c r="BC1715" s="752"/>
      <c r="BD1715" s="752"/>
      <c r="BE1715" s="752"/>
      <c r="BF1715" s="752"/>
      <c r="BG1715" s="752"/>
      <c r="BH1715" s="752"/>
      <c r="BI1715" s="752"/>
      <c r="BJ1715" s="752"/>
      <c r="BK1715" s="752"/>
      <c r="BL1715" s="752"/>
      <c r="BM1715" s="752"/>
      <c r="BN1715" s="752"/>
      <c r="BO1715" s="752"/>
      <c r="BP1715" s="752"/>
      <c r="BQ1715" s="752"/>
      <c r="BR1715" s="752"/>
      <c r="BS1715" s="752"/>
      <c r="BT1715" s="752"/>
      <c r="BU1715" s="752"/>
      <c r="BV1715" s="752"/>
      <c r="BW1715" s="752"/>
      <c r="BX1715" s="752"/>
      <c r="BY1715" s="752"/>
      <c r="BZ1715" s="752"/>
      <c r="CA1715" s="752"/>
      <c r="CB1715" s="752"/>
      <c r="CC1715" s="752"/>
      <c r="CD1715" s="752"/>
      <c r="CE1715" s="752"/>
      <c r="CF1715" s="752"/>
      <c r="CG1715" s="752"/>
      <c r="CH1715" s="752"/>
      <c r="CI1715" s="752"/>
      <c r="CJ1715" s="752"/>
      <c r="CK1715" s="752"/>
      <c r="CL1715" s="752"/>
      <c r="CM1715" s="752"/>
      <c r="CN1715" s="752"/>
      <c r="CO1715" s="752"/>
      <c r="CP1715" s="752"/>
      <c r="CQ1715" s="752"/>
      <c r="CR1715" s="752"/>
      <c r="CS1715" s="752"/>
      <c r="CT1715" s="752"/>
      <c r="CU1715" s="752"/>
      <c r="CV1715" s="752"/>
      <c r="CW1715" s="752"/>
      <c r="CX1715" s="752"/>
      <c r="CY1715" s="752"/>
      <c r="CZ1715" s="752"/>
      <c r="DA1715" s="752"/>
      <c r="DB1715" s="752"/>
      <c r="DC1715" s="752"/>
      <c r="DD1715" s="752"/>
      <c r="DE1715" s="752"/>
      <c r="DF1715" s="752"/>
      <c r="DG1715" s="752"/>
      <c r="DH1715" s="752"/>
      <c r="DI1715" s="752"/>
      <c r="DJ1715" s="752"/>
      <c r="DK1715" s="752"/>
      <c r="DL1715" s="752"/>
      <c r="DM1715" s="752"/>
      <c r="DN1715" s="752"/>
      <c r="DO1715" s="752"/>
      <c r="DP1715" s="752"/>
      <c r="DQ1715" s="752"/>
      <c r="DR1715" s="752"/>
      <c r="DS1715" s="752"/>
      <c r="DT1715" s="752"/>
      <c r="DU1715" s="752"/>
      <c r="DV1715" s="752"/>
      <c r="DW1715" s="752"/>
      <c r="DX1715" s="752"/>
      <c r="DY1715" s="752"/>
      <c r="DZ1715" s="752"/>
      <c r="EA1715" s="752"/>
      <c r="EB1715" s="752"/>
      <c r="EC1715" s="752"/>
      <c r="ED1715" s="752"/>
      <c r="EE1715" s="752"/>
      <c r="EF1715" s="752"/>
      <c r="EG1715" s="752"/>
      <c r="EH1715" s="752"/>
      <c r="EI1715" s="752"/>
      <c r="EJ1715" s="752"/>
      <c r="EK1715" s="752"/>
      <c r="EL1715" s="752"/>
      <c r="EM1715" s="752"/>
      <c r="EN1715" s="752"/>
      <c r="EO1715" s="752"/>
      <c r="EP1715" s="752"/>
      <c r="EQ1715" s="752"/>
      <c r="ER1715" s="752"/>
      <c r="ES1715" s="752"/>
      <c r="ET1715" s="752"/>
      <c r="EU1715" s="752"/>
      <c r="EV1715" s="752"/>
      <c r="EW1715" s="752"/>
      <c r="EX1715" s="752"/>
      <c r="EY1715" s="752"/>
      <c r="EZ1715" s="752"/>
      <c r="FA1715" s="752"/>
      <c r="FB1715" s="752"/>
      <c r="FC1715" s="752"/>
      <c r="FD1715" s="752"/>
      <c r="FE1715" s="752"/>
      <c r="FF1715" s="752"/>
      <c r="FG1715" s="752"/>
      <c r="FH1715" s="752"/>
      <c r="FI1715" s="752"/>
      <c r="FJ1715" s="752"/>
      <c r="FK1715" s="752"/>
      <c r="FL1715" s="752"/>
      <c r="FM1715" s="752"/>
      <c r="FN1715" s="752"/>
      <c r="FO1715" s="752"/>
      <c r="FP1715" s="752"/>
      <c r="FQ1715" s="752"/>
      <c r="FR1715" s="752"/>
      <c r="FS1715" s="752"/>
      <c r="FT1715" s="752"/>
      <c r="FU1715" s="752"/>
      <c r="FV1715" s="752"/>
      <c r="FW1715" s="752"/>
      <c r="FX1715" s="752"/>
      <c r="FY1715" s="752"/>
      <c r="FZ1715" s="752"/>
      <c r="GA1715" s="752"/>
      <c r="GB1715" s="752"/>
      <c r="GC1715" s="752"/>
      <c r="GD1715" s="752"/>
      <c r="GE1715" s="752"/>
      <c r="GF1715" s="752"/>
      <c r="GG1715" s="752"/>
      <c r="GH1715" s="752"/>
      <c r="GI1715" s="752"/>
      <c r="GJ1715" s="752"/>
      <c r="GK1715" s="752"/>
      <c r="GL1715" s="752"/>
      <c r="GM1715" s="752"/>
      <c r="GN1715" s="752"/>
      <c r="GO1715" s="752"/>
      <c r="GP1715" s="752"/>
      <c r="GQ1715" s="752"/>
      <c r="GR1715" s="752"/>
      <c r="GS1715" s="752"/>
      <c r="GT1715" s="752"/>
      <c r="GU1715" s="752"/>
      <c r="GV1715" s="752"/>
      <c r="GW1715" s="752"/>
      <c r="GX1715" s="752"/>
      <c r="GY1715" s="752"/>
      <c r="GZ1715" s="752"/>
      <c r="HA1715" s="752"/>
      <c r="HB1715" s="752"/>
      <c r="HC1715" s="752"/>
      <c r="HD1715" s="752"/>
      <c r="HE1715" s="752"/>
      <c r="HF1715" s="752"/>
      <c r="HG1715" s="752"/>
      <c r="HH1715" s="752"/>
      <c r="HI1715" s="752"/>
      <c r="HJ1715" s="752"/>
      <c r="HK1715" s="752"/>
      <c r="HL1715" s="752"/>
      <c r="HM1715" s="752"/>
      <c r="HN1715" s="752"/>
      <c r="HO1715" s="752"/>
      <c r="HP1715" s="752"/>
      <c r="HQ1715" s="752"/>
      <c r="HR1715" s="752"/>
      <c r="HS1715" s="752"/>
      <c r="HT1715" s="752"/>
      <c r="HU1715" s="752"/>
      <c r="HV1715" s="752"/>
      <c r="HW1715" s="752"/>
      <c r="HX1715" s="752"/>
      <c r="HY1715" s="752"/>
      <c r="HZ1715" s="752"/>
      <c r="IA1715" s="752"/>
      <c r="IB1715" s="752"/>
      <c r="IC1715" s="752"/>
      <c r="ID1715" s="752"/>
      <c r="IE1715" s="752"/>
      <c r="IF1715" s="752"/>
      <c r="IG1715" s="752"/>
      <c r="IH1715" s="752"/>
      <c r="II1715" s="752"/>
      <c r="IJ1715" s="752"/>
      <c r="IK1715" s="752"/>
      <c r="IL1715" s="752"/>
      <c r="IM1715" s="752"/>
      <c r="IN1715" s="752"/>
      <c r="IO1715" s="752"/>
    </row>
    <row r="1716" spans="1:249" ht="82.5">
      <c r="A1716" s="605"/>
      <c r="B1716" s="122"/>
      <c r="C1716" s="605">
        <v>3</v>
      </c>
      <c r="D1716" s="605" t="s">
        <v>34</v>
      </c>
      <c r="E1716" s="605" t="s">
        <v>39</v>
      </c>
      <c r="F1716" s="605" t="s">
        <v>25</v>
      </c>
      <c r="G1716" s="605">
        <v>11</v>
      </c>
      <c r="H1716" s="605"/>
      <c r="I1716" s="114" t="s">
        <v>1633</v>
      </c>
      <c r="J1716" s="124" t="s">
        <v>1634</v>
      </c>
      <c r="K1716" s="100">
        <v>72</v>
      </c>
      <c r="L1716" s="125">
        <v>243141229</v>
      </c>
      <c r="M1716" s="104">
        <v>36</v>
      </c>
      <c r="N1716" s="125">
        <v>120374201</v>
      </c>
      <c r="O1716" s="91">
        <v>12</v>
      </c>
      <c r="P1716" s="125">
        <v>40342760</v>
      </c>
      <c r="Q1716" s="91">
        <v>3</v>
      </c>
      <c r="R1716" s="125">
        <v>3319877</v>
      </c>
      <c r="S1716" s="99">
        <v>3</v>
      </c>
      <c r="T1716" s="606">
        <v>4956241</v>
      </c>
      <c r="U1716" s="125"/>
      <c r="V1716" s="803"/>
      <c r="W1716" s="125"/>
      <c r="X1716" s="125"/>
      <c r="Y1716" s="125">
        <f t="shared" si="504"/>
        <v>6</v>
      </c>
      <c r="Z1716" s="125">
        <f t="shared" si="505"/>
        <v>8276118</v>
      </c>
      <c r="AA1716" s="1196">
        <f t="shared" si="506"/>
        <v>42</v>
      </c>
      <c r="AB1716" s="125">
        <f t="shared" si="507"/>
        <v>128650319</v>
      </c>
      <c r="AC1716" s="1196">
        <f t="shared" si="508"/>
        <v>58.333333333333336</v>
      </c>
      <c r="AD1716" s="1196">
        <f t="shared" si="509"/>
        <v>52.911766354524758</v>
      </c>
      <c r="AE1716" s="89"/>
      <c r="AF1716" s="750"/>
      <c r="AG1716" s="750"/>
      <c r="AH1716" s="750"/>
      <c r="AI1716" s="750"/>
      <c r="AJ1716" s="750"/>
      <c r="AK1716" s="750"/>
      <c r="AL1716" s="750"/>
      <c r="AM1716" s="750"/>
      <c r="AN1716" s="750"/>
      <c r="AO1716" s="750"/>
      <c r="AP1716" s="750"/>
      <c r="AQ1716" s="750"/>
      <c r="AR1716" s="750"/>
      <c r="AS1716" s="750"/>
      <c r="AT1716" s="750"/>
      <c r="AU1716" s="750"/>
      <c r="AV1716" s="750"/>
      <c r="AW1716" s="750"/>
      <c r="AX1716" s="750"/>
      <c r="AY1716" s="750"/>
      <c r="AZ1716" s="750"/>
      <c r="BA1716" s="750"/>
      <c r="BB1716" s="750"/>
      <c r="BC1716" s="752"/>
      <c r="BD1716" s="752"/>
      <c r="BE1716" s="752"/>
      <c r="BF1716" s="752"/>
      <c r="BG1716" s="752"/>
      <c r="BH1716" s="752"/>
      <c r="BI1716" s="752"/>
      <c r="BJ1716" s="752"/>
      <c r="BK1716" s="752"/>
      <c r="BL1716" s="752"/>
      <c r="BM1716" s="752"/>
      <c r="BN1716" s="752"/>
      <c r="BO1716" s="752"/>
      <c r="BP1716" s="752"/>
      <c r="BQ1716" s="752"/>
      <c r="BR1716" s="752"/>
      <c r="BS1716" s="752"/>
      <c r="BT1716" s="752"/>
      <c r="BU1716" s="752"/>
      <c r="BV1716" s="752"/>
      <c r="BW1716" s="752"/>
      <c r="BX1716" s="752"/>
      <c r="BY1716" s="752"/>
      <c r="BZ1716" s="752"/>
      <c r="CA1716" s="752"/>
      <c r="CB1716" s="752"/>
      <c r="CC1716" s="752"/>
      <c r="CD1716" s="752"/>
      <c r="CE1716" s="752"/>
      <c r="CF1716" s="752"/>
      <c r="CG1716" s="752"/>
      <c r="CH1716" s="752"/>
      <c r="CI1716" s="752"/>
      <c r="CJ1716" s="752"/>
      <c r="CK1716" s="752"/>
      <c r="CL1716" s="752"/>
      <c r="CM1716" s="752"/>
      <c r="CN1716" s="752"/>
      <c r="CO1716" s="752"/>
      <c r="CP1716" s="752"/>
      <c r="CQ1716" s="752"/>
      <c r="CR1716" s="752"/>
      <c r="CS1716" s="752"/>
      <c r="CT1716" s="752"/>
      <c r="CU1716" s="752"/>
      <c r="CV1716" s="752"/>
      <c r="CW1716" s="752"/>
      <c r="CX1716" s="752"/>
      <c r="CY1716" s="752"/>
      <c r="CZ1716" s="752"/>
      <c r="DA1716" s="752"/>
      <c r="DB1716" s="752"/>
      <c r="DC1716" s="752"/>
      <c r="DD1716" s="752"/>
      <c r="DE1716" s="752"/>
      <c r="DF1716" s="752"/>
      <c r="DG1716" s="752"/>
      <c r="DH1716" s="752"/>
      <c r="DI1716" s="752"/>
      <c r="DJ1716" s="752"/>
      <c r="DK1716" s="752"/>
      <c r="DL1716" s="752"/>
      <c r="DM1716" s="752"/>
      <c r="DN1716" s="752"/>
      <c r="DO1716" s="752"/>
      <c r="DP1716" s="752"/>
      <c r="DQ1716" s="752"/>
      <c r="DR1716" s="752"/>
      <c r="DS1716" s="752"/>
      <c r="DT1716" s="752"/>
      <c r="DU1716" s="752"/>
      <c r="DV1716" s="752"/>
      <c r="DW1716" s="752"/>
      <c r="DX1716" s="752"/>
      <c r="DY1716" s="752"/>
      <c r="DZ1716" s="752"/>
      <c r="EA1716" s="752"/>
      <c r="EB1716" s="752"/>
      <c r="EC1716" s="752"/>
      <c r="ED1716" s="752"/>
      <c r="EE1716" s="752"/>
      <c r="EF1716" s="752"/>
      <c r="EG1716" s="752"/>
      <c r="EH1716" s="752"/>
      <c r="EI1716" s="752"/>
      <c r="EJ1716" s="752"/>
      <c r="EK1716" s="752"/>
      <c r="EL1716" s="752"/>
      <c r="EM1716" s="752"/>
      <c r="EN1716" s="752"/>
      <c r="EO1716" s="752"/>
      <c r="EP1716" s="752"/>
      <c r="EQ1716" s="752"/>
      <c r="ER1716" s="752"/>
      <c r="ES1716" s="752"/>
      <c r="ET1716" s="752"/>
      <c r="EU1716" s="752"/>
      <c r="EV1716" s="752"/>
      <c r="EW1716" s="752"/>
      <c r="EX1716" s="752"/>
      <c r="EY1716" s="752"/>
      <c r="EZ1716" s="752"/>
      <c r="FA1716" s="752"/>
      <c r="FB1716" s="752"/>
      <c r="FC1716" s="752"/>
      <c r="FD1716" s="752"/>
      <c r="FE1716" s="752"/>
      <c r="FF1716" s="752"/>
      <c r="FG1716" s="752"/>
      <c r="FH1716" s="752"/>
      <c r="FI1716" s="752"/>
      <c r="FJ1716" s="752"/>
      <c r="FK1716" s="752"/>
      <c r="FL1716" s="752"/>
      <c r="FM1716" s="752"/>
      <c r="FN1716" s="752"/>
      <c r="FO1716" s="752"/>
      <c r="FP1716" s="752"/>
      <c r="FQ1716" s="752"/>
      <c r="FR1716" s="752"/>
      <c r="FS1716" s="752"/>
      <c r="FT1716" s="752"/>
      <c r="FU1716" s="752"/>
      <c r="FV1716" s="752"/>
      <c r="FW1716" s="752"/>
      <c r="FX1716" s="752"/>
      <c r="FY1716" s="752"/>
      <c r="FZ1716" s="752"/>
      <c r="GA1716" s="752"/>
      <c r="GB1716" s="752"/>
      <c r="GC1716" s="752"/>
      <c r="GD1716" s="752"/>
      <c r="GE1716" s="752"/>
      <c r="GF1716" s="752"/>
      <c r="GG1716" s="752"/>
      <c r="GH1716" s="752"/>
      <c r="GI1716" s="752"/>
      <c r="GJ1716" s="752"/>
      <c r="GK1716" s="752"/>
      <c r="GL1716" s="752"/>
      <c r="GM1716" s="752"/>
      <c r="GN1716" s="752"/>
      <c r="GO1716" s="752"/>
      <c r="GP1716" s="752"/>
      <c r="GQ1716" s="752"/>
      <c r="GR1716" s="752"/>
      <c r="GS1716" s="752"/>
      <c r="GT1716" s="752"/>
      <c r="GU1716" s="752"/>
      <c r="GV1716" s="752"/>
      <c r="GW1716" s="752"/>
      <c r="GX1716" s="752"/>
      <c r="GY1716" s="752"/>
      <c r="GZ1716" s="752"/>
      <c r="HA1716" s="752"/>
      <c r="HB1716" s="752"/>
      <c r="HC1716" s="752"/>
      <c r="HD1716" s="752"/>
      <c r="HE1716" s="752"/>
      <c r="HF1716" s="752"/>
      <c r="HG1716" s="752"/>
      <c r="HH1716" s="752"/>
      <c r="HI1716" s="752"/>
      <c r="HJ1716" s="752"/>
      <c r="HK1716" s="752"/>
      <c r="HL1716" s="752"/>
      <c r="HM1716" s="752"/>
      <c r="HN1716" s="752"/>
      <c r="HO1716" s="752"/>
      <c r="HP1716" s="752"/>
      <c r="HQ1716" s="752"/>
      <c r="HR1716" s="752"/>
      <c r="HS1716" s="752"/>
      <c r="HT1716" s="752"/>
      <c r="HU1716" s="752"/>
      <c r="HV1716" s="752"/>
      <c r="HW1716" s="752"/>
      <c r="HX1716" s="752"/>
      <c r="HY1716" s="752"/>
      <c r="HZ1716" s="752"/>
      <c r="IA1716" s="752"/>
      <c r="IB1716" s="752"/>
      <c r="IC1716" s="752"/>
      <c r="ID1716" s="752"/>
      <c r="IE1716" s="752"/>
      <c r="IF1716" s="752"/>
      <c r="IG1716" s="752"/>
      <c r="IH1716" s="752"/>
      <c r="II1716" s="752"/>
      <c r="IJ1716" s="752"/>
      <c r="IK1716" s="752"/>
      <c r="IL1716" s="752"/>
      <c r="IM1716" s="752"/>
      <c r="IN1716" s="752"/>
      <c r="IO1716" s="752"/>
    </row>
    <row r="1717" spans="1:249" ht="82.5">
      <c r="A1717" s="605"/>
      <c r="B1717" s="122"/>
      <c r="C1717" s="605">
        <v>3</v>
      </c>
      <c r="D1717" s="605" t="s">
        <v>34</v>
      </c>
      <c r="E1717" s="605" t="s">
        <v>39</v>
      </c>
      <c r="F1717" s="605" t="s">
        <v>25</v>
      </c>
      <c r="G1717" s="605">
        <v>12</v>
      </c>
      <c r="H1717" s="605"/>
      <c r="I1717" s="114" t="s">
        <v>1635</v>
      </c>
      <c r="J1717" s="124" t="s">
        <v>1636</v>
      </c>
      <c r="K1717" s="100">
        <v>72</v>
      </c>
      <c r="L1717" s="125">
        <v>131754000</v>
      </c>
      <c r="M1717" s="104">
        <v>36</v>
      </c>
      <c r="N1717" s="125">
        <v>44613020</v>
      </c>
      <c r="O1717" s="91">
        <v>12</v>
      </c>
      <c r="P1717" s="125">
        <v>23940000</v>
      </c>
      <c r="Q1717" s="91">
        <v>3</v>
      </c>
      <c r="R1717" s="125">
        <v>3375000</v>
      </c>
      <c r="S1717" s="99">
        <v>3</v>
      </c>
      <c r="T1717" s="606">
        <v>10143739</v>
      </c>
      <c r="U1717" s="125"/>
      <c r="V1717" s="803"/>
      <c r="W1717" s="125"/>
      <c r="X1717" s="125"/>
      <c r="Y1717" s="125">
        <f t="shared" si="504"/>
        <v>6</v>
      </c>
      <c r="Z1717" s="125">
        <f t="shared" si="505"/>
        <v>13518739</v>
      </c>
      <c r="AA1717" s="1196">
        <f t="shared" si="506"/>
        <v>42</v>
      </c>
      <c r="AB1717" s="125">
        <f t="shared" si="507"/>
        <v>58131759</v>
      </c>
      <c r="AC1717" s="1196">
        <f t="shared" si="508"/>
        <v>58.333333333333336</v>
      </c>
      <c r="AD1717" s="1196">
        <f t="shared" si="509"/>
        <v>44.121437679311441</v>
      </c>
      <c r="AE1717" s="89"/>
      <c r="AF1717" s="750"/>
      <c r="AG1717" s="750"/>
      <c r="AH1717" s="750"/>
      <c r="AI1717" s="750"/>
      <c r="AJ1717" s="750"/>
      <c r="AK1717" s="750"/>
      <c r="AL1717" s="750"/>
      <c r="AM1717" s="750"/>
      <c r="AN1717" s="750"/>
      <c r="AO1717" s="750"/>
      <c r="AP1717" s="750"/>
      <c r="AQ1717" s="750"/>
      <c r="AR1717" s="750"/>
      <c r="AS1717" s="750"/>
      <c r="AT1717" s="750"/>
      <c r="AU1717" s="750"/>
      <c r="AV1717" s="750"/>
      <c r="AW1717" s="750"/>
      <c r="AX1717" s="750"/>
      <c r="AY1717" s="750"/>
      <c r="AZ1717" s="750"/>
      <c r="BA1717" s="750"/>
      <c r="BB1717" s="750"/>
      <c r="BC1717" s="752"/>
      <c r="BD1717" s="752"/>
      <c r="BE1717" s="752"/>
      <c r="BF1717" s="752"/>
      <c r="BG1717" s="752"/>
      <c r="BH1717" s="752"/>
      <c r="BI1717" s="752"/>
      <c r="BJ1717" s="752"/>
      <c r="BK1717" s="752"/>
      <c r="BL1717" s="752"/>
      <c r="BM1717" s="752"/>
      <c r="BN1717" s="752"/>
      <c r="BO1717" s="752"/>
      <c r="BP1717" s="752"/>
      <c r="BQ1717" s="752"/>
      <c r="BR1717" s="752"/>
      <c r="BS1717" s="752"/>
      <c r="BT1717" s="752"/>
      <c r="BU1717" s="752"/>
      <c r="BV1717" s="752"/>
      <c r="BW1717" s="752"/>
      <c r="BX1717" s="752"/>
      <c r="BY1717" s="752"/>
      <c r="BZ1717" s="752"/>
      <c r="CA1717" s="752"/>
      <c r="CB1717" s="752"/>
      <c r="CC1717" s="752"/>
      <c r="CD1717" s="752"/>
      <c r="CE1717" s="752"/>
      <c r="CF1717" s="752"/>
      <c r="CG1717" s="752"/>
      <c r="CH1717" s="752"/>
      <c r="CI1717" s="752"/>
      <c r="CJ1717" s="752"/>
      <c r="CK1717" s="752"/>
      <c r="CL1717" s="752"/>
      <c r="CM1717" s="752"/>
      <c r="CN1717" s="752"/>
      <c r="CO1717" s="752"/>
      <c r="CP1717" s="752"/>
      <c r="CQ1717" s="752"/>
      <c r="CR1717" s="752"/>
      <c r="CS1717" s="752"/>
      <c r="CT1717" s="752"/>
      <c r="CU1717" s="752"/>
      <c r="CV1717" s="752"/>
      <c r="CW1717" s="752"/>
      <c r="CX1717" s="752"/>
      <c r="CY1717" s="752"/>
      <c r="CZ1717" s="752"/>
      <c r="DA1717" s="752"/>
      <c r="DB1717" s="752"/>
      <c r="DC1717" s="752"/>
      <c r="DD1717" s="752"/>
      <c r="DE1717" s="752"/>
      <c r="DF1717" s="752"/>
      <c r="DG1717" s="752"/>
      <c r="DH1717" s="752"/>
      <c r="DI1717" s="752"/>
      <c r="DJ1717" s="752"/>
      <c r="DK1717" s="752"/>
      <c r="DL1717" s="752"/>
      <c r="DM1717" s="752"/>
      <c r="DN1717" s="752"/>
      <c r="DO1717" s="752"/>
      <c r="DP1717" s="752"/>
      <c r="DQ1717" s="752"/>
      <c r="DR1717" s="752"/>
      <c r="DS1717" s="752"/>
      <c r="DT1717" s="752"/>
      <c r="DU1717" s="752"/>
      <c r="DV1717" s="752"/>
      <c r="DW1717" s="752"/>
      <c r="DX1717" s="752"/>
      <c r="DY1717" s="752"/>
      <c r="DZ1717" s="752"/>
      <c r="EA1717" s="752"/>
      <c r="EB1717" s="752"/>
      <c r="EC1717" s="752"/>
      <c r="ED1717" s="752"/>
      <c r="EE1717" s="752"/>
      <c r="EF1717" s="752"/>
      <c r="EG1717" s="752"/>
      <c r="EH1717" s="752"/>
      <c r="EI1717" s="752"/>
      <c r="EJ1717" s="752"/>
      <c r="EK1717" s="752"/>
      <c r="EL1717" s="752"/>
      <c r="EM1717" s="752"/>
      <c r="EN1717" s="752"/>
      <c r="EO1717" s="752"/>
      <c r="EP1717" s="752"/>
      <c r="EQ1717" s="752"/>
      <c r="ER1717" s="752"/>
      <c r="ES1717" s="752"/>
      <c r="ET1717" s="752"/>
      <c r="EU1717" s="752"/>
      <c r="EV1717" s="752"/>
      <c r="EW1717" s="752"/>
      <c r="EX1717" s="752"/>
      <c r="EY1717" s="752"/>
      <c r="EZ1717" s="752"/>
      <c r="FA1717" s="752"/>
      <c r="FB1717" s="752"/>
      <c r="FC1717" s="752"/>
      <c r="FD1717" s="752"/>
      <c r="FE1717" s="752"/>
      <c r="FF1717" s="752"/>
      <c r="FG1717" s="752"/>
      <c r="FH1717" s="752"/>
      <c r="FI1717" s="752"/>
      <c r="FJ1717" s="752"/>
      <c r="FK1717" s="752"/>
      <c r="FL1717" s="752"/>
      <c r="FM1717" s="752"/>
      <c r="FN1717" s="752"/>
      <c r="FO1717" s="752"/>
      <c r="FP1717" s="752"/>
      <c r="FQ1717" s="752"/>
      <c r="FR1717" s="752"/>
      <c r="FS1717" s="752"/>
      <c r="FT1717" s="752"/>
      <c r="FU1717" s="752"/>
      <c r="FV1717" s="752"/>
      <c r="FW1717" s="752"/>
      <c r="FX1717" s="752"/>
      <c r="FY1717" s="752"/>
      <c r="FZ1717" s="752"/>
      <c r="GA1717" s="752"/>
      <c r="GB1717" s="752"/>
      <c r="GC1717" s="752"/>
      <c r="GD1717" s="752"/>
      <c r="GE1717" s="752"/>
      <c r="GF1717" s="752"/>
      <c r="GG1717" s="752"/>
      <c r="GH1717" s="752"/>
      <c r="GI1717" s="752"/>
      <c r="GJ1717" s="752"/>
      <c r="GK1717" s="752"/>
      <c r="GL1717" s="752"/>
      <c r="GM1717" s="752"/>
      <c r="GN1717" s="752"/>
      <c r="GO1717" s="752"/>
      <c r="GP1717" s="752"/>
      <c r="GQ1717" s="752"/>
      <c r="GR1717" s="752"/>
      <c r="GS1717" s="752"/>
      <c r="GT1717" s="752"/>
      <c r="GU1717" s="752"/>
      <c r="GV1717" s="752"/>
      <c r="GW1717" s="752"/>
      <c r="GX1717" s="752"/>
      <c r="GY1717" s="752"/>
      <c r="GZ1717" s="752"/>
      <c r="HA1717" s="752"/>
      <c r="HB1717" s="752"/>
      <c r="HC1717" s="752"/>
      <c r="HD1717" s="752"/>
      <c r="HE1717" s="752"/>
      <c r="HF1717" s="752"/>
      <c r="HG1717" s="752"/>
      <c r="HH1717" s="752"/>
      <c r="HI1717" s="752"/>
      <c r="HJ1717" s="752"/>
      <c r="HK1717" s="752"/>
      <c r="HL1717" s="752"/>
      <c r="HM1717" s="752"/>
      <c r="HN1717" s="752"/>
      <c r="HO1717" s="752"/>
      <c r="HP1717" s="752"/>
      <c r="HQ1717" s="752"/>
      <c r="HR1717" s="752"/>
      <c r="HS1717" s="752"/>
      <c r="HT1717" s="752"/>
      <c r="HU1717" s="752"/>
      <c r="HV1717" s="752"/>
      <c r="HW1717" s="752"/>
      <c r="HX1717" s="752"/>
      <c r="HY1717" s="752"/>
      <c r="HZ1717" s="752"/>
      <c r="IA1717" s="752"/>
      <c r="IB1717" s="752"/>
      <c r="IC1717" s="752"/>
      <c r="ID1717" s="752"/>
      <c r="IE1717" s="752"/>
      <c r="IF1717" s="752"/>
      <c r="IG1717" s="752"/>
      <c r="IH1717" s="752"/>
      <c r="II1717" s="752"/>
      <c r="IJ1717" s="752"/>
      <c r="IK1717" s="752"/>
      <c r="IL1717" s="752"/>
      <c r="IM1717" s="752"/>
      <c r="IN1717" s="752"/>
      <c r="IO1717" s="752"/>
    </row>
    <row r="1718" spans="1:249" ht="82.5">
      <c r="A1718" s="605"/>
      <c r="B1718" s="122"/>
      <c r="C1718" s="605">
        <v>3</v>
      </c>
      <c r="D1718" s="605" t="s">
        <v>34</v>
      </c>
      <c r="E1718" s="605" t="s">
        <v>39</v>
      </c>
      <c r="F1718" s="605" t="s">
        <v>25</v>
      </c>
      <c r="G1718" s="605">
        <v>15</v>
      </c>
      <c r="H1718" s="605"/>
      <c r="I1718" s="114" t="s">
        <v>229</v>
      </c>
      <c r="J1718" s="124" t="s">
        <v>1637</v>
      </c>
      <c r="K1718" s="100">
        <v>72</v>
      </c>
      <c r="L1718" s="125">
        <v>123740000</v>
      </c>
      <c r="M1718" s="104">
        <v>36</v>
      </c>
      <c r="N1718" s="125">
        <v>28540000</v>
      </c>
      <c r="O1718" s="91">
        <v>12</v>
      </c>
      <c r="P1718" s="125">
        <v>13900000</v>
      </c>
      <c r="Q1718" s="91">
        <v>3</v>
      </c>
      <c r="R1718" s="125">
        <v>930000</v>
      </c>
      <c r="S1718" s="99">
        <v>3</v>
      </c>
      <c r="T1718" s="606">
        <v>6090000</v>
      </c>
      <c r="U1718" s="125"/>
      <c r="V1718" s="803"/>
      <c r="W1718" s="125"/>
      <c r="X1718" s="125"/>
      <c r="Y1718" s="125">
        <f t="shared" si="504"/>
        <v>6</v>
      </c>
      <c r="Z1718" s="125">
        <f t="shared" si="505"/>
        <v>7020000</v>
      </c>
      <c r="AA1718" s="1196">
        <f t="shared" si="506"/>
        <v>42</v>
      </c>
      <c r="AB1718" s="125">
        <f t="shared" si="507"/>
        <v>35560000</v>
      </c>
      <c r="AC1718" s="1196">
        <f t="shared" si="508"/>
        <v>58.333333333333336</v>
      </c>
      <c r="AD1718" s="1196">
        <f t="shared" si="509"/>
        <v>28.737675771779536</v>
      </c>
      <c r="AE1718" s="89"/>
      <c r="AF1718" s="750"/>
      <c r="AG1718" s="750"/>
      <c r="AH1718" s="750"/>
      <c r="AI1718" s="750"/>
      <c r="AJ1718" s="750"/>
      <c r="AK1718" s="750"/>
      <c r="AL1718" s="750"/>
      <c r="AM1718" s="750"/>
      <c r="AN1718" s="750"/>
      <c r="AO1718" s="750"/>
      <c r="AP1718" s="750"/>
      <c r="AQ1718" s="750"/>
      <c r="AR1718" s="750"/>
      <c r="AS1718" s="750"/>
      <c r="AT1718" s="750"/>
      <c r="AU1718" s="750"/>
      <c r="AV1718" s="750"/>
      <c r="AW1718" s="750"/>
      <c r="AX1718" s="750"/>
      <c r="AY1718" s="750"/>
      <c r="AZ1718" s="750"/>
      <c r="BA1718" s="750"/>
      <c r="BB1718" s="750"/>
      <c r="BC1718" s="752"/>
      <c r="BD1718" s="752"/>
      <c r="BE1718" s="752"/>
      <c r="BF1718" s="752"/>
      <c r="BG1718" s="752"/>
      <c r="BH1718" s="752"/>
      <c r="BI1718" s="752"/>
      <c r="BJ1718" s="752"/>
      <c r="BK1718" s="752"/>
      <c r="BL1718" s="752"/>
      <c r="BM1718" s="752"/>
      <c r="BN1718" s="752"/>
      <c r="BO1718" s="752"/>
      <c r="BP1718" s="752"/>
      <c r="BQ1718" s="752"/>
      <c r="BR1718" s="752"/>
      <c r="BS1718" s="752"/>
      <c r="BT1718" s="752"/>
      <c r="BU1718" s="752"/>
      <c r="BV1718" s="752"/>
      <c r="BW1718" s="752"/>
      <c r="BX1718" s="752"/>
      <c r="BY1718" s="752"/>
      <c r="BZ1718" s="752"/>
      <c r="CA1718" s="752"/>
      <c r="CB1718" s="752"/>
      <c r="CC1718" s="752"/>
      <c r="CD1718" s="752"/>
      <c r="CE1718" s="752"/>
      <c r="CF1718" s="752"/>
      <c r="CG1718" s="752"/>
      <c r="CH1718" s="752"/>
      <c r="CI1718" s="752"/>
      <c r="CJ1718" s="752"/>
      <c r="CK1718" s="752"/>
      <c r="CL1718" s="752"/>
      <c r="CM1718" s="752"/>
      <c r="CN1718" s="752"/>
      <c r="CO1718" s="752"/>
      <c r="CP1718" s="752"/>
      <c r="CQ1718" s="752"/>
      <c r="CR1718" s="752"/>
      <c r="CS1718" s="752"/>
      <c r="CT1718" s="752"/>
      <c r="CU1718" s="752"/>
      <c r="CV1718" s="752"/>
      <c r="CW1718" s="752"/>
      <c r="CX1718" s="752"/>
      <c r="CY1718" s="752"/>
      <c r="CZ1718" s="752"/>
      <c r="DA1718" s="752"/>
      <c r="DB1718" s="752"/>
      <c r="DC1718" s="752"/>
      <c r="DD1718" s="752"/>
      <c r="DE1718" s="752"/>
      <c r="DF1718" s="752"/>
      <c r="DG1718" s="752"/>
      <c r="DH1718" s="752"/>
      <c r="DI1718" s="752"/>
      <c r="DJ1718" s="752"/>
      <c r="DK1718" s="752"/>
      <c r="DL1718" s="752"/>
      <c r="DM1718" s="752"/>
      <c r="DN1718" s="752"/>
      <c r="DO1718" s="752"/>
      <c r="DP1718" s="752"/>
      <c r="DQ1718" s="752"/>
      <c r="DR1718" s="752"/>
      <c r="DS1718" s="752"/>
      <c r="DT1718" s="752"/>
      <c r="DU1718" s="752"/>
      <c r="DV1718" s="752"/>
      <c r="DW1718" s="752"/>
      <c r="DX1718" s="752"/>
      <c r="DY1718" s="752"/>
      <c r="DZ1718" s="752"/>
      <c r="EA1718" s="752"/>
      <c r="EB1718" s="752"/>
      <c r="EC1718" s="752"/>
      <c r="ED1718" s="752"/>
      <c r="EE1718" s="752"/>
      <c r="EF1718" s="752"/>
      <c r="EG1718" s="752"/>
      <c r="EH1718" s="752"/>
      <c r="EI1718" s="752"/>
      <c r="EJ1718" s="752"/>
      <c r="EK1718" s="752"/>
      <c r="EL1718" s="752"/>
      <c r="EM1718" s="752"/>
      <c r="EN1718" s="752"/>
      <c r="EO1718" s="752"/>
      <c r="EP1718" s="752"/>
      <c r="EQ1718" s="752"/>
      <c r="ER1718" s="752"/>
      <c r="ES1718" s="752"/>
      <c r="ET1718" s="752"/>
      <c r="EU1718" s="752"/>
      <c r="EV1718" s="752"/>
      <c r="EW1718" s="752"/>
      <c r="EX1718" s="752"/>
      <c r="EY1718" s="752"/>
      <c r="EZ1718" s="752"/>
      <c r="FA1718" s="752"/>
      <c r="FB1718" s="752"/>
      <c r="FC1718" s="752"/>
      <c r="FD1718" s="752"/>
      <c r="FE1718" s="752"/>
      <c r="FF1718" s="752"/>
      <c r="FG1718" s="752"/>
      <c r="FH1718" s="752"/>
      <c r="FI1718" s="752"/>
      <c r="FJ1718" s="752"/>
      <c r="FK1718" s="752"/>
      <c r="FL1718" s="752"/>
      <c r="FM1718" s="752"/>
      <c r="FN1718" s="752"/>
      <c r="FO1718" s="752"/>
      <c r="FP1718" s="752"/>
      <c r="FQ1718" s="752"/>
      <c r="FR1718" s="752"/>
      <c r="FS1718" s="752"/>
      <c r="FT1718" s="752"/>
      <c r="FU1718" s="752"/>
      <c r="FV1718" s="752"/>
      <c r="FW1718" s="752"/>
      <c r="FX1718" s="752"/>
      <c r="FY1718" s="752"/>
      <c r="FZ1718" s="752"/>
      <c r="GA1718" s="752"/>
      <c r="GB1718" s="752"/>
      <c r="GC1718" s="752"/>
      <c r="GD1718" s="752"/>
      <c r="GE1718" s="752"/>
      <c r="GF1718" s="752"/>
      <c r="GG1718" s="752"/>
      <c r="GH1718" s="752"/>
      <c r="GI1718" s="752"/>
      <c r="GJ1718" s="752"/>
      <c r="GK1718" s="752"/>
      <c r="GL1718" s="752"/>
      <c r="GM1718" s="752"/>
      <c r="GN1718" s="752"/>
      <c r="GO1718" s="752"/>
      <c r="GP1718" s="752"/>
      <c r="GQ1718" s="752"/>
      <c r="GR1718" s="752"/>
      <c r="GS1718" s="752"/>
      <c r="GT1718" s="752"/>
      <c r="GU1718" s="752"/>
      <c r="GV1718" s="752"/>
      <c r="GW1718" s="752"/>
      <c r="GX1718" s="752"/>
      <c r="GY1718" s="752"/>
      <c r="GZ1718" s="752"/>
      <c r="HA1718" s="752"/>
      <c r="HB1718" s="752"/>
      <c r="HC1718" s="752"/>
      <c r="HD1718" s="752"/>
      <c r="HE1718" s="752"/>
      <c r="HF1718" s="752"/>
      <c r="HG1718" s="752"/>
      <c r="HH1718" s="752"/>
      <c r="HI1718" s="752"/>
      <c r="HJ1718" s="752"/>
      <c r="HK1718" s="752"/>
      <c r="HL1718" s="752"/>
      <c r="HM1718" s="752"/>
      <c r="HN1718" s="752"/>
      <c r="HO1718" s="752"/>
      <c r="HP1718" s="752"/>
      <c r="HQ1718" s="752"/>
      <c r="HR1718" s="752"/>
      <c r="HS1718" s="752"/>
      <c r="HT1718" s="752"/>
      <c r="HU1718" s="752"/>
      <c r="HV1718" s="752"/>
      <c r="HW1718" s="752"/>
      <c r="HX1718" s="752"/>
      <c r="HY1718" s="752"/>
      <c r="HZ1718" s="752"/>
      <c r="IA1718" s="752"/>
      <c r="IB1718" s="752"/>
      <c r="IC1718" s="752"/>
      <c r="ID1718" s="752"/>
      <c r="IE1718" s="752"/>
      <c r="IF1718" s="752"/>
      <c r="IG1718" s="752"/>
      <c r="IH1718" s="752"/>
      <c r="II1718" s="752"/>
      <c r="IJ1718" s="752"/>
      <c r="IK1718" s="752"/>
      <c r="IL1718" s="752"/>
      <c r="IM1718" s="752"/>
      <c r="IN1718" s="752"/>
      <c r="IO1718" s="752"/>
    </row>
    <row r="1719" spans="1:249" ht="82.5">
      <c r="A1719" s="605"/>
      <c r="B1719" s="122"/>
      <c r="C1719" s="605">
        <v>3</v>
      </c>
      <c r="D1719" s="605" t="s">
        <v>34</v>
      </c>
      <c r="E1719" s="605" t="s">
        <v>39</v>
      </c>
      <c r="F1719" s="605" t="s">
        <v>25</v>
      </c>
      <c r="G1719" s="605">
        <v>17</v>
      </c>
      <c r="H1719" s="605"/>
      <c r="I1719" s="114" t="s">
        <v>167</v>
      </c>
      <c r="J1719" s="124" t="s">
        <v>1638</v>
      </c>
      <c r="K1719" s="100">
        <v>72</v>
      </c>
      <c r="L1719" s="125">
        <v>408485000</v>
      </c>
      <c r="M1719" s="104">
        <v>36</v>
      </c>
      <c r="N1719" s="125">
        <v>195159250</v>
      </c>
      <c r="O1719" s="91">
        <v>12</v>
      </c>
      <c r="P1719" s="125">
        <v>59950000</v>
      </c>
      <c r="Q1719" s="91">
        <v>3</v>
      </c>
      <c r="R1719" s="125">
        <v>13021800</v>
      </c>
      <c r="S1719" s="99">
        <v>3</v>
      </c>
      <c r="T1719" s="606">
        <v>33706200</v>
      </c>
      <c r="U1719" s="125"/>
      <c r="V1719" s="803"/>
      <c r="W1719" s="125"/>
      <c r="X1719" s="125"/>
      <c r="Y1719" s="125">
        <f t="shared" si="504"/>
        <v>6</v>
      </c>
      <c r="Z1719" s="125">
        <f t="shared" si="505"/>
        <v>46728000</v>
      </c>
      <c r="AA1719" s="1196">
        <f t="shared" si="506"/>
        <v>42</v>
      </c>
      <c r="AB1719" s="125">
        <f t="shared" si="507"/>
        <v>241887250</v>
      </c>
      <c r="AC1719" s="1196">
        <f t="shared" si="508"/>
        <v>58.333333333333336</v>
      </c>
      <c r="AD1719" s="1196">
        <f t="shared" si="509"/>
        <v>59.215699474888915</v>
      </c>
      <c r="AE1719" s="89"/>
      <c r="AF1719" s="750"/>
      <c r="AG1719" s="750"/>
      <c r="AH1719" s="750"/>
      <c r="AI1719" s="750"/>
      <c r="AJ1719" s="750"/>
      <c r="AK1719" s="750"/>
      <c r="AL1719" s="750"/>
      <c r="AM1719" s="750"/>
      <c r="AN1719" s="750"/>
      <c r="AO1719" s="750"/>
      <c r="AP1719" s="750"/>
      <c r="AQ1719" s="750"/>
      <c r="AR1719" s="750"/>
      <c r="AS1719" s="750"/>
      <c r="AT1719" s="750"/>
      <c r="AU1719" s="750"/>
      <c r="AV1719" s="750"/>
      <c r="AW1719" s="750"/>
      <c r="AX1719" s="750"/>
      <c r="AY1719" s="750"/>
      <c r="AZ1719" s="750"/>
      <c r="BA1719" s="750"/>
      <c r="BB1719" s="750"/>
      <c r="BC1719" s="752"/>
      <c r="BD1719" s="752"/>
      <c r="BE1719" s="752"/>
      <c r="BF1719" s="752"/>
      <c r="BG1719" s="752"/>
      <c r="BH1719" s="752"/>
      <c r="BI1719" s="752"/>
      <c r="BJ1719" s="752"/>
      <c r="BK1719" s="752"/>
      <c r="BL1719" s="752"/>
      <c r="BM1719" s="752"/>
      <c r="BN1719" s="752"/>
      <c r="BO1719" s="752"/>
      <c r="BP1719" s="752"/>
      <c r="BQ1719" s="752"/>
      <c r="BR1719" s="752"/>
      <c r="BS1719" s="752"/>
      <c r="BT1719" s="752"/>
      <c r="BU1719" s="752"/>
      <c r="BV1719" s="752"/>
      <c r="BW1719" s="752"/>
      <c r="BX1719" s="752"/>
      <c r="BY1719" s="752"/>
      <c r="BZ1719" s="752"/>
      <c r="CA1719" s="752"/>
      <c r="CB1719" s="752"/>
      <c r="CC1719" s="752"/>
      <c r="CD1719" s="752"/>
      <c r="CE1719" s="752"/>
      <c r="CF1719" s="752"/>
      <c r="CG1719" s="752"/>
      <c r="CH1719" s="752"/>
      <c r="CI1719" s="752"/>
      <c r="CJ1719" s="752"/>
      <c r="CK1719" s="752"/>
      <c r="CL1719" s="752"/>
      <c r="CM1719" s="752"/>
      <c r="CN1719" s="752"/>
      <c r="CO1719" s="752"/>
      <c r="CP1719" s="752"/>
      <c r="CQ1719" s="752"/>
      <c r="CR1719" s="752"/>
      <c r="CS1719" s="752"/>
      <c r="CT1719" s="752"/>
      <c r="CU1719" s="752"/>
      <c r="CV1719" s="752"/>
      <c r="CW1719" s="752"/>
      <c r="CX1719" s="752"/>
      <c r="CY1719" s="752"/>
      <c r="CZ1719" s="752"/>
      <c r="DA1719" s="752"/>
      <c r="DB1719" s="752"/>
      <c r="DC1719" s="752"/>
      <c r="DD1719" s="752"/>
      <c r="DE1719" s="752"/>
      <c r="DF1719" s="752"/>
      <c r="DG1719" s="752"/>
      <c r="DH1719" s="752"/>
      <c r="DI1719" s="752"/>
      <c r="DJ1719" s="752"/>
      <c r="DK1719" s="752"/>
      <c r="DL1719" s="752"/>
      <c r="DM1719" s="752"/>
      <c r="DN1719" s="752"/>
      <c r="DO1719" s="752"/>
      <c r="DP1719" s="752"/>
      <c r="DQ1719" s="752"/>
      <c r="DR1719" s="752"/>
      <c r="DS1719" s="752"/>
      <c r="DT1719" s="752"/>
      <c r="DU1719" s="752"/>
      <c r="DV1719" s="752"/>
      <c r="DW1719" s="752"/>
      <c r="DX1719" s="752"/>
      <c r="DY1719" s="752"/>
      <c r="DZ1719" s="752"/>
      <c r="EA1719" s="752"/>
      <c r="EB1719" s="752"/>
      <c r="EC1719" s="752"/>
      <c r="ED1719" s="752"/>
      <c r="EE1719" s="752"/>
      <c r="EF1719" s="752"/>
      <c r="EG1719" s="752"/>
      <c r="EH1719" s="752"/>
      <c r="EI1719" s="752"/>
      <c r="EJ1719" s="752"/>
      <c r="EK1719" s="752"/>
      <c r="EL1719" s="752"/>
      <c r="EM1719" s="752"/>
      <c r="EN1719" s="752"/>
      <c r="EO1719" s="752"/>
      <c r="EP1719" s="752"/>
      <c r="EQ1719" s="752"/>
      <c r="ER1719" s="752"/>
      <c r="ES1719" s="752"/>
      <c r="ET1719" s="752"/>
      <c r="EU1719" s="752"/>
      <c r="EV1719" s="752"/>
      <c r="EW1719" s="752"/>
      <c r="EX1719" s="752"/>
      <c r="EY1719" s="752"/>
      <c r="EZ1719" s="752"/>
      <c r="FA1719" s="752"/>
      <c r="FB1719" s="752"/>
      <c r="FC1719" s="752"/>
      <c r="FD1719" s="752"/>
      <c r="FE1719" s="752"/>
      <c r="FF1719" s="752"/>
      <c r="FG1719" s="752"/>
      <c r="FH1719" s="752"/>
      <c r="FI1719" s="752"/>
      <c r="FJ1719" s="752"/>
      <c r="FK1719" s="752"/>
      <c r="FL1719" s="752"/>
      <c r="FM1719" s="752"/>
      <c r="FN1719" s="752"/>
      <c r="FO1719" s="752"/>
      <c r="FP1719" s="752"/>
      <c r="FQ1719" s="752"/>
      <c r="FR1719" s="752"/>
      <c r="FS1719" s="752"/>
      <c r="FT1719" s="752"/>
      <c r="FU1719" s="752"/>
      <c r="FV1719" s="752"/>
      <c r="FW1719" s="752"/>
      <c r="FX1719" s="752"/>
      <c r="FY1719" s="752"/>
      <c r="FZ1719" s="752"/>
      <c r="GA1719" s="752"/>
      <c r="GB1719" s="752"/>
      <c r="GC1719" s="752"/>
      <c r="GD1719" s="752"/>
      <c r="GE1719" s="752"/>
      <c r="GF1719" s="752"/>
      <c r="GG1719" s="752"/>
      <c r="GH1719" s="752"/>
      <c r="GI1719" s="752"/>
      <c r="GJ1719" s="752"/>
      <c r="GK1719" s="752"/>
      <c r="GL1719" s="752"/>
      <c r="GM1719" s="752"/>
      <c r="GN1719" s="752"/>
      <c r="GO1719" s="752"/>
      <c r="GP1719" s="752"/>
      <c r="GQ1719" s="752"/>
      <c r="GR1719" s="752"/>
      <c r="GS1719" s="752"/>
      <c r="GT1719" s="752"/>
      <c r="GU1719" s="752"/>
      <c r="GV1719" s="752"/>
      <c r="GW1719" s="752"/>
      <c r="GX1719" s="752"/>
      <c r="GY1719" s="752"/>
      <c r="GZ1719" s="752"/>
      <c r="HA1719" s="752"/>
      <c r="HB1719" s="752"/>
      <c r="HC1719" s="752"/>
      <c r="HD1719" s="752"/>
      <c r="HE1719" s="752"/>
      <c r="HF1719" s="752"/>
      <c r="HG1719" s="752"/>
      <c r="HH1719" s="752"/>
      <c r="HI1719" s="752"/>
      <c r="HJ1719" s="752"/>
      <c r="HK1719" s="752"/>
      <c r="HL1719" s="752"/>
      <c r="HM1719" s="752"/>
      <c r="HN1719" s="752"/>
      <c r="HO1719" s="752"/>
      <c r="HP1719" s="752"/>
      <c r="HQ1719" s="752"/>
      <c r="HR1719" s="752"/>
      <c r="HS1719" s="752"/>
      <c r="HT1719" s="752"/>
      <c r="HU1719" s="752"/>
      <c r="HV1719" s="752"/>
      <c r="HW1719" s="752"/>
      <c r="HX1719" s="752"/>
      <c r="HY1719" s="752"/>
      <c r="HZ1719" s="752"/>
      <c r="IA1719" s="752"/>
      <c r="IB1719" s="752"/>
      <c r="IC1719" s="752"/>
      <c r="ID1719" s="752"/>
      <c r="IE1719" s="752"/>
      <c r="IF1719" s="752"/>
      <c r="IG1719" s="752"/>
      <c r="IH1719" s="752"/>
      <c r="II1719" s="752"/>
      <c r="IJ1719" s="752"/>
      <c r="IK1719" s="752"/>
      <c r="IL1719" s="752"/>
      <c r="IM1719" s="752"/>
      <c r="IN1719" s="752"/>
      <c r="IO1719" s="752"/>
    </row>
    <row r="1720" spans="1:249" ht="82.5">
      <c r="A1720" s="605"/>
      <c r="B1720" s="122"/>
      <c r="C1720" s="605">
        <v>3</v>
      </c>
      <c r="D1720" s="605" t="s">
        <v>34</v>
      </c>
      <c r="E1720" s="605" t="s">
        <v>39</v>
      </c>
      <c r="F1720" s="605" t="s">
        <v>25</v>
      </c>
      <c r="G1720" s="605">
        <v>18</v>
      </c>
      <c r="H1720" s="605"/>
      <c r="I1720" s="114" t="s">
        <v>1639</v>
      </c>
      <c r="J1720" s="124" t="s">
        <v>1640</v>
      </c>
      <c r="K1720" s="100">
        <v>72</v>
      </c>
      <c r="L1720" s="125">
        <v>1329898900</v>
      </c>
      <c r="M1720" s="104">
        <v>36</v>
      </c>
      <c r="N1720" s="125">
        <v>761776455</v>
      </c>
      <c r="O1720" s="91">
        <v>12</v>
      </c>
      <c r="P1720" s="125">
        <v>9751958500</v>
      </c>
      <c r="Q1720" s="91">
        <v>3</v>
      </c>
      <c r="R1720" s="125">
        <v>1807785706</v>
      </c>
      <c r="S1720" s="99">
        <v>3</v>
      </c>
      <c r="T1720" s="606">
        <v>3572175753</v>
      </c>
      <c r="U1720" s="125"/>
      <c r="V1720" s="803"/>
      <c r="W1720" s="125"/>
      <c r="X1720" s="125"/>
      <c r="Y1720" s="125">
        <f t="shared" si="504"/>
        <v>6</v>
      </c>
      <c r="Z1720" s="125">
        <f t="shared" si="505"/>
        <v>5379961459</v>
      </c>
      <c r="AA1720" s="1196">
        <f t="shared" si="506"/>
        <v>42</v>
      </c>
      <c r="AB1720" s="125">
        <f t="shared" si="507"/>
        <v>6141737914</v>
      </c>
      <c r="AC1720" s="1196">
        <f t="shared" si="508"/>
        <v>58.333333333333336</v>
      </c>
      <c r="AD1720" s="1196">
        <f t="shared" si="509"/>
        <v>461.81991082179252</v>
      </c>
      <c r="AE1720" s="89"/>
      <c r="AF1720" s="750"/>
      <c r="AG1720" s="750"/>
      <c r="AH1720" s="750"/>
      <c r="AI1720" s="750"/>
      <c r="AJ1720" s="750"/>
      <c r="AK1720" s="750"/>
      <c r="AL1720" s="750"/>
      <c r="AM1720" s="750"/>
      <c r="AN1720" s="750"/>
      <c r="AO1720" s="750"/>
      <c r="AP1720" s="750"/>
      <c r="AQ1720" s="750"/>
      <c r="AR1720" s="750"/>
      <c r="AS1720" s="750"/>
      <c r="AT1720" s="750"/>
      <c r="AU1720" s="750"/>
      <c r="AV1720" s="750"/>
      <c r="AW1720" s="750"/>
      <c r="AX1720" s="750"/>
      <c r="AY1720" s="750"/>
      <c r="AZ1720" s="750"/>
      <c r="BA1720" s="750"/>
      <c r="BB1720" s="750"/>
      <c r="BC1720" s="752"/>
      <c r="BD1720" s="752"/>
      <c r="BE1720" s="752"/>
      <c r="BF1720" s="752"/>
      <c r="BG1720" s="752"/>
      <c r="BH1720" s="752"/>
      <c r="BI1720" s="752"/>
      <c r="BJ1720" s="752"/>
      <c r="BK1720" s="752"/>
      <c r="BL1720" s="752"/>
      <c r="BM1720" s="752"/>
      <c r="BN1720" s="752"/>
      <c r="BO1720" s="752"/>
      <c r="BP1720" s="752"/>
      <c r="BQ1720" s="752"/>
      <c r="BR1720" s="752"/>
      <c r="BS1720" s="752"/>
      <c r="BT1720" s="752"/>
      <c r="BU1720" s="752"/>
      <c r="BV1720" s="752"/>
      <c r="BW1720" s="752"/>
      <c r="BX1720" s="752"/>
      <c r="BY1720" s="752"/>
      <c r="BZ1720" s="752"/>
      <c r="CA1720" s="752"/>
      <c r="CB1720" s="752"/>
      <c r="CC1720" s="752"/>
      <c r="CD1720" s="752"/>
      <c r="CE1720" s="752"/>
      <c r="CF1720" s="752"/>
      <c r="CG1720" s="752"/>
      <c r="CH1720" s="752"/>
      <c r="CI1720" s="752"/>
      <c r="CJ1720" s="752"/>
      <c r="CK1720" s="752"/>
      <c r="CL1720" s="752"/>
      <c r="CM1720" s="752"/>
      <c r="CN1720" s="752"/>
      <c r="CO1720" s="752"/>
      <c r="CP1720" s="752"/>
      <c r="CQ1720" s="752"/>
      <c r="CR1720" s="752"/>
      <c r="CS1720" s="752"/>
      <c r="CT1720" s="752"/>
      <c r="CU1720" s="752"/>
      <c r="CV1720" s="752"/>
      <c r="CW1720" s="752"/>
      <c r="CX1720" s="752"/>
      <c r="CY1720" s="752"/>
      <c r="CZ1720" s="752"/>
      <c r="DA1720" s="752"/>
      <c r="DB1720" s="752"/>
      <c r="DC1720" s="752"/>
      <c r="DD1720" s="752"/>
      <c r="DE1720" s="752"/>
      <c r="DF1720" s="752"/>
      <c r="DG1720" s="752"/>
      <c r="DH1720" s="752"/>
      <c r="DI1720" s="752"/>
      <c r="DJ1720" s="752"/>
      <c r="DK1720" s="752"/>
      <c r="DL1720" s="752"/>
      <c r="DM1720" s="752"/>
      <c r="DN1720" s="752"/>
      <c r="DO1720" s="752"/>
      <c r="DP1720" s="752"/>
      <c r="DQ1720" s="752"/>
      <c r="DR1720" s="752"/>
      <c r="DS1720" s="752"/>
      <c r="DT1720" s="752"/>
      <c r="DU1720" s="752"/>
      <c r="DV1720" s="752"/>
      <c r="DW1720" s="752"/>
      <c r="DX1720" s="752"/>
      <c r="DY1720" s="752"/>
      <c r="DZ1720" s="752"/>
      <c r="EA1720" s="752"/>
      <c r="EB1720" s="752"/>
      <c r="EC1720" s="752"/>
      <c r="ED1720" s="752"/>
      <c r="EE1720" s="752"/>
      <c r="EF1720" s="752"/>
      <c r="EG1720" s="752"/>
      <c r="EH1720" s="752"/>
      <c r="EI1720" s="752"/>
      <c r="EJ1720" s="752"/>
      <c r="EK1720" s="752"/>
      <c r="EL1720" s="752"/>
      <c r="EM1720" s="752"/>
      <c r="EN1720" s="752"/>
      <c r="EO1720" s="752"/>
      <c r="EP1720" s="752"/>
      <c r="EQ1720" s="752"/>
      <c r="ER1720" s="752"/>
      <c r="ES1720" s="752"/>
      <c r="ET1720" s="752"/>
      <c r="EU1720" s="752"/>
      <c r="EV1720" s="752"/>
      <c r="EW1720" s="752"/>
      <c r="EX1720" s="752"/>
      <c r="EY1720" s="752"/>
      <c r="EZ1720" s="752"/>
      <c r="FA1720" s="752"/>
      <c r="FB1720" s="752"/>
      <c r="FC1720" s="752"/>
      <c r="FD1720" s="752"/>
      <c r="FE1720" s="752"/>
      <c r="FF1720" s="752"/>
      <c r="FG1720" s="752"/>
      <c r="FH1720" s="752"/>
      <c r="FI1720" s="752"/>
      <c r="FJ1720" s="752"/>
      <c r="FK1720" s="752"/>
      <c r="FL1720" s="752"/>
      <c r="FM1720" s="752"/>
      <c r="FN1720" s="752"/>
      <c r="FO1720" s="752"/>
      <c r="FP1720" s="752"/>
      <c r="FQ1720" s="752"/>
      <c r="FR1720" s="752"/>
      <c r="FS1720" s="752"/>
      <c r="FT1720" s="752"/>
      <c r="FU1720" s="752"/>
      <c r="FV1720" s="752"/>
      <c r="FW1720" s="752"/>
      <c r="FX1720" s="752"/>
      <c r="FY1720" s="752"/>
      <c r="FZ1720" s="752"/>
      <c r="GA1720" s="752"/>
      <c r="GB1720" s="752"/>
      <c r="GC1720" s="752"/>
      <c r="GD1720" s="752"/>
      <c r="GE1720" s="752"/>
      <c r="GF1720" s="752"/>
      <c r="GG1720" s="752"/>
      <c r="GH1720" s="752"/>
      <c r="GI1720" s="752"/>
      <c r="GJ1720" s="752"/>
      <c r="GK1720" s="752"/>
      <c r="GL1720" s="752"/>
      <c r="GM1720" s="752"/>
      <c r="GN1720" s="752"/>
      <c r="GO1720" s="752"/>
      <c r="GP1720" s="752"/>
      <c r="GQ1720" s="752"/>
      <c r="GR1720" s="752"/>
      <c r="GS1720" s="752"/>
      <c r="GT1720" s="752"/>
      <c r="GU1720" s="752"/>
      <c r="GV1720" s="752"/>
      <c r="GW1720" s="752"/>
      <c r="GX1720" s="752"/>
      <c r="GY1720" s="752"/>
      <c r="GZ1720" s="752"/>
      <c r="HA1720" s="752"/>
      <c r="HB1720" s="752"/>
      <c r="HC1720" s="752"/>
      <c r="HD1720" s="752"/>
      <c r="HE1720" s="752"/>
      <c r="HF1720" s="752"/>
      <c r="HG1720" s="752"/>
      <c r="HH1720" s="752"/>
      <c r="HI1720" s="752"/>
      <c r="HJ1720" s="752"/>
      <c r="HK1720" s="752"/>
      <c r="HL1720" s="752"/>
      <c r="HM1720" s="752"/>
      <c r="HN1720" s="752"/>
      <c r="HO1720" s="752"/>
      <c r="HP1720" s="752"/>
      <c r="HQ1720" s="752"/>
      <c r="HR1720" s="752"/>
      <c r="HS1720" s="752"/>
      <c r="HT1720" s="752"/>
      <c r="HU1720" s="752"/>
      <c r="HV1720" s="752"/>
      <c r="HW1720" s="752"/>
      <c r="HX1720" s="752"/>
      <c r="HY1720" s="752"/>
      <c r="HZ1720" s="752"/>
      <c r="IA1720" s="752"/>
      <c r="IB1720" s="752"/>
      <c r="IC1720" s="752"/>
      <c r="ID1720" s="752"/>
      <c r="IE1720" s="752"/>
      <c r="IF1720" s="752"/>
      <c r="IG1720" s="752"/>
      <c r="IH1720" s="752"/>
      <c r="II1720" s="752"/>
      <c r="IJ1720" s="752"/>
      <c r="IK1720" s="752"/>
      <c r="IL1720" s="752"/>
      <c r="IM1720" s="752"/>
      <c r="IN1720" s="752"/>
      <c r="IO1720" s="752"/>
    </row>
    <row r="1721" spans="1:249" ht="99">
      <c r="A1721" s="605"/>
      <c r="B1721" s="122"/>
      <c r="C1721" s="605">
        <v>3</v>
      </c>
      <c r="D1721" s="605" t="s">
        <v>34</v>
      </c>
      <c r="E1721" s="605" t="s">
        <v>39</v>
      </c>
      <c r="F1721" s="605" t="s">
        <v>25</v>
      </c>
      <c r="G1721" s="605">
        <v>20</v>
      </c>
      <c r="H1721" s="605"/>
      <c r="I1721" s="114" t="s">
        <v>1641</v>
      </c>
      <c r="J1721" s="124" t="s">
        <v>1642</v>
      </c>
      <c r="K1721" s="100">
        <v>72</v>
      </c>
      <c r="L1721" s="125">
        <v>313189600</v>
      </c>
      <c r="M1721" s="104">
        <v>36</v>
      </c>
      <c r="N1721" s="125">
        <v>193060667</v>
      </c>
      <c r="O1721" s="91">
        <v>12</v>
      </c>
      <c r="P1721" s="125">
        <v>62112000</v>
      </c>
      <c r="Q1721" s="91">
        <v>3</v>
      </c>
      <c r="R1721" s="125">
        <v>20093750</v>
      </c>
      <c r="S1721" s="99">
        <v>3</v>
      </c>
      <c r="T1721" s="606">
        <v>53522050</v>
      </c>
      <c r="U1721" s="125"/>
      <c r="V1721" s="803"/>
      <c r="W1721" s="125"/>
      <c r="X1721" s="125"/>
      <c r="Y1721" s="125">
        <f t="shared" si="504"/>
        <v>6</v>
      </c>
      <c r="Z1721" s="125">
        <f t="shared" si="505"/>
        <v>73615800</v>
      </c>
      <c r="AA1721" s="1196">
        <f t="shared" si="506"/>
        <v>42</v>
      </c>
      <c r="AB1721" s="125">
        <f t="shared" si="507"/>
        <v>266676467</v>
      </c>
      <c r="AC1721" s="1196">
        <f t="shared" si="508"/>
        <v>58.333333333333336</v>
      </c>
      <c r="AD1721" s="1196">
        <f t="shared" si="509"/>
        <v>85.148570386756134</v>
      </c>
      <c r="AE1721" s="89"/>
      <c r="AF1721" s="750"/>
      <c r="AG1721" s="750"/>
      <c r="AH1721" s="750"/>
      <c r="AI1721" s="750"/>
      <c r="AJ1721" s="750"/>
      <c r="AK1721" s="750"/>
      <c r="AL1721" s="750"/>
      <c r="AM1721" s="750"/>
      <c r="AN1721" s="750"/>
      <c r="AO1721" s="750"/>
      <c r="AP1721" s="750"/>
      <c r="AQ1721" s="750"/>
      <c r="AR1721" s="750"/>
      <c r="AS1721" s="750"/>
      <c r="AT1721" s="750"/>
      <c r="AU1721" s="750"/>
      <c r="AV1721" s="750"/>
      <c r="AW1721" s="750"/>
      <c r="AX1721" s="750"/>
      <c r="AY1721" s="750"/>
      <c r="AZ1721" s="750"/>
      <c r="BA1721" s="750"/>
      <c r="BB1721" s="750"/>
      <c r="BC1721" s="752"/>
      <c r="BD1721" s="752"/>
      <c r="BE1721" s="752"/>
      <c r="BF1721" s="752"/>
      <c r="BG1721" s="752"/>
      <c r="BH1721" s="752"/>
      <c r="BI1721" s="752"/>
      <c r="BJ1721" s="752"/>
      <c r="BK1721" s="752"/>
      <c r="BL1721" s="752"/>
      <c r="BM1721" s="752"/>
      <c r="BN1721" s="752"/>
      <c r="BO1721" s="752"/>
      <c r="BP1721" s="752"/>
      <c r="BQ1721" s="752"/>
      <c r="BR1721" s="752"/>
      <c r="BS1721" s="752"/>
      <c r="BT1721" s="752"/>
      <c r="BU1721" s="752"/>
      <c r="BV1721" s="752"/>
      <c r="BW1721" s="752"/>
      <c r="BX1721" s="752"/>
      <c r="BY1721" s="752"/>
      <c r="BZ1721" s="752"/>
      <c r="CA1721" s="752"/>
      <c r="CB1721" s="752"/>
      <c r="CC1721" s="752"/>
      <c r="CD1721" s="752"/>
      <c r="CE1721" s="752"/>
      <c r="CF1721" s="752"/>
      <c r="CG1721" s="752"/>
      <c r="CH1721" s="752"/>
      <c r="CI1721" s="752"/>
      <c r="CJ1721" s="752"/>
      <c r="CK1721" s="752"/>
      <c r="CL1721" s="752"/>
      <c r="CM1721" s="752"/>
      <c r="CN1721" s="752"/>
      <c r="CO1721" s="752"/>
      <c r="CP1721" s="752"/>
      <c r="CQ1721" s="752"/>
      <c r="CR1721" s="752"/>
      <c r="CS1721" s="752"/>
      <c r="CT1721" s="752"/>
      <c r="CU1721" s="752"/>
      <c r="CV1721" s="752"/>
      <c r="CW1721" s="752"/>
      <c r="CX1721" s="752"/>
      <c r="CY1721" s="752"/>
      <c r="CZ1721" s="752"/>
      <c r="DA1721" s="752"/>
      <c r="DB1721" s="752"/>
      <c r="DC1721" s="752"/>
      <c r="DD1721" s="752"/>
      <c r="DE1721" s="752"/>
      <c r="DF1721" s="752"/>
      <c r="DG1721" s="752"/>
      <c r="DH1721" s="752"/>
      <c r="DI1721" s="752"/>
      <c r="DJ1721" s="752"/>
      <c r="DK1721" s="752"/>
      <c r="DL1721" s="752"/>
      <c r="DM1721" s="752"/>
      <c r="DN1721" s="752"/>
      <c r="DO1721" s="752"/>
      <c r="DP1721" s="752"/>
      <c r="DQ1721" s="752"/>
      <c r="DR1721" s="752"/>
      <c r="DS1721" s="752"/>
      <c r="DT1721" s="752"/>
      <c r="DU1721" s="752"/>
      <c r="DV1721" s="752"/>
      <c r="DW1721" s="752"/>
      <c r="DX1721" s="752"/>
      <c r="DY1721" s="752"/>
      <c r="DZ1721" s="752"/>
      <c r="EA1721" s="752"/>
      <c r="EB1721" s="752"/>
      <c r="EC1721" s="752"/>
      <c r="ED1721" s="752"/>
      <c r="EE1721" s="752"/>
      <c r="EF1721" s="752"/>
      <c r="EG1721" s="752"/>
      <c r="EH1721" s="752"/>
      <c r="EI1721" s="752"/>
      <c r="EJ1721" s="752"/>
      <c r="EK1721" s="752"/>
      <c r="EL1721" s="752"/>
      <c r="EM1721" s="752"/>
      <c r="EN1721" s="752"/>
      <c r="EO1721" s="752"/>
      <c r="EP1721" s="752"/>
      <c r="EQ1721" s="752"/>
      <c r="ER1721" s="752"/>
      <c r="ES1721" s="752"/>
      <c r="ET1721" s="752"/>
      <c r="EU1721" s="752"/>
      <c r="EV1721" s="752"/>
      <c r="EW1721" s="752"/>
      <c r="EX1721" s="752"/>
      <c r="EY1721" s="752"/>
      <c r="EZ1721" s="752"/>
      <c r="FA1721" s="752"/>
      <c r="FB1721" s="752"/>
      <c r="FC1721" s="752"/>
      <c r="FD1721" s="752"/>
      <c r="FE1721" s="752"/>
      <c r="FF1721" s="752"/>
      <c r="FG1721" s="752"/>
      <c r="FH1721" s="752"/>
      <c r="FI1721" s="752"/>
      <c r="FJ1721" s="752"/>
      <c r="FK1721" s="752"/>
      <c r="FL1721" s="752"/>
      <c r="FM1721" s="752"/>
      <c r="FN1721" s="752"/>
      <c r="FO1721" s="752"/>
      <c r="FP1721" s="752"/>
      <c r="FQ1721" s="752"/>
      <c r="FR1721" s="752"/>
      <c r="FS1721" s="752"/>
      <c r="FT1721" s="752"/>
      <c r="FU1721" s="752"/>
      <c r="FV1721" s="752"/>
      <c r="FW1721" s="752"/>
      <c r="FX1721" s="752"/>
      <c r="FY1721" s="752"/>
      <c r="FZ1721" s="752"/>
      <c r="GA1721" s="752"/>
      <c r="GB1721" s="752"/>
      <c r="GC1721" s="752"/>
      <c r="GD1721" s="752"/>
      <c r="GE1721" s="752"/>
      <c r="GF1721" s="752"/>
      <c r="GG1721" s="752"/>
      <c r="GH1721" s="752"/>
      <c r="GI1721" s="752"/>
      <c r="GJ1721" s="752"/>
      <c r="GK1721" s="752"/>
      <c r="GL1721" s="752"/>
      <c r="GM1721" s="752"/>
      <c r="GN1721" s="752"/>
      <c r="GO1721" s="752"/>
      <c r="GP1721" s="752"/>
      <c r="GQ1721" s="752"/>
      <c r="GR1721" s="752"/>
      <c r="GS1721" s="752"/>
      <c r="GT1721" s="752"/>
      <c r="GU1721" s="752"/>
      <c r="GV1721" s="752"/>
      <c r="GW1721" s="752"/>
      <c r="GX1721" s="752"/>
      <c r="GY1721" s="752"/>
      <c r="GZ1721" s="752"/>
      <c r="HA1721" s="752"/>
      <c r="HB1721" s="752"/>
      <c r="HC1721" s="752"/>
      <c r="HD1721" s="752"/>
      <c r="HE1721" s="752"/>
      <c r="HF1721" s="752"/>
      <c r="HG1721" s="752"/>
      <c r="HH1721" s="752"/>
      <c r="HI1721" s="752"/>
      <c r="HJ1721" s="752"/>
      <c r="HK1721" s="752"/>
      <c r="HL1721" s="752"/>
      <c r="HM1721" s="752"/>
      <c r="HN1721" s="752"/>
      <c r="HO1721" s="752"/>
      <c r="HP1721" s="752"/>
      <c r="HQ1721" s="752"/>
      <c r="HR1721" s="752"/>
      <c r="HS1721" s="752"/>
      <c r="HT1721" s="752"/>
      <c r="HU1721" s="752"/>
      <c r="HV1721" s="752"/>
      <c r="HW1721" s="752"/>
      <c r="HX1721" s="752"/>
      <c r="HY1721" s="752"/>
      <c r="HZ1721" s="752"/>
      <c r="IA1721" s="752"/>
      <c r="IB1721" s="752"/>
      <c r="IC1721" s="752"/>
      <c r="ID1721" s="752"/>
      <c r="IE1721" s="752"/>
      <c r="IF1721" s="752"/>
      <c r="IG1721" s="752"/>
      <c r="IH1721" s="752"/>
      <c r="II1721" s="752"/>
      <c r="IJ1721" s="752"/>
      <c r="IK1721" s="752"/>
      <c r="IL1721" s="752"/>
      <c r="IM1721" s="752"/>
      <c r="IN1721" s="752"/>
      <c r="IO1721" s="752"/>
    </row>
    <row r="1722" spans="1:249" ht="99">
      <c r="A1722" s="605"/>
      <c r="B1722" s="122"/>
      <c r="C1722" s="605">
        <v>3</v>
      </c>
      <c r="D1722" s="605" t="s">
        <v>34</v>
      </c>
      <c r="E1722" s="605" t="s">
        <v>39</v>
      </c>
      <c r="F1722" s="605" t="s">
        <v>25</v>
      </c>
      <c r="G1722" s="605">
        <v>22</v>
      </c>
      <c r="H1722" s="605"/>
      <c r="I1722" s="114" t="s">
        <v>424</v>
      </c>
      <c r="J1722" s="124" t="s">
        <v>3208</v>
      </c>
      <c r="K1722" s="100">
        <v>48</v>
      </c>
      <c r="L1722" s="125">
        <v>582652133</v>
      </c>
      <c r="M1722" s="104">
        <v>24</v>
      </c>
      <c r="N1722" s="125">
        <v>142053779</v>
      </c>
      <c r="O1722" s="91">
        <v>12</v>
      </c>
      <c r="P1722" s="125"/>
      <c r="Q1722" s="91">
        <v>0</v>
      </c>
      <c r="R1722" s="125">
        <v>0</v>
      </c>
      <c r="S1722" s="99">
        <v>0</v>
      </c>
      <c r="T1722" s="606">
        <v>0</v>
      </c>
      <c r="U1722" s="125"/>
      <c r="V1722" s="803"/>
      <c r="W1722" s="125"/>
      <c r="X1722" s="125"/>
      <c r="Y1722" s="125">
        <f t="shared" si="504"/>
        <v>0</v>
      </c>
      <c r="Z1722" s="125">
        <f t="shared" si="505"/>
        <v>0</v>
      </c>
      <c r="AA1722" s="1196">
        <f t="shared" si="506"/>
        <v>24</v>
      </c>
      <c r="AB1722" s="125">
        <f t="shared" si="507"/>
        <v>142053779</v>
      </c>
      <c r="AC1722" s="1196">
        <f t="shared" si="508"/>
        <v>50</v>
      </c>
      <c r="AD1722" s="1196">
        <f t="shared" si="509"/>
        <v>24.38054732050556</v>
      </c>
      <c r="AE1722" s="89"/>
      <c r="AF1722" s="750"/>
      <c r="AG1722" s="750"/>
      <c r="AH1722" s="750"/>
      <c r="AI1722" s="750"/>
      <c r="AJ1722" s="750"/>
      <c r="AK1722" s="750"/>
      <c r="AL1722" s="750"/>
      <c r="AM1722" s="750"/>
      <c r="AN1722" s="750"/>
      <c r="AO1722" s="750"/>
      <c r="AP1722" s="750"/>
      <c r="AQ1722" s="750"/>
      <c r="AR1722" s="750"/>
      <c r="AS1722" s="750"/>
      <c r="AT1722" s="750"/>
      <c r="AU1722" s="750"/>
      <c r="AV1722" s="750"/>
      <c r="AW1722" s="750"/>
      <c r="AX1722" s="750"/>
      <c r="AY1722" s="750"/>
      <c r="AZ1722" s="750"/>
      <c r="BA1722" s="750"/>
      <c r="BB1722" s="750"/>
      <c r="BC1722" s="752"/>
      <c r="BD1722" s="752"/>
      <c r="BE1722" s="752"/>
      <c r="BF1722" s="752"/>
      <c r="BG1722" s="752"/>
      <c r="BH1722" s="752"/>
      <c r="BI1722" s="752"/>
      <c r="BJ1722" s="752"/>
      <c r="BK1722" s="752"/>
      <c r="BL1722" s="752"/>
      <c r="BM1722" s="752"/>
      <c r="BN1722" s="752"/>
      <c r="BO1722" s="752"/>
      <c r="BP1722" s="752"/>
      <c r="BQ1722" s="752"/>
      <c r="BR1722" s="752"/>
      <c r="BS1722" s="752"/>
      <c r="BT1722" s="752"/>
      <c r="BU1722" s="752"/>
      <c r="BV1722" s="752"/>
      <c r="BW1722" s="752"/>
      <c r="BX1722" s="752"/>
      <c r="BY1722" s="752"/>
      <c r="BZ1722" s="752"/>
      <c r="CA1722" s="752"/>
      <c r="CB1722" s="752"/>
      <c r="CC1722" s="752"/>
      <c r="CD1722" s="752"/>
      <c r="CE1722" s="752"/>
      <c r="CF1722" s="752"/>
      <c r="CG1722" s="752"/>
      <c r="CH1722" s="752"/>
      <c r="CI1722" s="752"/>
      <c r="CJ1722" s="752"/>
      <c r="CK1722" s="752"/>
      <c r="CL1722" s="752"/>
      <c r="CM1722" s="752"/>
      <c r="CN1722" s="752"/>
      <c r="CO1722" s="752"/>
      <c r="CP1722" s="752"/>
      <c r="CQ1722" s="752"/>
      <c r="CR1722" s="752"/>
      <c r="CS1722" s="752"/>
      <c r="CT1722" s="752"/>
      <c r="CU1722" s="752"/>
      <c r="CV1722" s="752"/>
      <c r="CW1722" s="752"/>
      <c r="CX1722" s="752"/>
      <c r="CY1722" s="752"/>
      <c r="CZ1722" s="752"/>
      <c r="DA1722" s="752"/>
      <c r="DB1722" s="752"/>
      <c r="DC1722" s="752"/>
      <c r="DD1722" s="752"/>
      <c r="DE1722" s="752"/>
      <c r="DF1722" s="752"/>
      <c r="DG1722" s="752"/>
      <c r="DH1722" s="752"/>
      <c r="DI1722" s="752"/>
      <c r="DJ1722" s="752"/>
      <c r="DK1722" s="752"/>
      <c r="DL1722" s="752"/>
      <c r="DM1722" s="752"/>
      <c r="DN1722" s="752"/>
      <c r="DO1722" s="752"/>
      <c r="DP1722" s="752"/>
      <c r="DQ1722" s="752"/>
      <c r="DR1722" s="752"/>
      <c r="DS1722" s="752"/>
      <c r="DT1722" s="752"/>
      <c r="DU1722" s="752"/>
      <c r="DV1722" s="752"/>
      <c r="DW1722" s="752"/>
      <c r="DX1722" s="752"/>
      <c r="DY1722" s="752"/>
      <c r="DZ1722" s="752"/>
      <c r="EA1722" s="752"/>
      <c r="EB1722" s="752"/>
      <c r="EC1722" s="752"/>
      <c r="ED1722" s="752"/>
      <c r="EE1722" s="752"/>
      <c r="EF1722" s="752"/>
      <c r="EG1722" s="752"/>
      <c r="EH1722" s="752"/>
      <c r="EI1722" s="752"/>
      <c r="EJ1722" s="752"/>
      <c r="EK1722" s="752"/>
      <c r="EL1722" s="752"/>
      <c r="EM1722" s="752"/>
      <c r="EN1722" s="752"/>
      <c r="EO1722" s="752"/>
      <c r="EP1722" s="752"/>
      <c r="EQ1722" s="752"/>
      <c r="ER1722" s="752"/>
      <c r="ES1722" s="752"/>
      <c r="ET1722" s="752"/>
      <c r="EU1722" s="752"/>
      <c r="EV1722" s="752"/>
      <c r="EW1722" s="752"/>
      <c r="EX1722" s="752"/>
      <c r="EY1722" s="752"/>
      <c r="EZ1722" s="752"/>
      <c r="FA1722" s="752"/>
      <c r="FB1722" s="752"/>
      <c r="FC1722" s="752"/>
      <c r="FD1722" s="752"/>
      <c r="FE1722" s="752"/>
      <c r="FF1722" s="752"/>
      <c r="FG1722" s="752"/>
      <c r="FH1722" s="752"/>
      <c r="FI1722" s="752"/>
      <c r="FJ1722" s="752"/>
      <c r="FK1722" s="752"/>
      <c r="FL1722" s="752"/>
      <c r="FM1722" s="752"/>
      <c r="FN1722" s="752"/>
      <c r="FO1722" s="752"/>
      <c r="FP1722" s="752"/>
      <c r="FQ1722" s="752"/>
      <c r="FR1722" s="752"/>
      <c r="FS1722" s="752"/>
      <c r="FT1722" s="752"/>
      <c r="FU1722" s="752"/>
      <c r="FV1722" s="752"/>
      <c r="FW1722" s="752"/>
      <c r="FX1722" s="752"/>
      <c r="FY1722" s="752"/>
      <c r="FZ1722" s="752"/>
      <c r="GA1722" s="752"/>
      <c r="GB1722" s="752"/>
      <c r="GC1722" s="752"/>
      <c r="GD1722" s="752"/>
      <c r="GE1722" s="752"/>
      <c r="GF1722" s="752"/>
      <c r="GG1722" s="752"/>
      <c r="GH1722" s="752"/>
      <c r="GI1722" s="752"/>
      <c r="GJ1722" s="752"/>
      <c r="GK1722" s="752"/>
      <c r="GL1722" s="752"/>
      <c r="GM1722" s="752"/>
      <c r="GN1722" s="752"/>
      <c r="GO1722" s="752"/>
      <c r="GP1722" s="752"/>
      <c r="GQ1722" s="752"/>
      <c r="GR1722" s="752"/>
      <c r="GS1722" s="752"/>
      <c r="GT1722" s="752"/>
      <c r="GU1722" s="752"/>
      <c r="GV1722" s="752"/>
      <c r="GW1722" s="752"/>
      <c r="GX1722" s="752"/>
      <c r="GY1722" s="752"/>
      <c r="GZ1722" s="752"/>
      <c r="HA1722" s="752"/>
      <c r="HB1722" s="752"/>
      <c r="HC1722" s="752"/>
      <c r="HD1722" s="752"/>
      <c r="HE1722" s="752"/>
      <c r="HF1722" s="752"/>
      <c r="HG1722" s="752"/>
      <c r="HH1722" s="752"/>
      <c r="HI1722" s="752"/>
      <c r="HJ1722" s="752"/>
      <c r="HK1722" s="752"/>
      <c r="HL1722" s="752"/>
      <c r="HM1722" s="752"/>
      <c r="HN1722" s="752"/>
      <c r="HO1722" s="752"/>
      <c r="HP1722" s="752"/>
      <c r="HQ1722" s="752"/>
      <c r="HR1722" s="752"/>
      <c r="HS1722" s="752"/>
      <c r="HT1722" s="752"/>
      <c r="HU1722" s="752"/>
      <c r="HV1722" s="752"/>
      <c r="HW1722" s="752"/>
      <c r="HX1722" s="752"/>
      <c r="HY1722" s="752"/>
      <c r="HZ1722" s="752"/>
      <c r="IA1722" s="752"/>
      <c r="IB1722" s="752"/>
      <c r="IC1722" s="752"/>
      <c r="ID1722" s="752"/>
      <c r="IE1722" s="752"/>
      <c r="IF1722" s="752"/>
      <c r="IG1722" s="752"/>
      <c r="IH1722" s="752"/>
      <c r="II1722" s="752"/>
      <c r="IJ1722" s="752"/>
      <c r="IK1722" s="752"/>
      <c r="IL1722" s="752"/>
      <c r="IM1722" s="752"/>
      <c r="IN1722" s="752"/>
      <c r="IO1722" s="752"/>
    </row>
    <row r="1723" spans="1:249" ht="33">
      <c r="A1723" s="605"/>
      <c r="B1723" s="122"/>
      <c r="C1723" s="605"/>
      <c r="D1723" s="605"/>
      <c r="E1723" s="605"/>
      <c r="F1723" s="605"/>
      <c r="G1723" s="605"/>
      <c r="H1723" s="605"/>
      <c r="I1723" s="114" t="s">
        <v>1643</v>
      </c>
      <c r="J1723" s="124" t="s">
        <v>1644</v>
      </c>
      <c r="K1723" s="100">
        <v>1</v>
      </c>
      <c r="L1723" s="125">
        <f>N1723</f>
        <v>20584500</v>
      </c>
      <c r="M1723" s="104">
        <v>1</v>
      </c>
      <c r="N1723" s="125">
        <v>20584500</v>
      </c>
      <c r="O1723" s="91">
        <v>1</v>
      </c>
      <c r="P1723" s="125">
        <v>0</v>
      </c>
      <c r="Q1723" s="91">
        <v>0</v>
      </c>
      <c r="R1723" s="125">
        <v>0</v>
      </c>
      <c r="S1723" s="99">
        <v>0</v>
      </c>
      <c r="T1723" s="606">
        <v>0</v>
      </c>
      <c r="U1723" s="125"/>
      <c r="V1723" s="803"/>
      <c r="W1723" s="125"/>
      <c r="X1723" s="125"/>
      <c r="Y1723" s="125">
        <f t="shared" si="504"/>
        <v>0</v>
      </c>
      <c r="Z1723" s="125">
        <f t="shared" si="505"/>
        <v>0</v>
      </c>
      <c r="AA1723" s="1196">
        <f t="shared" si="506"/>
        <v>1</v>
      </c>
      <c r="AB1723" s="125">
        <f t="shared" si="507"/>
        <v>20584500</v>
      </c>
      <c r="AC1723" s="1196">
        <f t="shared" si="508"/>
        <v>100</v>
      </c>
      <c r="AD1723" s="1196">
        <f t="shared" si="509"/>
        <v>100</v>
      </c>
      <c r="AE1723" s="89"/>
      <c r="AF1723" s="750"/>
      <c r="AG1723" s="750"/>
      <c r="AH1723" s="750"/>
      <c r="AI1723" s="750"/>
      <c r="AJ1723" s="750"/>
      <c r="AK1723" s="750"/>
      <c r="AL1723" s="750"/>
      <c r="AM1723" s="750"/>
      <c r="AN1723" s="750"/>
      <c r="AO1723" s="750"/>
      <c r="AP1723" s="750"/>
      <c r="AQ1723" s="750"/>
      <c r="AR1723" s="750"/>
      <c r="AS1723" s="750"/>
      <c r="AT1723" s="750"/>
      <c r="AU1723" s="750"/>
      <c r="AV1723" s="750"/>
      <c r="AW1723" s="750"/>
      <c r="AX1723" s="750"/>
      <c r="AY1723" s="750"/>
      <c r="AZ1723" s="750"/>
      <c r="BA1723" s="750"/>
      <c r="BB1723" s="750"/>
      <c r="BC1723" s="752"/>
      <c r="BD1723" s="752"/>
      <c r="BE1723" s="752"/>
      <c r="BF1723" s="752"/>
      <c r="BG1723" s="752"/>
      <c r="BH1723" s="752"/>
      <c r="BI1723" s="752"/>
      <c r="BJ1723" s="752"/>
      <c r="BK1723" s="752"/>
      <c r="BL1723" s="752"/>
      <c r="BM1723" s="752"/>
      <c r="BN1723" s="752"/>
      <c r="BO1723" s="752"/>
      <c r="BP1723" s="752"/>
      <c r="BQ1723" s="752"/>
      <c r="BR1723" s="752"/>
      <c r="BS1723" s="752"/>
      <c r="BT1723" s="752"/>
      <c r="BU1723" s="752"/>
      <c r="BV1723" s="752"/>
      <c r="BW1723" s="752"/>
      <c r="BX1723" s="752"/>
      <c r="BY1723" s="752"/>
      <c r="BZ1723" s="752"/>
      <c r="CA1723" s="752"/>
      <c r="CB1723" s="752"/>
      <c r="CC1723" s="752"/>
      <c r="CD1723" s="752"/>
      <c r="CE1723" s="752"/>
      <c r="CF1723" s="752"/>
      <c r="CG1723" s="752"/>
      <c r="CH1723" s="752"/>
      <c r="CI1723" s="752"/>
      <c r="CJ1723" s="752"/>
      <c r="CK1723" s="752"/>
      <c r="CL1723" s="752"/>
      <c r="CM1723" s="752"/>
      <c r="CN1723" s="752"/>
      <c r="CO1723" s="752"/>
      <c r="CP1723" s="752"/>
      <c r="CQ1723" s="752"/>
      <c r="CR1723" s="752"/>
      <c r="CS1723" s="752"/>
      <c r="CT1723" s="752"/>
      <c r="CU1723" s="752"/>
      <c r="CV1723" s="752"/>
      <c r="CW1723" s="752"/>
      <c r="CX1723" s="752"/>
      <c r="CY1723" s="752"/>
      <c r="CZ1723" s="752"/>
      <c r="DA1723" s="752"/>
      <c r="DB1723" s="752"/>
      <c r="DC1723" s="752"/>
      <c r="DD1723" s="752"/>
      <c r="DE1723" s="752"/>
      <c r="DF1723" s="752"/>
      <c r="DG1723" s="752"/>
      <c r="DH1723" s="752"/>
      <c r="DI1723" s="752"/>
      <c r="DJ1723" s="752"/>
      <c r="DK1723" s="752"/>
      <c r="DL1723" s="752"/>
      <c r="DM1723" s="752"/>
      <c r="DN1723" s="752"/>
      <c r="DO1723" s="752"/>
      <c r="DP1723" s="752"/>
      <c r="DQ1723" s="752"/>
      <c r="DR1723" s="752"/>
      <c r="DS1723" s="752"/>
      <c r="DT1723" s="752"/>
      <c r="DU1723" s="752"/>
      <c r="DV1723" s="752"/>
      <c r="DW1723" s="752"/>
      <c r="DX1723" s="752"/>
      <c r="DY1723" s="752"/>
      <c r="DZ1723" s="752"/>
      <c r="EA1723" s="752"/>
      <c r="EB1723" s="752"/>
      <c r="EC1723" s="752"/>
      <c r="ED1723" s="752"/>
      <c r="EE1723" s="752"/>
      <c r="EF1723" s="752"/>
      <c r="EG1723" s="752"/>
      <c r="EH1723" s="752"/>
      <c r="EI1723" s="752"/>
      <c r="EJ1723" s="752"/>
      <c r="EK1723" s="752"/>
      <c r="EL1723" s="752"/>
      <c r="EM1723" s="752"/>
      <c r="EN1723" s="752"/>
      <c r="EO1723" s="752"/>
      <c r="EP1723" s="752"/>
      <c r="EQ1723" s="752"/>
      <c r="ER1723" s="752"/>
      <c r="ES1723" s="752"/>
      <c r="ET1723" s="752"/>
      <c r="EU1723" s="752"/>
      <c r="EV1723" s="752"/>
      <c r="EW1723" s="752"/>
      <c r="EX1723" s="752"/>
      <c r="EY1723" s="752"/>
      <c r="EZ1723" s="752"/>
      <c r="FA1723" s="752"/>
      <c r="FB1723" s="752"/>
      <c r="FC1723" s="752"/>
      <c r="FD1723" s="752"/>
      <c r="FE1723" s="752"/>
      <c r="FF1723" s="752"/>
      <c r="FG1723" s="752"/>
      <c r="FH1723" s="752"/>
      <c r="FI1723" s="752"/>
      <c r="FJ1723" s="752"/>
      <c r="FK1723" s="752"/>
      <c r="FL1723" s="752"/>
      <c r="FM1723" s="752"/>
      <c r="FN1723" s="752"/>
      <c r="FO1723" s="752"/>
      <c r="FP1723" s="752"/>
      <c r="FQ1723" s="752"/>
      <c r="FR1723" s="752"/>
      <c r="FS1723" s="752"/>
      <c r="FT1723" s="752"/>
      <c r="FU1723" s="752"/>
      <c r="FV1723" s="752"/>
      <c r="FW1723" s="752"/>
      <c r="FX1723" s="752"/>
      <c r="FY1723" s="752"/>
      <c r="FZ1723" s="752"/>
      <c r="GA1723" s="752"/>
      <c r="GB1723" s="752"/>
      <c r="GC1723" s="752"/>
      <c r="GD1723" s="752"/>
      <c r="GE1723" s="752"/>
      <c r="GF1723" s="752"/>
      <c r="GG1723" s="752"/>
      <c r="GH1723" s="752"/>
      <c r="GI1723" s="752"/>
      <c r="GJ1723" s="752"/>
      <c r="GK1723" s="752"/>
      <c r="GL1723" s="752"/>
      <c r="GM1723" s="752"/>
      <c r="GN1723" s="752"/>
      <c r="GO1723" s="752"/>
      <c r="GP1723" s="752"/>
      <c r="GQ1723" s="752"/>
      <c r="GR1723" s="752"/>
      <c r="GS1723" s="752"/>
      <c r="GT1723" s="752"/>
      <c r="GU1723" s="752"/>
      <c r="GV1723" s="752"/>
      <c r="GW1723" s="752"/>
      <c r="GX1723" s="752"/>
      <c r="GY1723" s="752"/>
      <c r="GZ1723" s="752"/>
      <c r="HA1723" s="752"/>
      <c r="HB1723" s="752"/>
      <c r="HC1723" s="752"/>
      <c r="HD1723" s="752"/>
      <c r="HE1723" s="752"/>
      <c r="HF1723" s="752"/>
      <c r="HG1723" s="752"/>
      <c r="HH1723" s="752"/>
      <c r="HI1723" s="752"/>
      <c r="HJ1723" s="752"/>
      <c r="HK1723" s="752"/>
      <c r="HL1723" s="752"/>
      <c r="HM1723" s="752"/>
      <c r="HN1723" s="752"/>
      <c r="HO1723" s="752"/>
      <c r="HP1723" s="752"/>
      <c r="HQ1723" s="752"/>
      <c r="HR1723" s="752"/>
      <c r="HS1723" s="752"/>
      <c r="HT1723" s="752"/>
      <c r="HU1723" s="752"/>
      <c r="HV1723" s="752"/>
      <c r="HW1723" s="752"/>
      <c r="HX1723" s="752"/>
      <c r="HY1723" s="752"/>
      <c r="HZ1723" s="752"/>
      <c r="IA1723" s="752"/>
      <c r="IB1723" s="752"/>
      <c r="IC1723" s="752"/>
      <c r="ID1723" s="752"/>
      <c r="IE1723" s="752"/>
      <c r="IF1723" s="752"/>
      <c r="IG1723" s="752"/>
      <c r="IH1723" s="752"/>
      <c r="II1723" s="752"/>
      <c r="IJ1723" s="752"/>
      <c r="IK1723" s="752"/>
      <c r="IL1723" s="752"/>
      <c r="IM1723" s="752"/>
      <c r="IN1723" s="752"/>
      <c r="IO1723" s="752"/>
    </row>
    <row r="1724" spans="1:249" ht="66">
      <c r="A1724" s="303">
        <v>2</v>
      </c>
      <c r="B1724" s="545"/>
      <c r="C1724" s="303">
        <v>3</v>
      </c>
      <c r="D1724" s="303" t="s">
        <v>34</v>
      </c>
      <c r="E1724" s="303" t="s">
        <v>39</v>
      </c>
      <c r="F1724" s="303" t="s">
        <v>28</v>
      </c>
      <c r="G1724" s="989"/>
      <c r="H1724" s="989"/>
      <c r="I1724" s="142" t="s">
        <v>1645</v>
      </c>
      <c r="J1724" s="46" t="s">
        <v>3209</v>
      </c>
      <c r="K1724" s="975">
        <v>72</v>
      </c>
      <c r="L1724" s="230">
        <f>SUM(L1725:L1731)</f>
        <v>17905015886</v>
      </c>
      <c r="M1724" s="135">
        <v>24</v>
      </c>
      <c r="N1724" s="160">
        <f>SUM(N1725:N1731)</f>
        <v>8219738327</v>
      </c>
      <c r="O1724" s="149">
        <v>12</v>
      </c>
      <c r="P1724" s="230">
        <f>SUM(P1725:P1731)</f>
        <v>1183870955</v>
      </c>
      <c r="Q1724" s="149">
        <v>3</v>
      </c>
      <c r="R1724" s="230">
        <f>SUM(R1725:R1731)</f>
        <v>456378440</v>
      </c>
      <c r="S1724" s="230"/>
      <c r="T1724" s="230">
        <f>SUM(T1725:T1731)</f>
        <v>665378757</v>
      </c>
      <c r="U1724" s="230"/>
      <c r="V1724" s="801"/>
      <c r="W1724" s="230"/>
      <c r="X1724" s="230"/>
      <c r="Y1724" s="230">
        <f t="shared" si="504"/>
        <v>3</v>
      </c>
      <c r="Z1724" s="230">
        <f t="shared" si="505"/>
        <v>1121757197</v>
      </c>
      <c r="AA1724" s="292">
        <f t="shared" si="506"/>
        <v>27</v>
      </c>
      <c r="AB1724" s="230">
        <f t="shared" si="507"/>
        <v>9341495524</v>
      </c>
      <c r="AC1724" s="292">
        <f t="shared" si="508"/>
        <v>37.5</v>
      </c>
      <c r="AD1724" s="292">
        <f t="shared" si="509"/>
        <v>52.17250620427626</v>
      </c>
      <c r="AE1724" s="2558" t="s">
        <v>228</v>
      </c>
      <c r="AF1724" s="750"/>
      <c r="AG1724" s="750"/>
      <c r="AH1724" s="750"/>
      <c r="AI1724" s="750"/>
      <c r="AJ1724" s="750"/>
      <c r="AK1724" s="750"/>
      <c r="AL1724" s="750"/>
      <c r="AM1724" s="750"/>
      <c r="AN1724" s="750"/>
      <c r="AO1724" s="750"/>
      <c r="AP1724" s="750"/>
      <c r="AQ1724" s="750"/>
      <c r="AR1724" s="750"/>
      <c r="AS1724" s="750"/>
      <c r="AT1724" s="750"/>
      <c r="AU1724" s="750"/>
      <c r="AV1724" s="750"/>
      <c r="AW1724" s="750"/>
      <c r="AX1724" s="750"/>
      <c r="AY1724" s="750"/>
      <c r="AZ1724" s="750"/>
      <c r="BA1724" s="750"/>
      <c r="BB1724" s="750"/>
      <c r="BC1724" s="752"/>
      <c r="BD1724" s="752"/>
      <c r="BE1724" s="752"/>
      <c r="BF1724" s="752"/>
      <c r="BG1724" s="752"/>
      <c r="BH1724" s="752"/>
      <c r="BI1724" s="752"/>
      <c r="BJ1724" s="752"/>
      <c r="BK1724" s="752"/>
      <c r="BL1724" s="752"/>
      <c r="BM1724" s="752"/>
      <c r="BN1724" s="752"/>
      <c r="BO1724" s="752"/>
      <c r="BP1724" s="752"/>
      <c r="BQ1724" s="752"/>
      <c r="BR1724" s="752"/>
      <c r="BS1724" s="752"/>
      <c r="BT1724" s="752"/>
      <c r="BU1724" s="752"/>
      <c r="BV1724" s="752"/>
      <c r="BW1724" s="752"/>
      <c r="BX1724" s="752"/>
      <c r="BY1724" s="752"/>
      <c r="BZ1724" s="752"/>
      <c r="CA1724" s="752"/>
      <c r="CB1724" s="752"/>
      <c r="CC1724" s="752"/>
      <c r="CD1724" s="752"/>
      <c r="CE1724" s="752"/>
      <c r="CF1724" s="752"/>
      <c r="CG1724" s="752"/>
      <c r="CH1724" s="752"/>
      <c r="CI1724" s="752"/>
      <c r="CJ1724" s="752"/>
      <c r="CK1724" s="752"/>
      <c r="CL1724" s="752"/>
      <c r="CM1724" s="752"/>
      <c r="CN1724" s="752"/>
      <c r="CO1724" s="752"/>
      <c r="CP1724" s="752"/>
      <c r="CQ1724" s="752"/>
      <c r="CR1724" s="752"/>
      <c r="CS1724" s="752"/>
      <c r="CT1724" s="752"/>
      <c r="CU1724" s="752"/>
      <c r="CV1724" s="752"/>
      <c r="CW1724" s="752"/>
      <c r="CX1724" s="752"/>
      <c r="CY1724" s="752"/>
      <c r="CZ1724" s="752"/>
      <c r="DA1724" s="752"/>
      <c r="DB1724" s="752"/>
      <c r="DC1724" s="752"/>
      <c r="DD1724" s="752"/>
      <c r="DE1724" s="752"/>
      <c r="DF1724" s="752"/>
      <c r="DG1724" s="752"/>
      <c r="DH1724" s="752"/>
      <c r="DI1724" s="752"/>
      <c r="DJ1724" s="752"/>
      <c r="DK1724" s="752"/>
      <c r="DL1724" s="752"/>
      <c r="DM1724" s="752"/>
      <c r="DN1724" s="752"/>
      <c r="DO1724" s="752"/>
      <c r="DP1724" s="752"/>
      <c r="DQ1724" s="752"/>
      <c r="DR1724" s="752"/>
      <c r="DS1724" s="752"/>
      <c r="DT1724" s="752"/>
      <c r="DU1724" s="752"/>
      <c r="DV1724" s="752"/>
      <c r="DW1724" s="752"/>
      <c r="DX1724" s="752"/>
      <c r="DY1724" s="752"/>
      <c r="DZ1724" s="752"/>
      <c r="EA1724" s="752"/>
      <c r="EB1724" s="752"/>
      <c r="EC1724" s="752"/>
      <c r="ED1724" s="752"/>
      <c r="EE1724" s="752"/>
      <c r="EF1724" s="752"/>
      <c r="EG1724" s="752"/>
      <c r="EH1724" s="752"/>
      <c r="EI1724" s="752"/>
      <c r="EJ1724" s="752"/>
      <c r="EK1724" s="752"/>
      <c r="EL1724" s="752"/>
      <c r="EM1724" s="752"/>
      <c r="EN1724" s="752"/>
      <c r="EO1724" s="752"/>
      <c r="EP1724" s="752"/>
      <c r="EQ1724" s="752"/>
      <c r="ER1724" s="752"/>
      <c r="ES1724" s="752"/>
      <c r="ET1724" s="752"/>
      <c r="EU1724" s="752"/>
      <c r="EV1724" s="752"/>
      <c r="EW1724" s="752"/>
      <c r="EX1724" s="752"/>
      <c r="EY1724" s="752"/>
      <c r="EZ1724" s="752"/>
      <c r="FA1724" s="752"/>
      <c r="FB1724" s="752"/>
      <c r="FC1724" s="752"/>
      <c r="FD1724" s="752"/>
      <c r="FE1724" s="752"/>
      <c r="FF1724" s="752"/>
      <c r="FG1724" s="752"/>
      <c r="FH1724" s="752"/>
      <c r="FI1724" s="752"/>
      <c r="FJ1724" s="752"/>
      <c r="FK1724" s="752"/>
      <c r="FL1724" s="752"/>
      <c r="FM1724" s="752"/>
      <c r="FN1724" s="752"/>
      <c r="FO1724" s="752"/>
      <c r="FP1724" s="752"/>
      <c r="FQ1724" s="752"/>
      <c r="FR1724" s="752"/>
      <c r="FS1724" s="752"/>
      <c r="FT1724" s="752"/>
      <c r="FU1724" s="752"/>
      <c r="FV1724" s="752"/>
      <c r="FW1724" s="752"/>
      <c r="FX1724" s="752"/>
      <c r="FY1724" s="752"/>
      <c r="FZ1724" s="752"/>
      <c r="GA1724" s="752"/>
      <c r="GB1724" s="752"/>
      <c r="GC1724" s="752"/>
      <c r="GD1724" s="752"/>
      <c r="GE1724" s="752"/>
      <c r="GF1724" s="752"/>
      <c r="GG1724" s="752"/>
      <c r="GH1724" s="752"/>
      <c r="GI1724" s="752"/>
      <c r="GJ1724" s="752"/>
      <c r="GK1724" s="752"/>
      <c r="GL1724" s="752"/>
      <c r="GM1724" s="752"/>
      <c r="GN1724" s="752"/>
      <c r="GO1724" s="752"/>
      <c r="GP1724" s="752"/>
      <c r="GQ1724" s="752"/>
      <c r="GR1724" s="752"/>
      <c r="GS1724" s="752"/>
      <c r="GT1724" s="752"/>
      <c r="GU1724" s="752"/>
      <c r="GV1724" s="752"/>
      <c r="GW1724" s="752"/>
      <c r="GX1724" s="752"/>
      <c r="GY1724" s="752"/>
      <c r="GZ1724" s="752"/>
      <c r="HA1724" s="752"/>
      <c r="HB1724" s="752"/>
      <c r="HC1724" s="752"/>
      <c r="HD1724" s="752"/>
      <c r="HE1724" s="752"/>
      <c r="HF1724" s="752"/>
      <c r="HG1724" s="752"/>
      <c r="HH1724" s="752"/>
      <c r="HI1724" s="752"/>
      <c r="HJ1724" s="752"/>
      <c r="HK1724" s="752"/>
      <c r="HL1724" s="752"/>
      <c r="HM1724" s="752"/>
      <c r="HN1724" s="752"/>
      <c r="HO1724" s="752"/>
      <c r="HP1724" s="752"/>
      <c r="HQ1724" s="752"/>
      <c r="HR1724" s="752"/>
      <c r="HS1724" s="752"/>
      <c r="HT1724" s="752"/>
      <c r="HU1724" s="752"/>
      <c r="HV1724" s="752"/>
      <c r="HW1724" s="752"/>
      <c r="HX1724" s="752"/>
      <c r="HY1724" s="752"/>
      <c r="HZ1724" s="752"/>
      <c r="IA1724" s="752"/>
      <c r="IB1724" s="752"/>
      <c r="IC1724" s="752"/>
      <c r="ID1724" s="752"/>
      <c r="IE1724" s="752"/>
      <c r="IF1724" s="752"/>
      <c r="IG1724" s="752"/>
      <c r="IH1724" s="752"/>
      <c r="II1724" s="752"/>
      <c r="IJ1724" s="752"/>
      <c r="IK1724" s="752"/>
      <c r="IL1724" s="752"/>
      <c r="IM1724" s="752"/>
      <c r="IN1724" s="752"/>
      <c r="IO1724" s="752"/>
    </row>
    <row r="1725" spans="1:249" ht="66">
      <c r="A1725" s="89"/>
      <c r="B1725" s="100"/>
      <c r="C1725" s="605">
        <v>3</v>
      </c>
      <c r="D1725" s="605" t="s">
        <v>34</v>
      </c>
      <c r="E1725" s="605" t="s">
        <v>39</v>
      </c>
      <c r="F1725" s="605" t="s">
        <v>28</v>
      </c>
      <c r="G1725" s="605" t="s">
        <v>38</v>
      </c>
      <c r="H1725" s="605"/>
      <c r="I1725" s="114" t="s">
        <v>514</v>
      </c>
      <c r="J1725" s="45" t="s">
        <v>1646</v>
      </c>
      <c r="K1725" s="100">
        <v>35</v>
      </c>
      <c r="L1725" s="125">
        <v>13655656840</v>
      </c>
      <c r="M1725" s="104">
        <v>23</v>
      </c>
      <c r="N1725" s="125">
        <v>6601141957</v>
      </c>
      <c r="O1725" s="91">
        <v>3</v>
      </c>
      <c r="P1725" s="125">
        <v>783429153</v>
      </c>
      <c r="Q1725" s="91">
        <v>1</v>
      </c>
      <c r="R1725" s="125">
        <v>411497331</v>
      </c>
      <c r="S1725" s="125">
        <v>1</v>
      </c>
      <c r="T1725" s="125">
        <v>458672181</v>
      </c>
      <c r="U1725" s="125"/>
      <c r="V1725" s="803"/>
      <c r="W1725" s="125"/>
      <c r="X1725" s="125"/>
      <c r="Y1725" s="125">
        <f t="shared" si="504"/>
        <v>2</v>
      </c>
      <c r="Z1725" s="125">
        <f t="shared" si="505"/>
        <v>870169512</v>
      </c>
      <c r="AA1725" s="1196">
        <f t="shared" si="506"/>
        <v>25</v>
      </c>
      <c r="AB1725" s="125">
        <f t="shared" si="507"/>
        <v>7471311469</v>
      </c>
      <c r="AC1725" s="1196">
        <f t="shared" si="508"/>
        <v>71.428571428571431</v>
      </c>
      <c r="AD1725" s="1196">
        <f t="shared" si="509"/>
        <v>54.712208695191556</v>
      </c>
      <c r="AE1725" s="89"/>
      <c r="AF1725" s="750"/>
      <c r="AG1725" s="750"/>
      <c r="AH1725" s="750"/>
      <c r="AI1725" s="750"/>
      <c r="AJ1725" s="750"/>
      <c r="AK1725" s="750"/>
      <c r="AL1725" s="750"/>
      <c r="AM1725" s="750"/>
      <c r="AN1725" s="750"/>
      <c r="AO1725" s="750"/>
      <c r="AP1725" s="750"/>
      <c r="AQ1725" s="750"/>
      <c r="AR1725" s="750"/>
      <c r="AS1725" s="750"/>
      <c r="AT1725" s="750"/>
      <c r="AU1725" s="750"/>
      <c r="AV1725" s="750"/>
      <c r="AW1725" s="750"/>
      <c r="AX1725" s="750"/>
      <c r="AY1725" s="750"/>
      <c r="AZ1725" s="750"/>
      <c r="BA1725" s="750"/>
      <c r="BB1725" s="750"/>
      <c r="BC1725" s="752"/>
      <c r="BD1725" s="752"/>
      <c r="BE1725" s="752"/>
      <c r="BF1725" s="752"/>
      <c r="BG1725" s="752"/>
      <c r="BH1725" s="752"/>
      <c r="BI1725" s="752"/>
      <c r="BJ1725" s="752"/>
      <c r="BK1725" s="752"/>
      <c r="BL1725" s="752"/>
      <c r="BM1725" s="752"/>
      <c r="BN1725" s="752"/>
      <c r="BO1725" s="752"/>
      <c r="BP1725" s="752"/>
      <c r="BQ1725" s="752"/>
      <c r="BR1725" s="752"/>
      <c r="BS1725" s="752"/>
      <c r="BT1725" s="752"/>
      <c r="BU1725" s="752"/>
      <c r="BV1725" s="752"/>
      <c r="BW1725" s="752"/>
      <c r="BX1725" s="752"/>
      <c r="BY1725" s="752"/>
      <c r="BZ1725" s="752"/>
      <c r="CA1725" s="752"/>
      <c r="CB1725" s="752"/>
      <c r="CC1725" s="752"/>
      <c r="CD1725" s="752"/>
      <c r="CE1725" s="752"/>
      <c r="CF1725" s="752"/>
      <c r="CG1725" s="752"/>
      <c r="CH1725" s="752"/>
      <c r="CI1725" s="752"/>
      <c r="CJ1725" s="752"/>
      <c r="CK1725" s="752"/>
      <c r="CL1725" s="752"/>
      <c r="CM1725" s="752"/>
      <c r="CN1725" s="752"/>
      <c r="CO1725" s="752"/>
      <c r="CP1725" s="752"/>
      <c r="CQ1725" s="752"/>
      <c r="CR1725" s="752"/>
      <c r="CS1725" s="752"/>
      <c r="CT1725" s="752"/>
      <c r="CU1725" s="752"/>
      <c r="CV1725" s="752"/>
      <c r="CW1725" s="752"/>
      <c r="CX1725" s="752"/>
      <c r="CY1725" s="752"/>
      <c r="CZ1725" s="752"/>
      <c r="DA1725" s="752"/>
      <c r="DB1725" s="752"/>
      <c r="DC1725" s="752"/>
      <c r="DD1725" s="752"/>
      <c r="DE1725" s="752"/>
      <c r="DF1725" s="752"/>
      <c r="DG1725" s="752"/>
      <c r="DH1725" s="752"/>
      <c r="DI1725" s="752"/>
      <c r="DJ1725" s="752"/>
      <c r="DK1725" s="752"/>
      <c r="DL1725" s="752"/>
      <c r="DM1725" s="752"/>
      <c r="DN1725" s="752"/>
      <c r="DO1725" s="752"/>
      <c r="DP1725" s="752"/>
      <c r="DQ1725" s="752"/>
      <c r="DR1725" s="752"/>
      <c r="DS1725" s="752"/>
      <c r="DT1725" s="752"/>
      <c r="DU1725" s="752"/>
      <c r="DV1725" s="752"/>
      <c r="DW1725" s="752"/>
      <c r="DX1725" s="752"/>
      <c r="DY1725" s="752"/>
      <c r="DZ1725" s="752"/>
      <c r="EA1725" s="752"/>
      <c r="EB1725" s="752"/>
      <c r="EC1725" s="752"/>
      <c r="ED1725" s="752"/>
      <c r="EE1725" s="752"/>
      <c r="EF1725" s="752"/>
      <c r="EG1725" s="752"/>
      <c r="EH1725" s="752"/>
      <c r="EI1725" s="752"/>
      <c r="EJ1725" s="752"/>
      <c r="EK1725" s="752"/>
      <c r="EL1725" s="752"/>
      <c r="EM1725" s="752"/>
      <c r="EN1725" s="752"/>
      <c r="EO1725" s="752"/>
      <c r="EP1725" s="752"/>
      <c r="EQ1725" s="752"/>
      <c r="ER1725" s="752"/>
      <c r="ES1725" s="752"/>
      <c r="ET1725" s="752"/>
      <c r="EU1725" s="752"/>
      <c r="EV1725" s="752"/>
      <c r="EW1725" s="752"/>
      <c r="EX1725" s="752"/>
      <c r="EY1725" s="752"/>
      <c r="EZ1725" s="752"/>
      <c r="FA1725" s="752"/>
      <c r="FB1725" s="752"/>
      <c r="FC1725" s="752"/>
      <c r="FD1725" s="752"/>
      <c r="FE1725" s="752"/>
      <c r="FF1725" s="752"/>
      <c r="FG1725" s="752"/>
      <c r="FH1725" s="752"/>
      <c r="FI1725" s="752"/>
      <c r="FJ1725" s="752"/>
      <c r="FK1725" s="752"/>
      <c r="FL1725" s="752"/>
      <c r="FM1725" s="752"/>
      <c r="FN1725" s="752"/>
      <c r="FO1725" s="752"/>
      <c r="FP1725" s="752"/>
      <c r="FQ1725" s="752"/>
      <c r="FR1725" s="752"/>
      <c r="FS1725" s="752"/>
      <c r="FT1725" s="752"/>
      <c r="FU1725" s="752"/>
      <c r="FV1725" s="752"/>
      <c r="FW1725" s="752"/>
      <c r="FX1725" s="752"/>
      <c r="FY1725" s="752"/>
      <c r="FZ1725" s="752"/>
      <c r="GA1725" s="752"/>
      <c r="GB1725" s="752"/>
      <c r="GC1725" s="752"/>
      <c r="GD1725" s="752"/>
      <c r="GE1725" s="752"/>
      <c r="GF1725" s="752"/>
      <c r="GG1725" s="752"/>
      <c r="GH1725" s="752"/>
      <c r="GI1725" s="752"/>
      <c r="GJ1725" s="752"/>
      <c r="GK1725" s="752"/>
      <c r="GL1725" s="752"/>
      <c r="GM1725" s="752"/>
      <c r="GN1725" s="752"/>
      <c r="GO1725" s="752"/>
      <c r="GP1725" s="752"/>
      <c r="GQ1725" s="752"/>
      <c r="GR1725" s="752"/>
      <c r="GS1725" s="752"/>
      <c r="GT1725" s="752"/>
      <c r="GU1725" s="752"/>
      <c r="GV1725" s="752"/>
      <c r="GW1725" s="752"/>
      <c r="GX1725" s="752"/>
      <c r="GY1725" s="752"/>
      <c r="GZ1725" s="752"/>
      <c r="HA1725" s="752"/>
      <c r="HB1725" s="752"/>
      <c r="HC1725" s="752"/>
      <c r="HD1725" s="752"/>
      <c r="HE1725" s="752"/>
      <c r="HF1725" s="752"/>
      <c r="HG1725" s="752"/>
      <c r="HH1725" s="752"/>
      <c r="HI1725" s="752"/>
      <c r="HJ1725" s="752"/>
      <c r="HK1725" s="752"/>
      <c r="HL1725" s="752"/>
      <c r="HM1725" s="752"/>
      <c r="HN1725" s="752"/>
      <c r="HO1725" s="752"/>
      <c r="HP1725" s="752"/>
      <c r="HQ1725" s="752"/>
      <c r="HR1725" s="752"/>
      <c r="HS1725" s="752"/>
      <c r="HT1725" s="752"/>
      <c r="HU1725" s="752"/>
      <c r="HV1725" s="752"/>
      <c r="HW1725" s="752"/>
      <c r="HX1725" s="752"/>
      <c r="HY1725" s="752"/>
      <c r="HZ1725" s="752"/>
      <c r="IA1725" s="752"/>
      <c r="IB1725" s="752"/>
      <c r="IC1725" s="752"/>
      <c r="ID1725" s="752"/>
      <c r="IE1725" s="752"/>
      <c r="IF1725" s="752"/>
      <c r="IG1725" s="752"/>
      <c r="IH1725" s="752"/>
      <c r="II1725" s="752"/>
      <c r="IJ1725" s="752"/>
      <c r="IK1725" s="752"/>
      <c r="IL1725" s="752"/>
      <c r="IM1725" s="752"/>
      <c r="IN1725" s="752"/>
      <c r="IO1725" s="752"/>
    </row>
    <row r="1726" spans="1:249" ht="82.5">
      <c r="A1726" s="89"/>
      <c r="B1726" s="100"/>
      <c r="C1726" s="605">
        <v>3</v>
      </c>
      <c r="D1726" s="605" t="s">
        <v>34</v>
      </c>
      <c r="E1726" s="605" t="s">
        <v>39</v>
      </c>
      <c r="F1726" s="605" t="s">
        <v>28</v>
      </c>
      <c r="G1726" s="605" t="s">
        <v>29</v>
      </c>
      <c r="H1726" s="605"/>
      <c r="I1726" s="114" t="s">
        <v>1647</v>
      </c>
      <c r="J1726" s="45" t="s">
        <v>1648</v>
      </c>
      <c r="K1726" s="100">
        <v>25</v>
      </c>
      <c r="L1726" s="125">
        <v>448000000</v>
      </c>
      <c r="M1726" s="104">
        <v>3</v>
      </c>
      <c r="N1726" s="125">
        <v>128838700</v>
      </c>
      <c r="O1726" s="91">
        <v>15</v>
      </c>
      <c r="P1726" s="125">
        <v>59750000</v>
      </c>
      <c r="Q1726" s="91">
        <v>3</v>
      </c>
      <c r="R1726" s="125">
        <v>4950000</v>
      </c>
      <c r="S1726" s="125">
        <v>3</v>
      </c>
      <c r="T1726" s="125">
        <v>14850000</v>
      </c>
      <c r="U1726" s="125"/>
      <c r="V1726" s="803"/>
      <c r="W1726" s="125"/>
      <c r="X1726" s="125"/>
      <c r="Y1726" s="125">
        <f t="shared" si="504"/>
        <v>6</v>
      </c>
      <c r="Z1726" s="125">
        <f t="shared" si="505"/>
        <v>19800000</v>
      </c>
      <c r="AA1726" s="1196">
        <f t="shared" si="506"/>
        <v>9</v>
      </c>
      <c r="AB1726" s="125">
        <f t="shared" si="507"/>
        <v>148638700</v>
      </c>
      <c r="AC1726" s="1196">
        <f t="shared" si="508"/>
        <v>36</v>
      </c>
      <c r="AD1726" s="1196">
        <f t="shared" si="509"/>
        <v>33.178281250000005</v>
      </c>
      <c r="AE1726" s="89"/>
      <c r="AF1726" s="750"/>
      <c r="AG1726" s="750"/>
      <c r="AH1726" s="750"/>
      <c r="AI1726" s="750"/>
      <c r="AJ1726" s="750"/>
      <c r="AK1726" s="750"/>
      <c r="AL1726" s="750"/>
      <c r="AM1726" s="750"/>
      <c r="AN1726" s="750"/>
      <c r="AO1726" s="750"/>
      <c r="AP1726" s="750"/>
      <c r="AQ1726" s="750"/>
      <c r="AR1726" s="750"/>
      <c r="AS1726" s="750"/>
      <c r="AT1726" s="750"/>
      <c r="AU1726" s="750"/>
      <c r="AV1726" s="750"/>
      <c r="AW1726" s="750"/>
      <c r="AX1726" s="750"/>
      <c r="AY1726" s="750"/>
      <c r="AZ1726" s="750"/>
      <c r="BA1726" s="750"/>
      <c r="BB1726" s="750"/>
      <c r="BC1726" s="752"/>
      <c r="BD1726" s="752"/>
      <c r="BE1726" s="752"/>
      <c r="BF1726" s="752"/>
      <c r="BG1726" s="752"/>
      <c r="BH1726" s="752"/>
      <c r="BI1726" s="752"/>
      <c r="BJ1726" s="752"/>
      <c r="BK1726" s="752"/>
      <c r="BL1726" s="752"/>
      <c r="BM1726" s="752"/>
      <c r="BN1726" s="752"/>
      <c r="BO1726" s="752"/>
      <c r="BP1726" s="752"/>
      <c r="BQ1726" s="752"/>
      <c r="BR1726" s="752"/>
      <c r="BS1726" s="752"/>
      <c r="BT1726" s="752"/>
      <c r="BU1726" s="752"/>
      <c r="BV1726" s="752"/>
      <c r="BW1726" s="752"/>
      <c r="BX1726" s="752"/>
      <c r="BY1726" s="752"/>
      <c r="BZ1726" s="752"/>
      <c r="CA1726" s="752"/>
      <c r="CB1726" s="752"/>
      <c r="CC1726" s="752"/>
      <c r="CD1726" s="752"/>
      <c r="CE1726" s="752"/>
      <c r="CF1726" s="752"/>
      <c r="CG1726" s="752"/>
      <c r="CH1726" s="752"/>
      <c r="CI1726" s="752"/>
      <c r="CJ1726" s="752"/>
      <c r="CK1726" s="752"/>
      <c r="CL1726" s="752"/>
      <c r="CM1726" s="752"/>
      <c r="CN1726" s="752"/>
      <c r="CO1726" s="752"/>
      <c r="CP1726" s="752"/>
      <c r="CQ1726" s="752"/>
      <c r="CR1726" s="752"/>
      <c r="CS1726" s="752"/>
      <c r="CT1726" s="752"/>
      <c r="CU1726" s="752"/>
      <c r="CV1726" s="752"/>
      <c r="CW1726" s="752"/>
      <c r="CX1726" s="752"/>
      <c r="CY1726" s="752"/>
      <c r="CZ1726" s="752"/>
      <c r="DA1726" s="752"/>
      <c r="DB1726" s="752"/>
      <c r="DC1726" s="752"/>
      <c r="DD1726" s="752"/>
      <c r="DE1726" s="752"/>
      <c r="DF1726" s="752"/>
      <c r="DG1726" s="752"/>
      <c r="DH1726" s="752"/>
      <c r="DI1726" s="752"/>
      <c r="DJ1726" s="752"/>
      <c r="DK1726" s="752"/>
      <c r="DL1726" s="752"/>
      <c r="DM1726" s="752"/>
      <c r="DN1726" s="752"/>
      <c r="DO1726" s="752"/>
      <c r="DP1726" s="752"/>
      <c r="DQ1726" s="752"/>
      <c r="DR1726" s="752"/>
      <c r="DS1726" s="752"/>
      <c r="DT1726" s="752"/>
      <c r="DU1726" s="752"/>
      <c r="DV1726" s="752"/>
      <c r="DW1726" s="752"/>
      <c r="DX1726" s="752"/>
      <c r="DY1726" s="752"/>
      <c r="DZ1726" s="752"/>
      <c r="EA1726" s="752"/>
      <c r="EB1726" s="752"/>
      <c r="EC1726" s="752"/>
      <c r="ED1726" s="752"/>
      <c r="EE1726" s="752"/>
      <c r="EF1726" s="752"/>
      <c r="EG1726" s="752"/>
      <c r="EH1726" s="752"/>
      <c r="EI1726" s="752"/>
      <c r="EJ1726" s="752"/>
      <c r="EK1726" s="752"/>
      <c r="EL1726" s="752"/>
      <c r="EM1726" s="752"/>
      <c r="EN1726" s="752"/>
      <c r="EO1726" s="752"/>
      <c r="EP1726" s="752"/>
      <c r="EQ1726" s="752"/>
      <c r="ER1726" s="752"/>
      <c r="ES1726" s="752"/>
      <c r="ET1726" s="752"/>
      <c r="EU1726" s="752"/>
      <c r="EV1726" s="752"/>
      <c r="EW1726" s="752"/>
      <c r="EX1726" s="752"/>
      <c r="EY1726" s="752"/>
      <c r="EZ1726" s="752"/>
      <c r="FA1726" s="752"/>
      <c r="FB1726" s="752"/>
      <c r="FC1726" s="752"/>
      <c r="FD1726" s="752"/>
      <c r="FE1726" s="752"/>
      <c r="FF1726" s="752"/>
      <c r="FG1726" s="752"/>
      <c r="FH1726" s="752"/>
      <c r="FI1726" s="752"/>
      <c r="FJ1726" s="752"/>
      <c r="FK1726" s="752"/>
      <c r="FL1726" s="752"/>
      <c r="FM1726" s="752"/>
      <c r="FN1726" s="752"/>
      <c r="FO1726" s="752"/>
      <c r="FP1726" s="752"/>
      <c r="FQ1726" s="752"/>
      <c r="FR1726" s="752"/>
      <c r="FS1726" s="752"/>
      <c r="FT1726" s="752"/>
      <c r="FU1726" s="752"/>
      <c r="FV1726" s="752"/>
      <c r="FW1726" s="752"/>
      <c r="FX1726" s="752"/>
      <c r="FY1726" s="752"/>
      <c r="FZ1726" s="752"/>
      <c r="GA1726" s="752"/>
      <c r="GB1726" s="752"/>
      <c r="GC1726" s="752"/>
      <c r="GD1726" s="752"/>
      <c r="GE1726" s="752"/>
      <c r="GF1726" s="752"/>
      <c r="GG1726" s="752"/>
      <c r="GH1726" s="752"/>
      <c r="GI1726" s="752"/>
      <c r="GJ1726" s="752"/>
      <c r="GK1726" s="752"/>
      <c r="GL1726" s="752"/>
      <c r="GM1726" s="752"/>
      <c r="GN1726" s="752"/>
      <c r="GO1726" s="752"/>
      <c r="GP1726" s="752"/>
      <c r="GQ1726" s="752"/>
      <c r="GR1726" s="752"/>
      <c r="GS1726" s="752"/>
      <c r="GT1726" s="752"/>
      <c r="GU1726" s="752"/>
      <c r="GV1726" s="752"/>
      <c r="GW1726" s="752"/>
      <c r="GX1726" s="752"/>
      <c r="GY1726" s="752"/>
      <c r="GZ1726" s="752"/>
      <c r="HA1726" s="752"/>
      <c r="HB1726" s="752"/>
      <c r="HC1726" s="752"/>
      <c r="HD1726" s="752"/>
      <c r="HE1726" s="752"/>
      <c r="HF1726" s="752"/>
      <c r="HG1726" s="752"/>
      <c r="HH1726" s="752"/>
      <c r="HI1726" s="752"/>
      <c r="HJ1726" s="752"/>
      <c r="HK1726" s="752"/>
      <c r="HL1726" s="752"/>
      <c r="HM1726" s="752"/>
      <c r="HN1726" s="752"/>
      <c r="HO1726" s="752"/>
      <c r="HP1726" s="752"/>
      <c r="HQ1726" s="752"/>
      <c r="HR1726" s="752"/>
      <c r="HS1726" s="752"/>
      <c r="HT1726" s="752"/>
      <c r="HU1726" s="752"/>
      <c r="HV1726" s="752"/>
      <c r="HW1726" s="752"/>
      <c r="HX1726" s="752"/>
      <c r="HY1726" s="752"/>
      <c r="HZ1726" s="752"/>
      <c r="IA1726" s="752"/>
      <c r="IB1726" s="752"/>
      <c r="IC1726" s="752"/>
      <c r="ID1726" s="752"/>
      <c r="IE1726" s="752"/>
      <c r="IF1726" s="752"/>
      <c r="IG1726" s="752"/>
      <c r="IH1726" s="752"/>
      <c r="II1726" s="752"/>
      <c r="IJ1726" s="752"/>
      <c r="IK1726" s="752"/>
      <c r="IL1726" s="752"/>
      <c r="IM1726" s="752"/>
      <c r="IN1726" s="752"/>
      <c r="IO1726" s="752"/>
    </row>
    <row r="1727" spans="1:249" ht="66">
      <c r="A1727" s="89"/>
      <c r="B1727" s="100"/>
      <c r="C1727" s="605">
        <v>3</v>
      </c>
      <c r="D1727" s="605" t="s">
        <v>34</v>
      </c>
      <c r="E1727" s="605" t="s">
        <v>39</v>
      </c>
      <c r="F1727" s="605" t="s">
        <v>28</v>
      </c>
      <c r="G1727" s="605" t="s">
        <v>43</v>
      </c>
      <c r="H1727" s="605"/>
      <c r="I1727" s="114" t="s">
        <v>230</v>
      </c>
      <c r="J1727" s="45" t="s">
        <v>1649</v>
      </c>
      <c r="K1727" s="100">
        <v>33</v>
      </c>
      <c r="L1727" s="125">
        <v>225043296</v>
      </c>
      <c r="M1727" s="104">
        <v>13</v>
      </c>
      <c r="N1727" s="125">
        <v>238031800</v>
      </c>
      <c r="O1727" s="91">
        <v>10</v>
      </c>
      <c r="P1727" s="125">
        <v>106250000</v>
      </c>
      <c r="Q1727" s="91">
        <v>0</v>
      </c>
      <c r="R1727" s="125">
        <v>0</v>
      </c>
      <c r="S1727" s="125">
        <v>9</v>
      </c>
      <c r="T1727" s="125">
        <v>101778000</v>
      </c>
      <c r="U1727" s="125"/>
      <c r="V1727" s="803"/>
      <c r="W1727" s="125"/>
      <c r="X1727" s="125"/>
      <c r="Y1727" s="125">
        <f t="shared" si="504"/>
        <v>9</v>
      </c>
      <c r="Z1727" s="125">
        <f t="shared" si="505"/>
        <v>101778000</v>
      </c>
      <c r="AA1727" s="1196">
        <f t="shared" si="506"/>
        <v>22</v>
      </c>
      <c r="AB1727" s="125">
        <f t="shared" si="507"/>
        <v>339809800</v>
      </c>
      <c r="AC1727" s="1196">
        <f t="shared" si="508"/>
        <v>66.666666666666657</v>
      </c>
      <c r="AD1727" s="1196">
        <f t="shared" si="509"/>
        <v>150.99752182797749</v>
      </c>
      <c r="AE1727" s="89"/>
      <c r="AF1727" s="750"/>
      <c r="AG1727" s="750"/>
      <c r="AH1727" s="750"/>
      <c r="AI1727" s="750"/>
      <c r="AJ1727" s="750"/>
      <c r="AK1727" s="750"/>
      <c r="AL1727" s="750"/>
      <c r="AM1727" s="750"/>
      <c r="AN1727" s="750"/>
      <c r="AO1727" s="750"/>
      <c r="AP1727" s="750"/>
      <c r="AQ1727" s="750"/>
      <c r="AR1727" s="750"/>
      <c r="AS1727" s="750"/>
      <c r="AT1727" s="750"/>
      <c r="AU1727" s="750"/>
      <c r="AV1727" s="750"/>
      <c r="AW1727" s="750"/>
      <c r="AX1727" s="750"/>
      <c r="AY1727" s="750"/>
      <c r="AZ1727" s="750"/>
      <c r="BA1727" s="750"/>
      <c r="BB1727" s="750"/>
      <c r="BC1727" s="752"/>
      <c r="BD1727" s="752"/>
      <c r="BE1727" s="752"/>
      <c r="BF1727" s="752"/>
      <c r="BG1727" s="752"/>
      <c r="BH1727" s="752"/>
      <c r="BI1727" s="752"/>
      <c r="BJ1727" s="752"/>
      <c r="BK1727" s="752"/>
      <c r="BL1727" s="752"/>
      <c r="BM1727" s="752"/>
      <c r="BN1727" s="752"/>
      <c r="BO1727" s="752"/>
      <c r="BP1727" s="752"/>
      <c r="BQ1727" s="752"/>
      <c r="BR1727" s="752"/>
      <c r="BS1727" s="752"/>
      <c r="BT1727" s="752"/>
      <c r="BU1727" s="752"/>
      <c r="BV1727" s="752"/>
      <c r="BW1727" s="752"/>
      <c r="BX1727" s="752"/>
      <c r="BY1727" s="752"/>
      <c r="BZ1727" s="752"/>
      <c r="CA1727" s="752"/>
      <c r="CB1727" s="752"/>
      <c r="CC1727" s="752"/>
      <c r="CD1727" s="752"/>
      <c r="CE1727" s="752"/>
      <c r="CF1727" s="752"/>
      <c r="CG1727" s="752"/>
      <c r="CH1727" s="752"/>
      <c r="CI1727" s="752"/>
      <c r="CJ1727" s="752"/>
      <c r="CK1727" s="752"/>
      <c r="CL1727" s="752"/>
      <c r="CM1727" s="752"/>
      <c r="CN1727" s="752"/>
      <c r="CO1727" s="752"/>
      <c r="CP1727" s="752"/>
      <c r="CQ1727" s="752"/>
      <c r="CR1727" s="752"/>
      <c r="CS1727" s="752"/>
      <c r="CT1727" s="752"/>
      <c r="CU1727" s="752"/>
      <c r="CV1727" s="752"/>
      <c r="CW1727" s="752"/>
      <c r="CX1727" s="752"/>
      <c r="CY1727" s="752"/>
      <c r="CZ1727" s="752"/>
      <c r="DA1727" s="752"/>
      <c r="DB1727" s="752"/>
      <c r="DC1727" s="752"/>
      <c r="DD1727" s="752"/>
      <c r="DE1727" s="752"/>
      <c r="DF1727" s="752"/>
      <c r="DG1727" s="752"/>
      <c r="DH1727" s="752"/>
      <c r="DI1727" s="752"/>
      <c r="DJ1727" s="752"/>
      <c r="DK1727" s="752"/>
      <c r="DL1727" s="752"/>
      <c r="DM1727" s="752"/>
      <c r="DN1727" s="752"/>
      <c r="DO1727" s="752"/>
      <c r="DP1727" s="752"/>
      <c r="DQ1727" s="752"/>
      <c r="DR1727" s="752"/>
      <c r="DS1727" s="752"/>
      <c r="DT1727" s="752"/>
      <c r="DU1727" s="752"/>
      <c r="DV1727" s="752"/>
      <c r="DW1727" s="752"/>
      <c r="DX1727" s="752"/>
      <c r="DY1727" s="752"/>
      <c r="DZ1727" s="752"/>
      <c r="EA1727" s="752"/>
      <c r="EB1727" s="752"/>
      <c r="EC1727" s="752"/>
      <c r="ED1727" s="752"/>
      <c r="EE1727" s="752"/>
      <c r="EF1727" s="752"/>
      <c r="EG1727" s="752"/>
      <c r="EH1727" s="752"/>
      <c r="EI1727" s="752"/>
      <c r="EJ1727" s="752"/>
      <c r="EK1727" s="752"/>
      <c r="EL1727" s="752"/>
      <c r="EM1727" s="752"/>
      <c r="EN1727" s="752"/>
      <c r="EO1727" s="752"/>
      <c r="EP1727" s="752"/>
      <c r="EQ1727" s="752"/>
      <c r="ER1727" s="752"/>
      <c r="ES1727" s="752"/>
      <c r="ET1727" s="752"/>
      <c r="EU1727" s="752"/>
      <c r="EV1727" s="752"/>
      <c r="EW1727" s="752"/>
      <c r="EX1727" s="752"/>
      <c r="EY1727" s="752"/>
      <c r="EZ1727" s="752"/>
      <c r="FA1727" s="752"/>
      <c r="FB1727" s="752"/>
      <c r="FC1727" s="752"/>
      <c r="FD1727" s="752"/>
      <c r="FE1727" s="752"/>
      <c r="FF1727" s="752"/>
      <c r="FG1727" s="752"/>
      <c r="FH1727" s="752"/>
      <c r="FI1727" s="752"/>
      <c r="FJ1727" s="752"/>
      <c r="FK1727" s="752"/>
      <c r="FL1727" s="752"/>
      <c r="FM1727" s="752"/>
      <c r="FN1727" s="752"/>
      <c r="FO1727" s="752"/>
      <c r="FP1727" s="752"/>
      <c r="FQ1727" s="752"/>
      <c r="FR1727" s="752"/>
      <c r="FS1727" s="752"/>
      <c r="FT1727" s="752"/>
      <c r="FU1727" s="752"/>
      <c r="FV1727" s="752"/>
      <c r="FW1727" s="752"/>
      <c r="FX1727" s="752"/>
      <c r="FY1727" s="752"/>
      <c r="FZ1727" s="752"/>
      <c r="GA1727" s="752"/>
      <c r="GB1727" s="752"/>
      <c r="GC1727" s="752"/>
      <c r="GD1727" s="752"/>
      <c r="GE1727" s="752"/>
      <c r="GF1727" s="752"/>
      <c r="GG1727" s="752"/>
      <c r="GH1727" s="752"/>
      <c r="GI1727" s="752"/>
      <c r="GJ1727" s="752"/>
      <c r="GK1727" s="752"/>
      <c r="GL1727" s="752"/>
      <c r="GM1727" s="752"/>
      <c r="GN1727" s="752"/>
      <c r="GO1727" s="752"/>
      <c r="GP1727" s="752"/>
      <c r="GQ1727" s="752"/>
      <c r="GR1727" s="752"/>
      <c r="GS1727" s="752"/>
      <c r="GT1727" s="752"/>
      <c r="GU1727" s="752"/>
      <c r="GV1727" s="752"/>
      <c r="GW1727" s="752"/>
      <c r="GX1727" s="752"/>
      <c r="GY1727" s="752"/>
      <c r="GZ1727" s="752"/>
      <c r="HA1727" s="752"/>
      <c r="HB1727" s="752"/>
      <c r="HC1727" s="752"/>
      <c r="HD1727" s="752"/>
      <c r="HE1727" s="752"/>
      <c r="HF1727" s="752"/>
      <c r="HG1727" s="752"/>
      <c r="HH1727" s="752"/>
      <c r="HI1727" s="752"/>
      <c r="HJ1727" s="752"/>
      <c r="HK1727" s="752"/>
      <c r="HL1727" s="752"/>
      <c r="HM1727" s="752"/>
      <c r="HN1727" s="752"/>
      <c r="HO1727" s="752"/>
      <c r="HP1727" s="752"/>
      <c r="HQ1727" s="752"/>
      <c r="HR1727" s="752"/>
      <c r="HS1727" s="752"/>
      <c r="HT1727" s="752"/>
      <c r="HU1727" s="752"/>
      <c r="HV1727" s="752"/>
      <c r="HW1727" s="752"/>
      <c r="HX1727" s="752"/>
      <c r="HY1727" s="752"/>
      <c r="HZ1727" s="752"/>
      <c r="IA1727" s="752"/>
      <c r="IB1727" s="752"/>
      <c r="IC1727" s="752"/>
      <c r="ID1727" s="752"/>
      <c r="IE1727" s="752"/>
      <c r="IF1727" s="752"/>
      <c r="IG1727" s="752"/>
      <c r="IH1727" s="752"/>
      <c r="II1727" s="752"/>
      <c r="IJ1727" s="752"/>
      <c r="IK1727" s="752"/>
      <c r="IL1727" s="752"/>
      <c r="IM1727" s="752"/>
      <c r="IN1727" s="752"/>
      <c r="IO1727" s="752"/>
    </row>
    <row r="1728" spans="1:249" ht="36.75" customHeight="1">
      <c r="A1728" s="89"/>
      <c r="B1728" s="100"/>
      <c r="C1728" s="605">
        <v>3</v>
      </c>
      <c r="D1728" s="605" t="s">
        <v>34</v>
      </c>
      <c r="E1728" s="605" t="s">
        <v>39</v>
      </c>
      <c r="F1728" s="605" t="s">
        <v>28</v>
      </c>
      <c r="G1728" s="605" t="s">
        <v>31</v>
      </c>
      <c r="H1728" s="605"/>
      <c r="I1728" s="114" t="s">
        <v>83</v>
      </c>
      <c r="J1728" s="45" t="s">
        <v>3210</v>
      </c>
      <c r="K1728" s="100">
        <v>10</v>
      </c>
      <c r="L1728" s="125">
        <v>159000000</v>
      </c>
      <c r="M1728" s="104">
        <v>8</v>
      </c>
      <c r="N1728" s="125">
        <v>22930000</v>
      </c>
      <c r="O1728" s="91">
        <v>0</v>
      </c>
      <c r="P1728" s="125">
        <v>0</v>
      </c>
      <c r="Q1728" s="91">
        <v>0</v>
      </c>
      <c r="R1728" s="125">
        <v>0</v>
      </c>
      <c r="S1728" s="125"/>
      <c r="T1728" s="125"/>
      <c r="U1728" s="125"/>
      <c r="V1728" s="803"/>
      <c r="W1728" s="125"/>
      <c r="X1728" s="125"/>
      <c r="Y1728" s="125">
        <f t="shared" si="504"/>
        <v>0</v>
      </c>
      <c r="Z1728" s="125">
        <f t="shared" si="505"/>
        <v>0</v>
      </c>
      <c r="AA1728" s="1196">
        <f t="shared" si="506"/>
        <v>8</v>
      </c>
      <c r="AB1728" s="125">
        <f t="shared" si="507"/>
        <v>22930000</v>
      </c>
      <c r="AC1728" s="1196">
        <f t="shared" si="508"/>
        <v>80</v>
      </c>
      <c r="AD1728" s="1196">
        <f t="shared" si="509"/>
        <v>14.421383647798741</v>
      </c>
      <c r="AE1728" s="89"/>
      <c r="AF1728" s="750"/>
      <c r="AG1728" s="750"/>
      <c r="AH1728" s="750"/>
      <c r="AI1728" s="750"/>
      <c r="AJ1728" s="750"/>
      <c r="AK1728" s="750"/>
      <c r="AL1728" s="750"/>
      <c r="AM1728" s="750"/>
      <c r="AN1728" s="750"/>
      <c r="AO1728" s="750"/>
      <c r="AP1728" s="750"/>
      <c r="AQ1728" s="750"/>
      <c r="AR1728" s="750"/>
      <c r="AS1728" s="750"/>
      <c r="AT1728" s="750"/>
      <c r="AU1728" s="750"/>
      <c r="AV1728" s="750"/>
      <c r="AW1728" s="750"/>
      <c r="AX1728" s="750"/>
      <c r="AY1728" s="750"/>
      <c r="AZ1728" s="750"/>
      <c r="BA1728" s="750"/>
      <c r="BB1728" s="750"/>
      <c r="BC1728" s="752"/>
      <c r="BD1728" s="752"/>
      <c r="BE1728" s="752"/>
      <c r="BF1728" s="752"/>
      <c r="BG1728" s="752"/>
      <c r="BH1728" s="752"/>
      <c r="BI1728" s="752"/>
      <c r="BJ1728" s="752"/>
      <c r="BK1728" s="752"/>
      <c r="BL1728" s="752"/>
      <c r="BM1728" s="752"/>
      <c r="BN1728" s="752"/>
      <c r="BO1728" s="752"/>
      <c r="BP1728" s="752"/>
      <c r="BQ1728" s="752"/>
      <c r="BR1728" s="752"/>
      <c r="BS1728" s="752"/>
      <c r="BT1728" s="752"/>
      <c r="BU1728" s="752"/>
      <c r="BV1728" s="752"/>
      <c r="BW1728" s="752"/>
      <c r="BX1728" s="752"/>
      <c r="BY1728" s="752"/>
      <c r="BZ1728" s="752"/>
      <c r="CA1728" s="752"/>
      <c r="CB1728" s="752"/>
      <c r="CC1728" s="752"/>
      <c r="CD1728" s="752"/>
      <c r="CE1728" s="752"/>
      <c r="CF1728" s="752"/>
      <c r="CG1728" s="752"/>
      <c r="CH1728" s="752"/>
      <c r="CI1728" s="752"/>
      <c r="CJ1728" s="752"/>
      <c r="CK1728" s="752"/>
      <c r="CL1728" s="752"/>
      <c r="CM1728" s="752"/>
      <c r="CN1728" s="752"/>
      <c r="CO1728" s="752"/>
      <c r="CP1728" s="752"/>
      <c r="CQ1728" s="752"/>
      <c r="CR1728" s="752"/>
      <c r="CS1728" s="752"/>
      <c r="CT1728" s="752"/>
      <c r="CU1728" s="752"/>
      <c r="CV1728" s="752"/>
      <c r="CW1728" s="752"/>
      <c r="CX1728" s="752"/>
      <c r="CY1728" s="752"/>
      <c r="CZ1728" s="752"/>
      <c r="DA1728" s="752"/>
      <c r="DB1728" s="752"/>
      <c r="DC1728" s="752"/>
      <c r="DD1728" s="752"/>
      <c r="DE1728" s="752"/>
      <c r="DF1728" s="752"/>
      <c r="DG1728" s="752"/>
      <c r="DH1728" s="752"/>
      <c r="DI1728" s="752"/>
      <c r="DJ1728" s="752"/>
      <c r="DK1728" s="752"/>
      <c r="DL1728" s="752"/>
      <c r="DM1728" s="752"/>
      <c r="DN1728" s="752"/>
      <c r="DO1728" s="752"/>
      <c r="DP1728" s="752"/>
      <c r="DQ1728" s="752"/>
      <c r="DR1728" s="752"/>
      <c r="DS1728" s="752"/>
      <c r="DT1728" s="752"/>
      <c r="DU1728" s="752"/>
      <c r="DV1728" s="752"/>
      <c r="DW1728" s="752"/>
      <c r="DX1728" s="752"/>
      <c r="DY1728" s="752"/>
      <c r="DZ1728" s="752"/>
      <c r="EA1728" s="752"/>
      <c r="EB1728" s="752"/>
      <c r="EC1728" s="752"/>
      <c r="ED1728" s="752"/>
      <c r="EE1728" s="752"/>
      <c r="EF1728" s="752"/>
      <c r="EG1728" s="752"/>
      <c r="EH1728" s="752"/>
      <c r="EI1728" s="752"/>
      <c r="EJ1728" s="752"/>
      <c r="EK1728" s="752"/>
      <c r="EL1728" s="752"/>
      <c r="EM1728" s="752"/>
      <c r="EN1728" s="752"/>
      <c r="EO1728" s="752"/>
      <c r="EP1728" s="752"/>
      <c r="EQ1728" s="752"/>
      <c r="ER1728" s="752"/>
      <c r="ES1728" s="752"/>
      <c r="ET1728" s="752"/>
      <c r="EU1728" s="752"/>
      <c r="EV1728" s="752"/>
      <c r="EW1728" s="752"/>
      <c r="EX1728" s="752"/>
      <c r="EY1728" s="752"/>
      <c r="EZ1728" s="752"/>
      <c r="FA1728" s="752"/>
      <c r="FB1728" s="752"/>
      <c r="FC1728" s="752"/>
      <c r="FD1728" s="752"/>
      <c r="FE1728" s="752"/>
      <c r="FF1728" s="752"/>
      <c r="FG1728" s="752"/>
      <c r="FH1728" s="752"/>
      <c r="FI1728" s="752"/>
      <c r="FJ1728" s="752"/>
      <c r="FK1728" s="752"/>
      <c r="FL1728" s="752"/>
      <c r="FM1728" s="752"/>
      <c r="FN1728" s="752"/>
      <c r="FO1728" s="752"/>
      <c r="FP1728" s="752"/>
      <c r="FQ1728" s="752"/>
      <c r="FR1728" s="752"/>
      <c r="FS1728" s="752"/>
      <c r="FT1728" s="752"/>
      <c r="FU1728" s="752"/>
      <c r="FV1728" s="752"/>
      <c r="FW1728" s="752"/>
      <c r="FX1728" s="752"/>
      <c r="FY1728" s="752"/>
      <c r="FZ1728" s="752"/>
      <c r="GA1728" s="752"/>
      <c r="GB1728" s="752"/>
      <c r="GC1728" s="752"/>
      <c r="GD1728" s="752"/>
      <c r="GE1728" s="752"/>
      <c r="GF1728" s="752"/>
      <c r="GG1728" s="752"/>
      <c r="GH1728" s="752"/>
      <c r="GI1728" s="752"/>
      <c r="GJ1728" s="752"/>
      <c r="GK1728" s="752"/>
      <c r="GL1728" s="752"/>
      <c r="GM1728" s="752"/>
      <c r="GN1728" s="752"/>
      <c r="GO1728" s="752"/>
      <c r="GP1728" s="752"/>
      <c r="GQ1728" s="752"/>
      <c r="GR1728" s="752"/>
      <c r="GS1728" s="752"/>
      <c r="GT1728" s="752"/>
      <c r="GU1728" s="752"/>
      <c r="GV1728" s="752"/>
      <c r="GW1728" s="752"/>
      <c r="GX1728" s="752"/>
      <c r="GY1728" s="752"/>
      <c r="GZ1728" s="752"/>
      <c r="HA1728" s="752"/>
      <c r="HB1728" s="752"/>
      <c r="HC1728" s="752"/>
      <c r="HD1728" s="752"/>
      <c r="HE1728" s="752"/>
      <c r="HF1728" s="752"/>
      <c r="HG1728" s="752"/>
      <c r="HH1728" s="752"/>
      <c r="HI1728" s="752"/>
      <c r="HJ1728" s="752"/>
      <c r="HK1728" s="752"/>
      <c r="HL1728" s="752"/>
      <c r="HM1728" s="752"/>
      <c r="HN1728" s="752"/>
      <c r="HO1728" s="752"/>
      <c r="HP1728" s="752"/>
      <c r="HQ1728" s="752"/>
      <c r="HR1728" s="752"/>
      <c r="HS1728" s="752"/>
      <c r="HT1728" s="752"/>
      <c r="HU1728" s="752"/>
      <c r="HV1728" s="752"/>
      <c r="HW1728" s="752"/>
      <c r="HX1728" s="752"/>
      <c r="HY1728" s="752"/>
      <c r="HZ1728" s="752"/>
      <c r="IA1728" s="752"/>
      <c r="IB1728" s="752"/>
      <c r="IC1728" s="752"/>
      <c r="ID1728" s="752"/>
      <c r="IE1728" s="752"/>
      <c r="IF1728" s="752"/>
      <c r="IG1728" s="752"/>
      <c r="IH1728" s="752"/>
      <c r="II1728" s="752"/>
      <c r="IJ1728" s="752"/>
      <c r="IK1728" s="752"/>
      <c r="IL1728" s="752"/>
      <c r="IM1728" s="752"/>
      <c r="IN1728" s="752"/>
      <c r="IO1728" s="752"/>
    </row>
    <row r="1729" spans="1:249" ht="49.5">
      <c r="A1729" s="89"/>
      <c r="B1729" s="100"/>
      <c r="C1729" s="605">
        <v>3</v>
      </c>
      <c r="D1729" s="605" t="s">
        <v>34</v>
      </c>
      <c r="E1729" s="605" t="s">
        <v>39</v>
      </c>
      <c r="F1729" s="605" t="s">
        <v>28</v>
      </c>
      <c r="G1729" s="89">
        <v>22</v>
      </c>
      <c r="H1729" s="89"/>
      <c r="I1729" s="114" t="s">
        <v>1650</v>
      </c>
      <c r="J1729" s="124" t="s">
        <v>1651</v>
      </c>
      <c r="K1729" s="100">
        <v>6</v>
      </c>
      <c r="L1729" s="125">
        <v>1244800000</v>
      </c>
      <c r="M1729" s="104">
        <v>3</v>
      </c>
      <c r="N1729" s="125">
        <v>711178155</v>
      </c>
      <c r="O1729" s="91">
        <v>1</v>
      </c>
      <c r="P1729" s="125">
        <v>17498380</v>
      </c>
      <c r="Q1729" s="804">
        <v>0</v>
      </c>
      <c r="R1729" s="125">
        <v>0</v>
      </c>
      <c r="S1729" s="805">
        <v>0</v>
      </c>
      <c r="T1729" s="125">
        <v>6380000</v>
      </c>
      <c r="U1729" s="125"/>
      <c r="V1729" s="803"/>
      <c r="W1729" s="125"/>
      <c r="X1729" s="125"/>
      <c r="Y1729" s="125">
        <f t="shared" si="504"/>
        <v>0</v>
      </c>
      <c r="Z1729" s="125">
        <f t="shared" si="505"/>
        <v>6380000</v>
      </c>
      <c r="AA1729" s="1196">
        <f t="shared" si="506"/>
        <v>3</v>
      </c>
      <c r="AB1729" s="125">
        <f t="shared" si="507"/>
        <v>717558155</v>
      </c>
      <c r="AC1729" s="1196">
        <f t="shared" si="508"/>
        <v>50</v>
      </c>
      <c r="AD1729" s="1196">
        <f t="shared" si="509"/>
        <v>57.644453325835478</v>
      </c>
      <c r="AE1729" s="89"/>
      <c r="AF1729" s="750"/>
      <c r="AG1729" s="750"/>
      <c r="AH1729" s="750"/>
      <c r="AI1729" s="750"/>
      <c r="AJ1729" s="750"/>
      <c r="AK1729" s="750"/>
      <c r="AL1729" s="750"/>
      <c r="AM1729" s="750"/>
      <c r="AN1729" s="750"/>
      <c r="AO1729" s="750"/>
      <c r="AP1729" s="750"/>
      <c r="AQ1729" s="750"/>
      <c r="AR1729" s="750"/>
      <c r="AS1729" s="750"/>
      <c r="AT1729" s="750"/>
      <c r="AU1729" s="750"/>
      <c r="AV1729" s="750"/>
      <c r="AW1729" s="750"/>
      <c r="AX1729" s="750"/>
      <c r="AY1729" s="750"/>
      <c r="AZ1729" s="750"/>
      <c r="BA1729" s="750"/>
      <c r="BB1729" s="750"/>
      <c r="BC1729" s="752"/>
      <c r="BD1729" s="752"/>
      <c r="BE1729" s="752"/>
      <c r="BF1729" s="752"/>
      <c r="BG1729" s="752"/>
      <c r="BH1729" s="752"/>
      <c r="BI1729" s="752"/>
      <c r="BJ1729" s="752"/>
      <c r="BK1729" s="752"/>
      <c r="BL1729" s="752"/>
      <c r="BM1729" s="752"/>
      <c r="BN1729" s="752"/>
      <c r="BO1729" s="752"/>
      <c r="BP1729" s="752"/>
      <c r="BQ1729" s="752"/>
      <c r="BR1729" s="752"/>
      <c r="BS1729" s="752"/>
      <c r="BT1729" s="752"/>
      <c r="BU1729" s="752"/>
      <c r="BV1729" s="752"/>
      <c r="BW1729" s="752"/>
      <c r="BX1729" s="752"/>
      <c r="BY1729" s="752"/>
      <c r="BZ1729" s="752"/>
      <c r="CA1729" s="752"/>
      <c r="CB1729" s="752"/>
      <c r="CC1729" s="752"/>
      <c r="CD1729" s="752"/>
      <c r="CE1729" s="752"/>
      <c r="CF1729" s="752"/>
      <c r="CG1729" s="752"/>
      <c r="CH1729" s="752"/>
      <c r="CI1729" s="752"/>
      <c r="CJ1729" s="752"/>
      <c r="CK1729" s="752"/>
      <c r="CL1729" s="752"/>
      <c r="CM1729" s="752"/>
      <c r="CN1729" s="752"/>
      <c r="CO1729" s="752"/>
      <c r="CP1729" s="752"/>
      <c r="CQ1729" s="752"/>
      <c r="CR1729" s="752"/>
      <c r="CS1729" s="752"/>
      <c r="CT1729" s="752"/>
      <c r="CU1729" s="752"/>
      <c r="CV1729" s="752"/>
      <c r="CW1729" s="752"/>
      <c r="CX1729" s="752"/>
      <c r="CY1729" s="752"/>
      <c r="CZ1729" s="752"/>
      <c r="DA1729" s="752"/>
      <c r="DB1729" s="752"/>
      <c r="DC1729" s="752"/>
      <c r="DD1729" s="752"/>
      <c r="DE1729" s="752"/>
      <c r="DF1729" s="752"/>
      <c r="DG1729" s="752"/>
      <c r="DH1729" s="752"/>
      <c r="DI1729" s="752"/>
      <c r="DJ1729" s="752"/>
      <c r="DK1729" s="752"/>
      <c r="DL1729" s="752"/>
      <c r="DM1729" s="752"/>
      <c r="DN1729" s="752"/>
      <c r="DO1729" s="752"/>
      <c r="DP1729" s="752"/>
      <c r="DQ1729" s="752"/>
      <c r="DR1729" s="752"/>
      <c r="DS1729" s="752"/>
      <c r="DT1729" s="752"/>
      <c r="DU1729" s="752"/>
      <c r="DV1729" s="752"/>
      <c r="DW1729" s="752"/>
      <c r="DX1729" s="752"/>
      <c r="DY1729" s="752"/>
      <c r="DZ1729" s="752"/>
      <c r="EA1729" s="752"/>
      <c r="EB1729" s="752"/>
      <c r="EC1729" s="752"/>
      <c r="ED1729" s="752"/>
      <c r="EE1729" s="752"/>
      <c r="EF1729" s="752"/>
      <c r="EG1729" s="752"/>
      <c r="EH1729" s="752"/>
      <c r="EI1729" s="752"/>
      <c r="EJ1729" s="752"/>
      <c r="EK1729" s="752"/>
      <c r="EL1729" s="752"/>
      <c r="EM1729" s="752"/>
      <c r="EN1729" s="752"/>
      <c r="EO1729" s="752"/>
      <c r="EP1729" s="752"/>
      <c r="EQ1729" s="752"/>
      <c r="ER1729" s="752"/>
      <c r="ES1729" s="752"/>
      <c r="ET1729" s="752"/>
      <c r="EU1729" s="752"/>
      <c r="EV1729" s="752"/>
      <c r="EW1729" s="752"/>
      <c r="EX1729" s="752"/>
      <c r="EY1729" s="752"/>
      <c r="EZ1729" s="752"/>
      <c r="FA1729" s="752"/>
      <c r="FB1729" s="752"/>
      <c r="FC1729" s="752"/>
      <c r="FD1729" s="752"/>
      <c r="FE1729" s="752"/>
      <c r="FF1729" s="752"/>
      <c r="FG1729" s="752"/>
      <c r="FH1729" s="752"/>
      <c r="FI1729" s="752"/>
      <c r="FJ1729" s="752"/>
      <c r="FK1729" s="752"/>
      <c r="FL1729" s="752"/>
      <c r="FM1729" s="752"/>
      <c r="FN1729" s="752"/>
      <c r="FO1729" s="752"/>
      <c r="FP1729" s="752"/>
      <c r="FQ1729" s="752"/>
      <c r="FR1729" s="752"/>
      <c r="FS1729" s="752"/>
      <c r="FT1729" s="752"/>
      <c r="FU1729" s="752"/>
      <c r="FV1729" s="752"/>
      <c r="FW1729" s="752"/>
      <c r="FX1729" s="752"/>
      <c r="FY1729" s="752"/>
      <c r="FZ1729" s="752"/>
      <c r="GA1729" s="752"/>
      <c r="GB1729" s="752"/>
      <c r="GC1729" s="752"/>
      <c r="GD1729" s="752"/>
      <c r="GE1729" s="752"/>
      <c r="GF1729" s="752"/>
      <c r="GG1729" s="752"/>
      <c r="GH1729" s="752"/>
      <c r="GI1729" s="752"/>
      <c r="GJ1729" s="752"/>
      <c r="GK1729" s="752"/>
      <c r="GL1729" s="752"/>
      <c r="GM1729" s="752"/>
      <c r="GN1729" s="752"/>
      <c r="GO1729" s="752"/>
      <c r="GP1729" s="752"/>
      <c r="GQ1729" s="752"/>
      <c r="GR1729" s="752"/>
      <c r="GS1729" s="752"/>
      <c r="GT1729" s="752"/>
      <c r="GU1729" s="752"/>
      <c r="GV1729" s="752"/>
      <c r="GW1729" s="752"/>
      <c r="GX1729" s="752"/>
      <c r="GY1729" s="752"/>
      <c r="GZ1729" s="752"/>
      <c r="HA1729" s="752"/>
      <c r="HB1729" s="752"/>
      <c r="HC1729" s="752"/>
      <c r="HD1729" s="752"/>
      <c r="HE1729" s="752"/>
      <c r="HF1729" s="752"/>
      <c r="HG1729" s="752"/>
      <c r="HH1729" s="752"/>
      <c r="HI1729" s="752"/>
      <c r="HJ1729" s="752"/>
      <c r="HK1729" s="752"/>
      <c r="HL1729" s="752"/>
      <c r="HM1729" s="752"/>
      <c r="HN1729" s="752"/>
      <c r="HO1729" s="752"/>
      <c r="HP1729" s="752"/>
      <c r="HQ1729" s="752"/>
      <c r="HR1729" s="752"/>
      <c r="HS1729" s="752"/>
      <c r="HT1729" s="752"/>
      <c r="HU1729" s="752"/>
      <c r="HV1729" s="752"/>
      <c r="HW1729" s="752"/>
      <c r="HX1729" s="752"/>
      <c r="HY1729" s="752"/>
      <c r="HZ1729" s="752"/>
      <c r="IA1729" s="752"/>
      <c r="IB1729" s="752"/>
      <c r="IC1729" s="752"/>
      <c r="ID1729" s="752"/>
      <c r="IE1729" s="752"/>
      <c r="IF1729" s="752"/>
      <c r="IG1729" s="752"/>
      <c r="IH1729" s="752"/>
      <c r="II1729" s="752"/>
      <c r="IJ1729" s="752"/>
      <c r="IK1729" s="752"/>
      <c r="IL1729" s="752"/>
      <c r="IM1729" s="752"/>
      <c r="IN1729" s="752"/>
      <c r="IO1729" s="752"/>
    </row>
    <row r="1730" spans="1:249" ht="99">
      <c r="A1730" s="89"/>
      <c r="B1730" s="100"/>
      <c r="C1730" s="605">
        <v>3</v>
      </c>
      <c r="D1730" s="605" t="s">
        <v>34</v>
      </c>
      <c r="E1730" s="605" t="s">
        <v>39</v>
      </c>
      <c r="F1730" s="605" t="s">
        <v>28</v>
      </c>
      <c r="G1730" s="89">
        <v>24</v>
      </c>
      <c r="H1730" s="89"/>
      <c r="I1730" s="114" t="s">
        <v>518</v>
      </c>
      <c r="J1730" s="124" t="s">
        <v>1652</v>
      </c>
      <c r="K1730" s="100">
        <v>72</v>
      </c>
      <c r="L1730" s="125">
        <v>1402115750</v>
      </c>
      <c r="M1730" s="104">
        <v>36</v>
      </c>
      <c r="N1730" s="125">
        <v>421450250</v>
      </c>
      <c r="O1730" s="91">
        <v>13</v>
      </c>
      <c r="P1730" s="125">
        <v>181943422</v>
      </c>
      <c r="Q1730" s="91">
        <v>2</v>
      </c>
      <c r="R1730" s="125">
        <v>29958700</v>
      </c>
      <c r="S1730" s="125">
        <v>3</v>
      </c>
      <c r="T1730" s="125">
        <v>69342167</v>
      </c>
      <c r="U1730" s="125"/>
      <c r="V1730" s="803"/>
      <c r="W1730" s="125"/>
      <c r="X1730" s="125"/>
      <c r="Y1730" s="125">
        <f t="shared" si="504"/>
        <v>5</v>
      </c>
      <c r="Z1730" s="125">
        <f t="shared" si="505"/>
        <v>99300867</v>
      </c>
      <c r="AA1730" s="1196">
        <f t="shared" si="506"/>
        <v>41</v>
      </c>
      <c r="AB1730" s="125">
        <f t="shared" si="507"/>
        <v>520751117</v>
      </c>
      <c r="AC1730" s="1196">
        <f t="shared" si="508"/>
        <v>56.944444444444443</v>
      </c>
      <c r="AD1730" s="1196">
        <f t="shared" si="509"/>
        <v>37.140379957931437</v>
      </c>
      <c r="AE1730" s="89"/>
      <c r="AF1730" s="750"/>
      <c r="AG1730" s="750"/>
      <c r="AH1730" s="750"/>
      <c r="AI1730" s="750"/>
      <c r="AJ1730" s="750"/>
      <c r="AK1730" s="750"/>
      <c r="AL1730" s="750"/>
      <c r="AM1730" s="750"/>
      <c r="AN1730" s="750"/>
      <c r="AO1730" s="750"/>
      <c r="AP1730" s="750"/>
      <c r="AQ1730" s="750"/>
      <c r="AR1730" s="750"/>
      <c r="AS1730" s="750"/>
      <c r="AT1730" s="750"/>
      <c r="AU1730" s="750"/>
      <c r="AV1730" s="750"/>
      <c r="AW1730" s="750"/>
      <c r="AX1730" s="750"/>
      <c r="AY1730" s="750"/>
      <c r="AZ1730" s="750"/>
      <c r="BA1730" s="750"/>
      <c r="BB1730" s="750"/>
      <c r="BC1730" s="752"/>
      <c r="BD1730" s="752"/>
      <c r="BE1730" s="752"/>
      <c r="BF1730" s="752"/>
      <c r="BG1730" s="752"/>
      <c r="BH1730" s="752"/>
      <c r="BI1730" s="752"/>
      <c r="BJ1730" s="752"/>
      <c r="BK1730" s="752"/>
      <c r="BL1730" s="752"/>
      <c r="BM1730" s="752"/>
      <c r="BN1730" s="752"/>
      <c r="BO1730" s="752"/>
      <c r="BP1730" s="752"/>
      <c r="BQ1730" s="752"/>
      <c r="BR1730" s="752"/>
      <c r="BS1730" s="752"/>
      <c r="BT1730" s="752"/>
      <c r="BU1730" s="752"/>
      <c r="BV1730" s="752"/>
      <c r="BW1730" s="752"/>
      <c r="BX1730" s="752"/>
      <c r="BY1730" s="752"/>
      <c r="BZ1730" s="752"/>
      <c r="CA1730" s="752"/>
      <c r="CB1730" s="752"/>
      <c r="CC1730" s="752"/>
      <c r="CD1730" s="752"/>
      <c r="CE1730" s="752"/>
      <c r="CF1730" s="752"/>
      <c r="CG1730" s="752"/>
      <c r="CH1730" s="752"/>
      <c r="CI1730" s="752"/>
      <c r="CJ1730" s="752"/>
      <c r="CK1730" s="752"/>
      <c r="CL1730" s="752"/>
      <c r="CM1730" s="752"/>
      <c r="CN1730" s="752"/>
      <c r="CO1730" s="752"/>
      <c r="CP1730" s="752"/>
      <c r="CQ1730" s="752"/>
      <c r="CR1730" s="752"/>
      <c r="CS1730" s="752"/>
      <c r="CT1730" s="752"/>
      <c r="CU1730" s="752"/>
      <c r="CV1730" s="752"/>
      <c r="CW1730" s="752"/>
      <c r="CX1730" s="752"/>
      <c r="CY1730" s="752"/>
      <c r="CZ1730" s="752"/>
      <c r="DA1730" s="752"/>
      <c r="DB1730" s="752"/>
      <c r="DC1730" s="752"/>
      <c r="DD1730" s="752"/>
      <c r="DE1730" s="752"/>
      <c r="DF1730" s="752"/>
      <c r="DG1730" s="752"/>
      <c r="DH1730" s="752"/>
      <c r="DI1730" s="752"/>
      <c r="DJ1730" s="752"/>
      <c r="DK1730" s="752"/>
      <c r="DL1730" s="752"/>
      <c r="DM1730" s="752"/>
      <c r="DN1730" s="752"/>
      <c r="DO1730" s="752"/>
      <c r="DP1730" s="752"/>
      <c r="DQ1730" s="752"/>
      <c r="DR1730" s="752"/>
      <c r="DS1730" s="752"/>
      <c r="DT1730" s="752"/>
      <c r="DU1730" s="752"/>
      <c r="DV1730" s="752"/>
      <c r="DW1730" s="752"/>
      <c r="DX1730" s="752"/>
      <c r="DY1730" s="752"/>
      <c r="DZ1730" s="752"/>
      <c r="EA1730" s="752"/>
      <c r="EB1730" s="752"/>
      <c r="EC1730" s="752"/>
      <c r="ED1730" s="752"/>
      <c r="EE1730" s="752"/>
      <c r="EF1730" s="752"/>
      <c r="EG1730" s="752"/>
      <c r="EH1730" s="752"/>
      <c r="EI1730" s="752"/>
      <c r="EJ1730" s="752"/>
      <c r="EK1730" s="752"/>
      <c r="EL1730" s="752"/>
      <c r="EM1730" s="752"/>
      <c r="EN1730" s="752"/>
      <c r="EO1730" s="752"/>
      <c r="EP1730" s="752"/>
      <c r="EQ1730" s="752"/>
      <c r="ER1730" s="752"/>
      <c r="ES1730" s="752"/>
      <c r="ET1730" s="752"/>
      <c r="EU1730" s="752"/>
      <c r="EV1730" s="752"/>
      <c r="EW1730" s="752"/>
      <c r="EX1730" s="752"/>
      <c r="EY1730" s="752"/>
      <c r="EZ1730" s="752"/>
      <c r="FA1730" s="752"/>
      <c r="FB1730" s="752"/>
      <c r="FC1730" s="752"/>
      <c r="FD1730" s="752"/>
      <c r="FE1730" s="752"/>
      <c r="FF1730" s="752"/>
      <c r="FG1730" s="752"/>
      <c r="FH1730" s="752"/>
      <c r="FI1730" s="752"/>
      <c r="FJ1730" s="752"/>
      <c r="FK1730" s="752"/>
      <c r="FL1730" s="752"/>
      <c r="FM1730" s="752"/>
      <c r="FN1730" s="752"/>
      <c r="FO1730" s="752"/>
      <c r="FP1730" s="752"/>
      <c r="FQ1730" s="752"/>
      <c r="FR1730" s="752"/>
      <c r="FS1730" s="752"/>
      <c r="FT1730" s="752"/>
      <c r="FU1730" s="752"/>
      <c r="FV1730" s="752"/>
      <c r="FW1730" s="752"/>
      <c r="FX1730" s="752"/>
      <c r="FY1730" s="752"/>
      <c r="FZ1730" s="752"/>
      <c r="GA1730" s="752"/>
      <c r="GB1730" s="752"/>
      <c r="GC1730" s="752"/>
      <c r="GD1730" s="752"/>
      <c r="GE1730" s="752"/>
      <c r="GF1730" s="752"/>
      <c r="GG1730" s="752"/>
      <c r="GH1730" s="752"/>
      <c r="GI1730" s="752"/>
      <c r="GJ1730" s="752"/>
      <c r="GK1730" s="752"/>
      <c r="GL1730" s="752"/>
      <c r="GM1730" s="752"/>
      <c r="GN1730" s="752"/>
      <c r="GO1730" s="752"/>
      <c r="GP1730" s="752"/>
      <c r="GQ1730" s="752"/>
      <c r="GR1730" s="752"/>
      <c r="GS1730" s="752"/>
      <c r="GT1730" s="752"/>
      <c r="GU1730" s="752"/>
      <c r="GV1730" s="752"/>
      <c r="GW1730" s="752"/>
      <c r="GX1730" s="752"/>
      <c r="GY1730" s="752"/>
      <c r="GZ1730" s="752"/>
      <c r="HA1730" s="752"/>
      <c r="HB1730" s="752"/>
      <c r="HC1730" s="752"/>
      <c r="HD1730" s="752"/>
      <c r="HE1730" s="752"/>
      <c r="HF1730" s="752"/>
      <c r="HG1730" s="752"/>
      <c r="HH1730" s="752"/>
      <c r="HI1730" s="752"/>
      <c r="HJ1730" s="752"/>
      <c r="HK1730" s="752"/>
      <c r="HL1730" s="752"/>
      <c r="HM1730" s="752"/>
      <c r="HN1730" s="752"/>
      <c r="HO1730" s="752"/>
      <c r="HP1730" s="752"/>
      <c r="HQ1730" s="752"/>
      <c r="HR1730" s="752"/>
      <c r="HS1730" s="752"/>
      <c r="HT1730" s="752"/>
      <c r="HU1730" s="752"/>
      <c r="HV1730" s="752"/>
      <c r="HW1730" s="752"/>
      <c r="HX1730" s="752"/>
      <c r="HY1730" s="752"/>
      <c r="HZ1730" s="752"/>
      <c r="IA1730" s="752"/>
      <c r="IB1730" s="752"/>
      <c r="IC1730" s="752"/>
      <c r="ID1730" s="752"/>
      <c r="IE1730" s="752"/>
      <c r="IF1730" s="752"/>
      <c r="IG1730" s="752"/>
      <c r="IH1730" s="752"/>
      <c r="II1730" s="752"/>
      <c r="IJ1730" s="752"/>
      <c r="IK1730" s="752"/>
      <c r="IL1730" s="752"/>
      <c r="IM1730" s="752"/>
      <c r="IN1730" s="752"/>
      <c r="IO1730" s="752"/>
    </row>
    <row r="1731" spans="1:249" ht="49.5">
      <c r="A1731" s="89"/>
      <c r="B1731" s="100"/>
      <c r="C1731" s="605">
        <v>3</v>
      </c>
      <c r="D1731" s="605" t="s">
        <v>34</v>
      </c>
      <c r="E1731" s="605" t="s">
        <v>39</v>
      </c>
      <c r="F1731" s="605" t="s">
        <v>28</v>
      </c>
      <c r="G1731" s="89">
        <v>26</v>
      </c>
      <c r="H1731" s="89"/>
      <c r="I1731" s="114" t="s">
        <v>1035</v>
      </c>
      <c r="J1731" s="124" t="s">
        <v>1653</v>
      </c>
      <c r="K1731" s="100">
        <v>72</v>
      </c>
      <c r="L1731" s="125">
        <v>770400000</v>
      </c>
      <c r="M1731" s="104">
        <v>36</v>
      </c>
      <c r="N1731" s="125">
        <v>96167465</v>
      </c>
      <c r="O1731" s="91">
        <v>12</v>
      </c>
      <c r="P1731" s="125">
        <v>35000000</v>
      </c>
      <c r="Q1731" s="91">
        <v>3</v>
      </c>
      <c r="R1731" s="125">
        <v>9972409</v>
      </c>
      <c r="S1731" s="125">
        <v>3</v>
      </c>
      <c r="T1731" s="125">
        <v>14356409</v>
      </c>
      <c r="U1731" s="125"/>
      <c r="V1731" s="803"/>
      <c r="W1731" s="125"/>
      <c r="X1731" s="125"/>
      <c r="Y1731" s="125">
        <f t="shared" si="504"/>
        <v>6</v>
      </c>
      <c r="Z1731" s="125">
        <f t="shared" si="505"/>
        <v>24328818</v>
      </c>
      <c r="AA1731" s="1196">
        <f t="shared" si="506"/>
        <v>42</v>
      </c>
      <c r="AB1731" s="125">
        <f t="shared" si="507"/>
        <v>120496283</v>
      </c>
      <c r="AC1731" s="1196">
        <f t="shared" si="508"/>
        <v>58.333333333333336</v>
      </c>
      <c r="AD1731" s="1196">
        <f t="shared" si="509"/>
        <v>15.640742860851505</v>
      </c>
      <c r="AE1731" s="89"/>
      <c r="AF1731" s="750"/>
      <c r="AG1731" s="750"/>
      <c r="AH1731" s="750"/>
      <c r="AI1731" s="750"/>
      <c r="AJ1731" s="750"/>
      <c r="AK1731" s="750"/>
      <c r="AL1731" s="750"/>
      <c r="AM1731" s="750"/>
      <c r="AN1731" s="750"/>
      <c r="AO1731" s="750"/>
      <c r="AP1731" s="750"/>
      <c r="AQ1731" s="750"/>
      <c r="AR1731" s="750"/>
      <c r="AS1731" s="750"/>
      <c r="AT1731" s="750"/>
      <c r="AU1731" s="750"/>
      <c r="AV1731" s="750"/>
      <c r="AW1731" s="750"/>
      <c r="AX1731" s="750"/>
      <c r="AY1731" s="750"/>
      <c r="AZ1731" s="750"/>
      <c r="BA1731" s="750"/>
      <c r="BB1731" s="750"/>
      <c r="BC1731" s="752"/>
      <c r="BD1731" s="752"/>
      <c r="BE1731" s="752"/>
      <c r="BF1731" s="752"/>
      <c r="BG1731" s="752"/>
      <c r="BH1731" s="752"/>
      <c r="BI1731" s="752"/>
      <c r="BJ1731" s="752"/>
      <c r="BK1731" s="752"/>
      <c r="BL1731" s="752"/>
      <c r="BM1731" s="752"/>
      <c r="BN1731" s="752"/>
      <c r="BO1731" s="752"/>
      <c r="BP1731" s="752"/>
      <c r="BQ1731" s="752"/>
      <c r="BR1731" s="752"/>
      <c r="BS1731" s="752"/>
      <c r="BT1731" s="752"/>
      <c r="BU1731" s="752"/>
      <c r="BV1731" s="752"/>
      <c r="BW1731" s="752"/>
      <c r="BX1731" s="752"/>
      <c r="BY1731" s="752"/>
      <c r="BZ1731" s="752"/>
      <c r="CA1731" s="752"/>
      <c r="CB1731" s="752"/>
      <c r="CC1731" s="752"/>
      <c r="CD1731" s="752"/>
      <c r="CE1731" s="752"/>
      <c r="CF1731" s="752"/>
      <c r="CG1731" s="752"/>
      <c r="CH1731" s="752"/>
      <c r="CI1731" s="752"/>
      <c r="CJ1731" s="752"/>
      <c r="CK1731" s="752"/>
      <c r="CL1731" s="752"/>
      <c r="CM1731" s="752"/>
      <c r="CN1731" s="752"/>
      <c r="CO1731" s="752"/>
      <c r="CP1731" s="752"/>
      <c r="CQ1731" s="752"/>
      <c r="CR1731" s="752"/>
      <c r="CS1731" s="752"/>
      <c r="CT1731" s="752"/>
      <c r="CU1731" s="752"/>
      <c r="CV1731" s="752"/>
      <c r="CW1731" s="752"/>
      <c r="CX1731" s="752"/>
      <c r="CY1731" s="752"/>
      <c r="CZ1731" s="752"/>
      <c r="DA1731" s="752"/>
      <c r="DB1731" s="752"/>
      <c r="DC1731" s="752"/>
      <c r="DD1731" s="752"/>
      <c r="DE1731" s="752"/>
      <c r="DF1731" s="752"/>
      <c r="DG1731" s="752"/>
      <c r="DH1731" s="752"/>
      <c r="DI1731" s="752"/>
      <c r="DJ1731" s="752"/>
      <c r="DK1731" s="752"/>
      <c r="DL1731" s="752"/>
      <c r="DM1731" s="752"/>
      <c r="DN1731" s="752"/>
      <c r="DO1731" s="752"/>
      <c r="DP1731" s="752"/>
      <c r="DQ1731" s="752"/>
      <c r="DR1731" s="752"/>
      <c r="DS1731" s="752"/>
      <c r="DT1731" s="752"/>
      <c r="DU1731" s="752"/>
      <c r="DV1731" s="752"/>
      <c r="DW1731" s="752"/>
      <c r="DX1731" s="752"/>
      <c r="DY1731" s="752"/>
      <c r="DZ1731" s="752"/>
      <c r="EA1731" s="752"/>
      <c r="EB1731" s="752"/>
      <c r="EC1731" s="752"/>
      <c r="ED1731" s="752"/>
      <c r="EE1731" s="752"/>
      <c r="EF1731" s="752"/>
      <c r="EG1731" s="752"/>
      <c r="EH1731" s="752"/>
      <c r="EI1731" s="752"/>
      <c r="EJ1731" s="752"/>
      <c r="EK1731" s="752"/>
      <c r="EL1731" s="752"/>
      <c r="EM1731" s="752"/>
      <c r="EN1731" s="752"/>
      <c r="EO1731" s="752"/>
      <c r="EP1731" s="752"/>
      <c r="EQ1731" s="752"/>
      <c r="ER1731" s="752"/>
      <c r="ES1731" s="752"/>
      <c r="ET1731" s="752"/>
      <c r="EU1731" s="752"/>
      <c r="EV1731" s="752"/>
      <c r="EW1731" s="752"/>
      <c r="EX1731" s="752"/>
      <c r="EY1731" s="752"/>
      <c r="EZ1731" s="752"/>
      <c r="FA1731" s="752"/>
      <c r="FB1731" s="752"/>
      <c r="FC1731" s="752"/>
      <c r="FD1731" s="752"/>
      <c r="FE1731" s="752"/>
      <c r="FF1731" s="752"/>
      <c r="FG1731" s="752"/>
      <c r="FH1731" s="752"/>
      <c r="FI1731" s="752"/>
      <c r="FJ1731" s="752"/>
      <c r="FK1731" s="752"/>
      <c r="FL1731" s="752"/>
      <c r="FM1731" s="752"/>
      <c r="FN1731" s="752"/>
      <c r="FO1731" s="752"/>
      <c r="FP1731" s="752"/>
      <c r="FQ1731" s="752"/>
      <c r="FR1731" s="752"/>
      <c r="FS1731" s="752"/>
      <c r="FT1731" s="752"/>
      <c r="FU1731" s="752"/>
      <c r="FV1731" s="752"/>
      <c r="FW1731" s="752"/>
      <c r="FX1731" s="752"/>
      <c r="FY1731" s="752"/>
      <c r="FZ1731" s="752"/>
      <c r="GA1731" s="752"/>
      <c r="GB1731" s="752"/>
      <c r="GC1731" s="752"/>
      <c r="GD1731" s="752"/>
      <c r="GE1731" s="752"/>
      <c r="GF1731" s="752"/>
      <c r="GG1731" s="752"/>
      <c r="GH1731" s="752"/>
      <c r="GI1731" s="752"/>
      <c r="GJ1731" s="752"/>
      <c r="GK1731" s="752"/>
      <c r="GL1731" s="752"/>
      <c r="GM1731" s="752"/>
      <c r="GN1731" s="752"/>
      <c r="GO1731" s="752"/>
      <c r="GP1731" s="752"/>
      <c r="GQ1731" s="752"/>
      <c r="GR1731" s="752"/>
      <c r="GS1731" s="752"/>
      <c r="GT1731" s="752"/>
      <c r="GU1731" s="752"/>
      <c r="GV1731" s="752"/>
      <c r="GW1731" s="752"/>
      <c r="GX1731" s="752"/>
      <c r="GY1731" s="752"/>
      <c r="GZ1731" s="752"/>
      <c r="HA1731" s="752"/>
      <c r="HB1731" s="752"/>
      <c r="HC1731" s="752"/>
      <c r="HD1731" s="752"/>
      <c r="HE1731" s="752"/>
      <c r="HF1731" s="752"/>
      <c r="HG1731" s="752"/>
      <c r="HH1731" s="752"/>
      <c r="HI1731" s="752"/>
      <c r="HJ1731" s="752"/>
      <c r="HK1731" s="752"/>
      <c r="HL1731" s="752"/>
      <c r="HM1731" s="752"/>
      <c r="HN1731" s="752"/>
      <c r="HO1731" s="752"/>
      <c r="HP1731" s="752"/>
      <c r="HQ1731" s="752"/>
      <c r="HR1731" s="752"/>
      <c r="HS1731" s="752"/>
      <c r="HT1731" s="752"/>
      <c r="HU1731" s="752"/>
      <c r="HV1731" s="752"/>
      <c r="HW1731" s="752"/>
      <c r="HX1731" s="752"/>
      <c r="HY1731" s="752"/>
      <c r="HZ1731" s="752"/>
      <c r="IA1731" s="752"/>
      <c r="IB1731" s="752"/>
      <c r="IC1731" s="752"/>
      <c r="ID1731" s="752"/>
      <c r="IE1731" s="752"/>
      <c r="IF1731" s="752"/>
      <c r="IG1731" s="752"/>
      <c r="IH1731" s="752"/>
      <c r="II1731" s="752"/>
      <c r="IJ1731" s="752"/>
      <c r="IK1731" s="752"/>
      <c r="IL1731" s="752"/>
      <c r="IM1731" s="752"/>
      <c r="IN1731" s="752"/>
      <c r="IO1731" s="752"/>
    </row>
    <row r="1732" spans="1:249" ht="115.5">
      <c r="A1732" s="303">
        <v>3</v>
      </c>
      <c r="B1732" s="545"/>
      <c r="C1732" s="303">
        <v>3</v>
      </c>
      <c r="D1732" s="303" t="s">
        <v>34</v>
      </c>
      <c r="E1732" s="303" t="s">
        <v>39</v>
      </c>
      <c r="F1732" s="303" t="s">
        <v>56</v>
      </c>
      <c r="G1732" s="989"/>
      <c r="H1732" s="989"/>
      <c r="I1732" s="46" t="s">
        <v>175</v>
      </c>
      <c r="J1732" s="629" t="s">
        <v>3211</v>
      </c>
      <c r="K1732" s="230">
        <v>90</v>
      </c>
      <c r="L1732" s="1877">
        <f>SUM(L1733:L1734)</f>
        <v>1106753905</v>
      </c>
      <c r="M1732" s="818">
        <v>100</v>
      </c>
      <c r="N1732" s="292">
        <f>SUM(N1733:N1734)</f>
        <v>456683613</v>
      </c>
      <c r="O1732" s="230">
        <v>100</v>
      </c>
      <c r="P1732" s="292">
        <f>SUM(P1733:P1734)</f>
        <v>111205921</v>
      </c>
      <c r="Q1732" s="230">
        <v>2.5000000000000001E-2</v>
      </c>
      <c r="R1732" s="230">
        <v>0</v>
      </c>
      <c r="S1732" s="162"/>
      <c r="T1732" s="230">
        <f>SUM(T1733:T1734)</f>
        <v>20680929</v>
      </c>
      <c r="U1732" s="162"/>
      <c r="V1732" s="801"/>
      <c r="W1732" s="230"/>
      <c r="X1732" s="230"/>
      <c r="Y1732" s="230">
        <f t="shared" si="504"/>
        <v>2.5000000000000001E-2</v>
      </c>
      <c r="Z1732" s="230">
        <f t="shared" si="505"/>
        <v>20680929</v>
      </c>
      <c r="AA1732" s="292">
        <f t="shared" si="506"/>
        <v>100.02500000000001</v>
      </c>
      <c r="AB1732" s="230">
        <f t="shared" si="507"/>
        <v>477364542</v>
      </c>
      <c r="AC1732" s="292">
        <f t="shared" si="508"/>
        <v>111.1388888888889</v>
      </c>
      <c r="AD1732" s="292">
        <f t="shared" si="509"/>
        <v>43.131950096891686</v>
      </c>
      <c r="AE1732" s="2558" t="s">
        <v>228</v>
      </c>
      <c r="AF1732" s="750"/>
      <c r="AG1732" s="750"/>
      <c r="AH1732" s="750"/>
      <c r="AI1732" s="750"/>
      <c r="AJ1732" s="750"/>
      <c r="AK1732" s="750"/>
      <c r="AL1732" s="750"/>
      <c r="AM1732" s="750"/>
      <c r="AN1732" s="750"/>
      <c r="AO1732" s="750"/>
      <c r="AP1732" s="750"/>
      <c r="AQ1732" s="750"/>
      <c r="AR1732" s="750"/>
      <c r="AS1732" s="750"/>
      <c r="AT1732" s="750"/>
      <c r="AU1732" s="750"/>
      <c r="AV1732" s="750"/>
      <c r="AW1732" s="750"/>
      <c r="AX1732" s="750"/>
      <c r="AY1732" s="750"/>
      <c r="AZ1732" s="750"/>
      <c r="BA1732" s="750"/>
      <c r="BB1732" s="750"/>
      <c r="BC1732" s="752"/>
      <c r="BD1732" s="752"/>
      <c r="BE1732" s="752"/>
      <c r="BF1732" s="752"/>
      <c r="BG1732" s="752"/>
      <c r="BH1732" s="752"/>
      <c r="BI1732" s="752"/>
      <c r="BJ1732" s="752"/>
      <c r="BK1732" s="752"/>
      <c r="BL1732" s="752"/>
      <c r="BM1732" s="752"/>
      <c r="BN1732" s="752"/>
      <c r="BO1732" s="752"/>
      <c r="BP1732" s="752"/>
      <c r="BQ1732" s="752"/>
      <c r="BR1732" s="752"/>
      <c r="BS1732" s="752"/>
      <c r="BT1732" s="752"/>
      <c r="BU1732" s="752"/>
      <c r="BV1732" s="752"/>
      <c r="BW1732" s="752"/>
      <c r="BX1732" s="752"/>
      <c r="BY1732" s="752"/>
      <c r="BZ1732" s="752"/>
      <c r="CA1732" s="752"/>
      <c r="CB1732" s="752"/>
      <c r="CC1732" s="752"/>
      <c r="CD1732" s="752"/>
      <c r="CE1732" s="752"/>
      <c r="CF1732" s="752"/>
      <c r="CG1732" s="752"/>
      <c r="CH1732" s="752"/>
      <c r="CI1732" s="752"/>
      <c r="CJ1732" s="752"/>
      <c r="CK1732" s="752"/>
      <c r="CL1732" s="752"/>
      <c r="CM1732" s="752"/>
      <c r="CN1732" s="752"/>
      <c r="CO1732" s="752"/>
      <c r="CP1732" s="752"/>
      <c r="CQ1732" s="752"/>
      <c r="CR1732" s="752"/>
      <c r="CS1732" s="752"/>
      <c r="CT1732" s="752"/>
      <c r="CU1732" s="752"/>
      <c r="CV1732" s="752"/>
      <c r="CW1732" s="752"/>
      <c r="CX1732" s="752"/>
      <c r="CY1732" s="752"/>
      <c r="CZ1732" s="752"/>
      <c r="DA1732" s="752"/>
      <c r="DB1732" s="752"/>
      <c r="DC1732" s="752"/>
      <c r="DD1732" s="752"/>
      <c r="DE1732" s="752"/>
      <c r="DF1732" s="752"/>
      <c r="DG1732" s="752"/>
      <c r="DH1732" s="752"/>
      <c r="DI1732" s="752"/>
      <c r="DJ1732" s="752"/>
      <c r="DK1732" s="752"/>
      <c r="DL1732" s="752"/>
      <c r="DM1732" s="752"/>
      <c r="DN1732" s="752"/>
      <c r="DO1732" s="752"/>
      <c r="DP1732" s="752"/>
      <c r="DQ1732" s="752"/>
      <c r="DR1732" s="752"/>
      <c r="DS1732" s="752"/>
      <c r="DT1732" s="752"/>
      <c r="DU1732" s="752"/>
      <c r="DV1732" s="752"/>
      <c r="DW1732" s="752"/>
      <c r="DX1732" s="752"/>
      <c r="DY1732" s="752"/>
      <c r="DZ1732" s="752"/>
      <c r="EA1732" s="752"/>
      <c r="EB1732" s="752"/>
      <c r="EC1732" s="752"/>
      <c r="ED1732" s="752"/>
      <c r="EE1732" s="752"/>
      <c r="EF1732" s="752"/>
      <c r="EG1732" s="752"/>
      <c r="EH1732" s="752"/>
      <c r="EI1732" s="752"/>
      <c r="EJ1732" s="752"/>
      <c r="EK1732" s="752"/>
      <c r="EL1732" s="752"/>
      <c r="EM1732" s="752"/>
      <c r="EN1732" s="752"/>
      <c r="EO1732" s="752"/>
      <c r="EP1732" s="752"/>
      <c r="EQ1732" s="752"/>
      <c r="ER1732" s="752"/>
      <c r="ES1732" s="752"/>
      <c r="ET1732" s="752"/>
      <c r="EU1732" s="752"/>
      <c r="EV1732" s="752"/>
      <c r="EW1732" s="752"/>
      <c r="EX1732" s="752"/>
      <c r="EY1732" s="752"/>
      <c r="EZ1732" s="752"/>
      <c r="FA1732" s="752"/>
      <c r="FB1732" s="752"/>
      <c r="FC1732" s="752"/>
      <c r="FD1732" s="752"/>
      <c r="FE1732" s="752"/>
      <c r="FF1732" s="752"/>
      <c r="FG1732" s="752"/>
      <c r="FH1732" s="752"/>
      <c r="FI1732" s="752"/>
      <c r="FJ1732" s="752"/>
      <c r="FK1732" s="752"/>
      <c r="FL1732" s="752"/>
      <c r="FM1732" s="752"/>
      <c r="FN1732" s="752"/>
      <c r="FO1732" s="752"/>
      <c r="FP1732" s="752"/>
      <c r="FQ1732" s="752"/>
      <c r="FR1732" s="752"/>
      <c r="FS1732" s="752"/>
      <c r="FT1732" s="752"/>
      <c r="FU1732" s="752"/>
      <c r="FV1732" s="752"/>
      <c r="FW1732" s="752"/>
      <c r="FX1732" s="752"/>
      <c r="FY1732" s="752"/>
      <c r="FZ1732" s="752"/>
      <c r="GA1732" s="752"/>
      <c r="GB1732" s="752"/>
      <c r="GC1732" s="752"/>
      <c r="GD1732" s="752"/>
      <c r="GE1732" s="752"/>
      <c r="GF1732" s="752"/>
      <c r="GG1732" s="752"/>
      <c r="GH1732" s="752"/>
      <c r="GI1732" s="752"/>
      <c r="GJ1732" s="752"/>
      <c r="GK1732" s="752"/>
      <c r="GL1732" s="752"/>
      <c r="GM1732" s="752"/>
      <c r="GN1732" s="752"/>
      <c r="GO1732" s="752"/>
      <c r="GP1732" s="752"/>
      <c r="GQ1732" s="752"/>
      <c r="GR1732" s="752"/>
      <c r="GS1732" s="752"/>
      <c r="GT1732" s="752"/>
      <c r="GU1732" s="752"/>
      <c r="GV1732" s="752"/>
      <c r="GW1732" s="752"/>
      <c r="GX1732" s="752"/>
      <c r="GY1732" s="752"/>
      <c r="GZ1732" s="752"/>
      <c r="HA1732" s="752"/>
      <c r="HB1732" s="752"/>
      <c r="HC1732" s="752"/>
      <c r="HD1732" s="752"/>
      <c r="HE1732" s="752"/>
      <c r="HF1732" s="752"/>
      <c r="HG1732" s="752"/>
      <c r="HH1732" s="752"/>
      <c r="HI1732" s="752"/>
      <c r="HJ1732" s="752"/>
      <c r="HK1732" s="752"/>
      <c r="HL1732" s="752"/>
      <c r="HM1732" s="752"/>
      <c r="HN1732" s="752"/>
      <c r="HO1732" s="752"/>
      <c r="HP1732" s="752"/>
      <c r="HQ1732" s="752"/>
      <c r="HR1732" s="752"/>
      <c r="HS1732" s="752"/>
      <c r="HT1732" s="752"/>
      <c r="HU1732" s="752"/>
      <c r="HV1732" s="752"/>
      <c r="HW1732" s="752"/>
      <c r="HX1732" s="752"/>
      <c r="HY1732" s="752"/>
      <c r="HZ1732" s="752"/>
      <c r="IA1732" s="752"/>
      <c r="IB1732" s="752"/>
      <c r="IC1732" s="752"/>
      <c r="ID1732" s="752"/>
      <c r="IE1732" s="752"/>
      <c r="IF1732" s="752"/>
      <c r="IG1732" s="752"/>
      <c r="IH1732" s="752"/>
      <c r="II1732" s="752"/>
      <c r="IJ1732" s="752"/>
      <c r="IK1732" s="752"/>
      <c r="IL1732" s="752"/>
      <c r="IM1732" s="752"/>
      <c r="IN1732" s="752"/>
      <c r="IO1732" s="752"/>
    </row>
    <row r="1733" spans="1:249" ht="66">
      <c r="A1733" s="89"/>
      <c r="B1733" s="100"/>
      <c r="C1733" s="605">
        <v>3</v>
      </c>
      <c r="D1733" s="605" t="s">
        <v>34</v>
      </c>
      <c r="E1733" s="605" t="s">
        <v>39</v>
      </c>
      <c r="F1733" s="605" t="s">
        <v>56</v>
      </c>
      <c r="G1733" s="605" t="s">
        <v>28</v>
      </c>
      <c r="H1733" s="605"/>
      <c r="I1733" s="45" t="s">
        <v>1654</v>
      </c>
      <c r="J1733" s="124" t="s">
        <v>1655</v>
      </c>
      <c r="K1733" s="100">
        <v>1080</v>
      </c>
      <c r="L1733" s="125">
        <v>452640035</v>
      </c>
      <c r="M1733" s="104">
        <v>600</v>
      </c>
      <c r="N1733" s="125">
        <v>170242793</v>
      </c>
      <c r="O1733" s="91">
        <v>0</v>
      </c>
      <c r="P1733" s="125">
        <v>0</v>
      </c>
      <c r="Q1733" s="91">
        <v>0</v>
      </c>
      <c r="R1733" s="125">
        <v>0</v>
      </c>
      <c r="S1733" s="125"/>
      <c r="T1733" s="125"/>
      <c r="U1733" s="125"/>
      <c r="V1733" s="803"/>
      <c r="W1733" s="125"/>
      <c r="X1733" s="125"/>
      <c r="Y1733" s="125">
        <f t="shared" si="504"/>
        <v>0</v>
      </c>
      <c r="Z1733" s="125">
        <f t="shared" si="505"/>
        <v>0</v>
      </c>
      <c r="AA1733" s="1196">
        <f t="shared" si="506"/>
        <v>600</v>
      </c>
      <c r="AB1733" s="125">
        <f t="shared" si="507"/>
        <v>170242793</v>
      </c>
      <c r="AC1733" s="1196">
        <f t="shared" si="508"/>
        <v>55.555555555555557</v>
      </c>
      <c r="AD1733" s="1196">
        <f t="shared" si="509"/>
        <v>37.611077199567646</v>
      </c>
      <c r="AE1733" s="89"/>
      <c r="AF1733" s="750"/>
      <c r="AG1733" s="750"/>
      <c r="AH1733" s="750"/>
      <c r="AI1733" s="750"/>
      <c r="AJ1733" s="750"/>
      <c r="AK1733" s="750"/>
      <c r="AL1733" s="750"/>
      <c r="AM1733" s="750"/>
      <c r="AN1733" s="750"/>
      <c r="AO1733" s="750"/>
      <c r="AP1733" s="750"/>
      <c r="AQ1733" s="750"/>
      <c r="AR1733" s="750"/>
      <c r="AS1733" s="750"/>
      <c r="AT1733" s="750"/>
      <c r="AU1733" s="750"/>
      <c r="AV1733" s="750"/>
      <c r="AW1733" s="750"/>
      <c r="AX1733" s="750"/>
      <c r="AY1733" s="750"/>
      <c r="AZ1733" s="750"/>
      <c r="BA1733" s="750"/>
      <c r="BB1733" s="750"/>
      <c r="BC1733" s="752"/>
      <c r="BD1733" s="752"/>
      <c r="BE1733" s="752"/>
      <c r="BF1733" s="752"/>
      <c r="BG1733" s="752"/>
      <c r="BH1733" s="752"/>
      <c r="BI1733" s="752"/>
      <c r="BJ1733" s="752"/>
      <c r="BK1733" s="752"/>
      <c r="BL1733" s="752"/>
      <c r="BM1733" s="752"/>
      <c r="BN1733" s="752"/>
      <c r="BO1733" s="752"/>
      <c r="BP1733" s="752"/>
      <c r="BQ1733" s="752"/>
      <c r="BR1733" s="752"/>
      <c r="BS1733" s="752"/>
      <c r="BT1733" s="752"/>
      <c r="BU1733" s="752"/>
      <c r="BV1733" s="752"/>
      <c r="BW1733" s="752"/>
      <c r="BX1733" s="752"/>
      <c r="BY1733" s="752"/>
      <c r="BZ1733" s="752"/>
      <c r="CA1733" s="752"/>
      <c r="CB1733" s="752"/>
      <c r="CC1733" s="752"/>
      <c r="CD1733" s="752"/>
      <c r="CE1733" s="752"/>
      <c r="CF1733" s="752"/>
      <c r="CG1733" s="752"/>
      <c r="CH1733" s="752"/>
      <c r="CI1733" s="752"/>
      <c r="CJ1733" s="752"/>
      <c r="CK1733" s="752"/>
      <c r="CL1733" s="752"/>
      <c r="CM1733" s="752"/>
      <c r="CN1733" s="752"/>
      <c r="CO1733" s="752"/>
      <c r="CP1733" s="752"/>
      <c r="CQ1733" s="752"/>
      <c r="CR1733" s="752"/>
      <c r="CS1733" s="752"/>
      <c r="CT1733" s="752"/>
      <c r="CU1733" s="752"/>
      <c r="CV1733" s="752"/>
      <c r="CW1733" s="752"/>
      <c r="CX1733" s="752"/>
      <c r="CY1733" s="752"/>
      <c r="CZ1733" s="752"/>
      <c r="DA1733" s="752"/>
      <c r="DB1733" s="752"/>
      <c r="DC1733" s="752"/>
      <c r="DD1733" s="752"/>
      <c r="DE1733" s="752"/>
      <c r="DF1733" s="752"/>
      <c r="DG1733" s="752"/>
      <c r="DH1733" s="752"/>
      <c r="DI1733" s="752"/>
      <c r="DJ1733" s="752"/>
      <c r="DK1733" s="752"/>
      <c r="DL1733" s="752"/>
      <c r="DM1733" s="752"/>
      <c r="DN1733" s="752"/>
      <c r="DO1733" s="752"/>
      <c r="DP1733" s="752"/>
      <c r="DQ1733" s="752"/>
      <c r="DR1733" s="752"/>
      <c r="DS1733" s="752"/>
      <c r="DT1733" s="752"/>
      <c r="DU1733" s="752"/>
      <c r="DV1733" s="752"/>
      <c r="DW1733" s="752"/>
      <c r="DX1733" s="752"/>
      <c r="DY1733" s="752"/>
      <c r="DZ1733" s="752"/>
      <c r="EA1733" s="752"/>
      <c r="EB1733" s="752"/>
      <c r="EC1733" s="752"/>
      <c r="ED1733" s="752"/>
      <c r="EE1733" s="752"/>
      <c r="EF1733" s="752"/>
      <c r="EG1733" s="752"/>
      <c r="EH1733" s="752"/>
      <c r="EI1733" s="752"/>
      <c r="EJ1733" s="752"/>
      <c r="EK1733" s="752"/>
      <c r="EL1733" s="752"/>
      <c r="EM1733" s="752"/>
      <c r="EN1733" s="752"/>
      <c r="EO1733" s="752"/>
      <c r="EP1733" s="752"/>
      <c r="EQ1733" s="752"/>
      <c r="ER1733" s="752"/>
      <c r="ES1733" s="752"/>
      <c r="ET1733" s="752"/>
      <c r="EU1733" s="752"/>
      <c r="EV1733" s="752"/>
      <c r="EW1733" s="752"/>
      <c r="EX1733" s="752"/>
      <c r="EY1733" s="752"/>
      <c r="EZ1733" s="752"/>
      <c r="FA1733" s="752"/>
      <c r="FB1733" s="752"/>
      <c r="FC1733" s="752"/>
      <c r="FD1733" s="752"/>
      <c r="FE1733" s="752"/>
      <c r="FF1733" s="752"/>
      <c r="FG1733" s="752"/>
      <c r="FH1733" s="752"/>
      <c r="FI1733" s="752"/>
      <c r="FJ1733" s="752"/>
      <c r="FK1733" s="752"/>
      <c r="FL1733" s="752"/>
      <c r="FM1733" s="752"/>
      <c r="FN1733" s="752"/>
      <c r="FO1733" s="752"/>
      <c r="FP1733" s="752"/>
      <c r="FQ1733" s="752"/>
      <c r="FR1733" s="752"/>
      <c r="FS1733" s="752"/>
      <c r="FT1733" s="752"/>
      <c r="FU1733" s="752"/>
      <c r="FV1733" s="752"/>
      <c r="FW1733" s="752"/>
      <c r="FX1733" s="752"/>
      <c r="FY1733" s="752"/>
      <c r="FZ1733" s="752"/>
      <c r="GA1733" s="752"/>
      <c r="GB1733" s="752"/>
      <c r="GC1733" s="752"/>
      <c r="GD1733" s="752"/>
      <c r="GE1733" s="752"/>
      <c r="GF1733" s="752"/>
      <c r="GG1733" s="752"/>
      <c r="GH1733" s="752"/>
      <c r="GI1733" s="752"/>
      <c r="GJ1733" s="752"/>
      <c r="GK1733" s="752"/>
      <c r="GL1733" s="752"/>
      <c r="GM1733" s="752"/>
      <c r="GN1733" s="752"/>
      <c r="GO1733" s="752"/>
      <c r="GP1733" s="752"/>
      <c r="GQ1733" s="752"/>
      <c r="GR1733" s="752"/>
      <c r="GS1733" s="752"/>
      <c r="GT1733" s="752"/>
      <c r="GU1733" s="752"/>
      <c r="GV1733" s="752"/>
      <c r="GW1733" s="752"/>
      <c r="GX1733" s="752"/>
      <c r="GY1733" s="752"/>
      <c r="GZ1733" s="752"/>
      <c r="HA1733" s="752"/>
      <c r="HB1733" s="752"/>
      <c r="HC1733" s="752"/>
      <c r="HD1733" s="752"/>
      <c r="HE1733" s="752"/>
      <c r="HF1733" s="752"/>
      <c r="HG1733" s="752"/>
      <c r="HH1733" s="752"/>
      <c r="HI1733" s="752"/>
      <c r="HJ1733" s="752"/>
      <c r="HK1733" s="752"/>
      <c r="HL1733" s="752"/>
      <c r="HM1733" s="752"/>
      <c r="HN1733" s="752"/>
      <c r="HO1733" s="752"/>
      <c r="HP1733" s="752"/>
      <c r="HQ1733" s="752"/>
      <c r="HR1733" s="752"/>
      <c r="HS1733" s="752"/>
      <c r="HT1733" s="752"/>
      <c r="HU1733" s="752"/>
      <c r="HV1733" s="752"/>
      <c r="HW1733" s="752"/>
      <c r="HX1733" s="752"/>
      <c r="HY1733" s="752"/>
      <c r="HZ1733" s="752"/>
      <c r="IA1733" s="752"/>
      <c r="IB1733" s="752"/>
      <c r="IC1733" s="752"/>
      <c r="ID1733" s="752"/>
      <c r="IE1733" s="752"/>
      <c r="IF1733" s="752"/>
      <c r="IG1733" s="752"/>
      <c r="IH1733" s="752"/>
      <c r="II1733" s="752"/>
      <c r="IJ1733" s="752"/>
      <c r="IK1733" s="752"/>
      <c r="IL1733" s="752"/>
      <c r="IM1733" s="752"/>
      <c r="IN1733" s="752"/>
      <c r="IO1733" s="752"/>
    </row>
    <row r="1734" spans="1:249" ht="82.5">
      <c r="A1734" s="89"/>
      <c r="B1734" s="100"/>
      <c r="C1734" s="605">
        <v>3</v>
      </c>
      <c r="D1734" s="605" t="s">
        <v>34</v>
      </c>
      <c r="E1734" s="605" t="s">
        <v>39</v>
      </c>
      <c r="F1734" s="605" t="s">
        <v>56</v>
      </c>
      <c r="G1734" s="605" t="s">
        <v>78</v>
      </c>
      <c r="H1734" s="605"/>
      <c r="I1734" s="45" t="s">
        <v>1656</v>
      </c>
      <c r="J1734" s="124" t="s">
        <v>1657</v>
      </c>
      <c r="K1734" s="100">
        <v>540</v>
      </c>
      <c r="L1734" s="125">
        <v>654113870</v>
      </c>
      <c r="M1734" s="104">
        <v>270</v>
      </c>
      <c r="N1734" s="125">
        <v>286440820</v>
      </c>
      <c r="O1734" s="91">
        <v>100</v>
      </c>
      <c r="P1734" s="125">
        <v>111205921</v>
      </c>
      <c r="Q1734" s="91">
        <v>0</v>
      </c>
      <c r="R1734" s="125">
        <v>0</v>
      </c>
      <c r="S1734" s="125">
        <v>70</v>
      </c>
      <c r="T1734" s="125">
        <v>20680929</v>
      </c>
      <c r="U1734" s="125"/>
      <c r="V1734" s="803"/>
      <c r="W1734" s="125"/>
      <c r="X1734" s="125"/>
      <c r="Y1734" s="125">
        <f t="shared" si="504"/>
        <v>70</v>
      </c>
      <c r="Z1734" s="125">
        <f t="shared" si="505"/>
        <v>20680929</v>
      </c>
      <c r="AA1734" s="1196">
        <f t="shared" si="506"/>
        <v>340</v>
      </c>
      <c r="AB1734" s="125">
        <f t="shared" si="507"/>
        <v>307121749</v>
      </c>
      <c r="AC1734" s="1196">
        <f t="shared" si="508"/>
        <v>62.962962962962962</v>
      </c>
      <c r="AD1734" s="1196">
        <f t="shared" si="509"/>
        <v>46.952337060212471</v>
      </c>
      <c r="AE1734" s="89"/>
      <c r="AF1734" s="750"/>
      <c r="AG1734" s="750"/>
      <c r="AH1734" s="750"/>
      <c r="AI1734" s="750"/>
      <c r="AJ1734" s="750"/>
      <c r="AK1734" s="750"/>
      <c r="AL1734" s="750"/>
      <c r="AM1734" s="750"/>
      <c r="AN1734" s="750"/>
      <c r="AO1734" s="750"/>
      <c r="AP1734" s="750"/>
      <c r="AQ1734" s="750"/>
      <c r="AR1734" s="750"/>
      <c r="AS1734" s="750"/>
      <c r="AT1734" s="750"/>
      <c r="AU1734" s="750"/>
      <c r="AV1734" s="750"/>
      <c r="AW1734" s="750"/>
      <c r="AX1734" s="750"/>
      <c r="AY1734" s="750"/>
      <c r="AZ1734" s="750"/>
      <c r="BA1734" s="750"/>
      <c r="BB1734" s="750"/>
      <c r="BC1734" s="752"/>
      <c r="BD1734" s="752"/>
      <c r="BE1734" s="752"/>
      <c r="BF1734" s="752"/>
      <c r="BG1734" s="752"/>
      <c r="BH1734" s="752"/>
      <c r="BI1734" s="752"/>
      <c r="BJ1734" s="752"/>
      <c r="BK1734" s="752"/>
      <c r="BL1734" s="752"/>
      <c r="BM1734" s="752"/>
      <c r="BN1734" s="752"/>
      <c r="BO1734" s="752"/>
      <c r="BP1734" s="752"/>
      <c r="BQ1734" s="752"/>
      <c r="BR1734" s="752"/>
      <c r="BS1734" s="752"/>
      <c r="BT1734" s="752"/>
      <c r="BU1734" s="752"/>
      <c r="BV1734" s="752"/>
      <c r="BW1734" s="752"/>
      <c r="BX1734" s="752"/>
      <c r="BY1734" s="752"/>
      <c r="BZ1734" s="752"/>
      <c r="CA1734" s="752"/>
      <c r="CB1734" s="752"/>
      <c r="CC1734" s="752"/>
      <c r="CD1734" s="752"/>
      <c r="CE1734" s="752"/>
      <c r="CF1734" s="752"/>
      <c r="CG1734" s="752"/>
      <c r="CH1734" s="752"/>
      <c r="CI1734" s="752"/>
      <c r="CJ1734" s="752"/>
      <c r="CK1734" s="752"/>
      <c r="CL1734" s="752"/>
      <c r="CM1734" s="752"/>
      <c r="CN1734" s="752"/>
      <c r="CO1734" s="752"/>
      <c r="CP1734" s="752"/>
      <c r="CQ1734" s="752"/>
      <c r="CR1734" s="752"/>
      <c r="CS1734" s="752"/>
      <c r="CT1734" s="752"/>
      <c r="CU1734" s="752"/>
      <c r="CV1734" s="752"/>
      <c r="CW1734" s="752"/>
      <c r="CX1734" s="752"/>
      <c r="CY1734" s="752"/>
      <c r="CZ1734" s="752"/>
      <c r="DA1734" s="752"/>
      <c r="DB1734" s="752"/>
      <c r="DC1734" s="752"/>
      <c r="DD1734" s="752"/>
      <c r="DE1734" s="752"/>
      <c r="DF1734" s="752"/>
      <c r="DG1734" s="752"/>
      <c r="DH1734" s="752"/>
      <c r="DI1734" s="752"/>
      <c r="DJ1734" s="752"/>
      <c r="DK1734" s="752"/>
      <c r="DL1734" s="752"/>
      <c r="DM1734" s="752"/>
      <c r="DN1734" s="752"/>
      <c r="DO1734" s="752"/>
      <c r="DP1734" s="752"/>
      <c r="DQ1734" s="752"/>
      <c r="DR1734" s="752"/>
      <c r="DS1734" s="752"/>
      <c r="DT1734" s="752"/>
      <c r="DU1734" s="752"/>
      <c r="DV1734" s="752"/>
      <c r="DW1734" s="752"/>
      <c r="DX1734" s="752"/>
      <c r="DY1734" s="752"/>
      <c r="DZ1734" s="752"/>
      <c r="EA1734" s="752"/>
      <c r="EB1734" s="752"/>
      <c r="EC1734" s="752"/>
      <c r="ED1734" s="752"/>
      <c r="EE1734" s="752"/>
      <c r="EF1734" s="752"/>
      <c r="EG1734" s="752"/>
      <c r="EH1734" s="752"/>
      <c r="EI1734" s="752"/>
      <c r="EJ1734" s="752"/>
      <c r="EK1734" s="752"/>
      <c r="EL1734" s="752"/>
      <c r="EM1734" s="752"/>
      <c r="EN1734" s="752"/>
      <c r="EO1734" s="752"/>
      <c r="EP1734" s="752"/>
      <c r="EQ1734" s="752"/>
      <c r="ER1734" s="752"/>
      <c r="ES1734" s="752"/>
      <c r="ET1734" s="752"/>
      <c r="EU1734" s="752"/>
      <c r="EV1734" s="752"/>
      <c r="EW1734" s="752"/>
      <c r="EX1734" s="752"/>
      <c r="EY1734" s="752"/>
      <c r="EZ1734" s="752"/>
      <c r="FA1734" s="752"/>
      <c r="FB1734" s="752"/>
      <c r="FC1734" s="752"/>
      <c r="FD1734" s="752"/>
      <c r="FE1734" s="752"/>
      <c r="FF1734" s="752"/>
      <c r="FG1734" s="752"/>
      <c r="FH1734" s="752"/>
      <c r="FI1734" s="752"/>
      <c r="FJ1734" s="752"/>
      <c r="FK1734" s="752"/>
      <c r="FL1734" s="752"/>
      <c r="FM1734" s="752"/>
      <c r="FN1734" s="752"/>
      <c r="FO1734" s="752"/>
      <c r="FP1734" s="752"/>
      <c r="FQ1734" s="752"/>
      <c r="FR1734" s="752"/>
      <c r="FS1734" s="752"/>
      <c r="FT1734" s="752"/>
      <c r="FU1734" s="752"/>
      <c r="FV1734" s="752"/>
      <c r="FW1734" s="752"/>
      <c r="FX1734" s="752"/>
      <c r="FY1734" s="752"/>
      <c r="FZ1734" s="752"/>
      <c r="GA1734" s="752"/>
      <c r="GB1734" s="752"/>
      <c r="GC1734" s="752"/>
      <c r="GD1734" s="752"/>
      <c r="GE1734" s="752"/>
      <c r="GF1734" s="752"/>
      <c r="GG1734" s="752"/>
      <c r="GH1734" s="752"/>
      <c r="GI1734" s="752"/>
      <c r="GJ1734" s="752"/>
      <c r="GK1734" s="752"/>
      <c r="GL1734" s="752"/>
      <c r="GM1734" s="752"/>
      <c r="GN1734" s="752"/>
      <c r="GO1734" s="752"/>
      <c r="GP1734" s="752"/>
      <c r="GQ1734" s="752"/>
      <c r="GR1734" s="752"/>
      <c r="GS1734" s="752"/>
      <c r="GT1734" s="752"/>
      <c r="GU1734" s="752"/>
      <c r="GV1734" s="752"/>
      <c r="GW1734" s="752"/>
      <c r="GX1734" s="752"/>
      <c r="GY1734" s="752"/>
      <c r="GZ1734" s="752"/>
      <c r="HA1734" s="752"/>
      <c r="HB1734" s="752"/>
      <c r="HC1734" s="752"/>
      <c r="HD1734" s="752"/>
      <c r="HE1734" s="752"/>
      <c r="HF1734" s="752"/>
      <c r="HG1734" s="752"/>
      <c r="HH1734" s="752"/>
      <c r="HI1734" s="752"/>
      <c r="HJ1734" s="752"/>
      <c r="HK1734" s="752"/>
      <c r="HL1734" s="752"/>
      <c r="HM1734" s="752"/>
      <c r="HN1734" s="752"/>
      <c r="HO1734" s="752"/>
      <c r="HP1734" s="752"/>
      <c r="HQ1734" s="752"/>
      <c r="HR1734" s="752"/>
      <c r="HS1734" s="752"/>
      <c r="HT1734" s="752"/>
      <c r="HU1734" s="752"/>
      <c r="HV1734" s="752"/>
      <c r="HW1734" s="752"/>
      <c r="HX1734" s="752"/>
      <c r="HY1734" s="752"/>
      <c r="HZ1734" s="752"/>
      <c r="IA1734" s="752"/>
      <c r="IB1734" s="752"/>
      <c r="IC1734" s="752"/>
      <c r="ID1734" s="752"/>
      <c r="IE1734" s="752"/>
      <c r="IF1734" s="752"/>
      <c r="IG1734" s="752"/>
      <c r="IH1734" s="752"/>
      <c r="II1734" s="752"/>
      <c r="IJ1734" s="752"/>
      <c r="IK1734" s="752"/>
      <c r="IL1734" s="752"/>
      <c r="IM1734" s="752"/>
      <c r="IN1734" s="752"/>
      <c r="IO1734" s="752"/>
    </row>
    <row r="1735" spans="1:249" s="1288" customFormat="1" ht="99">
      <c r="A1735" s="303">
        <v>4</v>
      </c>
      <c r="B1735" s="545"/>
      <c r="C1735" s="620">
        <v>3</v>
      </c>
      <c r="D1735" s="620" t="s">
        <v>34</v>
      </c>
      <c r="E1735" s="620" t="s">
        <v>39</v>
      </c>
      <c r="F1735" s="620">
        <v>15</v>
      </c>
      <c r="G1735" s="133"/>
      <c r="H1735" s="133"/>
      <c r="I1735" s="46" t="s">
        <v>3212</v>
      </c>
      <c r="J1735" s="629" t="s">
        <v>3187</v>
      </c>
      <c r="K1735" s="545">
        <v>100</v>
      </c>
      <c r="L1735" s="160">
        <f>L1736</f>
        <v>116000000</v>
      </c>
      <c r="M1735" s="545">
        <v>80</v>
      </c>
      <c r="N1735" s="230">
        <f>N1736</f>
        <v>30343653</v>
      </c>
      <c r="O1735" s="154">
        <v>10</v>
      </c>
      <c r="P1735" s="230">
        <f>P1736</f>
        <v>25000000</v>
      </c>
      <c r="Q1735" s="154">
        <v>0</v>
      </c>
      <c r="R1735" s="226">
        <f>R1736</f>
        <v>0</v>
      </c>
      <c r="S1735" s="226"/>
      <c r="T1735" s="230">
        <f>SUM(T1736)</f>
        <v>360000</v>
      </c>
      <c r="U1735" s="230"/>
      <c r="V1735" s="1768"/>
      <c r="W1735" s="230"/>
      <c r="X1735" s="1768"/>
      <c r="Y1735" s="230">
        <f t="shared" si="504"/>
        <v>0</v>
      </c>
      <c r="Z1735" s="230">
        <f t="shared" si="505"/>
        <v>360000</v>
      </c>
      <c r="AA1735" s="292">
        <f t="shared" si="506"/>
        <v>80</v>
      </c>
      <c r="AB1735" s="230">
        <f t="shared" si="507"/>
        <v>30703653</v>
      </c>
      <c r="AC1735" s="292">
        <f t="shared" si="508"/>
        <v>80</v>
      </c>
      <c r="AD1735" s="292">
        <f t="shared" si="509"/>
        <v>26.468666379310346</v>
      </c>
      <c r="AE1735" s="2558" t="s">
        <v>228</v>
      </c>
      <c r="AF1735" s="750"/>
      <c r="AG1735" s="750"/>
      <c r="AH1735" s="750"/>
      <c r="AI1735" s="750"/>
      <c r="AJ1735" s="750"/>
      <c r="AK1735" s="750"/>
      <c r="AL1735" s="750"/>
      <c r="AM1735" s="750"/>
      <c r="AN1735" s="750"/>
      <c r="AO1735" s="750"/>
      <c r="AP1735" s="750"/>
      <c r="AQ1735" s="750"/>
      <c r="AR1735" s="750"/>
      <c r="AS1735" s="750"/>
      <c r="AT1735" s="750"/>
      <c r="AU1735" s="750"/>
      <c r="AV1735" s="750"/>
      <c r="AW1735" s="750"/>
      <c r="AX1735" s="750"/>
      <c r="AY1735" s="750"/>
      <c r="AZ1735" s="750"/>
      <c r="BA1735" s="750"/>
      <c r="BB1735" s="750"/>
      <c r="BC1735" s="752"/>
      <c r="BD1735" s="752"/>
      <c r="BE1735" s="752"/>
      <c r="BF1735" s="752"/>
      <c r="BG1735" s="752"/>
      <c r="BH1735" s="752"/>
      <c r="BI1735" s="752"/>
      <c r="BJ1735" s="752"/>
      <c r="BK1735" s="752"/>
      <c r="BL1735" s="752"/>
      <c r="BM1735" s="752"/>
      <c r="BN1735" s="752"/>
      <c r="BO1735" s="752"/>
      <c r="BP1735" s="752"/>
      <c r="BQ1735" s="752"/>
      <c r="BR1735" s="752"/>
      <c r="BS1735" s="752"/>
      <c r="BT1735" s="752"/>
      <c r="BU1735" s="752"/>
      <c r="BV1735" s="752"/>
      <c r="BW1735" s="752"/>
      <c r="BX1735" s="752"/>
      <c r="BY1735" s="752"/>
      <c r="BZ1735" s="752"/>
      <c r="CA1735" s="752"/>
      <c r="CB1735" s="752"/>
      <c r="CC1735" s="752"/>
      <c r="CD1735" s="752"/>
      <c r="CE1735" s="752"/>
      <c r="CF1735" s="752"/>
      <c r="CG1735" s="752"/>
      <c r="CH1735" s="752"/>
      <c r="CI1735" s="752"/>
      <c r="CJ1735" s="752"/>
      <c r="CK1735" s="752"/>
      <c r="CL1735" s="752"/>
      <c r="CM1735" s="752"/>
      <c r="CN1735" s="752"/>
      <c r="CO1735" s="752"/>
      <c r="CP1735" s="752"/>
      <c r="CQ1735" s="752"/>
      <c r="CR1735" s="752"/>
      <c r="CS1735" s="752"/>
      <c r="CT1735" s="752"/>
      <c r="CU1735" s="752"/>
      <c r="CV1735" s="752"/>
      <c r="CW1735" s="752"/>
      <c r="CX1735" s="752"/>
      <c r="CY1735" s="752"/>
      <c r="CZ1735" s="752"/>
      <c r="DA1735" s="752"/>
      <c r="DB1735" s="752"/>
      <c r="DC1735" s="752"/>
      <c r="DD1735" s="752"/>
      <c r="DE1735" s="752"/>
      <c r="DF1735" s="752"/>
      <c r="DG1735" s="752"/>
      <c r="DH1735" s="752"/>
      <c r="DI1735" s="752"/>
      <c r="DJ1735" s="752"/>
      <c r="DK1735" s="752"/>
      <c r="DL1735" s="752"/>
      <c r="DM1735" s="752"/>
      <c r="DN1735" s="752"/>
      <c r="DO1735" s="752"/>
      <c r="DP1735" s="752"/>
      <c r="DQ1735" s="752"/>
      <c r="DR1735" s="752"/>
      <c r="DS1735" s="752"/>
      <c r="DT1735" s="752"/>
      <c r="DU1735" s="752"/>
      <c r="DV1735" s="752"/>
      <c r="DW1735" s="752"/>
      <c r="DX1735" s="752"/>
      <c r="DY1735" s="752"/>
      <c r="DZ1735" s="752"/>
      <c r="EA1735" s="752"/>
      <c r="EB1735" s="752"/>
      <c r="EC1735" s="752"/>
      <c r="ED1735" s="752"/>
      <c r="EE1735" s="752"/>
      <c r="EF1735" s="752"/>
      <c r="EG1735" s="752"/>
      <c r="EH1735" s="752"/>
      <c r="EI1735" s="752"/>
      <c r="EJ1735" s="752"/>
      <c r="EK1735" s="752"/>
      <c r="EL1735" s="752"/>
      <c r="EM1735" s="752"/>
      <c r="EN1735" s="752"/>
      <c r="EO1735" s="752"/>
      <c r="EP1735" s="752"/>
      <c r="EQ1735" s="752"/>
      <c r="ER1735" s="752"/>
      <c r="ES1735" s="752"/>
      <c r="ET1735" s="752"/>
      <c r="EU1735" s="752"/>
      <c r="EV1735" s="752"/>
      <c r="EW1735" s="752"/>
      <c r="EX1735" s="752"/>
      <c r="EY1735" s="752"/>
      <c r="EZ1735" s="752"/>
      <c r="FA1735" s="752"/>
      <c r="FB1735" s="752"/>
      <c r="FC1735" s="752"/>
      <c r="FD1735" s="752"/>
      <c r="FE1735" s="752"/>
      <c r="FF1735" s="752"/>
      <c r="FG1735" s="752"/>
      <c r="FH1735" s="752"/>
      <c r="FI1735" s="752"/>
      <c r="FJ1735" s="752"/>
      <c r="FK1735" s="752"/>
      <c r="FL1735" s="752"/>
      <c r="FM1735" s="752"/>
      <c r="FN1735" s="752"/>
      <c r="FO1735" s="752"/>
      <c r="FP1735" s="752"/>
      <c r="FQ1735" s="752"/>
      <c r="FR1735" s="752"/>
      <c r="FS1735" s="752"/>
      <c r="FT1735" s="752"/>
      <c r="FU1735" s="752"/>
      <c r="FV1735" s="752"/>
      <c r="FW1735" s="752"/>
      <c r="FX1735" s="752"/>
      <c r="FY1735" s="752"/>
      <c r="FZ1735" s="752"/>
      <c r="GA1735" s="752"/>
      <c r="GB1735" s="752"/>
      <c r="GC1735" s="752"/>
      <c r="GD1735" s="752"/>
      <c r="GE1735" s="752"/>
      <c r="GF1735" s="752"/>
      <c r="GG1735" s="752"/>
      <c r="GH1735" s="752"/>
      <c r="GI1735" s="752"/>
      <c r="GJ1735" s="752"/>
      <c r="GK1735" s="752"/>
      <c r="GL1735" s="752"/>
      <c r="GM1735" s="752"/>
      <c r="GN1735" s="752"/>
      <c r="GO1735" s="752"/>
      <c r="GP1735" s="752"/>
      <c r="GQ1735" s="752"/>
      <c r="GR1735" s="752"/>
      <c r="GS1735" s="752"/>
      <c r="GT1735" s="752"/>
      <c r="GU1735" s="752"/>
      <c r="GV1735" s="752"/>
      <c r="GW1735" s="752"/>
      <c r="GX1735" s="752"/>
      <c r="GY1735" s="752"/>
      <c r="GZ1735" s="752"/>
      <c r="HA1735" s="752"/>
      <c r="HB1735" s="752"/>
      <c r="HC1735" s="752"/>
      <c r="HD1735" s="752"/>
      <c r="HE1735" s="752"/>
      <c r="HF1735" s="752"/>
      <c r="HG1735" s="752"/>
      <c r="HH1735" s="752"/>
      <c r="HI1735" s="752"/>
      <c r="HJ1735" s="752"/>
      <c r="HK1735" s="752"/>
      <c r="HL1735" s="752"/>
      <c r="HM1735" s="752"/>
      <c r="HN1735" s="752"/>
      <c r="HO1735" s="752"/>
      <c r="HP1735" s="752"/>
      <c r="HQ1735" s="752"/>
      <c r="HR1735" s="752"/>
      <c r="HS1735" s="752"/>
      <c r="HT1735" s="752"/>
      <c r="HU1735" s="752"/>
      <c r="HV1735" s="752"/>
      <c r="HW1735" s="752"/>
      <c r="HX1735" s="752"/>
      <c r="HY1735" s="752"/>
      <c r="HZ1735" s="752"/>
      <c r="IA1735" s="752"/>
      <c r="IB1735" s="752"/>
      <c r="IC1735" s="752"/>
      <c r="ID1735" s="752"/>
      <c r="IE1735" s="752"/>
      <c r="IF1735" s="752"/>
      <c r="IG1735" s="752"/>
      <c r="IH1735" s="752"/>
      <c r="II1735" s="752"/>
      <c r="IJ1735" s="752"/>
      <c r="IK1735" s="752"/>
      <c r="IL1735" s="752"/>
      <c r="IM1735" s="752"/>
      <c r="IN1735" s="752"/>
      <c r="IO1735" s="752"/>
    </row>
    <row r="1736" spans="1:249" ht="49.5">
      <c r="A1736" s="89"/>
      <c r="B1736" s="100"/>
      <c r="C1736" s="605">
        <v>3</v>
      </c>
      <c r="D1736" s="605" t="s">
        <v>34</v>
      </c>
      <c r="E1736" s="605" t="s">
        <v>39</v>
      </c>
      <c r="F1736" s="605">
        <v>15</v>
      </c>
      <c r="G1736" s="89">
        <v>10</v>
      </c>
      <c r="H1736" s="89"/>
      <c r="I1736" s="407" t="s">
        <v>585</v>
      </c>
      <c r="J1736" s="780" t="s">
        <v>3213</v>
      </c>
      <c r="K1736" s="91">
        <v>6</v>
      </c>
      <c r="L1736" s="125">
        <v>116000000</v>
      </c>
      <c r="M1736" s="238">
        <v>3</v>
      </c>
      <c r="N1736" s="125">
        <v>30343653</v>
      </c>
      <c r="O1736" s="125">
        <v>1</v>
      </c>
      <c r="P1736" s="125">
        <v>25000000</v>
      </c>
      <c r="Q1736" s="125">
        <v>0</v>
      </c>
      <c r="R1736" s="125">
        <v>0</v>
      </c>
      <c r="S1736" s="125"/>
      <c r="T1736" s="125">
        <v>360000</v>
      </c>
      <c r="U1736" s="125"/>
      <c r="V1736" s="803"/>
      <c r="W1736" s="125"/>
      <c r="X1736" s="125"/>
      <c r="Y1736" s="125">
        <f t="shared" si="504"/>
        <v>0</v>
      </c>
      <c r="Z1736" s="125">
        <f t="shared" si="505"/>
        <v>360000</v>
      </c>
      <c r="AA1736" s="1196">
        <f t="shared" si="506"/>
        <v>3</v>
      </c>
      <c r="AB1736" s="125">
        <f t="shared" si="507"/>
        <v>30703653</v>
      </c>
      <c r="AC1736" s="1196">
        <f t="shared" si="508"/>
        <v>50</v>
      </c>
      <c r="AD1736" s="1196">
        <f t="shared" si="509"/>
        <v>26.468666379310346</v>
      </c>
      <c r="AE1736" s="89"/>
      <c r="AF1736" s="750"/>
      <c r="AG1736" s="750"/>
      <c r="AH1736" s="750"/>
      <c r="AI1736" s="750"/>
      <c r="AJ1736" s="750"/>
      <c r="AK1736" s="750"/>
      <c r="AL1736" s="750"/>
      <c r="AM1736" s="750"/>
      <c r="AN1736" s="750"/>
      <c r="AO1736" s="750"/>
      <c r="AP1736" s="750"/>
      <c r="AQ1736" s="750"/>
      <c r="AR1736" s="750"/>
      <c r="AS1736" s="750"/>
      <c r="AT1736" s="750"/>
      <c r="AU1736" s="750"/>
      <c r="AV1736" s="750"/>
      <c r="AW1736" s="750"/>
      <c r="AX1736" s="750"/>
      <c r="AY1736" s="750"/>
      <c r="AZ1736" s="750"/>
      <c r="BA1736" s="750"/>
      <c r="BB1736" s="750"/>
      <c r="BC1736" s="752"/>
      <c r="BD1736" s="752"/>
      <c r="BE1736" s="752"/>
      <c r="BF1736" s="752"/>
      <c r="BG1736" s="752"/>
      <c r="BH1736" s="752"/>
      <c r="BI1736" s="752"/>
      <c r="BJ1736" s="752"/>
      <c r="BK1736" s="752"/>
      <c r="BL1736" s="752"/>
      <c r="BM1736" s="752"/>
      <c r="BN1736" s="752"/>
      <c r="BO1736" s="752"/>
      <c r="BP1736" s="752"/>
      <c r="BQ1736" s="752"/>
      <c r="BR1736" s="752"/>
      <c r="BS1736" s="752"/>
      <c r="BT1736" s="752"/>
      <c r="BU1736" s="752"/>
      <c r="BV1736" s="752"/>
      <c r="BW1736" s="752"/>
      <c r="BX1736" s="752"/>
      <c r="BY1736" s="752"/>
      <c r="BZ1736" s="752"/>
      <c r="CA1736" s="752"/>
      <c r="CB1736" s="752"/>
      <c r="CC1736" s="752"/>
      <c r="CD1736" s="752"/>
      <c r="CE1736" s="752"/>
      <c r="CF1736" s="752"/>
      <c r="CG1736" s="752"/>
      <c r="CH1736" s="752"/>
      <c r="CI1736" s="752"/>
      <c r="CJ1736" s="752"/>
      <c r="CK1736" s="752"/>
      <c r="CL1736" s="752"/>
      <c r="CM1736" s="752"/>
      <c r="CN1736" s="752"/>
      <c r="CO1736" s="752"/>
      <c r="CP1736" s="752"/>
      <c r="CQ1736" s="752"/>
      <c r="CR1736" s="752"/>
      <c r="CS1736" s="752"/>
      <c r="CT1736" s="752"/>
      <c r="CU1736" s="752"/>
      <c r="CV1736" s="752"/>
      <c r="CW1736" s="752"/>
      <c r="CX1736" s="752"/>
      <c r="CY1736" s="752"/>
      <c r="CZ1736" s="752"/>
      <c r="DA1736" s="752"/>
      <c r="DB1736" s="752"/>
      <c r="DC1736" s="752"/>
      <c r="DD1736" s="752"/>
      <c r="DE1736" s="752"/>
      <c r="DF1736" s="752"/>
      <c r="DG1736" s="752"/>
      <c r="DH1736" s="752"/>
      <c r="DI1736" s="752"/>
      <c r="DJ1736" s="752"/>
      <c r="DK1736" s="752"/>
      <c r="DL1736" s="752"/>
      <c r="DM1736" s="752"/>
      <c r="DN1736" s="752"/>
      <c r="DO1736" s="752"/>
      <c r="DP1736" s="752"/>
      <c r="DQ1736" s="752"/>
      <c r="DR1736" s="752"/>
      <c r="DS1736" s="752"/>
      <c r="DT1736" s="752"/>
      <c r="DU1736" s="752"/>
      <c r="DV1736" s="752"/>
      <c r="DW1736" s="752"/>
      <c r="DX1736" s="752"/>
      <c r="DY1736" s="752"/>
      <c r="DZ1736" s="752"/>
      <c r="EA1736" s="752"/>
      <c r="EB1736" s="752"/>
      <c r="EC1736" s="752"/>
      <c r="ED1736" s="752"/>
      <c r="EE1736" s="752"/>
      <c r="EF1736" s="752"/>
      <c r="EG1736" s="752"/>
      <c r="EH1736" s="752"/>
      <c r="EI1736" s="752"/>
      <c r="EJ1736" s="752"/>
      <c r="EK1736" s="752"/>
      <c r="EL1736" s="752"/>
      <c r="EM1736" s="752"/>
      <c r="EN1736" s="752"/>
      <c r="EO1736" s="752"/>
      <c r="EP1736" s="752"/>
      <c r="EQ1736" s="752"/>
      <c r="ER1736" s="752"/>
      <c r="ES1736" s="752"/>
      <c r="ET1736" s="752"/>
      <c r="EU1736" s="752"/>
      <c r="EV1736" s="752"/>
      <c r="EW1736" s="752"/>
      <c r="EX1736" s="752"/>
      <c r="EY1736" s="752"/>
      <c r="EZ1736" s="752"/>
      <c r="FA1736" s="752"/>
      <c r="FB1736" s="752"/>
      <c r="FC1736" s="752"/>
      <c r="FD1736" s="752"/>
      <c r="FE1736" s="752"/>
      <c r="FF1736" s="752"/>
      <c r="FG1736" s="752"/>
      <c r="FH1736" s="752"/>
      <c r="FI1736" s="752"/>
      <c r="FJ1736" s="752"/>
      <c r="FK1736" s="752"/>
      <c r="FL1736" s="752"/>
      <c r="FM1736" s="752"/>
      <c r="FN1736" s="752"/>
      <c r="FO1736" s="752"/>
      <c r="FP1736" s="752"/>
      <c r="FQ1736" s="752"/>
      <c r="FR1736" s="752"/>
      <c r="FS1736" s="752"/>
      <c r="FT1736" s="752"/>
      <c r="FU1736" s="752"/>
      <c r="FV1736" s="752"/>
      <c r="FW1736" s="752"/>
      <c r="FX1736" s="752"/>
      <c r="FY1736" s="752"/>
      <c r="FZ1736" s="752"/>
      <c r="GA1736" s="752"/>
      <c r="GB1736" s="752"/>
      <c r="GC1736" s="752"/>
      <c r="GD1736" s="752"/>
      <c r="GE1736" s="752"/>
      <c r="GF1736" s="752"/>
      <c r="GG1736" s="752"/>
      <c r="GH1736" s="752"/>
      <c r="GI1736" s="752"/>
      <c r="GJ1736" s="752"/>
      <c r="GK1736" s="752"/>
      <c r="GL1736" s="752"/>
      <c r="GM1736" s="752"/>
      <c r="GN1736" s="752"/>
      <c r="GO1736" s="752"/>
      <c r="GP1736" s="752"/>
      <c r="GQ1736" s="752"/>
      <c r="GR1736" s="752"/>
      <c r="GS1736" s="752"/>
      <c r="GT1736" s="752"/>
      <c r="GU1736" s="752"/>
      <c r="GV1736" s="752"/>
      <c r="GW1736" s="752"/>
      <c r="GX1736" s="752"/>
      <c r="GY1736" s="752"/>
      <c r="GZ1736" s="752"/>
      <c r="HA1736" s="752"/>
      <c r="HB1736" s="752"/>
      <c r="HC1736" s="752"/>
      <c r="HD1736" s="752"/>
      <c r="HE1736" s="752"/>
      <c r="HF1736" s="752"/>
      <c r="HG1736" s="752"/>
      <c r="HH1736" s="752"/>
      <c r="HI1736" s="752"/>
      <c r="HJ1736" s="752"/>
      <c r="HK1736" s="752"/>
      <c r="HL1736" s="752"/>
      <c r="HM1736" s="752"/>
      <c r="HN1736" s="752"/>
      <c r="HO1736" s="752"/>
      <c r="HP1736" s="752"/>
      <c r="HQ1736" s="752"/>
      <c r="HR1736" s="752"/>
      <c r="HS1736" s="752"/>
      <c r="HT1736" s="752"/>
      <c r="HU1736" s="752"/>
      <c r="HV1736" s="752"/>
      <c r="HW1736" s="752"/>
      <c r="HX1736" s="752"/>
      <c r="HY1736" s="752"/>
      <c r="HZ1736" s="752"/>
      <c r="IA1736" s="752"/>
      <c r="IB1736" s="752"/>
      <c r="IC1736" s="752"/>
      <c r="ID1736" s="752"/>
      <c r="IE1736" s="752"/>
      <c r="IF1736" s="752"/>
      <c r="IG1736" s="752"/>
      <c r="IH1736" s="752"/>
      <c r="II1736" s="752"/>
      <c r="IJ1736" s="752"/>
      <c r="IK1736" s="752"/>
      <c r="IL1736" s="752"/>
      <c r="IM1736" s="752"/>
      <c r="IN1736" s="752"/>
      <c r="IO1736" s="752"/>
    </row>
    <row r="1737" spans="1:249" s="16" customFormat="1" ht="82.5">
      <c r="A1737" s="303">
        <v>5</v>
      </c>
      <c r="B1737" s="545"/>
      <c r="C1737" s="303">
        <v>3</v>
      </c>
      <c r="D1737" s="303" t="s">
        <v>34</v>
      </c>
      <c r="E1737" s="303" t="s">
        <v>39</v>
      </c>
      <c r="F1737" s="303">
        <v>20</v>
      </c>
      <c r="G1737" s="989"/>
      <c r="H1737" s="989"/>
      <c r="I1737" s="46" t="s">
        <v>1658</v>
      </c>
      <c r="J1737" s="629" t="s">
        <v>1659</v>
      </c>
      <c r="K1737" s="545">
        <v>100</v>
      </c>
      <c r="L1737" s="160">
        <f>L1738</f>
        <v>838611213</v>
      </c>
      <c r="M1737" s="545">
        <v>95</v>
      </c>
      <c r="N1737" s="230">
        <f>N1738</f>
        <v>346873038</v>
      </c>
      <c r="O1737" s="135">
        <v>3</v>
      </c>
      <c r="P1737" s="230">
        <f>P1738</f>
        <v>79998487</v>
      </c>
      <c r="Q1737" s="135">
        <v>0</v>
      </c>
      <c r="R1737" s="230">
        <f>R1738</f>
        <v>1095000</v>
      </c>
      <c r="S1737" s="230"/>
      <c r="T1737" s="230">
        <f>SUM(T1738)</f>
        <v>18184250</v>
      </c>
      <c r="U1737" s="230"/>
      <c r="V1737" s="801"/>
      <c r="W1737" s="230"/>
      <c r="X1737" s="230"/>
      <c r="Y1737" s="230">
        <f t="shared" si="504"/>
        <v>0</v>
      </c>
      <c r="Z1737" s="230">
        <f t="shared" si="505"/>
        <v>19279250</v>
      </c>
      <c r="AA1737" s="292">
        <f t="shared" si="506"/>
        <v>95</v>
      </c>
      <c r="AB1737" s="230">
        <f t="shared" si="507"/>
        <v>366152288</v>
      </c>
      <c r="AC1737" s="292">
        <f t="shared" si="508"/>
        <v>95</v>
      </c>
      <c r="AD1737" s="292">
        <f t="shared" si="509"/>
        <v>43.661744837652201</v>
      </c>
      <c r="AE1737" s="2558" t="s">
        <v>228</v>
      </c>
      <c r="AF1737" s="201"/>
      <c r="AG1737" s="201"/>
      <c r="AH1737" s="201"/>
      <c r="AI1737" s="201"/>
      <c r="AJ1737" s="201"/>
      <c r="AK1737" s="201"/>
      <c r="AL1737" s="201"/>
      <c r="AM1737" s="201"/>
      <c r="AN1737" s="201"/>
      <c r="AO1737" s="201"/>
      <c r="AP1737" s="201"/>
      <c r="AQ1737" s="201"/>
      <c r="AR1737" s="201"/>
      <c r="AS1737" s="201"/>
      <c r="AT1737" s="201"/>
      <c r="AU1737" s="201"/>
      <c r="AV1737" s="201"/>
      <c r="AW1737" s="201"/>
      <c r="AX1737" s="201"/>
      <c r="AY1737" s="201"/>
      <c r="AZ1737" s="201"/>
      <c r="BA1737" s="201"/>
      <c r="BB1737" s="201"/>
      <c r="BC1737" s="20"/>
      <c r="BD1737" s="20"/>
      <c r="BE1737" s="20"/>
      <c r="BF1737" s="20"/>
      <c r="BG1737" s="20"/>
      <c r="BH1737" s="20"/>
      <c r="BI1737" s="20"/>
      <c r="BJ1737" s="20"/>
      <c r="BK1737" s="20"/>
      <c r="BL1737" s="20"/>
      <c r="BM1737" s="20"/>
      <c r="BN1737" s="20"/>
      <c r="BO1737" s="20"/>
      <c r="BP1737" s="20"/>
      <c r="BQ1737" s="20"/>
      <c r="BR1737" s="20"/>
      <c r="BS1737" s="20"/>
      <c r="BT1737" s="20"/>
      <c r="BU1737" s="20"/>
      <c r="BV1737" s="20"/>
      <c r="BW1737" s="20"/>
      <c r="BX1737" s="20"/>
      <c r="BY1737" s="20"/>
      <c r="BZ1737" s="20"/>
      <c r="CA1737" s="20"/>
      <c r="CB1737" s="20"/>
      <c r="CC1737" s="20"/>
      <c r="CD1737" s="20"/>
      <c r="CE1737" s="20"/>
      <c r="CF1737" s="20"/>
      <c r="CG1737" s="20"/>
      <c r="CH1737" s="20"/>
      <c r="CI1737" s="20"/>
      <c r="CJ1737" s="20"/>
      <c r="CK1737" s="20"/>
      <c r="CL1737" s="20"/>
      <c r="CM1737" s="20"/>
      <c r="CN1737" s="20"/>
      <c r="CO1737" s="20"/>
      <c r="CP1737" s="20"/>
      <c r="CQ1737" s="20"/>
      <c r="CR1737" s="20"/>
      <c r="CS1737" s="20"/>
      <c r="CT1737" s="20"/>
      <c r="CU1737" s="20"/>
      <c r="CV1737" s="20"/>
      <c r="CW1737" s="20"/>
      <c r="CX1737" s="20"/>
      <c r="CY1737" s="20"/>
      <c r="CZ1737" s="20"/>
      <c r="DA1737" s="20"/>
      <c r="DB1737" s="20"/>
      <c r="DC1737" s="20"/>
      <c r="DD1737" s="20"/>
      <c r="DE1737" s="20"/>
      <c r="DF1737" s="20"/>
      <c r="DG1737" s="20"/>
      <c r="DH1737" s="20"/>
      <c r="DI1737" s="20"/>
      <c r="DJ1737" s="20"/>
      <c r="DK1737" s="20"/>
      <c r="DL1737" s="20"/>
      <c r="DM1737" s="20"/>
      <c r="DN1737" s="20"/>
      <c r="DO1737" s="20"/>
      <c r="DP1737" s="20"/>
      <c r="DQ1737" s="20"/>
      <c r="DR1737" s="20"/>
      <c r="DS1737" s="20"/>
      <c r="DT1737" s="20"/>
      <c r="DU1737" s="20"/>
      <c r="DV1737" s="20"/>
      <c r="DW1737" s="20"/>
      <c r="DX1737" s="20"/>
      <c r="DY1737" s="20"/>
      <c r="DZ1737" s="20"/>
      <c r="EA1737" s="20"/>
      <c r="EB1737" s="20"/>
      <c r="EC1737" s="20"/>
      <c r="ED1737" s="20"/>
      <c r="EE1737" s="20"/>
      <c r="EF1737" s="20"/>
      <c r="EG1737" s="20"/>
      <c r="EH1737" s="20"/>
      <c r="EI1737" s="20"/>
      <c r="EJ1737" s="20"/>
      <c r="EK1737" s="20"/>
      <c r="EL1737" s="20"/>
      <c r="EM1737" s="20"/>
      <c r="EN1737" s="20"/>
      <c r="EO1737" s="20"/>
      <c r="EP1737" s="20"/>
      <c r="EQ1737" s="20"/>
      <c r="ER1737" s="20"/>
      <c r="ES1737" s="20"/>
      <c r="ET1737" s="20"/>
      <c r="EU1737" s="20"/>
      <c r="EV1737" s="20"/>
      <c r="EW1737" s="20"/>
      <c r="EX1737" s="20"/>
      <c r="EY1737" s="20"/>
      <c r="EZ1737" s="20"/>
      <c r="FA1737" s="20"/>
      <c r="FB1737" s="20"/>
      <c r="FC1737" s="20"/>
      <c r="FD1737" s="20"/>
      <c r="FE1737" s="20"/>
      <c r="FF1737" s="20"/>
      <c r="FG1737" s="20"/>
      <c r="FH1737" s="20"/>
      <c r="FI1737" s="20"/>
      <c r="FJ1737" s="20"/>
      <c r="FK1737" s="20"/>
      <c r="FL1737" s="20"/>
      <c r="FM1737" s="20"/>
      <c r="FN1737" s="20"/>
      <c r="FO1737" s="20"/>
      <c r="FP1737" s="20"/>
      <c r="FQ1737" s="20"/>
      <c r="FR1737" s="20"/>
      <c r="FS1737" s="20"/>
      <c r="FT1737" s="20"/>
      <c r="FU1737" s="20"/>
      <c r="FV1737" s="20"/>
      <c r="FW1737" s="20"/>
      <c r="FX1737" s="20"/>
      <c r="FY1737" s="20"/>
      <c r="FZ1737" s="20"/>
      <c r="GA1737" s="20"/>
      <c r="GB1737" s="20"/>
      <c r="GC1737" s="20"/>
      <c r="GD1737" s="20"/>
      <c r="GE1737" s="20"/>
      <c r="GF1737" s="20"/>
      <c r="GG1737" s="20"/>
      <c r="GH1737" s="20"/>
      <c r="GI1737" s="20"/>
      <c r="GJ1737" s="20"/>
      <c r="GK1737" s="20"/>
      <c r="GL1737" s="20"/>
      <c r="GM1737" s="20"/>
      <c r="GN1737" s="20"/>
      <c r="GO1737" s="20"/>
      <c r="GP1737" s="20"/>
      <c r="GQ1737" s="20"/>
      <c r="GR1737" s="20"/>
      <c r="GS1737" s="20"/>
      <c r="GT1737" s="20"/>
      <c r="GU1737" s="20"/>
      <c r="GV1737" s="20"/>
      <c r="GW1737" s="20"/>
      <c r="GX1737" s="20"/>
      <c r="GY1737" s="20"/>
      <c r="GZ1737" s="20"/>
      <c r="HA1737" s="20"/>
      <c r="HB1737" s="20"/>
      <c r="HC1737" s="20"/>
      <c r="HD1737" s="20"/>
      <c r="HE1737" s="20"/>
      <c r="HF1737" s="20"/>
      <c r="HG1737" s="20"/>
      <c r="HH1737" s="20"/>
      <c r="HI1737" s="20"/>
      <c r="HJ1737" s="20"/>
      <c r="HK1737" s="20"/>
      <c r="HL1737" s="20"/>
      <c r="HM1737" s="20"/>
      <c r="HN1737" s="20"/>
      <c r="HO1737" s="20"/>
      <c r="HP1737" s="20"/>
      <c r="HQ1737" s="20"/>
      <c r="HR1737" s="20"/>
      <c r="HS1737" s="20"/>
      <c r="HT1737" s="20"/>
      <c r="HU1737" s="20"/>
      <c r="HV1737" s="20"/>
      <c r="HW1737" s="20"/>
      <c r="HX1737" s="20"/>
      <c r="HY1737" s="20"/>
      <c r="HZ1737" s="20"/>
      <c r="IA1737" s="20"/>
      <c r="IB1737" s="20"/>
      <c r="IC1737" s="20"/>
      <c r="ID1737" s="20"/>
      <c r="IE1737" s="20"/>
      <c r="IF1737" s="20"/>
      <c r="IG1737" s="20"/>
      <c r="IH1737" s="20"/>
      <c r="II1737" s="20"/>
      <c r="IJ1737" s="20"/>
      <c r="IK1737" s="20"/>
      <c r="IL1737" s="20"/>
      <c r="IM1737" s="20"/>
      <c r="IN1737" s="20"/>
      <c r="IO1737" s="20"/>
    </row>
    <row r="1738" spans="1:249" ht="82.5">
      <c r="A1738" s="89"/>
      <c r="B1738" s="100"/>
      <c r="C1738" s="605">
        <v>3</v>
      </c>
      <c r="D1738" s="605" t="s">
        <v>34</v>
      </c>
      <c r="E1738" s="605" t="s">
        <v>39</v>
      </c>
      <c r="F1738" s="605">
        <v>20</v>
      </c>
      <c r="G1738" s="605">
        <v>33</v>
      </c>
      <c r="H1738" s="605"/>
      <c r="I1738" s="114" t="s">
        <v>1660</v>
      </c>
      <c r="J1738" s="124" t="s">
        <v>3214</v>
      </c>
      <c r="K1738" s="91">
        <v>6</v>
      </c>
      <c r="L1738" s="125">
        <v>838611213</v>
      </c>
      <c r="M1738" s="238">
        <v>3</v>
      </c>
      <c r="N1738" s="125">
        <v>346873038</v>
      </c>
      <c r="O1738" s="125">
        <v>1</v>
      </c>
      <c r="P1738" s="125">
        <v>79998487</v>
      </c>
      <c r="Q1738" s="125">
        <v>0.25</v>
      </c>
      <c r="R1738" s="125">
        <v>1095000</v>
      </c>
      <c r="S1738" s="125">
        <v>50</v>
      </c>
      <c r="T1738" s="125">
        <v>18184250</v>
      </c>
      <c r="U1738" s="125"/>
      <c r="V1738" s="803"/>
      <c r="W1738" s="125"/>
      <c r="X1738" s="125"/>
      <c r="Y1738" s="125">
        <f t="shared" si="504"/>
        <v>50.25</v>
      </c>
      <c r="Z1738" s="125">
        <f t="shared" si="505"/>
        <v>19279250</v>
      </c>
      <c r="AA1738" s="1196">
        <f t="shared" si="506"/>
        <v>53.25</v>
      </c>
      <c r="AB1738" s="125">
        <f t="shared" si="507"/>
        <v>366152288</v>
      </c>
      <c r="AC1738" s="1196">
        <f t="shared" si="508"/>
        <v>887.5</v>
      </c>
      <c r="AD1738" s="1196">
        <f t="shared" si="509"/>
        <v>43.661744837652201</v>
      </c>
      <c r="AE1738" s="89"/>
      <c r="AF1738" s="750"/>
      <c r="AG1738" s="750"/>
      <c r="AH1738" s="750"/>
      <c r="AI1738" s="750"/>
      <c r="AJ1738" s="750"/>
      <c r="AK1738" s="750"/>
      <c r="AL1738" s="750"/>
      <c r="AM1738" s="750"/>
      <c r="AN1738" s="750"/>
      <c r="AO1738" s="750"/>
      <c r="AP1738" s="750"/>
      <c r="AQ1738" s="750"/>
      <c r="AR1738" s="750"/>
      <c r="AS1738" s="750"/>
      <c r="AT1738" s="750"/>
      <c r="AU1738" s="750"/>
      <c r="AV1738" s="750"/>
      <c r="AW1738" s="750"/>
      <c r="AX1738" s="750"/>
      <c r="AY1738" s="750"/>
      <c r="AZ1738" s="750"/>
      <c r="BA1738" s="750"/>
      <c r="BB1738" s="750"/>
      <c r="BC1738" s="752"/>
      <c r="BD1738" s="752"/>
      <c r="BE1738" s="752"/>
      <c r="BF1738" s="752"/>
      <c r="BG1738" s="752"/>
      <c r="BH1738" s="752"/>
      <c r="BI1738" s="752"/>
      <c r="BJ1738" s="752"/>
      <c r="BK1738" s="752"/>
      <c r="BL1738" s="752"/>
      <c r="BM1738" s="752"/>
      <c r="BN1738" s="752"/>
      <c r="BO1738" s="752"/>
      <c r="BP1738" s="752"/>
      <c r="BQ1738" s="752"/>
      <c r="BR1738" s="752"/>
      <c r="BS1738" s="752"/>
      <c r="BT1738" s="752"/>
      <c r="BU1738" s="752"/>
      <c r="BV1738" s="752"/>
      <c r="BW1738" s="752"/>
      <c r="BX1738" s="752"/>
      <c r="BY1738" s="752"/>
      <c r="BZ1738" s="752"/>
      <c r="CA1738" s="752"/>
      <c r="CB1738" s="752"/>
      <c r="CC1738" s="752"/>
      <c r="CD1738" s="752"/>
      <c r="CE1738" s="752"/>
      <c r="CF1738" s="752"/>
      <c r="CG1738" s="752"/>
      <c r="CH1738" s="752"/>
      <c r="CI1738" s="752"/>
      <c r="CJ1738" s="752"/>
      <c r="CK1738" s="752"/>
      <c r="CL1738" s="752"/>
      <c r="CM1738" s="752"/>
      <c r="CN1738" s="752"/>
      <c r="CO1738" s="752"/>
      <c r="CP1738" s="752"/>
      <c r="CQ1738" s="752"/>
      <c r="CR1738" s="752"/>
      <c r="CS1738" s="752"/>
      <c r="CT1738" s="752"/>
      <c r="CU1738" s="752"/>
      <c r="CV1738" s="752"/>
      <c r="CW1738" s="752"/>
      <c r="CX1738" s="752"/>
      <c r="CY1738" s="752"/>
      <c r="CZ1738" s="752"/>
      <c r="DA1738" s="752"/>
      <c r="DB1738" s="752"/>
      <c r="DC1738" s="752"/>
      <c r="DD1738" s="752"/>
      <c r="DE1738" s="752"/>
      <c r="DF1738" s="752"/>
      <c r="DG1738" s="752"/>
      <c r="DH1738" s="752"/>
      <c r="DI1738" s="752"/>
      <c r="DJ1738" s="752"/>
      <c r="DK1738" s="752"/>
      <c r="DL1738" s="752"/>
      <c r="DM1738" s="752"/>
      <c r="DN1738" s="752"/>
      <c r="DO1738" s="752"/>
      <c r="DP1738" s="752"/>
      <c r="DQ1738" s="752"/>
      <c r="DR1738" s="752"/>
      <c r="DS1738" s="752"/>
      <c r="DT1738" s="752"/>
      <c r="DU1738" s="752"/>
      <c r="DV1738" s="752"/>
      <c r="DW1738" s="752"/>
      <c r="DX1738" s="752"/>
      <c r="DY1738" s="752"/>
      <c r="DZ1738" s="752"/>
      <c r="EA1738" s="752"/>
      <c r="EB1738" s="752"/>
      <c r="EC1738" s="752"/>
      <c r="ED1738" s="752"/>
      <c r="EE1738" s="752"/>
      <c r="EF1738" s="752"/>
      <c r="EG1738" s="752"/>
      <c r="EH1738" s="752"/>
      <c r="EI1738" s="752"/>
      <c r="EJ1738" s="752"/>
      <c r="EK1738" s="752"/>
      <c r="EL1738" s="752"/>
      <c r="EM1738" s="752"/>
      <c r="EN1738" s="752"/>
      <c r="EO1738" s="752"/>
      <c r="EP1738" s="752"/>
      <c r="EQ1738" s="752"/>
      <c r="ER1738" s="752"/>
      <c r="ES1738" s="752"/>
      <c r="ET1738" s="752"/>
      <c r="EU1738" s="752"/>
      <c r="EV1738" s="752"/>
      <c r="EW1738" s="752"/>
      <c r="EX1738" s="752"/>
      <c r="EY1738" s="752"/>
      <c r="EZ1738" s="752"/>
      <c r="FA1738" s="752"/>
      <c r="FB1738" s="752"/>
      <c r="FC1738" s="752"/>
      <c r="FD1738" s="752"/>
      <c r="FE1738" s="752"/>
      <c r="FF1738" s="752"/>
      <c r="FG1738" s="752"/>
      <c r="FH1738" s="752"/>
      <c r="FI1738" s="752"/>
      <c r="FJ1738" s="752"/>
      <c r="FK1738" s="752"/>
      <c r="FL1738" s="752"/>
      <c r="FM1738" s="752"/>
      <c r="FN1738" s="752"/>
      <c r="FO1738" s="752"/>
      <c r="FP1738" s="752"/>
      <c r="FQ1738" s="752"/>
      <c r="FR1738" s="752"/>
      <c r="FS1738" s="752"/>
      <c r="FT1738" s="752"/>
      <c r="FU1738" s="752"/>
      <c r="FV1738" s="752"/>
      <c r="FW1738" s="752"/>
      <c r="FX1738" s="752"/>
      <c r="FY1738" s="752"/>
      <c r="FZ1738" s="752"/>
      <c r="GA1738" s="752"/>
      <c r="GB1738" s="752"/>
      <c r="GC1738" s="752"/>
      <c r="GD1738" s="752"/>
      <c r="GE1738" s="752"/>
      <c r="GF1738" s="752"/>
      <c r="GG1738" s="752"/>
      <c r="GH1738" s="752"/>
      <c r="GI1738" s="752"/>
      <c r="GJ1738" s="752"/>
      <c r="GK1738" s="752"/>
      <c r="GL1738" s="752"/>
      <c r="GM1738" s="752"/>
      <c r="GN1738" s="752"/>
      <c r="GO1738" s="752"/>
      <c r="GP1738" s="752"/>
      <c r="GQ1738" s="752"/>
      <c r="GR1738" s="752"/>
      <c r="GS1738" s="752"/>
      <c r="GT1738" s="752"/>
      <c r="GU1738" s="752"/>
      <c r="GV1738" s="752"/>
      <c r="GW1738" s="752"/>
      <c r="GX1738" s="752"/>
      <c r="GY1738" s="752"/>
      <c r="GZ1738" s="752"/>
      <c r="HA1738" s="752"/>
      <c r="HB1738" s="752"/>
      <c r="HC1738" s="752"/>
      <c r="HD1738" s="752"/>
      <c r="HE1738" s="752"/>
      <c r="HF1738" s="752"/>
      <c r="HG1738" s="752"/>
      <c r="HH1738" s="752"/>
      <c r="HI1738" s="752"/>
      <c r="HJ1738" s="752"/>
      <c r="HK1738" s="752"/>
      <c r="HL1738" s="752"/>
      <c r="HM1738" s="752"/>
      <c r="HN1738" s="752"/>
      <c r="HO1738" s="752"/>
      <c r="HP1738" s="752"/>
      <c r="HQ1738" s="752"/>
      <c r="HR1738" s="752"/>
      <c r="HS1738" s="752"/>
      <c r="HT1738" s="752"/>
      <c r="HU1738" s="752"/>
      <c r="HV1738" s="752"/>
      <c r="HW1738" s="752"/>
      <c r="HX1738" s="752"/>
      <c r="HY1738" s="752"/>
      <c r="HZ1738" s="752"/>
      <c r="IA1738" s="752"/>
      <c r="IB1738" s="752"/>
      <c r="IC1738" s="752"/>
      <c r="ID1738" s="752"/>
      <c r="IE1738" s="752"/>
      <c r="IF1738" s="752"/>
      <c r="IG1738" s="752"/>
      <c r="IH1738" s="752"/>
      <c r="II1738" s="752"/>
      <c r="IJ1738" s="752"/>
      <c r="IK1738" s="752"/>
      <c r="IL1738" s="752"/>
      <c r="IM1738" s="752"/>
      <c r="IN1738" s="752"/>
      <c r="IO1738" s="752"/>
    </row>
    <row r="1739" spans="1:249" ht="66">
      <c r="A1739" s="990">
        <v>6</v>
      </c>
      <c r="B1739" s="381"/>
      <c r="C1739" s="990">
        <v>3</v>
      </c>
      <c r="D1739" s="990" t="s">
        <v>34</v>
      </c>
      <c r="E1739" s="990" t="s">
        <v>39</v>
      </c>
      <c r="F1739" s="990">
        <v>17</v>
      </c>
      <c r="G1739" s="822"/>
      <c r="H1739" s="822"/>
      <c r="I1739" s="1879" t="s">
        <v>1661</v>
      </c>
      <c r="J1739" s="40" t="s">
        <v>1662</v>
      </c>
      <c r="K1739" s="1318">
        <v>12</v>
      </c>
      <c r="L1739" s="818">
        <f>SUM(L1742:L1766)</f>
        <v>18074588654</v>
      </c>
      <c r="M1739" s="1319">
        <v>6</v>
      </c>
      <c r="N1739" s="230">
        <f>N1742+N1743+N1744+N1745+N1746+N1747+N1751+N1752+N1753+N1754+N1755+N1756+N1757+N1758+N1759+N1760+N1761+N1762+N1763+N1764+N1765+N1766</f>
        <v>6561732490</v>
      </c>
      <c r="O1739" s="1319">
        <v>2</v>
      </c>
      <c r="P1739" s="801">
        <f>SUM(P1742:P1769)</f>
        <v>3252812982</v>
      </c>
      <c r="Q1739" s="1319"/>
      <c r="R1739" s="230">
        <f>SUM(R1742:R1769)</f>
        <v>270747124</v>
      </c>
      <c r="S1739" s="230"/>
      <c r="T1739" s="230">
        <f>SUM(T1742:T1769)</f>
        <v>860442494</v>
      </c>
      <c r="U1739" s="230"/>
      <c r="V1739" s="801"/>
      <c r="W1739" s="230"/>
      <c r="X1739" s="230"/>
      <c r="Y1739" s="230">
        <f t="shared" si="504"/>
        <v>0</v>
      </c>
      <c r="Z1739" s="230">
        <f t="shared" si="505"/>
        <v>1131189618</v>
      </c>
      <c r="AA1739" s="292">
        <f t="shared" si="506"/>
        <v>6</v>
      </c>
      <c r="AB1739" s="230">
        <f t="shared" si="507"/>
        <v>7692922108</v>
      </c>
      <c r="AC1739" s="292">
        <f t="shared" si="508"/>
        <v>50</v>
      </c>
      <c r="AD1739" s="292">
        <f t="shared" si="509"/>
        <v>42.562086779759255</v>
      </c>
      <c r="AE1739" s="2558" t="s">
        <v>228</v>
      </c>
      <c r="AF1739" s="750"/>
      <c r="AG1739" s="750"/>
      <c r="AH1739" s="750"/>
      <c r="AI1739" s="750"/>
      <c r="AJ1739" s="750"/>
      <c r="AK1739" s="750"/>
      <c r="AL1739" s="750"/>
      <c r="AM1739" s="750"/>
      <c r="AN1739" s="750"/>
      <c r="AO1739" s="750"/>
      <c r="AP1739" s="750"/>
      <c r="AQ1739" s="750"/>
      <c r="AR1739" s="750"/>
      <c r="AS1739" s="750"/>
      <c r="AT1739" s="750"/>
      <c r="AU1739" s="750"/>
      <c r="AV1739" s="750"/>
      <c r="AW1739" s="750"/>
      <c r="AX1739" s="750"/>
      <c r="AY1739" s="750"/>
      <c r="AZ1739" s="750"/>
      <c r="BA1739" s="750"/>
      <c r="BB1739" s="750"/>
      <c r="BC1739" s="752"/>
      <c r="BD1739" s="752"/>
      <c r="BE1739" s="752"/>
      <c r="BF1739" s="752"/>
      <c r="BG1739" s="752"/>
      <c r="BH1739" s="752"/>
      <c r="BI1739" s="752"/>
      <c r="BJ1739" s="752"/>
      <c r="BK1739" s="752"/>
      <c r="BL1739" s="752"/>
      <c r="BM1739" s="752"/>
      <c r="BN1739" s="752"/>
      <c r="BO1739" s="752"/>
      <c r="BP1739" s="752"/>
      <c r="BQ1739" s="752"/>
      <c r="BR1739" s="752"/>
      <c r="BS1739" s="752"/>
      <c r="BT1739" s="752"/>
      <c r="BU1739" s="752"/>
      <c r="BV1739" s="752"/>
      <c r="BW1739" s="752"/>
      <c r="BX1739" s="752"/>
      <c r="BY1739" s="752"/>
      <c r="BZ1739" s="752"/>
      <c r="CA1739" s="752"/>
      <c r="CB1739" s="752"/>
      <c r="CC1739" s="752"/>
      <c r="CD1739" s="752"/>
      <c r="CE1739" s="752"/>
      <c r="CF1739" s="752"/>
      <c r="CG1739" s="752"/>
      <c r="CH1739" s="752"/>
      <c r="CI1739" s="752"/>
      <c r="CJ1739" s="752"/>
      <c r="CK1739" s="752"/>
      <c r="CL1739" s="752"/>
      <c r="CM1739" s="752"/>
      <c r="CN1739" s="752"/>
      <c r="CO1739" s="752"/>
      <c r="CP1739" s="752"/>
      <c r="CQ1739" s="752"/>
      <c r="CR1739" s="752"/>
      <c r="CS1739" s="752"/>
      <c r="CT1739" s="752"/>
      <c r="CU1739" s="752"/>
      <c r="CV1739" s="752"/>
      <c r="CW1739" s="752"/>
      <c r="CX1739" s="752"/>
      <c r="CY1739" s="752"/>
      <c r="CZ1739" s="752"/>
      <c r="DA1739" s="752"/>
      <c r="DB1739" s="752"/>
      <c r="DC1739" s="752"/>
      <c r="DD1739" s="752"/>
      <c r="DE1739" s="752"/>
      <c r="DF1739" s="752"/>
      <c r="DG1739" s="752"/>
      <c r="DH1739" s="752"/>
      <c r="DI1739" s="752"/>
      <c r="DJ1739" s="752"/>
      <c r="DK1739" s="752"/>
      <c r="DL1739" s="752"/>
      <c r="DM1739" s="752"/>
      <c r="DN1739" s="752"/>
      <c r="DO1739" s="752"/>
      <c r="DP1739" s="752"/>
      <c r="DQ1739" s="752"/>
      <c r="DR1739" s="752"/>
      <c r="DS1739" s="752"/>
      <c r="DT1739" s="752"/>
      <c r="DU1739" s="752"/>
      <c r="DV1739" s="752"/>
      <c r="DW1739" s="752"/>
      <c r="DX1739" s="752"/>
      <c r="DY1739" s="752"/>
      <c r="DZ1739" s="752"/>
      <c r="EA1739" s="752"/>
      <c r="EB1739" s="752"/>
      <c r="EC1739" s="752"/>
      <c r="ED1739" s="752"/>
      <c r="EE1739" s="752"/>
      <c r="EF1739" s="752"/>
      <c r="EG1739" s="752"/>
      <c r="EH1739" s="752"/>
      <c r="EI1739" s="752"/>
      <c r="EJ1739" s="752"/>
      <c r="EK1739" s="752"/>
      <c r="EL1739" s="752"/>
      <c r="EM1739" s="752"/>
      <c r="EN1739" s="752"/>
      <c r="EO1739" s="752"/>
      <c r="EP1739" s="752"/>
      <c r="EQ1739" s="752"/>
      <c r="ER1739" s="752"/>
      <c r="ES1739" s="752"/>
      <c r="ET1739" s="752"/>
      <c r="EU1739" s="752"/>
      <c r="EV1739" s="752"/>
      <c r="EW1739" s="752"/>
      <c r="EX1739" s="752"/>
      <c r="EY1739" s="752"/>
      <c r="EZ1739" s="752"/>
      <c r="FA1739" s="752"/>
      <c r="FB1739" s="752"/>
      <c r="FC1739" s="752"/>
      <c r="FD1739" s="752"/>
      <c r="FE1739" s="752"/>
      <c r="FF1739" s="752"/>
      <c r="FG1739" s="752"/>
      <c r="FH1739" s="752"/>
      <c r="FI1739" s="752"/>
      <c r="FJ1739" s="752"/>
      <c r="FK1739" s="752"/>
      <c r="FL1739" s="752"/>
      <c r="FM1739" s="752"/>
      <c r="FN1739" s="752"/>
      <c r="FO1739" s="752"/>
      <c r="FP1739" s="752"/>
      <c r="FQ1739" s="752"/>
      <c r="FR1739" s="752"/>
      <c r="FS1739" s="752"/>
      <c r="FT1739" s="752"/>
      <c r="FU1739" s="752"/>
      <c r="FV1739" s="752"/>
      <c r="FW1739" s="752"/>
      <c r="FX1739" s="752"/>
      <c r="FY1739" s="752"/>
      <c r="FZ1739" s="752"/>
      <c r="GA1739" s="752"/>
      <c r="GB1739" s="752"/>
      <c r="GC1739" s="752"/>
      <c r="GD1739" s="752"/>
      <c r="GE1739" s="752"/>
      <c r="GF1739" s="752"/>
      <c r="GG1739" s="752"/>
      <c r="GH1739" s="752"/>
      <c r="GI1739" s="752"/>
      <c r="GJ1739" s="752"/>
      <c r="GK1739" s="752"/>
      <c r="GL1739" s="752"/>
      <c r="GM1739" s="752"/>
      <c r="GN1739" s="752"/>
      <c r="GO1739" s="752"/>
      <c r="GP1739" s="752"/>
      <c r="GQ1739" s="752"/>
      <c r="GR1739" s="752"/>
      <c r="GS1739" s="752"/>
      <c r="GT1739" s="752"/>
      <c r="GU1739" s="752"/>
      <c r="GV1739" s="752"/>
      <c r="GW1739" s="752"/>
      <c r="GX1739" s="752"/>
      <c r="GY1739" s="752"/>
      <c r="GZ1739" s="752"/>
      <c r="HA1739" s="752"/>
      <c r="HB1739" s="752"/>
      <c r="HC1739" s="752"/>
      <c r="HD1739" s="752"/>
      <c r="HE1739" s="752"/>
      <c r="HF1739" s="752"/>
      <c r="HG1739" s="752"/>
      <c r="HH1739" s="752"/>
      <c r="HI1739" s="752"/>
      <c r="HJ1739" s="752"/>
      <c r="HK1739" s="752"/>
      <c r="HL1739" s="752"/>
      <c r="HM1739" s="752"/>
      <c r="HN1739" s="752"/>
      <c r="HO1739" s="752"/>
      <c r="HP1739" s="752"/>
      <c r="HQ1739" s="752"/>
      <c r="HR1739" s="752"/>
      <c r="HS1739" s="752"/>
      <c r="HT1739" s="752"/>
      <c r="HU1739" s="752"/>
      <c r="HV1739" s="752"/>
      <c r="HW1739" s="752"/>
      <c r="HX1739" s="752"/>
      <c r="HY1739" s="752"/>
      <c r="HZ1739" s="752"/>
      <c r="IA1739" s="752"/>
      <c r="IB1739" s="752"/>
      <c r="IC1739" s="752"/>
      <c r="ID1739" s="752"/>
      <c r="IE1739" s="752"/>
      <c r="IF1739" s="752"/>
      <c r="IG1739" s="752"/>
      <c r="IH1739" s="752"/>
      <c r="II1739" s="752"/>
      <c r="IJ1739" s="752"/>
      <c r="IK1739" s="752"/>
      <c r="IL1739" s="752"/>
      <c r="IM1739" s="752"/>
      <c r="IN1739" s="752"/>
      <c r="IO1739" s="752"/>
    </row>
    <row r="1740" spans="1:249" ht="115.5">
      <c r="A1740" s="1781"/>
      <c r="B1740" s="1782"/>
      <c r="C1740" s="1783"/>
      <c r="D1740" s="1783"/>
      <c r="E1740" s="1783"/>
      <c r="F1740" s="1783"/>
      <c r="G1740" s="1781"/>
      <c r="H1740" s="1781"/>
      <c r="I1740" s="1880"/>
      <c r="J1740" s="629" t="s">
        <v>1663</v>
      </c>
      <c r="K1740" s="818">
        <v>75</v>
      </c>
      <c r="L1740" s="818"/>
      <c r="M1740" s="818">
        <v>45</v>
      </c>
      <c r="N1740" s="1878"/>
      <c r="O1740" s="818">
        <v>15</v>
      </c>
      <c r="P1740" s="801"/>
      <c r="Q1740" s="230">
        <v>3</v>
      </c>
      <c r="R1740" s="230"/>
      <c r="S1740" s="820"/>
      <c r="T1740" s="230"/>
      <c r="U1740" s="820"/>
      <c r="V1740" s="801"/>
      <c r="W1740" s="230"/>
      <c r="X1740" s="230"/>
      <c r="Y1740" s="230">
        <f t="shared" si="504"/>
        <v>3</v>
      </c>
      <c r="Z1740" s="230">
        <f t="shared" si="505"/>
        <v>0</v>
      </c>
      <c r="AA1740" s="292">
        <f t="shared" si="506"/>
        <v>48</v>
      </c>
      <c r="AB1740" s="230">
        <f t="shared" si="507"/>
        <v>0</v>
      </c>
      <c r="AC1740" s="292">
        <f t="shared" ref="AC1740:AC1781" si="510">AA1740/K1740*100</f>
        <v>64</v>
      </c>
      <c r="AD1740" s="292"/>
      <c r="AE1740" s="2558"/>
      <c r="AF1740" s="750"/>
      <c r="AG1740" s="750"/>
      <c r="AH1740" s="750"/>
      <c r="AI1740" s="750"/>
      <c r="AJ1740" s="750"/>
      <c r="AK1740" s="750"/>
      <c r="AL1740" s="750"/>
      <c r="AM1740" s="750"/>
      <c r="AN1740" s="750"/>
      <c r="AO1740" s="750"/>
      <c r="AP1740" s="750"/>
      <c r="AQ1740" s="750"/>
      <c r="AR1740" s="750"/>
      <c r="AS1740" s="750"/>
      <c r="AT1740" s="750"/>
      <c r="AU1740" s="750"/>
      <c r="AV1740" s="750"/>
      <c r="AW1740" s="750"/>
      <c r="AX1740" s="750"/>
      <c r="AY1740" s="750"/>
      <c r="AZ1740" s="750"/>
      <c r="BA1740" s="750"/>
      <c r="BB1740" s="750"/>
      <c r="BC1740" s="752"/>
      <c r="BD1740" s="752"/>
      <c r="BE1740" s="752"/>
      <c r="BF1740" s="752"/>
      <c r="BG1740" s="752"/>
      <c r="BH1740" s="752"/>
      <c r="BI1740" s="752"/>
      <c r="BJ1740" s="752"/>
      <c r="BK1740" s="752"/>
      <c r="BL1740" s="752"/>
      <c r="BM1740" s="752"/>
      <c r="BN1740" s="752"/>
      <c r="BO1740" s="752"/>
      <c r="BP1740" s="752"/>
      <c r="BQ1740" s="752"/>
      <c r="BR1740" s="752"/>
      <c r="BS1740" s="752"/>
      <c r="BT1740" s="752"/>
      <c r="BU1740" s="752"/>
      <c r="BV1740" s="752"/>
      <c r="BW1740" s="752"/>
      <c r="BX1740" s="752"/>
      <c r="BY1740" s="752"/>
      <c r="BZ1740" s="752"/>
      <c r="CA1740" s="752"/>
      <c r="CB1740" s="752"/>
      <c r="CC1740" s="752"/>
      <c r="CD1740" s="752"/>
      <c r="CE1740" s="752"/>
      <c r="CF1740" s="752"/>
      <c r="CG1740" s="752"/>
      <c r="CH1740" s="752"/>
      <c r="CI1740" s="752"/>
      <c r="CJ1740" s="752"/>
      <c r="CK1740" s="752"/>
      <c r="CL1740" s="752"/>
      <c r="CM1740" s="752"/>
      <c r="CN1740" s="752"/>
      <c r="CO1740" s="752"/>
      <c r="CP1740" s="752"/>
      <c r="CQ1740" s="752"/>
      <c r="CR1740" s="752"/>
      <c r="CS1740" s="752"/>
      <c r="CT1740" s="752"/>
      <c r="CU1740" s="752"/>
      <c r="CV1740" s="752"/>
      <c r="CW1740" s="752"/>
      <c r="CX1740" s="752"/>
      <c r="CY1740" s="752"/>
      <c r="CZ1740" s="752"/>
      <c r="DA1740" s="752"/>
      <c r="DB1740" s="752"/>
      <c r="DC1740" s="752"/>
      <c r="DD1740" s="752"/>
      <c r="DE1740" s="752"/>
      <c r="DF1740" s="752"/>
      <c r="DG1740" s="752"/>
      <c r="DH1740" s="752"/>
      <c r="DI1740" s="752"/>
      <c r="DJ1740" s="752"/>
      <c r="DK1740" s="752"/>
      <c r="DL1740" s="752"/>
      <c r="DM1740" s="752"/>
      <c r="DN1740" s="752"/>
      <c r="DO1740" s="752"/>
      <c r="DP1740" s="752"/>
      <c r="DQ1740" s="752"/>
      <c r="DR1740" s="752"/>
      <c r="DS1740" s="752"/>
      <c r="DT1740" s="752"/>
      <c r="DU1740" s="752"/>
      <c r="DV1740" s="752"/>
      <c r="DW1740" s="752"/>
      <c r="DX1740" s="752"/>
      <c r="DY1740" s="752"/>
      <c r="DZ1740" s="752"/>
      <c r="EA1740" s="752"/>
      <c r="EB1740" s="752"/>
      <c r="EC1740" s="752"/>
      <c r="ED1740" s="752"/>
      <c r="EE1740" s="752"/>
      <c r="EF1740" s="752"/>
      <c r="EG1740" s="752"/>
      <c r="EH1740" s="752"/>
      <c r="EI1740" s="752"/>
      <c r="EJ1740" s="752"/>
      <c r="EK1740" s="752"/>
      <c r="EL1740" s="752"/>
      <c r="EM1740" s="752"/>
      <c r="EN1740" s="752"/>
      <c r="EO1740" s="752"/>
      <c r="EP1740" s="752"/>
      <c r="EQ1740" s="752"/>
      <c r="ER1740" s="752"/>
      <c r="ES1740" s="752"/>
      <c r="ET1740" s="752"/>
      <c r="EU1740" s="752"/>
      <c r="EV1740" s="752"/>
      <c r="EW1740" s="752"/>
      <c r="EX1740" s="752"/>
      <c r="EY1740" s="752"/>
      <c r="EZ1740" s="752"/>
      <c r="FA1740" s="752"/>
      <c r="FB1740" s="752"/>
      <c r="FC1740" s="752"/>
      <c r="FD1740" s="752"/>
      <c r="FE1740" s="752"/>
      <c r="FF1740" s="752"/>
      <c r="FG1740" s="752"/>
      <c r="FH1740" s="752"/>
      <c r="FI1740" s="752"/>
      <c r="FJ1740" s="752"/>
      <c r="FK1740" s="752"/>
      <c r="FL1740" s="752"/>
      <c r="FM1740" s="752"/>
      <c r="FN1740" s="752"/>
      <c r="FO1740" s="752"/>
      <c r="FP1740" s="752"/>
      <c r="FQ1740" s="752"/>
      <c r="FR1740" s="752"/>
      <c r="FS1740" s="752"/>
      <c r="FT1740" s="752"/>
      <c r="FU1740" s="752"/>
      <c r="FV1740" s="752"/>
      <c r="FW1740" s="752"/>
      <c r="FX1740" s="752"/>
      <c r="FY1740" s="752"/>
      <c r="FZ1740" s="752"/>
      <c r="GA1740" s="752"/>
      <c r="GB1740" s="752"/>
      <c r="GC1740" s="752"/>
      <c r="GD1740" s="752"/>
      <c r="GE1740" s="752"/>
      <c r="GF1740" s="752"/>
      <c r="GG1740" s="752"/>
      <c r="GH1740" s="752"/>
      <c r="GI1740" s="752"/>
      <c r="GJ1740" s="752"/>
      <c r="GK1740" s="752"/>
      <c r="GL1740" s="752"/>
      <c r="GM1740" s="752"/>
      <c r="GN1740" s="752"/>
      <c r="GO1740" s="752"/>
      <c r="GP1740" s="752"/>
      <c r="GQ1740" s="752"/>
      <c r="GR1740" s="752"/>
      <c r="GS1740" s="752"/>
      <c r="GT1740" s="752"/>
      <c r="GU1740" s="752"/>
      <c r="GV1740" s="752"/>
      <c r="GW1740" s="752"/>
      <c r="GX1740" s="752"/>
      <c r="GY1740" s="752"/>
      <c r="GZ1740" s="752"/>
      <c r="HA1740" s="752"/>
      <c r="HB1740" s="752"/>
      <c r="HC1740" s="752"/>
      <c r="HD1740" s="752"/>
      <c r="HE1740" s="752"/>
      <c r="HF1740" s="752"/>
      <c r="HG1740" s="752"/>
      <c r="HH1740" s="752"/>
      <c r="HI1740" s="752"/>
      <c r="HJ1740" s="752"/>
      <c r="HK1740" s="752"/>
      <c r="HL1740" s="752"/>
      <c r="HM1740" s="752"/>
      <c r="HN1740" s="752"/>
      <c r="HO1740" s="752"/>
      <c r="HP1740" s="752"/>
      <c r="HQ1740" s="752"/>
      <c r="HR1740" s="752"/>
      <c r="HS1740" s="752"/>
      <c r="HT1740" s="752"/>
      <c r="HU1740" s="752"/>
      <c r="HV1740" s="752"/>
      <c r="HW1740" s="752"/>
      <c r="HX1740" s="752"/>
      <c r="HY1740" s="752"/>
      <c r="HZ1740" s="752"/>
      <c r="IA1740" s="752"/>
      <c r="IB1740" s="752"/>
      <c r="IC1740" s="752"/>
      <c r="ID1740" s="752"/>
      <c r="IE1740" s="752"/>
      <c r="IF1740" s="752"/>
      <c r="IG1740" s="752"/>
      <c r="IH1740" s="752"/>
      <c r="II1740" s="752"/>
      <c r="IJ1740" s="752"/>
      <c r="IK1740" s="752"/>
      <c r="IL1740" s="752"/>
      <c r="IM1740" s="752"/>
      <c r="IN1740" s="752"/>
      <c r="IO1740" s="752"/>
    </row>
    <row r="1741" spans="1:249" ht="82.5">
      <c r="A1741" s="2540"/>
      <c r="B1741" s="364"/>
      <c r="C1741" s="998"/>
      <c r="D1741" s="998"/>
      <c r="E1741" s="998"/>
      <c r="F1741" s="998"/>
      <c r="G1741" s="1136"/>
      <c r="H1741" s="1136"/>
      <c r="I1741" s="1881"/>
      <c r="J1741" s="46" t="s">
        <v>1664</v>
      </c>
      <c r="K1741" s="818">
        <v>100</v>
      </c>
      <c r="L1741" s="818"/>
      <c r="M1741" s="818">
        <v>80</v>
      </c>
      <c r="N1741" s="230"/>
      <c r="O1741" s="818">
        <v>8</v>
      </c>
      <c r="P1741" s="801"/>
      <c r="Q1741" s="230">
        <v>2</v>
      </c>
      <c r="R1741" s="230"/>
      <c r="S1741" s="820"/>
      <c r="T1741" s="230"/>
      <c r="U1741" s="820"/>
      <c r="V1741" s="801"/>
      <c r="W1741" s="230"/>
      <c r="X1741" s="230"/>
      <c r="Y1741" s="230">
        <f t="shared" si="504"/>
        <v>2</v>
      </c>
      <c r="Z1741" s="230">
        <f t="shared" si="505"/>
        <v>0</v>
      </c>
      <c r="AA1741" s="292">
        <f t="shared" si="506"/>
        <v>82</v>
      </c>
      <c r="AB1741" s="230">
        <f t="shared" si="507"/>
        <v>0</v>
      </c>
      <c r="AC1741" s="292">
        <f t="shared" si="510"/>
        <v>82</v>
      </c>
      <c r="AD1741" s="292"/>
      <c r="AE1741" s="2558"/>
      <c r="AF1741" s="750"/>
      <c r="AG1741" s="750"/>
      <c r="AH1741" s="750"/>
      <c r="AI1741" s="750"/>
      <c r="AJ1741" s="750"/>
      <c r="AK1741" s="750"/>
      <c r="AL1741" s="750"/>
      <c r="AM1741" s="750"/>
      <c r="AN1741" s="750"/>
      <c r="AO1741" s="750"/>
      <c r="AP1741" s="750"/>
      <c r="AQ1741" s="750"/>
      <c r="AR1741" s="750"/>
      <c r="AS1741" s="750"/>
      <c r="AT1741" s="750"/>
      <c r="AU1741" s="750"/>
      <c r="AV1741" s="750"/>
      <c r="AW1741" s="750"/>
      <c r="AX1741" s="750"/>
      <c r="AY1741" s="750"/>
      <c r="AZ1741" s="750"/>
      <c r="BA1741" s="750"/>
      <c r="BB1741" s="750"/>
      <c r="BC1741" s="752"/>
      <c r="BD1741" s="752"/>
      <c r="BE1741" s="752"/>
      <c r="BF1741" s="752"/>
      <c r="BG1741" s="752"/>
      <c r="BH1741" s="752"/>
      <c r="BI1741" s="752"/>
      <c r="BJ1741" s="752"/>
      <c r="BK1741" s="752"/>
      <c r="BL1741" s="752"/>
      <c r="BM1741" s="752"/>
      <c r="BN1741" s="752"/>
      <c r="BO1741" s="752"/>
      <c r="BP1741" s="752"/>
      <c r="BQ1741" s="752"/>
      <c r="BR1741" s="752"/>
      <c r="BS1741" s="752"/>
      <c r="BT1741" s="752"/>
      <c r="BU1741" s="752"/>
      <c r="BV1741" s="752"/>
      <c r="BW1741" s="752"/>
      <c r="BX1741" s="752"/>
      <c r="BY1741" s="752"/>
      <c r="BZ1741" s="752"/>
      <c r="CA1741" s="752"/>
      <c r="CB1741" s="752"/>
      <c r="CC1741" s="752"/>
      <c r="CD1741" s="752"/>
      <c r="CE1741" s="752"/>
      <c r="CF1741" s="752"/>
      <c r="CG1741" s="752"/>
      <c r="CH1741" s="752"/>
      <c r="CI1741" s="752"/>
      <c r="CJ1741" s="752"/>
      <c r="CK1741" s="752"/>
      <c r="CL1741" s="752"/>
      <c r="CM1741" s="752"/>
      <c r="CN1741" s="752"/>
      <c r="CO1741" s="752"/>
      <c r="CP1741" s="752"/>
      <c r="CQ1741" s="752"/>
      <c r="CR1741" s="752"/>
      <c r="CS1741" s="752"/>
      <c r="CT1741" s="752"/>
      <c r="CU1741" s="752"/>
      <c r="CV1741" s="752"/>
      <c r="CW1741" s="752"/>
      <c r="CX1741" s="752"/>
      <c r="CY1741" s="752"/>
      <c r="CZ1741" s="752"/>
      <c r="DA1741" s="752"/>
      <c r="DB1741" s="752"/>
      <c r="DC1741" s="752"/>
      <c r="DD1741" s="752"/>
      <c r="DE1741" s="752"/>
      <c r="DF1741" s="752"/>
      <c r="DG1741" s="752"/>
      <c r="DH1741" s="752"/>
      <c r="DI1741" s="752"/>
      <c r="DJ1741" s="752"/>
      <c r="DK1741" s="752"/>
      <c r="DL1741" s="752"/>
      <c r="DM1741" s="752"/>
      <c r="DN1741" s="752"/>
      <c r="DO1741" s="752"/>
      <c r="DP1741" s="752"/>
      <c r="DQ1741" s="752"/>
      <c r="DR1741" s="752"/>
      <c r="DS1741" s="752"/>
      <c r="DT1741" s="752"/>
      <c r="DU1741" s="752"/>
      <c r="DV1741" s="752"/>
      <c r="DW1741" s="752"/>
      <c r="DX1741" s="752"/>
      <c r="DY1741" s="752"/>
      <c r="DZ1741" s="752"/>
      <c r="EA1741" s="752"/>
      <c r="EB1741" s="752"/>
      <c r="EC1741" s="752"/>
      <c r="ED1741" s="752"/>
      <c r="EE1741" s="752"/>
      <c r="EF1741" s="752"/>
      <c r="EG1741" s="752"/>
      <c r="EH1741" s="752"/>
      <c r="EI1741" s="752"/>
      <c r="EJ1741" s="752"/>
      <c r="EK1741" s="752"/>
      <c r="EL1741" s="752"/>
      <c r="EM1741" s="752"/>
      <c r="EN1741" s="752"/>
      <c r="EO1741" s="752"/>
      <c r="EP1741" s="752"/>
      <c r="EQ1741" s="752"/>
      <c r="ER1741" s="752"/>
      <c r="ES1741" s="752"/>
      <c r="ET1741" s="752"/>
      <c r="EU1741" s="752"/>
      <c r="EV1741" s="752"/>
      <c r="EW1741" s="752"/>
      <c r="EX1741" s="752"/>
      <c r="EY1741" s="752"/>
      <c r="EZ1741" s="752"/>
      <c r="FA1741" s="752"/>
      <c r="FB1741" s="752"/>
      <c r="FC1741" s="752"/>
      <c r="FD1741" s="752"/>
      <c r="FE1741" s="752"/>
      <c r="FF1741" s="752"/>
      <c r="FG1741" s="752"/>
      <c r="FH1741" s="752"/>
      <c r="FI1741" s="752"/>
      <c r="FJ1741" s="752"/>
      <c r="FK1741" s="752"/>
      <c r="FL1741" s="752"/>
      <c r="FM1741" s="752"/>
      <c r="FN1741" s="752"/>
      <c r="FO1741" s="752"/>
      <c r="FP1741" s="752"/>
      <c r="FQ1741" s="752"/>
      <c r="FR1741" s="752"/>
      <c r="FS1741" s="752"/>
      <c r="FT1741" s="752"/>
      <c r="FU1741" s="752"/>
      <c r="FV1741" s="752"/>
      <c r="FW1741" s="752"/>
      <c r="FX1741" s="752"/>
      <c r="FY1741" s="752"/>
      <c r="FZ1741" s="752"/>
      <c r="GA1741" s="752"/>
      <c r="GB1741" s="752"/>
      <c r="GC1741" s="752"/>
      <c r="GD1741" s="752"/>
      <c r="GE1741" s="752"/>
      <c r="GF1741" s="752"/>
      <c r="GG1741" s="752"/>
      <c r="GH1741" s="752"/>
      <c r="GI1741" s="752"/>
      <c r="GJ1741" s="752"/>
      <c r="GK1741" s="752"/>
      <c r="GL1741" s="752"/>
      <c r="GM1741" s="752"/>
      <c r="GN1741" s="752"/>
      <c r="GO1741" s="752"/>
      <c r="GP1741" s="752"/>
      <c r="GQ1741" s="752"/>
      <c r="GR1741" s="752"/>
      <c r="GS1741" s="752"/>
      <c r="GT1741" s="752"/>
      <c r="GU1741" s="752"/>
      <c r="GV1741" s="752"/>
      <c r="GW1741" s="752"/>
      <c r="GX1741" s="752"/>
      <c r="GY1741" s="752"/>
      <c r="GZ1741" s="752"/>
      <c r="HA1741" s="752"/>
      <c r="HB1741" s="752"/>
      <c r="HC1741" s="752"/>
      <c r="HD1741" s="752"/>
      <c r="HE1741" s="752"/>
      <c r="HF1741" s="752"/>
      <c r="HG1741" s="752"/>
      <c r="HH1741" s="752"/>
      <c r="HI1741" s="752"/>
      <c r="HJ1741" s="752"/>
      <c r="HK1741" s="752"/>
      <c r="HL1741" s="752"/>
      <c r="HM1741" s="752"/>
      <c r="HN1741" s="752"/>
      <c r="HO1741" s="752"/>
      <c r="HP1741" s="752"/>
      <c r="HQ1741" s="752"/>
      <c r="HR1741" s="752"/>
      <c r="HS1741" s="752"/>
      <c r="HT1741" s="752"/>
      <c r="HU1741" s="752"/>
      <c r="HV1741" s="752"/>
      <c r="HW1741" s="752"/>
      <c r="HX1741" s="752"/>
      <c r="HY1741" s="752"/>
      <c r="HZ1741" s="752"/>
      <c r="IA1741" s="752"/>
      <c r="IB1741" s="752"/>
      <c r="IC1741" s="752"/>
      <c r="ID1741" s="752"/>
      <c r="IE1741" s="752"/>
      <c r="IF1741" s="752"/>
      <c r="IG1741" s="752"/>
      <c r="IH1741" s="752"/>
      <c r="II1741" s="752"/>
      <c r="IJ1741" s="752"/>
      <c r="IK1741" s="752"/>
      <c r="IL1741" s="752"/>
      <c r="IM1741" s="752"/>
      <c r="IN1741" s="752"/>
      <c r="IO1741" s="752"/>
    </row>
    <row r="1742" spans="1:249" ht="49.5">
      <c r="A1742" s="1119"/>
      <c r="B1742" s="212"/>
      <c r="C1742" s="605">
        <v>3</v>
      </c>
      <c r="D1742" s="605" t="s">
        <v>34</v>
      </c>
      <c r="E1742" s="605" t="s">
        <v>39</v>
      </c>
      <c r="F1742" s="605">
        <v>17</v>
      </c>
      <c r="G1742" s="605" t="s">
        <v>28</v>
      </c>
      <c r="H1742" s="605"/>
      <c r="I1742" s="114" t="s">
        <v>1665</v>
      </c>
      <c r="J1742" s="124" t="s">
        <v>3215</v>
      </c>
      <c r="K1742" s="813">
        <v>6</v>
      </c>
      <c r="L1742" s="125">
        <v>486666048</v>
      </c>
      <c r="M1742" s="91">
        <v>3</v>
      </c>
      <c r="N1742" s="125">
        <v>160014900</v>
      </c>
      <c r="O1742" s="91">
        <v>1</v>
      </c>
      <c r="P1742" s="125">
        <v>0</v>
      </c>
      <c r="Q1742" s="809">
        <v>0</v>
      </c>
      <c r="R1742" s="125">
        <v>0</v>
      </c>
      <c r="S1742" s="125"/>
      <c r="T1742" s="125"/>
      <c r="U1742" s="125"/>
      <c r="V1742" s="803"/>
      <c r="W1742" s="125"/>
      <c r="X1742" s="125"/>
      <c r="Y1742" s="125">
        <f t="shared" si="504"/>
        <v>0</v>
      </c>
      <c r="Z1742" s="125">
        <f t="shared" si="505"/>
        <v>0</v>
      </c>
      <c r="AA1742" s="1196">
        <f t="shared" si="506"/>
        <v>3</v>
      </c>
      <c r="AB1742" s="125">
        <f t="shared" si="507"/>
        <v>160014900</v>
      </c>
      <c r="AC1742" s="1196">
        <f t="shared" si="510"/>
        <v>50</v>
      </c>
      <c r="AD1742" s="1196">
        <f t="shared" ref="AD1742:AD1781" si="511">AB1742/L1742*100</f>
        <v>32.87981577050553</v>
      </c>
      <c r="AE1742" s="89"/>
      <c r="AF1742" s="750"/>
      <c r="AG1742" s="750"/>
      <c r="AH1742" s="750"/>
      <c r="AI1742" s="750"/>
      <c r="AJ1742" s="750"/>
      <c r="AK1742" s="750"/>
      <c r="AL1742" s="750"/>
      <c r="AM1742" s="750"/>
      <c r="AN1742" s="750"/>
      <c r="AO1742" s="750"/>
      <c r="AP1742" s="750"/>
      <c r="AQ1742" s="750"/>
      <c r="AR1742" s="750"/>
      <c r="AS1742" s="750"/>
      <c r="AT1742" s="750"/>
      <c r="AU1742" s="750"/>
      <c r="AV1742" s="750"/>
      <c r="AW1742" s="750"/>
      <c r="AX1742" s="750"/>
      <c r="AY1742" s="750"/>
      <c r="AZ1742" s="750"/>
      <c r="BA1742" s="750"/>
      <c r="BB1742" s="750"/>
      <c r="BC1742" s="752"/>
      <c r="BD1742" s="752"/>
      <c r="BE1742" s="752"/>
      <c r="BF1742" s="752"/>
      <c r="BG1742" s="752"/>
      <c r="BH1742" s="752"/>
      <c r="BI1742" s="752"/>
      <c r="BJ1742" s="752"/>
      <c r="BK1742" s="752"/>
      <c r="BL1742" s="752"/>
      <c r="BM1742" s="752"/>
      <c r="BN1742" s="752"/>
      <c r="BO1742" s="752"/>
      <c r="BP1742" s="752"/>
      <c r="BQ1742" s="752"/>
      <c r="BR1742" s="752"/>
      <c r="BS1742" s="752"/>
      <c r="BT1742" s="752"/>
      <c r="BU1742" s="752"/>
      <c r="BV1742" s="752"/>
      <c r="BW1742" s="752"/>
      <c r="BX1742" s="752"/>
      <c r="BY1742" s="752"/>
      <c r="BZ1742" s="752"/>
      <c r="CA1742" s="752"/>
      <c r="CB1742" s="752"/>
      <c r="CC1742" s="752"/>
      <c r="CD1742" s="752"/>
      <c r="CE1742" s="752"/>
      <c r="CF1742" s="752"/>
      <c r="CG1742" s="752"/>
      <c r="CH1742" s="752"/>
      <c r="CI1742" s="752"/>
      <c r="CJ1742" s="752"/>
      <c r="CK1742" s="752"/>
      <c r="CL1742" s="752"/>
      <c r="CM1742" s="752"/>
      <c r="CN1742" s="752"/>
      <c r="CO1742" s="752"/>
      <c r="CP1742" s="752"/>
      <c r="CQ1742" s="752"/>
      <c r="CR1742" s="752"/>
      <c r="CS1742" s="752"/>
      <c r="CT1742" s="752"/>
      <c r="CU1742" s="752"/>
      <c r="CV1742" s="752"/>
      <c r="CW1742" s="752"/>
      <c r="CX1742" s="752"/>
      <c r="CY1742" s="752"/>
      <c r="CZ1742" s="752"/>
      <c r="DA1742" s="752"/>
      <c r="DB1742" s="752"/>
      <c r="DC1742" s="752"/>
      <c r="DD1742" s="752"/>
      <c r="DE1742" s="752"/>
      <c r="DF1742" s="752"/>
      <c r="DG1742" s="752"/>
      <c r="DH1742" s="752"/>
      <c r="DI1742" s="752"/>
      <c r="DJ1742" s="752"/>
      <c r="DK1742" s="752"/>
      <c r="DL1742" s="752"/>
      <c r="DM1742" s="752"/>
      <c r="DN1742" s="752"/>
      <c r="DO1742" s="752"/>
      <c r="DP1742" s="752"/>
      <c r="DQ1742" s="752"/>
      <c r="DR1742" s="752"/>
      <c r="DS1742" s="752"/>
      <c r="DT1742" s="752"/>
      <c r="DU1742" s="752"/>
      <c r="DV1742" s="752"/>
      <c r="DW1742" s="752"/>
      <c r="DX1742" s="752"/>
      <c r="DY1742" s="752"/>
      <c r="DZ1742" s="752"/>
      <c r="EA1742" s="752"/>
      <c r="EB1742" s="752"/>
      <c r="EC1742" s="752"/>
      <c r="ED1742" s="752"/>
      <c r="EE1742" s="752"/>
      <c r="EF1742" s="752"/>
      <c r="EG1742" s="752"/>
      <c r="EH1742" s="752"/>
      <c r="EI1742" s="752"/>
      <c r="EJ1742" s="752"/>
      <c r="EK1742" s="752"/>
      <c r="EL1742" s="752"/>
      <c r="EM1742" s="752"/>
      <c r="EN1742" s="752"/>
      <c r="EO1742" s="752"/>
      <c r="EP1742" s="752"/>
      <c r="EQ1742" s="752"/>
      <c r="ER1742" s="752"/>
      <c r="ES1742" s="752"/>
      <c r="ET1742" s="752"/>
      <c r="EU1742" s="752"/>
      <c r="EV1742" s="752"/>
      <c r="EW1742" s="752"/>
      <c r="EX1742" s="752"/>
      <c r="EY1742" s="752"/>
      <c r="EZ1742" s="752"/>
      <c r="FA1742" s="752"/>
      <c r="FB1742" s="752"/>
      <c r="FC1742" s="752"/>
      <c r="FD1742" s="752"/>
      <c r="FE1742" s="752"/>
      <c r="FF1742" s="752"/>
      <c r="FG1742" s="752"/>
      <c r="FH1742" s="752"/>
      <c r="FI1742" s="752"/>
      <c r="FJ1742" s="752"/>
      <c r="FK1742" s="752"/>
      <c r="FL1742" s="752"/>
      <c r="FM1742" s="752"/>
      <c r="FN1742" s="752"/>
      <c r="FO1742" s="752"/>
      <c r="FP1742" s="752"/>
      <c r="FQ1742" s="752"/>
      <c r="FR1742" s="752"/>
      <c r="FS1742" s="752"/>
      <c r="FT1742" s="752"/>
      <c r="FU1742" s="752"/>
      <c r="FV1742" s="752"/>
      <c r="FW1742" s="752"/>
      <c r="FX1742" s="752"/>
      <c r="FY1742" s="752"/>
      <c r="FZ1742" s="752"/>
      <c r="GA1742" s="752"/>
      <c r="GB1742" s="752"/>
      <c r="GC1742" s="752"/>
      <c r="GD1742" s="752"/>
      <c r="GE1742" s="752"/>
      <c r="GF1742" s="752"/>
      <c r="GG1742" s="752"/>
      <c r="GH1742" s="752"/>
      <c r="GI1742" s="752"/>
      <c r="GJ1742" s="752"/>
      <c r="GK1742" s="752"/>
      <c r="GL1742" s="752"/>
      <c r="GM1742" s="752"/>
      <c r="GN1742" s="752"/>
      <c r="GO1742" s="752"/>
      <c r="GP1742" s="752"/>
      <c r="GQ1742" s="752"/>
      <c r="GR1742" s="752"/>
      <c r="GS1742" s="752"/>
      <c r="GT1742" s="752"/>
      <c r="GU1742" s="752"/>
      <c r="GV1742" s="752"/>
      <c r="GW1742" s="752"/>
      <c r="GX1742" s="752"/>
      <c r="GY1742" s="752"/>
      <c r="GZ1742" s="752"/>
      <c r="HA1742" s="752"/>
      <c r="HB1742" s="752"/>
      <c r="HC1742" s="752"/>
      <c r="HD1742" s="752"/>
      <c r="HE1742" s="752"/>
      <c r="HF1742" s="752"/>
      <c r="HG1742" s="752"/>
      <c r="HH1742" s="752"/>
      <c r="HI1742" s="752"/>
      <c r="HJ1742" s="752"/>
      <c r="HK1742" s="752"/>
      <c r="HL1742" s="752"/>
      <c r="HM1742" s="752"/>
      <c r="HN1742" s="752"/>
      <c r="HO1742" s="752"/>
      <c r="HP1742" s="752"/>
      <c r="HQ1742" s="752"/>
      <c r="HR1742" s="752"/>
      <c r="HS1742" s="752"/>
      <c r="HT1742" s="752"/>
      <c r="HU1742" s="752"/>
      <c r="HV1742" s="752"/>
      <c r="HW1742" s="752"/>
      <c r="HX1742" s="752"/>
      <c r="HY1742" s="752"/>
      <c r="HZ1742" s="752"/>
      <c r="IA1742" s="752"/>
      <c r="IB1742" s="752"/>
      <c r="IC1742" s="752"/>
      <c r="ID1742" s="752"/>
      <c r="IE1742" s="752"/>
      <c r="IF1742" s="752"/>
      <c r="IG1742" s="752"/>
      <c r="IH1742" s="752"/>
      <c r="II1742" s="752"/>
      <c r="IJ1742" s="752"/>
      <c r="IK1742" s="752"/>
      <c r="IL1742" s="752"/>
      <c r="IM1742" s="752"/>
      <c r="IN1742" s="752"/>
      <c r="IO1742" s="752"/>
    </row>
    <row r="1743" spans="1:249" ht="49.5">
      <c r="A1743" s="1119"/>
      <c r="B1743" s="212"/>
      <c r="C1743" s="605">
        <v>3</v>
      </c>
      <c r="D1743" s="605" t="s">
        <v>34</v>
      </c>
      <c r="E1743" s="605" t="s">
        <v>39</v>
      </c>
      <c r="F1743" s="605">
        <v>17</v>
      </c>
      <c r="G1743" s="605" t="s">
        <v>56</v>
      </c>
      <c r="H1743" s="605"/>
      <c r="I1743" s="114" t="s">
        <v>1666</v>
      </c>
      <c r="J1743" s="124" t="s">
        <v>3216</v>
      </c>
      <c r="K1743" s="1239">
        <v>6</v>
      </c>
      <c r="L1743" s="125">
        <v>1221430489</v>
      </c>
      <c r="M1743" s="91">
        <v>3</v>
      </c>
      <c r="N1743" s="125">
        <v>542228072</v>
      </c>
      <c r="O1743" s="91">
        <v>1</v>
      </c>
      <c r="P1743" s="125">
        <v>137876364</v>
      </c>
      <c r="Q1743" s="810">
        <v>0</v>
      </c>
      <c r="R1743" s="125">
        <v>20209000</v>
      </c>
      <c r="S1743" s="125">
        <v>100</v>
      </c>
      <c r="T1743" s="125">
        <v>22560000</v>
      </c>
      <c r="U1743" s="125"/>
      <c r="V1743" s="803"/>
      <c r="W1743" s="125"/>
      <c r="X1743" s="125"/>
      <c r="Y1743" s="125">
        <f t="shared" ref="Y1743:Y1774" si="512">Q1743+S1743+U1743+W1743</f>
        <v>100</v>
      </c>
      <c r="Z1743" s="125">
        <f t="shared" ref="Z1743:Z1774" si="513">R1743+T1743+V1743+X1743</f>
        <v>42769000</v>
      </c>
      <c r="AA1743" s="1196">
        <f t="shared" ref="AA1743:AA1774" si="514">M1743+Y1743</f>
        <v>103</v>
      </c>
      <c r="AB1743" s="125">
        <f t="shared" ref="AB1743:AB1774" si="515">N1743+Z1743</f>
        <v>584997072</v>
      </c>
      <c r="AC1743" s="1196">
        <f t="shared" si="510"/>
        <v>1716.6666666666667</v>
      </c>
      <c r="AD1743" s="1196">
        <f t="shared" si="511"/>
        <v>47.894421931365429</v>
      </c>
      <c r="AE1743" s="89"/>
      <c r="AF1743" s="750"/>
      <c r="AG1743" s="750"/>
      <c r="AH1743" s="750"/>
      <c r="AI1743" s="750"/>
      <c r="AJ1743" s="750"/>
      <c r="AK1743" s="750"/>
      <c r="AL1743" s="750"/>
      <c r="AM1743" s="750"/>
      <c r="AN1743" s="750"/>
      <c r="AO1743" s="750"/>
      <c r="AP1743" s="750"/>
      <c r="AQ1743" s="750"/>
      <c r="AR1743" s="750"/>
      <c r="AS1743" s="750"/>
      <c r="AT1743" s="750"/>
      <c r="AU1743" s="750"/>
      <c r="AV1743" s="750"/>
      <c r="AW1743" s="750"/>
      <c r="AX1743" s="750"/>
      <c r="AY1743" s="750"/>
      <c r="AZ1743" s="750"/>
      <c r="BA1743" s="750"/>
      <c r="BB1743" s="750"/>
      <c r="BC1743" s="752"/>
      <c r="BD1743" s="752"/>
      <c r="BE1743" s="752"/>
      <c r="BF1743" s="752"/>
      <c r="BG1743" s="752"/>
      <c r="BH1743" s="752"/>
      <c r="BI1743" s="752"/>
      <c r="BJ1743" s="752"/>
      <c r="BK1743" s="752"/>
      <c r="BL1743" s="752"/>
      <c r="BM1743" s="752"/>
      <c r="BN1743" s="752"/>
      <c r="BO1743" s="752"/>
      <c r="BP1743" s="752"/>
      <c r="BQ1743" s="752"/>
      <c r="BR1743" s="752"/>
      <c r="BS1743" s="752"/>
      <c r="BT1743" s="752"/>
      <c r="BU1743" s="752"/>
      <c r="BV1743" s="752"/>
      <c r="BW1743" s="752"/>
      <c r="BX1743" s="752"/>
      <c r="BY1743" s="752"/>
      <c r="BZ1743" s="752"/>
      <c r="CA1743" s="752"/>
      <c r="CB1743" s="752"/>
      <c r="CC1743" s="752"/>
      <c r="CD1743" s="752"/>
      <c r="CE1743" s="752"/>
      <c r="CF1743" s="752"/>
      <c r="CG1743" s="752"/>
      <c r="CH1743" s="752"/>
      <c r="CI1743" s="752"/>
      <c r="CJ1743" s="752"/>
      <c r="CK1743" s="752"/>
      <c r="CL1743" s="752"/>
      <c r="CM1743" s="752"/>
      <c r="CN1743" s="752"/>
      <c r="CO1743" s="752"/>
      <c r="CP1743" s="752"/>
      <c r="CQ1743" s="752"/>
      <c r="CR1743" s="752"/>
      <c r="CS1743" s="752"/>
      <c r="CT1743" s="752"/>
      <c r="CU1743" s="752"/>
      <c r="CV1743" s="752"/>
      <c r="CW1743" s="752"/>
      <c r="CX1743" s="752"/>
      <c r="CY1743" s="752"/>
      <c r="CZ1743" s="752"/>
      <c r="DA1743" s="752"/>
      <c r="DB1743" s="752"/>
      <c r="DC1743" s="752"/>
      <c r="DD1743" s="752"/>
      <c r="DE1743" s="752"/>
      <c r="DF1743" s="752"/>
      <c r="DG1743" s="752"/>
      <c r="DH1743" s="752"/>
      <c r="DI1743" s="752"/>
      <c r="DJ1743" s="752"/>
      <c r="DK1743" s="752"/>
      <c r="DL1743" s="752"/>
      <c r="DM1743" s="752"/>
      <c r="DN1743" s="752"/>
      <c r="DO1743" s="752"/>
      <c r="DP1743" s="752"/>
      <c r="DQ1743" s="752"/>
      <c r="DR1743" s="752"/>
      <c r="DS1743" s="752"/>
      <c r="DT1743" s="752"/>
      <c r="DU1743" s="752"/>
      <c r="DV1743" s="752"/>
      <c r="DW1743" s="752"/>
      <c r="DX1743" s="752"/>
      <c r="DY1743" s="752"/>
      <c r="DZ1743" s="752"/>
      <c r="EA1743" s="752"/>
      <c r="EB1743" s="752"/>
      <c r="EC1743" s="752"/>
      <c r="ED1743" s="752"/>
      <c r="EE1743" s="752"/>
      <c r="EF1743" s="752"/>
      <c r="EG1743" s="752"/>
      <c r="EH1743" s="752"/>
      <c r="EI1743" s="752"/>
      <c r="EJ1743" s="752"/>
      <c r="EK1743" s="752"/>
      <c r="EL1743" s="752"/>
      <c r="EM1743" s="752"/>
      <c r="EN1743" s="752"/>
      <c r="EO1743" s="752"/>
      <c r="EP1743" s="752"/>
      <c r="EQ1743" s="752"/>
      <c r="ER1743" s="752"/>
      <c r="ES1743" s="752"/>
      <c r="ET1743" s="752"/>
      <c r="EU1743" s="752"/>
      <c r="EV1743" s="752"/>
      <c r="EW1743" s="752"/>
      <c r="EX1743" s="752"/>
      <c r="EY1743" s="752"/>
      <c r="EZ1743" s="752"/>
      <c r="FA1743" s="752"/>
      <c r="FB1743" s="752"/>
      <c r="FC1743" s="752"/>
      <c r="FD1743" s="752"/>
      <c r="FE1743" s="752"/>
      <c r="FF1743" s="752"/>
      <c r="FG1743" s="752"/>
      <c r="FH1743" s="752"/>
      <c r="FI1743" s="752"/>
      <c r="FJ1743" s="752"/>
      <c r="FK1743" s="752"/>
      <c r="FL1743" s="752"/>
      <c r="FM1743" s="752"/>
      <c r="FN1743" s="752"/>
      <c r="FO1743" s="752"/>
      <c r="FP1743" s="752"/>
      <c r="FQ1743" s="752"/>
      <c r="FR1743" s="752"/>
      <c r="FS1743" s="752"/>
      <c r="FT1743" s="752"/>
      <c r="FU1743" s="752"/>
      <c r="FV1743" s="752"/>
      <c r="FW1743" s="752"/>
      <c r="FX1743" s="752"/>
      <c r="FY1743" s="752"/>
      <c r="FZ1743" s="752"/>
      <c r="GA1743" s="752"/>
      <c r="GB1743" s="752"/>
      <c r="GC1743" s="752"/>
      <c r="GD1743" s="752"/>
      <c r="GE1743" s="752"/>
      <c r="GF1743" s="752"/>
      <c r="GG1743" s="752"/>
      <c r="GH1743" s="752"/>
      <c r="GI1743" s="752"/>
      <c r="GJ1743" s="752"/>
      <c r="GK1743" s="752"/>
      <c r="GL1743" s="752"/>
      <c r="GM1743" s="752"/>
      <c r="GN1743" s="752"/>
      <c r="GO1743" s="752"/>
      <c r="GP1743" s="752"/>
      <c r="GQ1743" s="752"/>
      <c r="GR1743" s="752"/>
      <c r="GS1743" s="752"/>
      <c r="GT1743" s="752"/>
      <c r="GU1743" s="752"/>
      <c r="GV1743" s="752"/>
      <c r="GW1743" s="752"/>
      <c r="GX1743" s="752"/>
      <c r="GY1743" s="752"/>
      <c r="GZ1743" s="752"/>
      <c r="HA1743" s="752"/>
      <c r="HB1743" s="752"/>
      <c r="HC1743" s="752"/>
      <c r="HD1743" s="752"/>
      <c r="HE1743" s="752"/>
      <c r="HF1743" s="752"/>
      <c r="HG1743" s="752"/>
      <c r="HH1743" s="752"/>
      <c r="HI1743" s="752"/>
      <c r="HJ1743" s="752"/>
      <c r="HK1743" s="752"/>
      <c r="HL1743" s="752"/>
      <c r="HM1743" s="752"/>
      <c r="HN1743" s="752"/>
      <c r="HO1743" s="752"/>
      <c r="HP1743" s="752"/>
      <c r="HQ1743" s="752"/>
      <c r="HR1743" s="752"/>
      <c r="HS1743" s="752"/>
      <c r="HT1743" s="752"/>
      <c r="HU1743" s="752"/>
      <c r="HV1743" s="752"/>
      <c r="HW1743" s="752"/>
      <c r="HX1743" s="752"/>
      <c r="HY1743" s="752"/>
      <c r="HZ1743" s="752"/>
      <c r="IA1743" s="752"/>
      <c r="IB1743" s="752"/>
      <c r="IC1743" s="752"/>
      <c r="ID1743" s="752"/>
      <c r="IE1743" s="752"/>
      <c r="IF1743" s="752"/>
      <c r="IG1743" s="752"/>
      <c r="IH1743" s="752"/>
      <c r="II1743" s="752"/>
      <c r="IJ1743" s="752"/>
      <c r="IK1743" s="752"/>
      <c r="IL1743" s="752"/>
      <c r="IM1743" s="752"/>
      <c r="IN1743" s="752"/>
      <c r="IO1743" s="752"/>
    </row>
    <row r="1744" spans="1:249" ht="49.5">
      <c r="A1744" s="1119"/>
      <c r="B1744" s="212"/>
      <c r="C1744" s="605">
        <v>3</v>
      </c>
      <c r="D1744" s="605" t="s">
        <v>34</v>
      </c>
      <c r="E1744" s="605" t="s">
        <v>39</v>
      </c>
      <c r="F1744" s="605">
        <v>17</v>
      </c>
      <c r="G1744" s="605" t="s">
        <v>29</v>
      </c>
      <c r="H1744" s="605"/>
      <c r="I1744" s="114" t="s">
        <v>1667</v>
      </c>
      <c r="J1744" s="124" t="s">
        <v>3217</v>
      </c>
      <c r="K1744" s="1239">
        <v>6</v>
      </c>
      <c r="L1744" s="125">
        <v>1058850607</v>
      </c>
      <c r="M1744" s="91">
        <v>3</v>
      </c>
      <c r="N1744" s="125">
        <v>441537603</v>
      </c>
      <c r="O1744" s="91">
        <v>1</v>
      </c>
      <c r="P1744" s="125">
        <v>149893395</v>
      </c>
      <c r="Q1744" s="811">
        <v>0</v>
      </c>
      <c r="R1744" s="125">
        <v>33087800</v>
      </c>
      <c r="S1744" s="125">
        <v>100</v>
      </c>
      <c r="T1744" s="125">
        <v>37807800</v>
      </c>
      <c r="U1744" s="125"/>
      <c r="V1744" s="803"/>
      <c r="W1744" s="125"/>
      <c r="X1744" s="125"/>
      <c r="Y1744" s="125">
        <f t="shared" si="512"/>
        <v>100</v>
      </c>
      <c r="Z1744" s="125">
        <f t="shared" si="513"/>
        <v>70895600</v>
      </c>
      <c r="AA1744" s="1196">
        <f t="shared" si="514"/>
        <v>103</v>
      </c>
      <c r="AB1744" s="125">
        <f t="shared" si="515"/>
        <v>512433203</v>
      </c>
      <c r="AC1744" s="1196">
        <f t="shared" si="510"/>
        <v>1716.6666666666667</v>
      </c>
      <c r="AD1744" s="1196">
        <f t="shared" si="511"/>
        <v>48.395231547522741</v>
      </c>
      <c r="AE1744" s="89"/>
      <c r="AF1744" s="750"/>
      <c r="AG1744" s="750"/>
      <c r="AH1744" s="750"/>
      <c r="AI1744" s="750"/>
      <c r="AJ1744" s="750"/>
      <c r="AK1744" s="750"/>
      <c r="AL1744" s="750"/>
      <c r="AM1744" s="750"/>
      <c r="AN1744" s="750"/>
      <c r="AO1744" s="750"/>
      <c r="AP1744" s="750"/>
      <c r="AQ1744" s="750"/>
      <c r="AR1744" s="750"/>
      <c r="AS1744" s="750"/>
      <c r="AT1744" s="750"/>
      <c r="AU1744" s="750"/>
      <c r="AV1744" s="750"/>
      <c r="AW1744" s="750"/>
      <c r="AX1744" s="750"/>
      <c r="AY1744" s="750"/>
      <c r="AZ1744" s="750"/>
      <c r="BA1744" s="750"/>
      <c r="BB1744" s="750"/>
      <c r="BC1744" s="752"/>
      <c r="BD1744" s="752"/>
      <c r="BE1744" s="752"/>
      <c r="BF1744" s="752"/>
      <c r="BG1744" s="752"/>
      <c r="BH1744" s="752"/>
      <c r="BI1744" s="752"/>
      <c r="BJ1744" s="752"/>
      <c r="BK1744" s="752"/>
      <c r="BL1744" s="752"/>
      <c r="BM1744" s="752"/>
      <c r="BN1744" s="752"/>
      <c r="BO1744" s="752"/>
      <c r="BP1744" s="752"/>
      <c r="BQ1744" s="752"/>
      <c r="BR1744" s="752"/>
      <c r="BS1744" s="752"/>
      <c r="BT1744" s="752"/>
      <c r="BU1744" s="752"/>
      <c r="BV1744" s="752"/>
      <c r="BW1744" s="752"/>
      <c r="BX1744" s="752"/>
      <c r="BY1744" s="752"/>
      <c r="BZ1744" s="752"/>
      <c r="CA1744" s="752"/>
      <c r="CB1744" s="752"/>
      <c r="CC1744" s="752"/>
      <c r="CD1744" s="752"/>
      <c r="CE1744" s="752"/>
      <c r="CF1744" s="752"/>
      <c r="CG1744" s="752"/>
      <c r="CH1744" s="752"/>
      <c r="CI1744" s="752"/>
      <c r="CJ1744" s="752"/>
      <c r="CK1744" s="752"/>
      <c r="CL1744" s="752"/>
      <c r="CM1744" s="752"/>
      <c r="CN1744" s="752"/>
      <c r="CO1744" s="752"/>
      <c r="CP1744" s="752"/>
      <c r="CQ1744" s="752"/>
      <c r="CR1744" s="752"/>
      <c r="CS1744" s="752"/>
      <c r="CT1744" s="752"/>
      <c r="CU1744" s="752"/>
      <c r="CV1744" s="752"/>
      <c r="CW1744" s="752"/>
      <c r="CX1744" s="752"/>
      <c r="CY1744" s="752"/>
      <c r="CZ1744" s="752"/>
      <c r="DA1744" s="752"/>
      <c r="DB1744" s="752"/>
      <c r="DC1744" s="752"/>
      <c r="DD1744" s="752"/>
      <c r="DE1744" s="752"/>
      <c r="DF1744" s="752"/>
      <c r="DG1744" s="752"/>
      <c r="DH1744" s="752"/>
      <c r="DI1744" s="752"/>
      <c r="DJ1744" s="752"/>
      <c r="DK1744" s="752"/>
      <c r="DL1744" s="752"/>
      <c r="DM1744" s="752"/>
      <c r="DN1744" s="752"/>
      <c r="DO1744" s="752"/>
      <c r="DP1744" s="752"/>
      <c r="DQ1744" s="752"/>
      <c r="DR1744" s="752"/>
      <c r="DS1744" s="752"/>
      <c r="DT1744" s="752"/>
      <c r="DU1744" s="752"/>
      <c r="DV1744" s="752"/>
      <c r="DW1744" s="752"/>
      <c r="DX1744" s="752"/>
      <c r="DY1744" s="752"/>
      <c r="DZ1744" s="752"/>
      <c r="EA1744" s="752"/>
      <c r="EB1744" s="752"/>
      <c r="EC1744" s="752"/>
      <c r="ED1744" s="752"/>
      <c r="EE1744" s="752"/>
      <c r="EF1744" s="752"/>
      <c r="EG1744" s="752"/>
      <c r="EH1744" s="752"/>
      <c r="EI1744" s="752"/>
      <c r="EJ1744" s="752"/>
      <c r="EK1744" s="752"/>
      <c r="EL1744" s="752"/>
      <c r="EM1744" s="752"/>
      <c r="EN1744" s="752"/>
      <c r="EO1744" s="752"/>
      <c r="EP1744" s="752"/>
      <c r="EQ1744" s="752"/>
      <c r="ER1744" s="752"/>
      <c r="ES1744" s="752"/>
      <c r="ET1744" s="752"/>
      <c r="EU1744" s="752"/>
      <c r="EV1744" s="752"/>
      <c r="EW1744" s="752"/>
      <c r="EX1744" s="752"/>
      <c r="EY1744" s="752"/>
      <c r="EZ1744" s="752"/>
      <c r="FA1744" s="752"/>
      <c r="FB1744" s="752"/>
      <c r="FC1744" s="752"/>
      <c r="FD1744" s="752"/>
      <c r="FE1744" s="752"/>
      <c r="FF1744" s="752"/>
      <c r="FG1744" s="752"/>
      <c r="FH1744" s="752"/>
      <c r="FI1744" s="752"/>
      <c r="FJ1744" s="752"/>
      <c r="FK1744" s="752"/>
      <c r="FL1744" s="752"/>
      <c r="FM1744" s="752"/>
      <c r="FN1744" s="752"/>
      <c r="FO1744" s="752"/>
      <c r="FP1744" s="752"/>
      <c r="FQ1744" s="752"/>
      <c r="FR1744" s="752"/>
      <c r="FS1744" s="752"/>
      <c r="FT1744" s="752"/>
      <c r="FU1744" s="752"/>
      <c r="FV1744" s="752"/>
      <c r="FW1744" s="752"/>
      <c r="FX1744" s="752"/>
      <c r="FY1744" s="752"/>
      <c r="FZ1744" s="752"/>
      <c r="GA1744" s="752"/>
      <c r="GB1744" s="752"/>
      <c r="GC1744" s="752"/>
      <c r="GD1744" s="752"/>
      <c r="GE1744" s="752"/>
      <c r="GF1744" s="752"/>
      <c r="GG1744" s="752"/>
      <c r="GH1744" s="752"/>
      <c r="GI1744" s="752"/>
      <c r="GJ1744" s="752"/>
      <c r="GK1744" s="752"/>
      <c r="GL1744" s="752"/>
      <c r="GM1744" s="752"/>
      <c r="GN1744" s="752"/>
      <c r="GO1744" s="752"/>
      <c r="GP1744" s="752"/>
      <c r="GQ1744" s="752"/>
      <c r="GR1744" s="752"/>
      <c r="GS1744" s="752"/>
      <c r="GT1744" s="752"/>
      <c r="GU1744" s="752"/>
      <c r="GV1744" s="752"/>
      <c r="GW1744" s="752"/>
      <c r="GX1744" s="752"/>
      <c r="GY1744" s="752"/>
      <c r="GZ1744" s="752"/>
      <c r="HA1744" s="752"/>
      <c r="HB1744" s="752"/>
      <c r="HC1744" s="752"/>
      <c r="HD1744" s="752"/>
      <c r="HE1744" s="752"/>
      <c r="HF1744" s="752"/>
      <c r="HG1744" s="752"/>
      <c r="HH1744" s="752"/>
      <c r="HI1744" s="752"/>
      <c r="HJ1744" s="752"/>
      <c r="HK1744" s="752"/>
      <c r="HL1744" s="752"/>
      <c r="HM1744" s="752"/>
      <c r="HN1744" s="752"/>
      <c r="HO1744" s="752"/>
      <c r="HP1744" s="752"/>
      <c r="HQ1744" s="752"/>
      <c r="HR1744" s="752"/>
      <c r="HS1744" s="752"/>
      <c r="HT1744" s="752"/>
      <c r="HU1744" s="752"/>
      <c r="HV1744" s="752"/>
      <c r="HW1744" s="752"/>
      <c r="HX1744" s="752"/>
      <c r="HY1744" s="752"/>
      <c r="HZ1744" s="752"/>
      <c r="IA1744" s="752"/>
      <c r="IB1744" s="752"/>
      <c r="IC1744" s="752"/>
      <c r="ID1744" s="752"/>
      <c r="IE1744" s="752"/>
      <c r="IF1744" s="752"/>
      <c r="IG1744" s="752"/>
      <c r="IH1744" s="752"/>
      <c r="II1744" s="752"/>
      <c r="IJ1744" s="752"/>
      <c r="IK1744" s="752"/>
      <c r="IL1744" s="752"/>
      <c r="IM1744" s="752"/>
      <c r="IN1744" s="752"/>
      <c r="IO1744" s="752"/>
    </row>
    <row r="1745" spans="1:249" ht="49.5">
      <c r="A1745" s="1119"/>
      <c r="B1745" s="212"/>
      <c r="C1745" s="605">
        <v>3</v>
      </c>
      <c r="D1745" s="605" t="s">
        <v>34</v>
      </c>
      <c r="E1745" s="605" t="s">
        <v>39</v>
      </c>
      <c r="F1745" s="605">
        <v>17</v>
      </c>
      <c r="G1745" s="605" t="s">
        <v>30</v>
      </c>
      <c r="H1745" s="605"/>
      <c r="I1745" s="114" t="s">
        <v>1668</v>
      </c>
      <c r="J1745" s="124" t="s">
        <v>3218</v>
      </c>
      <c r="K1745" s="1239">
        <v>6</v>
      </c>
      <c r="L1745" s="125">
        <v>1711872584</v>
      </c>
      <c r="M1745" s="91">
        <v>3</v>
      </c>
      <c r="N1745" s="125">
        <v>414909517</v>
      </c>
      <c r="O1745" s="91">
        <v>1</v>
      </c>
      <c r="P1745" s="125">
        <v>149047995</v>
      </c>
      <c r="Q1745" s="811">
        <v>0</v>
      </c>
      <c r="R1745" s="125">
        <v>0</v>
      </c>
      <c r="S1745" s="125">
        <v>0</v>
      </c>
      <c r="T1745" s="125">
        <v>5341000</v>
      </c>
      <c r="U1745" s="125"/>
      <c r="V1745" s="803"/>
      <c r="W1745" s="125"/>
      <c r="X1745" s="125"/>
      <c r="Y1745" s="125">
        <f t="shared" si="512"/>
        <v>0</v>
      </c>
      <c r="Z1745" s="125">
        <f t="shared" si="513"/>
        <v>5341000</v>
      </c>
      <c r="AA1745" s="1196">
        <f t="shared" si="514"/>
        <v>3</v>
      </c>
      <c r="AB1745" s="125">
        <f t="shared" si="515"/>
        <v>420250517</v>
      </c>
      <c r="AC1745" s="1196">
        <f t="shared" si="510"/>
        <v>50</v>
      </c>
      <c r="AD1745" s="1196">
        <f t="shared" si="511"/>
        <v>24.549170360450145</v>
      </c>
      <c r="AE1745" s="89"/>
      <c r="AF1745" s="750"/>
      <c r="AG1745" s="750"/>
      <c r="AH1745" s="750"/>
      <c r="AI1745" s="750"/>
      <c r="AJ1745" s="750"/>
      <c r="AK1745" s="750"/>
      <c r="AL1745" s="750"/>
      <c r="AM1745" s="750"/>
      <c r="AN1745" s="750"/>
      <c r="AO1745" s="750"/>
      <c r="AP1745" s="750"/>
      <c r="AQ1745" s="750"/>
      <c r="AR1745" s="750"/>
      <c r="AS1745" s="750"/>
      <c r="AT1745" s="750"/>
      <c r="AU1745" s="750"/>
      <c r="AV1745" s="750"/>
      <c r="AW1745" s="750"/>
      <c r="AX1745" s="750"/>
      <c r="AY1745" s="750"/>
      <c r="AZ1745" s="750"/>
      <c r="BA1745" s="750"/>
      <c r="BB1745" s="750"/>
      <c r="BC1745" s="752"/>
      <c r="BD1745" s="752"/>
      <c r="BE1745" s="752"/>
      <c r="BF1745" s="752"/>
      <c r="BG1745" s="752"/>
      <c r="BH1745" s="752"/>
      <c r="BI1745" s="752"/>
      <c r="BJ1745" s="752"/>
      <c r="BK1745" s="752"/>
      <c r="BL1745" s="752"/>
      <c r="BM1745" s="752"/>
      <c r="BN1745" s="752"/>
      <c r="BO1745" s="752"/>
      <c r="BP1745" s="752"/>
      <c r="BQ1745" s="752"/>
      <c r="BR1745" s="752"/>
      <c r="BS1745" s="752"/>
      <c r="BT1745" s="752"/>
      <c r="BU1745" s="752"/>
      <c r="BV1745" s="752"/>
      <c r="BW1745" s="752"/>
      <c r="BX1745" s="752"/>
      <c r="BY1745" s="752"/>
      <c r="BZ1745" s="752"/>
      <c r="CA1745" s="752"/>
      <c r="CB1745" s="752"/>
      <c r="CC1745" s="752"/>
      <c r="CD1745" s="752"/>
      <c r="CE1745" s="752"/>
      <c r="CF1745" s="752"/>
      <c r="CG1745" s="752"/>
      <c r="CH1745" s="752"/>
      <c r="CI1745" s="752"/>
      <c r="CJ1745" s="752"/>
      <c r="CK1745" s="752"/>
      <c r="CL1745" s="752"/>
      <c r="CM1745" s="752"/>
      <c r="CN1745" s="752"/>
      <c r="CO1745" s="752"/>
      <c r="CP1745" s="752"/>
      <c r="CQ1745" s="752"/>
      <c r="CR1745" s="752"/>
      <c r="CS1745" s="752"/>
      <c r="CT1745" s="752"/>
      <c r="CU1745" s="752"/>
      <c r="CV1745" s="752"/>
      <c r="CW1745" s="752"/>
      <c r="CX1745" s="752"/>
      <c r="CY1745" s="752"/>
      <c r="CZ1745" s="752"/>
      <c r="DA1745" s="752"/>
      <c r="DB1745" s="752"/>
      <c r="DC1745" s="752"/>
      <c r="DD1745" s="752"/>
      <c r="DE1745" s="752"/>
      <c r="DF1745" s="752"/>
      <c r="DG1745" s="752"/>
      <c r="DH1745" s="752"/>
      <c r="DI1745" s="752"/>
      <c r="DJ1745" s="752"/>
      <c r="DK1745" s="752"/>
      <c r="DL1745" s="752"/>
      <c r="DM1745" s="752"/>
      <c r="DN1745" s="752"/>
      <c r="DO1745" s="752"/>
      <c r="DP1745" s="752"/>
      <c r="DQ1745" s="752"/>
      <c r="DR1745" s="752"/>
      <c r="DS1745" s="752"/>
      <c r="DT1745" s="752"/>
      <c r="DU1745" s="752"/>
      <c r="DV1745" s="752"/>
      <c r="DW1745" s="752"/>
      <c r="DX1745" s="752"/>
      <c r="DY1745" s="752"/>
      <c r="DZ1745" s="752"/>
      <c r="EA1745" s="752"/>
      <c r="EB1745" s="752"/>
      <c r="EC1745" s="752"/>
      <c r="ED1745" s="752"/>
      <c r="EE1745" s="752"/>
      <c r="EF1745" s="752"/>
      <c r="EG1745" s="752"/>
      <c r="EH1745" s="752"/>
      <c r="EI1745" s="752"/>
      <c r="EJ1745" s="752"/>
      <c r="EK1745" s="752"/>
      <c r="EL1745" s="752"/>
      <c r="EM1745" s="752"/>
      <c r="EN1745" s="752"/>
      <c r="EO1745" s="752"/>
      <c r="EP1745" s="752"/>
      <c r="EQ1745" s="752"/>
      <c r="ER1745" s="752"/>
      <c r="ES1745" s="752"/>
      <c r="ET1745" s="752"/>
      <c r="EU1745" s="752"/>
      <c r="EV1745" s="752"/>
      <c r="EW1745" s="752"/>
      <c r="EX1745" s="752"/>
      <c r="EY1745" s="752"/>
      <c r="EZ1745" s="752"/>
      <c r="FA1745" s="752"/>
      <c r="FB1745" s="752"/>
      <c r="FC1745" s="752"/>
      <c r="FD1745" s="752"/>
      <c r="FE1745" s="752"/>
      <c r="FF1745" s="752"/>
      <c r="FG1745" s="752"/>
      <c r="FH1745" s="752"/>
      <c r="FI1745" s="752"/>
      <c r="FJ1745" s="752"/>
      <c r="FK1745" s="752"/>
      <c r="FL1745" s="752"/>
      <c r="FM1745" s="752"/>
      <c r="FN1745" s="752"/>
      <c r="FO1745" s="752"/>
      <c r="FP1745" s="752"/>
      <c r="FQ1745" s="752"/>
      <c r="FR1745" s="752"/>
      <c r="FS1745" s="752"/>
      <c r="FT1745" s="752"/>
      <c r="FU1745" s="752"/>
      <c r="FV1745" s="752"/>
      <c r="FW1745" s="752"/>
      <c r="FX1745" s="752"/>
      <c r="FY1745" s="752"/>
      <c r="FZ1745" s="752"/>
      <c r="GA1745" s="752"/>
      <c r="GB1745" s="752"/>
      <c r="GC1745" s="752"/>
      <c r="GD1745" s="752"/>
      <c r="GE1745" s="752"/>
      <c r="GF1745" s="752"/>
      <c r="GG1745" s="752"/>
      <c r="GH1745" s="752"/>
      <c r="GI1745" s="752"/>
      <c r="GJ1745" s="752"/>
      <c r="GK1745" s="752"/>
      <c r="GL1745" s="752"/>
      <c r="GM1745" s="752"/>
      <c r="GN1745" s="752"/>
      <c r="GO1745" s="752"/>
      <c r="GP1745" s="752"/>
      <c r="GQ1745" s="752"/>
      <c r="GR1745" s="752"/>
      <c r="GS1745" s="752"/>
      <c r="GT1745" s="752"/>
      <c r="GU1745" s="752"/>
      <c r="GV1745" s="752"/>
      <c r="GW1745" s="752"/>
      <c r="GX1745" s="752"/>
      <c r="GY1745" s="752"/>
      <c r="GZ1745" s="752"/>
      <c r="HA1745" s="752"/>
      <c r="HB1745" s="752"/>
      <c r="HC1745" s="752"/>
      <c r="HD1745" s="752"/>
      <c r="HE1745" s="752"/>
      <c r="HF1745" s="752"/>
      <c r="HG1745" s="752"/>
      <c r="HH1745" s="752"/>
      <c r="HI1745" s="752"/>
      <c r="HJ1745" s="752"/>
      <c r="HK1745" s="752"/>
      <c r="HL1745" s="752"/>
      <c r="HM1745" s="752"/>
      <c r="HN1745" s="752"/>
      <c r="HO1745" s="752"/>
      <c r="HP1745" s="752"/>
      <c r="HQ1745" s="752"/>
      <c r="HR1745" s="752"/>
      <c r="HS1745" s="752"/>
      <c r="HT1745" s="752"/>
      <c r="HU1745" s="752"/>
      <c r="HV1745" s="752"/>
      <c r="HW1745" s="752"/>
      <c r="HX1745" s="752"/>
      <c r="HY1745" s="752"/>
      <c r="HZ1745" s="752"/>
      <c r="IA1745" s="752"/>
      <c r="IB1745" s="752"/>
      <c r="IC1745" s="752"/>
      <c r="ID1745" s="752"/>
      <c r="IE1745" s="752"/>
      <c r="IF1745" s="752"/>
      <c r="IG1745" s="752"/>
      <c r="IH1745" s="752"/>
      <c r="II1745" s="752"/>
      <c r="IJ1745" s="752"/>
      <c r="IK1745" s="752"/>
      <c r="IL1745" s="752"/>
      <c r="IM1745" s="752"/>
      <c r="IN1745" s="752"/>
      <c r="IO1745" s="752"/>
    </row>
    <row r="1746" spans="1:249" ht="49.5">
      <c r="A1746" s="1119"/>
      <c r="B1746" s="212"/>
      <c r="C1746" s="605">
        <v>3</v>
      </c>
      <c r="D1746" s="605" t="s">
        <v>34</v>
      </c>
      <c r="E1746" s="605" t="s">
        <v>39</v>
      </c>
      <c r="F1746" s="605">
        <v>17</v>
      </c>
      <c r="G1746" s="605" t="s">
        <v>43</v>
      </c>
      <c r="H1746" s="605"/>
      <c r="I1746" s="114" t="s">
        <v>1669</v>
      </c>
      <c r="J1746" s="124" t="s">
        <v>3219</v>
      </c>
      <c r="K1746" s="1239">
        <v>6</v>
      </c>
      <c r="L1746" s="125">
        <v>1071506464</v>
      </c>
      <c r="M1746" s="91">
        <v>3</v>
      </c>
      <c r="N1746" s="125">
        <v>408104120</v>
      </c>
      <c r="O1746" s="91">
        <v>1</v>
      </c>
      <c r="P1746" s="125">
        <v>149808879</v>
      </c>
      <c r="Q1746" s="811">
        <v>0</v>
      </c>
      <c r="R1746" s="125">
        <v>0</v>
      </c>
      <c r="S1746" s="125">
        <v>0</v>
      </c>
      <c r="T1746" s="125">
        <v>1683000</v>
      </c>
      <c r="U1746" s="125"/>
      <c r="V1746" s="803"/>
      <c r="W1746" s="125"/>
      <c r="X1746" s="125"/>
      <c r="Y1746" s="125">
        <f t="shared" si="512"/>
        <v>0</v>
      </c>
      <c r="Z1746" s="125">
        <f t="shared" si="513"/>
        <v>1683000</v>
      </c>
      <c r="AA1746" s="1196">
        <f t="shared" si="514"/>
        <v>3</v>
      </c>
      <c r="AB1746" s="125">
        <f t="shared" si="515"/>
        <v>409787120</v>
      </c>
      <c r="AC1746" s="1196">
        <f t="shared" si="510"/>
        <v>50</v>
      </c>
      <c r="AD1746" s="1196">
        <f t="shared" si="511"/>
        <v>38.244017536790146</v>
      </c>
      <c r="AE1746" s="89"/>
      <c r="AF1746" s="750"/>
      <c r="AG1746" s="750"/>
      <c r="AH1746" s="750"/>
      <c r="AI1746" s="750"/>
      <c r="AJ1746" s="750"/>
      <c r="AK1746" s="750"/>
      <c r="AL1746" s="750"/>
      <c r="AM1746" s="750"/>
      <c r="AN1746" s="750"/>
      <c r="AO1746" s="750"/>
      <c r="AP1746" s="750"/>
      <c r="AQ1746" s="750"/>
      <c r="AR1746" s="750"/>
      <c r="AS1746" s="750"/>
      <c r="AT1746" s="750"/>
      <c r="AU1746" s="750"/>
      <c r="AV1746" s="750"/>
      <c r="AW1746" s="750"/>
      <c r="AX1746" s="750"/>
      <c r="AY1746" s="750"/>
      <c r="AZ1746" s="750"/>
      <c r="BA1746" s="750"/>
      <c r="BB1746" s="750"/>
      <c r="BC1746" s="752"/>
      <c r="BD1746" s="752"/>
      <c r="BE1746" s="752"/>
      <c r="BF1746" s="752"/>
      <c r="BG1746" s="752"/>
      <c r="BH1746" s="752"/>
      <c r="BI1746" s="752"/>
      <c r="BJ1746" s="752"/>
      <c r="BK1746" s="752"/>
      <c r="BL1746" s="752"/>
      <c r="BM1746" s="752"/>
      <c r="BN1746" s="752"/>
      <c r="BO1746" s="752"/>
      <c r="BP1746" s="752"/>
      <c r="BQ1746" s="752"/>
      <c r="BR1746" s="752"/>
      <c r="BS1746" s="752"/>
      <c r="BT1746" s="752"/>
      <c r="BU1746" s="752"/>
      <c r="BV1746" s="752"/>
      <c r="BW1746" s="752"/>
      <c r="BX1746" s="752"/>
      <c r="BY1746" s="752"/>
      <c r="BZ1746" s="752"/>
      <c r="CA1746" s="752"/>
      <c r="CB1746" s="752"/>
      <c r="CC1746" s="752"/>
      <c r="CD1746" s="752"/>
      <c r="CE1746" s="752"/>
      <c r="CF1746" s="752"/>
      <c r="CG1746" s="752"/>
      <c r="CH1746" s="752"/>
      <c r="CI1746" s="752"/>
      <c r="CJ1746" s="752"/>
      <c r="CK1746" s="752"/>
      <c r="CL1746" s="752"/>
      <c r="CM1746" s="752"/>
      <c r="CN1746" s="752"/>
      <c r="CO1746" s="752"/>
      <c r="CP1746" s="752"/>
      <c r="CQ1746" s="752"/>
      <c r="CR1746" s="752"/>
      <c r="CS1746" s="752"/>
      <c r="CT1746" s="752"/>
      <c r="CU1746" s="752"/>
      <c r="CV1746" s="752"/>
      <c r="CW1746" s="752"/>
      <c r="CX1746" s="752"/>
      <c r="CY1746" s="752"/>
      <c r="CZ1746" s="752"/>
      <c r="DA1746" s="752"/>
      <c r="DB1746" s="752"/>
      <c r="DC1746" s="752"/>
      <c r="DD1746" s="752"/>
      <c r="DE1746" s="752"/>
      <c r="DF1746" s="752"/>
      <c r="DG1746" s="752"/>
      <c r="DH1746" s="752"/>
      <c r="DI1746" s="752"/>
      <c r="DJ1746" s="752"/>
      <c r="DK1746" s="752"/>
      <c r="DL1746" s="752"/>
      <c r="DM1746" s="752"/>
      <c r="DN1746" s="752"/>
      <c r="DO1746" s="752"/>
      <c r="DP1746" s="752"/>
      <c r="DQ1746" s="752"/>
      <c r="DR1746" s="752"/>
      <c r="DS1746" s="752"/>
      <c r="DT1746" s="752"/>
      <c r="DU1746" s="752"/>
      <c r="DV1746" s="752"/>
      <c r="DW1746" s="752"/>
      <c r="DX1746" s="752"/>
      <c r="DY1746" s="752"/>
      <c r="DZ1746" s="752"/>
      <c r="EA1746" s="752"/>
      <c r="EB1746" s="752"/>
      <c r="EC1746" s="752"/>
      <c r="ED1746" s="752"/>
      <c r="EE1746" s="752"/>
      <c r="EF1746" s="752"/>
      <c r="EG1746" s="752"/>
      <c r="EH1746" s="752"/>
      <c r="EI1746" s="752"/>
      <c r="EJ1746" s="752"/>
      <c r="EK1746" s="752"/>
      <c r="EL1746" s="752"/>
      <c r="EM1746" s="752"/>
      <c r="EN1746" s="752"/>
      <c r="EO1746" s="752"/>
      <c r="EP1746" s="752"/>
      <c r="EQ1746" s="752"/>
      <c r="ER1746" s="752"/>
      <c r="ES1746" s="752"/>
      <c r="ET1746" s="752"/>
      <c r="EU1746" s="752"/>
      <c r="EV1746" s="752"/>
      <c r="EW1746" s="752"/>
      <c r="EX1746" s="752"/>
      <c r="EY1746" s="752"/>
      <c r="EZ1746" s="752"/>
      <c r="FA1746" s="752"/>
      <c r="FB1746" s="752"/>
      <c r="FC1746" s="752"/>
      <c r="FD1746" s="752"/>
      <c r="FE1746" s="752"/>
      <c r="FF1746" s="752"/>
      <c r="FG1746" s="752"/>
      <c r="FH1746" s="752"/>
      <c r="FI1746" s="752"/>
      <c r="FJ1746" s="752"/>
      <c r="FK1746" s="752"/>
      <c r="FL1746" s="752"/>
      <c r="FM1746" s="752"/>
      <c r="FN1746" s="752"/>
      <c r="FO1746" s="752"/>
      <c r="FP1746" s="752"/>
      <c r="FQ1746" s="752"/>
      <c r="FR1746" s="752"/>
      <c r="FS1746" s="752"/>
      <c r="FT1746" s="752"/>
      <c r="FU1746" s="752"/>
      <c r="FV1746" s="752"/>
      <c r="FW1746" s="752"/>
      <c r="FX1746" s="752"/>
      <c r="FY1746" s="752"/>
      <c r="FZ1746" s="752"/>
      <c r="GA1746" s="752"/>
      <c r="GB1746" s="752"/>
      <c r="GC1746" s="752"/>
      <c r="GD1746" s="752"/>
      <c r="GE1746" s="752"/>
      <c r="GF1746" s="752"/>
      <c r="GG1746" s="752"/>
      <c r="GH1746" s="752"/>
      <c r="GI1746" s="752"/>
      <c r="GJ1746" s="752"/>
      <c r="GK1746" s="752"/>
      <c r="GL1746" s="752"/>
      <c r="GM1746" s="752"/>
      <c r="GN1746" s="752"/>
      <c r="GO1746" s="752"/>
      <c r="GP1746" s="752"/>
      <c r="GQ1746" s="752"/>
      <c r="GR1746" s="752"/>
      <c r="GS1746" s="752"/>
      <c r="GT1746" s="752"/>
      <c r="GU1746" s="752"/>
      <c r="GV1746" s="752"/>
      <c r="GW1746" s="752"/>
      <c r="GX1746" s="752"/>
      <c r="GY1746" s="752"/>
      <c r="GZ1746" s="752"/>
      <c r="HA1746" s="752"/>
      <c r="HB1746" s="752"/>
      <c r="HC1746" s="752"/>
      <c r="HD1746" s="752"/>
      <c r="HE1746" s="752"/>
      <c r="HF1746" s="752"/>
      <c r="HG1746" s="752"/>
      <c r="HH1746" s="752"/>
      <c r="HI1746" s="752"/>
      <c r="HJ1746" s="752"/>
      <c r="HK1746" s="752"/>
      <c r="HL1746" s="752"/>
      <c r="HM1746" s="752"/>
      <c r="HN1746" s="752"/>
      <c r="HO1746" s="752"/>
      <c r="HP1746" s="752"/>
      <c r="HQ1746" s="752"/>
      <c r="HR1746" s="752"/>
      <c r="HS1746" s="752"/>
      <c r="HT1746" s="752"/>
      <c r="HU1746" s="752"/>
      <c r="HV1746" s="752"/>
      <c r="HW1746" s="752"/>
      <c r="HX1746" s="752"/>
      <c r="HY1746" s="752"/>
      <c r="HZ1746" s="752"/>
      <c r="IA1746" s="752"/>
      <c r="IB1746" s="752"/>
      <c r="IC1746" s="752"/>
      <c r="ID1746" s="752"/>
      <c r="IE1746" s="752"/>
      <c r="IF1746" s="752"/>
      <c r="IG1746" s="752"/>
      <c r="IH1746" s="752"/>
      <c r="II1746" s="752"/>
      <c r="IJ1746" s="752"/>
      <c r="IK1746" s="752"/>
      <c r="IL1746" s="752"/>
      <c r="IM1746" s="752"/>
      <c r="IN1746" s="752"/>
      <c r="IO1746" s="752"/>
    </row>
    <row r="1747" spans="1:249" ht="66">
      <c r="A1747" s="1119"/>
      <c r="B1747" s="212"/>
      <c r="C1747" s="605">
        <v>3</v>
      </c>
      <c r="D1747" s="605" t="s">
        <v>34</v>
      </c>
      <c r="E1747" s="605" t="s">
        <v>39</v>
      </c>
      <c r="F1747" s="605">
        <v>17</v>
      </c>
      <c r="G1747" s="89">
        <v>10</v>
      </c>
      <c r="H1747" s="89"/>
      <c r="I1747" s="114" t="s">
        <v>1670</v>
      </c>
      <c r="J1747" s="124" t="s">
        <v>3220</v>
      </c>
      <c r="K1747" s="1239">
        <v>6</v>
      </c>
      <c r="L1747" s="125">
        <v>850803806</v>
      </c>
      <c r="M1747" s="91">
        <v>3</v>
      </c>
      <c r="N1747" s="125">
        <v>310678873</v>
      </c>
      <c r="O1747" s="91">
        <v>1</v>
      </c>
      <c r="P1747" s="125">
        <v>92007678</v>
      </c>
      <c r="Q1747" s="811">
        <v>0</v>
      </c>
      <c r="R1747" s="125">
        <v>0</v>
      </c>
      <c r="S1747" s="125">
        <v>65</v>
      </c>
      <c r="T1747" s="125">
        <v>12015076</v>
      </c>
      <c r="U1747" s="125"/>
      <c r="V1747" s="803"/>
      <c r="W1747" s="125"/>
      <c r="X1747" s="125"/>
      <c r="Y1747" s="125">
        <f t="shared" si="512"/>
        <v>65</v>
      </c>
      <c r="Z1747" s="125">
        <f t="shared" si="513"/>
        <v>12015076</v>
      </c>
      <c r="AA1747" s="1196">
        <f t="shared" si="514"/>
        <v>68</v>
      </c>
      <c r="AB1747" s="125">
        <f t="shared" si="515"/>
        <v>322693949</v>
      </c>
      <c r="AC1747" s="1196">
        <f t="shared" si="510"/>
        <v>1133.3333333333335</v>
      </c>
      <c r="AD1747" s="1196">
        <f t="shared" si="511"/>
        <v>37.928127110423389</v>
      </c>
      <c r="AE1747" s="89"/>
      <c r="AF1747" s="750"/>
      <c r="AG1747" s="750"/>
      <c r="AH1747" s="750"/>
      <c r="AI1747" s="750"/>
      <c r="AJ1747" s="750"/>
      <c r="AK1747" s="750"/>
      <c r="AL1747" s="750"/>
      <c r="AM1747" s="750"/>
      <c r="AN1747" s="750"/>
      <c r="AO1747" s="750"/>
      <c r="AP1747" s="750"/>
      <c r="AQ1747" s="750"/>
      <c r="AR1747" s="750"/>
      <c r="AS1747" s="750"/>
      <c r="AT1747" s="750"/>
      <c r="AU1747" s="750"/>
      <c r="AV1747" s="750"/>
      <c r="AW1747" s="750"/>
      <c r="AX1747" s="750"/>
      <c r="AY1747" s="750"/>
      <c r="AZ1747" s="750"/>
      <c r="BA1747" s="750"/>
      <c r="BB1747" s="750"/>
      <c r="BC1747" s="752"/>
      <c r="BD1747" s="752"/>
      <c r="BE1747" s="752"/>
      <c r="BF1747" s="752"/>
      <c r="BG1747" s="752"/>
      <c r="BH1747" s="752"/>
      <c r="BI1747" s="752"/>
      <c r="BJ1747" s="752"/>
      <c r="BK1747" s="752"/>
      <c r="BL1747" s="752"/>
      <c r="BM1747" s="752"/>
      <c r="BN1747" s="752"/>
      <c r="BO1747" s="752"/>
      <c r="BP1747" s="752"/>
      <c r="BQ1747" s="752"/>
      <c r="BR1747" s="752"/>
      <c r="BS1747" s="752"/>
      <c r="BT1747" s="752"/>
      <c r="BU1747" s="752"/>
      <c r="BV1747" s="752"/>
      <c r="BW1747" s="752"/>
      <c r="BX1747" s="752"/>
      <c r="BY1747" s="752"/>
      <c r="BZ1747" s="752"/>
      <c r="CA1747" s="752"/>
      <c r="CB1747" s="752"/>
      <c r="CC1747" s="752"/>
      <c r="CD1747" s="752"/>
      <c r="CE1747" s="752"/>
      <c r="CF1747" s="752"/>
      <c r="CG1747" s="752"/>
      <c r="CH1747" s="752"/>
      <c r="CI1747" s="752"/>
      <c r="CJ1747" s="752"/>
      <c r="CK1747" s="752"/>
      <c r="CL1747" s="752"/>
      <c r="CM1747" s="752"/>
      <c r="CN1747" s="752"/>
      <c r="CO1747" s="752"/>
      <c r="CP1747" s="752"/>
      <c r="CQ1747" s="752"/>
      <c r="CR1747" s="752"/>
      <c r="CS1747" s="752"/>
      <c r="CT1747" s="752"/>
      <c r="CU1747" s="752"/>
      <c r="CV1747" s="752"/>
      <c r="CW1747" s="752"/>
      <c r="CX1747" s="752"/>
      <c r="CY1747" s="752"/>
      <c r="CZ1747" s="752"/>
      <c r="DA1747" s="752"/>
      <c r="DB1747" s="752"/>
      <c r="DC1747" s="752"/>
      <c r="DD1747" s="752"/>
      <c r="DE1747" s="752"/>
      <c r="DF1747" s="752"/>
      <c r="DG1747" s="752"/>
      <c r="DH1747" s="752"/>
      <c r="DI1747" s="752"/>
      <c r="DJ1747" s="752"/>
      <c r="DK1747" s="752"/>
      <c r="DL1747" s="752"/>
      <c r="DM1747" s="752"/>
      <c r="DN1747" s="752"/>
      <c r="DO1747" s="752"/>
      <c r="DP1747" s="752"/>
      <c r="DQ1747" s="752"/>
      <c r="DR1747" s="752"/>
      <c r="DS1747" s="752"/>
      <c r="DT1747" s="752"/>
      <c r="DU1747" s="752"/>
      <c r="DV1747" s="752"/>
      <c r="DW1747" s="752"/>
      <c r="DX1747" s="752"/>
      <c r="DY1747" s="752"/>
      <c r="DZ1747" s="752"/>
      <c r="EA1747" s="752"/>
      <c r="EB1747" s="752"/>
      <c r="EC1747" s="752"/>
      <c r="ED1747" s="752"/>
      <c r="EE1747" s="752"/>
      <c r="EF1747" s="752"/>
      <c r="EG1747" s="752"/>
      <c r="EH1747" s="752"/>
      <c r="EI1747" s="752"/>
      <c r="EJ1747" s="752"/>
      <c r="EK1747" s="752"/>
      <c r="EL1747" s="752"/>
      <c r="EM1747" s="752"/>
      <c r="EN1747" s="752"/>
      <c r="EO1747" s="752"/>
      <c r="EP1747" s="752"/>
      <c r="EQ1747" s="752"/>
      <c r="ER1747" s="752"/>
      <c r="ES1747" s="752"/>
      <c r="ET1747" s="752"/>
      <c r="EU1747" s="752"/>
      <c r="EV1747" s="752"/>
      <c r="EW1747" s="752"/>
      <c r="EX1747" s="752"/>
      <c r="EY1747" s="752"/>
      <c r="EZ1747" s="752"/>
      <c r="FA1747" s="752"/>
      <c r="FB1747" s="752"/>
      <c r="FC1747" s="752"/>
      <c r="FD1747" s="752"/>
      <c r="FE1747" s="752"/>
      <c r="FF1747" s="752"/>
      <c r="FG1747" s="752"/>
      <c r="FH1747" s="752"/>
      <c r="FI1747" s="752"/>
      <c r="FJ1747" s="752"/>
      <c r="FK1747" s="752"/>
      <c r="FL1747" s="752"/>
      <c r="FM1747" s="752"/>
      <c r="FN1747" s="752"/>
      <c r="FO1747" s="752"/>
      <c r="FP1747" s="752"/>
      <c r="FQ1747" s="752"/>
      <c r="FR1747" s="752"/>
      <c r="FS1747" s="752"/>
      <c r="FT1747" s="752"/>
      <c r="FU1747" s="752"/>
      <c r="FV1747" s="752"/>
      <c r="FW1747" s="752"/>
      <c r="FX1747" s="752"/>
      <c r="FY1747" s="752"/>
      <c r="FZ1747" s="752"/>
      <c r="GA1747" s="752"/>
      <c r="GB1747" s="752"/>
      <c r="GC1747" s="752"/>
      <c r="GD1747" s="752"/>
      <c r="GE1747" s="752"/>
      <c r="GF1747" s="752"/>
      <c r="GG1747" s="752"/>
      <c r="GH1747" s="752"/>
      <c r="GI1747" s="752"/>
      <c r="GJ1747" s="752"/>
      <c r="GK1747" s="752"/>
      <c r="GL1747" s="752"/>
      <c r="GM1747" s="752"/>
      <c r="GN1747" s="752"/>
      <c r="GO1747" s="752"/>
      <c r="GP1747" s="752"/>
      <c r="GQ1747" s="752"/>
      <c r="GR1747" s="752"/>
      <c r="GS1747" s="752"/>
      <c r="GT1747" s="752"/>
      <c r="GU1747" s="752"/>
      <c r="GV1747" s="752"/>
      <c r="GW1747" s="752"/>
      <c r="GX1747" s="752"/>
      <c r="GY1747" s="752"/>
      <c r="GZ1747" s="752"/>
      <c r="HA1747" s="752"/>
      <c r="HB1747" s="752"/>
      <c r="HC1747" s="752"/>
      <c r="HD1747" s="752"/>
      <c r="HE1747" s="752"/>
      <c r="HF1747" s="752"/>
      <c r="HG1747" s="752"/>
      <c r="HH1747" s="752"/>
      <c r="HI1747" s="752"/>
      <c r="HJ1747" s="752"/>
      <c r="HK1747" s="752"/>
      <c r="HL1747" s="752"/>
      <c r="HM1747" s="752"/>
      <c r="HN1747" s="752"/>
      <c r="HO1747" s="752"/>
      <c r="HP1747" s="752"/>
      <c r="HQ1747" s="752"/>
      <c r="HR1747" s="752"/>
      <c r="HS1747" s="752"/>
      <c r="HT1747" s="752"/>
      <c r="HU1747" s="752"/>
      <c r="HV1747" s="752"/>
      <c r="HW1747" s="752"/>
      <c r="HX1747" s="752"/>
      <c r="HY1747" s="752"/>
      <c r="HZ1747" s="752"/>
      <c r="IA1747" s="752"/>
      <c r="IB1747" s="752"/>
      <c r="IC1747" s="752"/>
      <c r="ID1747" s="752"/>
      <c r="IE1747" s="752"/>
      <c r="IF1747" s="752"/>
      <c r="IG1747" s="752"/>
      <c r="IH1747" s="752"/>
      <c r="II1747" s="752"/>
      <c r="IJ1747" s="752"/>
      <c r="IK1747" s="752"/>
      <c r="IL1747" s="752"/>
      <c r="IM1747" s="752"/>
      <c r="IN1747" s="752"/>
      <c r="IO1747" s="752"/>
    </row>
    <row r="1748" spans="1:249" ht="66">
      <c r="A1748" s="513"/>
      <c r="B1748" s="787"/>
      <c r="C1748" s="628">
        <v>3</v>
      </c>
      <c r="D1748" s="628" t="s">
        <v>34</v>
      </c>
      <c r="E1748" s="628" t="s">
        <v>39</v>
      </c>
      <c r="F1748" s="628">
        <v>17</v>
      </c>
      <c r="G1748" s="102"/>
      <c r="H1748" s="102"/>
      <c r="I1748" s="313" t="s">
        <v>1671</v>
      </c>
      <c r="J1748" s="780" t="s">
        <v>3221</v>
      </c>
      <c r="K1748" s="1151">
        <v>72</v>
      </c>
      <c r="L1748" s="238">
        <v>313157986</v>
      </c>
      <c r="M1748" s="104">
        <v>36</v>
      </c>
      <c r="N1748" s="238">
        <v>0</v>
      </c>
      <c r="O1748" s="104">
        <v>12</v>
      </c>
      <c r="P1748" s="238">
        <v>313157986</v>
      </c>
      <c r="Q1748" s="812">
        <v>3</v>
      </c>
      <c r="R1748" s="238">
        <v>25239900</v>
      </c>
      <c r="S1748" s="238">
        <v>3</v>
      </c>
      <c r="T1748" s="238">
        <v>68356563</v>
      </c>
      <c r="U1748" s="238"/>
      <c r="V1748" s="408"/>
      <c r="W1748" s="238"/>
      <c r="X1748" s="238"/>
      <c r="Y1748" s="238">
        <f t="shared" si="512"/>
        <v>6</v>
      </c>
      <c r="Z1748" s="238">
        <f t="shared" si="513"/>
        <v>93596463</v>
      </c>
      <c r="AA1748" s="1761">
        <f t="shared" si="514"/>
        <v>42</v>
      </c>
      <c r="AB1748" s="238">
        <f t="shared" si="515"/>
        <v>93596463</v>
      </c>
      <c r="AC1748" s="1761">
        <f t="shared" si="510"/>
        <v>58.333333333333336</v>
      </c>
      <c r="AD1748" s="1761">
        <f t="shared" si="511"/>
        <v>29.887937457868315</v>
      </c>
      <c r="AE1748" s="102"/>
      <c r="AF1748" s="750"/>
      <c r="AG1748" s="750"/>
      <c r="AH1748" s="750"/>
      <c r="AI1748" s="750"/>
      <c r="AJ1748" s="750"/>
      <c r="AK1748" s="750"/>
      <c r="AL1748" s="750"/>
      <c r="AM1748" s="750"/>
      <c r="AN1748" s="750"/>
      <c r="AO1748" s="750"/>
      <c r="AP1748" s="750"/>
      <c r="AQ1748" s="750"/>
      <c r="AR1748" s="750"/>
      <c r="AS1748" s="750"/>
      <c r="AT1748" s="750"/>
      <c r="AU1748" s="750"/>
      <c r="AV1748" s="750"/>
      <c r="AW1748" s="750"/>
      <c r="AX1748" s="750"/>
      <c r="AY1748" s="750"/>
      <c r="AZ1748" s="750"/>
      <c r="BA1748" s="750"/>
      <c r="BB1748" s="750"/>
      <c r="BC1748" s="752"/>
      <c r="BD1748" s="752"/>
      <c r="BE1748" s="752"/>
      <c r="BF1748" s="752"/>
      <c r="BG1748" s="752"/>
      <c r="BH1748" s="752"/>
      <c r="BI1748" s="752"/>
      <c r="BJ1748" s="752"/>
      <c r="BK1748" s="752"/>
      <c r="BL1748" s="752"/>
      <c r="BM1748" s="752"/>
      <c r="BN1748" s="752"/>
      <c r="BO1748" s="752"/>
      <c r="BP1748" s="752"/>
      <c r="BQ1748" s="752"/>
      <c r="BR1748" s="752"/>
      <c r="BS1748" s="752"/>
      <c r="BT1748" s="752"/>
      <c r="BU1748" s="752"/>
      <c r="BV1748" s="752"/>
      <c r="BW1748" s="752"/>
      <c r="BX1748" s="752"/>
      <c r="BY1748" s="752"/>
      <c r="BZ1748" s="752"/>
      <c r="CA1748" s="752"/>
      <c r="CB1748" s="752"/>
      <c r="CC1748" s="752"/>
      <c r="CD1748" s="752"/>
      <c r="CE1748" s="752"/>
      <c r="CF1748" s="752"/>
      <c r="CG1748" s="752"/>
      <c r="CH1748" s="752"/>
      <c r="CI1748" s="752"/>
      <c r="CJ1748" s="752"/>
      <c r="CK1748" s="752"/>
      <c r="CL1748" s="752"/>
      <c r="CM1748" s="752"/>
      <c r="CN1748" s="752"/>
      <c r="CO1748" s="752"/>
      <c r="CP1748" s="752"/>
      <c r="CQ1748" s="752"/>
      <c r="CR1748" s="752"/>
      <c r="CS1748" s="752"/>
      <c r="CT1748" s="752"/>
      <c r="CU1748" s="752"/>
      <c r="CV1748" s="752"/>
      <c r="CW1748" s="752"/>
      <c r="CX1748" s="752"/>
      <c r="CY1748" s="752"/>
      <c r="CZ1748" s="752"/>
      <c r="DA1748" s="752"/>
      <c r="DB1748" s="752"/>
      <c r="DC1748" s="752"/>
      <c r="DD1748" s="752"/>
      <c r="DE1748" s="752"/>
      <c r="DF1748" s="752"/>
      <c r="DG1748" s="752"/>
      <c r="DH1748" s="752"/>
      <c r="DI1748" s="752"/>
      <c r="DJ1748" s="752"/>
      <c r="DK1748" s="752"/>
      <c r="DL1748" s="752"/>
      <c r="DM1748" s="752"/>
      <c r="DN1748" s="752"/>
      <c r="DO1748" s="752"/>
      <c r="DP1748" s="752"/>
      <c r="DQ1748" s="752"/>
      <c r="DR1748" s="752"/>
      <c r="DS1748" s="752"/>
      <c r="DT1748" s="752"/>
      <c r="DU1748" s="752"/>
      <c r="DV1748" s="752"/>
      <c r="DW1748" s="752"/>
      <c r="DX1748" s="752"/>
      <c r="DY1748" s="752"/>
      <c r="DZ1748" s="752"/>
      <c r="EA1748" s="752"/>
      <c r="EB1748" s="752"/>
      <c r="EC1748" s="752"/>
      <c r="ED1748" s="752"/>
      <c r="EE1748" s="752"/>
      <c r="EF1748" s="752"/>
      <c r="EG1748" s="752"/>
      <c r="EH1748" s="752"/>
      <c r="EI1748" s="752"/>
      <c r="EJ1748" s="752"/>
      <c r="EK1748" s="752"/>
      <c r="EL1748" s="752"/>
      <c r="EM1748" s="752"/>
      <c r="EN1748" s="752"/>
      <c r="EO1748" s="752"/>
      <c r="EP1748" s="752"/>
      <c r="EQ1748" s="752"/>
      <c r="ER1748" s="752"/>
      <c r="ES1748" s="752"/>
      <c r="ET1748" s="752"/>
      <c r="EU1748" s="752"/>
      <c r="EV1748" s="752"/>
      <c r="EW1748" s="752"/>
      <c r="EX1748" s="752"/>
      <c r="EY1748" s="752"/>
      <c r="EZ1748" s="752"/>
      <c r="FA1748" s="752"/>
      <c r="FB1748" s="752"/>
      <c r="FC1748" s="752"/>
      <c r="FD1748" s="752"/>
      <c r="FE1748" s="752"/>
      <c r="FF1748" s="752"/>
      <c r="FG1748" s="752"/>
      <c r="FH1748" s="752"/>
      <c r="FI1748" s="752"/>
      <c r="FJ1748" s="752"/>
      <c r="FK1748" s="752"/>
      <c r="FL1748" s="752"/>
      <c r="FM1748" s="752"/>
      <c r="FN1748" s="752"/>
      <c r="FO1748" s="752"/>
      <c r="FP1748" s="752"/>
      <c r="FQ1748" s="752"/>
      <c r="FR1748" s="752"/>
      <c r="FS1748" s="752"/>
      <c r="FT1748" s="752"/>
      <c r="FU1748" s="752"/>
      <c r="FV1748" s="752"/>
      <c r="FW1748" s="752"/>
      <c r="FX1748" s="752"/>
      <c r="FY1748" s="752"/>
      <c r="FZ1748" s="752"/>
      <c r="GA1748" s="752"/>
      <c r="GB1748" s="752"/>
      <c r="GC1748" s="752"/>
      <c r="GD1748" s="752"/>
      <c r="GE1748" s="752"/>
      <c r="GF1748" s="752"/>
      <c r="GG1748" s="752"/>
      <c r="GH1748" s="752"/>
      <c r="GI1748" s="752"/>
      <c r="GJ1748" s="752"/>
      <c r="GK1748" s="752"/>
      <c r="GL1748" s="752"/>
      <c r="GM1748" s="752"/>
      <c r="GN1748" s="752"/>
      <c r="GO1748" s="752"/>
      <c r="GP1748" s="752"/>
      <c r="GQ1748" s="752"/>
      <c r="GR1748" s="752"/>
      <c r="GS1748" s="752"/>
      <c r="GT1748" s="752"/>
      <c r="GU1748" s="752"/>
      <c r="GV1748" s="752"/>
      <c r="GW1748" s="752"/>
      <c r="GX1748" s="752"/>
      <c r="GY1748" s="752"/>
      <c r="GZ1748" s="752"/>
      <c r="HA1748" s="752"/>
      <c r="HB1748" s="752"/>
      <c r="HC1748" s="752"/>
      <c r="HD1748" s="752"/>
      <c r="HE1748" s="752"/>
      <c r="HF1748" s="752"/>
      <c r="HG1748" s="752"/>
      <c r="HH1748" s="752"/>
      <c r="HI1748" s="752"/>
      <c r="HJ1748" s="752"/>
      <c r="HK1748" s="752"/>
      <c r="HL1748" s="752"/>
      <c r="HM1748" s="752"/>
      <c r="HN1748" s="752"/>
      <c r="HO1748" s="752"/>
      <c r="HP1748" s="752"/>
      <c r="HQ1748" s="752"/>
      <c r="HR1748" s="752"/>
      <c r="HS1748" s="752"/>
      <c r="HT1748" s="752"/>
      <c r="HU1748" s="752"/>
      <c r="HV1748" s="752"/>
      <c r="HW1748" s="752"/>
      <c r="HX1748" s="752"/>
      <c r="HY1748" s="752"/>
      <c r="HZ1748" s="752"/>
      <c r="IA1748" s="752"/>
      <c r="IB1748" s="752"/>
      <c r="IC1748" s="752"/>
      <c r="ID1748" s="752"/>
      <c r="IE1748" s="752"/>
      <c r="IF1748" s="752"/>
      <c r="IG1748" s="752"/>
      <c r="IH1748" s="752"/>
      <c r="II1748" s="752"/>
      <c r="IJ1748" s="752"/>
      <c r="IK1748" s="752"/>
      <c r="IL1748" s="752"/>
      <c r="IM1748" s="752"/>
      <c r="IN1748" s="752"/>
      <c r="IO1748" s="752"/>
    </row>
    <row r="1749" spans="1:249" ht="36" customHeight="1">
      <c r="A1749" s="513"/>
      <c r="B1749" s="787"/>
      <c r="C1749" s="628">
        <v>3</v>
      </c>
      <c r="D1749" s="628" t="s">
        <v>34</v>
      </c>
      <c r="E1749" s="628" t="s">
        <v>39</v>
      </c>
      <c r="F1749" s="628">
        <v>17</v>
      </c>
      <c r="G1749" s="102"/>
      <c r="H1749" s="102"/>
      <c r="I1749" s="313" t="s">
        <v>1672</v>
      </c>
      <c r="J1749" s="780" t="s">
        <v>3222</v>
      </c>
      <c r="K1749" s="1151">
        <v>72</v>
      </c>
      <c r="L1749" s="238">
        <v>872066984</v>
      </c>
      <c r="M1749" s="104">
        <v>36</v>
      </c>
      <c r="N1749" s="238">
        <v>0</v>
      </c>
      <c r="O1749" s="238">
        <v>12</v>
      </c>
      <c r="P1749" s="238">
        <v>872066984</v>
      </c>
      <c r="Q1749" s="815">
        <v>3</v>
      </c>
      <c r="R1749" s="238">
        <v>117434737</v>
      </c>
      <c r="S1749" s="238">
        <v>3</v>
      </c>
      <c r="T1749" s="238">
        <v>312773292</v>
      </c>
      <c r="U1749" s="238"/>
      <c r="V1749" s="408"/>
      <c r="W1749" s="238"/>
      <c r="X1749" s="238"/>
      <c r="Y1749" s="238">
        <f t="shared" si="512"/>
        <v>6</v>
      </c>
      <c r="Z1749" s="238">
        <f t="shared" si="513"/>
        <v>430208029</v>
      </c>
      <c r="AA1749" s="1761">
        <f t="shared" si="514"/>
        <v>42</v>
      </c>
      <c r="AB1749" s="238">
        <f t="shared" si="515"/>
        <v>430208029</v>
      </c>
      <c r="AC1749" s="1761">
        <f t="shared" si="510"/>
        <v>58.333333333333336</v>
      </c>
      <c r="AD1749" s="1761">
        <f t="shared" si="511"/>
        <v>49.331993630434241</v>
      </c>
      <c r="AE1749" s="102"/>
      <c r="AF1749" s="750"/>
      <c r="AG1749" s="750"/>
      <c r="AH1749" s="750"/>
      <c r="AI1749" s="750"/>
      <c r="AJ1749" s="750"/>
      <c r="AK1749" s="750"/>
      <c r="AL1749" s="750"/>
      <c r="AM1749" s="750"/>
      <c r="AN1749" s="750"/>
      <c r="AO1749" s="750"/>
      <c r="AP1749" s="750"/>
      <c r="AQ1749" s="750"/>
      <c r="AR1749" s="750"/>
      <c r="AS1749" s="750"/>
      <c r="AT1749" s="750"/>
      <c r="AU1749" s="750"/>
      <c r="AV1749" s="750"/>
      <c r="AW1749" s="750"/>
      <c r="AX1749" s="750"/>
      <c r="AY1749" s="750"/>
      <c r="AZ1749" s="750"/>
      <c r="BA1749" s="750"/>
      <c r="BB1749" s="750"/>
      <c r="BC1749" s="752"/>
      <c r="BD1749" s="752"/>
      <c r="BE1749" s="752"/>
      <c r="BF1749" s="752"/>
      <c r="BG1749" s="752"/>
      <c r="BH1749" s="752"/>
      <c r="BI1749" s="752"/>
      <c r="BJ1749" s="752"/>
      <c r="BK1749" s="752"/>
      <c r="BL1749" s="752"/>
      <c r="BM1749" s="752"/>
      <c r="BN1749" s="752"/>
      <c r="BO1749" s="752"/>
      <c r="BP1749" s="752"/>
      <c r="BQ1749" s="752"/>
      <c r="BR1749" s="752"/>
      <c r="BS1749" s="752"/>
      <c r="BT1749" s="752"/>
      <c r="BU1749" s="752"/>
      <c r="BV1749" s="752"/>
      <c r="BW1749" s="752"/>
      <c r="BX1749" s="752"/>
      <c r="BY1749" s="752"/>
      <c r="BZ1749" s="752"/>
      <c r="CA1749" s="752"/>
      <c r="CB1749" s="752"/>
      <c r="CC1749" s="752"/>
      <c r="CD1749" s="752"/>
      <c r="CE1749" s="752"/>
      <c r="CF1749" s="752"/>
      <c r="CG1749" s="752"/>
      <c r="CH1749" s="752"/>
      <c r="CI1749" s="752"/>
      <c r="CJ1749" s="752"/>
      <c r="CK1749" s="752"/>
      <c r="CL1749" s="752"/>
      <c r="CM1749" s="752"/>
      <c r="CN1749" s="752"/>
      <c r="CO1749" s="752"/>
      <c r="CP1749" s="752"/>
      <c r="CQ1749" s="752"/>
      <c r="CR1749" s="752"/>
      <c r="CS1749" s="752"/>
      <c r="CT1749" s="752"/>
      <c r="CU1749" s="752"/>
      <c r="CV1749" s="752"/>
      <c r="CW1749" s="752"/>
      <c r="CX1749" s="752"/>
      <c r="CY1749" s="752"/>
      <c r="CZ1749" s="752"/>
      <c r="DA1749" s="752"/>
      <c r="DB1749" s="752"/>
      <c r="DC1749" s="752"/>
      <c r="DD1749" s="752"/>
      <c r="DE1749" s="752"/>
      <c r="DF1749" s="752"/>
      <c r="DG1749" s="752"/>
      <c r="DH1749" s="752"/>
      <c r="DI1749" s="752"/>
      <c r="DJ1749" s="752"/>
      <c r="DK1749" s="752"/>
      <c r="DL1749" s="752"/>
      <c r="DM1749" s="752"/>
      <c r="DN1749" s="752"/>
      <c r="DO1749" s="752"/>
      <c r="DP1749" s="752"/>
      <c r="DQ1749" s="752"/>
      <c r="DR1749" s="752"/>
      <c r="DS1749" s="752"/>
      <c r="DT1749" s="752"/>
      <c r="DU1749" s="752"/>
      <c r="DV1749" s="752"/>
      <c r="DW1749" s="752"/>
      <c r="DX1749" s="752"/>
      <c r="DY1749" s="752"/>
      <c r="DZ1749" s="752"/>
      <c r="EA1749" s="752"/>
      <c r="EB1749" s="752"/>
      <c r="EC1749" s="752"/>
      <c r="ED1749" s="752"/>
      <c r="EE1749" s="752"/>
      <c r="EF1749" s="752"/>
      <c r="EG1749" s="752"/>
      <c r="EH1749" s="752"/>
      <c r="EI1749" s="752"/>
      <c r="EJ1749" s="752"/>
      <c r="EK1749" s="752"/>
      <c r="EL1749" s="752"/>
      <c r="EM1749" s="752"/>
      <c r="EN1749" s="752"/>
      <c r="EO1749" s="752"/>
      <c r="EP1749" s="752"/>
      <c r="EQ1749" s="752"/>
      <c r="ER1749" s="752"/>
      <c r="ES1749" s="752"/>
      <c r="ET1749" s="752"/>
      <c r="EU1749" s="752"/>
      <c r="EV1749" s="752"/>
      <c r="EW1749" s="752"/>
      <c r="EX1749" s="752"/>
      <c r="EY1749" s="752"/>
      <c r="EZ1749" s="752"/>
      <c r="FA1749" s="752"/>
      <c r="FB1749" s="752"/>
      <c r="FC1749" s="752"/>
      <c r="FD1749" s="752"/>
      <c r="FE1749" s="752"/>
      <c r="FF1749" s="752"/>
      <c r="FG1749" s="752"/>
      <c r="FH1749" s="752"/>
      <c r="FI1749" s="752"/>
      <c r="FJ1749" s="752"/>
      <c r="FK1749" s="752"/>
      <c r="FL1749" s="752"/>
      <c r="FM1749" s="752"/>
      <c r="FN1749" s="752"/>
      <c r="FO1749" s="752"/>
      <c r="FP1749" s="752"/>
      <c r="FQ1749" s="752"/>
      <c r="FR1749" s="752"/>
      <c r="FS1749" s="752"/>
      <c r="FT1749" s="752"/>
      <c r="FU1749" s="752"/>
      <c r="FV1749" s="752"/>
      <c r="FW1749" s="752"/>
      <c r="FX1749" s="752"/>
      <c r="FY1749" s="752"/>
      <c r="FZ1749" s="752"/>
      <c r="GA1749" s="752"/>
      <c r="GB1749" s="752"/>
      <c r="GC1749" s="752"/>
      <c r="GD1749" s="752"/>
      <c r="GE1749" s="752"/>
      <c r="GF1749" s="752"/>
      <c r="GG1749" s="752"/>
      <c r="GH1749" s="752"/>
      <c r="GI1749" s="752"/>
      <c r="GJ1749" s="752"/>
      <c r="GK1749" s="752"/>
      <c r="GL1749" s="752"/>
      <c r="GM1749" s="752"/>
      <c r="GN1749" s="752"/>
      <c r="GO1749" s="752"/>
      <c r="GP1749" s="752"/>
      <c r="GQ1749" s="752"/>
      <c r="GR1749" s="752"/>
      <c r="GS1749" s="752"/>
      <c r="GT1749" s="752"/>
      <c r="GU1749" s="752"/>
      <c r="GV1749" s="752"/>
      <c r="GW1749" s="752"/>
      <c r="GX1749" s="752"/>
      <c r="GY1749" s="752"/>
      <c r="GZ1749" s="752"/>
      <c r="HA1749" s="752"/>
      <c r="HB1749" s="752"/>
      <c r="HC1749" s="752"/>
      <c r="HD1749" s="752"/>
      <c r="HE1749" s="752"/>
      <c r="HF1749" s="752"/>
      <c r="HG1749" s="752"/>
      <c r="HH1749" s="752"/>
      <c r="HI1749" s="752"/>
      <c r="HJ1749" s="752"/>
      <c r="HK1749" s="752"/>
      <c r="HL1749" s="752"/>
      <c r="HM1749" s="752"/>
      <c r="HN1749" s="752"/>
      <c r="HO1749" s="752"/>
      <c r="HP1749" s="752"/>
      <c r="HQ1749" s="752"/>
      <c r="HR1749" s="752"/>
      <c r="HS1749" s="752"/>
      <c r="HT1749" s="752"/>
      <c r="HU1749" s="752"/>
      <c r="HV1749" s="752"/>
      <c r="HW1749" s="752"/>
      <c r="HX1749" s="752"/>
      <c r="HY1749" s="752"/>
      <c r="HZ1749" s="752"/>
      <c r="IA1749" s="752"/>
      <c r="IB1749" s="752"/>
      <c r="IC1749" s="752"/>
      <c r="ID1749" s="752"/>
      <c r="IE1749" s="752"/>
      <c r="IF1749" s="752"/>
      <c r="IG1749" s="752"/>
      <c r="IH1749" s="752"/>
      <c r="II1749" s="752"/>
      <c r="IJ1749" s="752"/>
      <c r="IK1749" s="752"/>
      <c r="IL1749" s="752"/>
      <c r="IM1749" s="752"/>
      <c r="IN1749" s="752"/>
      <c r="IO1749" s="752"/>
    </row>
    <row r="1750" spans="1:249" ht="35.25" customHeight="1">
      <c r="A1750" s="513"/>
      <c r="B1750" s="787"/>
      <c r="C1750" s="628">
        <v>3</v>
      </c>
      <c r="D1750" s="628" t="s">
        <v>34</v>
      </c>
      <c r="E1750" s="628" t="s">
        <v>39</v>
      </c>
      <c r="F1750" s="628">
        <v>17</v>
      </c>
      <c r="G1750" s="102"/>
      <c r="H1750" s="102"/>
      <c r="I1750" s="313" t="s">
        <v>1673</v>
      </c>
      <c r="J1750" s="780" t="s">
        <v>3223</v>
      </c>
      <c r="K1750" s="1151">
        <v>72</v>
      </c>
      <c r="L1750" s="238">
        <v>35692026</v>
      </c>
      <c r="M1750" s="104">
        <v>36</v>
      </c>
      <c r="N1750" s="238">
        <v>0</v>
      </c>
      <c r="O1750" s="238">
        <v>12</v>
      </c>
      <c r="P1750" s="238">
        <v>35692026</v>
      </c>
      <c r="Q1750" s="815">
        <v>3</v>
      </c>
      <c r="R1750" s="238">
        <v>5918569</v>
      </c>
      <c r="S1750" s="238">
        <v>3</v>
      </c>
      <c r="T1750" s="238">
        <v>7145842</v>
      </c>
      <c r="U1750" s="238"/>
      <c r="V1750" s="408"/>
      <c r="W1750" s="238"/>
      <c r="X1750" s="238"/>
      <c r="Y1750" s="238">
        <f t="shared" si="512"/>
        <v>6</v>
      </c>
      <c r="Z1750" s="238">
        <f t="shared" si="513"/>
        <v>13064411</v>
      </c>
      <c r="AA1750" s="1761">
        <f t="shared" si="514"/>
        <v>42</v>
      </c>
      <c r="AB1750" s="238">
        <f t="shared" si="515"/>
        <v>13064411</v>
      </c>
      <c r="AC1750" s="1761">
        <f t="shared" si="510"/>
        <v>58.333333333333336</v>
      </c>
      <c r="AD1750" s="1761">
        <f t="shared" si="511"/>
        <v>36.603164527561418</v>
      </c>
      <c r="AE1750" s="102"/>
      <c r="AF1750" s="750"/>
      <c r="AG1750" s="750"/>
      <c r="AH1750" s="750"/>
      <c r="AI1750" s="750"/>
      <c r="AJ1750" s="750"/>
      <c r="AK1750" s="750"/>
      <c r="AL1750" s="750"/>
      <c r="AM1750" s="750"/>
      <c r="AN1750" s="750"/>
      <c r="AO1750" s="750"/>
      <c r="AP1750" s="750"/>
      <c r="AQ1750" s="750"/>
      <c r="AR1750" s="750"/>
      <c r="AS1750" s="750"/>
      <c r="AT1750" s="750"/>
      <c r="AU1750" s="750"/>
      <c r="AV1750" s="750"/>
      <c r="AW1750" s="750"/>
      <c r="AX1750" s="750"/>
      <c r="AY1750" s="750"/>
      <c r="AZ1750" s="750"/>
      <c r="BA1750" s="750"/>
      <c r="BB1750" s="750"/>
      <c r="BC1750" s="752"/>
      <c r="BD1750" s="752"/>
      <c r="BE1750" s="752"/>
      <c r="BF1750" s="752"/>
      <c r="BG1750" s="752"/>
      <c r="BH1750" s="752"/>
      <c r="BI1750" s="752"/>
      <c r="BJ1750" s="752"/>
      <c r="BK1750" s="752"/>
      <c r="BL1750" s="752"/>
      <c r="BM1750" s="752"/>
      <c r="BN1750" s="752"/>
      <c r="BO1750" s="752"/>
      <c r="BP1750" s="752"/>
      <c r="BQ1750" s="752"/>
      <c r="BR1750" s="752"/>
      <c r="BS1750" s="752"/>
      <c r="BT1750" s="752"/>
      <c r="BU1750" s="752"/>
      <c r="BV1750" s="752"/>
      <c r="BW1750" s="752"/>
      <c r="BX1750" s="752"/>
      <c r="BY1750" s="752"/>
      <c r="BZ1750" s="752"/>
      <c r="CA1750" s="752"/>
      <c r="CB1750" s="752"/>
      <c r="CC1750" s="752"/>
      <c r="CD1750" s="752"/>
      <c r="CE1750" s="752"/>
      <c r="CF1750" s="752"/>
      <c r="CG1750" s="752"/>
      <c r="CH1750" s="752"/>
      <c r="CI1750" s="752"/>
      <c r="CJ1750" s="752"/>
      <c r="CK1750" s="752"/>
      <c r="CL1750" s="752"/>
      <c r="CM1750" s="752"/>
      <c r="CN1750" s="752"/>
      <c r="CO1750" s="752"/>
      <c r="CP1750" s="752"/>
      <c r="CQ1750" s="752"/>
      <c r="CR1750" s="752"/>
      <c r="CS1750" s="752"/>
      <c r="CT1750" s="752"/>
      <c r="CU1750" s="752"/>
      <c r="CV1750" s="752"/>
      <c r="CW1750" s="752"/>
      <c r="CX1750" s="752"/>
      <c r="CY1750" s="752"/>
      <c r="CZ1750" s="752"/>
      <c r="DA1750" s="752"/>
      <c r="DB1750" s="752"/>
      <c r="DC1750" s="752"/>
      <c r="DD1750" s="752"/>
      <c r="DE1750" s="752"/>
      <c r="DF1750" s="752"/>
      <c r="DG1750" s="752"/>
      <c r="DH1750" s="752"/>
      <c r="DI1750" s="752"/>
      <c r="DJ1750" s="752"/>
      <c r="DK1750" s="752"/>
      <c r="DL1750" s="752"/>
      <c r="DM1750" s="752"/>
      <c r="DN1750" s="752"/>
      <c r="DO1750" s="752"/>
      <c r="DP1750" s="752"/>
      <c r="DQ1750" s="752"/>
      <c r="DR1750" s="752"/>
      <c r="DS1750" s="752"/>
      <c r="DT1750" s="752"/>
      <c r="DU1750" s="752"/>
      <c r="DV1750" s="752"/>
      <c r="DW1750" s="752"/>
      <c r="DX1750" s="752"/>
      <c r="DY1750" s="752"/>
      <c r="DZ1750" s="752"/>
      <c r="EA1750" s="752"/>
      <c r="EB1750" s="752"/>
      <c r="EC1750" s="752"/>
      <c r="ED1750" s="752"/>
      <c r="EE1750" s="752"/>
      <c r="EF1750" s="752"/>
      <c r="EG1750" s="752"/>
      <c r="EH1750" s="752"/>
      <c r="EI1750" s="752"/>
      <c r="EJ1750" s="752"/>
      <c r="EK1750" s="752"/>
      <c r="EL1750" s="752"/>
      <c r="EM1750" s="752"/>
      <c r="EN1750" s="752"/>
      <c r="EO1750" s="752"/>
      <c r="EP1750" s="752"/>
      <c r="EQ1750" s="752"/>
      <c r="ER1750" s="752"/>
      <c r="ES1750" s="752"/>
      <c r="ET1750" s="752"/>
      <c r="EU1750" s="752"/>
      <c r="EV1750" s="752"/>
      <c r="EW1750" s="752"/>
      <c r="EX1750" s="752"/>
      <c r="EY1750" s="752"/>
      <c r="EZ1750" s="752"/>
      <c r="FA1750" s="752"/>
      <c r="FB1750" s="752"/>
      <c r="FC1750" s="752"/>
      <c r="FD1750" s="752"/>
      <c r="FE1750" s="752"/>
      <c r="FF1750" s="752"/>
      <c r="FG1750" s="752"/>
      <c r="FH1750" s="752"/>
      <c r="FI1750" s="752"/>
      <c r="FJ1750" s="752"/>
      <c r="FK1750" s="752"/>
      <c r="FL1750" s="752"/>
      <c r="FM1750" s="752"/>
      <c r="FN1750" s="752"/>
      <c r="FO1750" s="752"/>
      <c r="FP1750" s="752"/>
      <c r="FQ1750" s="752"/>
      <c r="FR1750" s="752"/>
      <c r="FS1750" s="752"/>
      <c r="FT1750" s="752"/>
      <c r="FU1750" s="752"/>
      <c r="FV1750" s="752"/>
      <c r="FW1750" s="752"/>
      <c r="FX1750" s="752"/>
      <c r="FY1750" s="752"/>
      <c r="FZ1750" s="752"/>
      <c r="GA1750" s="752"/>
      <c r="GB1750" s="752"/>
      <c r="GC1750" s="752"/>
      <c r="GD1750" s="752"/>
      <c r="GE1750" s="752"/>
      <c r="GF1750" s="752"/>
      <c r="GG1750" s="752"/>
      <c r="GH1750" s="752"/>
      <c r="GI1750" s="752"/>
      <c r="GJ1750" s="752"/>
      <c r="GK1750" s="752"/>
      <c r="GL1750" s="752"/>
      <c r="GM1750" s="752"/>
      <c r="GN1750" s="752"/>
      <c r="GO1750" s="752"/>
      <c r="GP1750" s="752"/>
      <c r="GQ1750" s="752"/>
      <c r="GR1750" s="752"/>
      <c r="GS1750" s="752"/>
      <c r="GT1750" s="752"/>
      <c r="GU1750" s="752"/>
      <c r="GV1750" s="752"/>
      <c r="GW1750" s="752"/>
      <c r="GX1750" s="752"/>
      <c r="GY1750" s="752"/>
      <c r="GZ1750" s="752"/>
      <c r="HA1750" s="752"/>
      <c r="HB1750" s="752"/>
      <c r="HC1750" s="752"/>
      <c r="HD1750" s="752"/>
      <c r="HE1750" s="752"/>
      <c r="HF1750" s="752"/>
      <c r="HG1750" s="752"/>
      <c r="HH1750" s="752"/>
      <c r="HI1750" s="752"/>
      <c r="HJ1750" s="752"/>
      <c r="HK1750" s="752"/>
      <c r="HL1750" s="752"/>
      <c r="HM1750" s="752"/>
      <c r="HN1750" s="752"/>
      <c r="HO1750" s="752"/>
      <c r="HP1750" s="752"/>
      <c r="HQ1750" s="752"/>
      <c r="HR1750" s="752"/>
      <c r="HS1750" s="752"/>
      <c r="HT1750" s="752"/>
      <c r="HU1750" s="752"/>
      <c r="HV1750" s="752"/>
      <c r="HW1750" s="752"/>
      <c r="HX1750" s="752"/>
      <c r="HY1750" s="752"/>
      <c r="HZ1750" s="752"/>
      <c r="IA1750" s="752"/>
      <c r="IB1750" s="752"/>
      <c r="IC1750" s="752"/>
      <c r="ID1750" s="752"/>
      <c r="IE1750" s="752"/>
      <c r="IF1750" s="752"/>
      <c r="IG1750" s="752"/>
      <c r="IH1750" s="752"/>
      <c r="II1750" s="752"/>
      <c r="IJ1750" s="752"/>
      <c r="IK1750" s="752"/>
      <c r="IL1750" s="752"/>
      <c r="IM1750" s="752"/>
      <c r="IN1750" s="752"/>
      <c r="IO1750" s="752"/>
    </row>
    <row r="1751" spans="1:249" ht="82.5">
      <c r="A1751" s="1119"/>
      <c r="B1751" s="212"/>
      <c r="C1751" s="605">
        <v>3</v>
      </c>
      <c r="D1751" s="605" t="s">
        <v>34</v>
      </c>
      <c r="E1751" s="605" t="s">
        <v>39</v>
      </c>
      <c r="F1751" s="605">
        <v>17</v>
      </c>
      <c r="G1751" s="89">
        <v>11</v>
      </c>
      <c r="H1751" s="89"/>
      <c r="I1751" s="114" t="s">
        <v>1674</v>
      </c>
      <c r="J1751" s="124" t="s">
        <v>3224</v>
      </c>
      <c r="K1751" s="1239">
        <v>6</v>
      </c>
      <c r="L1751" s="125">
        <v>841680012</v>
      </c>
      <c r="M1751" s="91">
        <v>3</v>
      </c>
      <c r="N1751" s="125">
        <v>305151935</v>
      </c>
      <c r="O1751" s="91">
        <v>1</v>
      </c>
      <c r="P1751" s="125">
        <v>128558392</v>
      </c>
      <c r="Q1751" s="811">
        <v>0</v>
      </c>
      <c r="R1751" s="125">
        <v>2178726</v>
      </c>
      <c r="S1751" s="125">
        <v>65</v>
      </c>
      <c r="T1751" s="125">
        <v>21876265</v>
      </c>
      <c r="U1751" s="125"/>
      <c r="V1751" s="803"/>
      <c r="W1751" s="125"/>
      <c r="X1751" s="125"/>
      <c r="Y1751" s="125">
        <f t="shared" si="512"/>
        <v>65</v>
      </c>
      <c r="Z1751" s="125">
        <f t="shared" si="513"/>
        <v>24054991</v>
      </c>
      <c r="AA1751" s="1196">
        <f t="shared" si="514"/>
        <v>68</v>
      </c>
      <c r="AB1751" s="125">
        <f t="shared" si="515"/>
        <v>329206926</v>
      </c>
      <c r="AC1751" s="1196">
        <f t="shared" si="510"/>
        <v>1133.3333333333335</v>
      </c>
      <c r="AD1751" s="1196">
        <f t="shared" si="511"/>
        <v>39.113074007512488</v>
      </c>
      <c r="AE1751" s="89"/>
      <c r="AF1751" s="750"/>
      <c r="AG1751" s="750"/>
      <c r="AH1751" s="750"/>
      <c r="AI1751" s="750"/>
      <c r="AJ1751" s="750"/>
      <c r="AK1751" s="750"/>
      <c r="AL1751" s="750"/>
      <c r="AM1751" s="750"/>
      <c r="AN1751" s="750"/>
      <c r="AO1751" s="750"/>
      <c r="AP1751" s="750"/>
      <c r="AQ1751" s="750"/>
      <c r="AR1751" s="750"/>
      <c r="AS1751" s="750"/>
      <c r="AT1751" s="750"/>
      <c r="AU1751" s="750"/>
      <c r="AV1751" s="750"/>
      <c r="AW1751" s="750"/>
      <c r="AX1751" s="750"/>
      <c r="AY1751" s="750"/>
      <c r="AZ1751" s="750"/>
      <c r="BA1751" s="750"/>
      <c r="BB1751" s="750"/>
      <c r="BC1751" s="752"/>
      <c r="BD1751" s="752"/>
      <c r="BE1751" s="752"/>
      <c r="BF1751" s="752"/>
      <c r="BG1751" s="752"/>
      <c r="BH1751" s="752"/>
      <c r="BI1751" s="752"/>
      <c r="BJ1751" s="752"/>
      <c r="BK1751" s="752"/>
      <c r="BL1751" s="752"/>
      <c r="BM1751" s="752"/>
      <c r="BN1751" s="752"/>
      <c r="BO1751" s="752"/>
      <c r="BP1751" s="752"/>
      <c r="BQ1751" s="752"/>
      <c r="BR1751" s="752"/>
      <c r="BS1751" s="752"/>
      <c r="BT1751" s="752"/>
      <c r="BU1751" s="752"/>
      <c r="BV1751" s="752"/>
      <c r="BW1751" s="752"/>
      <c r="BX1751" s="752"/>
      <c r="BY1751" s="752"/>
      <c r="BZ1751" s="752"/>
      <c r="CA1751" s="752"/>
      <c r="CB1751" s="752"/>
      <c r="CC1751" s="752"/>
      <c r="CD1751" s="752"/>
      <c r="CE1751" s="752"/>
      <c r="CF1751" s="752"/>
      <c r="CG1751" s="752"/>
      <c r="CH1751" s="752"/>
      <c r="CI1751" s="752"/>
      <c r="CJ1751" s="752"/>
      <c r="CK1751" s="752"/>
      <c r="CL1751" s="752"/>
      <c r="CM1751" s="752"/>
      <c r="CN1751" s="752"/>
      <c r="CO1751" s="752"/>
      <c r="CP1751" s="752"/>
      <c r="CQ1751" s="752"/>
      <c r="CR1751" s="752"/>
      <c r="CS1751" s="752"/>
      <c r="CT1751" s="752"/>
      <c r="CU1751" s="752"/>
      <c r="CV1751" s="752"/>
      <c r="CW1751" s="752"/>
      <c r="CX1751" s="752"/>
      <c r="CY1751" s="752"/>
      <c r="CZ1751" s="752"/>
      <c r="DA1751" s="752"/>
      <c r="DB1751" s="752"/>
      <c r="DC1751" s="752"/>
      <c r="DD1751" s="752"/>
      <c r="DE1751" s="752"/>
      <c r="DF1751" s="752"/>
      <c r="DG1751" s="752"/>
      <c r="DH1751" s="752"/>
      <c r="DI1751" s="752"/>
      <c r="DJ1751" s="752"/>
      <c r="DK1751" s="752"/>
      <c r="DL1751" s="752"/>
      <c r="DM1751" s="752"/>
      <c r="DN1751" s="752"/>
      <c r="DO1751" s="752"/>
      <c r="DP1751" s="752"/>
      <c r="DQ1751" s="752"/>
      <c r="DR1751" s="752"/>
      <c r="DS1751" s="752"/>
      <c r="DT1751" s="752"/>
      <c r="DU1751" s="752"/>
      <c r="DV1751" s="752"/>
      <c r="DW1751" s="752"/>
      <c r="DX1751" s="752"/>
      <c r="DY1751" s="752"/>
      <c r="DZ1751" s="752"/>
      <c r="EA1751" s="752"/>
      <c r="EB1751" s="752"/>
      <c r="EC1751" s="752"/>
      <c r="ED1751" s="752"/>
      <c r="EE1751" s="752"/>
      <c r="EF1751" s="752"/>
      <c r="EG1751" s="752"/>
      <c r="EH1751" s="752"/>
      <c r="EI1751" s="752"/>
      <c r="EJ1751" s="752"/>
      <c r="EK1751" s="752"/>
      <c r="EL1751" s="752"/>
      <c r="EM1751" s="752"/>
      <c r="EN1751" s="752"/>
      <c r="EO1751" s="752"/>
      <c r="EP1751" s="752"/>
      <c r="EQ1751" s="752"/>
      <c r="ER1751" s="752"/>
      <c r="ES1751" s="752"/>
      <c r="ET1751" s="752"/>
      <c r="EU1751" s="752"/>
      <c r="EV1751" s="752"/>
      <c r="EW1751" s="752"/>
      <c r="EX1751" s="752"/>
      <c r="EY1751" s="752"/>
      <c r="EZ1751" s="752"/>
      <c r="FA1751" s="752"/>
      <c r="FB1751" s="752"/>
      <c r="FC1751" s="752"/>
      <c r="FD1751" s="752"/>
      <c r="FE1751" s="752"/>
      <c r="FF1751" s="752"/>
      <c r="FG1751" s="752"/>
      <c r="FH1751" s="752"/>
      <c r="FI1751" s="752"/>
      <c r="FJ1751" s="752"/>
      <c r="FK1751" s="752"/>
      <c r="FL1751" s="752"/>
      <c r="FM1751" s="752"/>
      <c r="FN1751" s="752"/>
      <c r="FO1751" s="752"/>
      <c r="FP1751" s="752"/>
      <c r="FQ1751" s="752"/>
      <c r="FR1751" s="752"/>
      <c r="FS1751" s="752"/>
      <c r="FT1751" s="752"/>
      <c r="FU1751" s="752"/>
      <c r="FV1751" s="752"/>
      <c r="FW1751" s="752"/>
      <c r="FX1751" s="752"/>
      <c r="FY1751" s="752"/>
      <c r="FZ1751" s="752"/>
      <c r="GA1751" s="752"/>
      <c r="GB1751" s="752"/>
      <c r="GC1751" s="752"/>
      <c r="GD1751" s="752"/>
      <c r="GE1751" s="752"/>
      <c r="GF1751" s="752"/>
      <c r="GG1751" s="752"/>
      <c r="GH1751" s="752"/>
      <c r="GI1751" s="752"/>
      <c r="GJ1751" s="752"/>
      <c r="GK1751" s="752"/>
      <c r="GL1751" s="752"/>
      <c r="GM1751" s="752"/>
      <c r="GN1751" s="752"/>
      <c r="GO1751" s="752"/>
      <c r="GP1751" s="752"/>
      <c r="GQ1751" s="752"/>
      <c r="GR1751" s="752"/>
      <c r="GS1751" s="752"/>
      <c r="GT1751" s="752"/>
      <c r="GU1751" s="752"/>
      <c r="GV1751" s="752"/>
      <c r="GW1751" s="752"/>
      <c r="GX1751" s="752"/>
      <c r="GY1751" s="752"/>
      <c r="GZ1751" s="752"/>
      <c r="HA1751" s="752"/>
      <c r="HB1751" s="752"/>
      <c r="HC1751" s="752"/>
      <c r="HD1751" s="752"/>
      <c r="HE1751" s="752"/>
      <c r="HF1751" s="752"/>
      <c r="HG1751" s="752"/>
      <c r="HH1751" s="752"/>
      <c r="HI1751" s="752"/>
      <c r="HJ1751" s="752"/>
      <c r="HK1751" s="752"/>
      <c r="HL1751" s="752"/>
      <c r="HM1751" s="752"/>
      <c r="HN1751" s="752"/>
      <c r="HO1751" s="752"/>
      <c r="HP1751" s="752"/>
      <c r="HQ1751" s="752"/>
      <c r="HR1751" s="752"/>
      <c r="HS1751" s="752"/>
      <c r="HT1751" s="752"/>
      <c r="HU1751" s="752"/>
      <c r="HV1751" s="752"/>
      <c r="HW1751" s="752"/>
      <c r="HX1751" s="752"/>
      <c r="HY1751" s="752"/>
      <c r="HZ1751" s="752"/>
      <c r="IA1751" s="752"/>
      <c r="IB1751" s="752"/>
      <c r="IC1751" s="752"/>
      <c r="ID1751" s="752"/>
      <c r="IE1751" s="752"/>
      <c r="IF1751" s="752"/>
      <c r="IG1751" s="752"/>
      <c r="IH1751" s="752"/>
      <c r="II1751" s="752"/>
      <c r="IJ1751" s="752"/>
      <c r="IK1751" s="752"/>
      <c r="IL1751" s="752"/>
      <c r="IM1751" s="752"/>
      <c r="IN1751" s="752"/>
      <c r="IO1751" s="752"/>
    </row>
    <row r="1752" spans="1:249" ht="35.25" customHeight="1">
      <c r="A1752" s="1119"/>
      <c r="B1752" s="212"/>
      <c r="C1752" s="605">
        <v>3</v>
      </c>
      <c r="D1752" s="605" t="s">
        <v>34</v>
      </c>
      <c r="E1752" s="605" t="s">
        <v>39</v>
      </c>
      <c r="F1752" s="605">
        <v>17</v>
      </c>
      <c r="G1752" s="89">
        <v>20</v>
      </c>
      <c r="H1752" s="89"/>
      <c r="I1752" s="114" t="s">
        <v>1675</v>
      </c>
      <c r="J1752" s="124" t="s">
        <v>3225</v>
      </c>
      <c r="K1752" s="1239">
        <f>47*6</f>
        <v>282</v>
      </c>
      <c r="L1752" s="125">
        <v>818642648</v>
      </c>
      <c r="M1752" s="91">
        <f>47*3</f>
        <v>141</v>
      </c>
      <c r="N1752" s="125">
        <v>319073734</v>
      </c>
      <c r="O1752" s="91">
        <v>47</v>
      </c>
      <c r="P1752" s="125">
        <v>74967966</v>
      </c>
      <c r="Q1752" s="811">
        <v>0</v>
      </c>
      <c r="R1752" s="125">
        <v>5345500</v>
      </c>
      <c r="S1752" s="125">
        <v>540</v>
      </c>
      <c r="T1752" s="125">
        <v>46229400</v>
      </c>
      <c r="U1752" s="125"/>
      <c r="V1752" s="803"/>
      <c r="W1752" s="125"/>
      <c r="X1752" s="125"/>
      <c r="Y1752" s="125">
        <f t="shared" si="512"/>
        <v>540</v>
      </c>
      <c r="Z1752" s="125">
        <f t="shared" si="513"/>
        <v>51574900</v>
      </c>
      <c r="AA1752" s="1196">
        <f t="shared" si="514"/>
        <v>681</v>
      </c>
      <c r="AB1752" s="125">
        <f t="shared" si="515"/>
        <v>370648634</v>
      </c>
      <c r="AC1752" s="1196">
        <f t="shared" si="510"/>
        <v>241.48936170212764</v>
      </c>
      <c r="AD1752" s="1196">
        <f t="shared" si="511"/>
        <v>45.275998618630481</v>
      </c>
      <c r="AE1752" s="89"/>
      <c r="AF1752" s="750"/>
      <c r="AG1752" s="750"/>
      <c r="AH1752" s="750"/>
      <c r="AI1752" s="750"/>
      <c r="AJ1752" s="750"/>
      <c r="AK1752" s="750"/>
      <c r="AL1752" s="750"/>
      <c r="AM1752" s="750"/>
      <c r="AN1752" s="750"/>
      <c r="AO1752" s="750"/>
      <c r="AP1752" s="750"/>
      <c r="AQ1752" s="750"/>
      <c r="AR1752" s="750"/>
      <c r="AS1752" s="750"/>
      <c r="AT1752" s="750"/>
      <c r="AU1752" s="750"/>
      <c r="AV1752" s="750"/>
      <c r="AW1752" s="750"/>
      <c r="AX1752" s="750"/>
      <c r="AY1752" s="750"/>
      <c r="AZ1752" s="750"/>
      <c r="BA1752" s="750"/>
      <c r="BB1752" s="750"/>
      <c r="BC1752" s="752"/>
      <c r="BD1752" s="752"/>
      <c r="BE1752" s="752"/>
      <c r="BF1752" s="752"/>
      <c r="BG1752" s="752"/>
      <c r="BH1752" s="752"/>
      <c r="BI1752" s="752"/>
      <c r="BJ1752" s="752"/>
      <c r="BK1752" s="752"/>
      <c r="BL1752" s="752"/>
      <c r="BM1752" s="752"/>
      <c r="BN1752" s="752"/>
      <c r="BO1752" s="752"/>
      <c r="BP1752" s="752"/>
      <c r="BQ1752" s="752"/>
      <c r="BR1752" s="752"/>
      <c r="BS1752" s="752"/>
      <c r="BT1752" s="752"/>
      <c r="BU1752" s="752"/>
      <c r="BV1752" s="752"/>
      <c r="BW1752" s="752"/>
      <c r="BX1752" s="752"/>
      <c r="BY1752" s="752"/>
      <c r="BZ1752" s="752"/>
      <c r="CA1752" s="752"/>
      <c r="CB1752" s="752"/>
      <c r="CC1752" s="752"/>
      <c r="CD1752" s="752"/>
      <c r="CE1752" s="752"/>
      <c r="CF1752" s="752"/>
      <c r="CG1752" s="752"/>
      <c r="CH1752" s="752"/>
      <c r="CI1752" s="752"/>
      <c r="CJ1752" s="752"/>
      <c r="CK1752" s="752"/>
      <c r="CL1752" s="752"/>
      <c r="CM1752" s="752"/>
      <c r="CN1752" s="752"/>
      <c r="CO1752" s="752"/>
      <c r="CP1752" s="752"/>
      <c r="CQ1752" s="752"/>
      <c r="CR1752" s="752"/>
      <c r="CS1752" s="752"/>
      <c r="CT1752" s="752"/>
      <c r="CU1752" s="752"/>
      <c r="CV1752" s="752"/>
      <c r="CW1752" s="752"/>
      <c r="CX1752" s="752"/>
      <c r="CY1752" s="752"/>
      <c r="CZ1752" s="752"/>
      <c r="DA1752" s="752"/>
      <c r="DB1752" s="752"/>
      <c r="DC1752" s="752"/>
      <c r="DD1752" s="752"/>
      <c r="DE1752" s="752"/>
      <c r="DF1752" s="752"/>
      <c r="DG1752" s="752"/>
      <c r="DH1752" s="752"/>
      <c r="DI1752" s="752"/>
      <c r="DJ1752" s="752"/>
      <c r="DK1752" s="752"/>
      <c r="DL1752" s="752"/>
      <c r="DM1752" s="752"/>
      <c r="DN1752" s="752"/>
      <c r="DO1752" s="752"/>
      <c r="DP1752" s="752"/>
      <c r="DQ1752" s="752"/>
      <c r="DR1752" s="752"/>
      <c r="DS1752" s="752"/>
      <c r="DT1752" s="752"/>
      <c r="DU1752" s="752"/>
      <c r="DV1752" s="752"/>
      <c r="DW1752" s="752"/>
      <c r="DX1752" s="752"/>
      <c r="DY1752" s="752"/>
      <c r="DZ1752" s="752"/>
      <c r="EA1752" s="752"/>
      <c r="EB1752" s="752"/>
      <c r="EC1752" s="752"/>
      <c r="ED1752" s="752"/>
      <c r="EE1752" s="752"/>
      <c r="EF1752" s="752"/>
      <c r="EG1752" s="752"/>
      <c r="EH1752" s="752"/>
      <c r="EI1752" s="752"/>
      <c r="EJ1752" s="752"/>
      <c r="EK1752" s="752"/>
      <c r="EL1752" s="752"/>
      <c r="EM1752" s="752"/>
      <c r="EN1752" s="752"/>
      <c r="EO1752" s="752"/>
      <c r="EP1752" s="752"/>
      <c r="EQ1752" s="752"/>
      <c r="ER1752" s="752"/>
      <c r="ES1752" s="752"/>
      <c r="ET1752" s="752"/>
      <c r="EU1752" s="752"/>
      <c r="EV1752" s="752"/>
      <c r="EW1752" s="752"/>
      <c r="EX1752" s="752"/>
      <c r="EY1752" s="752"/>
      <c r="EZ1752" s="752"/>
      <c r="FA1752" s="752"/>
      <c r="FB1752" s="752"/>
      <c r="FC1752" s="752"/>
      <c r="FD1752" s="752"/>
      <c r="FE1752" s="752"/>
      <c r="FF1752" s="752"/>
      <c r="FG1752" s="752"/>
      <c r="FH1752" s="752"/>
      <c r="FI1752" s="752"/>
      <c r="FJ1752" s="752"/>
      <c r="FK1752" s="752"/>
      <c r="FL1752" s="752"/>
      <c r="FM1752" s="752"/>
      <c r="FN1752" s="752"/>
      <c r="FO1752" s="752"/>
      <c r="FP1752" s="752"/>
      <c r="FQ1752" s="752"/>
      <c r="FR1752" s="752"/>
      <c r="FS1752" s="752"/>
      <c r="FT1752" s="752"/>
      <c r="FU1752" s="752"/>
      <c r="FV1752" s="752"/>
      <c r="FW1752" s="752"/>
      <c r="FX1752" s="752"/>
      <c r="FY1752" s="752"/>
      <c r="FZ1752" s="752"/>
      <c r="GA1752" s="752"/>
      <c r="GB1752" s="752"/>
      <c r="GC1752" s="752"/>
      <c r="GD1752" s="752"/>
      <c r="GE1752" s="752"/>
      <c r="GF1752" s="752"/>
      <c r="GG1752" s="752"/>
      <c r="GH1752" s="752"/>
      <c r="GI1752" s="752"/>
      <c r="GJ1752" s="752"/>
      <c r="GK1752" s="752"/>
      <c r="GL1752" s="752"/>
      <c r="GM1752" s="752"/>
      <c r="GN1752" s="752"/>
      <c r="GO1752" s="752"/>
      <c r="GP1752" s="752"/>
      <c r="GQ1752" s="752"/>
      <c r="GR1752" s="752"/>
      <c r="GS1752" s="752"/>
      <c r="GT1752" s="752"/>
      <c r="GU1752" s="752"/>
      <c r="GV1752" s="752"/>
      <c r="GW1752" s="752"/>
      <c r="GX1752" s="752"/>
      <c r="GY1752" s="752"/>
      <c r="GZ1752" s="752"/>
      <c r="HA1752" s="752"/>
      <c r="HB1752" s="752"/>
      <c r="HC1752" s="752"/>
      <c r="HD1752" s="752"/>
      <c r="HE1752" s="752"/>
      <c r="HF1752" s="752"/>
      <c r="HG1752" s="752"/>
      <c r="HH1752" s="752"/>
      <c r="HI1752" s="752"/>
      <c r="HJ1752" s="752"/>
      <c r="HK1752" s="752"/>
      <c r="HL1752" s="752"/>
      <c r="HM1752" s="752"/>
      <c r="HN1752" s="752"/>
      <c r="HO1752" s="752"/>
      <c r="HP1752" s="752"/>
      <c r="HQ1752" s="752"/>
      <c r="HR1752" s="752"/>
      <c r="HS1752" s="752"/>
      <c r="HT1752" s="752"/>
      <c r="HU1752" s="752"/>
      <c r="HV1752" s="752"/>
      <c r="HW1752" s="752"/>
      <c r="HX1752" s="752"/>
      <c r="HY1752" s="752"/>
      <c r="HZ1752" s="752"/>
      <c r="IA1752" s="752"/>
      <c r="IB1752" s="752"/>
      <c r="IC1752" s="752"/>
      <c r="ID1752" s="752"/>
      <c r="IE1752" s="752"/>
      <c r="IF1752" s="752"/>
      <c r="IG1752" s="752"/>
      <c r="IH1752" s="752"/>
      <c r="II1752" s="752"/>
      <c r="IJ1752" s="752"/>
      <c r="IK1752" s="752"/>
      <c r="IL1752" s="752"/>
      <c r="IM1752" s="752"/>
      <c r="IN1752" s="752"/>
      <c r="IO1752" s="752"/>
    </row>
    <row r="1753" spans="1:249" ht="66">
      <c r="A1753" s="1119"/>
      <c r="B1753" s="212"/>
      <c r="C1753" s="605">
        <v>3</v>
      </c>
      <c r="D1753" s="605" t="s">
        <v>34</v>
      </c>
      <c r="E1753" s="605" t="s">
        <v>39</v>
      </c>
      <c r="F1753" s="605">
        <v>17</v>
      </c>
      <c r="G1753" s="89">
        <v>22</v>
      </c>
      <c r="H1753" s="89"/>
      <c r="I1753" s="114" t="s">
        <v>1676</v>
      </c>
      <c r="J1753" s="124" t="s">
        <v>3226</v>
      </c>
      <c r="K1753" s="1239">
        <v>72</v>
      </c>
      <c r="L1753" s="125">
        <v>492608279</v>
      </c>
      <c r="M1753" s="91">
        <v>36</v>
      </c>
      <c r="N1753" s="125">
        <v>179774587</v>
      </c>
      <c r="O1753" s="91">
        <v>12</v>
      </c>
      <c r="P1753" s="125">
        <v>50000000</v>
      </c>
      <c r="Q1753" s="811">
        <v>3</v>
      </c>
      <c r="R1753" s="125">
        <v>5073895</v>
      </c>
      <c r="S1753" s="125">
        <v>3</v>
      </c>
      <c r="T1753" s="125">
        <v>8607395</v>
      </c>
      <c r="U1753" s="125"/>
      <c r="V1753" s="803"/>
      <c r="W1753" s="125"/>
      <c r="X1753" s="125"/>
      <c r="Y1753" s="125">
        <f t="shared" si="512"/>
        <v>6</v>
      </c>
      <c r="Z1753" s="125">
        <f t="shared" si="513"/>
        <v>13681290</v>
      </c>
      <c r="AA1753" s="1196">
        <f t="shared" si="514"/>
        <v>42</v>
      </c>
      <c r="AB1753" s="125">
        <f t="shared" si="515"/>
        <v>193455877</v>
      </c>
      <c r="AC1753" s="1196">
        <f t="shared" si="510"/>
        <v>58.333333333333336</v>
      </c>
      <c r="AD1753" s="1196">
        <f t="shared" si="511"/>
        <v>39.271746993923337</v>
      </c>
      <c r="AE1753" s="89"/>
      <c r="AF1753" s="750"/>
      <c r="AG1753" s="750"/>
      <c r="AH1753" s="750"/>
      <c r="AI1753" s="750"/>
      <c r="AJ1753" s="750"/>
      <c r="AK1753" s="750"/>
      <c r="AL1753" s="750"/>
      <c r="AM1753" s="750"/>
      <c r="AN1753" s="750"/>
      <c r="AO1753" s="750"/>
      <c r="AP1753" s="750"/>
      <c r="AQ1753" s="750"/>
      <c r="AR1753" s="750"/>
      <c r="AS1753" s="750"/>
      <c r="AT1753" s="750"/>
      <c r="AU1753" s="750"/>
      <c r="AV1753" s="750"/>
      <c r="AW1753" s="750"/>
      <c r="AX1753" s="750"/>
      <c r="AY1753" s="750"/>
      <c r="AZ1753" s="750"/>
      <c r="BA1753" s="750"/>
      <c r="BB1753" s="750"/>
      <c r="BC1753" s="752"/>
      <c r="BD1753" s="752"/>
      <c r="BE1753" s="752"/>
      <c r="BF1753" s="752"/>
      <c r="BG1753" s="752"/>
      <c r="BH1753" s="752"/>
      <c r="BI1753" s="752"/>
      <c r="BJ1753" s="752"/>
      <c r="BK1753" s="752"/>
      <c r="BL1753" s="752"/>
      <c r="BM1753" s="752"/>
      <c r="BN1753" s="752"/>
      <c r="BO1753" s="752"/>
      <c r="BP1753" s="752"/>
      <c r="BQ1753" s="752"/>
      <c r="BR1753" s="752"/>
      <c r="BS1753" s="752"/>
      <c r="BT1753" s="752"/>
      <c r="BU1753" s="752"/>
      <c r="BV1753" s="752"/>
      <c r="BW1753" s="752"/>
      <c r="BX1753" s="752"/>
      <c r="BY1753" s="752"/>
      <c r="BZ1753" s="752"/>
      <c r="CA1753" s="752"/>
      <c r="CB1753" s="752"/>
      <c r="CC1753" s="752"/>
      <c r="CD1753" s="752"/>
      <c r="CE1753" s="752"/>
      <c r="CF1753" s="752"/>
      <c r="CG1753" s="752"/>
      <c r="CH1753" s="752"/>
      <c r="CI1753" s="752"/>
      <c r="CJ1753" s="752"/>
      <c r="CK1753" s="752"/>
      <c r="CL1753" s="752"/>
      <c r="CM1753" s="752"/>
      <c r="CN1753" s="752"/>
      <c r="CO1753" s="752"/>
      <c r="CP1753" s="752"/>
      <c r="CQ1753" s="752"/>
      <c r="CR1753" s="752"/>
      <c r="CS1753" s="752"/>
      <c r="CT1753" s="752"/>
      <c r="CU1753" s="752"/>
      <c r="CV1753" s="752"/>
      <c r="CW1753" s="752"/>
      <c r="CX1753" s="752"/>
      <c r="CY1753" s="752"/>
      <c r="CZ1753" s="752"/>
      <c r="DA1753" s="752"/>
      <c r="DB1753" s="752"/>
      <c r="DC1753" s="752"/>
      <c r="DD1753" s="752"/>
      <c r="DE1753" s="752"/>
      <c r="DF1753" s="752"/>
      <c r="DG1753" s="752"/>
      <c r="DH1753" s="752"/>
      <c r="DI1753" s="752"/>
      <c r="DJ1753" s="752"/>
      <c r="DK1753" s="752"/>
      <c r="DL1753" s="752"/>
      <c r="DM1753" s="752"/>
      <c r="DN1753" s="752"/>
      <c r="DO1753" s="752"/>
      <c r="DP1753" s="752"/>
      <c r="DQ1753" s="752"/>
      <c r="DR1753" s="752"/>
      <c r="DS1753" s="752"/>
      <c r="DT1753" s="752"/>
      <c r="DU1753" s="752"/>
      <c r="DV1753" s="752"/>
      <c r="DW1753" s="752"/>
      <c r="DX1753" s="752"/>
      <c r="DY1753" s="752"/>
      <c r="DZ1753" s="752"/>
      <c r="EA1753" s="752"/>
      <c r="EB1753" s="752"/>
      <c r="EC1753" s="752"/>
      <c r="ED1753" s="752"/>
      <c r="EE1753" s="752"/>
      <c r="EF1753" s="752"/>
      <c r="EG1753" s="752"/>
      <c r="EH1753" s="752"/>
      <c r="EI1753" s="752"/>
      <c r="EJ1753" s="752"/>
      <c r="EK1753" s="752"/>
      <c r="EL1753" s="752"/>
      <c r="EM1753" s="752"/>
      <c r="EN1753" s="752"/>
      <c r="EO1753" s="752"/>
      <c r="EP1753" s="752"/>
      <c r="EQ1753" s="752"/>
      <c r="ER1753" s="752"/>
      <c r="ES1753" s="752"/>
      <c r="ET1753" s="752"/>
      <c r="EU1753" s="752"/>
      <c r="EV1753" s="752"/>
      <c r="EW1753" s="752"/>
      <c r="EX1753" s="752"/>
      <c r="EY1753" s="752"/>
      <c r="EZ1753" s="752"/>
      <c r="FA1753" s="752"/>
      <c r="FB1753" s="752"/>
      <c r="FC1753" s="752"/>
      <c r="FD1753" s="752"/>
      <c r="FE1753" s="752"/>
      <c r="FF1753" s="752"/>
      <c r="FG1753" s="752"/>
      <c r="FH1753" s="752"/>
      <c r="FI1753" s="752"/>
      <c r="FJ1753" s="752"/>
      <c r="FK1753" s="752"/>
      <c r="FL1753" s="752"/>
      <c r="FM1753" s="752"/>
      <c r="FN1753" s="752"/>
      <c r="FO1753" s="752"/>
      <c r="FP1753" s="752"/>
      <c r="FQ1753" s="752"/>
      <c r="FR1753" s="752"/>
      <c r="FS1753" s="752"/>
      <c r="FT1753" s="752"/>
      <c r="FU1753" s="752"/>
      <c r="FV1753" s="752"/>
      <c r="FW1753" s="752"/>
      <c r="FX1753" s="752"/>
      <c r="FY1753" s="752"/>
      <c r="FZ1753" s="752"/>
      <c r="GA1753" s="752"/>
      <c r="GB1753" s="752"/>
      <c r="GC1753" s="752"/>
      <c r="GD1753" s="752"/>
      <c r="GE1753" s="752"/>
      <c r="GF1753" s="752"/>
      <c r="GG1753" s="752"/>
      <c r="GH1753" s="752"/>
      <c r="GI1753" s="752"/>
      <c r="GJ1753" s="752"/>
      <c r="GK1753" s="752"/>
      <c r="GL1753" s="752"/>
      <c r="GM1753" s="752"/>
      <c r="GN1753" s="752"/>
      <c r="GO1753" s="752"/>
      <c r="GP1753" s="752"/>
      <c r="GQ1753" s="752"/>
      <c r="GR1753" s="752"/>
      <c r="GS1753" s="752"/>
      <c r="GT1753" s="752"/>
      <c r="GU1753" s="752"/>
      <c r="GV1753" s="752"/>
      <c r="GW1753" s="752"/>
      <c r="GX1753" s="752"/>
      <c r="GY1753" s="752"/>
      <c r="GZ1753" s="752"/>
      <c r="HA1753" s="752"/>
      <c r="HB1753" s="752"/>
      <c r="HC1753" s="752"/>
      <c r="HD1753" s="752"/>
      <c r="HE1753" s="752"/>
      <c r="HF1753" s="752"/>
      <c r="HG1753" s="752"/>
      <c r="HH1753" s="752"/>
      <c r="HI1753" s="752"/>
      <c r="HJ1753" s="752"/>
      <c r="HK1753" s="752"/>
      <c r="HL1753" s="752"/>
      <c r="HM1753" s="752"/>
      <c r="HN1753" s="752"/>
      <c r="HO1753" s="752"/>
      <c r="HP1753" s="752"/>
      <c r="HQ1753" s="752"/>
      <c r="HR1753" s="752"/>
      <c r="HS1753" s="752"/>
      <c r="HT1753" s="752"/>
      <c r="HU1753" s="752"/>
      <c r="HV1753" s="752"/>
      <c r="HW1753" s="752"/>
      <c r="HX1753" s="752"/>
      <c r="HY1753" s="752"/>
      <c r="HZ1753" s="752"/>
      <c r="IA1753" s="752"/>
      <c r="IB1753" s="752"/>
      <c r="IC1753" s="752"/>
      <c r="ID1753" s="752"/>
      <c r="IE1753" s="752"/>
      <c r="IF1753" s="752"/>
      <c r="IG1753" s="752"/>
      <c r="IH1753" s="752"/>
      <c r="II1753" s="752"/>
      <c r="IJ1753" s="752"/>
      <c r="IK1753" s="752"/>
      <c r="IL1753" s="752"/>
      <c r="IM1753" s="752"/>
      <c r="IN1753" s="752"/>
      <c r="IO1753" s="752"/>
    </row>
    <row r="1754" spans="1:249" ht="49.5">
      <c r="A1754" s="1119"/>
      <c r="B1754" s="212"/>
      <c r="C1754" s="605">
        <v>3</v>
      </c>
      <c r="D1754" s="605" t="s">
        <v>34</v>
      </c>
      <c r="E1754" s="605" t="s">
        <v>39</v>
      </c>
      <c r="F1754" s="605">
        <v>17</v>
      </c>
      <c r="G1754" s="89">
        <v>28</v>
      </c>
      <c r="H1754" s="89"/>
      <c r="I1754" s="114" t="s">
        <v>1677</v>
      </c>
      <c r="J1754" s="124" t="s">
        <v>3227</v>
      </c>
      <c r="K1754" s="1239">
        <v>282</v>
      </c>
      <c r="L1754" s="125">
        <v>690444044</v>
      </c>
      <c r="M1754" s="91">
        <v>141</v>
      </c>
      <c r="N1754" s="125">
        <v>244007087</v>
      </c>
      <c r="O1754" s="91">
        <v>47</v>
      </c>
      <c r="P1754" s="125">
        <v>74997337</v>
      </c>
      <c r="Q1754" s="811">
        <v>0</v>
      </c>
      <c r="R1754" s="125">
        <v>0</v>
      </c>
      <c r="S1754" s="125">
        <v>0</v>
      </c>
      <c r="T1754" s="125">
        <v>0</v>
      </c>
      <c r="U1754" s="125"/>
      <c r="V1754" s="803"/>
      <c r="W1754" s="125"/>
      <c r="X1754" s="125"/>
      <c r="Y1754" s="125">
        <f t="shared" si="512"/>
        <v>0</v>
      </c>
      <c r="Z1754" s="125">
        <f t="shared" si="513"/>
        <v>0</v>
      </c>
      <c r="AA1754" s="1196">
        <f t="shared" si="514"/>
        <v>141</v>
      </c>
      <c r="AB1754" s="125">
        <f t="shared" si="515"/>
        <v>244007087</v>
      </c>
      <c r="AC1754" s="1196">
        <f t="shared" si="510"/>
        <v>50</v>
      </c>
      <c r="AD1754" s="1196">
        <f t="shared" si="511"/>
        <v>35.340602778811139</v>
      </c>
      <c r="AE1754" s="89"/>
      <c r="AF1754" s="750"/>
      <c r="AG1754" s="750"/>
      <c r="AH1754" s="750"/>
      <c r="AI1754" s="750"/>
      <c r="AJ1754" s="750"/>
      <c r="AK1754" s="750"/>
      <c r="AL1754" s="750"/>
      <c r="AM1754" s="750"/>
      <c r="AN1754" s="750"/>
      <c r="AO1754" s="750"/>
      <c r="AP1754" s="750"/>
      <c r="AQ1754" s="750"/>
      <c r="AR1754" s="750"/>
      <c r="AS1754" s="750"/>
      <c r="AT1754" s="750"/>
      <c r="AU1754" s="750"/>
      <c r="AV1754" s="750"/>
      <c r="AW1754" s="750"/>
      <c r="AX1754" s="750"/>
      <c r="AY1754" s="750"/>
      <c r="AZ1754" s="750"/>
      <c r="BA1754" s="750"/>
      <c r="BB1754" s="750"/>
      <c r="BC1754" s="752"/>
      <c r="BD1754" s="752"/>
      <c r="BE1754" s="752"/>
      <c r="BF1754" s="752"/>
      <c r="BG1754" s="752"/>
      <c r="BH1754" s="752"/>
      <c r="BI1754" s="752"/>
      <c r="BJ1754" s="752"/>
      <c r="BK1754" s="752"/>
      <c r="BL1754" s="752"/>
      <c r="BM1754" s="752"/>
      <c r="BN1754" s="752"/>
      <c r="BO1754" s="752"/>
      <c r="BP1754" s="752"/>
      <c r="BQ1754" s="752"/>
      <c r="BR1754" s="752"/>
      <c r="BS1754" s="752"/>
      <c r="BT1754" s="752"/>
      <c r="BU1754" s="752"/>
      <c r="BV1754" s="752"/>
      <c r="BW1754" s="752"/>
      <c r="BX1754" s="752"/>
      <c r="BY1754" s="752"/>
      <c r="BZ1754" s="752"/>
      <c r="CA1754" s="752"/>
      <c r="CB1754" s="752"/>
      <c r="CC1754" s="752"/>
      <c r="CD1754" s="752"/>
      <c r="CE1754" s="752"/>
      <c r="CF1754" s="752"/>
      <c r="CG1754" s="752"/>
      <c r="CH1754" s="752"/>
      <c r="CI1754" s="752"/>
      <c r="CJ1754" s="752"/>
      <c r="CK1754" s="752"/>
      <c r="CL1754" s="752"/>
      <c r="CM1754" s="752"/>
      <c r="CN1754" s="752"/>
      <c r="CO1754" s="752"/>
      <c r="CP1754" s="752"/>
      <c r="CQ1754" s="752"/>
      <c r="CR1754" s="752"/>
      <c r="CS1754" s="752"/>
      <c r="CT1754" s="752"/>
      <c r="CU1754" s="752"/>
      <c r="CV1754" s="752"/>
      <c r="CW1754" s="752"/>
      <c r="CX1754" s="752"/>
      <c r="CY1754" s="752"/>
      <c r="CZ1754" s="752"/>
      <c r="DA1754" s="752"/>
      <c r="DB1754" s="752"/>
      <c r="DC1754" s="752"/>
      <c r="DD1754" s="752"/>
      <c r="DE1754" s="752"/>
      <c r="DF1754" s="752"/>
      <c r="DG1754" s="752"/>
      <c r="DH1754" s="752"/>
      <c r="DI1754" s="752"/>
      <c r="DJ1754" s="752"/>
      <c r="DK1754" s="752"/>
      <c r="DL1754" s="752"/>
      <c r="DM1754" s="752"/>
      <c r="DN1754" s="752"/>
      <c r="DO1754" s="752"/>
      <c r="DP1754" s="752"/>
      <c r="DQ1754" s="752"/>
      <c r="DR1754" s="752"/>
      <c r="DS1754" s="752"/>
      <c r="DT1754" s="752"/>
      <c r="DU1754" s="752"/>
      <c r="DV1754" s="752"/>
      <c r="DW1754" s="752"/>
      <c r="DX1754" s="752"/>
      <c r="DY1754" s="752"/>
      <c r="DZ1754" s="752"/>
      <c r="EA1754" s="752"/>
      <c r="EB1754" s="752"/>
      <c r="EC1754" s="752"/>
      <c r="ED1754" s="752"/>
      <c r="EE1754" s="752"/>
      <c r="EF1754" s="752"/>
      <c r="EG1754" s="752"/>
      <c r="EH1754" s="752"/>
      <c r="EI1754" s="752"/>
      <c r="EJ1754" s="752"/>
      <c r="EK1754" s="752"/>
      <c r="EL1754" s="752"/>
      <c r="EM1754" s="752"/>
      <c r="EN1754" s="752"/>
      <c r="EO1754" s="752"/>
      <c r="EP1754" s="752"/>
      <c r="EQ1754" s="752"/>
      <c r="ER1754" s="752"/>
      <c r="ES1754" s="752"/>
      <c r="ET1754" s="752"/>
      <c r="EU1754" s="752"/>
      <c r="EV1754" s="752"/>
      <c r="EW1754" s="752"/>
      <c r="EX1754" s="752"/>
      <c r="EY1754" s="752"/>
      <c r="EZ1754" s="752"/>
      <c r="FA1754" s="752"/>
      <c r="FB1754" s="752"/>
      <c r="FC1754" s="752"/>
      <c r="FD1754" s="752"/>
      <c r="FE1754" s="752"/>
      <c r="FF1754" s="752"/>
      <c r="FG1754" s="752"/>
      <c r="FH1754" s="752"/>
      <c r="FI1754" s="752"/>
      <c r="FJ1754" s="752"/>
      <c r="FK1754" s="752"/>
      <c r="FL1754" s="752"/>
      <c r="FM1754" s="752"/>
      <c r="FN1754" s="752"/>
      <c r="FO1754" s="752"/>
      <c r="FP1754" s="752"/>
      <c r="FQ1754" s="752"/>
      <c r="FR1754" s="752"/>
      <c r="FS1754" s="752"/>
      <c r="FT1754" s="752"/>
      <c r="FU1754" s="752"/>
      <c r="FV1754" s="752"/>
      <c r="FW1754" s="752"/>
      <c r="FX1754" s="752"/>
      <c r="FY1754" s="752"/>
      <c r="FZ1754" s="752"/>
      <c r="GA1754" s="752"/>
      <c r="GB1754" s="752"/>
      <c r="GC1754" s="752"/>
      <c r="GD1754" s="752"/>
      <c r="GE1754" s="752"/>
      <c r="GF1754" s="752"/>
      <c r="GG1754" s="752"/>
      <c r="GH1754" s="752"/>
      <c r="GI1754" s="752"/>
      <c r="GJ1754" s="752"/>
      <c r="GK1754" s="752"/>
      <c r="GL1754" s="752"/>
      <c r="GM1754" s="752"/>
      <c r="GN1754" s="752"/>
      <c r="GO1754" s="752"/>
      <c r="GP1754" s="752"/>
      <c r="GQ1754" s="752"/>
      <c r="GR1754" s="752"/>
      <c r="GS1754" s="752"/>
      <c r="GT1754" s="752"/>
      <c r="GU1754" s="752"/>
      <c r="GV1754" s="752"/>
      <c r="GW1754" s="752"/>
      <c r="GX1754" s="752"/>
      <c r="GY1754" s="752"/>
      <c r="GZ1754" s="752"/>
      <c r="HA1754" s="752"/>
      <c r="HB1754" s="752"/>
      <c r="HC1754" s="752"/>
      <c r="HD1754" s="752"/>
      <c r="HE1754" s="752"/>
      <c r="HF1754" s="752"/>
      <c r="HG1754" s="752"/>
      <c r="HH1754" s="752"/>
      <c r="HI1754" s="752"/>
      <c r="HJ1754" s="752"/>
      <c r="HK1754" s="752"/>
      <c r="HL1754" s="752"/>
      <c r="HM1754" s="752"/>
      <c r="HN1754" s="752"/>
      <c r="HO1754" s="752"/>
      <c r="HP1754" s="752"/>
      <c r="HQ1754" s="752"/>
      <c r="HR1754" s="752"/>
      <c r="HS1754" s="752"/>
      <c r="HT1754" s="752"/>
      <c r="HU1754" s="752"/>
      <c r="HV1754" s="752"/>
      <c r="HW1754" s="752"/>
      <c r="HX1754" s="752"/>
      <c r="HY1754" s="752"/>
      <c r="HZ1754" s="752"/>
      <c r="IA1754" s="752"/>
      <c r="IB1754" s="752"/>
      <c r="IC1754" s="752"/>
      <c r="ID1754" s="752"/>
      <c r="IE1754" s="752"/>
      <c r="IF1754" s="752"/>
      <c r="IG1754" s="752"/>
      <c r="IH1754" s="752"/>
      <c r="II1754" s="752"/>
      <c r="IJ1754" s="752"/>
      <c r="IK1754" s="752"/>
      <c r="IL1754" s="752"/>
      <c r="IM1754" s="752"/>
      <c r="IN1754" s="752"/>
      <c r="IO1754" s="752"/>
    </row>
    <row r="1755" spans="1:249" ht="66">
      <c r="A1755" s="1119"/>
      <c r="B1755" s="212"/>
      <c r="C1755" s="605">
        <v>3</v>
      </c>
      <c r="D1755" s="605" t="s">
        <v>34</v>
      </c>
      <c r="E1755" s="605" t="s">
        <v>39</v>
      </c>
      <c r="F1755" s="605">
        <v>17</v>
      </c>
      <c r="G1755" s="89">
        <v>29</v>
      </c>
      <c r="H1755" s="89"/>
      <c r="I1755" s="114" t="s">
        <v>1678</v>
      </c>
      <c r="J1755" s="45" t="s">
        <v>1679</v>
      </c>
      <c r="K1755" s="1239">
        <v>72</v>
      </c>
      <c r="L1755" s="125">
        <v>2509900114</v>
      </c>
      <c r="M1755" s="91">
        <v>36</v>
      </c>
      <c r="N1755" s="805">
        <v>1531994074</v>
      </c>
      <c r="O1755" s="91">
        <v>12</v>
      </c>
      <c r="P1755" s="805">
        <v>223741464</v>
      </c>
      <c r="Q1755" s="813">
        <v>3</v>
      </c>
      <c r="R1755" s="805">
        <v>23410000</v>
      </c>
      <c r="S1755" s="125">
        <v>3</v>
      </c>
      <c r="T1755" s="125">
        <v>64939000</v>
      </c>
      <c r="U1755" s="125"/>
      <c r="V1755" s="803"/>
      <c r="W1755" s="125"/>
      <c r="X1755" s="125"/>
      <c r="Y1755" s="125">
        <f t="shared" si="512"/>
        <v>6</v>
      </c>
      <c r="Z1755" s="125">
        <f t="shared" si="513"/>
        <v>88349000</v>
      </c>
      <c r="AA1755" s="1196">
        <f t="shared" si="514"/>
        <v>42</v>
      </c>
      <c r="AB1755" s="125">
        <f t="shared" si="515"/>
        <v>1620343074</v>
      </c>
      <c r="AC1755" s="1196">
        <f t="shared" si="510"/>
        <v>58.333333333333336</v>
      </c>
      <c r="AD1755" s="1196">
        <f t="shared" si="511"/>
        <v>64.55807005871948</v>
      </c>
      <c r="AE1755" s="89"/>
      <c r="AF1755" s="750"/>
      <c r="AG1755" s="750"/>
      <c r="AH1755" s="750"/>
      <c r="AI1755" s="750"/>
      <c r="AJ1755" s="750"/>
      <c r="AK1755" s="750"/>
      <c r="AL1755" s="750"/>
      <c r="AM1755" s="750"/>
      <c r="AN1755" s="750"/>
      <c r="AO1755" s="750"/>
      <c r="AP1755" s="750"/>
      <c r="AQ1755" s="750"/>
      <c r="AR1755" s="750"/>
      <c r="AS1755" s="750"/>
      <c r="AT1755" s="750"/>
      <c r="AU1755" s="750"/>
      <c r="AV1755" s="750"/>
      <c r="AW1755" s="750"/>
      <c r="AX1755" s="750"/>
      <c r="AY1755" s="750"/>
      <c r="AZ1755" s="750"/>
      <c r="BA1755" s="750"/>
      <c r="BB1755" s="750"/>
      <c r="BC1755" s="752"/>
      <c r="BD1755" s="752"/>
      <c r="BE1755" s="752"/>
      <c r="BF1755" s="752"/>
      <c r="BG1755" s="752"/>
      <c r="BH1755" s="752"/>
      <c r="BI1755" s="752"/>
      <c r="BJ1755" s="752"/>
      <c r="BK1755" s="752"/>
      <c r="BL1755" s="752"/>
      <c r="BM1755" s="752"/>
      <c r="BN1755" s="752"/>
      <c r="BO1755" s="752"/>
      <c r="BP1755" s="752"/>
      <c r="BQ1755" s="752"/>
      <c r="BR1755" s="752"/>
      <c r="BS1755" s="752"/>
      <c r="BT1755" s="752"/>
      <c r="BU1755" s="752"/>
      <c r="BV1755" s="752"/>
      <c r="BW1755" s="752"/>
      <c r="BX1755" s="752"/>
      <c r="BY1755" s="752"/>
      <c r="BZ1755" s="752"/>
      <c r="CA1755" s="752"/>
      <c r="CB1755" s="752"/>
      <c r="CC1755" s="752"/>
      <c r="CD1755" s="752"/>
      <c r="CE1755" s="752"/>
      <c r="CF1755" s="752"/>
      <c r="CG1755" s="752"/>
      <c r="CH1755" s="752"/>
      <c r="CI1755" s="752"/>
      <c r="CJ1755" s="752"/>
      <c r="CK1755" s="752"/>
      <c r="CL1755" s="752"/>
      <c r="CM1755" s="752"/>
      <c r="CN1755" s="752"/>
      <c r="CO1755" s="752"/>
      <c r="CP1755" s="752"/>
      <c r="CQ1755" s="752"/>
      <c r="CR1755" s="752"/>
      <c r="CS1755" s="752"/>
      <c r="CT1755" s="752"/>
      <c r="CU1755" s="752"/>
      <c r="CV1755" s="752"/>
      <c r="CW1755" s="752"/>
      <c r="CX1755" s="752"/>
      <c r="CY1755" s="752"/>
      <c r="CZ1755" s="752"/>
      <c r="DA1755" s="752"/>
      <c r="DB1755" s="752"/>
      <c r="DC1755" s="752"/>
      <c r="DD1755" s="752"/>
      <c r="DE1755" s="752"/>
      <c r="DF1755" s="752"/>
      <c r="DG1755" s="752"/>
      <c r="DH1755" s="752"/>
      <c r="DI1755" s="752"/>
      <c r="DJ1755" s="752"/>
      <c r="DK1755" s="752"/>
      <c r="DL1755" s="752"/>
      <c r="DM1755" s="752"/>
      <c r="DN1755" s="752"/>
      <c r="DO1755" s="752"/>
      <c r="DP1755" s="752"/>
      <c r="DQ1755" s="752"/>
      <c r="DR1755" s="752"/>
      <c r="DS1755" s="752"/>
      <c r="DT1755" s="752"/>
      <c r="DU1755" s="752"/>
      <c r="DV1755" s="752"/>
      <c r="DW1755" s="752"/>
      <c r="DX1755" s="752"/>
      <c r="DY1755" s="752"/>
      <c r="DZ1755" s="752"/>
      <c r="EA1755" s="752"/>
      <c r="EB1755" s="752"/>
      <c r="EC1755" s="752"/>
      <c r="ED1755" s="752"/>
      <c r="EE1755" s="752"/>
      <c r="EF1755" s="752"/>
      <c r="EG1755" s="752"/>
      <c r="EH1755" s="752"/>
      <c r="EI1755" s="752"/>
      <c r="EJ1755" s="752"/>
      <c r="EK1755" s="752"/>
      <c r="EL1755" s="752"/>
      <c r="EM1755" s="752"/>
      <c r="EN1755" s="752"/>
      <c r="EO1755" s="752"/>
      <c r="EP1755" s="752"/>
      <c r="EQ1755" s="752"/>
      <c r="ER1755" s="752"/>
      <c r="ES1755" s="752"/>
      <c r="ET1755" s="752"/>
      <c r="EU1755" s="752"/>
      <c r="EV1755" s="752"/>
      <c r="EW1755" s="752"/>
      <c r="EX1755" s="752"/>
      <c r="EY1755" s="752"/>
      <c r="EZ1755" s="752"/>
      <c r="FA1755" s="752"/>
      <c r="FB1755" s="752"/>
      <c r="FC1755" s="752"/>
      <c r="FD1755" s="752"/>
      <c r="FE1755" s="752"/>
      <c r="FF1755" s="752"/>
      <c r="FG1755" s="752"/>
      <c r="FH1755" s="752"/>
      <c r="FI1755" s="752"/>
      <c r="FJ1755" s="752"/>
      <c r="FK1755" s="752"/>
      <c r="FL1755" s="752"/>
      <c r="FM1755" s="752"/>
      <c r="FN1755" s="752"/>
      <c r="FO1755" s="752"/>
      <c r="FP1755" s="752"/>
      <c r="FQ1755" s="752"/>
      <c r="FR1755" s="752"/>
      <c r="FS1755" s="752"/>
      <c r="FT1755" s="752"/>
      <c r="FU1755" s="752"/>
      <c r="FV1755" s="752"/>
      <c r="FW1755" s="752"/>
      <c r="FX1755" s="752"/>
      <c r="FY1755" s="752"/>
      <c r="FZ1755" s="752"/>
      <c r="GA1755" s="752"/>
      <c r="GB1755" s="752"/>
      <c r="GC1755" s="752"/>
      <c r="GD1755" s="752"/>
      <c r="GE1755" s="752"/>
      <c r="GF1755" s="752"/>
      <c r="GG1755" s="752"/>
      <c r="GH1755" s="752"/>
      <c r="GI1755" s="752"/>
      <c r="GJ1755" s="752"/>
      <c r="GK1755" s="752"/>
      <c r="GL1755" s="752"/>
      <c r="GM1755" s="752"/>
      <c r="GN1755" s="752"/>
      <c r="GO1755" s="752"/>
      <c r="GP1755" s="752"/>
      <c r="GQ1755" s="752"/>
      <c r="GR1755" s="752"/>
      <c r="GS1755" s="752"/>
      <c r="GT1755" s="752"/>
      <c r="GU1755" s="752"/>
      <c r="GV1755" s="752"/>
      <c r="GW1755" s="752"/>
      <c r="GX1755" s="752"/>
      <c r="GY1755" s="752"/>
      <c r="GZ1755" s="752"/>
      <c r="HA1755" s="752"/>
      <c r="HB1755" s="752"/>
      <c r="HC1755" s="752"/>
      <c r="HD1755" s="752"/>
      <c r="HE1755" s="752"/>
      <c r="HF1755" s="752"/>
      <c r="HG1755" s="752"/>
      <c r="HH1755" s="752"/>
      <c r="HI1755" s="752"/>
      <c r="HJ1755" s="752"/>
      <c r="HK1755" s="752"/>
      <c r="HL1755" s="752"/>
      <c r="HM1755" s="752"/>
      <c r="HN1755" s="752"/>
      <c r="HO1755" s="752"/>
      <c r="HP1755" s="752"/>
      <c r="HQ1755" s="752"/>
      <c r="HR1755" s="752"/>
      <c r="HS1755" s="752"/>
      <c r="HT1755" s="752"/>
      <c r="HU1755" s="752"/>
      <c r="HV1755" s="752"/>
      <c r="HW1755" s="752"/>
      <c r="HX1755" s="752"/>
      <c r="HY1755" s="752"/>
      <c r="HZ1755" s="752"/>
      <c r="IA1755" s="752"/>
      <c r="IB1755" s="752"/>
      <c r="IC1755" s="752"/>
      <c r="ID1755" s="752"/>
      <c r="IE1755" s="752"/>
      <c r="IF1755" s="752"/>
      <c r="IG1755" s="752"/>
      <c r="IH1755" s="752"/>
      <c r="II1755" s="752"/>
      <c r="IJ1755" s="752"/>
      <c r="IK1755" s="752"/>
      <c r="IL1755" s="752"/>
      <c r="IM1755" s="752"/>
      <c r="IN1755" s="752"/>
      <c r="IO1755" s="752"/>
    </row>
    <row r="1756" spans="1:249" ht="66">
      <c r="A1756" s="1119"/>
      <c r="B1756" s="212"/>
      <c r="C1756" s="605">
        <v>3</v>
      </c>
      <c r="D1756" s="605" t="s">
        <v>34</v>
      </c>
      <c r="E1756" s="605" t="s">
        <v>39</v>
      </c>
      <c r="F1756" s="605">
        <v>17</v>
      </c>
      <c r="G1756" s="89">
        <v>41</v>
      </c>
      <c r="H1756" s="89"/>
      <c r="I1756" s="114" t="s">
        <v>1680</v>
      </c>
      <c r="J1756" s="45" t="s">
        <v>3228</v>
      </c>
      <c r="K1756" s="1239">
        <v>72</v>
      </c>
      <c r="L1756" s="125">
        <v>561795159</v>
      </c>
      <c r="M1756" s="91">
        <v>36</v>
      </c>
      <c r="N1756" s="805">
        <v>246457106</v>
      </c>
      <c r="O1756" s="91">
        <v>0</v>
      </c>
      <c r="P1756" s="805">
        <v>0</v>
      </c>
      <c r="Q1756" s="813">
        <v>0</v>
      </c>
      <c r="R1756" s="805">
        <v>0</v>
      </c>
      <c r="S1756" s="125">
        <v>0</v>
      </c>
      <c r="T1756" s="125"/>
      <c r="U1756" s="125"/>
      <c r="V1756" s="803"/>
      <c r="W1756" s="125"/>
      <c r="X1756" s="125"/>
      <c r="Y1756" s="125">
        <f t="shared" si="512"/>
        <v>0</v>
      </c>
      <c r="Z1756" s="125">
        <f t="shared" si="513"/>
        <v>0</v>
      </c>
      <c r="AA1756" s="1196">
        <f t="shared" si="514"/>
        <v>36</v>
      </c>
      <c r="AB1756" s="125">
        <f t="shared" si="515"/>
        <v>246457106</v>
      </c>
      <c r="AC1756" s="1196">
        <f t="shared" si="510"/>
        <v>50</v>
      </c>
      <c r="AD1756" s="1196">
        <f t="shared" si="511"/>
        <v>43.869567412915359</v>
      </c>
      <c r="AE1756" s="89"/>
      <c r="AF1756" s="750"/>
      <c r="AG1756" s="750"/>
      <c r="AH1756" s="750"/>
      <c r="AI1756" s="750"/>
      <c r="AJ1756" s="750"/>
      <c r="AK1756" s="750"/>
      <c r="AL1756" s="750"/>
      <c r="AM1756" s="750"/>
      <c r="AN1756" s="750"/>
      <c r="AO1756" s="750"/>
      <c r="AP1756" s="750"/>
      <c r="AQ1756" s="750"/>
      <c r="AR1756" s="750"/>
      <c r="AS1756" s="750"/>
      <c r="AT1756" s="750"/>
      <c r="AU1756" s="750"/>
      <c r="AV1756" s="750"/>
      <c r="AW1756" s="750"/>
      <c r="AX1756" s="750"/>
      <c r="AY1756" s="750"/>
      <c r="AZ1756" s="750"/>
      <c r="BA1756" s="750"/>
      <c r="BB1756" s="750"/>
      <c r="BC1756" s="752"/>
      <c r="BD1756" s="752"/>
      <c r="BE1756" s="752"/>
      <c r="BF1756" s="752"/>
      <c r="BG1756" s="752"/>
      <c r="BH1756" s="752"/>
      <c r="BI1756" s="752"/>
      <c r="BJ1756" s="752"/>
      <c r="BK1756" s="752"/>
      <c r="BL1756" s="752"/>
      <c r="BM1756" s="752"/>
      <c r="BN1756" s="752"/>
      <c r="BO1756" s="752"/>
      <c r="BP1756" s="752"/>
      <c r="BQ1756" s="752"/>
      <c r="BR1756" s="752"/>
      <c r="BS1756" s="752"/>
      <c r="BT1756" s="752"/>
      <c r="BU1756" s="752"/>
      <c r="BV1756" s="752"/>
      <c r="BW1756" s="752"/>
      <c r="BX1756" s="752"/>
      <c r="BY1756" s="752"/>
      <c r="BZ1756" s="752"/>
      <c r="CA1756" s="752"/>
      <c r="CB1756" s="752"/>
      <c r="CC1756" s="752"/>
      <c r="CD1756" s="752"/>
      <c r="CE1756" s="752"/>
      <c r="CF1756" s="752"/>
      <c r="CG1756" s="752"/>
      <c r="CH1756" s="752"/>
      <c r="CI1756" s="752"/>
      <c r="CJ1756" s="752"/>
      <c r="CK1756" s="752"/>
      <c r="CL1756" s="752"/>
      <c r="CM1756" s="752"/>
      <c r="CN1756" s="752"/>
      <c r="CO1756" s="752"/>
      <c r="CP1756" s="752"/>
      <c r="CQ1756" s="752"/>
      <c r="CR1756" s="752"/>
      <c r="CS1756" s="752"/>
      <c r="CT1756" s="752"/>
      <c r="CU1756" s="752"/>
      <c r="CV1756" s="752"/>
      <c r="CW1756" s="752"/>
      <c r="CX1756" s="752"/>
      <c r="CY1756" s="752"/>
      <c r="CZ1756" s="752"/>
      <c r="DA1756" s="752"/>
      <c r="DB1756" s="752"/>
      <c r="DC1756" s="752"/>
      <c r="DD1756" s="752"/>
      <c r="DE1756" s="752"/>
      <c r="DF1756" s="752"/>
      <c r="DG1756" s="752"/>
      <c r="DH1756" s="752"/>
      <c r="DI1756" s="752"/>
      <c r="DJ1756" s="752"/>
      <c r="DK1756" s="752"/>
      <c r="DL1756" s="752"/>
      <c r="DM1756" s="752"/>
      <c r="DN1756" s="752"/>
      <c r="DO1756" s="752"/>
      <c r="DP1756" s="752"/>
      <c r="DQ1756" s="752"/>
      <c r="DR1756" s="752"/>
      <c r="DS1756" s="752"/>
      <c r="DT1756" s="752"/>
      <c r="DU1756" s="752"/>
      <c r="DV1756" s="752"/>
      <c r="DW1756" s="752"/>
      <c r="DX1756" s="752"/>
      <c r="DY1756" s="752"/>
      <c r="DZ1756" s="752"/>
      <c r="EA1756" s="752"/>
      <c r="EB1756" s="752"/>
      <c r="EC1756" s="752"/>
      <c r="ED1756" s="752"/>
      <c r="EE1756" s="752"/>
      <c r="EF1756" s="752"/>
      <c r="EG1756" s="752"/>
      <c r="EH1756" s="752"/>
      <c r="EI1756" s="752"/>
      <c r="EJ1756" s="752"/>
      <c r="EK1756" s="752"/>
      <c r="EL1756" s="752"/>
      <c r="EM1756" s="752"/>
      <c r="EN1756" s="752"/>
      <c r="EO1756" s="752"/>
      <c r="EP1756" s="752"/>
      <c r="EQ1756" s="752"/>
      <c r="ER1756" s="752"/>
      <c r="ES1756" s="752"/>
      <c r="ET1756" s="752"/>
      <c r="EU1756" s="752"/>
      <c r="EV1756" s="752"/>
      <c r="EW1756" s="752"/>
      <c r="EX1756" s="752"/>
      <c r="EY1756" s="752"/>
      <c r="EZ1756" s="752"/>
      <c r="FA1756" s="752"/>
      <c r="FB1756" s="752"/>
      <c r="FC1756" s="752"/>
      <c r="FD1756" s="752"/>
      <c r="FE1756" s="752"/>
      <c r="FF1756" s="752"/>
      <c r="FG1756" s="752"/>
      <c r="FH1756" s="752"/>
      <c r="FI1756" s="752"/>
      <c r="FJ1756" s="752"/>
      <c r="FK1756" s="752"/>
      <c r="FL1756" s="752"/>
      <c r="FM1756" s="752"/>
      <c r="FN1756" s="752"/>
      <c r="FO1756" s="752"/>
      <c r="FP1756" s="752"/>
      <c r="FQ1756" s="752"/>
      <c r="FR1756" s="752"/>
      <c r="FS1756" s="752"/>
      <c r="FT1756" s="752"/>
      <c r="FU1756" s="752"/>
      <c r="FV1756" s="752"/>
      <c r="FW1756" s="752"/>
      <c r="FX1756" s="752"/>
      <c r="FY1756" s="752"/>
      <c r="FZ1756" s="752"/>
      <c r="GA1756" s="752"/>
      <c r="GB1756" s="752"/>
      <c r="GC1756" s="752"/>
      <c r="GD1756" s="752"/>
      <c r="GE1756" s="752"/>
      <c r="GF1756" s="752"/>
      <c r="GG1756" s="752"/>
      <c r="GH1756" s="752"/>
      <c r="GI1756" s="752"/>
      <c r="GJ1756" s="752"/>
      <c r="GK1756" s="752"/>
      <c r="GL1756" s="752"/>
      <c r="GM1756" s="752"/>
      <c r="GN1756" s="752"/>
      <c r="GO1756" s="752"/>
      <c r="GP1756" s="752"/>
      <c r="GQ1756" s="752"/>
      <c r="GR1756" s="752"/>
      <c r="GS1756" s="752"/>
      <c r="GT1756" s="752"/>
      <c r="GU1756" s="752"/>
      <c r="GV1756" s="752"/>
      <c r="GW1756" s="752"/>
      <c r="GX1756" s="752"/>
      <c r="GY1756" s="752"/>
      <c r="GZ1756" s="752"/>
      <c r="HA1756" s="752"/>
      <c r="HB1756" s="752"/>
      <c r="HC1756" s="752"/>
      <c r="HD1756" s="752"/>
      <c r="HE1756" s="752"/>
      <c r="HF1756" s="752"/>
      <c r="HG1756" s="752"/>
      <c r="HH1756" s="752"/>
      <c r="HI1756" s="752"/>
      <c r="HJ1756" s="752"/>
      <c r="HK1756" s="752"/>
      <c r="HL1756" s="752"/>
      <c r="HM1756" s="752"/>
      <c r="HN1756" s="752"/>
      <c r="HO1756" s="752"/>
      <c r="HP1756" s="752"/>
      <c r="HQ1756" s="752"/>
      <c r="HR1756" s="752"/>
      <c r="HS1756" s="752"/>
      <c r="HT1756" s="752"/>
      <c r="HU1756" s="752"/>
      <c r="HV1756" s="752"/>
      <c r="HW1756" s="752"/>
      <c r="HX1756" s="752"/>
      <c r="HY1756" s="752"/>
      <c r="HZ1756" s="752"/>
      <c r="IA1756" s="752"/>
      <c r="IB1756" s="752"/>
      <c r="IC1756" s="752"/>
      <c r="ID1756" s="752"/>
      <c r="IE1756" s="752"/>
      <c r="IF1756" s="752"/>
      <c r="IG1756" s="752"/>
      <c r="IH1756" s="752"/>
      <c r="II1756" s="752"/>
      <c r="IJ1756" s="752"/>
      <c r="IK1756" s="752"/>
      <c r="IL1756" s="752"/>
      <c r="IM1756" s="752"/>
      <c r="IN1756" s="752"/>
      <c r="IO1756" s="752"/>
    </row>
    <row r="1757" spans="1:249" ht="49.5">
      <c r="A1757" s="1119"/>
      <c r="B1757" s="212"/>
      <c r="C1757" s="605">
        <v>3</v>
      </c>
      <c r="D1757" s="605" t="s">
        <v>34</v>
      </c>
      <c r="E1757" s="605" t="s">
        <v>39</v>
      </c>
      <c r="F1757" s="605">
        <v>17</v>
      </c>
      <c r="G1757" s="89">
        <v>42</v>
      </c>
      <c r="H1757" s="89"/>
      <c r="I1757" s="114" t="s">
        <v>1681</v>
      </c>
      <c r="J1757" s="45" t="s">
        <v>3229</v>
      </c>
      <c r="K1757" s="1239">
        <v>72</v>
      </c>
      <c r="L1757" s="125">
        <v>276426716</v>
      </c>
      <c r="M1757" s="91">
        <v>36</v>
      </c>
      <c r="N1757" s="805">
        <v>87286727</v>
      </c>
      <c r="O1757" s="125">
        <v>12</v>
      </c>
      <c r="P1757" s="805">
        <v>59883840</v>
      </c>
      <c r="Q1757" s="125">
        <v>3</v>
      </c>
      <c r="R1757" s="805">
        <v>8304206</v>
      </c>
      <c r="S1757" s="125">
        <v>3</v>
      </c>
      <c r="T1757" s="125">
        <v>21979479</v>
      </c>
      <c r="U1757" s="125"/>
      <c r="V1757" s="803"/>
      <c r="W1757" s="125"/>
      <c r="X1757" s="125"/>
      <c r="Y1757" s="125">
        <f t="shared" si="512"/>
        <v>6</v>
      </c>
      <c r="Z1757" s="125">
        <f t="shared" si="513"/>
        <v>30283685</v>
      </c>
      <c r="AA1757" s="1196">
        <f t="shared" si="514"/>
        <v>42</v>
      </c>
      <c r="AB1757" s="125">
        <f t="shared" si="515"/>
        <v>117570412</v>
      </c>
      <c r="AC1757" s="1196">
        <f t="shared" si="510"/>
        <v>58.333333333333336</v>
      </c>
      <c r="AD1757" s="1196">
        <f t="shared" si="511"/>
        <v>42.532217472062293</v>
      </c>
      <c r="AE1757" s="89"/>
      <c r="AF1757" s="750"/>
      <c r="AG1757" s="750"/>
      <c r="AH1757" s="750"/>
      <c r="AI1757" s="750"/>
      <c r="AJ1757" s="750"/>
      <c r="AK1757" s="750"/>
      <c r="AL1757" s="750"/>
      <c r="AM1757" s="750"/>
      <c r="AN1757" s="750"/>
      <c r="AO1757" s="750"/>
      <c r="AP1757" s="750"/>
      <c r="AQ1757" s="750"/>
      <c r="AR1757" s="750"/>
      <c r="AS1757" s="750"/>
      <c r="AT1757" s="750"/>
      <c r="AU1757" s="750"/>
      <c r="AV1757" s="750"/>
      <c r="AW1757" s="750"/>
      <c r="AX1757" s="750"/>
      <c r="AY1757" s="750"/>
      <c r="AZ1757" s="750"/>
      <c r="BA1757" s="750"/>
      <c r="BB1757" s="750"/>
      <c r="BC1757" s="752"/>
      <c r="BD1757" s="752"/>
      <c r="BE1757" s="752"/>
      <c r="BF1757" s="752"/>
      <c r="BG1757" s="752"/>
      <c r="BH1757" s="752"/>
      <c r="BI1757" s="752"/>
      <c r="BJ1757" s="752"/>
      <c r="BK1757" s="752"/>
      <c r="BL1757" s="752"/>
      <c r="BM1757" s="752"/>
      <c r="BN1757" s="752"/>
      <c r="BO1757" s="752"/>
      <c r="BP1757" s="752"/>
      <c r="BQ1757" s="752"/>
      <c r="BR1757" s="752"/>
      <c r="BS1757" s="752"/>
      <c r="BT1757" s="752"/>
      <c r="BU1757" s="752"/>
      <c r="BV1757" s="752"/>
      <c r="BW1757" s="752"/>
      <c r="BX1757" s="752"/>
      <c r="BY1757" s="752"/>
      <c r="BZ1757" s="752"/>
      <c r="CA1757" s="752"/>
      <c r="CB1757" s="752"/>
      <c r="CC1757" s="752"/>
      <c r="CD1757" s="752"/>
      <c r="CE1757" s="752"/>
      <c r="CF1757" s="752"/>
      <c r="CG1757" s="752"/>
      <c r="CH1757" s="752"/>
      <c r="CI1757" s="752"/>
      <c r="CJ1757" s="752"/>
      <c r="CK1757" s="752"/>
      <c r="CL1757" s="752"/>
      <c r="CM1757" s="752"/>
      <c r="CN1757" s="752"/>
      <c r="CO1757" s="752"/>
      <c r="CP1757" s="752"/>
      <c r="CQ1757" s="752"/>
      <c r="CR1757" s="752"/>
      <c r="CS1757" s="752"/>
      <c r="CT1757" s="752"/>
      <c r="CU1757" s="752"/>
      <c r="CV1757" s="752"/>
      <c r="CW1757" s="752"/>
      <c r="CX1757" s="752"/>
      <c r="CY1757" s="752"/>
      <c r="CZ1757" s="752"/>
      <c r="DA1757" s="752"/>
      <c r="DB1757" s="752"/>
      <c r="DC1757" s="752"/>
      <c r="DD1757" s="752"/>
      <c r="DE1757" s="752"/>
      <c r="DF1757" s="752"/>
      <c r="DG1757" s="752"/>
      <c r="DH1757" s="752"/>
      <c r="DI1757" s="752"/>
      <c r="DJ1757" s="752"/>
      <c r="DK1757" s="752"/>
      <c r="DL1757" s="752"/>
      <c r="DM1757" s="752"/>
      <c r="DN1757" s="752"/>
      <c r="DO1757" s="752"/>
      <c r="DP1757" s="752"/>
      <c r="DQ1757" s="752"/>
      <c r="DR1757" s="752"/>
      <c r="DS1757" s="752"/>
      <c r="DT1757" s="752"/>
      <c r="DU1757" s="752"/>
      <c r="DV1757" s="752"/>
      <c r="DW1757" s="752"/>
      <c r="DX1757" s="752"/>
      <c r="DY1757" s="752"/>
      <c r="DZ1757" s="752"/>
      <c r="EA1757" s="752"/>
      <c r="EB1757" s="752"/>
      <c r="EC1757" s="752"/>
      <c r="ED1757" s="752"/>
      <c r="EE1757" s="752"/>
      <c r="EF1757" s="752"/>
      <c r="EG1757" s="752"/>
      <c r="EH1757" s="752"/>
      <c r="EI1757" s="752"/>
      <c r="EJ1757" s="752"/>
      <c r="EK1757" s="752"/>
      <c r="EL1757" s="752"/>
      <c r="EM1757" s="752"/>
      <c r="EN1757" s="752"/>
      <c r="EO1757" s="752"/>
      <c r="EP1757" s="752"/>
      <c r="EQ1757" s="752"/>
      <c r="ER1757" s="752"/>
      <c r="ES1757" s="752"/>
      <c r="ET1757" s="752"/>
      <c r="EU1757" s="752"/>
      <c r="EV1757" s="752"/>
      <c r="EW1757" s="752"/>
      <c r="EX1757" s="752"/>
      <c r="EY1757" s="752"/>
      <c r="EZ1757" s="752"/>
      <c r="FA1757" s="752"/>
      <c r="FB1757" s="752"/>
      <c r="FC1757" s="752"/>
      <c r="FD1757" s="752"/>
      <c r="FE1757" s="752"/>
      <c r="FF1757" s="752"/>
      <c r="FG1757" s="752"/>
      <c r="FH1757" s="752"/>
      <c r="FI1757" s="752"/>
      <c r="FJ1757" s="752"/>
      <c r="FK1757" s="752"/>
      <c r="FL1757" s="752"/>
      <c r="FM1757" s="752"/>
      <c r="FN1757" s="752"/>
      <c r="FO1757" s="752"/>
      <c r="FP1757" s="752"/>
      <c r="FQ1757" s="752"/>
      <c r="FR1757" s="752"/>
      <c r="FS1757" s="752"/>
      <c r="FT1757" s="752"/>
      <c r="FU1757" s="752"/>
      <c r="FV1757" s="752"/>
      <c r="FW1757" s="752"/>
      <c r="FX1757" s="752"/>
      <c r="FY1757" s="752"/>
      <c r="FZ1757" s="752"/>
      <c r="GA1757" s="752"/>
      <c r="GB1757" s="752"/>
      <c r="GC1757" s="752"/>
      <c r="GD1757" s="752"/>
      <c r="GE1757" s="752"/>
      <c r="GF1757" s="752"/>
      <c r="GG1757" s="752"/>
      <c r="GH1757" s="752"/>
      <c r="GI1757" s="752"/>
      <c r="GJ1757" s="752"/>
      <c r="GK1757" s="752"/>
      <c r="GL1757" s="752"/>
      <c r="GM1757" s="752"/>
      <c r="GN1757" s="752"/>
      <c r="GO1757" s="752"/>
      <c r="GP1757" s="752"/>
      <c r="GQ1757" s="752"/>
      <c r="GR1757" s="752"/>
      <c r="GS1757" s="752"/>
      <c r="GT1757" s="752"/>
      <c r="GU1757" s="752"/>
      <c r="GV1757" s="752"/>
      <c r="GW1757" s="752"/>
      <c r="GX1757" s="752"/>
      <c r="GY1757" s="752"/>
      <c r="GZ1757" s="752"/>
      <c r="HA1757" s="752"/>
      <c r="HB1757" s="752"/>
      <c r="HC1757" s="752"/>
      <c r="HD1757" s="752"/>
      <c r="HE1757" s="752"/>
      <c r="HF1757" s="752"/>
      <c r="HG1757" s="752"/>
      <c r="HH1757" s="752"/>
      <c r="HI1757" s="752"/>
      <c r="HJ1757" s="752"/>
      <c r="HK1757" s="752"/>
      <c r="HL1757" s="752"/>
      <c r="HM1757" s="752"/>
      <c r="HN1757" s="752"/>
      <c r="HO1757" s="752"/>
      <c r="HP1757" s="752"/>
      <c r="HQ1757" s="752"/>
      <c r="HR1757" s="752"/>
      <c r="HS1757" s="752"/>
      <c r="HT1757" s="752"/>
      <c r="HU1757" s="752"/>
      <c r="HV1757" s="752"/>
      <c r="HW1757" s="752"/>
      <c r="HX1757" s="752"/>
      <c r="HY1757" s="752"/>
      <c r="HZ1757" s="752"/>
      <c r="IA1757" s="752"/>
      <c r="IB1757" s="752"/>
      <c r="IC1757" s="752"/>
      <c r="ID1757" s="752"/>
      <c r="IE1757" s="752"/>
      <c r="IF1757" s="752"/>
      <c r="IG1757" s="752"/>
      <c r="IH1757" s="752"/>
      <c r="II1757" s="752"/>
      <c r="IJ1757" s="752"/>
      <c r="IK1757" s="752"/>
      <c r="IL1757" s="752"/>
      <c r="IM1757" s="752"/>
      <c r="IN1757" s="752"/>
      <c r="IO1757" s="752"/>
    </row>
    <row r="1758" spans="1:249" ht="49.5">
      <c r="A1758" s="1119"/>
      <c r="B1758" s="212"/>
      <c r="C1758" s="605">
        <v>3</v>
      </c>
      <c r="D1758" s="605" t="s">
        <v>34</v>
      </c>
      <c r="E1758" s="605" t="s">
        <v>39</v>
      </c>
      <c r="F1758" s="605">
        <v>17</v>
      </c>
      <c r="G1758" s="89">
        <v>57</v>
      </c>
      <c r="H1758" s="89"/>
      <c r="I1758" s="114" t="s">
        <v>1682</v>
      </c>
      <c r="J1758" s="45" t="s">
        <v>3230</v>
      </c>
      <c r="K1758" s="1239">
        <v>60</v>
      </c>
      <c r="L1758" s="125">
        <v>350420624</v>
      </c>
      <c r="M1758" s="91">
        <v>12</v>
      </c>
      <c r="N1758" s="805">
        <v>46428710</v>
      </c>
      <c r="O1758" s="91">
        <v>0</v>
      </c>
      <c r="P1758" s="805">
        <v>0</v>
      </c>
      <c r="Q1758" s="813">
        <v>0</v>
      </c>
      <c r="R1758" s="805">
        <v>0</v>
      </c>
      <c r="S1758" s="125"/>
      <c r="T1758" s="125"/>
      <c r="U1758" s="125"/>
      <c r="V1758" s="803"/>
      <c r="W1758" s="125"/>
      <c r="X1758" s="125"/>
      <c r="Y1758" s="125">
        <f t="shared" si="512"/>
        <v>0</v>
      </c>
      <c r="Z1758" s="125">
        <f t="shared" si="513"/>
        <v>0</v>
      </c>
      <c r="AA1758" s="1196">
        <f t="shared" si="514"/>
        <v>12</v>
      </c>
      <c r="AB1758" s="125">
        <f t="shared" si="515"/>
        <v>46428710</v>
      </c>
      <c r="AC1758" s="1196">
        <f t="shared" si="510"/>
        <v>20</v>
      </c>
      <c r="AD1758" s="1196">
        <f t="shared" si="511"/>
        <v>13.249422785115526</v>
      </c>
      <c r="AE1758" s="89"/>
      <c r="AF1758" s="750"/>
      <c r="AG1758" s="750"/>
      <c r="AH1758" s="750"/>
      <c r="AI1758" s="750"/>
      <c r="AJ1758" s="750"/>
      <c r="AK1758" s="750"/>
      <c r="AL1758" s="750"/>
      <c r="AM1758" s="750"/>
      <c r="AN1758" s="750"/>
      <c r="AO1758" s="750"/>
      <c r="AP1758" s="750"/>
      <c r="AQ1758" s="750"/>
      <c r="AR1758" s="750"/>
      <c r="AS1758" s="750"/>
      <c r="AT1758" s="750"/>
      <c r="AU1758" s="750"/>
      <c r="AV1758" s="750"/>
      <c r="AW1758" s="750"/>
      <c r="AX1758" s="750"/>
      <c r="AY1758" s="750"/>
      <c r="AZ1758" s="750"/>
      <c r="BA1758" s="750"/>
      <c r="BB1758" s="750"/>
      <c r="BC1758" s="752"/>
      <c r="BD1758" s="752"/>
      <c r="BE1758" s="752"/>
      <c r="BF1758" s="752"/>
      <c r="BG1758" s="752"/>
      <c r="BH1758" s="752"/>
      <c r="BI1758" s="752"/>
      <c r="BJ1758" s="752"/>
      <c r="BK1758" s="752"/>
      <c r="BL1758" s="752"/>
      <c r="BM1758" s="752"/>
      <c r="BN1758" s="752"/>
      <c r="BO1758" s="752"/>
      <c r="BP1758" s="752"/>
      <c r="BQ1758" s="752"/>
      <c r="BR1758" s="752"/>
      <c r="BS1758" s="752"/>
      <c r="BT1758" s="752"/>
      <c r="BU1758" s="752"/>
      <c r="BV1758" s="752"/>
      <c r="BW1758" s="752"/>
      <c r="BX1758" s="752"/>
      <c r="BY1758" s="752"/>
      <c r="BZ1758" s="752"/>
      <c r="CA1758" s="752"/>
      <c r="CB1758" s="752"/>
      <c r="CC1758" s="752"/>
      <c r="CD1758" s="752"/>
      <c r="CE1758" s="752"/>
      <c r="CF1758" s="752"/>
      <c r="CG1758" s="752"/>
      <c r="CH1758" s="752"/>
      <c r="CI1758" s="752"/>
      <c r="CJ1758" s="752"/>
      <c r="CK1758" s="752"/>
      <c r="CL1758" s="752"/>
      <c r="CM1758" s="752"/>
      <c r="CN1758" s="752"/>
      <c r="CO1758" s="752"/>
      <c r="CP1758" s="752"/>
      <c r="CQ1758" s="752"/>
      <c r="CR1758" s="752"/>
      <c r="CS1758" s="752"/>
      <c r="CT1758" s="752"/>
      <c r="CU1758" s="752"/>
      <c r="CV1758" s="752"/>
      <c r="CW1758" s="752"/>
      <c r="CX1758" s="752"/>
      <c r="CY1758" s="752"/>
      <c r="CZ1758" s="752"/>
      <c r="DA1758" s="752"/>
      <c r="DB1758" s="752"/>
      <c r="DC1758" s="752"/>
      <c r="DD1758" s="752"/>
      <c r="DE1758" s="752"/>
      <c r="DF1758" s="752"/>
      <c r="DG1758" s="752"/>
      <c r="DH1758" s="752"/>
      <c r="DI1758" s="752"/>
      <c r="DJ1758" s="752"/>
      <c r="DK1758" s="752"/>
      <c r="DL1758" s="752"/>
      <c r="DM1758" s="752"/>
      <c r="DN1758" s="752"/>
      <c r="DO1758" s="752"/>
      <c r="DP1758" s="752"/>
      <c r="DQ1758" s="752"/>
      <c r="DR1758" s="752"/>
      <c r="DS1758" s="752"/>
      <c r="DT1758" s="752"/>
      <c r="DU1758" s="752"/>
      <c r="DV1758" s="752"/>
      <c r="DW1758" s="752"/>
      <c r="DX1758" s="752"/>
      <c r="DY1758" s="752"/>
      <c r="DZ1758" s="752"/>
      <c r="EA1758" s="752"/>
      <c r="EB1758" s="752"/>
      <c r="EC1758" s="752"/>
      <c r="ED1758" s="752"/>
      <c r="EE1758" s="752"/>
      <c r="EF1758" s="752"/>
      <c r="EG1758" s="752"/>
      <c r="EH1758" s="752"/>
      <c r="EI1758" s="752"/>
      <c r="EJ1758" s="752"/>
      <c r="EK1758" s="752"/>
      <c r="EL1758" s="752"/>
      <c r="EM1758" s="752"/>
      <c r="EN1758" s="752"/>
      <c r="EO1758" s="752"/>
      <c r="EP1758" s="752"/>
      <c r="EQ1758" s="752"/>
      <c r="ER1758" s="752"/>
      <c r="ES1758" s="752"/>
      <c r="ET1758" s="752"/>
      <c r="EU1758" s="752"/>
      <c r="EV1758" s="752"/>
      <c r="EW1758" s="752"/>
      <c r="EX1758" s="752"/>
      <c r="EY1758" s="752"/>
      <c r="EZ1758" s="752"/>
      <c r="FA1758" s="752"/>
      <c r="FB1758" s="752"/>
      <c r="FC1758" s="752"/>
      <c r="FD1758" s="752"/>
      <c r="FE1758" s="752"/>
      <c r="FF1758" s="752"/>
      <c r="FG1758" s="752"/>
      <c r="FH1758" s="752"/>
      <c r="FI1758" s="752"/>
      <c r="FJ1758" s="752"/>
      <c r="FK1758" s="752"/>
      <c r="FL1758" s="752"/>
      <c r="FM1758" s="752"/>
      <c r="FN1758" s="752"/>
      <c r="FO1758" s="752"/>
      <c r="FP1758" s="752"/>
      <c r="FQ1758" s="752"/>
      <c r="FR1758" s="752"/>
      <c r="FS1758" s="752"/>
      <c r="FT1758" s="752"/>
      <c r="FU1758" s="752"/>
      <c r="FV1758" s="752"/>
      <c r="FW1758" s="752"/>
      <c r="FX1758" s="752"/>
      <c r="FY1758" s="752"/>
      <c r="FZ1758" s="752"/>
      <c r="GA1758" s="752"/>
      <c r="GB1758" s="752"/>
      <c r="GC1758" s="752"/>
      <c r="GD1758" s="752"/>
      <c r="GE1758" s="752"/>
      <c r="GF1758" s="752"/>
      <c r="GG1758" s="752"/>
      <c r="GH1758" s="752"/>
      <c r="GI1758" s="752"/>
      <c r="GJ1758" s="752"/>
      <c r="GK1758" s="752"/>
      <c r="GL1758" s="752"/>
      <c r="GM1758" s="752"/>
      <c r="GN1758" s="752"/>
      <c r="GO1758" s="752"/>
      <c r="GP1758" s="752"/>
      <c r="GQ1758" s="752"/>
      <c r="GR1758" s="752"/>
      <c r="GS1758" s="752"/>
      <c r="GT1758" s="752"/>
      <c r="GU1758" s="752"/>
      <c r="GV1758" s="752"/>
      <c r="GW1758" s="752"/>
      <c r="GX1758" s="752"/>
      <c r="GY1758" s="752"/>
      <c r="GZ1758" s="752"/>
      <c r="HA1758" s="752"/>
      <c r="HB1758" s="752"/>
      <c r="HC1758" s="752"/>
      <c r="HD1758" s="752"/>
      <c r="HE1758" s="752"/>
      <c r="HF1758" s="752"/>
      <c r="HG1758" s="752"/>
      <c r="HH1758" s="752"/>
      <c r="HI1758" s="752"/>
      <c r="HJ1758" s="752"/>
      <c r="HK1758" s="752"/>
      <c r="HL1758" s="752"/>
      <c r="HM1758" s="752"/>
      <c r="HN1758" s="752"/>
      <c r="HO1758" s="752"/>
      <c r="HP1758" s="752"/>
      <c r="HQ1758" s="752"/>
      <c r="HR1758" s="752"/>
      <c r="HS1758" s="752"/>
      <c r="HT1758" s="752"/>
      <c r="HU1758" s="752"/>
      <c r="HV1758" s="752"/>
      <c r="HW1758" s="752"/>
      <c r="HX1758" s="752"/>
      <c r="HY1758" s="752"/>
      <c r="HZ1758" s="752"/>
      <c r="IA1758" s="752"/>
      <c r="IB1758" s="752"/>
      <c r="IC1758" s="752"/>
      <c r="ID1758" s="752"/>
      <c r="IE1758" s="752"/>
      <c r="IF1758" s="752"/>
      <c r="IG1758" s="752"/>
      <c r="IH1758" s="752"/>
      <c r="II1758" s="752"/>
      <c r="IJ1758" s="752"/>
      <c r="IK1758" s="752"/>
      <c r="IL1758" s="752"/>
      <c r="IM1758" s="752"/>
      <c r="IN1758" s="752"/>
      <c r="IO1758" s="752"/>
    </row>
    <row r="1759" spans="1:249" ht="49.5">
      <c r="A1759" s="1119"/>
      <c r="B1759" s="212"/>
      <c r="C1759" s="605">
        <v>3</v>
      </c>
      <c r="D1759" s="605" t="s">
        <v>34</v>
      </c>
      <c r="E1759" s="605" t="s">
        <v>39</v>
      </c>
      <c r="F1759" s="605">
        <v>17</v>
      </c>
      <c r="G1759" s="89">
        <v>43</v>
      </c>
      <c r="H1759" s="89"/>
      <c r="I1759" s="114" t="s">
        <v>1683</v>
      </c>
      <c r="J1759" s="45" t="s">
        <v>3231</v>
      </c>
      <c r="K1759" s="1239">
        <v>3930</v>
      </c>
      <c r="L1759" s="125">
        <v>1090793320</v>
      </c>
      <c r="M1759" s="91">
        <v>1698</v>
      </c>
      <c r="N1759" s="805">
        <v>826624769</v>
      </c>
      <c r="O1759" s="91">
        <v>0</v>
      </c>
      <c r="P1759" s="805">
        <v>0</v>
      </c>
      <c r="Q1759" s="814">
        <v>0</v>
      </c>
      <c r="R1759" s="805">
        <v>0</v>
      </c>
      <c r="S1759" s="125"/>
      <c r="T1759" s="125"/>
      <c r="U1759" s="125"/>
      <c r="V1759" s="803"/>
      <c r="W1759" s="125"/>
      <c r="X1759" s="125"/>
      <c r="Y1759" s="125">
        <f t="shared" si="512"/>
        <v>0</v>
      </c>
      <c r="Z1759" s="125">
        <f t="shared" si="513"/>
        <v>0</v>
      </c>
      <c r="AA1759" s="1196">
        <f t="shared" si="514"/>
        <v>1698</v>
      </c>
      <c r="AB1759" s="125">
        <f t="shared" si="515"/>
        <v>826624769</v>
      </c>
      <c r="AC1759" s="1196">
        <f t="shared" si="510"/>
        <v>43.206106870229007</v>
      </c>
      <c r="AD1759" s="1196">
        <f t="shared" si="511"/>
        <v>75.781979394593293</v>
      </c>
      <c r="AE1759" s="89"/>
      <c r="AF1759" s="750"/>
      <c r="AG1759" s="750"/>
      <c r="AH1759" s="750"/>
      <c r="AI1759" s="750"/>
      <c r="AJ1759" s="750"/>
      <c r="AK1759" s="750"/>
      <c r="AL1759" s="750"/>
      <c r="AM1759" s="750"/>
      <c r="AN1759" s="750"/>
      <c r="AO1759" s="750"/>
      <c r="AP1759" s="750"/>
      <c r="AQ1759" s="750"/>
      <c r="AR1759" s="750"/>
      <c r="AS1759" s="750"/>
      <c r="AT1759" s="750"/>
      <c r="AU1759" s="750"/>
      <c r="AV1759" s="750"/>
      <c r="AW1759" s="750"/>
      <c r="AX1759" s="750"/>
      <c r="AY1759" s="750"/>
      <c r="AZ1759" s="750"/>
      <c r="BA1759" s="750"/>
      <c r="BB1759" s="750"/>
      <c r="BC1759" s="752"/>
      <c r="BD1759" s="752"/>
      <c r="BE1759" s="752"/>
      <c r="BF1759" s="752"/>
      <c r="BG1759" s="752"/>
      <c r="BH1759" s="752"/>
      <c r="BI1759" s="752"/>
      <c r="BJ1759" s="752"/>
      <c r="BK1759" s="752"/>
      <c r="BL1759" s="752"/>
      <c r="BM1759" s="752"/>
      <c r="BN1759" s="752"/>
      <c r="BO1759" s="752"/>
      <c r="BP1759" s="752"/>
      <c r="BQ1759" s="752"/>
      <c r="BR1759" s="752"/>
      <c r="BS1759" s="752"/>
      <c r="BT1759" s="752"/>
      <c r="BU1759" s="752"/>
      <c r="BV1759" s="752"/>
      <c r="BW1759" s="752"/>
      <c r="BX1759" s="752"/>
      <c r="BY1759" s="752"/>
      <c r="BZ1759" s="752"/>
      <c r="CA1759" s="752"/>
      <c r="CB1759" s="752"/>
      <c r="CC1759" s="752"/>
      <c r="CD1759" s="752"/>
      <c r="CE1759" s="752"/>
      <c r="CF1759" s="752"/>
      <c r="CG1759" s="752"/>
      <c r="CH1759" s="752"/>
      <c r="CI1759" s="752"/>
      <c r="CJ1759" s="752"/>
      <c r="CK1759" s="752"/>
      <c r="CL1759" s="752"/>
      <c r="CM1759" s="752"/>
      <c r="CN1759" s="752"/>
      <c r="CO1759" s="752"/>
      <c r="CP1759" s="752"/>
      <c r="CQ1759" s="752"/>
      <c r="CR1759" s="752"/>
      <c r="CS1759" s="752"/>
      <c r="CT1759" s="752"/>
      <c r="CU1759" s="752"/>
      <c r="CV1759" s="752"/>
      <c r="CW1759" s="752"/>
      <c r="CX1759" s="752"/>
      <c r="CY1759" s="752"/>
      <c r="CZ1759" s="752"/>
      <c r="DA1759" s="752"/>
      <c r="DB1759" s="752"/>
      <c r="DC1759" s="752"/>
      <c r="DD1759" s="752"/>
      <c r="DE1759" s="752"/>
      <c r="DF1759" s="752"/>
      <c r="DG1759" s="752"/>
      <c r="DH1759" s="752"/>
      <c r="DI1759" s="752"/>
      <c r="DJ1759" s="752"/>
      <c r="DK1759" s="752"/>
      <c r="DL1759" s="752"/>
      <c r="DM1759" s="752"/>
      <c r="DN1759" s="752"/>
      <c r="DO1759" s="752"/>
      <c r="DP1759" s="752"/>
      <c r="DQ1759" s="752"/>
      <c r="DR1759" s="752"/>
      <c r="DS1759" s="752"/>
      <c r="DT1759" s="752"/>
      <c r="DU1759" s="752"/>
      <c r="DV1759" s="752"/>
      <c r="DW1759" s="752"/>
      <c r="DX1759" s="752"/>
      <c r="DY1759" s="752"/>
      <c r="DZ1759" s="752"/>
      <c r="EA1759" s="752"/>
      <c r="EB1759" s="752"/>
      <c r="EC1759" s="752"/>
      <c r="ED1759" s="752"/>
      <c r="EE1759" s="752"/>
      <c r="EF1759" s="752"/>
      <c r="EG1759" s="752"/>
      <c r="EH1759" s="752"/>
      <c r="EI1759" s="752"/>
      <c r="EJ1759" s="752"/>
      <c r="EK1759" s="752"/>
      <c r="EL1759" s="752"/>
      <c r="EM1759" s="752"/>
      <c r="EN1759" s="752"/>
      <c r="EO1759" s="752"/>
      <c r="EP1759" s="752"/>
      <c r="EQ1759" s="752"/>
      <c r="ER1759" s="752"/>
      <c r="ES1759" s="752"/>
      <c r="ET1759" s="752"/>
      <c r="EU1759" s="752"/>
      <c r="EV1759" s="752"/>
      <c r="EW1759" s="752"/>
      <c r="EX1759" s="752"/>
      <c r="EY1759" s="752"/>
      <c r="EZ1759" s="752"/>
      <c r="FA1759" s="752"/>
      <c r="FB1759" s="752"/>
      <c r="FC1759" s="752"/>
      <c r="FD1759" s="752"/>
      <c r="FE1759" s="752"/>
      <c r="FF1759" s="752"/>
      <c r="FG1759" s="752"/>
      <c r="FH1759" s="752"/>
      <c r="FI1759" s="752"/>
      <c r="FJ1759" s="752"/>
      <c r="FK1759" s="752"/>
      <c r="FL1759" s="752"/>
      <c r="FM1759" s="752"/>
      <c r="FN1759" s="752"/>
      <c r="FO1759" s="752"/>
      <c r="FP1759" s="752"/>
      <c r="FQ1759" s="752"/>
      <c r="FR1759" s="752"/>
      <c r="FS1759" s="752"/>
      <c r="FT1759" s="752"/>
      <c r="FU1759" s="752"/>
      <c r="FV1759" s="752"/>
      <c r="FW1759" s="752"/>
      <c r="FX1759" s="752"/>
      <c r="FY1759" s="752"/>
      <c r="FZ1759" s="752"/>
      <c r="GA1759" s="752"/>
      <c r="GB1759" s="752"/>
      <c r="GC1759" s="752"/>
      <c r="GD1759" s="752"/>
      <c r="GE1759" s="752"/>
      <c r="GF1759" s="752"/>
      <c r="GG1759" s="752"/>
      <c r="GH1759" s="752"/>
      <c r="GI1759" s="752"/>
      <c r="GJ1759" s="752"/>
      <c r="GK1759" s="752"/>
      <c r="GL1759" s="752"/>
      <c r="GM1759" s="752"/>
      <c r="GN1759" s="752"/>
      <c r="GO1759" s="752"/>
      <c r="GP1759" s="752"/>
      <c r="GQ1759" s="752"/>
      <c r="GR1759" s="752"/>
      <c r="GS1759" s="752"/>
      <c r="GT1759" s="752"/>
      <c r="GU1759" s="752"/>
      <c r="GV1759" s="752"/>
      <c r="GW1759" s="752"/>
      <c r="GX1759" s="752"/>
      <c r="GY1759" s="752"/>
      <c r="GZ1759" s="752"/>
      <c r="HA1759" s="752"/>
      <c r="HB1759" s="752"/>
      <c r="HC1759" s="752"/>
      <c r="HD1759" s="752"/>
      <c r="HE1759" s="752"/>
      <c r="HF1759" s="752"/>
      <c r="HG1759" s="752"/>
      <c r="HH1759" s="752"/>
      <c r="HI1759" s="752"/>
      <c r="HJ1759" s="752"/>
      <c r="HK1759" s="752"/>
      <c r="HL1759" s="752"/>
      <c r="HM1759" s="752"/>
      <c r="HN1759" s="752"/>
      <c r="HO1759" s="752"/>
      <c r="HP1759" s="752"/>
      <c r="HQ1759" s="752"/>
      <c r="HR1759" s="752"/>
      <c r="HS1759" s="752"/>
      <c r="HT1759" s="752"/>
      <c r="HU1759" s="752"/>
      <c r="HV1759" s="752"/>
      <c r="HW1759" s="752"/>
      <c r="HX1759" s="752"/>
      <c r="HY1759" s="752"/>
      <c r="HZ1759" s="752"/>
      <c r="IA1759" s="752"/>
      <c r="IB1759" s="752"/>
      <c r="IC1759" s="752"/>
      <c r="ID1759" s="752"/>
      <c r="IE1759" s="752"/>
      <c r="IF1759" s="752"/>
      <c r="IG1759" s="752"/>
      <c r="IH1759" s="752"/>
      <c r="II1759" s="752"/>
      <c r="IJ1759" s="752"/>
      <c r="IK1759" s="752"/>
      <c r="IL1759" s="752"/>
      <c r="IM1759" s="752"/>
      <c r="IN1759" s="752"/>
      <c r="IO1759" s="752"/>
    </row>
    <row r="1760" spans="1:249" ht="49.5">
      <c r="A1760" s="1119"/>
      <c r="B1760" s="212"/>
      <c r="C1760" s="605">
        <v>3</v>
      </c>
      <c r="D1760" s="605" t="s">
        <v>34</v>
      </c>
      <c r="E1760" s="605" t="s">
        <v>39</v>
      </c>
      <c r="F1760" s="605">
        <v>17</v>
      </c>
      <c r="G1760" s="89">
        <v>57</v>
      </c>
      <c r="H1760" s="89"/>
      <c r="I1760" s="124" t="s">
        <v>1684</v>
      </c>
      <c r="J1760" s="124" t="s">
        <v>3232</v>
      </c>
      <c r="K1760" s="1239">
        <v>8</v>
      </c>
      <c r="L1760" s="125">
        <v>219592389</v>
      </c>
      <c r="M1760" s="91">
        <v>2</v>
      </c>
      <c r="N1760" s="805">
        <v>7938913</v>
      </c>
      <c r="O1760" s="91">
        <v>2</v>
      </c>
      <c r="P1760" s="805">
        <v>81946446</v>
      </c>
      <c r="Q1760" s="814">
        <v>0</v>
      </c>
      <c r="R1760" s="805">
        <v>1075000</v>
      </c>
      <c r="S1760" s="125">
        <v>0</v>
      </c>
      <c r="T1760" s="125">
        <v>10361213</v>
      </c>
      <c r="U1760" s="125"/>
      <c r="V1760" s="803"/>
      <c r="W1760" s="125"/>
      <c r="X1760" s="125"/>
      <c r="Y1760" s="125">
        <f t="shared" si="512"/>
        <v>0</v>
      </c>
      <c r="Z1760" s="125">
        <f t="shared" si="513"/>
        <v>11436213</v>
      </c>
      <c r="AA1760" s="1196">
        <f t="shared" si="514"/>
        <v>2</v>
      </c>
      <c r="AB1760" s="125">
        <f t="shared" si="515"/>
        <v>19375126</v>
      </c>
      <c r="AC1760" s="1196">
        <f t="shared" si="510"/>
        <v>25</v>
      </c>
      <c r="AD1760" s="1196">
        <f t="shared" si="511"/>
        <v>8.8232229214465168</v>
      </c>
      <c r="AE1760" s="89"/>
      <c r="AF1760" s="750"/>
      <c r="AG1760" s="750"/>
      <c r="AH1760" s="750"/>
      <c r="AI1760" s="750"/>
      <c r="AJ1760" s="750"/>
      <c r="AK1760" s="750"/>
      <c r="AL1760" s="750"/>
      <c r="AM1760" s="750"/>
      <c r="AN1760" s="750"/>
      <c r="AO1760" s="750"/>
      <c r="AP1760" s="750"/>
      <c r="AQ1760" s="750"/>
      <c r="AR1760" s="750"/>
      <c r="AS1760" s="750"/>
      <c r="AT1760" s="750"/>
      <c r="AU1760" s="750"/>
      <c r="AV1760" s="750"/>
      <c r="AW1760" s="750"/>
      <c r="AX1760" s="750"/>
      <c r="AY1760" s="750"/>
      <c r="AZ1760" s="750"/>
      <c r="BA1760" s="750"/>
      <c r="BB1760" s="750"/>
      <c r="BC1760" s="752"/>
      <c r="BD1760" s="752"/>
      <c r="BE1760" s="752"/>
      <c r="BF1760" s="752"/>
      <c r="BG1760" s="752"/>
      <c r="BH1760" s="752"/>
      <c r="BI1760" s="752"/>
      <c r="BJ1760" s="752"/>
      <c r="BK1760" s="752"/>
      <c r="BL1760" s="752"/>
      <c r="BM1760" s="752"/>
      <c r="BN1760" s="752"/>
      <c r="BO1760" s="752"/>
      <c r="BP1760" s="752"/>
      <c r="BQ1760" s="752"/>
      <c r="BR1760" s="752"/>
      <c r="BS1760" s="752"/>
      <c r="BT1760" s="752"/>
      <c r="BU1760" s="752"/>
      <c r="BV1760" s="752"/>
      <c r="BW1760" s="752"/>
      <c r="BX1760" s="752"/>
      <c r="BY1760" s="752"/>
      <c r="BZ1760" s="752"/>
      <c r="CA1760" s="752"/>
      <c r="CB1760" s="752"/>
      <c r="CC1760" s="752"/>
      <c r="CD1760" s="752"/>
      <c r="CE1760" s="752"/>
      <c r="CF1760" s="752"/>
      <c r="CG1760" s="752"/>
      <c r="CH1760" s="752"/>
      <c r="CI1760" s="752"/>
      <c r="CJ1760" s="752"/>
      <c r="CK1760" s="752"/>
      <c r="CL1760" s="752"/>
      <c r="CM1760" s="752"/>
      <c r="CN1760" s="752"/>
      <c r="CO1760" s="752"/>
      <c r="CP1760" s="752"/>
      <c r="CQ1760" s="752"/>
      <c r="CR1760" s="752"/>
      <c r="CS1760" s="752"/>
      <c r="CT1760" s="752"/>
      <c r="CU1760" s="752"/>
      <c r="CV1760" s="752"/>
      <c r="CW1760" s="752"/>
      <c r="CX1760" s="752"/>
      <c r="CY1760" s="752"/>
      <c r="CZ1760" s="752"/>
      <c r="DA1760" s="752"/>
      <c r="DB1760" s="752"/>
      <c r="DC1760" s="752"/>
      <c r="DD1760" s="752"/>
      <c r="DE1760" s="752"/>
      <c r="DF1760" s="752"/>
      <c r="DG1760" s="752"/>
      <c r="DH1760" s="752"/>
      <c r="DI1760" s="752"/>
      <c r="DJ1760" s="752"/>
      <c r="DK1760" s="752"/>
      <c r="DL1760" s="752"/>
      <c r="DM1760" s="752"/>
      <c r="DN1760" s="752"/>
      <c r="DO1760" s="752"/>
      <c r="DP1760" s="752"/>
      <c r="DQ1760" s="752"/>
      <c r="DR1760" s="752"/>
      <c r="DS1760" s="752"/>
      <c r="DT1760" s="752"/>
      <c r="DU1760" s="752"/>
      <c r="DV1760" s="752"/>
      <c r="DW1760" s="752"/>
      <c r="DX1760" s="752"/>
      <c r="DY1760" s="752"/>
      <c r="DZ1760" s="752"/>
      <c r="EA1760" s="752"/>
      <c r="EB1760" s="752"/>
      <c r="EC1760" s="752"/>
      <c r="ED1760" s="752"/>
      <c r="EE1760" s="752"/>
      <c r="EF1760" s="752"/>
      <c r="EG1760" s="752"/>
      <c r="EH1760" s="752"/>
      <c r="EI1760" s="752"/>
      <c r="EJ1760" s="752"/>
      <c r="EK1760" s="752"/>
      <c r="EL1760" s="752"/>
      <c r="EM1760" s="752"/>
      <c r="EN1760" s="752"/>
      <c r="EO1760" s="752"/>
      <c r="EP1760" s="752"/>
      <c r="EQ1760" s="752"/>
      <c r="ER1760" s="752"/>
      <c r="ES1760" s="752"/>
      <c r="ET1760" s="752"/>
      <c r="EU1760" s="752"/>
      <c r="EV1760" s="752"/>
      <c r="EW1760" s="752"/>
      <c r="EX1760" s="752"/>
      <c r="EY1760" s="752"/>
      <c r="EZ1760" s="752"/>
      <c r="FA1760" s="752"/>
      <c r="FB1760" s="752"/>
      <c r="FC1760" s="752"/>
      <c r="FD1760" s="752"/>
      <c r="FE1760" s="752"/>
      <c r="FF1760" s="752"/>
      <c r="FG1760" s="752"/>
      <c r="FH1760" s="752"/>
      <c r="FI1760" s="752"/>
      <c r="FJ1760" s="752"/>
      <c r="FK1760" s="752"/>
      <c r="FL1760" s="752"/>
      <c r="FM1760" s="752"/>
      <c r="FN1760" s="752"/>
      <c r="FO1760" s="752"/>
      <c r="FP1760" s="752"/>
      <c r="FQ1760" s="752"/>
      <c r="FR1760" s="752"/>
      <c r="FS1760" s="752"/>
      <c r="FT1760" s="752"/>
      <c r="FU1760" s="752"/>
      <c r="FV1760" s="752"/>
      <c r="FW1760" s="752"/>
      <c r="FX1760" s="752"/>
      <c r="FY1760" s="752"/>
      <c r="FZ1760" s="752"/>
      <c r="GA1760" s="752"/>
      <c r="GB1760" s="752"/>
      <c r="GC1760" s="752"/>
      <c r="GD1760" s="752"/>
      <c r="GE1760" s="752"/>
      <c r="GF1760" s="752"/>
      <c r="GG1760" s="752"/>
      <c r="GH1760" s="752"/>
      <c r="GI1760" s="752"/>
      <c r="GJ1760" s="752"/>
      <c r="GK1760" s="752"/>
      <c r="GL1760" s="752"/>
      <c r="GM1760" s="752"/>
      <c r="GN1760" s="752"/>
      <c r="GO1760" s="752"/>
      <c r="GP1760" s="752"/>
      <c r="GQ1760" s="752"/>
      <c r="GR1760" s="752"/>
      <c r="GS1760" s="752"/>
      <c r="GT1760" s="752"/>
      <c r="GU1760" s="752"/>
      <c r="GV1760" s="752"/>
      <c r="GW1760" s="752"/>
      <c r="GX1760" s="752"/>
      <c r="GY1760" s="752"/>
      <c r="GZ1760" s="752"/>
      <c r="HA1760" s="752"/>
      <c r="HB1760" s="752"/>
      <c r="HC1760" s="752"/>
      <c r="HD1760" s="752"/>
      <c r="HE1760" s="752"/>
      <c r="HF1760" s="752"/>
      <c r="HG1760" s="752"/>
      <c r="HH1760" s="752"/>
      <c r="HI1760" s="752"/>
      <c r="HJ1760" s="752"/>
      <c r="HK1760" s="752"/>
      <c r="HL1760" s="752"/>
      <c r="HM1760" s="752"/>
      <c r="HN1760" s="752"/>
      <c r="HO1760" s="752"/>
      <c r="HP1760" s="752"/>
      <c r="HQ1760" s="752"/>
      <c r="HR1760" s="752"/>
      <c r="HS1760" s="752"/>
      <c r="HT1760" s="752"/>
      <c r="HU1760" s="752"/>
      <c r="HV1760" s="752"/>
      <c r="HW1760" s="752"/>
      <c r="HX1760" s="752"/>
      <c r="HY1760" s="752"/>
      <c r="HZ1760" s="752"/>
      <c r="IA1760" s="752"/>
      <c r="IB1760" s="752"/>
      <c r="IC1760" s="752"/>
      <c r="ID1760" s="752"/>
      <c r="IE1760" s="752"/>
      <c r="IF1760" s="752"/>
      <c r="IG1760" s="752"/>
      <c r="IH1760" s="752"/>
      <c r="II1760" s="752"/>
      <c r="IJ1760" s="752"/>
      <c r="IK1760" s="752"/>
      <c r="IL1760" s="752"/>
      <c r="IM1760" s="752"/>
      <c r="IN1760" s="752"/>
      <c r="IO1760" s="752"/>
    </row>
    <row r="1761" spans="1:249" ht="33">
      <c r="A1761" s="89"/>
      <c r="B1761" s="100"/>
      <c r="C1761" s="605">
        <v>3</v>
      </c>
      <c r="D1761" s="605" t="s">
        <v>34</v>
      </c>
      <c r="E1761" s="605" t="s">
        <v>39</v>
      </c>
      <c r="F1761" s="89">
        <v>17</v>
      </c>
      <c r="G1761" s="605">
        <v>75</v>
      </c>
      <c r="H1761" s="605"/>
      <c r="I1761" s="114" t="s">
        <v>1685</v>
      </c>
      <c r="J1761" s="124" t="s">
        <v>1686</v>
      </c>
      <c r="K1761" s="1239">
        <v>2400</v>
      </c>
      <c r="L1761" s="125">
        <v>922792510</v>
      </c>
      <c r="M1761" s="91">
        <v>600</v>
      </c>
      <c r="N1761" s="805">
        <v>173949844</v>
      </c>
      <c r="O1761" s="91">
        <v>1058</v>
      </c>
      <c r="P1761" s="805">
        <v>166883444</v>
      </c>
      <c r="Q1761" s="91">
        <v>0</v>
      </c>
      <c r="R1761" s="805">
        <v>15170518</v>
      </c>
      <c r="S1761" s="125">
        <v>0</v>
      </c>
      <c r="T1761" s="125">
        <v>49135583</v>
      </c>
      <c r="U1761" s="125"/>
      <c r="V1761" s="803"/>
      <c r="W1761" s="125"/>
      <c r="X1761" s="125"/>
      <c r="Y1761" s="125">
        <f t="shared" si="512"/>
        <v>0</v>
      </c>
      <c r="Z1761" s="125">
        <f t="shared" si="513"/>
        <v>64306101</v>
      </c>
      <c r="AA1761" s="1196">
        <f t="shared" si="514"/>
        <v>600</v>
      </c>
      <c r="AB1761" s="125">
        <f t="shared" si="515"/>
        <v>238255945</v>
      </c>
      <c r="AC1761" s="1196">
        <f t="shared" si="510"/>
        <v>25</v>
      </c>
      <c r="AD1761" s="1196">
        <f t="shared" si="511"/>
        <v>25.819015912905492</v>
      </c>
      <c r="AE1761" s="89"/>
      <c r="AF1761" s="750"/>
      <c r="AG1761" s="750"/>
      <c r="AH1761" s="750"/>
      <c r="AI1761" s="750"/>
      <c r="AJ1761" s="750"/>
      <c r="AK1761" s="750"/>
      <c r="AL1761" s="750"/>
      <c r="AM1761" s="750"/>
      <c r="AN1761" s="750"/>
      <c r="AO1761" s="750"/>
      <c r="AP1761" s="750"/>
      <c r="AQ1761" s="750"/>
      <c r="AR1761" s="750"/>
      <c r="AS1761" s="750"/>
      <c r="AT1761" s="750"/>
      <c r="AU1761" s="750"/>
      <c r="AV1761" s="750"/>
      <c r="AW1761" s="750"/>
      <c r="AX1761" s="750"/>
      <c r="AY1761" s="750"/>
      <c r="AZ1761" s="750"/>
      <c r="BA1761" s="750"/>
      <c r="BB1761" s="750"/>
      <c r="BC1761" s="752"/>
      <c r="BD1761" s="752"/>
      <c r="BE1761" s="752"/>
      <c r="BF1761" s="752"/>
      <c r="BG1761" s="752"/>
      <c r="BH1761" s="752"/>
      <c r="BI1761" s="752"/>
      <c r="BJ1761" s="752"/>
      <c r="BK1761" s="752"/>
      <c r="BL1761" s="752"/>
      <c r="BM1761" s="752"/>
      <c r="BN1761" s="752"/>
      <c r="BO1761" s="752"/>
      <c r="BP1761" s="752"/>
      <c r="BQ1761" s="752"/>
      <c r="BR1761" s="752"/>
      <c r="BS1761" s="752"/>
      <c r="BT1761" s="752"/>
      <c r="BU1761" s="752"/>
      <c r="BV1761" s="752"/>
      <c r="BW1761" s="752"/>
      <c r="BX1761" s="752"/>
      <c r="BY1761" s="752"/>
      <c r="BZ1761" s="752"/>
      <c r="CA1761" s="752"/>
      <c r="CB1761" s="752"/>
      <c r="CC1761" s="752"/>
      <c r="CD1761" s="752"/>
      <c r="CE1761" s="752"/>
      <c r="CF1761" s="752"/>
      <c r="CG1761" s="752"/>
      <c r="CH1761" s="752"/>
      <c r="CI1761" s="752"/>
      <c r="CJ1761" s="752"/>
      <c r="CK1761" s="752"/>
      <c r="CL1761" s="752"/>
      <c r="CM1761" s="752"/>
      <c r="CN1761" s="752"/>
      <c r="CO1761" s="752"/>
      <c r="CP1761" s="752"/>
      <c r="CQ1761" s="752"/>
      <c r="CR1761" s="752"/>
      <c r="CS1761" s="752"/>
      <c r="CT1761" s="752"/>
      <c r="CU1761" s="752"/>
      <c r="CV1761" s="752"/>
      <c r="CW1761" s="752"/>
      <c r="CX1761" s="752"/>
      <c r="CY1761" s="752"/>
      <c r="CZ1761" s="752"/>
      <c r="DA1761" s="752"/>
      <c r="DB1761" s="752"/>
      <c r="DC1761" s="752"/>
      <c r="DD1761" s="752"/>
      <c r="DE1761" s="752"/>
      <c r="DF1761" s="752"/>
      <c r="DG1761" s="752"/>
      <c r="DH1761" s="752"/>
      <c r="DI1761" s="752"/>
      <c r="DJ1761" s="752"/>
      <c r="DK1761" s="752"/>
      <c r="DL1761" s="752"/>
      <c r="DM1761" s="752"/>
      <c r="DN1761" s="752"/>
      <c r="DO1761" s="752"/>
      <c r="DP1761" s="752"/>
      <c r="DQ1761" s="752"/>
      <c r="DR1761" s="752"/>
      <c r="DS1761" s="752"/>
      <c r="DT1761" s="752"/>
      <c r="DU1761" s="752"/>
      <c r="DV1761" s="752"/>
      <c r="DW1761" s="752"/>
      <c r="DX1761" s="752"/>
      <c r="DY1761" s="752"/>
      <c r="DZ1761" s="752"/>
      <c r="EA1761" s="752"/>
      <c r="EB1761" s="752"/>
      <c r="EC1761" s="752"/>
      <c r="ED1761" s="752"/>
      <c r="EE1761" s="752"/>
      <c r="EF1761" s="752"/>
      <c r="EG1761" s="752"/>
      <c r="EH1761" s="752"/>
      <c r="EI1761" s="752"/>
      <c r="EJ1761" s="752"/>
      <c r="EK1761" s="752"/>
      <c r="EL1761" s="752"/>
      <c r="EM1761" s="752"/>
      <c r="EN1761" s="752"/>
      <c r="EO1761" s="752"/>
      <c r="EP1761" s="752"/>
      <c r="EQ1761" s="752"/>
      <c r="ER1761" s="752"/>
      <c r="ES1761" s="752"/>
      <c r="ET1761" s="752"/>
      <c r="EU1761" s="752"/>
      <c r="EV1761" s="752"/>
      <c r="EW1761" s="752"/>
      <c r="EX1761" s="752"/>
      <c r="EY1761" s="752"/>
      <c r="EZ1761" s="752"/>
      <c r="FA1761" s="752"/>
      <c r="FB1761" s="752"/>
      <c r="FC1761" s="752"/>
      <c r="FD1761" s="752"/>
      <c r="FE1761" s="752"/>
      <c r="FF1761" s="752"/>
      <c r="FG1761" s="752"/>
      <c r="FH1761" s="752"/>
      <c r="FI1761" s="752"/>
      <c r="FJ1761" s="752"/>
      <c r="FK1761" s="752"/>
      <c r="FL1761" s="752"/>
      <c r="FM1761" s="752"/>
      <c r="FN1761" s="752"/>
      <c r="FO1761" s="752"/>
      <c r="FP1761" s="752"/>
      <c r="FQ1761" s="752"/>
      <c r="FR1761" s="752"/>
      <c r="FS1761" s="752"/>
      <c r="FT1761" s="752"/>
      <c r="FU1761" s="752"/>
      <c r="FV1761" s="752"/>
      <c r="FW1761" s="752"/>
      <c r="FX1761" s="752"/>
      <c r="FY1761" s="752"/>
      <c r="FZ1761" s="752"/>
      <c r="GA1761" s="752"/>
      <c r="GB1761" s="752"/>
      <c r="GC1761" s="752"/>
      <c r="GD1761" s="752"/>
      <c r="GE1761" s="752"/>
      <c r="GF1761" s="752"/>
      <c r="GG1761" s="752"/>
      <c r="GH1761" s="752"/>
      <c r="GI1761" s="752"/>
      <c r="GJ1761" s="752"/>
      <c r="GK1761" s="752"/>
      <c r="GL1761" s="752"/>
      <c r="GM1761" s="752"/>
      <c r="GN1761" s="752"/>
      <c r="GO1761" s="752"/>
      <c r="GP1761" s="752"/>
      <c r="GQ1761" s="752"/>
      <c r="GR1761" s="752"/>
      <c r="GS1761" s="752"/>
      <c r="GT1761" s="752"/>
      <c r="GU1761" s="752"/>
      <c r="GV1761" s="752"/>
      <c r="GW1761" s="752"/>
      <c r="GX1761" s="752"/>
      <c r="GY1761" s="752"/>
      <c r="GZ1761" s="752"/>
      <c r="HA1761" s="752"/>
      <c r="HB1761" s="752"/>
      <c r="HC1761" s="752"/>
      <c r="HD1761" s="752"/>
      <c r="HE1761" s="752"/>
      <c r="HF1761" s="752"/>
      <c r="HG1761" s="752"/>
      <c r="HH1761" s="752"/>
      <c r="HI1761" s="752"/>
      <c r="HJ1761" s="752"/>
      <c r="HK1761" s="752"/>
      <c r="HL1761" s="752"/>
      <c r="HM1761" s="752"/>
      <c r="HN1761" s="752"/>
      <c r="HO1761" s="752"/>
      <c r="HP1761" s="752"/>
      <c r="HQ1761" s="752"/>
      <c r="HR1761" s="752"/>
      <c r="HS1761" s="752"/>
      <c r="HT1761" s="752"/>
      <c r="HU1761" s="752"/>
      <c r="HV1761" s="752"/>
      <c r="HW1761" s="752"/>
      <c r="HX1761" s="752"/>
      <c r="HY1761" s="752"/>
      <c r="HZ1761" s="752"/>
      <c r="IA1761" s="752"/>
      <c r="IB1761" s="752"/>
      <c r="IC1761" s="752"/>
      <c r="ID1761" s="752"/>
      <c r="IE1761" s="752"/>
      <c r="IF1761" s="752"/>
      <c r="IG1761" s="752"/>
      <c r="IH1761" s="752"/>
      <c r="II1761" s="752"/>
      <c r="IJ1761" s="752"/>
      <c r="IK1761" s="752"/>
      <c r="IL1761" s="752"/>
      <c r="IM1761" s="752"/>
      <c r="IN1761" s="752"/>
      <c r="IO1761" s="752"/>
    </row>
    <row r="1762" spans="1:249" ht="49.5">
      <c r="A1762" s="89"/>
      <c r="B1762" s="100"/>
      <c r="C1762" s="605">
        <v>3</v>
      </c>
      <c r="D1762" s="605" t="s">
        <v>34</v>
      </c>
      <c r="E1762" s="605" t="s">
        <v>39</v>
      </c>
      <c r="F1762" s="89">
        <v>17</v>
      </c>
      <c r="G1762" s="605">
        <v>79</v>
      </c>
      <c r="H1762" s="605"/>
      <c r="I1762" s="114" t="s">
        <v>1687</v>
      </c>
      <c r="J1762" s="124" t="s">
        <v>1688</v>
      </c>
      <c r="K1762" s="1239">
        <v>400</v>
      </c>
      <c r="L1762" s="125">
        <v>663466849</v>
      </c>
      <c r="M1762" s="91">
        <v>100</v>
      </c>
      <c r="N1762" s="805">
        <v>141403285</v>
      </c>
      <c r="O1762" s="91">
        <v>0</v>
      </c>
      <c r="P1762" s="805">
        <v>0</v>
      </c>
      <c r="Q1762" s="91">
        <v>0</v>
      </c>
      <c r="R1762" s="805">
        <v>0</v>
      </c>
      <c r="S1762" s="125"/>
      <c r="T1762" s="125"/>
      <c r="U1762" s="125"/>
      <c r="V1762" s="803"/>
      <c r="W1762" s="125"/>
      <c r="X1762" s="125"/>
      <c r="Y1762" s="125">
        <f t="shared" si="512"/>
        <v>0</v>
      </c>
      <c r="Z1762" s="125">
        <f t="shared" si="513"/>
        <v>0</v>
      </c>
      <c r="AA1762" s="1196">
        <f t="shared" si="514"/>
        <v>100</v>
      </c>
      <c r="AB1762" s="125">
        <f t="shared" si="515"/>
        <v>141403285</v>
      </c>
      <c r="AC1762" s="1196">
        <f t="shared" si="510"/>
        <v>25</v>
      </c>
      <c r="AD1762" s="1196">
        <f t="shared" si="511"/>
        <v>21.312788304815513</v>
      </c>
      <c r="AE1762" s="89"/>
      <c r="AF1762" s="750"/>
      <c r="AG1762" s="750"/>
      <c r="AH1762" s="750"/>
      <c r="AI1762" s="750"/>
      <c r="AJ1762" s="750"/>
      <c r="AK1762" s="750"/>
      <c r="AL1762" s="750"/>
      <c r="AM1762" s="750"/>
      <c r="AN1762" s="750"/>
      <c r="AO1762" s="750"/>
      <c r="AP1762" s="750"/>
      <c r="AQ1762" s="750"/>
      <c r="AR1762" s="750"/>
      <c r="AS1762" s="750"/>
      <c r="AT1762" s="750"/>
      <c r="AU1762" s="750"/>
      <c r="AV1762" s="750"/>
      <c r="AW1762" s="750"/>
      <c r="AX1762" s="750"/>
      <c r="AY1762" s="750"/>
      <c r="AZ1762" s="750"/>
      <c r="BA1762" s="750"/>
      <c r="BB1762" s="750"/>
      <c r="BC1762" s="752"/>
      <c r="BD1762" s="752"/>
      <c r="BE1762" s="752"/>
      <c r="BF1762" s="752"/>
      <c r="BG1762" s="752"/>
      <c r="BH1762" s="752"/>
      <c r="BI1762" s="752"/>
      <c r="BJ1762" s="752"/>
      <c r="BK1762" s="752"/>
      <c r="BL1762" s="752"/>
      <c r="BM1762" s="752"/>
      <c r="BN1762" s="752"/>
      <c r="BO1762" s="752"/>
      <c r="BP1762" s="752"/>
      <c r="BQ1762" s="752"/>
      <c r="BR1762" s="752"/>
      <c r="BS1762" s="752"/>
      <c r="BT1762" s="752"/>
      <c r="BU1762" s="752"/>
      <c r="BV1762" s="752"/>
      <c r="BW1762" s="752"/>
      <c r="BX1762" s="752"/>
      <c r="BY1762" s="752"/>
      <c r="BZ1762" s="752"/>
      <c r="CA1762" s="752"/>
      <c r="CB1762" s="752"/>
      <c r="CC1762" s="752"/>
      <c r="CD1762" s="752"/>
      <c r="CE1762" s="752"/>
      <c r="CF1762" s="752"/>
      <c r="CG1762" s="752"/>
      <c r="CH1762" s="752"/>
      <c r="CI1762" s="752"/>
      <c r="CJ1762" s="752"/>
      <c r="CK1762" s="752"/>
      <c r="CL1762" s="752"/>
      <c r="CM1762" s="752"/>
      <c r="CN1762" s="752"/>
      <c r="CO1762" s="752"/>
      <c r="CP1762" s="752"/>
      <c r="CQ1762" s="752"/>
      <c r="CR1762" s="752"/>
      <c r="CS1762" s="752"/>
      <c r="CT1762" s="752"/>
      <c r="CU1762" s="752"/>
      <c r="CV1762" s="752"/>
      <c r="CW1762" s="752"/>
      <c r="CX1762" s="752"/>
      <c r="CY1762" s="752"/>
      <c r="CZ1762" s="752"/>
      <c r="DA1762" s="752"/>
      <c r="DB1762" s="752"/>
      <c r="DC1762" s="752"/>
      <c r="DD1762" s="752"/>
      <c r="DE1762" s="752"/>
      <c r="DF1762" s="752"/>
      <c r="DG1762" s="752"/>
      <c r="DH1762" s="752"/>
      <c r="DI1762" s="752"/>
      <c r="DJ1762" s="752"/>
      <c r="DK1762" s="752"/>
      <c r="DL1762" s="752"/>
      <c r="DM1762" s="752"/>
      <c r="DN1762" s="752"/>
      <c r="DO1762" s="752"/>
      <c r="DP1762" s="752"/>
      <c r="DQ1762" s="752"/>
      <c r="DR1762" s="752"/>
      <c r="DS1762" s="752"/>
      <c r="DT1762" s="752"/>
      <c r="DU1762" s="752"/>
      <c r="DV1762" s="752"/>
      <c r="DW1762" s="752"/>
      <c r="DX1762" s="752"/>
      <c r="DY1762" s="752"/>
      <c r="DZ1762" s="752"/>
      <c r="EA1762" s="752"/>
      <c r="EB1762" s="752"/>
      <c r="EC1762" s="752"/>
      <c r="ED1762" s="752"/>
      <c r="EE1762" s="752"/>
      <c r="EF1762" s="752"/>
      <c r="EG1762" s="752"/>
      <c r="EH1762" s="752"/>
      <c r="EI1762" s="752"/>
      <c r="EJ1762" s="752"/>
      <c r="EK1762" s="752"/>
      <c r="EL1762" s="752"/>
      <c r="EM1762" s="752"/>
      <c r="EN1762" s="752"/>
      <c r="EO1762" s="752"/>
      <c r="EP1762" s="752"/>
      <c r="EQ1762" s="752"/>
      <c r="ER1762" s="752"/>
      <c r="ES1762" s="752"/>
      <c r="ET1762" s="752"/>
      <c r="EU1762" s="752"/>
      <c r="EV1762" s="752"/>
      <c r="EW1762" s="752"/>
      <c r="EX1762" s="752"/>
      <c r="EY1762" s="752"/>
      <c r="EZ1762" s="752"/>
      <c r="FA1762" s="752"/>
      <c r="FB1762" s="752"/>
      <c r="FC1762" s="752"/>
      <c r="FD1762" s="752"/>
      <c r="FE1762" s="752"/>
      <c r="FF1762" s="752"/>
      <c r="FG1762" s="752"/>
      <c r="FH1762" s="752"/>
      <c r="FI1762" s="752"/>
      <c r="FJ1762" s="752"/>
      <c r="FK1762" s="752"/>
      <c r="FL1762" s="752"/>
      <c r="FM1762" s="752"/>
      <c r="FN1762" s="752"/>
      <c r="FO1762" s="752"/>
      <c r="FP1762" s="752"/>
      <c r="FQ1762" s="752"/>
      <c r="FR1762" s="752"/>
      <c r="FS1762" s="752"/>
      <c r="FT1762" s="752"/>
      <c r="FU1762" s="752"/>
      <c r="FV1762" s="752"/>
      <c r="FW1762" s="752"/>
      <c r="FX1762" s="752"/>
      <c r="FY1762" s="752"/>
      <c r="FZ1762" s="752"/>
      <c r="GA1762" s="752"/>
      <c r="GB1762" s="752"/>
      <c r="GC1762" s="752"/>
      <c r="GD1762" s="752"/>
      <c r="GE1762" s="752"/>
      <c r="GF1762" s="752"/>
      <c r="GG1762" s="752"/>
      <c r="GH1762" s="752"/>
      <c r="GI1762" s="752"/>
      <c r="GJ1762" s="752"/>
      <c r="GK1762" s="752"/>
      <c r="GL1762" s="752"/>
      <c r="GM1762" s="752"/>
      <c r="GN1762" s="752"/>
      <c r="GO1762" s="752"/>
      <c r="GP1762" s="752"/>
      <c r="GQ1762" s="752"/>
      <c r="GR1762" s="752"/>
      <c r="GS1762" s="752"/>
      <c r="GT1762" s="752"/>
      <c r="GU1762" s="752"/>
      <c r="GV1762" s="752"/>
      <c r="GW1762" s="752"/>
      <c r="GX1762" s="752"/>
      <c r="GY1762" s="752"/>
      <c r="GZ1762" s="752"/>
      <c r="HA1762" s="752"/>
      <c r="HB1762" s="752"/>
      <c r="HC1762" s="752"/>
      <c r="HD1762" s="752"/>
      <c r="HE1762" s="752"/>
      <c r="HF1762" s="752"/>
      <c r="HG1762" s="752"/>
      <c r="HH1762" s="752"/>
      <c r="HI1762" s="752"/>
      <c r="HJ1762" s="752"/>
      <c r="HK1762" s="752"/>
      <c r="HL1762" s="752"/>
      <c r="HM1762" s="752"/>
      <c r="HN1762" s="752"/>
      <c r="HO1762" s="752"/>
      <c r="HP1762" s="752"/>
      <c r="HQ1762" s="752"/>
      <c r="HR1762" s="752"/>
      <c r="HS1762" s="752"/>
      <c r="HT1762" s="752"/>
      <c r="HU1762" s="752"/>
      <c r="HV1762" s="752"/>
      <c r="HW1762" s="752"/>
      <c r="HX1762" s="752"/>
      <c r="HY1762" s="752"/>
      <c r="HZ1762" s="752"/>
      <c r="IA1762" s="752"/>
      <c r="IB1762" s="752"/>
      <c r="IC1762" s="752"/>
      <c r="ID1762" s="752"/>
      <c r="IE1762" s="752"/>
      <c r="IF1762" s="752"/>
      <c r="IG1762" s="752"/>
      <c r="IH1762" s="752"/>
      <c r="II1762" s="752"/>
      <c r="IJ1762" s="752"/>
      <c r="IK1762" s="752"/>
      <c r="IL1762" s="752"/>
      <c r="IM1762" s="752"/>
      <c r="IN1762" s="752"/>
      <c r="IO1762" s="752"/>
    </row>
    <row r="1763" spans="1:249" ht="33">
      <c r="A1763" s="89"/>
      <c r="B1763" s="100"/>
      <c r="C1763" s="605">
        <v>3</v>
      </c>
      <c r="D1763" s="605" t="s">
        <v>34</v>
      </c>
      <c r="E1763" s="605" t="s">
        <v>39</v>
      </c>
      <c r="F1763" s="89">
        <v>17</v>
      </c>
      <c r="G1763" s="605">
        <v>80</v>
      </c>
      <c r="H1763" s="605"/>
      <c r="I1763" s="114" t="s">
        <v>1689</v>
      </c>
      <c r="J1763" s="124" t="s">
        <v>1690</v>
      </c>
      <c r="K1763" s="1239">
        <v>180</v>
      </c>
      <c r="L1763" s="125">
        <v>319077313</v>
      </c>
      <c r="M1763" s="91">
        <v>45</v>
      </c>
      <c r="N1763" s="805">
        <v>98949526</v>
      </c>
      <c r="O1763" s="91">
        <v>0</v>
      </c>
      <c r="P1763" s="805">
        <v>0</v>
      </c>
      <c r="Q1763" s="91">
        <v>0</v>
      </c>
      <c r="R1763" s="805">
        <v>0</v>
      </c>
      <c r="S1763" s="125"/>
      <c r="T1763" s="125"/>
      <c r="U1763" s="125"/>
      <c r="V1763" s="803"/>
      <c r="W1763" s="125"/>
      <c r="X1763" s="125"/>
      <c r="Y1763" s="125">
        <f t="shared" si="512"/>
        <v>0</v>
      </c>
      <c r="Z1763" s="125">
        <f t="shared" si="513"/>
        <v>0</v>
      </c>
      <c r="AA1763" s="1196">
        <f t="shared" si="514"/>
        <v>45</v>
      </c>
      <c r="AB1763" s="125">
        <f t="shared" si="515"/>
        <v>98949526</v>
      </c>
      <c r="AC1763" s="1196">
        <f t="shared" si="510"/>
        <v>25</v>
      </c>
      <c r="AD1763" s="1196">
        <f t="shared" si="511"/>
        <v>31.011144311598237</v>
      </c>
      <c r="AE1763" s="89"/>
      <c r="AF1763" s="750"/>
      <c r="AG1763" s="750"/>
      <c r="AH1763" s="750"/>
      <c r="AI1763" s="750"/>
      <c r="AJ1763" s="750"/>
      <c r="AK1763" s="750"/>
      <c r="AL1763" s="750"/>
      <c r="AM1763" s="750"/>
      <c r="AN1763" s="750"/>
      <c r="AO1763" s="750"/>
      <c r="AP1763" s="750"/>
      <c r="AQ1763" s="750"/>
      <c r="AR1763" s="750"/>
      <c r="AS1763" s="750"/>
      <c r="AT1763" s="750"/>
      <c r="AU1763" s="750"/>
      <c r="AV1763" s="750"/>
      <c r="AW1763" s="750"/>
      <c r="AX1763" s="750"/>
      <c r="AY1763" s="750"/>
      <c r="AZ1763" s="750"/>
      <c r="BA1763" s="750"/>
      <c r="BB1763" s="750"/>
      <c r="BC1763" s="752"/>
      <c r="BD1763" s="752"/>
      <c r="BE1763" s="752"/>
      <c r="BF1763" s="752"/>
      <c r="BG1763" s="752"/>
      <c r="BH1763" s="752"/>
      <c r="BI1763" s="752"/>
      <c r="BJ1763" s="752"/>
      <c r="BK1763" s="752"/>
      <c r="BL1763" s="752"/>
      <c r="BM1763" s="752"/>
      <c r="BN1763" s="752"/>
      <c r="BO1763" s="752"/>
      <c r="BP1763" s="752"/>
      <c r="BQ1763" s="752"/>
      <c r="BR1763" s="752"/>
      <c r="BS1763" s="752"/>
      <c r="BT1763" s="752"/>
      <c r="BU1763" s="752"/>
      <c r="BV1763" s="752"/>
      <c r="BW1763" s="752"/>
      <c r="BX1763" s="752"/>
      <c r="BY1763" s="752"/>
      <c r="BZ1763" s="752"/>
      <c r="CA1763" s="752"/>
      <c r="CB1763" s="752"/>
      <c r="CC1763" s="752"/>
      <c r="CD1763" s="752"/>
      <c r="CE1763" s="752"/>
      <c r="CF1763" s="752"/>
      <c r="CG1763" s="752"/>
      <c r="CH1763" s="752"/>
      <c r="CI1763" s="752"/>
      <c r="CJ1763" s="752"/>
      <c r="CK1763" s="752"/>
      <c r="CL1763" s="752"/>
      <c r="CM1763" s="752"/>
      <c r="CN1763" s="752"/>
      <c r="CO1763" s="752"/>
      <c r="CP1763" s="752"/>
      <c r="CQ1763" s="752"/>
      <c r="CR1763" s="752"/>
      <c r="CS1763" s="752"/>
      <c r="CT1763" s="752"/>
      <c r="CU1763" s="752"/>
      <c r="CV1763" s="752"/>
      <c r="CW1763" s="752"/>
      <c r="CX1763" s="752"/>
      <c r="CY1763" s="752"/>
      <c r="CZ1763" s="752"/>
      <c r="DA1763" s="752"/>
      <c r="DB1763" s="752"/>
      <c r="DC1763" s="752"/>
      <c r="DD1763" s="752"/>
      <c r="DE1763" s="752"/>
      <c r="DF1763" s="752"/>
      <c r="DG1763" s="752"/>
      <c r="DH1763" s="752"/>
      <c r="DI1763" s="752"/>
      <c r="DJ1763" s="752"/>
      <c r="DK1763" s="752"/>
      <c r="DL1763" s="752"/>
      <c r="DM1763" s="752"/>
      <c r="DN1763" s="752"/>
      <c r="DO1763" s="752"/>
      <c r="DP1763" s="752"/>
      <c r="DQ1763" s="752"/>
      <c r="DR1763" s="752"/>
      <c r="DS1763" s="752"/>
      <c r="DT1763" s="752"/>
      <c r="DU1763" s="752"/>
      <c r="DV1763" s="752"/>
      <c r="DW1763" s="752"/>
      <c r="DX1763" s="752"/>
      <c r="DY1763" s="752"/>
      <c r="DZ1763" s="752"/>
      <c r="EA1763" s="752"/>
      <c r="EB1763" s="752"/>
      <c r="EC1763" s="752"/>
      <c r="ED1763" s="752"/>
      <c r="EE1763" s="752"/>
      <c r="EF1763" s="752"/>
      <c r="EG1763" s="752"/>
      <c r="EH1763" s="752"/>
      <c r="EI1763" s="752"/>
      <c r="EJ1763" s="752"/>
      <c r="EK1763" s="752"/>
      <c r="EL1763" s="752"/>
      <c r="EM1763" s="752"/>
      <c r="EN1763" s="752"/>
      <c r="EO1763" s="752"/>
      <c r="EP1763" s="752"/>
      <c r="EQ1763" s="752"/>
      <c r="ER1763" s="752"/>
      <c r="ES1763" s="752"/>
      <c r="ET1763" s="752"/>
      <c r="EU1763" s="752"/>
      <c r="EV1763" s="752"/>
      <c r="EW1763" s="752"/>
      <c r="EX1763" s="752"/>
      <c r="EY1763" s="752"/>
      <c r="EZ1763" s="752"/>
      <c r="FA1763" s="752"/>
      <c r="FB1763" s="752"/>
      <c r="FC1763" s="752"/>
      <c r="FD1763" s="752"/>
      <c r="FE1763" s="752"/>
      <c r="FF1763" s="752"/>
      <c r="FG1763" s="752"/>
      <c r="FH1763" s="752"/>
      <c r="FI1763" s="752"/>
      <c r="FJ1763" s="752"/>
      <c r="FK1763" s="752"/>
      <c r="FL1763" s="752"/>
      <c r="FM1763" s="752"/>
      <c r="FN1763" s="752"/>
      <c r="FO1763" s="752"/>
      <c r="FP1763" s="752"/>
      <c r="FQ1763" s="752"/>
      <c r="FR1763" s="752"/>
      <c r="FS1763" s="752"/>
      <c r="FT1763" s="752"/>
      <c r="FU1763" s="752"/>
      <c r="FV1763" s="752"/>
      <c r="FW1763" s="752"/>
      <c r="FX1763" s="752"/>
      <c r="FY1763" s="752"/>
      <c r="FZ1763" s="752"/>
      <c r="GA1763" s="752"/>
      <c r="GB1763" s="752"/>
      <c r="GC1763" s="752"/>
      <c r="GD1763" s="752"/>
      <c r="GE1763" s="752"/>
      <c r="GF1763" s="752"/>
      <c r="GG1763" s="752"/>
      <c r="GH1763" s="752"/>
      <c r="GI1763" s="752"/>
      <c r="GJ1763" s="752"/>
      <c r="GK1763" s="752"/>
      <c r="GL1763" s="752"/>
      <c r="GM1763" s="752"/>
      <c r="GN1763" s="752"/>
      <c r="GO1763" s="752"/>
      <c r="GP1763" s="752"/>
      <c r="GQ1763" s="752"/>
      <c r="GR1763" s="752"/>
      <c r="GS1763" s="752"/>
      <c r="GT1763" s="752"/>
      <c r="GU1763" s="752"/>
      <c r="GV1763" s="752"/>
      <c r="GW1763" s="752"/>
      <c r="GX1763" s="752"/>
      <c r="GY1763" s="752"/>
      <c r="GZ1763" s="752"/>
      <c r="HA1763" s="752"/>
      <c r="HB1763" s="752"/>
      <c r="HC1763" s="752"/>
      <c r="HD1763" s="752"/>
      <c r="HE1763" s="752"/>
      <c r="HF1763" s="752"/>
      <c r="HG1763" s="752"/>
      <c r="HH1763" s="752"/>
      <c r="HI1763" s="752"/>
      <c r="HJ1763" s="752"/>
      <c r="HK1763" s="752"/>
      <c r="HL1763" s="752"/>
      <c r="HM1763" s="752"/>
      <c r="HN1763" s="752"/>
      <c r="HO1763" s="752"/>
      <c r="HP1763" s="752"/>
      <c r="HQ1763" s="752"/>
      <c r="HR1763" s="752"/>
      <c r="HS1763" s="752"/>
      <c r="HT1763" s="752"/>
      <c r="HU1763" s="752"/>
      <c r="HV1763" s="752"/>
      <c r="HW1763" s="752"/>
      <c r="HX1763" s="752"/>
      <c r="HY1763" s="752"/>
      <c r="HZ1763" s="752"/>
      <c r="IA1763" s="752"/>
      <c r="IB1763" s="752"/>
      <c r="IC1763" s="752"/>
      <c r="ID1763" s="752"/>
      <c r="IE1763" s="752"/>
      <c r="IF1763" s="752"/>
      <c r="IG1763" s="752"/>
      <c r="IH1763" s="752"/>
      <c r="II1763" s="752"/>
      <c r="IJ1763" s="752"/>
      <c r="IK1763" s="752"/>
      <c r="IL1763" s="752"/>
      <c r="IM1763" s="752"/>
      <c r="IN1763" s="752"/>
      <c r="IO1763" s="752"/>
    </row>
    <row r="1764" spans="1:249" ht="49.5">
      <c r="A1764" s="89"/>
      <c r="B1764" s="100"/>
      <c r="C1764" s="605">
        <v>3</v>
      </c>
      <c r="D1764" s="605" t="s">
        <v>34</v>
      </c>
      <c r="E1764" s="605" t="s">
        <v>39</v>
      </c>
      <c r="F1764" s="89">
        <v>17</v>
      </c>
      <c r="G1764" s="605">
        <v>82</v>
      </c>
      <c r="H1764" s="605"/>
      <c r="I1764" s="114" t="s">
        <v>1691</v>
      </c>
      <c r="J1764" s="124" t="s">
        <v>3233</v>
      </c>
      <c r="K1764" s="1239">
        <v>6</v>
      </c>
      <c r="L1764" s="125">
        <v>285087356</v>
      </c>
      <c r="M1764" s="91">
        <v>3</v>
      </c>
      <c r="N1764" s="805">
        <v>19508029</v>
      </c>
      <c r="O1764" s="91">
        <v>0</v>
      </c>
      <c r="P1764" s="805">
        <v>0</v>
      </c>
      <c r="Q1764" s="91">
        <v>0</v>
      </c>
      <c r="R1764" s="805">
        <v>0</v>
      </c>
      <c r="S1764" s="125"/>
      <c r="T1764" s="125"/>
      <c r="U1764" s="125"/>
      <c r="V1764" s="803"/>
      <c r="W1764" s="125"/>
      <c r="X1764" s="125"/>
      <c r="Y1764" s="125">
        <f t="shared" si="512"/>
        <v>0</v>
      </c>
      <c r="Z1764" s="125">
        <f t="shared" si="513"/>
        <v>0</v>
      </c>
      <c r="AA1764" s="1196">
        <f t="shared" si="514"/>
        <v>3</v>
      </c>
      <c r="AB1764" s="125">
        <f t="shared" si="515"/>
        <v>19508029</v>
      </c>
      <c r="AC1764" s="1196">
        <f t="shared" si="510"/>
        <v>50</v>
      </c>
      <c r="AD1764" s="1196">
        <f t="shared" si="511"/>
        <v>6.8428250462289881</v>
      </c>
      <c r="AE1764" s="89"/>
      <c r="AF1764" s="750"/>
      <c r="AG1764" s="750"/>
      <c r="AH1764" s="750"/>
      <c r="AI1764" s="750"/>
      <c r="AJ1764" s="750"/>
      <c r="AK1764" s="750"/>
      <c r="AL1764" s="750"/>
      <c r="AM1764" s="750"/>
      <c r="AN1764" s="750"/>
      <c r="AO1764" s="750"/>
      <c r="AP1764" s="750"/>
      <c r="AQ1764" s="750"/>
      <c r="AR1764" s="750"/>
      <c r="AS1764" s="750"/>
      <c r="AT1764" s="750"/>
      <c r="AU1764" s="750"/>
      <c r="AV1764" s="750"/>
      <c r="AW1764" s="750"/>
      <c r="AX1764" s="750"/>
      <c r="AY1764" s="750"/>
      <c r="AZ1764" s="750"/>
      <c r="BA1764" s="750"/>
      <c r="BB1764" s="750"/>
      <c r="BC1764" s="752"/>
      <c r="BD1764" s="752"/>
      <c r="BE1764" s="752"/>
      <c r="BF1764" s="752"/>
      <c r="BG1764" s="752"/>
      <c r="BH1764" s="752"/>
      <c r="BI1764" s="752"/>
      <c r="BJ1764" s="752"/>
      <c r="BK1764" s="752"/>
      <c r="BL1764" s="752"/>
      <c r="BM1764" s="752"/>
      <c r="BN1764" s="752"/>
      <c r="BO1764" s="752"/>
      <c r="BP1764" s="752"/>
      <c r="BQ1764" s="752"/>
      <c r="BR1764" s="752"/>
      <c r="BS1764" s="752"/>
      <c r="BT1764" s="752"/>
      <c r="BU1764" s="752"/>
      <c r="BV1764" s="752"/>
      <c r="BW1764" s="752"/>
      <c r="BX1764" s="752"/>
      <c r="BY1764" s="752"/>
      <c r="BZ1764" s="752"/>
      <c r="CA1764" s="752"/>
      <c r="CB1764" s="752"/>
      <c r="CC1764" s="752"/>
      <c r="CD1764" s="752"/>
      <c r="CE1764" s="752"/>
      <c r="CF1764" s="752"/>
      <c r="CG1764" s="752"/>
      <c r="CH1764" s="752"/>
      <c r="CI1764" s="752"/>
      <c r="CJ1764" s="752"/>
      <c r="CK1764" s="752"/>
      <c r="CL1764" s="752"/>
      <c r="CM1764" s="752"/>
      <c r="CN1764" s="752"/>
      <c r="CO1764" s="752"/>
      <c r="CP1764" s="752"/>
      <c r="CQ1764" s="752"/>
      <c r="CR1764" s="752"/>
      <c r="CS1764" s="752"/>
      <c r="CT1764" s="752"/>
      <c r="CU1764" s="752"/>
      <c r="CV1764" s="752"/>
      <c r="CW1764" s="752"/>
      <c r="CX1764" s="752"/>
      <c r="CY1764" s="752"/>
      <c r="CZ1764" s="752"/>
      <c r="DA1764" s="752"/>
      <c r="DB1764" s="752"/>
      <c r="DC1764" s="752"/>
      <c r="DD1764" s="752"/>
      <c r="DE1764" s="752"/>
      <c r="DF1764" s="752"/>
      <c r="DG1764" s="752"/>
      <c r="DH1764" s="752"/>
      <c r="DI1764" s="752"/>
      <c r="DJ1764" s="752"/>
      <c r="DK1764" s="752"/>
      <c r="DL1764" s="752"/>
      <c r="DM1764" s="752"/>
      <c r="DN1764" s="752"/>
      <c r="DO1764" s="752"/>
      <c r="DP1764" s="752"/>
      <c r="DQ1764" s="752"/>
      <c r="DR1764" s="752"/>
      <c r="DS1764" s="752"/>
      <c r="DT1764" s="752"/>
      <c r="DU1764" s="752"/>
      <c r="DV1764" s="752"/>
      <c r="DW1764" s="752"/>
      <c r="DX1764" s="752"/>
      <c r="DY1764" s="752"/>
      <c r="DZ1764" s="752"/>
      <c r="EA1764" s="752"/>
      <c r="EB1764" s="752"/>
      <c r="EC1764" s="752"/>
      <c r="ED1764" s="752"/>
      <c r="EE1764" s="752"/>
      <c r="EF1764" s="752"/>
      <c r="EG1764" s="752"/>
      <c r="EH1764" s="752"/>
      <c r="EI1764" s="752"/>
      <c r="EJ1764" s="752"/>
      <c r="EK1764" s="752"/>
      <c r="EL1764" s="752"/>
      <c r="EM1764" s="752"/>
      <c r="EN1764" s="752"/>
      <c r="EO1764" s="752"/>
      <c r="EP1764" s="752"/>
      <c r="EQ1764" s="752"/>
      <c r="ER1764" s="752"/>
      <c r="ES1764" s="752"/>
      <c r="ET1764" s="752"/>
      <c r="EU1764" s="752"/>
      <c r="EV1764" s="752"/>
      <c r="EW1764" s="752"/>
      <c r="EX1764" s="752"/>
      <c r="EY1764" s="752"/>
      <c r="EZ1764" s="752"/>
      <c r="FA1764" s="752"/>
      <c r="FB1764" s="752"/>
      <c r="FC1764" s="752"/>
      <c r="FD1764" s="752"/>
      <c r="FE1764" s="752"/>
      <c r="FF1764" s="752"/>
      <c r="FG1764" s="752"/>
      <c r="FH1764" s="752"/>
      <c r="FI1764" s="752"/>
      <c r="FJ1764" s="752"/>
      <c r="FK1764" s="752"/>
      <c r="FL1764" s="752"/>
      <c r="FM1764" s="752"/>
      <c r="FN1764" s="752"/>
      <c r="FO1764" s="752"/>
      <c r="FP1764" s="752"/>
      <c r="FQ1764" s="752"/>
      <c r="FR1764" s="752"/>
      <c r="FS1764" s="752"/>
      <c r="FT1764" s="752"/>
      <c r="FU1764" s="752"/>
      <c r="FV1764" s="752"/>
      <c r="FW1764" s="752"/>
      <c r="FX1764" s="752"/>
      <c r="FY1764" s="752"/>
      <c r="FZ1764" s="752"/>
      <c r="GA1764" s="752"/>
      <c r="GB1764" s="752"/>
      <c r="GC1764" s="752"/>
      <c r="GD1764" s="752"/>
      <c r="GE1764" s="752"/>
      <c r="GF1764" s="752"/>
      <c r="GG1764" s="752"/>
      <c r="GH1764" s="752"/>
      <c r="GI1764" s="752"/>
      <c r="GJ1764" s="752"/>
      <c r="GK1764" s="752"/>
      <c r="GL1764" s="752"/>
      <c r="GM1764" s="752"/>
      <c r="GN1764" s="752"/>
      <c r="GO1764" s="752"/>
      <c r="GP1764" s="752"/>
      <c r="GQ1764" s="752"/>
      <c r="GR1764" s="752"/>
      <c r="GS1764" s="752"/>
      <c r="GT1764" s="752"/>
      <c r="GU1764" s="752"/>
      <c r="GV1764" s="752"/>
      <c r="GW1764" s="752"/>
      <c r="GX1764" s="752"/>
      <c r="GY1764" s="752"/>
      <c r="GZ1764" s="752"/>
      <c r="HA1764" s="752"/>
      <c r="HB1764" s="752"/>
      <c r="HC1764" s="752"/>
      <c r="HD1764" s="752"/>
      <c r="HE1764" s="752"/>
      <c r="HF1764" s="752"/>
      <c r="HG1764" s="752"/>
      <c r="HH1764" s="752"/>
      <c r="HI1764" s="752"/>
      <c r="HJ1764" s="752"/>
      <c r="HK1764" s="752"/>
      <c r="HL1764" s="752"/>
      <c r="HM1764" s="752"/>
      <c r="HN1764" s="752"/>
      <c r="HO1764" s="752"/>
      <c r="HP1764" s="752"/>
      <c r="HQ1764" s="752"/>
      <c r="HR1764" s="752"/>
      <c r="HS1764" s="752"/>
      <c r="HT1764" s="752"/>
      <c r="HU1764" s="752"/>
      <c r="HV1764" s="752"/>
      <c r="HW1764" s="752"/>
      <c r="HX1764" s="752"/>
      <c r="HY1764" s="752"/>
      <c r="HZ1764" s="752"/>
      <c r="IA1764" s="752"/>
      <c r="IB1764" s="752"/>
      <c r="IC1764" s="752"/>
      <c r="ID1764" s="752"/>
      <c r="IE1764" s="752"/>
      <c r="IF1764" s="752"/>
      <c r="IG1764" s="752"/>
      <c r="IH1764" s="752"/>
      <c r="II1764" s="752"/>
      <c r="IJ1764" s="752"/>
      <c r="IK1764" s="752"/>
      <c r="IL1764" s="752"/>
      <c r="IM1764" s="752"/>
      <c r="IN1764" s="752"/>
      <c r="IO1764" s="752"/>
    </row>
    <row r="1765" spans="1:249" ht="33">
      <c r="A1765" s="89"/>
      <c r="B1765" s="100"/>
      <c r="C1765" s="605">
        <v>3</v>
      </c>
      <c r="D1765" s="605" t="s">
        <v>34</v>
      </c>
      <c r="E1765" s="605" t="s">
        <v>39</v>
      </c>
      <c r="F1765" s="89">
        <v>17</v>
      </c>
      <c r="G1765" s="605">
        <v>83</v>
      </c>
      <c r="H1765" s="605"/>
      <c r="I1765" s="114" t="s">
        <v>1692</v>
      </c>
      <c r="J1765" s="124" t="s">
        <v>3234</v>
      </c>
      <c r="K1765" s="1239">
        <v>12</v>
      </c>
      <c r="L1765" s="125">
        <v>405789327</v>
      </c>
      <c r="M1765" s="91">
        <v>6</v>
      </c>
      <c r="N1765" s="805">
        <v>54906079</v>
      </c>
      <c r="O1765" s="91">
        <v>2</v>
      </c>
      <c r="P1765" s="805">
        <v>0</v>
      </c>
      <c r="Q1765" s="91">
        <v>0</v>
      </c>
      <c r="R1765" s="805">
        <v>0</v>
      </c>
      <c r="S1765" s="125"/>
      <c r="T1765" s="125"/>
      <c r="U1765" s="125"/>
      <c r="V1765" s="803"/>
      <c r="W1765" s="125"/>
      <c r="X1765" s="125"/>
      <c r="Y1765" s="125">
        <f t="shared" si="512"/>
        <v>0</v>
      </c>
      <c r="Z1765" s="125">
        <f t="shared" si="513"/>
        <v>0</v>
      </c>
      <c r="AA1765" s="1196">
        <f t="shared" si="514"/>
        <v>6</v>
      </c>
      <c r="AB1765" s="125">
        <f t="shared" si="515"/>
        <v>54906079</v>
      </c>
      <c r="AC1765" s="1196">
        <f t="shared" si="510"/>
        <v>50</v>
      </c>
      <c r="AD1765" s="1196">
        <f t="shared" si="511"/>
        <v>13.530685837875673</v>
      </c>
      <c r="AE1765" s="89"/>
      <c r="AF1765" s="750"/>
      <c r="AG1765" s="750"/>
      <c r="AH1765" s="750"/>
      <c r="AI1765" s="750"/>
      <c r="AJ1765" s="750"/>
      <c r="AK1765" s="750"/>
      <c r="AL1765" s="750"/>
      <c r="AM1765" s="750"/>
      <c r="AN1765" s="750"/>
      <c r="AO1765" s="750"/>
      <c r="AP1765" s="750"/>
      <c r="AQ1765" s="750"/>
      <c r="AR1765" s="750"/>
      <c r="AS1765" s="750"/>
      <c r="AT1765" s="750"/>
      <c r="AU1765" s="750"/>
      <c r="AV1765" s="750"/>
      <c r="AW1765" s="750"/>
      <c r="AX1765" s="750"/>
      <c r="AY1765" s="750"/>
      <c r="AZ1765" s="750"/>
      <c r="BA1765" s="750"/>
      <c r="BB1765" s="750"/>
      <c r="BC1765" s="752"/>
      <c r="BD1765" s="752"/>
      <c r="BE1765" s="752"/>
      <c r="BF1765" s="752"/>
      <c r="BG1765" s="752"/>
      <c r="BH1765" s="752"/>
      <c r="BI1765" s="752"/>
      <c r="BJ1765" s="752"/>
      <c r="BK1765" s="752"/>
      <c r="BL1765" s="752"/>
      <c r="BM1765" s="752"/>
      <c r="BN1765" s="752"/>
      <c r="BO1765" s="752"/>
      <c r="BP1765" s="752"/>
      <c r="BQ1765" s="752"/>
      <c r="BR1765" s="752"/>
      <c r="BS1765" s="752"/>
      <c r="BT1765" s="752"/>
      <c r="BU1765" s="752"/>
      <c r="BV1765" s="752"/>
      <c r="BW1765" s="752"/>
      <c r="BX1765" s="752"/>
      <c r="BY1765" s="752"/>
      <c r="BZ1765" s="752"/>
      <c r="CA1765" s="752"/>
      <c r="CB1765" s="752"/>
      <c r="CC1765" s="752"/>
      <c r="CD1765" s="752"/>
      <c r="CE1765" s="752"/>
      <c r="CF1765" s="752"/>
      <c r="CG1765" s="752"/>
      <c r="CH1765" s="752"/>
      <c r="CI1765" s="752"/>
      <c r="CJ1765" s="752"/>
      <c r="CK1765" s="752"/>
      <c r="CL1765" s="752"/>
      <c r="CM1765" s="752"/>
      <c r="CN1765" s="752"/>
      <c r="CO1765" s="752"/>
      <c r="CP1765" s="752"/>
      <c r="CQ1765" s="752"/>
      <c r="CR1765" s="752"/>
      <c r="CS1765" s="752"/>
      <c r="CT1765" s="752"/>
      <c r="CU1765" s="752"/>
      <c r="CV1765" s="752"/>
      <c r="CW1765" s="752"/>
      <c r="CX1765" s="752"/>
      <c r="CY1765" s="752"/>
      <c r="CZ1765" s="752"/>
      <c r="DA1765" s="752"/>
      <c r="DB1765" s="752"/>
      <c r="DC1765" s="752"/>
      <c r="DD1765" s="752"/>
      <c r="DE1765" s="752"/>
      <c r="DF1765" s="752"/>
      <c r="DG1765" s="752"/>
      <c r="DH1765" s="752"/>
      <c r="DI1765" s="752"/>
      <c r="DJ1765" s="752"/>
      <c r="DK1765" s="752"/>
      <c r="DL1765" s="752"/>
      <c r="DM1765" s="752"/>
      <c r="DN1765" s="752"/>
      <c r="DO1765" s="752"/>
      <c r="DP1765" s="752"/>
      <c r="DQ1765" s="752"/>
      <c r="DR1765" s="752"/>
      <c r="DS1765" s="752"/>
      <c r="DT1765" s="752"/>
      <c r="DU1765" s="752"/>
      <c r="DV1765" s="752"/>
      <c r="DW1765" s="752"/>
      <c r="DX1765" s="752"/>
      <c r="DY1765" s="752"/>
      <c r="DZ1765" s="752"/>
      <c r="EA1765" s="752"/>
      <c r="EB1765" s="752"/>
      <c r="EC1765" s="752"/>
      <c r="ED1765" s="752"/>
      <c r="EE1765" s="752"/>
      <c r="EF1765" s="752"/>
      <c r="EG1765" s="752"/>
      <c r="EH1765" s="752"/>
      <c r="EI1765" s="752"/>
      <c r="EJ1765" s="752"/>
      <c r="EK1765" s="752"/>
      <c r="EL1765" s="752"/>
      <c r="EM1765" s="752"/>
      <c r="EN1765" s="752"/>
      <c r="EO1765" s="752"/>
      <c r="EP1765" s="752"/>
      <c r="EQ1765" s="752"/>
      <c r="ER1765" s="752"/>
      <c r="ES1765" s="752"/>
      <c r="ET1765" s="752"/>
      <c r="EU1765" s="752"/>
      <c r="EV1765" s="752"/>
      <c r="EW1765" s="752"/>
      <c r="EX1765" s="752"/>
      <c r="EY1765" s="752"/>
      <c r="EZ1765" s="752"/>
      <c r="FA1765" s="752"/>
      <c r="FB1765" s="752"/>
      <c r="FC1765" s="752"/>
      <c r="FD1765" s="752"/>
      <c r="FE1765" s="752"/>
      <c r="FF1765" s="752"/>
      <c r="FG1765" s="752"/>
      <c r="FH1765" s="752"/>
      <c r="FI1765" s="752"/>
      <c r="FJ1765" s="752"/>
      <c r="FK1765" s="752"/>
      <c r="FL1765" s="752"/>
      <c r="FM1765" s="752"/>
      <c r="FN1765" s="752"/>
      <c r="FO1765" s="752"/>
      <c r="FP1765" s="752"/>
      <c r="FQ1765" s="752"/>
      <c r="FR1765" s="752"/>
      <c r="FS1765" s="752"/>
      <c r="FT1765" s="752"/>
      <c r="FU1765" s="752"/>
      <c r="FV1765" s="752"/>
      <c r="FW1765" s="752"/>
      <c r="FX1765" s="752"/>
      <c r="FY1765" s="752"/>
      <c r="FZ1765" s="752"/>
      <c r="GA1765" s="752"/>
      <c r="GB1765" s="752"/>
      <c r="GC1765" s="752"/>
      <c r="GD1765" s="752"/>
      <c r="GE1765" s="752"/>
      <c r="GF1765" s="752"/>
      <c r="GG1765" s="752"/>
      <c r="GH1765" s="752"/>
      <c r="GI1765" s="752"/>
      <c r="GJ1765" s="752"/>
      <c r="GK1765" s="752"/>
      <c r="GL1765" s="752"/>
      <c r="GM1765" s="752"/>
      <c r="GN1765" s="752"/>
      <c r="GO1765" s="752"/>
      <c r="GP1765" s="752"/>
      <c r="GQ1765" s="752"/>
      <c r="GR1765" s="752"/>
      <c r="GS1765" s="752"/>
      <c r="GT1765" s="752"/>
      <c r="GU1765" s="752"/>
      <c r="GV1765" s="752"/>
      <c r="GW1765" s="752"/>
      <c r="GX1765" s="752"/>
      <c r="GY1765" s="752"/>
      <c r="GZ1765" s="752"/>
      <c r="HA1765" s="752"/>
      <c r="HB1765" s="752"/>
      <c r="HC1765" s="752"/>
      <c r="HD1765" s="752"/>
      <c r="HE1765" s="752"/>
      <c r="HF1765" s="752"/>
      <c r="HG1765" s="752"/>
      <c r="HH1765" s="752"/>
      <c r="HI1765" s="752"/>
      <c r="HJ1765" s="752"/>
      <c r="HK1765" s="752"/>
      <c r="HL1765" s="752"/>
      <c r="HM1765" s="752"/>
      <c r="HN1765" s="752"/>
      <c r="HO1765" s="752"/>
      <c r="HP1765" s="752"/>
      <c r="HQ1765" s="752"/>
      <c r="HR1765" s="752"/>
      <c r="HS1765" s="752"/>
      <c r="HT1765" s="752"/>
      <c r="HU1765" s="752"/>
      <c r="HV1765" s="752"/>
      <c r="HW1765" s="752"/>
      <c r="HX1765" s="752"/>
      <c r="HY1765" s="752"/>
      <c r="HZ1765" s="752"/>
      <c r="IA1765" s="752"/>
      <c r="IB1765" s="752"/>
      <c r="IC1765" s="752"/>
      <c r="ID1765" s="752"/>
      <c r="IE1765" s="752"/>
      <c r="IF1765" s="752"/>
      <c r="IG1765" s="752"/>
      <c r="IH1765" s="752"/>
      <c r="II1765" s="752"/>
      <c r="IJ1765" s="752"/>
      <c r="IK1765" s="752"/>
      <c r="IL1765" s="752"/>
      <c r="IM1765" s="752"/>
      <c r="IN1765" s="752"/>
      <c r="IO1765" s="752"/>
    </row>
    <row r="1766" spans="1:249" ht="49.5">
      <c r="A1766" s="89"/>
      <c r="B1766" s="100"/>
      <c r="C1766" s="605">
        <v>3</v>
      </c>
      <c r="D1766" s="605" t="s">
        <v>34</v>
      </c>
      <c r="E1766" s="605" t="s">
        <v>39</v>
      </c>
      <c r="F1766" s="89">
        <v>17</v>
      </c>
      <c r="G1766" s="605">
        <v>84</v>
      </c>
      <c r="H1766" s="605"/>
      <c r="I1766" s="114" t="s">
        <v>1693</v>
      </c>
      <c r="J1766" s="124" t="s">
        <v>1694</v>
      </c>
      <c r="K1766" s="1239">
        <f>45*6</f>
        <v>270</v>
      </c>
      <c r="L1766" s="125">
        <f>5*N1766</f>
        <v>4025000</v>
      </c>
      <c r="M1766" s="91">
        <v>45</v>
      </c>
      <c r="N1766" s="805">
        <v>805000</v>
      </c>
      <c r="O1766" s="91">
        <v>0</v>
      </c>
      <c r="P1766" s="805">
        <v>0</v>
      </c>
      <c r="Q1766" s="91">
        <v>0</v>
      </c>
      <c r="R1766" s="805">
        <v>0</v>
      </c>
      <c r="S1766" s="125"/>
      <c r="T1766" s="125"/>
      <c r="U1766" s="125"/>
      <c r="V1766" s="803"/>
      <c r="W1766" s="125"/>
      <c r="X1766" s="125"/>
      <c r="Y1766" s="125">
        <f t="shared" si="512"/>
        <v>0</v>
      </c>
      <c r="Z1766" s="125">
        <f t="shared" si="513"/>
        <v>0</v>
      </c>
      <c r="AA1766" s="1196">
        <f t="shared" si="514"/>
        <v>45</v>
      </c>
      <c r="AB1766" s="125">
        <f t="shared" si="515"/>
        <v>805000</v>
      </c>
      <c r="AC1766" s="1196">
        <f t="shared" si="510"/>
        <v>16.666666666666664</v>
      </c>
      <c r="AD1766" s="1196">
        <f t="shared" si="511"/>
        <v>20</v>
      </c>
      <c r="AE1766" s="89"/>
      <c r="AF1766" s="750"/>
      <c r="AG1766" s="750"/>
      <c r="AH1766" s="750"/>
      <c r="AI1766" s="750"/>
      <c r="AJ1766" s="750"/>
      <c r="AK1766" s="750"/>
      <c r="AL1766" s="750"/>
      <c r="AM1766" s="750"/>
      <c r="AN1766" s="750"/>
      <c r="AO1766" s="750"/>
      <c r="AP1766" s="750"/>
      <c r="AQ1766" s="750"/>
      <c r="AR1766" s="750"/>
      <c r="AS1766" s="750"/>
      <c r="AT1766" s="750"/>
      <c r="AU1766" s="750"/>
      <c r="AV1766" s="750"/>
      <c r="AW1766" s="750"/>
      <c r="AX1766" s="750"/>
      <c r="AY1766" s="750"/>
      <c r="AZ1766" s="750"/>
      <c r="BA1766" s="750"/>
      <c r="BB1766" s="750"/>
      <c r="BC1766" s="752"/>
      <c r="BD1766" s="752"/>
      <c r="BE1766" s="752"/>
      <c r="BF1766" s="752"/>
      <c r="BG1766" s="752"/>
      <c r="BH1766" s="752"/>
      <c r="BI1766" s="752"/>
      <c r="BJ1766" s="752"/>
      <c r="BK1766" s="752"/>
      <c r="BL1766" s="752"/>
      <c r="BM1766" s="752"/>
      <c r="BN1766" s="752"/>
      <c r="BO1766" s="752"/>
      <c r="BP1766" s="752"/>
      <c r="BQ1766" s="752"/>
      <c r="BR1766" s="752"/>
      <c r="BS1766" s="752"/>
      <c r="BT1766" s="752"/>
      <c r="BU1766" s="752"/>
      <c r="BV1766" s="752"/>
      <c r="BW1766" s="752"/>
      <c r="BX1766" s="752"/>
      <c r="BY1766" s="752"/>
      <c r="BZ1766" s="752"/>
      <c r="CA1766" s="752"/>
      <c r="CB1766" s="752"/>
      <c r="CC1766" s="752"/>
      <c r="CD1766" s="752"/>
      <c r="CE1766" s="752"/>
      <c r="CF1766" s="752"/>
      <c r="CG1766" s="752"/>
      <c r="CH1766" s="752"/>
      <c r="CI1766" s="752"/>
      <c r="CJ1766" s="752"/>
      <c r="CK1766" s="752"/>
      <c r="CL1766" s="752"/>
      <c r="CM1766" s="752"/>
      <c r="CN1766" s="752"/>
      <c r="CO1766" s="752"/>
      <c r="CP1766" s="752"/>
      <c r="CQ1766" s="752"/>
      <c r="CR1766" s="752"/>
      <c r="CS1766" s="752"/>
      <c r="CT1766" s="752"/>
      <c r="CU1766" s="752"/>
      <c r="CV1766" s="752"/>
      <c r="CW1766" s="752"/>
      <c r="CX1766" s="752"/>
      <c r="CY1766" s="752"/>
      <c r="CZ1766" s="752"/>
      <c r="DA1766" s="752"/>
      <c r="DB1766" s="752"/>
      <c r="DC1766" s="752"/>
      <c r="DD1766" s="752"/>
      <c r="DE1766" s="752"/>
      <c r="DF1766" s="752"/>
      <c r="DG1766" s="752"/>
      <c r="DH1766" s="752"/>
      <c r="DI1766" s="752"/>
      <c r="DJ1766" s="752"/>
      <c r="DK1766" s="752"/>
      <c r="DL1766" s="752"/>
      <c r="DM1766" s="752"/>
      <c r="DN1766" s="752"/>
      <c r="DO1766" s="752"/>
      <c r="DP1766" s="752"/>
      <c r="DQ1766" s="752"/>
      <c r="DR1766" s="752"/>
      <c r="DS1766" s="752"/>
      <c r="DT1766" s="752"/>
      <c r="DU1766" s="752"/>
      <c r="DV1766" s="752"/>
      <c r="DW1766" s="752"/>
      <c r="DX1766" s="752"/>
      <c r="DY1766" s="752"/>
      <c r="DZ1766" s="752"/>
      <c r="EA1766" s="752"/>
      <c r="EB1766" s="752"/>
      <c r="EC1766" s="752"/>
      <c r="ED1766" s="752"/>
      <c r="EE1766" s="752"/>
      <c r="EF1766" s="752"/>
      <c r="EG1766" s="752"/>
      <c r="EH1766" s="752"/>
      <c r="EI1766" s="752"/>
      <c r="EJ1766" s="752"/>
      <c r="EK1766" s="752"/>
      <c r="EL1766" s="752"/>
      <c r="EM1766" s="752"/>
      <c r="EN1766" s="752"/>
      <c r="EO1766" s="752"/>
      <c r="EP1766" s="752"/>
      <c r="EQ1766" s="752"/>
      <c r="ER1766" s="752"/>
      <c r="ES1766" s="752"/>
      <c r="ET1766" s="752"/>
      <c r="EU1766" s="752"/>
      <c r="EV1766" s="752"/>
      <c r="EW1766" s="752"/>
      <c r="EX1766" s="752"/>
      <c r="EY1766" s="752"/>
      <c r="EZ1766" s="752"/>
      <c r="FA1766" s="752"/>
      <c r="FB1766" s="752"/>
      <c r="FC1766" s="752"/>
      <c r="FD1766" s="752"/>
      <c r="FE1766" s="752"/>
      <c r="FF1766" s="752"/>
      <c r="FG1766" s="752"/>
      <c r="FH1766" s="752"/>
      <c r="FI1766" s="752"/>
      <c r="FJ1766" s="752"/>
      <c r="FK1766" s="752"/>
      <c r="FL1766" s="752"/>
      <c r="FM1766" s="752"/>
      <c r="FN1766" s="752"/>
      <c r="FO1766" s="752"/>
      <c r="FP1766" s="752"/>
      <c r="FQ1766" s="752"/>
      <c r="FR1766" s="752"/>
      <c r="FS1766" s="752"/>
      <c r="FT1766" s="752"/>
      <c r="FU1766" s="752"/>
      <c r="FV1766" s="752"/>
      <c r="FW1766" s="752"/>
      <c r="FX1766" s="752"/>
      <c r="FY1766" s="752"/>
      <c r="FZ1766" s="752"/>
      <c r="GA1766" s="752"/>
      <c r="GB1766" s="752"/>
      <c r="GC1766" s="752"/>
      <c r="GD1766" s="752"/>
      <c r="GE1766" s="752"/>
      <c r="GF1766" s="752"/>
      <c r="GG1766" s="752"/>
      <c r="GH1766" s="752"/>
      <c r="GI1766" s="752"/>
      <c r="GJ1766" s="752"/>
      <c r="GK1766" s="752"/>
      <c r="GL1766" s="752"/>
      <c r="GM1766" s="752"/>
      <c r="GN1766" s="752"/>
      <c r="GO1766" s="752"/>
      <c r="GP1766" s="752"/>
      <c r="GQ1766" s="752"/>
      <c r="GR1766" s="752"/>
      <c r="GS1766" s="752"/>
      <c r="GT1766" s="752"/>
      <c r="GU1766" s="752"/>
      <c r="GV1766" s="752"/>
      <c r="GW1766" s="752"/>
      <c r="GX1766" s="752"/>
      <c r="GY1766" s="752"/>
      <c r="GZ1766" s="752"/>
      <c r="HA1766" s="752"/>
      <c r="HB1766" s="752"/>
      <c r="HC1766" s="752"/>
      <c r="HD1766" s="752"/>
      <c r="HE1766" s="752"/>
      <c r="HF1766" s="752"/>
      <c r="HG1766" s="752"/>
      <c r="HH1766" s="752"/>
      <c r="HI1766" s="752"/>
      <c r="HJ1766" s="752"/>
      <c r="HK1766" s="752"/>
      <c r="HL1766" s="752"/>
      <c r="HM1766" s="752"/>
      <c r="HN1766" s="752"/>
      <c r="HO1766" s="752"/>
      <c r="HP1766" s="752"/>
      <c r="HQ1766" s="752"/>
      <c r="HR1766" s="752"/>
      <c r="HS1766" s="752"/>
      <c r="HT1766" s="752"/>
      <c r="HU1766" s="752"/>
      <c r="HV1766" s="752"/>
      <c r="HW1766" s="752"/>
      <c r="HX1766" s="752"/>
      <c r="HY1766" s="752"/>
      <c r="HZ1766" s="752"/>
      <c r="IA1766" s="752"/>
      <c r="IB1766" s="752"/>
      <c r="IC1766" s="752"/>
      <c r="ID1766" s="752"/>
      <c r="IE1766" s="752"/>
      <c r="IF1766" s="752"/>
      <c r="IG1766" s="752"/>
      <c r="IH1766" s="752"/>
      <c r="II1766" s="752"/>
      <c r="IJ1766" s="752"/>
      <c r="IK1766" s="752"/>
      <c r="IL1766" s="752"/>
      <c r="IM1766" s="752"/>
      <c r="IN1766" s="752"/>
      <c r="IO1766" s="752"/>
    </row>
    <row r="1767" spans="1:249" ht="36" customHeight="1">
      <c r="A1767" s="89"/>
      <c r="B1767" s="100"/>
      <c r="C1767" s="605">
        <v>3</v>
      </c>
      <c r="D1767" s="605" t="s">
        <v>34</v>
      </c>
      <c r="E1767" s="605" t="s">
        <v>39</v>
      </c>
      <c r="F1767" s="89">
        <v>17</v>
      </c>
      <c r="G1767" s="605"/>
      <c r="H1767" s="605"/>
      <c r="I1767" s="114" t="s">
        <v>1695</v>
      </c>
      <c r="J1767" s="124" t="s">
        <v>3235</v>
      </c>
      <c r="K1767" s="1239">
        <v>36</v>
      </c>
      <c r="L1767" s="125">
        <f>3*P1767</f>
        <v>1034735022</v>
      </c>
      <c r="M1767" s="91">
        <v>0</v>
      </c>
      <c r="N1767" s="805">
        <v>0</v>
      </c>
      <c r="O1767" s="91">
        <v>12</v>
      </c>
      <c r="P1767" s="805">
        <v>344911674</v>
      </c>
      <c r="Q1767" s="91">
        <v>3</v>
      </c>
      <c r="R1767" s="805">
        <v>3406063</v>
      </c>
      <c r="S1767" s="125">
        <v>3</v>
      </c>
      <c r="T1767" s="125">
        <v>150824313</v>
      </c>
      <c r="U1767" s="125"/>
      <c r="V1767" s="803"/>
      <c r="W1767" s="125"/>
      <c r="X1767" s="125"/>
      <c r="Y1767" s="125">
        <f t="shared" si="512"/>
        <v>6</v>
      </c>
      <c r="Z1767" s="125">
        <f t="shared" si="513"/>
        <v>154230376</v>
      </c>
      <c r="AA1767" s="1196">
        <f t="shared" si="514"/>
        <v>6</v>
      </c>
      <c r="AB1767" s="125">
        <f t="shared" si="515"/>
        <v>154230376</v>
      </c>
      <c r="AC1767" s="1196">
        <f t="shared" si="510"/>
        <v>16.666666666666664</v>
      </c>
      <c r="AD1767" s="1196">
        <f t="shared" si="511"/>
        <v>14.905301620302168</v>
      </c>
      <c r="AE1767" s="89"/>
      <c r="AF1767" s="750"/>
      <c r="AG1767" s="750"/>
      <c r="AH1767" s="750"/>
      <c r="AI1767" s="750"/>
      <c r="AJ1767" s="750"/>
      <c r="AK1767" s="750"/>
      <c r="AL1767" s="750"/>
      <c r="AM1767" s="750"/>
      <c r="AN1767" s="750"/>
      <c r="AO1767" s="750"/>
      <c r="AP1767" s="750"/>
      <c r="AQ1767" s="750"/>
      <c r="AR1767" s="750"/>
      <c r="AS1767" s="750"/>
      <c r="AT1767" s="750"/>
      <c r="AU1767" s="750"/>
      <c r="AV1767" s="750"/>
      <c r="AW1767" s="750"/>
      <c r="AX1767" s="750"/>
      <c r="AY1767" s="750"/>
      <c r="AZ1767" s="750"/>
      <c r="BA1767" s="750"/>
      <c r="BB1767" s="750"/>
      <c r="BC1767" s="752"/>
      <c r="BD1767" s="752"/>
      <c r="BE1767" s="752"/>
      <c r="BF1767" s="752"/>
      <c r="BG1767" s="752"/>
      <c r="BH1767" s="752"/>
      <c r="BI1767" s="752"/>
      <c r="BJ1767" s="752"/>
      <c r="BK1767" s="752"/>
      <c r="BL1767" s="752"/>
      <c r="BM1767" s="752"/>
      <c r="BN1767" s="752"/>
      <c r="BO1767" s="752"/>
      <c r="BP1767" s="752"/>
      <c r="BQ1767" s="752"/>
      <c r="BR1767" s="752"/>
      <c r="BS1767" s="752"/>
      <c r="BT1767" s="752"/>
      <c r="BU1767" s="752"/>
      <c r="BV1767" s="752"/>
      <c r="BW1767" s="752"/>
      <c r="BX1767" s="752"/>
      <c r="BY1767" s="752"/>
      <c r="BZ1767" s="752"/>
      <c r="CA1767" s="752"/>
      <c r="CB1767" s="752"/>
      <c r="CC1767" s="752"/>
      <c r="CD1767" s="752"/>
      <c r="CE1767" s="752"/>
      <c r="CF1767" s="752"/>
      <c r="CG1767" s="752"/>
      <c r="CH1767" s="752"/>
      <c r="CI1767" s="752"/>
      <c r="CJ1767" s="752"/>
      <c r="CK1767" s="752"/>
      <c r="CL1767" s="752"/>
      <c r="CM1767" s="752"/>
      <c r="CN1767" s="752"/>
      <c r="CO1767" s="752"/>
      <c r="CP1767" s="752"/>
      <c r="CQ1767" s="752"/>
      <c r="CR1767" s="752"/>
      <c r="CS1767" s="752"/>
      <c r="CT1767" s="752"/>
      <c r="CU1767" s="752"/>
      <c r="CV1767" s="752"/>
      <c r="CW1767" s="752"/>
      <c r="CX1767" s="752"/>
      <c r="CY1767" s="752"/>
      <c r="CZ1767" s="752"/>
      <c r="DA1767" s="752"/>
      <c r="DB1767" s="752"/>
      <c r="DC1767" s="752"/>
      <c r="DD1767" s="752"/>
      <c r="DE1767" s="752"/>
      <c r="DF1767" s="752"/>
      <c r="DG1767" s="752"/>
      <c r="DH1767" s="752"/>
      <c r="DI1767" s="752"/>
      <c r="DJ1767" s="752"/>
      <c r="DK1767" s="752"/>
      <c r="DL1767" s="752"/>
      <c r="DM1767" s="752"/>
      <c r="DN1767" s="752"/>
      <c r="DO1767" s="752"/>
      <c r="DP1767" s="752"/>
      <c r="DQ1767" s="752"/>
      <c r="DR1767" s="752"/>
      <c r="DS1767" s="752"/>
      <c r="DT1767" s="752"/>
      <c r="DU1767" s="752"/>
      <c r="DV1767" s="752"/>
      <c r="DW1767" s="752"/>
      <c r="DX1767" s="752"/>
      <c r="DY1767" s="752"/>
      <c r="DZ1767" s="752"/>
      <c r="EA1767" s="752"/>
      <c r="EB1767" s="752"/>
      <c r="EC1767" s="752"/>
      <c r="ED1767" s="752"/>
      <c r="EE1767" s="752"/>
      <c r="EF1767" s="752"/>
      <c r="EG1767" s="752"/>
      <c r="EH1767" s="752"/>
      <c r="EI1767" s="752"/>
      <c r="EJ1767" s="752"/>
      <c r="EK1767" s="752"/>
      <c r="EL1767" s="752"/>
      <c r="EM1767" s="752"/>
      <c r="EN1767" s="752"/>
      <c r="EO1767" s="752"/>
      <c r="EP1767" s="752"/>
      <c r="EQ1767" s="752"/>
      <c r="ER1767" s="752"/>
      <c r="ES1767" s="752"/>
      <c r="ET1767" s="752"/>
      <c r="EU1767" s="752"/>
      <c r="EV1767" s="752"/>
      <c r="EW1767" s="752"/>
      <c r="EX1767" s="752"/>
      <c r="EY1767" s="752"/>
      <c r="EZ1767" s="752"/>
      <c r="FA1767" s="752"/>
      <c r="FB1767" s="752"/>
      <c r="FC1767" s="752"/>
      <c r="FD1767" s="752"/>
      <c r="FE1767" s="752"/>
      <c r="FF1767" s="752"/>
      <c r="FG1767" s="752"/>
      <c r="FH1767" s="752"/>
      <c r="FI1767" s="752"/>
      <c r="FJ1767" s="752"/>
      <c r="FK1767" s="752"/>
      <c r="FL1767" s="752"/>
      <c r="FM1767" s="752"/>
      <c r="FN1767" s="752"/>
      <c r="FO1767" s="752"/>
      <c r="FP1767" s="752"/>
      <c r="FQ1767" s="752"/>
      <c r="FR1767" s="752"/>
      <c r="FS1767" s="752"/>
      <c r="FT1767" s="752"/>
      <c r="FU1767" s="752"/>
      <c r="FV1767" s="752"/>
      <c r="FW1767" s="752"/>
      <c r="FX1767" s="752"/>
      <c r="FY1767" s="752"/>
      <c r="FZ1767" s="752"/>
      <c r="GA1767" s="752"/>
      <c r="GB1767" s="752"/>
      <c r="GC1767" s="752"/>
      <c r="GD1767" s="752"/>
      <c r="GE1767" s="752"/>
      <c r="GF1767" s="752"/>
      <c r="GG1767" s="752"/>
      <c r="GH1767" s="752"/>
      <c r="GI1767" s="752"/>
      <c r="GJ1767" s="752"/>
      <c r="GK1767" s="752"/>
      <c r="GL1767" s="752"/>
      <c r="GM1767" s="752"/>
      <c r="GN1767" s="752"/>
      <c r="GO1767" s="752"/>
      <c r="GP1767" s="752"/>
      <c r="GQ1767" s="752"/>
      <c r="GR1767" s="752"/>
      <c r="GS1767" s="752"/>
      <c r="GT1767" s="752"/>
      <c r="GU1767" s="752"/>
      <c r="GV1767" s="752"/>
      <c r="GW1767" s="752"/>
      <c r="GX1767" s="752"/>
      <c r="GY1767" s="752"/>
      <c r="GZ1767" s="752"/>
      <c r="HA1767" s="752"/>
      <c r="HB1767" s="752"/>
      <c r="HC1767" s="752"/>
      <c r="HD1767" s="752"/>
      <c r="HE1767" s="752"/>
      <c r="HF1767" s="752"/>
      <c r="HG1767" s="752"/>
      <c r="HH1767" s="752"/>
      <c r="HI1767" s="752"/>
      <c r="HJ1767" s="752"/>
      <c r="HK1767" s="752"/>
      <c r="HL1767" s="752"/>
      <c r="HM1767" s="752"/>
      <c r="HN1767" s="752"/>
      <c r="HO1767" s="752"/>
      <c r="HP1767" s="752"/>
      <c r="HQ1767" s="752"/>
      <c r="HR1767" s="752"/>
      <c r="HS1767" s="752"/>
      <c r="HT1767" s="752"/>
      <c r="HU1767" s="752"/>
      <c r="HV1767" s="752"/>
      <c r="HW1767" s="752"/>
      <c r="HX1767" s="752"/>
      <c r="HY1767" s="752"/>
      <c r="HZ1767" s="752"/>
      <c r="IA1767" s="752"/>
      <c r="IB1767" s="752"/>
      <c r="IC1767" s="752"/>
      <c r="ID1767" s="752"/>
      <c r="IE1767" s="752"/>
      <c r="IF1767" s="752"/>
      <c r="IG1767" s="752"/>
      <c r="IH1767" s="752"/>
      <c r="II1767" s="752"/>
      <c r="IJ1767" s="752"/>
      <c r="IK1767" s="752"/>
      <c r="IL1767" s="752"/>
      <c r="IM1767" s="752"/>
      <c r="IN1767" s="752"/>
      <c r="IO1767" s="752"/>
    </row>
    <row r="1768" spans="1:249" ht="36" customHeight="1">
      <c r="A1768" s="102"/>
      <c r="B1768" s="107"/>
      <c r="C1768" s="628">
        <v>3</v>
      </c>
      <c r="D1768" s="628" t="s">
        <v>34</v>
      </c>
      <c r="E1768" s="628" t="s">
        <v>39</v>
      </c>
      <c r="F1768" s="102">
        <v>17</v>
      </c>
      <c r="G1768" s="628"/>
      <c r="H1768" s="628"/>
      <c r="I1768" s="313" t="s">
        <v>1696</v>
      </c>
      <c r="J1768" s="780" t="s">
        <v>3236</v>
      </c>
      <c r="K1768" s="1151">
        <v>3</v>
      </c>
      <c r="L1768" s="238">
        <f>3*P1768</f>
        <v>202115526</v>
      </c>
      <c r="M1768" s="104">
        <v>0</v>
      </c>
      <c r="N1768" s="815">
        <v>0</v>
      </c>
      <c r="O1768" s="104">
        <v>12</v>
      </c>
      <c r="P1768" s="815">
        <v>67371842</v>
      </c>
      <c r="Q1768" s="104">
        <v>3</v>
      </c>
      <c r="R1768" s="815">
        <v>2493210</v>
      </c>
      <c r="S1768" s="238">
        <v>0</v>
      </c>
      <c r="T1768" s="238">
        <v>4643210</v>
      </c>
      <c r="U1768" s="238"/>
      <c r="V1768" s="408"/>
      <c r="W1768" s="238"/>
      <c r="X1768" s="238"/>
      <c r="Y1768" s="238">
        <f t="shared" si="512"/>
        <v>3</v>
      </c>
      <c r="Z1768" s="238">
        <f t="shared" si="513"/>
        <v>7136420</v>
      </c>
      <c r="AA1768" s="1761">
        <f t="shared" si="514"/>
        <v>3</v>
      </c>
      <c r="AB1768" s="238">
        <f t="shared" si="515"/>
        <v>7136420</v>
      </c>
      <c r="AC1768" s="1761">
        <f t="shared" si="510"/>
        <v>100</v>
      </c>
      <c r="AD1768" s="1761">
        <f t="shared" si="511"/>
        <v>3.5308618497719961</v>
      </c>
      <c r="AE1768" s="102"/>
      <c r="AF1768" s="750"/>
      <c r="AG1768" s="750"/>
      <c r="AH1768" s="750"/>
      <c r="AI1768" s="750"/>
      <c r="AJ1768" s="750"/>
      <c r="AK1768" s="750"/>
      <c r="AL1768" s="750"/>
      <c r="AM1768" s="750"/>
      <c r="AN1768" s="750"/>
      <c r="AO1768" s="750"/>
      <c r="AP1768" s="750"/>
      <c r="AQ1768" s="750"/>
      <c r="AR1768" s="750"/>
      <c r="AS1768" s="750"/>
      <c r="AT1768" s="750"/>
      <c r="AU1768" s="750"/>
      <c r="AV1768" s="750"/>
      <c r="AW1768" s="750"/>
      <c r="AX1768" s="750"/>
      <c r="AY1768" s="750"/>
      <c r="AZ1768" s="750"/>
      <c r="BA1768" s="750"/>
      <c r="BB1768" s="750"/>
      <c r="BC1768" s="752"/>
      <c r="BD1768" s="752"/>
      <c r="BE1768" s="752"/>
      <c r="BF1768" s="752"/>
      <c r="BG1768" s="752"/>
      <c r="BH1768" s="752"/>
      <c r="BI1768" s="752"/>
      <c r="BJ1768" s="752"/>
      <c r="BK1768" s="752"/>
      <c r="BL1768" s="752"/>
      <c r="BM1768" s="752"/>
      <c r="BN1768" s="752"/>
      <c r="BO1768" s="752"/>
      <c r="BP1768" s="752"/>
      <c r="BQ1768" s="752"/>
      <c r="BR1768" s="752"/>
      <c r="BS1768" s="752"/>
      <c r="BT1768" s="752"/>
      <c r="BU1768" s="752"/>
      <c r="BV1768" s="752"/>
      <c r="BW1768" s="752"/>
      <c r="BX1768" s="752"/>
      <c r="BY1768" s="752"/>
      <c r="BZ1768" s="752"/>
      <c r="CA1768" s="752"/>
      <c r="CB1768" s="752"/>
      <c r="CC1768" s="752"/>
      <c r="CD1768" s="752"/>
      <c r="CE1768" s="752"/>
      <c r="CF1768" s="752"/>
      <c r="CG1768" s="752"/>
      <c r="CH1768" s="752"/>
      <c r="CI1768" s="752"/>
      <c r="CJ1768" s="752"/>
      <c r="CK1768" s="752"/>
      <c r="CL1768" s="752"/>
      <c r="CM1768" s="752"/>
      <c r="CN1768" s="752"/>
      <c r="CO1768" s="752"/>
      <c r="CP1768" s="752"/>
      <c r="CQ1768" s="752"/>
      <c r="CR1768" s="752"/>
      <c r="CS1768" s="752"/>
      <c r="CT1768" s="752"/>
      <c r="CU1768" s="752"/>
      <c r="CV1768" s="752"/>
      <c r="CW1768" s="752"/>
      <c r="CX1768" s="752"/>
      <c r="CY1768" s="752"/>
      <c r="CZ1768" s="752"/>
      <c r="DA1768" s="752"/>
      <c r="DB1768" s="752"/>
      <c r="DC1768" s="752"/>
      <c r="DD1768" s="752"/>
      <c r="DE1768" s="752"/>
      <c r="DF1768" s="752"/>
      <c r="DG1768" s="752"/>
      <c r="DH1768" s="752"/>
      <c r="DI1768" s="752"/>
      <c r="DJ1768" s="752"/>
      <c r="DK1768" s="752"/>
      <c r="DL1768" s="752"/>
      <c r="DM1768" s="752"/>
      <c r="DN1768" s="752"/>
      <c r="DO1768" s="752"/>
      <c r="DP1768" s="752"/>
      <c r="DQ1768" s="752"/>
      <c r="DR1768" s="752"/>
      <c r="DS1768" s="752"/>
      <c r="DT1768" s="752"/>
      <c r="DU1768" s="752"/>
      <c r="DV1768" s="752"/>
      <c r="DW1768" s="752"/>
      <c r="DX1768" s="752"/>
      <c r="DY1768" s="752"/>
      <c r="DZ1768" s="752"/>
      <c r="EA1768" s="752"/>
      <c r="EB1768" s="752"/>
      <c r="EC1768" s="752"/>
      <c r="ED1768" s="752"/>
      <c r="EE1768" s="752"/>
      <c r="EF1768" s="752"/>
      <c r="EG1768" s="752"/>
      <c r="EH1768" s="752"/>
      <c r="EI1768" s="752"/>
      <c r="EJ1768" s="752"/>
      <c r="EK1768" s="752"/>
      <c r="EL1768" s="752"/>
      <c r="EM1768" s="752"/>
      <c r="EN1768" s="752"/>
      <c r="EO1768" s="752"/>
      <c r="EP1768" s="752"/>
      <c r="EQ1768" s="752"/>
      <c r="ER1768" s="752"/>
      <c r="ES1768" s="752"/>
      <c r="ET1768" s="752"/>
      <c r="EU1768" s="752"/>
      <c r="EV1768" s="752"/>
      <c r="EW1768" s="752"/>
      <c r="EX1768" s="752"/>
      <c r="EY1768" s="752"/>
      <c r="EZ1768" s="752"/>
      <c r="FA1768" s="752"/>
      <c r="FB1768" s="752"/>
      <c r="FC1768" s="752"/>
      <c r="FD1768" s="752"/>
      <c r="FE1768" s="752"/>
      <c r="FF1768" s="752"/>
      <c r="FG1768" s="752"/>
      <c r="FH1768" s="752"/>
      <c r="FI1768" s="752"/>
      <c r="FJ1768" s="752"/>
      <c r="FK1768" s="752"/>
      <c r="FL1768" s="752"/>
      <c r="FM1768" s="752"/>
      <c r="FN1768" s="752"/>
      <c r="FO1768" s="752"/>
      <c r="FP1768" s="752"/>
      <c r="FQ1768" s="752"/>
      <c r="FR1768" s="752"/>
      <c r="FS1768" s="752"/>
      <c r="FT1768" s="752"/>
      <c r="FU1768" s="752"/>
      <c r="FV1768" s="752"/>
      <c r="FW1768" s="752"/>
      <c r="FX1768" s="752"/>
      <c r="FY1768" s="752"/>
      <c r="FZ1768" s="752"/>
      <c r="GA1768" s="752"/>
      <c r="GB1768" s="752"/>
      <c r="GC1768" s="752"/>
      <c r="GD1768" s="752"/>
      <c r="GE1768" s="752"/>
      <c r="GF1768" s="752"/>
      <c r="GG1768" s="752"/>
      <c r="GH1768" s="752"/>
      <c r="GI1768" s="752"/>
      <c r="GJ1768" s="752"/>
      <c r="GK1768" s="752"/>
      <c r="GL1768" s="752"/>
      <c r="GM1768" s="752"/>
      <c r="GN1768" s="752"/>
      <c r="GO1768" s="752"/>
      <c r="GP1768" s="752"/>
      <c r="GQ1768" s="752"/>
      <c r="GR1768" s="752"/>
      <c r="GS1768" s="752"/>
      <c r="GT1768" s="752"/>
      <c r="GU1768" s="752"/>
      <c r="GV1768" s="752"/>
      <c r="GW1768" s="752"/>
      <c r="GX1768" s="752"/>
      <c r="GY1768" s="752"/>
      <c r="GZ1768" s="752"/>
      <c r="HA1768" s="752"/>
      <c r="HB1768" s="752"/>
      <c r="HC1768" s="752"/>
      <c r="HD1768" s="752"/>
      <c r="HE1768" s="752"/>
      <c r="HF1768" s="752"/>
      <c r="HG1768" s="752"/>
      <c r="HH1768" s="752"/>
      <c r="HI1768" s="752"/>
      <c r="HJ1768" s="752"/>
      <c r="HK1768" s="752"/>
      <c r="HL1768" s="752"/>
      <c r="HM1768" s="752"/>
      <c r="HN1768" s="752"/>
      <c r="HO1768" s="752"/>
      <c r="HP1768" s="752"/>
      <c r="HQ1768" s="752"/>
      <c r="HR1768" s="752"/>
      <c r="HS1768" s="752"/>
      <c r="HT1768" s="752"/>
      <c r="HU1768" s="752"/>
      <c r="HV1768" s="752"/>
      <c r="HW1768" s="752"/>
      <c r="HX1768" s="752"/>
      <c r="HY1768" s="752"/>
      <c r="HZ1768" s="752"/>
      <c r="IA1768" s="752"/>
      <c r="IB1768" s="752"/>
      <c r="IC1768" s="752"/>
      <c r="ID1768" s="752"/>
      <c r="IE1768" s="752"/>
      <c r="IF1768" s="752"/>
      <c r="IG1768" s="752"/>
      <c r="IH1768" s="752"/>
      <c r="II1768" s="752"/>
      <c r="IJ1768" s="752"/>
      <c r="IK1768" s="752"/>
      <c r="IL1768" s="752"/>
      <c r="IM1768" s="752"/>
      <c r="IN1768" s="752"/>
      <c r="IO1768" s="752"/>
    </row>
    <row r="1769" spans="1:249" ht="30.75" customHeight="1">
      <c r="A1769" s="102"/>
      <c r="B1769" s="107"/>
      <c r="C1769" s="628">
        <v>3</v>
      </c>
      <c r="D1769" s="628" t="s">
        <v>34</v>
      </c>
      <c r="E1769" s="628" t="s">
        <v>39</v>
      </c>
      <c r="F1769" s="102">
        <v>17</v>
      </c>
      <c r="G1769" s="628"/>
      <c r="H1769" s="628"/>
      <c r="I1769" s="313" t="s">
        <v>1697</v>
      </c>
      <c r="J1769" s="780" t="s">
        <v>3237</v>
      </c>
      <c r="K1769" s="238">
        <v>3</v>
      </c>
      <c r="L1769" s="238">
        <f>3*P1769</f>
        <v>239997810</v>
      </c>
      <c r="M1769" s="238">
        <v>0</v>
      </c>
      <c r="N1769" s="815">
        <v>0</v>
      </c>
      <c r="O1769" s="238">
        <v>1</v>
      </c>
      <c r="P1769" s="815">
        <v>79999270</v>
      </c>
      <c r="Q1769" s="238">
        <v>0.25</v>
      </c>
      <c r="R1769" s="815">
        <v>2400000</v>
      </c>
      <c r="S1769" s="238">
        <v>0</v>
      </c>
      <c r="T1769" s="238">
        <v>14164063</v>
      </c>
      <c r="U1769" s="238"/>
      <c r="V1769" s="408"/>
      <c r="W1769" s="238"/>
      <c r="X1769" s="238"/>
      <c r="Y1769" s="238">
        <f t="shared" si="512"/>
        <v>0.25</v>
      </c>
      <c r="Z1769" s="238">
        <f t="shared" si="513"/>
        <v>16564063</v>
      </c>
      <c r="AA1769" s="1761">
        <f t="shared" si="514"/>
        <v>0.25</v>
      </c>
      <c r="AB1769" s="238">
        <f t="shared" si="515"/>
        <v>16564063</v>
      </c>
      <c r="AC1769" s="1761">
        <f t="shared" si="510"/>
        <v>8.3333333333333321</v>
      </c>
      <c r="AD1769" s="1761">
        <f t="shared" si="511"/>
        <v>6.9017558951892095</v>
      </c>
      <c r="AE1769" s="102"/>
      <c r="AF1769" s="750"/>
      <c r="AG1769" s="750"/>
      <c r="AH1769" s="750"/>
      <c r="AI1769" s="750"/>
      <c r="AJ1769" s="750"/>
      <c r="AK1769" s="750"/>
      <c r="AL1769" s="750"/>
      <c r="AM1769" s="750"/>
      <c r="AN1769" s="750"/>
      <c r="AO1769" s="750"/>
      <c r="AP1769" s="750"/>
      <c r="AQ1769" s="750"/>
      <c r="AR1769" s="750"/>
      <c r="AS1769" s="750"/>
      <c r="AT1769" s="750"/>
      <c r="AU1769" s="750"/>
      <c r="AV1769" s="750"/>
      <c r="AW1769" s="750"/>
      <c r="AX1769" s="750"/>
      <c r="AY1769" s="750"/>
      <c r="AZ1769" s="750"/>
      <c r="BA1769" s="750"/>
      <c r="BB1769" s="750"/>
      <c r="BC1769" s="752"/>
      <c r="BD1769" s="752"/>
      <c r="BE1769" s="752"/>
      <c r="BF1769" s="752"/>
      <c r="BG1769" s="752"/>
      <c r="BH1769" s="752"/>
      <c r="BI1769" s="752"/>
      <c r="BJ1769" s="752"/>
      <c r="BK1769" s="752"/>
      <c r="BL1769" s="752"/>
      <c r="BM1769" s="752"/>
      <c r="BN1769" s="752"/>
      <c r="BO1769" s="752"/>
      <c r="BP1769" s="752"/>
      <c r="BQ1769" s="752"/>
      <c r="BR1769" s="752"/>
      <c r="BS1769" s="752"/>
      <c r="BT1769" s="752"/>
      <c r="BU1769" s="752"/>
      <c r="BV1769" s="752"/>
      <c r="BW1769" s="752"/>
      <c r="BX1769" s="752"/>
      <c r="BY1769" s="752"/>
      <c r="BZ1769" s="752"/>
      <c r="CA1769" s="752"/>
      <c r="CB1769" s="752"/>
      <c r="CC1769" s="752"/>
      <c r="CD1769" s="752"/>
      <c r="CE1769" s="752"/>
      <c r="CF1769" s="752"/>
      <c r="CG1769" s="752"/>
      <c r="CH1769" s="752"/>
      <c r="CI1769" s="752"/>
      <c r="CJ1769" s="752"/>
      <c r="CK1769" s="752"/>
      <c r="CL1769" s="752"/>
      <c r="CM1769" s="752"/>
      <c r="CN1769" s="752"/>
      <c r="CO1769" s="752"/>
      <c r="CP1769" s="752"/>
      <c r="CQ1769" s="752"/>
      <c r="CR1769" s="752"/>
      <c r="CS1769" s="752"/>
      <c r="CT1769" s="752"/>
      <c r="CU1769" s="752"/>
      <c r="CV1769" s="752"/>
      <c r="CW1769" s="752"/>
      <c r="CX1769" s="752"/>
      <c r="CY1769" s="752"/>
      <c r="CZ1769" s="752"/>
      <c r="DA1769" s="752"/>
      <c r="DB1769" s="752"/>
      <c r="DC1769" s="752"/>
      <c r="DD1769" s="752"/>
      <c r="DE1769" s="752"/>
      <c r="DF1769" s="752"/>
      <c r="DG1769" s="752"/>
      <c r="DH1769" s="752"/>
      <c r="DI1769" s="752"/>
      <c r="DJ1769" s="752"/>
      <c r="DK1769" s="752"/>
      <c r="DL1769" s="752"/>
      <c r="DM1769" s="752"/>
      <c r="DN1769" s="752"/>
      <c r="DO1769" s="752"/>
      <c r="DP1769" s="752"/>
      <c r="DQ1769" s="752"/>
      <c r="DR1769" s="752"/>
      <c r="DS1769" s="752"/>
      <c r="DT1769" s="752"/>
      <c r="DU1769" s="752"/>
      <c r="DV1769" s="752"/>
      <c r="DW1769" s="752"/>
      <c r="DX1769" s="752"/>
      <c r="DY1769" s="752"/>
      <c r="DZ1769" s="752"/>
      <c r="EA1769" s="752"/>
      <c r="EB1769" s="752"/>
      <c r="EC1769" s="752"/>
      <c r="ED1769" s="752"/>
      <c r="EE1769" s="752"/>
      <c r="EF1769" s="752"/>
      <c r="EG1769" s="752"/>
      <c r="EH1769" s="752"/>
      <c r="EI1769" s="752"/>
      <c r="EJ1769" s="752"/>
      <c r="EK1769" s="752"/>
      <c r="EL1769" s="752"/>
      <c r="EM1769" s="752"/>
      <c r="EN1769" s="752"/>
      <c r="EO1769" s="752"/>
      <c r="EP1769" s="752"/>
      <c r="EQ1769" s="752"/>
      <c r="ER1769" s="752"/>
      <c r="ES1769" s="752"/>
      <c r="ET1769" s="752"/>
      <c r="EU1769" s="752"/>
      <c r="EV1769" s="752"/>
      <c r="EW1769" s="752"/>
      <c r="EX1769" s="752"/>
      <c r="EY1769" s="752"/>
      <c r="EZ1769" s="752"/>
      <c r="FA1769" s="752"/>
      <c r="FB1769" s="752"/>
      <c r="FC1769" s="752"/>
      <c r="FD1769" s="752"/>
      <c r="FE1769" s="752"/>
      <c r="FF1769" s="752"/>
      <c r="FG1769" s="752"/>
      <c r="FH1769" s="752"/>
      <c r="FI1769" s="752"/>
      <c r="FJ1769" s="752"/>
      <c r="FK1769" s="752"/>
      <c r="FL1769" s="752"/>
      <c r="FM1769" s="752"/>
      <c r="FN1769" s="752"/>
      <c r="FO1769" s="752"/>
      <c r="FP1769" s="752"/>
      <c r="FQ1769" s="752"/>
      <c r="FR1769" s="752"/>
      <c r="FS1769" s="752"/>
      <c r="FT1769" s="752"/>
      <c r="FU1769" s="752"/>
      <c r="FV1769" s="752"/>
      <c r="FW1769" s="752"/>
      <c r="FX1769" s="752"/>
      <c r="FY1769" s="752"/>
      <c r="FZ1769" s="752"/>
      <c r="GA1769" s="752"/>
      <c r="GB1769" s="752"/>
      <c r="GC1769" s="752"/>
      <c r="GD1769" s="752"/>
      <c r="GE1769" s="752"/>
      <c r="GF1769" s="752"/>
      <c r="GG1769" s="752"/>
      <c r="GH1769" s="752"/>
      <c r="GI1769" s="752"/>
      <c r="GJ1769" s="752"/>
      <c r="GK1769" s="752"/>
      <c r="GL1769" s="752"/>
      <c r="GM1769" s="752"/>
      <c r="GN1769" s="752"/>
      <c r="GO1769" s="752"/>
      <c r="GP1769" s="752"/>
      <c r="GQ1769" s="752"/>
      <c r="GR1769" s="752"/>
      <c r="GS1769" s="752"/>
      <c r="GT1769" s="752"/>
      <c r="GU1769" s="752"/>
      <c r="GV1769" s="752"/>
      <c r="GW1769" s="752"/>
      <c r="GX1769" s="752"/>
      <c r="GY1769" s="752"/>
      <c r="GZ1769" s="752"/>
      <c r="HA1769" s="752"/>
      <c r="HB1769" s="752"/>
      <c r="HC1769" s="752"/>
      <c r="HD1769" s="752"/>
      <c r="HE1769" s="752"/>
      <c r="HF1769" s="752"/>
      <c r="HG1769" s="752"/>
      <c r="HH1769" s="752"/>
      <c r="HI1769" s="752"/>
      <c r="HJ1769" s="752"/>
      <c r="HK1769" s="752"/>
      <c r="HL1769" s="752"/>
      <c r="HM1769" s="752"/>
      <c r="HN1769" s="752"/>
      <c r="HO1769" s="752"/>
      <c r="HP1769" s="752"/>
      <c r="HQ1769" s="752"/>
      <c r="HR1769" s="752"/>
      <c r="HS1769" s="752"/>
      <c r="HT1769" s="752"/>
      <c r="HU1769" s="752"/>
      <c r="HV1769" s="752"/>
      <c r="HW1769" s="752"/>
      <c r="HX1769" s="752"/>
      <c r="HY1769" s="752"/>
      <c r="HZ1769" s="752"/>
      <c r="IA1769" s="752"/>
      <c r="IB1769" s="752"/>
      <c r="IC1769" s="752"/>
      <c r="ID1769" s="752"/>
      <c r="IE1769" s="752"/>
      <c r="IF1769" s="752"/>
      <c r="IG1769" s="752"/>
      <c r="IH1769" s="752"/>
      <c r="II1769" s="752"/>
      <c r="IJ1769" s="752"/>
      <c r="IK1769" s="752"/>
      <c r="IL1769" s="752"/>
      <c r="IM1769" s="752"/>
      <c r="IN1769" s="752"/>
      <c r="IO1769" s="752"/>
    </row>
    <row r="1770" spans="1:249" ht="99">
      <c r="A1770" s="303">
        <v>7</v>
      </c>
      <c r="B1770" s="33"/>
      <c r="C1770" s="303">
        <v>3</v>
      </c>
      <c r="D1770" s="303" t="s">
        <v>34</v>
      </c>
      <c r="E1770" s="303" t="s">
        <v>39</v>
      </c>
      <c r="F1770" s="161">
        <v>18</v>
      </c>
      <c r="G1770" s="303"/>
      <c r="H1770" s="303"/>
      <c r="I1770" s="142" t="s">
        <v>1698</v>
      </c>
      <c r="J1770" s="629" t="s">
        <v>3238</v>
      </c>
      <c r="K1770" s="230">
        <v>90</v>
      </c>
      <c r="L1770" s="1240">
        <f>SUM(L1771:L1776)</f>
        <v>3136830678</v>
      </c>
      <c r="M1770" s="230">
        <v>80</v>
      </c>
      <c r="N1770" s="816">
        <f>SUM(N1771:N1776)</f>
        <v>791378439</v>
      </c>
      <c r="O1770" s="230">
        <v>10</v>
      </c>
      <c r="P1770" s="816">
        <f>SUM(P1771:P1776)</f>
        <v>29999956</v>
      </c>
      <c r="Q1770" s="230">
        <v>2</v>
      </c>
      <c r="R1770" s="816">
        <f>SUM(R1771:R1776)</f>
        <v>0</v>
      </c>
      <c r="S1770" s="817"/>
      <c r="T1770" s="818"/>
      <c r="U1770" s="817"/>
      <c r="V1770" s="819"/>
      <c r="W1770" s="818"/>
      <c r="X1770" s="818"/>
      <c r="Y1770" s="230">
        <f t="shared" si="512"/>
        <v>2</v>
      </c>
      <c r="Z1770" s="230">
        <f t="shared" si="513"/>
        <v>0</v>
      </c>
      <c r="AA1770" s="292">
        <f t="shared" si="514"/>
        <v>82</v>
      </c>
      <c r="AB1770" s="230">
        <f t="shared" si="515"/>
        <v>791378439</v>
      </c>
      <c r="AC1770" s="292">
        <f t="shared" si="510"/>
        <v>91.111111111111114</v>
      </c>
      <c r="AD1770" s="292">
        <f t="shared" si="511"/>
        <v>25.228599189312064</v>
      </c>
      <c r="AE1770" s="2539" t="s">
        <v>228</v>
      </c>
      <c r="AF1770" s="750"/>
      <c r="AG1770" s="750"/>
      <c r="AH1770" s="750"/>
      <c r="AI1770" s="750"/>
      <c r="AJ1770" s="750"/>
      <c r="AK1770" s="750"/>
      <c r="AL1770" s="750"/>
      <c r="AM1770" s="750"/>
      <c r="AN1770" s="750"/>
      <c r="AO1770" s="750"/>
      <c r="AP1770" s="750"/>
      <c r="AQ1770" s="750"/>
      <c r="AR1770" s="750"/>
      <c r="AS1770" s="750"/>
      <c r="AT1770" s="750"/>
      <c r="AU1770" s="750"/>
      <c r="AV1770" s="750"/>
      <c r="AW1770" s="750"/>
      <c r="AX1770" s="750"/>
      <c r="AY1770" s="750"/>
      <c r="AZ1770" s="750"/>
      <c r="BA1770" s="750"/>
      <c r="BB1770" s="750"/>
      <c r="BC1770" s="752"/>
      <c r="BD1770" s="752"/>
      <c r="BE1770" s="752"/>
      <c r="BF1770" s="752"/>
      <c r="BG1770" s="752"/>
      <c r="BH1770" s="752"/>
      <c r="BI1770" s="752"/>
      <c r="BJ1770" s="752"/>
      <c r="BK1770" s="752"/>
      <c r="BL1770" s="752"/>
      <c r="BM1770" s="752"/>
      <c r="BN1770" s="752"/>
      <c r="BO1770" s="752"/>
      <c r="BP1770" s="752"/>
      <c r="BQ1770" s="752"/>
      <c r="BR1770" s="752"/>
      <c r="BS1770" s="752"/>
      <c r="BT1770" s="752"/>
      <c r="BU1770" s="752"/>
      <c r="BV1770" s="752"/>
      <c r="BW1770" s="752"/>
      <c r="BX1770" s="752"/>
      <c r="BY1770" s="752"/>
      <c r="BZ1770" s="752"/>
      <c r="CA1770" s="752"/>
      <c r="CB1770" s="752"/>
      <c r="CC1770" s="752"/>
      <c r="CD1770" s="752"/>
      <c r="CE1770" s="752"/>
      <c r="CF1770" s="752"/>
      <c r="CG1770" s="752"/>
      <c r="CH1770" s="752"/>
      <c r="CI1770" s="752"/>
      <c r="CJ1770" s="752"/>
      <c r="CK1770" s="752"/>
      <c r="CL1770" s="752"/>
      <c r="CM1770" s="752"/>
      <c r="CN1770" s="752"/>
      <c r="CO1770" s="752"/>
      <c r="CP1770" s="752"/>
      <c r="CQ1770" s="752"/>
      <c r="CR1770" s="752"/>
      <c r="CS1770" s="752"/>
      <c r="CT1770" s="752"/>
      <c r="CU1770" s="752"/>
      <c r="CV1770" s="752"/>
      <c r="CW1770" s="752"/>
      <c r="CX1770" s="752"/>
      <c r="CY1770" s="752"/>
      <c r="CZ1770" s="752"/>
      <c r="DA1770" s="752"/>
      <c r="DB1770" s="752"/>
      <c r="DC1770" s="752"/>
      <c r="DD1770" s="752"/>
      <c r="DE1770" s="752"/>
      <c r="DF1770" s="752"/>
      <c r="DG1770" s="752"/>
      <c r="DH1770" s="752"/>
      <c r="DI1770" s="752"/>
      <c r="DJ1770" s="752"/>
      <c r="DK1770" s="752"/>
      <c r="DL1770" s="752"/>
      <c r="DM1770" s="752"/>
      <c r="DN1770" s="752"/>
      <c r="DO1770" s="752"/>
      <c r="DP1770" s="752"/>
      <c r="DQ1770" s="752"/>
      <c r="DR1770" s="752"/>
      <c r="DS1770" s="752"/>
      <c r="DT1770" s="752"/>
      <c r="DU1770" s="752"/>
      <c r="DV1770" s="752"/>
      <c r="DW1770" s="752"/>
      <c r="DX1770" s="752"/>
      <c r="DY1770" s="752"/>
      <c r="DZ1770" s="752"/>
      <c r="EA1770" s="752"/>
      <c r="EB1770" s="752"/>
      <c r="EC1770" s="752"/>
      <c r="ED1770" s="752"/>
      <c r="EE1770" s="752"/>
      <c r="EF1770" s="752"/>
      <c r="EG1770" s="752"/>
      <c r="EH1770" s="752"/>
      <c r="EI1770" s="752"/>
      <c r="EJ1770" s="752"/>
      <c r="EK1770" s="752"/>
      <c r="EL1770" s="752"/>
      <c r="EM1770" s="752"/>
      <c r="EN1770" s="752"/>
      <c r="EO1770" s="752"/>
      <c r="EP1770" s="752"/>
      <c r="EQ1770" s="752"/>
      <c r="ER1770" s="752"/>
      <c r="ES1770" s="752"/>
      <c r="ET1770" s="752"/>
      <c r="EU1770" s="752"/>
      <c r="EV1770" s="752"/>
      <c r="EW1770" s="752"/>
      <c r="EX1770" s="752"/>
      <c r="EY1770" s="752"/>
      <c r="EZ1770" s="752"/>
      <c r="FA1770" s="752"/>
      <c r="FB1770" s="752"/>
      <c r="FC1770" s="752"/>
      <c r="FD1770" s="752"/>
      <c r="FE1770" s="752"/>
      <c r="FF1770" s="752"/>
      <c r="FG1770" s="752"/>
      <c r="FH1770" s="752"/>
      <c r="FI1770" s="752"/>
      <c r="FJ1770" s="752"/>
      <c r="FK1770" s="752"/>
      <c r="FL1770" s="752"/>
      <c r="FM1770" s="752"/>
      <c r="FN1770" s="752"/>
      <c r="FO1770" s="752"/>
      <c r="FP1770" s="752"/>
      <c r="FQ1770" s="752"/>
      <c r="FR1770" s="752"/>
      <c r="FS1770" s="752"/>
      <c r="FT1770" s="752"/>
      <c r="FU1770" s="752"/>
      <c r="FV1770" s="752"/>
      <c r="FW1770" s="752"/>
      <c r="FX1770" s="752"/>
      <c r="FY1770" s="752"/>
      <c r="FZ1770" s="752"/>
      <c r="GA1770" s="752"/>
      <c r="GB1770" s="752"/>
      <c r="GC1770" s="752"/>
      <c r="GD1770" s="752"/>
      <c r="GE1770" s="752"/>
      <c r="GF1770" s="752"/>
      <c r="GG1770" s="752"/>
      <c r="GH1770" s="752"/>
      <c r="GI1770" s="752"/>
      <c r="GJ1770" s="752"/>
      <c r="GK1770" s="752"/>
      <c r="GL1770" s="752"/>
      <c r="GM1770" s="752"/>
      <c r="GN1770" s="752"/>
      <c r="GO1770" s="752"/>
      <c r="GP1770" s="752"/>
      <c r="GQ1770" s="752"/>
      <c r="GR1770" s="752"/>
      <c r="GS1770" s="752"/>
      <c r="GT1770" s="752"/>
      <c r="GU1770" s="752"/>
      <c r="GV1770" s="752"/>
      <c r="GW1770" s="752"/>
      <c r="GX1770" s="752"/>
      <c r="GY1770" s="752"/>
      <c r="GZ1770" s="752"/>
      <c r="HA1770" s="752"/>
      <c r="HB1770" s="752"/>
      <c r="HC1770" s="752"/>
      <c r="HD1770" s="752"/>
      <c r="HE1770" s="752"/>
      <c r="HF1770" s="752"/>
      <c r="HG1770" s="752"/>
      <c r="HH1770" s="752"/>
      <c r="HI1770" s="752"/>
      <c r="HJ1770" s="752"/>
      <c r="HK1770" s="752"/>
      <c r="HL1770" s="752"/>
      <c r="HM1770" s="752"/>
      <c r="HN1770" s="752"/>
      <c r="HO1770" s="752"/>
      <c r="HP1770" s="752"/>
      <c r="HQ1770" s="752"/>
      <c r="HR1770" s="752"/>
      <c r="HS1770" s="752"/>
      <c r="HT1770" s="752"/>
      <c r="HU1770" s="752"/>
      <c r="HV1770" s="752"/>
      <c r="HW1770" s="752"/>
      <c r="HX1770" s="752"/>
      <c r="HY1770" s="752"/>
      <c r="HZ1770" s="752"/>
      <c r="IA1770" s="752"/>
      <c r="IB1770" s="752"/>
      <c r="IC1770" s="752"/>
      <c r="ID1770" s="752"/>
      <c r="IE1770" s="752"/>
      <c r="IF1770" s="752"/>
      <c r="IG1770" s="752"/>
      <c r="IH1770" s="752"/>
      <c r="II1770" s="752"/>
      <c r="IJ1770" s="752"/>
      <c r="IK1770" s="752"/>
      <c r="IL1770" s="752"/>
      <c r="IM1770" s="752"/>
      <c r="IN1770" s="752"/>
      <c r="IO1770" s="752"/>
    </row>
    <row r="1771" spans="1:249" ht="49.5">
      <c r="A1771" s="89"/>
      <c r="B1771" s="41"/>
      <c r="C1771" s="605">
        <v>3</v>
      </c>
      <c r="D1771" s="605" t="s">
        <v>34</v>
      </c>
      <c r="E1771" s="605" t="s">
        <v>39</v>
      </c>
      <c r="F1771" s="89">
        <v>18</v>
      </c>
      <c r="G1771" s="605" t="s">
        <v>56</v>
      </c>
      <c r="H1771" s="605"/>
      <c r="I1771" s="114" t="s">
        <v>1699</v>
      </c>
      <c r="J1771" s="124" t="s">
        <v>1700</v>
      </c>
      <c r="K1771" s="1239">
        <v>5</v>
      </c>
      <c r="L1771" s="125">
        <v>380076292</v>
      </c>
      <c r="M1771" s="91">
        <v>3</v>
      </c>
      <c r="N1771" s="805">
        <v>83511724</v>
      </c>
      <c r="O1771" s="91">
        <v>1</v>
      </c>
      <c r="P1771" s="805">
        <v>29999956</v>
      </c>
      <c r="Q1771" s="91">
        <v>0</v>
      </c>
      <c r="R1771" s="805">
        <v>0</v>
      </c>
      <c r="S1771" s="125"/>
      <c r="T1771" s="125"/>
      <c r="U1771" s="125"/>
      <c r="V1771" s="803"/>
      <c r="W1771" s="125"/>
      <c r="X1771" s="125"/>
      <c r="Y1771" s="125">
        <f t="shared" si="512"/>
        <v>0</v>
      </c>
      <c r="Z1771" s="125">
        <f t="shared" si="513"/>
        <v>0</v>
      </c>
      <c r="AA1771" s="1196">
        <f t="shared" si="514"/>
        <v>3</v>
      </c>
      <c r="AB1771" s="125">
        <f t="shared" si="515"/>
        <v>83511724</v>
      </c>
      <c r="AC1771" s="1196">
        <f t="shared" si="510"/>
        <v>60</v>
      </c>
      <c r="AD1771" s="1196">
        <f t="shared" si="511"/>
        <v>21.972358118038049</v>
      </c>
      <c r="AE1771" s="89"/>
      <c r="AF1771" s="750"/>
      <c r="AG1771" s="750"/>
      <c r="AH1771" s="750"/>
      <c r="AI1771" s="750"/>
      <c r="AJ1771" s="750"/>
      <c r="AK1771" s="750"/>
      <c r="AL1771" s="750"/>
      <c r="AM1771" s="750"/>
      <c r="AN1771" s="750"/>
      <c r="AO1771" s="750"/>
      <c r="AP1771" s="750"/>
      <c r="AQ1771" s="750"/>
      <c r="AR1771" s="750"/>
      <c r="AS1771" s="750"/>
      <c r="AT1771" s="750"/>
      <c r="AU1771" s="750"/>
      <c r="AV1771" s="750"/>
      <c r="AW1771" s="750"/>
      <c r="AX1771" s="750"/>
      <c r="AY1771" s="750"/>
      <c r="AZ1771" s="750"/>
      <c r="BA1771" s="750"/>
      <c r="BB1771" s="750"/>
      <c r="BC1771" s="752"/>
      <c r="BD1771" s="752"/>
      <c r="BE1771" s="752"/>
      <c r="BF1771" s="752"/>
      <c r="BG1771" s="752"/>
      <c r="BH1771" s="752"/>
      <c r="BI1771" s="752"/>
      <c r="BJ1771" s="752"/>
      <c r="BK1771" s="752"/>
      <c r="BL1771" s="752"/>
      <c r="BM1771" s="752"/>
      <c r="BN1771" s="752"/>
      <c r="BO1771" s="752"/>
      <c r="BP1771" s="752"/>
      <c r="BQ1771" s="752"/>
      <c r="BR1771" s="752"/>
      <c r="BS1771" s="752"/>
      <c r="BT1771" s="752"/>
      <c r="BU1771" s="752"/>
      <c r="BV1771" s="752"/>
      <c r="BW1771" s="752"/>
      <c r="BX1771" s="752"/>
      <c r="BY1771" s="752"/>
      <c r="BZ1771" s="752"/>
      <c r="CA1771" s="752"/>
      <c r="CB1771" s="752"/>
      <c r="CC1771" s="752"/>
      <c r="CD1771" s="752"/>
      <c r="CE1771" s="752"/>
      <c r="CF1771" s="752"/>
      <c r="CG1771" s="752"/>
      <c r="CH1771" s="752"/>
      <c r="CI1771" s="752"/>
      <c r="CJ1771" s="752"/>
      <c r="CK1771" s="752"/>
      <c r="CL1771" s="752"/>
      <c r="CM1771" s="752"/>
      <c r="CN1771" s="752"/>
      <c r="CO1771" s="752"/>
      <c r="CP1771" s="752"/>
      <c r="CQ1771" s="752"/>
      <c r="CR1771" s="752"/>
      <c r="CS1771" s="752"/>
      <c r="CT1771" s="752"/>
      <c r="CU1771" s="752"/>
      <c r="CV1771" s="752"/>
      <c r="CW1771" s="752"/>
      <c r="CX1771" s="752"/>
      <c r="CY1771" s="752"/>
      <c r="CZ1771" s="752"/>
      <c r="DA1771" s="752"/>
      <c r="DB1771" s="752"/>
      <c r="DC1771" s="752"/>
      <c r="DD1771" s="752"/>
      <c r="DE1771" s="752"/>
      <c r="DF1771" s="752"/>
      <c r="DG1771" s="752"/>
      <c r="DH1771" s="752"/>
      <c r="DI1771" s="752"/>
      <c r="DJ1771" s="752"/>
      <c r="DK1771" s="752"/>
      <c r="DL1771" s="752"/>
      <c r="DM1771" s="752"/>
      <c r="DN1771" s="752"/>
      <c r="DO1771" s="752"/>
      <c r="DP1771" s="752"/>
      <c r="DQ1771" s="752"/>
      <c r="DR1771" s="752"/>
      <c r="DS1771" s="752"/>
      <c r="DT1771" s="752"/>
      <c r="DU1771" s="752"/>
      <c r="DV1771" s="752"/>
      <c r="DW1771" s="752"/>
      <c r="DX1771" s="752"/>
      <c r="DY1771" s="752"/>
      <c r="DZ1771" s="752"/>
      <c r="EA1771" s="752"/>
      <c r="EB1771" s="752"/>
      <c r="EC1771" s="752"/>
      <c r="ED1771" s="752"/>
      <c r="EE1771" s="752"/>
      <c r="EF1771" s="752"/>
      <c r="EG1771" s="752"/>
      <c r="EH1771" s="752"/>
      <c r="EI1771" s="752"/>
      <c r="EJ1771" s="752"/>
      <c r="EK1771" s="752"/>
      <c r="EL1771" s="752"/>
      <c r="EM1771" s="752"/>
      <c r="EN1771" s="752"/>
      <c r="EO1771" s="752"/>
      <c r="EP1771" s="752"/>
      <c r="EQ1771" s="752"/>
      <c r="ER1771" s="752"/>
      <c r="ES1771" s="752"/>
      <c r="ET1771" s="752"/>
      <c r="EU1771" s="752"/>
      <c r="EV1771" s="752"/>
      <c r="EW1771" s="752"/>
      <c r="EX1771" s="752"/>
      <c r="EY1771" s="752"/>
      <c r="EZ1771" s="752"/>
      <c r="FA1771" s="752"/>
      <c r="FB1771" s="752"/>
      <c r="FC1771" s="752"/>
      <c r="FD1771" s="752"/>
      <c r="FE1771" s="752"/>
      <c r="FF1771" s="752"/>
      <c r="FG1771" s="752"/>
      <c r="FH1771" s="752"/>
      <c r="FI1771" s="752"/>
      <c r="FJ1771" s="752"/>
      <c r="FK1771" s="752"/>
      <c r="FL1771" s="752"/>
      <c r="FM1771" s="752"/>
      <c r="FN1771" s="752"/>
      <c r="FO1771" s="752"/>
      <c r="FP1771" s="752"/>
      <c r="FQ1771" s="752"/>
      <c r="FR1771" s="752"/>
      <c r="FS1771" s="752"/>
      <c r="FT1771" s="752"/>
      <c r="FU1771" s="752"/>
      <c r="FV1771" s="752"/>
      <c r="FW1771" s="752"/>
      <c r="FX1771" s="752"/>
      <c r="FY1771" s="752"/>
      <c r="FZ1771" s="752"/>
      <c r="GA1771" s="752"/>
      <c r="GB1771" s="752"/>
      <c r="GC1771" s="752"/>
      <c r="GD1771" s="752"/>
      <c r="GE1771" s="752"/>
      <c r="GF1771" s="752"/>
      <c r="GG1771" s="752"/>
      <c r="GH1771" s="752"/>
      <c r="GI1771" s="752"/>
      <c r="GJ1771" s="752"/>
      <c r="GK1771" s="752"/>
      <c r="GL1771" s="752"/>
      <c r="GM1771" s="752"/>
      <c r="GN1771" s="752"/>
      <c r="GO1771" s="752"/>
      <c r="GP1771" s="752"/>
      <c r="GQ1771" s="752"/>
      <c r="GR1771" s="752"/>
      <c r="GS1771" s="752"/>
      <c r="GT1771" s="752"/>
      <c r="GU1771" s="752"/>
      <c r="GV1771" s="752"/>
      <c r="GW1771" s="752"/>
      <c r="GX1771" s="752"/>
      <c r="GY1771" s="752"/>
      <c r="GZ1771" s="752"/>
      <c r="HA1771" s="752"/>
      <c r="HB1771" s="752"/>
      <c r="HC1771" s="752"/>
      <c r="HD1771" s="752"/>
      <c r="HE1771" s="752"/>
      <c r="HF1771" s="752"/>
      <c r="HG1771" s="752"/>
      <c r="HH1771" s="752"/>
      <c r="HI1771" s="752"/>
      <c r="HJ1771" s="752"/>
      <c r="HK1771" s="752"/>
      <c r="HL1771" s="752"/>
      <c r="HM1771" s="752"/>
      <c r="HN1771" s="752"/>
      <c r="HO1771" s="752"/>
      <c r="HP1771" s="752"/>
      <c r="HQ1771" s="752"/>
      <c r="HR1771" s="752"/>
      <c r="HS1771" s="752"/>
      <c r="HT1771" s="752"/>
      <c r="HU1771" s="752"/>
      <c r="HV1771" s="752"/>
      <c r="HW1771" s="752"/>
      <c r="HX1771" s="752"/>
      <c r="HY1771" s="752"/>
      <c r="HZ1771" s="752"/>
      <c r="IA1771" s="752"/>
      <c r="IB1771" s="752"/>
      <c r="IC1771" s="752"/>
      <c r="ID1771" s="752"/>
      <c r="IE1771" s="752"/>
      <c r="IF1771" s="752"/>
      <c r="IG1771" s="752"/>
      <c r="IH1771" s="752"/>
      <c r="II1771" s="752"/>
      <c r="IJ1771" s="752"/>
      <c r="IK1771" s="752"/>
      <c r="IL1771" s="752"/>
      <c r="IM1771" s="752"/>
      <c r="IN1771" s="752"/>
      <c r="IO1771" s="752"/>
    </row>
    <row r="1772" spans="1:249" ht="66">
      <c r="A1772" s="89"/>
      <c r="B1772" s="100"/>
      <c r="C1772" s="605">
        <v>3</v>
      </c>
      <c r="D1772" s="605" t="s">
        <v>34</v>
      </c>
      <c r="E1772" s="605" t="s">
        <v>39</v>
      </c>
      <c r="F1772" s="89">
        <v>18</v>
      </c>
      <c r="G1772" s="605"/>
      <c r="H1772" s="605"/>
      <c r="I1772" s="114" t="s">
        <v>1701</v>
      </c>
      <c r="J1772" s="124" t="s">
        <v>3239</v>
      </c>
      <c r="K1772" s="1239">
        <v>24</v>
      </c>
      <c r="L1772" s="125">
        <v>316212864</v>
      </c>
      <c r="M1772" s="91">
        <v>24</v>
      </c>
      <c r="N1772" s="805">
        <v>157746322</v>
      </c>
      <c r="O1772" s="91">
        <v>0</v>
      </c>
      <c r="P1772" s="805">
        <v>0</v>
      </c>
      <c r="Q1772" s="91">
        <v>0</v>
      </c>
      <c r="R1772" s="805">
        <v>0</v>
      </c>
      <c r="S1772" s="125"/>
      <c r="T1772" s="125"/>
      <c r="U1772" s="125"/>
      <c r="V1772" s="803"/>
      <c r="W1772" s="125"/>
      <c r="X1772" s="125"/>
      <c r="Y1772" s="125">
        <f t="shared" si="512"/>
        <v>0</v>
      </c>
      <c r="Z1772" s="125">
        <f t="shared" si="513"/>
        <v>0</v>
      </c>
      <c r="AA1772" s="1196">
        <f t="shared" si="514"/>
        <v>24</v>
      </c>
      <c r="AB1772" s="125">
        <f t="shared" si="515"/>
        <v>157746322</v>
      </c>
      <c r="AC1772" s="1196">
        <f t="shared" si="510"/>
        <v>100</v>
      </c>
      <c r="AD1772" s="1196">
        <f t="shared" si="511"/>
        <v>49.886117852561497</v>
      </c>
      <c r="AE1772" s="2600"/>
      <c r="AF1772" s="750"/>
      <c r="AG1772" s="750"/>
      <c r="AH1772" s="750"/>
      <c r="AI1772" s="750"/>
      <c r="AJ1772" s="750"/>
      <c r="AK1772" s="750"/>
      <c r="AL1772" s="750"/>
      <c r="AM1772" s="750"/>
      <c r="AN1772" s="750"/>
      <c r="AO1772" s="750"/>
      <c r="AP1772" s="750"/>
      <c r="AQ1772" s="750"/>
      <c r="AR1772" s="750"/>
      <c r="AS1772" s="750"/>
      <c r="AT1772" s="750"/>
      <c r="AU1772" s="750"/>
      <c r="AV1772" s="750"/>
      <c r="AW1772" s="750"/>
      <c r="AX1772" s="750"/>
      <c r="AY1772" s="750"/>
      <c r="AZ1772" s="750"/>
      <c r="BA1772" s="750"/>
      <c r="BB1772" s="750"/>
      <c r="BC1772" s="752"/>
      <c r="BD1772" s="752"/>
      <c r="BE1772" s="752"/>
      <c r="BF1772" s="752"/>
      <c r="BG1772" s="752"/>
      <c r="BH1772" s="752"/>
      <c r="BI1772" s="752"/>
      <c r="BJ1772" s="752"/>
      <c r="BK1772" s="752"/>
      <c r="BL1772" s="752"/>
      <c r="BM1772" s="752"/>
      <c r="BN1772" s="752"/>
      <c r="BO1772" s="752"/>
      <c r="BP1772" s="752"/>
      <c r="BQ1772" s="752"/>
      <c r="BR1772" s="752"/>
      <c r="BS1772" s="752"/>
      <c r="BT1772" s="752"/>
      <c r="BU1772" s="752"/>
      <c r="BV1772" s="752"/>
      <c r="BW1772" s="752"/>
      <c r="BX1772" s="752"/>
      <c r="BY1772" s="752"/>
      <c r="BZ1772" s="752"/>
      <c r="CA1772" s="752"/>
      <c r="CB1772" s="752"/>
      <c r="CC1772" s="752"/>
      <c r="CD1772" s="752"/>
      <c r="CE1772" s="752"/>
      <c r="CF1772" s="752"/>
      <c r="CG1772" s="752"/>
      <c r="CH1772" s="752"/>
      <c r="CI1772" s="752"/>
      <c r="CJ1772" s="752"/>
      <c r="CK1772" s="752"/>
      <c r="CL1772" s="752"/>
      <c r="CM1772" s="752"/>
      <c r="CN1772" s="752"/>
      <c r="CO1772" s="752"/>
      <c r="CP1772" s="752"/>
      <c r="CQ1772" s="752"/>
      <c r="CR1772" s="752"/>
      <c r="CS1772" s="752"/>
      <c r="CT1772" s="752"/>
      <c r="CU1772" s="752"/>
      <c r="CV1772" s="752"/>
      <c r="CW1772" s="752"/>
      <c r="CX1772" s="752"/>
      <c r="CY1772" s="752"/>
      <c r="CZ1772" s="752"/>
      <c r="DA1772" s="752"/>
      <c r="DB1772" s="752"/>
      <c r="DC1772" s="752"/>
      <c r="DD1772" s="752"/>
      <c r="DE1772" s="752"/>
      <c r="DF1772" s="752"/>
      <c r="DG1772" s="752"/>
      <c r="DH1772" s="752"/>
      <c r="DI1772" s="752"/>
      <c r="DJ1772" s="752"/>
      <c r="DK1772" s="752"/>
      <c r="DL1772" s="752"/>
      <c r="DM1772" s="752"/>
      <c r="DN1772" s="752"/>
      <c r="DO1772" s="752"/>
      <c r="DP1772" s="752"/>
      <c r="DQ1772" s="752"/>
      <c r="DR1772" s="752"/>
      <c r="DS1772" s="752"/>
      <c r="DT1772" s="752"/>
      <c r="DU1772" s="752"/>
      <c r="DV1772" s="752"/>
      <c r="DW1772" s="752"/>
      <c r="DX1772" s="752"/>
      <c r="DY1772" s="752"/>
      <c r="DZ1772" s="752"/>
      <c r="EA1772" s="752"/>
      <c r="EB1772" s="752"/>
      <c r="EC1772" s="752"/>
      <c r="ED1772" s="752"/>
      <c r="EE1772" s="752"/>
      <c r="EF1772" s="752"/>
      <c r="EG1772" s="752"/>
      <c r="EH1772" s="752"/>
      <c r="EI1772" s="752"/>
      <c r="EJ1772" s="752"/>
      <c r="EK1772" s="752"/>
      <c r="EL1772" s="752"/>
      <c r="EM1772" s="752"/>
      <c r="EN1772" s="752"/>
      <c r="EO1772" s="752"/>
      <c r="EP1772" s="752"/>
      <c r="EQ1772" s="752"/>
      <c r="ER1772" s="752"/>
      <c r="ES1772" s="752"/>
      <c r="ET1772" s="752"/>
      <c r="EU1772" s="752"/>
      <c r="EV1772" s="752"/>
      <c r="EW1772" s="752"/>
      <c r="EX1772" s="752"/>
      <c r="EY1772" s="752"/>
      <c r="EZ1772" s="752"/>
      <c r="FA1772" s="752"/>
      <c r="FB1772" s="752"/>
      <c r="FC1772" s="752"/>
      <c r="FD1772" s="752"/>
      <c r="FE1772" s="752"/>
      <c r="FF1772" s="752"/>
      <c r="FG1772" s="752"/>
      <c r="FH1772" s="752"/>
      <c r="FI1772" s="752"/>
      <c r="FJ1772" s="752"/>
      <c r="FK1772" s="752"/>
      <c r="FL1772" s="752"/>
      <c r="FM1772" s="752"/>
      <c r="FN1772" s="752"/>
      <c r="FO1772" s="752"/>
      <c r="FP1772" s="752"/>
      <c r="FQ1772" s="752"/>
      <c r="FR1772" s="752"/>
      <c r="FS1772" s="752"/>
      <c r="FT1772" s="752"/>
      <c r="FU1772" s="752"/>
      <c r="FV1772" s="752"/>
      <c r="FW1772" s="752"/>
      <c r="FX1772" s="752"/>
      <c r="FY1772" s="752"/>
      <c r="FZ1772" s="752"/>
      <c r="GA1772" s="752"/>
      <c r="GB1772" s="752"/>
      <c r="GC1772" s="752"/>
      <c r="GD1772" s="752"/>
      <c r="GE1772" s="752"/>
      <c r="GF1772" s="752"/>
      <c r="GG1772" s="752"/>
      <c r="GH1772" s="752"/>
      <c r="GI1772" s="752"/>
      <c r="GJ1772" s="752"/>
      <c r="GK1772" s="752"/>
      <c r="GL1772" s="752"/>
      <c r="GM1772" s="752"/>
      <c r="GN1772" s="752"/>
      <c r="GO1772" s="752"/>
      <c r="GP1772" s="752"/>
      <c r="GQ1772" s="752"/>
      <c r="GR1772" s="752"/>
      <c r="GS1772" s="752"/>
      <c r="GT1772" s="752"/>
      <c r="GU1772" s="752"/>
      <c r="GV1772" s="752"/>
      <c r="GW1772" s="752"/>
      <c r="GX1772" s="752"/>
      <c r="GY1772" s="752"/>
      <c r="GZ1772" s="752"/>
      <c r="HA1772" s="752"/>
      <c r="HB1772" s="752"/>
      <c r="HC1772" s="752"/>
      <c r="HD1772" s="752"/>
      <c r="HE1772" s="752"/>
      <c r="HF1772" s="752"/>
      <c r="HG1772" s="752"/>
      <c r="HH1772" s="752"/>
      <c r="HI1772" s="752"/>
      <c r="HJ1772" s="752"/>
      <c r="HK1772" s="752"/>
      <c r="HL1772" s="752"/>
      <c r="HM1772" s="752"/>
      <c r="HN1772" s="752"/>
      <c r="HO1772" s="752"/>
      <c r="HP1772" s="752"/>
      <c r="HQ1772" s="752"/>
      <c r="HR1772" s="752"/>
      <c r="HS1772" s="752"/>
      <c r="HT1772" s="752"/>
      <c r="HU1772" s="752"/>
      <c r="HV1772" s="752"/>
      <c r="HW1772" s="752"/>
      <c r="HX1772" s="752"/>
      <c r="HY1772" s="752"/>
      <c r="HZ1772" s="752"/>
      <c r="IA1772" s="752"/>
      <c r="IB1772" s="752"/>
      <c r="IC1772" s="752"/>
      <c r="ID1772" s="752"/>
      <c r="IE1772" s="752"/>
      <c r="IF1772" s="752"/>
      <c r="IG1772" s="752"/>
      <c r="IH1772" s="752"/>
      <c r="II1772" s="752"/>
      <c r="IJ1772" s="752"/>
      <c r="IK1772" s="752"/>
      <c r="IL1772" s="752"/>
      <c r="IM1772" s="752"/>
      <c r="IN1772" s="752"/>
      <c r="IO1772" s="752"/>
    </row>
    <row r="1773" spans="1:249" ht="66">
      <c r="A1773" s="89"/>
      <c r="B1773" s="100"/>
      <c r="C1773" s="605">
        <v>3</v>
      </c>
      <c r="D1773" s="605" t="s">
        <v>34</v>
      </c>
      <c r="E1773" s="605" t="s">
        <v>39</v>
      </c>
      <c r="F1773" s="89">
        <v>18</v>
      </c>
      <c r="G1773" s="605" t="s">
        <v>43</v>
      </c>
      <c r="H1773" s="605"/>
      <c r="I1773" s="114" t="s">
        <v>1702</v>
      </c>
      <c r="J1773" s="124" t="s">
        <v>3240</v>
      </c>
      <c r="K1773" s="1239">
        <v>36</v>
      </c>
      <c r="L1773" s="125">
        <v>456134330</v>
      </c>
      <c r="M1773" s="91">
        <v>36</v>
      </c>
      <c r="N1773" s="805">
        <v>163515958</v>
      </c>
      <c r="O1773" s="91">
        <v>0</v>
      </c>
      <c r="P1773" s="805"/>
      <c r="Q1773" s="91">
        <v>0</v>
      </c>
      <c r="R1773" s="805">
        <v>0</v>
      </c>
      <c r="S1773" s="125"/>
      <c r="T1773" s="125"/>
      <c r="U1773" s="125"/>
      <c r="V1773" s="803"/>
      <c r="W1773" s="125"/>
      <c r="X1773" s="125"/>
      <c r="Y1773" s="125">
        <f t="shared" si="512"/>
        <v>0</v>
      </c>
      <c r="Z1773" s="125">
        <f t="shared" si="513"/>
        <v>0</v>
      </c>
      <c r="AA1773" s="1196">
        <f t="shared" si="514"/>
        <v>36</v>
      </c>
      <c r="AB1773" s="125">
        <f t="shared" si="515"/>
        <v>163515958</v>
      </c>
      <c r="AC1773" s="1196">
        <f t="shared" si="510"/>
        <v>100</v>
      </c>
      <c r="AD1773" s="1196">
        <f t="shared" si="511"/>
        <v>35.848202436330546</v>
      </c>
      <c r="AE1773" s="89"/>
      <c r="AF1773" s="750"/>
      <c r="AG1773" s="750"/>
      <c r="AH1773" s="750"/>
      <c r="AI1773" s="750"/>
      <c r="AJ1773" s="750"/>
      <c r="AK1773" s="750"/>
      <c r="AL1773" s="750"/>
      <c r="AM1773" s="750"/>
      <c r="AN1773" s="750"/>
      <c r="AO1773" s="750"/>
      <c r="AP1773" s="750"/>
      <c r="AQ1773" s="750"/>
      <c r="AR1773" s="750"/>
      <c r="AS1773" s="750"/>
      <c r="AT1773" s="750"/>
      <c r="AU1773" s="750"/>
      <c r="AV1773" s="750"/>
      <c r="AW1773" s="750"/>
      <c r="AX1773" s="750"/>
      <c r="AY1773" s="750"/>
      <c r="AZ1773" s="750"/>
      <c r="BA1773" s="750"/>
      <c r="BB1773" s="750"/>
      <c r="BC1773" s="752"/>
      <c r="BD1773" s="752"/>
      <c r="BE1773" s="752"/>
      <c r="BF1773" s="752"/>
      <c r="BG1773" s="752"/>
      <c r="BH1773" s="752"/>
      <c r="BI1773" s="752"/>
      <c r="BJ1773" s="752"/>
      <c r="BK1773" s="752"/>
      <c r="BL1773" s="752"/>
      <c r="BM1773" s="752"/>
      <c r="BN1773" s="752"/>
      <c r="BO1773" s="752"/>
      <c r="BP1773" s="752"/>
      <c r="BQ1773" s="752"/>
      <c r="BR1773" s="752"/>
      <c r="BS1773" s="752"/>
      <c r="BT1773" s="752"/>
      <c r="BU1773" s="752"/>
      <c r="BV1773" s="752"/>
      <c r="BW1773" s="752"/>
      <c r="BX1773" s="752"/>
      <c r="BY1773" s="752"/>
      <c r="BZ1773" s="752"/>
      <c r="CA1773" s="752"/>
      <c r="CB1773" s="752"/>
      <c r="CC1773" s="752"/>
      <c r="CD1773" s="752"/>
      <c r="CE1773" s="752"/>
      <c r="CF1773" s="752"/>
      <c r="CG1773" s="752"/>
      <c r="CH1773" s="752"/>
      <c r="CI1773" s="752"/>
      <c r="CJ1773" s="752"/>
      <c r="CK1773" s="752"/>
      <c r="CL1773" s="752"/>
      <c r="CM1773" s="752"/>
      <c r="CN1773" s="752"/>
      <c r="CO1773" s="752"/>
      <c r="CP1773" s="752"/>
      <c r="CQ1773" s="752"/>
      <c r="CR1773" s="752"/>
      <c r="CS1773" s="752"/>
      <c r="CT1773" s="752"/>
      <c r="CU1773" s="752"/>
      <c r="CV1773" s="752"/>
      <c r="CW1773" s="752"/>
      <c r="CX1773" s="752"/>
      <c r="CY1773" s="752"/>
      <c r="CZ1773" s="752"/>
      <c r="DA1773" s="752"/>
      <c r="DB1773" s="752"/>
      <c r="DC1773" s="752"/>
      <c r="DD1773" s="752"/>
      <c r="DE1773" s="752"/>
      <c r="DF1773" s="752"/>
      <c r="DG1773" s="752"/>
      <c r="DH1773" s="752"/>
      <c r="DI1773" s="752"/>
      <c r="DJ1773" s="752"/>
      <c r="DK1773" s="752"/>
      <c r="DL1773" s="752"/>
      <c r="DM1773" s="752"/>
      <c r="DN1773" s="752"/>
      <c r="DO1773" s="752"/>
      <c r="DP1773" s="752"/>
      <c r="DQ1773" s="752"/>
      <c r="DR1773" s="752"/>
      <c r="DS1773" s="752"/>
      <c r="DT1773" s="752"/>
      <c r="DU1773" s="752"/>
      <c r="DV1773" s="752"/>
      <c r="DW1773" s="752"/>
      <c r="DX1773" s="752"/>
      <c r="DY1773" s="752"/>
      <c r="DZ1773" s="752"/>
      <c r="EA1773" s="752"/>
      <c r="EB1773" s="752"/>
      <c r="EC1773" s="752"/>
      <c r="ED1773" s="752"/>
      <c r="EE1773" s="752"/>
      <c r="EF1773" s="752"/>
      <c r="EG1773" s="752"/>
      <c r="EH1773" s="752"/>
      <c r="EI1773" s="752"/>
      <c r="EJ1773" s="752"/>
      <c r="EK1773" s="752"/>
      <c r="EL1773" s="752"/>
      <c r="EM1773" s="752"/>
      <c r="EN1773" s="752"/>
      <c r="EO1773" s="752"/>
      <c r="EP1773" s="752"/>
      <c r="EQ1773" s="752"/>
      <c r="ER1773" s="752"/>
      <c r="ES1773" s="752"/>
      <c r="ET1773" s="752"/>
      <c r="EU1773" s="752"/>
      <c r="EV1773" s="752"/>
      <c r="EW1773" s="752"/>
      <c r="EX1773" s="752"/>
      <c r="EY1773" s="752"/>
      <c r="EZ1773" s="752"/>
      <c r="FA1773" s="752"/>
      <c r="FB1773" s="752"/>
      <c r="FC1773" s="752"/>
      <c r="FD1773" s="752"/>
      <c r="FE1773" s="752"/>
      <c r="FF1773" s="752"/>
      <c r="FG1773" s="752"/>
      <c r="FH1773" s="752"/>
      <c r="FI1773" s="752"/>
      <c r="FJ1773" s="752"/>
      <c r="FK1773" s="752"/>
      <c r="FL1773" s="752"/>
      <c r="FM1773" s="752"/>
      <c r="FN1773" s="752"/>
      <c r="FO1773" s="752"/>
      <c r="FP1773" s="752"/>
      <c r="FQ1773" s="752"/>
      <c r="FR1773" s="752"/>
      <c r="FS1773" s="752"/>
      <c r="FT1773" s="752"/>
      <c r="FU1773" s="752"/>
      <c r="FV1773" s="752"/>
      <c r="FW1773" s="752"/>
      <c r="FX1773" s="752"/>
      <c r="FY1773" s="752"/>
      <c r="FZ1773" s="752"/>
      <c r="GA1773" s="752"/>
      <c r="GB1773" s="752"/>
      <c r="GC1773" s="752"/>
      <c r="GD1773" s="752"/>
      <c r="GE1773" s="752"/>
      <c r="GF1773" s="752"/>
      <c r="GG1773" s="752"/>
      <c r="GH1773" s="752"/>
      <c r="GI1773" s="752"/>
      <c r="GJ1773" s="752"/>
      <c r="GK1773" s="752"/>
      <c r="GL1773" s="752"/>
      <c r="GM1773" s="752"/>
      <c r="GN1773" s="752"/>
      <c r="GO1773" s="752"/>
      <c r="GP1773" s="752"/>
      <c r="GQ1773" s="752"/>
      <c r="GR1773" s="752"/>
      <c r="GS1773" s="752"/>
      <c r="GT1773" s="752"/>
      <c r="GU1773" s="752"/>
      <c r="GV1773" s="752"/>
      <c r="GW1773" s="752"/>
      <c r="GX1773" s="752"/>
      <c r="GY1773" s="752"/>
      <c r="GZ1773" s="752"/>
      <c r="HA1773" s="752"/>
      <c r="HB1773" s="752"/>
      <c r="HC1773" s="752"/>
      <c r="HD1773" s="752"/>
      <c r="HE1773" s="752"/>
      <c r="HF1773" s="752"/>
      <c r="HG1773" s="752"/>
      <c r="HH1773" s="752"/>
      <c r="HI1773" s="752"/>
      <c r="HJ1773" s="752"/>
      <c r="HK1773" s="752"/>
      <c r="HL1773" s="752"/>
      <c r="HM1773" s="752"/>
      <c r="HN1773" s="752"/>
      <c r="HO1773" s="752"/>
      <c r="HP1773" s="752"/>
      <c r="HQ1773" s="752"/>
      <c r="HR1773" s="752"/>
      <c r="HS1773" s="752"/>
      <c r="HT1773" s="752"/>
      <c r="HU1773" s="752"/>
      <c r="HV1773" s="752"/>
      <c r="HW1773" s="752"/>
      <c r="HX1773" s="752"/>
      <c r="HY1773" s="752"/>
      <c r="HZ1773" s="752"/>
      <c r="IA1773" s="752"/>
      <c r="IB1773" s="752"/>
      <c r="IC1773" s="752"/>
      <c r="ID1773" s="752"/>
      <c r="IE1773" s="752"/>
      <c r="IF1773" s="752"/>
      <c r="IG1773" s="752"/>
      <c r="IH1773" s="752"/>
      <c r="II1773" s="752"/>
      <c r="IJ1773" s="752"/>
      <c r="IK1773" s="752"/>
      <c r="IL1773" s="752"/>
      <c r="IM1773" s="752"/>
      <c r="IN1773" s="752"/>
      <c r="IO1773" s="752"/>
    </row>
    <row r="1774" spans="1:249" ht="49.5">
      <c r="A1774" s="89"/>
      <c r="B1774" s="100"/>
      <c r="C1774" s="605">
        <v>1</v>
      </c>
      <c r="D1774" s="605">
        <v>20</v>
      </c>
      <c r="E1774" s="605">
        <v>28</v>
      </c>
      <c r="F1774" s="89">
        <v>18</v>
      </c>
      <c r="G1774" s="605" t="s">
        <v>62</v>
      </c>
      <c r="H1774" s="605"/>
      <c r="I1774" s="114" t="s">
        <v>1703</v>
      </c>
      <c r="J1774" s="124" t="s">
        <v>3241</v>
      </c>
      <c r="K1774" s="1239">
        <v>6</v>
      </c>
      <c r="L1774" s="125">
        <v>962188806</v>
      </c>
      <c r="M1774" s="91">
        <v>3</v>
      </c>
      <c r="N1774" s="805">
        <v>165748260</v>
      </c>
      <c r="O1774" s="91">
        <v>0</v>
      </c>
      <c r="P1774" s="805">
        <v>0</v>
      </c>
      <c r="Q1774" s="91">
        <v>0</v>
      </c>
      <c r="R1774" s="805">
        <v>0</v>
      </c>
      <c r="S1774" s="125"/>
      <c r="T1774" s="125"/>
      <c r="U1774" s="125"/>
      <c r="V1774" s="803"/>
      <c r="W1774" s="125"/>
      <c r="X1774" s="125"/>
      <c r="Y1774" s="125">
        <f t="shared" si="512"/>
        <v>0</v>
      </c>
      <c r="Z1774" s="125">
        <f t="shared" si="513"/>
        <v>0</v>
      </c>
      <c r="AA1774" s="1196">
        <f t="shared" si="514"/>
        <v>3</v>
      </c>
      <c r="AB1774" s="125">
        <f t="shared" si="515"/>
        <v>165748260</v>
      </c>
      <c r="AC1774" s="1196">
        <f t="shared" si="510"/>
        <v>50</v>
      </c>
      <c r="AD1774" s="1196">
        <f t="shared" si="511"/>
        <v>17.226167979343547</v>
      </c>
      <c r="AE1774" s="89"/>
      <c r="AF1774" s="750"/>
      <c r="AG1774" s="750"/>
      <c r="AH1774" s="750"/>
      <c r="AI1774" s="750"/>
      <c r="AJ1774" s="750"/>
      <c r="AK1774" s="750"/>
      <c r="AL1774" s="750"/>
      <c r="AM1774" s="750"/>
      <c r="AN1774" s="750"/>
      <c r="AO1774" s="750"/>
      <c r="AP1774" s="750"/>
      <c r="AQ1774" s="750"/>
      <c r="AR1774" s="750"/>
      <c r="AS1774" s="750"/>
      <c r="AT1774" s="750"/>
      <c r="AU1774" s="750"/>
      <c r="AV1774" s="750"/>
      <c r="AW1774" s="750"/>
      <c r="AX1774" s="750"/>
      <c r="AY1774" s="750"/>
      <c r="AZ1774" s="750"/>
      <c r="BA1774" s="750"/>
      <c r="BB1774" s="750"/>
      <c r="BC1774" s="752"/>
      <c r="BD1774" s="752"/>
      <c r="BE1774" s="752"/>
      <c r="BF1774" s="752"/>
      <c r="BG1774" s="752"/>
      <c r="BH1774" s="752"/>
      <c r="BI1774" s="752"/>
      <c r="BJ1774" s="752"/>
      <c r="BK1774" s="752"/>
      <c r="BL1774" s="752"/>
      <c r="BM1774" s="752"/>
      <c r="BN1774" s="752"/>
      <c r="BO1774" s="752"/>
      <c r="BP1774" s="752"/>
      <c r="BQ1774" s="752"/>
      <c r="BR1774" s="752"/>
      <c r="BS1774" s="752"/>
      <c r="BT1774" s="752"/>
      <c r="BU1774" s="752"/>
      <c r="BV1774" s="752"/>
      <c r="BW1774" s="752"/>
      <c r="BX1774" s="752"/>
      <c r="BY1774" s="752"/>
      <c r="BZ1774" s="752"/>
      <c r="CA1774" s="752"/>
      <c r="CB1774" s="752"/>
      <c r="CC1774" s="752"/>
      <c r="CD1774" s="752"/>
      <c r="CE1774" s="752"/>
      <c r="CF1774" s="752"/>
      <c r="CG1774" s="752"/>
      <c r="CH1774" s="752"/>
      <c r="CI1774" s="752"/>
      <c r="CJ1774" s="752"/>
      <c r="CK1774" s="752"/>
      <c r="CL1774" s="752"/>
      <c r="CM1774" s="752"/>
      <c r="CN1774" s="752"/>
      <c r="CO1774" s="752"/>
      <c r="CP1774" s="752"/>
      <c r="CQ1774" s="752"/>
      <c r="CR1774" s="752"/>
      <c r="CS1774" s="752"/>
      <c r="CT1774" s="752"/>
      <c r="CU1774" s="752"/>
      <c r="CV1774" s="752"/>
      <c r="CW1774" s="752"/>
      <c r="CX1774" s="752"/>
      <c r="CY1774" s="752"/>
      <c r="CZ1774" s="752"/>
      <c r="DA1774" s="752"/>
      <c r="DB1774" s="752"/>
      <c r="DC1774" s="752"/>
      <c r="DD1774" s="752"/>
      <c r="DE1774" s="752"/>
      <c r="DF1774" s="752"/>
      <c r="DG1774" s="752"/>
      <c r="DH1774" s="752"/>
      <c r="DI1774" s="752"/>
      <c r="DJ1774" s="752"/>
      <c r="DK1774" s="752"/>
      <c r="DL1774" s="752"/>
      <c r="DM1774" s="752"/>
      <c r="DN1774" s="752"/>
      <c r="DO1774" s="752"/>
      <c r="DP1774" s="752"/>
      <c r="DQ1774" s="752"/>
      <c r="DR1774" s="752"/>
      <c r="DS1774" s="752"/>
      <c r="DT1774" s="752"/>
      <c r="DU1774" s="752"/>
      <c r="DV1774" s="752"/>
      <c r="DW1774" s="752"/>
      <c r="DX1774" s="752"/>
      <c r="DY1774" s="752"/>
      <c r="DZ1774" s="752"/>
      <c r="EA1774" s="752"/>
      <c r="EB1774" s="752"/>
      <c r="EC1774" s="752"/>
      <c r="ED1774" s="752"/>
      <c r="EE1774" s="752"/>
      <c r="EF1774" s="752"/>
      <c r="EG1774" s="752"/>
      <c r="EH1774" s="752"/>
      <c r="EI1774" s="752"/>
      <c r="EJ1774" s="752"/>
      <c r="EK1774" s="752"/>
      <c r="EL1774" s="752"/>
      <c r="EM1774" s="752"/>
      <c r="EN1774" s="752"/>
      <c r="EO1774" s="752"/>
      <c r="EP1774" s="752"/>
      <c r="EQ1774" s="752"/>
      <c r="ER1774" s="752"/>
      <c r="ES1774" s="752"/>
      <c r="ET1774" s="752"/>
      <c r="EU1774" s="752"/>
      <c r="EV1774" s="752"/>
      <c r="EW1774" s="752"/>
      <c r="EX1774" s="752"/>
      <c r="EY1774" s="752"/>
      <c r="EZ1774" s="752"/>
      <c r="FA1774" s="752"/>
      <c r="FB1774" s="752"/>
      <c r="FC1774" s="752"/>
      <c r="FD1774" s="752"/>
      <c r="FE1774" s="752"/>
      <c r="FF1774" s="752"/>
      <c r="FG1774" s="752"/>
      <c r="FH1774" s="752"/>
      <c r="FI1774" s="752"/>
      <c r="FJ1774" s="752"/>
      <c r="FK1774" s="752"/>
      <c r="FL1774" s="752"/>
      <c r="FM1774" s="752"/>
      <c r="FN1774" s="752"/>
      <c r="FO1774" s="752"/>
      <c r="FP1774" s="752"/>
      <c r="FQ1774" s="752"/>
      <c r="FR1774" s="752"/>
      <c r="FS1774" s="752"/>
      <c r="FT1774" s="752"/>
      <c r="FU1774" s="752"/>
      <c r="FV1774" s="752"/>
      <c r="FW1774" s="752"/>
      <c r="FX1774" s="752"/>
      <c r="FY1774" s="752"/>
      <c r="FZ1774" s="752"/>
      <c r="GA1774" s="752"/>
      <c r="GB1774" s="752"/>
      <c r="GC1774" s="752"/>
      <c r="GD1774" s="752"/>
      <c r="GE1774" s="752"/>
      <c r="GF1774" s="752"/>
      <c r="GG1774" s="752"/>
      <c r="GH1774" s="752"/>
      <c r="GI1774" s="752"/>
      <c r="GJ1774" s="752"/>
      <c r="GK1774" s="752"/>
      <c r="GL1774" s="752"/>
      <c r="GM1774" s="752"/>
      <c r="GN1774" s="752"/>
      <c r="GO1774" s="752"/>
      <c r="GP1774" s="752"/>
      <c r="GQ1774" s="752"/>
      <c r="GR1774" s="752"/>
      <c r="GS1774" s="752"/>
      <c r="GT1774" s="752"/>
      <c r="GU1774" s="752"/>
      <c r="GV1774" s="752"/>
      <c r="GW1774" s="752"/>
      <c r="GX1774" s="752"/>
      <c r="GY1774" s="752"/>
      <c r="GZ1774" s="752"/>
      <c r="HA1774" s="752"/>
      <c r="HB1774" s="752"/>
      <c r="HC1774" s="752"/>
      <c r="HD1774" s="752"/>
      <c r="HE1774" s="752"/>
      <c r="HF1774" s="752"/>
      <c r="HG1774" s="752"/>
      <c r="HH1774" s="752"/>
      <c r="HI1774" s="752"/>
      <c r="HJ1774" s="752"/>
      <c r="HK1774" s="752"/>
      <c r="HL1774" s="752"/>
      <c r="HM1774" s="752"/>
      <c r="HN1774" s="752"/>
      <c r="HO1774" s="752"/>
      <c r="HP1774" s="752"/>
      <c r="HQ1774" s="752"/>
      <c r="HR1774" s="752"/>
      <c r="HS1774" s="752"/>
      <c r="HT1774" s="752"/>
      <c r="HU1774" s="752"/>
      <c r="HV1774" s="752"/>
      <c r="HW1774" s="752"/>
      <c r="HX1774" s="752"/>
      <c r="HY1774" s="752"/>
      <c r="HZ1774" s="752"/>
      <c r="IA1774" s="752"/>
      <c r="IB1774" s="752"/>
      <c r="IC1774" s="752"/>
      <c r="ID1774" s="752"/>
      <c r="IE1774" s="752"/>
      <c r="IF1774" s="752"/>
      <c r="IG1774" s="752"/>
      <c r="IH1774" s="752"/>
      <c r="II1774" s="752"/>
      <c r="IJ1774" s="752"/>
      <c r="IK1774" s="752"/>
      <c r="IL1774" s="752"/>
      <c r="IM1774" s="752"/>
      <c r="IN1774" s="752"/>
      <c r="IO1774" s="752"/>
    </row>
    <row r="1775" spans="1:249" ht="33">
      <c r="A1775" s="89"/>
      <c r="B1775" s="100"/>
      <c r="C1775" s="605">
        <v>3</v>
      </c>
      <c r="D1775" s="605" t="s">
        <v>34</v>
      </c>
      <c r="E1775" s="605" t="s">
        <v>39</v>
      </c>
      <c r="F1775" s="89">
        <v>18</v>
      </c>
      <c r="G1775" s="605">
        <v>12</v>
      </c>
      <c r="H1775" s="605"/>
      <c r="I1775" s="114" t="s">
        <v>1704</v>
      </c>
      <c r="J1775" s="124" t="s">
        <v>3242</v>
      </c>
      <c r="K1775" s="1239">
        <v>4</v>
      </c>
      <c r="L1775" s="125">
        <f>4*N1775</f>
        <v>697017584</v>
      </c>
      <c r="M1775" s="91">
        <v>1</v>
      </c>
      <c r="N1775" s="805">
        <v>174254396</v>
      </c>
      <c r="O1775" s="91">
        <v>0</v>
      </c>
      <c r="P1775" s="805">
        <v>0</v>
      </c>
      <c r="Q1775" s="91">
        <v>0</v>
      </c>
      <c r="R1775" s="805">
        <v>0</v>
      </c>
      <c r="S1775" s="125"/>
      <c r="T1775" s="125"/>
      <c r="U1775" s="125"/>
      <c r="V1775" s="803"/>
      <c r="W1775" s="125"/>
      <c r="X1775" s="125"/>
      <c r="Y1775" s="125">
        <f t="shared" ref="Y1775:Y1781" si="516">Q1775+S1775+U1775+W1775</f>
        <v>0</v>
      </c>
      <c r="Z1775" s="125">
        <f t="shared" ref="Z1775:Z1781" si="517">R1775+T1775+V1775+X1775</f>
        <v>0</v>
      </c>
      <c r="AA1775" s="1196">
        <f t="shared" ref="AA1775:AA1781" si="518">M1775+Y1775</f>
        <v>1</v>
      </c>
      <c r="AB1775" s="125">
        <f t="shared" ref="AB1775:AB1781" si="519">N1775+Z1775</f>
        <v>174254396</v>
      </c>
      <c r="AC1775" s="1196">
        <f t="shared" si="510"/>
        <v>25</v>
      </c>
      <c r="AD1775" s="1196">
        <f t="shared" si="511"/>
        <v>25</v>
      </c>
      <c r="AE1775" s="89"/>
      <c r="AF1775" s="750"/>
      <c r="AG1775" s="750"/>
      <c r="AH1775" s="750"/>
      <c r="AI1775" s="750"/>
      <c r="AJ1775" s="750"/>
      <c r="AK1775" s="750"/>
      <c r="AL1775" s="750"/>
      <c r="AM1775" s="750"/>
      <c r="AN1775" s="750"/>
      <c r="AO1775" s="750"/>
      <c r="AP1775" s="750"/>
      <c r="AQ1775" s="750"/>
      <c r="AR1775" s="750"/>
      <c r="AS1775" s="750"/>
      <c r="AT1775" s="750"/>
      <c r="AU1775" s="750"/>
      <c r="AV1775" s="750"/>
      <c r="AW1775" s="750"/>
      <c r="AX1775" s="750"/>
      <c r="AY1775" s="750"/>
      <c r="AZ1775" s="750"/>
      <c r="BA1775" s="750"/>
      <c r="BB1775" s="750"/>
      <c r="BC1775" s="752"/>
      <c r="BD1775" s="752"/>
      <c r="BE1775" s="752"/>
      <c r="BF1775" s="752"/>
      <c r="BG1775" s="752"/>
      <c r="BH1775" s="752"/>
      <c r="BI1775" s="752"/>
      <c r="BJ1775" s="752"/>
      <c r="BK1775" s="752"/>
      <c r="BL1775" s="752"/>
      <c r="BM1775" s="752"/>
      <c r="BN1775" s="752"/>
      <c r="BO1775" s="752"/>
      <c r="BP1775" s="752"/>
      <c r="BQ1775" s="752"/>
      <c r="BR1775" s="752"/>
      <c r="BS1775" s="752"/>
      <c r="BT1775" s="752"/>
      <c r="BU1775" s="752"/>
      <c r="BV1775" s="752"/>
      <c r="BW1775" s="752"/>
      <c r="BX1775" s="752"/>
      <c r="BY1775" s="752"/>
      <c r="BZ1775" s="752"/>
      <c r="CA1775" s="752"/>
      <c r="CB1775" s="752"/>
      <c r="CC1775" s="752"/>
      <c r="CD1775" s="752"/>
      <c r="CE1775" s="752"/>
      <c r="CF1775" s="752"/>
      <c r="CG1775" s="752"/>
      <c r="CH1775" s="752"/>
      <c r="CI1775" s="752"/>
      <c r="CJ1775" s="752"/>
      <c r="CK1775" s="752"/>
      <c r="CL1775" s="752"/>
      <c r="CM1775" s="752"/>
      <c r="CN1775" s="752"/>
      <c r="CO1775" s="752"/>
      <c r="CP1775" s="752"/>
      <c r="CQ1775" s="752"/>
      <c r="CR1775" s="752"/>
      <c r="CS1775" s="752"/>
      <c r="CT1775" s="752"/>
      <c r="CU1775" s="752"/>
      <c r="CV1775" s="752"/>
      <c r="CW1775" s="752"/>
      <c r="CX1775" s="752"/>
      <c r="CY1775" s="752"/>
      <c r="CZ1775" s="752"/>
      <c r="DA1775" s="752"/>
      <c r="DB1775" s="752"/>
      <c r="DC1775" s="752"/>
      <c r="DD1775" s="752"/>
      <c r="DE1775" s="752"/>
      <c r="DF1775" s="752"/>
      <c r="DG1775" s="752"/>
      <c r="DH1775" s="752"/>
      <c r="DI1775" s="752"/>
      <c r="DJ1775" s="752"/>
      <c r="DK1775" s="752"/>
      <c r="DL1775" s="752"/>
      <c r="DM1775" s="752"/>
      <c r="DN1775" s="752"/>
      <c r="DO1775" s="752"/>
      <c r="DP1775" s="752"/>
      <c r="DQ1775" s="752"/>
      <c r="DR1775" s="752"/>
      <c r="DS1775" s="752"/>
      <c r="DT1775" s="752"/>
      <c r="DU1775" s="752"/>
      <c r="DV1775" s="752"/>
      <c r="DW1775" s="752"/>
      <c r="DX1775" s="752"/>
      <c r="DY1775" s="752"/>
      <c r="DZ1775" s="752"/>
      <c r="EA1775" s="752"/>
      <c r="EB1775" s="752"/>
      <c r="EC1775" s="752"/>
      <c r="ED1775" s="752"/>
      <c r="EE1775" s="752"/>
      <c r="EF1775" s="752"/>
      <c r="EG1775" s="752"/>
      <c r="EH1775" s="752"/>
      <c r="EI1775" s="752"/>
      <c r="EJ1775" s="752"/>
      <c r="EK1775" s="752"/>
      <c r="EL1775" s="752"/>
      <c r="EM1775" s="752"/>
      <c r="EN1775" s="752"/>
      <c r="EO1775" s="752"/>
      <c r="EP1775" s="752"/>
      <c r="EQ1775" s="752"/>
      <c r="ER1775" s="752"/>
      <c r="ES1775" s="752"/>
      <c r="ET1775" s="752"/>
      <c r="EU1775" s="752"/>
      <c r="EV1775" s="752"/>
      <c r="EW1775" s="752"/>
      <c r="EX1775" s="752"/>
      <c r="EY1775" s="752"/>
      <c r="EZ1775" s="752"/>
      <c r="FA1775" s="752"/>
      <c r="FB1775" s="752"/>
      <c r="FC1775" s="752"/>
      <c r="FD1775" s="752"/>
      <c r="FE1775" s="752"/>
      <c r="FF1775" s="752"/>
      <c r="FG1775" s="752"/>
      <c r="FH1775" s="752"/>
      <c r="FI1775" s="752"/>
      <c r="FJ1775" s="752"/>
      <c r="FK1775" s="752"/>
      <c r="FL1775" s="752"/>
      <c r="FM1775" s="752"/>
      <c r="FN1775" s="752"/>
      <c r="FO1775" s="752"/>
      <c r="FP1775" s="752"/>
      <c r="FQ1775" s="752"/>
      <c r="FR1775" s="752"/>
      <c r="FS1775" s="752"/>
      <c r="FT1775" s="752"/>
      <c r="FU1775" s="752"/>
      <c r="FV1775" s="752"/>
      <c r="FW1775" s="752"/>
      <c r="FX1775" s="752"/>
      <c r="FY1775" s="752"/>
      <c r="FZ1775" s="752"/>
      <c r="GA1775" s="752"/>
      <c r="GB1775" s="752"/>
      <c r="GC1775" s="752"/>
      <c r="GD1775" s="752"/>
      <c r="GE1775" s="752"/>
      <c r="GF1775" s="752"/>
      <c r="GG1775" s="752"/>
      <c r="GH1775" s="752"/>
      <c r="GI1775" s="752"/>
      <c r="GJ1775" s="752"/>
      <c r="GK1775" s="752"/>
      <c r="GL1775" s="752"/>
      <c r="GM1775" s="752"/>
      <c r="GN1775" s="752"/>
      <c r="GO1775" s="752"/>
      <c r="GP1775" s="752"/>
      <c r="GQ1775" s="752"/>
      <c r="GR1775" s="752"/>
      <c r="GS1775" s="752"/>
      <c r="GT1775" s="752"/>
      <c r="GU1775" s="752"/>
      <c r="GV1775" s="752"/>
      <c r="GW1775" s="752"/>
      <c r="GX1775" s="752"/>
      <c r="GY1775" s="752"/>
      <c r="GZ1775" s="752"/>
      <c r="HA1775" s="752"/>
      <c r="HB1775" s="752"/>
      <c r="HC1775" s="752"/>
      <c r="HD1775" s="752"/>
      <c r="HE1775" s="752"/>
      <c r="HF1775" s="752"/>
      <c r="HG1775" s="752"/>
      <c r="HH1775" s="752"/>
      <c r="HI1775" s="752"/>
      <c r="HJ1775" s="752"/>
      <c r="HK1775" s="752"/>
      <c r="HL1775" s="752"/>
      <c r="HM1775" s="752"/>
      <c r="HN1775" s="752"/>
      <c r="HO1775" s="752"/>
      <c r="HP1775" s="752"/>
      <c r="HQ1775" s="752"/>
      <c r="HR1775" s="752"/>
      <c r="HS1775" s="752"/>
      <c r="HT1775" s="752"/>
      <c r="HU1775" s="752"/>
      <c r="HV1775" s="752"/>
      <c r="HW1775" s="752"/>
      <c r="HX1775" s="752"/>
      <c r="HY1775" s="752"/>
      <c r="HZ1775" s="752"/>
      <c r="IA1775" s="752"/>
      <c r="IB1775" s="752"/>
      <c r="IC1775" s="752"/>
      <c r="ID1775" s="752"/>
      <c r="IE1775" s="752"/>
      <c r="IF1775" s="752"/>
      <c r="IG1775" s="752"/>
      <c r="IH1775" s="752"/>
      <c r="II1775" s="752"/>
      <c r="IJ1775" s="752"/>
      <c r="IK1775" s="752"/>
      <c r="IL1775" s="752"/>
      <c r="IM1775" s="752"/>
      <c r="IN1775" s="752"/>
      <c r="IO1775" s="752"/>
    </row>
    <row r="1776" spans="1:249" ht="33">
      <c r="A1776" s="89"/>
      <c r="B1776" s="100"/>
      <c r="C1776" s="605">
        <v>3</v>
      </c>
      <c r="D1776" s="605" t="s">
        <v>34</v>
      </c>
      <c r="E1776" s="605" t="s">
        <v>39</v>
      </c>
      <c r="F1776" s="89">
        <v>18</v>
      </c>
      <c r="G1776" s="605">
        <v>13</v>
      </c>
      <c r="H1776" s="605"/>
      <c r="I1776" s="114" t="s">
        <v>1705</v>
      </c>
      <c r="J1776" s="124" t="s">
        <v>3243</v>
      </c>
      <c r="K1776" s="1239">
        <v>36</v>
      </c>
      <c r="L1776" s="125">
        <v>325200802</v>
      </c>
      <c r="M1776" s="91">
        <v>12</v>
      </c>
      <c r="N1776" s="805">
        <v>46601779</v>
      </c>
      <c r="O1776" s="91">
        <v>0</v>
      </c>
      <c r="P1776" s="805"/>
      <c r="Q1776" s="91">
        <v>0</v>
      </c>
      <c r="R1776" s="805">
        <v>0</v>
      </c>
      <c r="S1776" s="125"/>
      <c r="T1776" s="125"/>
      <c r="U1776" s="125"/>
      <c r="V1776" s="803"/>
      <c r="W1776" s="125"/>
      <c r="X1776" s="125"/>
      <c r="Y1776" s="125">
        <f t="shared" si="516"/>
        <v>0</v>
      </c>
      <c r="Z1776" s="125">
        <f t="shared" si="517"/>
        <v>0</v>
      </c>
      <c r="AA1776" s="1196">
        <f t="shared" si="518"/>
        <v>12</v>
      </c>
      <c r="AB1776" s="125">
        <f t="shared" si="519"/>
        <v>46601779</v>
      </c>
      <c r="AC1776" s="1196">
        <f t="shared" si="510"/>
        <v>33.333333333333329</v>
      </c>
      <c r="AD1776" s="1196">
        <f t="shared" si="511"/>
        <v>14.330155003738273</v>
      </c>
      <c r="AE1776" s="89"/>
      <c r="AF1776" s="750"/>
      <c r="AG1776" s="750"/>
      <c r="AH1776" s="750"/>
      <c r="AI1776" s="750"/>
      <c r="AJ1776" s="750"/>
      <c r="AK1776" s="750"/>
      <c r="AL1776" s="750"/>
      <c r="AM1776" s="750"/>
      <c r="AN1776" s="750"/>
      <c r="AO1776" s="750"/>
      <c r="AP1776" s="750"/>
      <c r="AQ1776" s="750"/>
      <c r="AR1776" s="750"/>
      <c r="AS1776" s="750"/>
      <c r="AT1776" s="750"/>
      <c r="AU1776" s="750"/>
      <c r="AV1776" s="750"/>
      <c r="AW1776" s="750"/>
      <c r="AX1776" s="750"/>
      <c r="AY1776" s="750"/>
      <c r="AZ1776" s="750"/>
      <c r="BA1776" s="750"/>
      <c r="BB1776" s="750"/>
      <c r="BC1776" s="752"/>
      <c r="BD1776" s="752"/>
      <c r="BE1776" s="752"/>
      <c r="BF1776" s="752"/>
      <c r="BG1776" s="752"/>
      <c r="BH1776" s="752"/>
      <c r="BI1776" s="752"/>
      <c r="BJ1776" s="752"/>
      <c r="BK1776" s="752"/>
      <c r="BL1776" s="752"/>
      <c r="BM1776" s="752"/>
      <c r="BN1776" s="752"/>
      <c r="BO1776" s="752"/>
      <c r="BP1776" s="752"/>
      <c r="BQ1776" s="752"/>
      <c r="BR1776" s="752"/>
      <c r="BS1776" s="752"/>
      <c r="BT1776" s="752"/>
      <c r="BU1776" s="752"/>
      <c r="BV1776" s="752"/>
      <c r="BW1776" s="752"/>
      <c r="BX1776" s="752"/>
      <c r="BY1776" s="752"/>
      <c r="BZ1776" s="752"/>
      <c r="CA1776" s="752"/>
      <c r="CB1776" s="752"/>
      <c r="CC1776" s="752"/>
      <c r="CD1776" s="752"/>
      <c r="CE1776" s="752"/>
      <c r="CF1776" s="752"/>
      <c r="CG1776" s="752"/>
      <c r="CH1776" s="752"/>
      <c r="CI1776" s="752"/>
      <c r="CJ1776" s="752"/>
      <c r="CK1776" s="752"/>
      <c r="CL1776" s="752"/>
      <c r="CM1776" s="752"/>
      <c r="CN1776" s="752"/>
      <c r="CO1776" s="752"/>
      <c r="CP1776" s="752"/>
      <c r="CQ1776" s="752"/>
      <c r="CR1776" s="752"/>
      <c r="CS1776" s="752"/>
      <c r="CT1776" s="752"/>
      <c r="CU1776" s="752"/>
      <c r="CV1776" s="752"/>
      <c r="CW1776" s="752"/>
      <c r="CX1776" s="752"/>
      <c r="CY1776" s="752"/>
      <c r="CZ1776" s="752"/>
      <c r="DA1776" s="752"/>
      <c r="DB1776" s="752"/>
      <c r="DC1776" s="752"/>
      <c r="DD1776" s="752"/>
      <c r="DE1776" s="752"/>
      <c r="DF1776" s="752"/>
      <c r="DG1776" s="752"/>
      <c r="DH1776" s="752"/>
      <c r="DI1776" s="752"/>
      <c r="DJ1776" s="752"/>
      <c r="DK1776" s="752"/>
      <c r="DL1776" s="752"/>
      <c r="DM1776" s="752"/>
      <c r="DN1776" s="752"/>
      <c r="DO1776" s="752"/>
      <c r="DP1776" s="752"/>
      <c r="DQ1776" s="752"/>
      <c r="DR1776" s="752"/>
      <c r="DS1776" s="752"/>
      <c r="DT1776" s="752"/>
      <c r="DU1776" s="752"/>
      <c r="DV1776" s="752"/>
      <c r="DW1776" s="752"/>
      <c r="DX1776" s="752"/>
      <c r="DY1776" s="752"/>
      <c r="DZ1776" s="752"/>
      <c r="EA1776" s="752"/>
      <c r="EB1776" s="752"/>
      <c r="EC1776" s="752"/>
      <c r="ED1776" s="752"/>
      <c r="EE1776" s="752"/>
      <c r="EF1776" s="752"/>
      <c r="EG1776" s="752"/>
      <c r="EH1776" s="752"/>
      <c r="EI1776" s="752"/>
      <c r="EJ1776" s="752"/>
      <c r="EK1776" s="752"/>
      <c r="EL1776" s="752"/>
      <c r="EM1776" s="752"/>
      <c r="EN1776" s="752"/>
      <c r="EO1776" s="752"/>
      <c r="EP1776" s="752"/>
      <c r="EQ1776" s="752"/>
      <c r="ER1776" s="752"/>
      <c r="ES1776" s="752"/>
      <c r="ET1776" s="752"/>
      <c r="EU1776" s="752"/>
      <c r="EV1776" s="752"/>
      <c r="EW1776" s="752"/>
      <c r="EX1776" s="752"/>
      <c r="EY1776" s="752"/>
      <c r="EZ1776" s="752"/>
      <c r="FA1776" s="752"/>
      <c r="FB1776" s="752"/>
      <c r="FC1776" s="752"/>
      <c r="FD1776" s="752"/>
      <c r="FE1776" s="752"/>
      <c r="FF1776" s="752"/>
      <c r="FG1776" s="752"/>
      <c r="FH1776" s="752"/>
      <c r="FI1776" s="752"/>
      <c r="FJ1776" s="752"/>
      <c r="FK1776" s="752"/>
      <c r="FL1776" s="752"/>
      <c r="FM1776" s="752"/>
      <c r="FN1776" s="752"/>
      <c r="FO1776" s="752"/>
      <c r="FP1776" s="752"/>
      <c r="FQ1776" s="752"/>
      <c r="FR1776" s="752"/>
      <c r="FS1776" s="752"/>
      <c r="FT1776" s="752"/>
      <c r="FU1776" s="752"/>
      <c r="FV1776" s="752"/>
      <c r="FW1776" s="752"/>
      <c r="FX1776" s="752"/>
      <c r="FY1776" s="752"/>
      <c r="FZ1776" s="752"/>
      <c r="GA1776" s="752"/>
      <c r="GB1776" s="752"/>
      <c r="GC1776" s="752"/>
      <c r="GD1776" s="752"/>
      <c r="GE1776" s="752"/>
      <c r="GF1776" s="752"/>
      <c r="GG1776" s="752"/>
      <c r="GH1776" s="752"/>
      <c r="GI1776" s="752"/>
      <c r="GJ1776" s="752"/>
      <c r="GK1776" s="752"/>
      <c r="GL1776" s="752"/>
      <c r="GM1776" s="752"/>
      <c r="GN1776" s="752"/>
      <c r="GO1776" s="752"/>
      <c r="GP1776" s="752"/>
      <c r="GQ1776" s="752"/>
      <c r="GR1776" s="752"/>
      <c r="GS1776" s="752"/>
      <c r="GT1776" s="752"/>
      <c r="GU1776" s="752"/>
      <c r="GV1776" s="752"/>
      <c r="GW1776" s="752"/>
      <c r="GX1776" s="752"/>
      <c r="GY1776" s="752"/>
      <c r="GZ1776" s="752"/>
      <c r="HA1776" s="752"/>
      <c r="HB1776" s="752"/>
      <c r="HC1776" s="752"/>
      <c r="HD1776" s="752"/>
      <c r="HE1776" s="752"/>
      <c r="HF1776" s="752"/>
      <c r="HG1776" s="752"/>
      <c r="HH1776" s="752"/>
      <c r="HI1776" s="752"/>
      <c r="HJ1776" s="752"/>
      <c r="HK1776" s="752"/>
      <c r="HL1776" s="752"/>
      <c r="HM1776" s="752"/>
      <c r="HN1776" s="752"/>
      <c r="HO1776" s="752"/>
      <c r="HP1776" s="752"/>
      <c r="HQ1776" s="752"/>
      <c r="HR1776" s="752"/>
      <c r="HS1776" s="752"/>
      <c r="HT1776" s="752"/>
      <c r="HU1776" s="752"/>
      <c r="HV1776" s="752"/>
      <c r="HW1776" s="752"/>
      <c r="HX1776" s="752"/>
      <c r="HY1776" s="752"/>
      <c r="HZ1776" s="752"/>
      <c r="IA1776" s="752"/>
      <c r="IB1776" s="752"/>
      <c r="IC1776" s="752"/>
      <c r="ID1776" s="752"/>
      <c r="IE1776" s="752"/>
      <c r="IF1776" s="752"/>
      <c r="IG1776" s="752"/>
      <c r="IH1776" s="752"/>
      <c r="II1776" s="752"/>
      <c r="IJ1776" s="752"/>
      <c r="IK1776" s="752"/>
      <c r="IL1776" s="752"/>
      <c r="IM1776" s="752"/>
      <c r="IN1776" s="752"/>
      <c r="IO1776" s="752"/>
    </row>
    <row r="1777" spans="1:249" ht="82.5">
      <c r="A1777" s="303">
        <v>8</v>
      </c>
      <c r="B1777" s="33"/>
      <c r="C1777" s="161">
        <v>3</v>
      </c>
      <c r="D1777" s="303" t="s">
        <v>34</v>
      </c>
      <c r="E1777" s="303" t="s">
        <v>39</v>
      </c>
      <c r="F1777" s="161">
        <v>19</v>
      </c>
      <c r="G1777" s="161"/>
      <c r="H1777" s="161"/>
      <c r="I1777" s="142" t="s">
        <v>3244</v>
      </c>
      <c r="J1777" s="40" t="s">
        <v>1706</v>
      </c>
      <c r="K1777" s="230">
        <v>90</v>
      </c>
      <c r="L1777" s="1240">
        <f>SUM(L1778:L1781)</f>
        <v>1779601815</v>
      </c>
      <c r="M1777" s="230">
        <v>70</v>
      </c>
      <c r="N1777" s="292">
        <f>SUM(N1778:N1781)</f>
        <v>578965411</v>
      </c>
      <c r="O1777" s="230">
        <v>0</v>
      </c>
      <c r="P1777" s="292">
        <f>SUM(P1778:P1781)</f>
        <v>0</v>
      </c>
      <c r="Q1777" s="230">
        <v>0.02</v>
      </c>
      <c r="R1777" s="230">
        <f>SUM(R1778:R1781)</f>
        <v>0</v>
      </c>
      <c r="S1777" s="820"/>
      <c r="T1777" s="230"/>
      <c r="U1777" s="820"/>
      <c r="V1777" s="801"/>
      <c r="W1777" s="230"/>
      <c r="X1777" s="230"/>
      <c r="Y1777" s="230">
        <f t="shared" si="516"/>
        <v>0.02</v>
      </c>
      <c r="Z1777" s="230">
        <f t="shared" si="517"/>
        <v>0</v>
      </c>
      <c r="AA1777" s="292">
        <f t="shared" si="518"/>
        <v>70.02</v>
      </c>
      <c r="AB1777" s="230">
        <f t="shared" si="519"/>
        <v>578965411</v>
      </c>
      <c r="AC1777" s="292">
        <f t="shared" si="510"/>
        <v>77.8</v>
      </c>
      <c r="AD1777" s="292">
        <f t="shared" si="511"/>
        <v>32.533424394153023</v>
      </c>
      <c r="AE1777" s="2558" t="s">
        <v>228</v>
      </c>
      <c r="AF1777" s="750"/>
      <c r="AG1777" s="750"/>
      <c r="AH1777" s="750"/>
      <c r="AI1777" s="750"/>
      <c r="AJ1777" s="750"/>
      <c r="AK1777" s="750"/>
      <c r="AL1777" s="750"/>
      <c r="AM1777" s="750"/>
      <c r="AN1777" s="750"/>
      <c r="AO1777" s="750"/>
      <c r="AP1777" s="750"/>
      <c r="AQ1777" s="750"/>
      <c r="AR1777" s="750"/>
      <c r="AS1777" s="750"/>
      <c r="AT1777" s="750"/>
      <c r="AU1777" s="750"/>
      <c r="AV1777" s="750"/>
      <c r="AW1777" s="750"/>
      <c r="AX1777" s="750"/>
      <c r="AY1777" s="750"/>
      <c r="AZ1777" s="750"/>
      <c r="BA1777" s="750"/>
      <c r="BB1777" s="750"/>
      <c r="BC1777" s="752"/>
      <c r="BD1777" s="752"/>
      <c r="BE1777" s="752"/>
      <c r="BF1777" s="752"/>
      <c r="BG1777" s="752"/>
      <c r="BH1777" s="752"/>
      <c r="BI1777" s="752"/>
      <c r="BJ1777" s="752"/>
      <c r="BK1777" s="752"/>
      <c r="BL1777" s="752"/>
      <c r="BM1777" s="752"/>
      <c r="BN1777" s="752"/>
      <c r="BO1777" s="752"/>
      <c r="BP1777" s="752"/>
      <c r="BQ1777" s="752"/>
      <c r="BR1777" s="752"/>
      <c r="BS1777" s="752"/>
      <c r="BT1777" s="752"/>
      <c r="BU1777" s="752"/>
      <c r="BV1777" s="752"/>
      <c r="BW1777" s="752"/>
      <c r="BX1777" s="752"/>
      <c r="BY1777" s="752"/>
      <c r="BZ1777" s="752"/>
      <c r="CA1777" s="752"/>
      <c r="CB1777" s="752"/>
      <c r="CC1777" s="752"/>
      <c r="CD1777" s="752"/>
      <c r="CE1777" s="752"/>
      <c r="CF1777" s="752"/>
      <c r="CG1777" s="752"/>
      <c r="CH1777" s="752"/>
      <c r="CI1777" s="752"/>
      <c r="CJ1777" s="752"/>
      <c r="CK1777" s="752"/>
      <c r="CL1777" s="752"/>
      <c r="CM1777" s="752"/>
      <c r="CN1777" s="752"/>
      <c r="CO1777" s="752"/>
      <c r="CP1777" s="752"/>
      <c r="CQ1777" s="752"/>
      <c r="CR1777" s="752"/>
      <c r="CS1777" s="752"/>
      <c r="CT1777" s="752"/>
      <c r="CU1777" s="752"/>
      <c r="CV1777" s="752"/>
      <c r="CW1777" s="752"/>
      <c r="CX1777" s="752"/>
      <c r="CY1777" s="752"/>
      <c r="CZ1777" s="752"/>
      <c r="DA1777" s="752"/>
      <c r="DB1777" s="752"/>
      <c r="DC1777" s="752"/>
      <c r="DD1777" s="752"/>
      <c r="DE1777" s="752"/>
      <c r="DF1777" s="752"/>
      <c r="DG1777" s="752"/>
      <c r="DH1777" s="752"/>
      <c r="DI1777" s="752"/>
      <c r="DJ1777" s="752"/>
      <c r="DK1777" s="752"/>
      <c r="DL1777" s="752"/>
      <c r="DM1777" s="752"/>
      <c r="DN1777" s="752"/>
      <c r="DO1777" s="752"/>
      <c r="DP1777" s="752"/>
      <c r="DQ1777" s="752"/>
      <c r="DR1777" s="752"/>
      <c r="DS1777" s="752"/>
      <c r="DT1777" s="752"/>
      <c r="DU1777" s="752"/>
      <c r="DV1777" s="752"/>
      <c r="DW1777" s="752"/>
      <c r="DX1777" s="752"/>
      <c r="DY1777" s="752"/>
      <c r="DZ1777" s="752"/>
      <c r="EA1777" s="752"/>
      <c r="EB1777" s="752"/>
      <c r="EC1777" s="752"/>
      <c r="ED1777" s="752"/>
      <c r="EE1777" s="752"/>
      <c r="EF1777" s="752"/>
      <c r="EG1777" s="752"/>
      <c r="EH1777" s="752"/>
      <c r="EI1777" s="752"/>
      <c r="EJ1777" s="752"/>
      <c r="EK1777" s="752"/>
      <c r="EL1777" s="752"/>
      <c r="EM1777" s="752"/>
      <c r="EN1777" s="752"/>
      <c r="EO1777" s="752"/>
      <c r="EP1777" s="752"/>
      <c r="EQ1777" s="752"/>
      <c r="ER1777" s="752"/>
      <c r="ES1777" s="752"/>
      <c r="ET1777" s="752"/>
      <c r="EU1777" s="752"/>
      <c r="EV1777" s="752"/>
      <c r="EW1777" s="752"/>
      <c r="EX1777" s="752"/>
      <c r="EY1777" s="752"/>
      <c r="EZ1777" s="752"/>
      <c r="FA1777" s="752"/>
      <c r="FB1777" s="752"/>
      <c r="FC1777" s="752"/>
      <c r="FD1777" s="752"/>
      <c r="FE1777" s="752"/>
      <c r="FF1777" s="752"/>
      <c r="FG1777" s="752"/>
      <c r="FH1777" s="752"/>
      <c r="FI1777" s="752"/>
      <c r="FJ1777" s="752"/>
      <c r="FK1777" s="752"/>
      <c r="FL1777" s="752"/>
      <c r="FM1777" s="752"/>
      <c r="FN1777" s="752"/>
      <c r="FO1777" s="752"/>
      <c r="FP1777" s="752"/>
      <c r="FQ1777" s="752"/>
      <c r="FR1777" s="752"/>
      <c r="FS1777" s="752"/>
      <c r="FT1777" s="752"/>
      <c r="FU1777" s="752"/>
      <c r="FV1777" s="752"/>
      <c r="FW1777" s="752"/>
      <c r="FX1777" s="752"/>
      <c r="FY1777" s="752"/>
      <c r="FZ1777" s="752"/>
      <c r="GA1777" s="752"/>
      <c r="GB1777" s="752"/>
      <c r="GC1777" s="752"/>
      <c r="GD1777" s="752"/>
      <c r="GE1777" s="752"/>
      <c r="GF1777" s="752"/>
      <c r="GG1777" s="752"/>
      <c r="GH1777" s="752"/>
      <c r="GI1777" s="752"/>
      <c r="GJ1777" s="752"/>
      <c r="GK1777" s="752"/>
      <c r="GL1777" s="752"/>
      <c r="GM1777" s="752"/>
      <c r="GN1777" s="752"/>
      <c r="GO1777" s="752"/>
      <c r="GP1777" s="752"/>
      <c r="GQ1777" s="752"/>
      <c r="GR1777" s="752"/>
      <c r="GS1777" s="752"/>
      <c r="GT1777" s="752"/>
      <c r="GU1777" s="752"/>
      <c r="GV1777" s="752"/>
      <c r="GW1777" s="752"/>
      <c r="GX1777" s="752"/>
      <c r="GY1777" s="752"/>
      <c r="GZ1777" s="752"/>
      <c r="HA1777" s="752"/>
      <c r="HB1777" s="752"/>
      <c r="HC1777" s="752"/>
      <c r="HD1777" s="752"/>
      <c r="HE1777" s="752"/>
      <c r="HF1777" s="752"/>
      <c r="HG1777" s="752"/>
      <c r="HH1777" s="752"/>
      <c r="HI1777" s="752"/>
      <c r="HJ1777" s="752"/>
      <c r="HK1777" s="752"/>
      <c r="HL1777" s="752"/>
      <c r="HM1777" s="752"/>
      <c r="HN1777" s="752"/>
      <c r="HO1777" s="752"/>
      <c r="HP1777" s="752"/>
      <c r="HQ1777" s="752"/>
      <c r="HR1777" s="752"/>
      <c r="HS1777" s="752"/>
      <c r="HT1777" s="752"/>
      <c r="HU1777" s="752"/>
      <c r="HV1777" s="752"/>
      <c r="HW1777" s="752"/>
      <c r="HX1777" s="752"/>
      <c r="HY1777" s="752"/>
      <c r="HZ1777" s="752"/>
      <c r="IA1777" s="752"/>
      <c r="IB1777" s="752"/>
      <c r="IC1777" s="752"/>
      <c r="ID1777" s="752"/>
      <c r="IE1777" s="752"/>
      <c r="IF1777" s="752"/>
      <c r="IG1777" s="752"/>
      <c r="IH1777" s="752"/>
      <c r="II1777" s="752"/>
      <c r="IJ1777" s="752"/>
      <c r="IK1777" s="752"/>
      <c r="IL1777" s="752"/>
      <c r="IM1777" s="752"/>
      <c r="IN1777" s="752"/>
      <c r="IO1777" s="752"/>
    </row>
    <row r="1778" spans="1:249" ht="49.5">
      <c r="A1778" s="1119"/>
      <c r="B1778" s="41"/>
      <c r="C1778" s="89">
        <v>3</v>
      </c>
      <c r="D1778" s="605" t="s">
        <v>34</v>
      </c>
      <c r="E1778" s="605" t="s">
        <v>39</v>
      </c>
      <c r="F1778" s="89">
        <v>19</v>
      </c>
      <c r="G1778" s="605" t="s">
        <v>43</v>
      </c>
      <c r="H1778" s="605"/>
      <c r="I1778" s="114" t="s">
        <v>231</v>
      </c>
      <c r="J1778" s="124" t="s">
        <v>3245</v>
      </c>
      <c r="K1778" s="1241">
        <f>182*2</f>
        <v>364</v>
      </c>
      <c r="L1778" s="125">
        <v>373472746</v>
      </c>
      <c r="M1778" s="91">
        <v>182</v>
      </c>
      <c r="N1778" s="125">
        <v>131798497</v>
      </c>
      <c r="O1778" s="91">
        <v>0</v>
      </c>
      <c r="P1778" s="823">
        <v>0</v>
      </c>
      <c r="Q1778" s="91">
        <v>0</v>
      </c>
      <c r="R1778" s="125">
        <v>0</v>
      </c>
      <c r="S1778" s="125"/>
      <c r="T1778" s="125"/>
      <c r="U1778" s="125"/>
      <c r="V1778" s="803"/>
      <c r="W1778" s="125"/>
      <c r="X1778" s="125"/>
      <c r="Y1778" s="125">
        <f t="shared" si="516"/>
        <v>0</v>
      </c>
      <c r="Z1778" s="125">
        <f t="shared" si="517"/>
        <v>0</v>
      </c>
      <c r="AA1778" s="1196">
        <f t="shared" si="518"/>
        <v>182</v>
      </c>
      <c r="AB1778" s="125">
        <f t="shared" si="519"/>
        <v>131798497</v>
      </c>
      <c r="AC1778" s="1196">
        <f t="shared" si="510"/>
        <v>50</v>
      </c>
      <c r="AD1778" s="1196">
        <f t="shared" si="511"/>
        <v>35.289990611523763</v>
      </c>
      <c r="AE1778" s="824"/>
      <c r="AF1778" s="750"/>
      <c r="AG1778" s="750"/>
      <c r="AH1778" s="750"/>
      <c r="AI1778" s="750"/>
      <c r="AJ1778" s="750"/>
      <c r="AK1778" s="750"/>
      <c r="AL1778" s="750"/>
      <c r="AM1778" s="750"/>
      <c r="AN1778" s="750"/>
      <c r="AO1778" s="750"/>
      <c r="AP1778" s="750"/>
      <c r="AQ1778" s="750"/>
      <c r="AR1778" s="750"/>
      <c r="AS1778" s="750"/>
      <c r="AT1778" s="750"/>
      <c r="AU1778" s="750"/>
      <c r="AV1778" s="750"/>
      <c r="AW1778" s="750"/>
      <c r="AX1778" s="750"/>
      <c r="AY1778" s="750"/>
      <c r="AZ1778" s="750"/>
      <c r="BA1778" s="750"/>
      <c r="BB1778" s="750"/>
      <c r="BC1778" s="752"/>
      <c r="BD1778" s="752"/>
      <c r="BE1778" s="752"/>
      <c r="BF1778" s="752"/>
      <c r="BG1778" s="752"/>
      <c r="BH1778" s="752"/>
      <c r="BI1778" s="752"/>
      <c r="BJ1778" s="752"/>
      <c r="BK1778" s="752"/>
      <c r="BL1778" s="752"/>
      <c r="BM1778" s="752"/>
      <c r="BN1778" s="752"/>
      <c r="BO1778" s="752"/>
      <c r="BP1778" s="752"/>
      <c r="BQ1778" s="752"/>
      <c r="BR1778" s="752"/>
      <c r="BS1778" s="752"/>
      <c r="BT1778" s="752"/>
      <c r="BU1778" s="752"/>
      <c r="BV1778" s="752"/>
      <c r="BW1778" s="752"/>
      <c r="BX1778" s="752"/>
      <c r="BY1778" s="752"/>
      <c r="BZ1778" s="752"/>
      <c r="CA1778" s="752"/>
      <c r="CB1778" s="752"/>
      <c r="CC1778" s="752"/>
      <c r="CD1778" s="752"/>
      <c r="CE1778" s="752"/>
      <c r="CF1778" s="752"/>
      <c r="CG1778" s="752"/>
      <c r="CH1778" s="752"/>
      <c r="CI1778" s="752"/>
      <c r="CJ1778" s="752"/>
      <c r="CK1778" s="752"/>
      <c r="CL1778" s="752"/>
      <c r="CM1778" s="752"/>
      <c r="CN1778" s="752"/>
      <c r="CO1778" s="752"/>
      <c r="CP1778" s="752"/>
      <c r="CQ1778" s="752"/>
      <c r="CR1778" s="752"/>
      <c r="CS1778" s="752"/>
      <c r="CT1778" s="752"/>
      <c r="CU1778" s="752"/>
      <c r="CV1778" s="752"/>
      <c r="CW1778" s="752"/>
      <c r="CX1778" s="752"/>
      <c r="CY1778" s="752"/>
      <c r="CZ1778" s="752"/>
      <c r="DA1778" s="752"/>
      <c r="DB1778" s="752"/>
      <c r="DC1778" s="752"/>
      <c r="DD1778" s="752"/>
      <c r="DE1778" s="752"/>
      <c r="DF1778" s="752"/>
      <c r="DG1778" s="752"/>
      <c r="DH1778" s="752"/>
      <c r="DI1778" s="752"/>
      <c r="DJ1778" s="752"/>
      <c r="DK1778" s="752"/>
      <c r="DL1778" s="752"/>
      <c r="DM1778" s="752"/>
      <c r="DN1778" s="752"/>
      <c r="DO1778" s="752"/>
      <c r="DP1778" s="752"/>
      <c r="DQ1778" s="752"/>
      <c r="DR1778" s="752"/>
      <c r="DS1778" s="752"/>
      <c r="DT1778" s="752"/>
      <c r="DU1778" s="752"/>
      <c r="DV1778" s="752"/>
      <c r="DW1778" s="752"/>
      <c r="DX1778" s="752"/>
      <c r="DY1778" s="752"/>
      <c r="DZ1778" s="752"/>
      <c r="EA1778" s="752"/>
      <c r="EB1778" s="752"/>
      <c r="EC1778" s="752"/>
      <c r="ED1778" s="752"/>
      <c r="EE1778" s="752"/>
      <c r="EF1778" s="752"/>
      <c r="EG1778" s="752"/>
      <c r="EH1778" s="752"/>
      <c r="EI1778" s="752"/>
      <c r="EJ1778" s="752"/>
      <c r="EK1778" s="752"/>
      <c r="EL1778" s="752"/>
      <c r="EM1778" s="752"/>
      <c r="EN1778" s="752"/>
      <c r="EO1778" s="752"/>
      <c r="EP1778" s="752"/>
      <c r="EQ1778" s="752"/>
      <c r="ER1778" s="752"/>
      <c r="ES1778" s="752"/>
      <c r="ET1778" s="752"/>
      <c r="EU1778" s="752"/>
      <c r="EV1778" s="752"/>
      <c r="EW1778" s="752"/>
      <c r="EX1778" s="752"/>
      <c r="EY1778" s="752"/>
      <c r="EZ1778" s="752"/>
      <c r="FA1778" s="752"/>
      <c r="FB1778" s="752"/>
      <c r="FC1778" s="752"/>
      <c r="FD1778" s="752"/>
      <c r="FE1778" s="752"/>
      <c r="FF1778" s="752"/>
      <c r="FG1778" s="752"/>
      <c r="FH1778" s="752"/>
      <c r="FI1778" s="752"/>
      <c r="FJ1778" s="752"/>
      <c r="FK1778" s="752"/>
      <c r="FL1778" s="752"/>
      <c r="FM1778" s="752"/>
      <c r="FN1778" s="752"/>
      <c r="FO1778" s="752"/>
      <c r="FP1778" s="752"/>
      <c r="FQ1778" s="752"/>
      <c r="FR1778" s="752"/>
      <c r="FS1778" s="752"/>
      <c r="FT1778" s="752"/>
      <c r="FU1778" s="752"/>
      <c r="FV1778" s="752"/>
      <c r="FW1778" s="752"/>
      <c r="FX1778" s="752"/>
      <c r="FY1778" s="752"/>
      <c r="FZ1778" s="752"/>
      <c r="GA1778" s="752"/>
      <c r="GB1778" s="752"/>
      <c r="GC1778" s="752"/>
      <c r="GD1778" s="752"/>
      <c r="GE1778" s="752"/>
      <c r="GF1778" s="752"/>
      <c r="GG1778" s="752"/>
      <c r="GH1778" s="752"/>
      <c r="GI1778" s="752"/>
      <c r="GJ1778" s="752"/>
      <c r="GK1778" s="752"/>
      <c r="GL1778" s="752"/>
      <c r="GM1778" s="752"/>
      <c r="GN1778" s="752"/>
      <c r="GO1778" s="752"/>
      <c r="GP1778" s="752"/>
      <c r="GQ1778" s="752"/>
      <c r="GR1778" s="752"/>
      <c r="GS1778" s="752"/>
      <c r="GT1778" s="752"/>
      <c r="GU1778" s="752"/>
      <c r="GV1778" s="752"/>
      <c r="GW1778" s="752"/>
      <c r="GX1778" s="752"/>
      <c r="GY1778" s="752"/>
      <c r="GZ1778" s="752"/>
      <c r="HA1778" s="752"/>
      <c r="HB1778" s="752"/>
      <c r="HC1778" s="752"/>
      <c r="HD1778" s="752"/>
      <c r="HE1778" s="752"/>
      <c r="HF1778" s="752"/>
      <c r="HG1778" s="752"/>
      <c r="HH1778" s="752"/>
      <c r="HI1778" s="752"/>
      <c r="HJ1778" s="752"/>
      <c r="HK1778" s="752"/>
      <c r="HL1778" s="752"/>
      <c r="HM1778" s="752"/>
      <c r="HN1778" s="752"/>
      <c r="HO1778" s="752"/>
      <c r="HP1778" s="752"/>
      <c r="HQ1778" s="752"/>
      <c r="HR1778" s="752"/>
      <c r="HS1778" s="752"/>
      <c r="HT1778" s="752"/>
      <c r="HU1778" s="752"/>
      <c r="HV1778" s="752"/>
      <c r="HW1778" s="752"/>
      <c r="HX1778" s="752"/>
      <c r="HY1778" s="752"/>
      <c r="HZ1778" s="752"/>
      <c r="IA1778" s="752"/>
      <c r="IB1778" s="752"/>
      <c r="IC1778" s="752"/>
      <c r="ID1778" s="752"/>
      <c r="IE1778" s="752"/>
      <c r="IF1778" s="752"/>
      <c r="IG1778" s="752"/>
      <c r="IH1778" s="752"/>
      <c r="II1778" s="752"/>
      <c r="IJ1778" s="752"/>
      <c r="IK1778" s="752"/>
      <c r="IL1778" s="752"/>
      <c r="IM1778" s="752"/>
      <c r="IN1778" s="752"/>
      <c r="IO1778" s="752"/>
    </row>
    <row r="1779" spans="1:249" ht="66">
      <c r="A1779" s="89"/>
      <c r="B1779" s="100"/>
      <c r="C1779" s="89">
        <v>3</v>
      </c>
      <c r="D1779" s="605" t="s">
        <v>34</v>
      </c>
      <c r="E1779" s="605" t="s">
        <v>39</v>
      </c>
      <c r="F1779" s="89">
        <v>19</v>
      </c>
      <c r="G1779" s="89">
        <v>10</v>
      </c>
      <c r="H1779" s="89"/>
      <c r="I1779" s="114" t="s">
        <v>1707</v>
      </c>
      <c r="J1779" s="124" t="s">
        <v>3246</v>
      </c>
      <c r="K1779" s="1239">
        <v>24</v>
      </c>
      <c r="L1779" s="125">
        <v>351118231</v>
      </c>
      <c r="M1779" s="91">
        <v>12</v>
      </c>
      <c r="N1779" s="805">
        <v>240480934</v>
      </c>
      <c r="O1779" s="91">
        <v>0</v>
      </c>
      <c r="P1779" s="805">
        <v>0</v>
      </c>
      <c r="Q1779" s="91">
        <v>0</v>
      </c>
      <c r="R1779" s="805">
        <v>0</v>
      </c>
      <c r="S1779" s="125"/>
      <c r="T1779" s="125"/>
      <c r="U1779" s="125"/>
      <c r="V1779" s="803"/>
      <c r="W1779" s="125"/>
      <c r="X1779" s="125"/>
      <c r="Y1779" s="125">
        <f t="shared" si="516"/>
        <v>0</v>
      </c>
      <c r="Z1779" s="125">
        <f t="shared" si="517"/>
        <v>0</v>
      </c>
      <c r="AA1779" s="1196">
        <f t="shared" si="518"/>
        <v>12</v>
      </c>
      <c r="AB1779" s="125">
        <f t="shared" si="519"/>
        <v>240480934</v>
      </c>
      <c r="AC1779" s="1196">
        <f t="shared" si="510"/>
        <v>50</v>
      </c>
      <c r="AD1779" s="1196">
        <f t="shared" si="511"/>
        <v>68.490016401341464</v>
      </c>
      <c r="AE1779" s="89"/>
      <c r="AF1779" s="750"/>
      <c r="AG1779" s="750"/>
      <c r="AH1779" s="750"/>
      <c r="AI1779" s="750"/>
      <c r="AJ1779" s="750"/>
      <c r="AK1779" s="750"/>
      <c r="AL1779" s="750"/>
      <c r="AM1779" s="750"/>
      <c r="AN1779" s="750"/>
      <c r="AO1779" s="750"/>
      <c r="AP1779" s="750"/>
      <c r="AQ1779" s="750"/>
      <c r="AR1779" s="750"/>
      <c r="AS1779" s="750"/>
      <c r="AT1779" s="750"/>
      <c r="AU1779" s="750"/>
      <c r="AV1779" s="750"/>
      <c r="AW1779" s="750"/>
      <c r="AX1779" s="750"/>
      <c r="AY1779" s="750"/>
      <c r="AZ1779" s="750"/>
      <c r="BA1779" s="750"/>
      <c r="BB1779" s="750"/>
      <c r="BC1779" s="752"/>
      <c r="BD1779" s="752"/>
      <c r="BE1779" s="752"/>
      <c r="BF1779" s="752"/>
      <c r="BG1779" s="752"/>
      <c r="BH1779" s="752"/>
      <c r="BI1779" s="752"/>
      <c r="BJ1779" s="752"/>
      <c r="BK1779" s="752"/>
      <c r="BL1779" s="752"/>
      <c r="BM1779" s="752"/>
      <c r="BN1779" s="752"/>
      <c r="BO1779" s="752"/>
      <c r="BP1779" s="752"/>
      <c r="BQ1779" s="752"/>
      <c r="BR1779" s="752"/>
      <c r="BS1779" s="752"/>
      <c r="BT1779" s="752"/>
      <c r="BU1779" s="752"/>
      <c r="BV1779" s="752"/>
      <c r="BW1779" s="752"/>
      <c r="BX1779" s="752"/>
      <c r="BY1779" s="752"/>
      <c r="BZ1779" s="752"/>
      <c r="CA1779" s="752"/>
      <c r="CB1779" s="752"/>
      <c r="CC1779" s="752"/>
      <c r="CD1779" s="752"/>
      <c r="CE1779" s="752"/>
      <c r="CF1779" s="752"/>
      <c r="CG1779" s="752"/>
      <c r="CH1779" s="752"/>
      <c r="CI1779" s="752"/>
      <c r="CJ1779" s="752"/>
      <c r="CK1779" s="752"/>
      <c r="CL1779" s="752"/>
      <c r="CM1779" s="752"/>
      <c r="CN1779" s="752"/>
      <c r="CO1779" s="752"/>
      <c r="CP1779" s="752"/>
      <c r="CQ1779" s="752"/>
      <c r="CR1779" s="752"/>
      <c r="CS1779" s="752"/>
      <c r="CT1779" s="752"/>
      <c r="CU1779" s="752"/>
      <c r="CV1779" s="752"/>
      <c r="CW1779" s="752"/>
      <c r="CX1779" s="752"/>
      <c r="CY1779" s="752"/>
      <c r="CZ1779" s="752"/>
      <c r="DA1779" s="752"/>
      <c r="DB1779" s="752"/>
      <c r="DC1779" s="752"/>
      <c r="DD1779" s="752"/>
      <c r="DE1779" s="752"/>
      <c r="DF1779" s="752"/>
      <c r="DG1779" s="752"/>
      <c r="DH1779" s="752"/>
      <c r="DI1779" s="752"/>
      <c r="DJ1779" s="752"/>
      <c r="DK1779" s="752"/>
      <c r="DL1779" s="752"/>
      <c r="DM1779" s="752"/>
      <c r="DN1779" s="752"/>
      <c r="DO1779" s="752"/>
      <c r="DP1779" s="752"/>
      <c r="DQ1779" s="752"/>
      <c r="DR1779" s="752"/>
      <c r="DS1779" s="752"/>
      <c r="DT1779" s="752"/>
      <c r="DU1779" s="752"/>
      <c r="DV1779" s="752"/>
      <c r="DW1779" s="752"/>
      <c r="DX1779" s="752"/>
      <c r="DY1779" s="752"/>
      <c r="DZ1779" s="752"/>
      <c r="EA1779" s="752"/>
      <c r="EB1779" s="752"/>
      <c r="EC1779" s="752"/>
      <c r="ED1779" s="752"/>
      <c r="EE1779" s="752"/>
      <c r="EF1779" s="752"/>
      <c r="EG1779" s="752"/>
      <c r="EH1779" s="752"/>
      <c r="EI1779" s="752"/>
      <c r="EJ1779" s="752"/>
      <c r="EK1779" s="752"/>
      <c r="EL1779" s="752"/>
      <c r="EM1779" s="752"/>
      <c r="EN1779" s="752"/>
      <c r="EO1779" s="752"/>
      <c r="EP1779" s="752"/>
      <c r="EQ1779" s="752"/>
      <c r="ER1779" s="752"/>
      <c r="ES1779" s="752"/>
      <c r="ET1779" s="752"/>
      <c r="EU1779" s="752"/>
      <c r="EV1779" s="752"/>
      <c r="EW1779" s="752"/>
      <c r="EX1779" s="752"/>
      <c r="EY1779" s="752"/>
      <c r="EZ1779" s="752"/>
      <c r="FA1779" s="752"/>
      <c r="FB1779" s="752"/>
      <c r="FC1779" s="752"/>
      <c r="FD1779" s="752"/>
      <c r="FE1779" s="752"/>
      <c r="FF1779" s="752"/>
      <c r="FG1779" s="752"/>
      <c r="FH1779" s="752"/>
      <c r="FI1779" s="752"/>
      <c r="FJ1779" s="752"/>
      <c r="FK1779" s="752"/>
      <c r="FL1779" s="752"/>
      <c r="FM1779" s="752"/>
      <c r="FN1779" s="752"/>
      <c r="FO1779" s="752"/>
      <c r="FP1779" s="752"/>
      <c r="FQ1779" s="752"/>
      <c r="FR1779" s="752"/>
      <c r="FS1779" s="752"/>
      <c r="FT1779" s="752"/>
      <c r="FU1779" s="752"/>
      <c r="FV1779" s="752"/>
      <c r="FW1779" s="752"/>
      <c r="FX1779" s="752"/>
      <c r="FY1779" s="752"/>
      <c r="FZ1779" s="752"/>
      <c r="GA1779" s="752"/>
      <c r="GB1779" s="752"/>
      <c r="GC1779" s="752"/>
      <c r="GD1779" s="752"/>
      <c r="GE1779" s="752"/>
      <c r="GF1779" s="752"/>
      <c r="GG1779" s="752"/>
      <c r="GH1779" s="752"/>
      <c r="GI1779" s="752"/>
      <c r="GJ1779" s="752"/>
      <c r="GK1779" s="752"/>
      <c r="GL1779" s="752"/>
      <c r="GM1779" s="752"/>
      <c r="GN1779" s="752"/>
      <c r="GO1779" s="752"/>
      <c r="GP1779" s="752"/>
      <c r="GQ1779" s="752"/>
      <c r="GR1779" s="752"/>
      <c r="GS1779" s="752"/>
      <c r="GT1779" s="752"/>
      <c r="GU1779" s="752"/>
      <c r="GV1779" s="752"/>
      <c r="GW1779" s="752"/>
      <c r="GX1779" s="752"/>
      <c r="GY1779" s="752"/>
      <c r="GZ1779" s="752"/>
      <c r="HA1779" s="752"/>
      <c r="HB1779" s="752"/>
      <c r="HC1779" s="752"/>
      <c r="HD1779" s="752"/>
      <c r="HE1779" s="752"/>
      <c r="HF1779" s="752"/>
      <c r="HG1779" s="752"/>
      <c r="HH1779" s="752"/>
      <c r="HI1779" s="752"/>
      <c r="HJ1779" s="752"/>
      <c r="HK1779" s="752"/>
      <c r="HL1779" s="752"/>
      <c r="HM1779" s="752"/>
      <c r="HN1779" s="752"/>
      <c r="HO1779" s="752"/>
      <c r="HP1779" s="752"/>
      <c r="HQ1779" s="752"/>
      <c r="HR1779" s="752"/>
      <c r="HS1779" s="752"/>
      <c r="HT1779" s="752"/>
      <c r="HU1779" s="752"/>
      <c r="HV1779" s="752"/>
      <c r="HW1779" s="752"/>
      <c r="HX1779" s="752"/>
      <c r="HY1779" s="752"/>
      <c r="HZ1779" s="752"/>
      <c r="IA1779" s="752"/>
      <c r="IB1779" s="752"/>
      <c r="IC1779" s="752"/>
      <c r="ID1779" s="752"/>
      <c r="IE1779" s="752"/>
      <c r="IF1779" s="752"/>
      <c r="IG1779" s="752"/>
      <c r="IH1779" s="752"/>
      <c r="II1779" s="752"/>
      <c r="IJ1779" s="752"/>
      <c r="IK1779" s="752"/>
      <c r="IL1779" s="752"/>
      <c r="IM1779" s="752"/>
      <c r="IN1779" s="752"/>
      <c r="IO1779" s="752"/>
    </row>
    <row r="1780" spans="1:249" ht="82.5">
      <c r="A1780" s="89"/>
      <c r="B1780" s="100"/>
      <c r="C1780" s="89">
        <v>3</v>
      </c>
      <c r="D1780" s="605" t="s">
        <v>34</v>
      </c>
      <c r="E1780" s="605" t="s">
        <v>39</v>
      </c>
      <c r="F1780" s="89">
        <v>19</v>
      </c>
      <c r="G1780" s="89">
        <v>16</v>
      </c>
      <c r="H1780" s="89"/>
      <c r="I1780" s="114" t="s">
        <v>1708</v>
      </c>
      <c r="J1780" s="124" t="s">
        <v>3247</v>
      </c>
      <c r="K1780" s="1239">
        <v>24</v>
      </c>
      <c r="L1780" s="125">
        <v>361033726</v>
      </c>
      <c r="M1780" s="91">
        <v>12</v>
      </c>
      <c r="N1780" s="805">
        <v>3932168</v>
      </c>
      <c r="O1780" s="91">
        <v>0</v>
      </c>
      <c r="P1780" s="805">
        <v>0</v>
      </c>
      <c r="Q1780" s="91">
        <v>0</v>
      </c>
      <c r="R1780" s="805">
        <v>0</v>
      </c>
      <c r="S1780" s="125"/>
      <c r="T1780" s="125"/>
      <c r="U1780" s="125"/>
      <c r="V1780" s="803"/>
      <c r="W1780" s="125"/>
      <c r="X1780" s="125"/>
      <c r="Y1780" s="125">
        <f t="shared" si="516"/>
        <v>0</v>
      </c>
      <c r="Z1780" s="125">
        <f t="shared" si="517"/>
        <v>0</v>
      </c>
      <c r="AA1780" s="1196">
        <f t="shared" si="518"/>
        <v>12</v>
      </c>
      <c r="AB1780" s="125">
        <f t="shared" si="519"/>
        <v>3932168</v>
      </c>
      <c r="AC1780" s="1196">
        <f t="shared" si="510"/>
        <v>50</v>
      </c>
      <c r="AD1780" s="1196">
        <f t="shared" si="511"/>
        <v>1.089141461537585</v>
      </c>
      <c r="AE1780" s="89"/>
      <c r="AF1780" s="750"/>
      <c r="AG1780" s="750"/>
      <c r="AH1780" s="750"/>
      <c r="AI1780" s="750"/>
      <c r="AJ1780" s="750"/>
      <c r="AK1780" s="750"/>
      <c r="AL1780" s="750"/>
      <c r="AM1780" s="750"/>
      <c r="AN1780" s="750"/>
      <c r="AO1780" s="750"/>
      <c r="AP1780" s="750"/>
      <c r="AQ1780" s="750"/>
      <c r="AR1780" s="750"/>
      <c r="AS1780" s="750"/>
      <c r="AT1780" s="750"/>
      <c r="AU1780" s="750"/>
      <c r="AV1780" s="750"/>
      <c r="AW1780" s="750"/>
      <c r="AX1780" s="750"/>
      <c r="AY1780" s="750"/>
      <c r="AZ1780" s="750"/>
      <c r="BA1780" s="750"/>
      <c r="BB1780" s="750"/>
      <c r="BC1780" s="752"/>
      <c r="BD1780" s="752"/>
      <c r="BE1780" s="752"/>
      <c r="BF1780" s="752"/>
      <c r="BG1780" s="752"/>
      <c r="BH1780" s="752"/>
      <c r="BI1780" s="752"/>
      <c r="BJ1780" s="752"/>
      <c r="BK1780" s="752"/>
      <c r="BL1780" s="752"/>
      <c r="BM1780" s="752"/>
      <c r="BN1780" s="752"/>
      <c r="BO1780" s="752"/>
      <c r="BP1780" s="752"/>
      <c r="BQ1780" s="752"/>
      <c r="BR1780" s="752"/>
      <c r="BS1780" s="752"/>
      <c r="BT1780" s="752"/>
      <c r="BU1780" s="752"/>
      <c r="BV1780" s="752"/>
      <c r="BW1780" s="752"/>
      <c r="BX1780" s="752"/>
      <c r="BY1780" s="752"/>
      <c r="BZ1780" s="752"/>
      <c r="CA1780" s="752"/>
      <c r="CB1780" s="752"/>
      <c r="CC1780" s="752"/>
      <c r="CD1780" s="752"/>
      <c r="CE1780" s="752"/>
      <c r="CF1780" s="752"/>
      <c r="CG1780" s="752"/>
      <c r="CH1780" s="752"/>
      <c r="CI1780" s="752"/>
      <c r="CJ1780" s="752"/>
      <c r="CK1780" s="752"/>
      <c r="CL1780" s="752"/>
      <c r="CM1780" s="752"/>
      <c r="CN1780" s="752"/>
      <c r="CO1780" s="752"/>
      <c r="CP1780" s="752"/>
      <c r="CQ1780" s="752"/>
      <c r="CR1780" s="752"/>
      <c r="CS1780" s="752"/>
      <c r="CT1780" s="752"/>
      <c r="CU1780" s="752"/>
      <c r="CV1780" s="752"/>
      <c r="CW1780" s="752"/>
      <c r="CX1780" s="752"/>
      <c r="CY1780" s="752"/>
      <c r="CZ1780" s="752"/>
      <c r="DA1780" s="752"/>
      <c r="DB1780" s="752"/>
      <c r="DC1780" s="752"/>
      <c r="DD1780" s="752"/>
      <c r="DE1780" s="752"/>
      <c r="DF1780" s="752"/>
      <c r="DG1780" s="752"/>
      <c r="DH1780" s="752"/>
      <c r="DI1780" s="752"/>
      <c r="DJ1780" s="752"/>
      <c r="DK1780" s="752"/>
      <c r="DL1780" s="752"/>
      <c r="DM1780" s="752"/>
      <c r="DN1780" s="752"/>
      <c r="DO1780" s="752"/>
      <c r="DP1780" s="752"/>
      <c r="DQ1780" s="752"/>
      <c r="DR1780" s="752"/>
      <c r="DS1780" s="752"/>
      <c r="DT1780" s="752"/>
      <c r="DU1780" s="752"/>
      <c r="DV1780" s="752"/>
      <c r="DW1780" s="752"/>
      <c r="DX1780" s="752"/>
      <c r="DY1780" s="752"/>
      <c r="DZ1780" s="752"/>
      <c r="EA1780" s="752"/>
      <c r="EB1780" s="752"/>
      <c r="EC1780" s="752"/>
      <c r="ED1780" s="752"/>
      <c r="EE1780" s="752"/>
      <c r="EF1780" s="752"/>
      <c r="EG1780" s="752"/>
      <c r="EH1780" s="752"/>
      <c r="EI1780" s="752"/>
      <c r="EJ1780" s="752"/>
      <c r="EK1780" s="752"/>
      <c r="EL1780" s="752"/>
      <c r="EM1780" s="752"/>
      <c r="EN1780" s="752"/>
      <c r="EO1780" s="752"/>
      <c r="EP1780" s="752"/>
      <c r="EQ1780" s="752"/>
      <c r="ER1780" s="752"/>
      <c r="ES1780" s="752"/>
      <c r="ET1780" s="752"/>
      <c r="EU1780" s="752"/>
      <c r="EV1780" s="752"/>
      <c r="EW1780" s="752"/>
      <c r="EX1780" s="752"/>
      <c r="EY1780" s="752"/>
      <c r="EZ1780" s="752"/>
      <c r="FA1780" s="752"/>
      <c r="FB1780" s="752"/>
      <c r="FC1780" s="752"/>
      <c r="FD1780" s="752"/>
      <c r="FE1780" s="752"/>
      <c r="FF1780" s="752"/>
      <c r="FG1780" s="752"/>
      <c r="FH1780" s="752"/>
      <c r="FI1780" s="752"/>
      <c r="FJ1780" s="752"/>
      <c r="FK1780" s="752"/>
      <c r="FL1780" s="752"/>
      <c r="FM1780" s="752"/>
      <c r="FN1780" s="752"/>
      <c r="FO1780" s="752"/>
      <c r="FP1780" s="752"/>
      <c r="FQ1780" s="752"/>
      <c r="FR1780" s="752"/>
      <c r="FS1780" s="752"/>
      <c r="FT1780" s="752"/>
      <c r="FU1780" s="752"/>
      <c r="FV1780" s="752"/>
      <c r="FW1780" s="752"/>
      <c r="FX1780" s="752"/>
      <c r="FY1780" s="752"/>
      <c r="FZ1780" s="752"/>
      <c r="GA1780" s="752"/>
      <c r="GB1780" s="752"/>
      <c r="GC1780" s="752"/>
      <c r="GD1780" s="752"/>
      <c r="GE1780" s="752"/>
      <c r="GF1780" s="752"/>
      <c r="GG1780" s="752"/>
      <c r="GH1780" s="752"/>
      <c r="GI1780" s="752"/>
      <c r="GJ1780" s="752"/>
      <c r="GK1780" s="752"/>
      <c r="GL1780" s="752"/>
      <c r="GM1780" s="752"/>
      <c r="GN1780" s="752"/>
      <c r="GO1780" s="752"/>
      <c r="GP1780" s="752"/>
      <c r="GQ1780" s="752"/>
      <c r="GR1780" s="752"/>
      <c r="GS1780" s="752"/>
      <c r="GT1780" s="752"/>
      <c r="GU1780" s="752"/>
      <c r="GV1780" s="752"/>
      <c r="GW1780" s="752"/>
      <c r="GX1780" s="752"/>
      <c r="GY1780" s="752"/>
      <c r="GZ1780" s="752"/>
      <c r="HA1780" s="752"/>
      <c r="HB1780" s="752"/>
      <c r="HC1780" s="752"/>
      <c r="HD1780" s="752"/>
      <c r="HE1780" s="752"/>
      <c r="HF1780" s="752"/>
      <c r="HG1780" s="752"/>
      <c r="HH1780" s="752"/>
      <c r="HI1780" s="752"/>
      <c r="HJ1780" s="752"/>
      <c r="HK1780" s="752"/>
      <c r="HL1780" s="752"/>
      <c r="HM1780" s="752"/>
      <c r="HN1780" s="752"/>
      <c r="HO1780" s="752"/>
      <c r="HP1780" s="752"/>
      <c r="HQ1780" s="752"/>
      <c r="HR1780" s="752"/>
      <c r="HS1780" s="752"/>
      <c r="HT1780" s="752"/>
      <c r="HU1780" s="752"/>
      <c r="HV1780" s="752"/>
      <c r="HW1780" s="752"/>
      <c r="HX1780" s="752"/>
      <c r="HY1780" s="752"/>
      <c r="HZ1780" s="752"/>
      <c r="IA1780" s="752"/>
      <c r="IB1780" s="752"/>
      <c r="IC1780" s="752"/>
      <c r="ID1780" s="752"/>
      <c r="IE1780" s="752"/>
      <c r="IF1780" s="752"/>
      <c r="IG1780" s="752"/>
      <c r="IH1780" s="752"/>
      <c r="II1780" s="752"/>
      <c r="IJ1780" s="752"/>
      <c r="IK1780" s="752"/>
      <c r="IL1780" s="752"/>
      <c r="IM1780" s="752"/>
      <c r="IN1780" s="752"/>
      <c r="IO1780" s="752"/>
    </row>
    <row r="1781" spans="1:249" ht="66">
      <c r="A1781" s="89"/>
      <c r="B1781" s="100"/>
      <c r="C1781" s="89">
        <v>3</v>
      </c>
      <c r="D1781" s="605" t="s">
        <v>34</v>
      </c>
      <c r="E1781" s="605" t="s">
        <v>39</v>
      </c>
      <c r="F1781" s="89">
        <v>19</v>
      </c>
      <c r="G1781" s="89">
        <v>12</v>
      </c>
      <c r="H1781" s="89"/>
      <c r="I1781" s="114" t="s">
        <v>1709</v>
      </c>
      <c r="J1781" s="124" t="s">
        <v>3248</v>
      </c>
      <c r="K1781" s="813">
        <v>6</v>
      </c>
      <c r="L1781" s="125">
        <v>693977112</v>
      </c>
      <c r="M1781" s="91">
        <v>2</v>
      </c>
      <c r="N1781" s="805">
        <v>202753812</v>
      </c>
      <c r="O1781" s="91">
        <v>0</v>
      </c>
      <c r="P1781" s="805">
        <v>0</v>
      </c>
      <c r="Q1781" s="91">
        <v>0</v>
      </c>
      <c r="R1781" s="805">
        <v>0</v>
      </c>
      <c r="S1781" s="125"/>
      <c r="T1781" s="125"/>
      <c r="U1781" s="125"/>
      <c r="V1781" s="803"/>
      <c r="W1781" s="125"/>
      <c r="X1781" s="125"/>
      <c r="Y1781" s="125">
        <f t="shared" si="516"/>
        <v>0</v>
      </c>
      <c r="Z1781" s="125">
        <f t="shared" si="517"/>
        <v>0</v>
      </c>
      <c r="AA1781" s="1196">
        <f t="shared" si="518"/>
        <v>2</v>
      </c>
      <c r="AB1781" s="125">
        <f t="shared" si="519"/>
        <v>202753812</v>
      </c>
      <c r="AC1781" s="1196">
        <f t="shared" si="510"/>
        <v>33.333333333333329</v>
      </c>
      <c r="AD1781" s="1196">
        <f t="shared" si="511"/>
        <v>29.216210231440602</v>
      </c>
      <c r="AE1781" s="89"/>
      <c r="AF1781" s="750"/>
      <c r="AG1781" s="750"/>
      <c r="AH1781" s="750"/>
      <c r="AI1781" s="750"/>
      <c r="AJ1781" s="750"/>
      <c r="AK1781" s="750"/>
      <c r="AL1781" s="750"/>
      <c r="AM1781" s="750"/>
      <c r="AN1781" s="750"/>
      <c r="AO1781" s="750"/>
      <c r="AP1781" s="750"/>
      <c r="AQ1781" s="750"/>
      <c r="AR1781" s="750"/>
      <c r="AS1781" s="750"/>
      <c r="AT1781" s="750"/>
      <c r="AU1781" s="750"/>
      <c r="AV1781" s="750"/>
      <c r="AW1781" s="750"/>
      <c r="AX1781" s="750"/>
      <c r="AY1781" s="750"/>
      <c r="AZ1781" s="750"/>
      <c r="BA1781" s="750"/>
      <c r="BB1781" s="750"/>
      <c r="BC1781" s="752"/>
      <c r="BD1781" s="752"/>
      <c r="BE1781" s="752"/>
      <c r="BF1781" s="752"/>
      <c r="BG1781" s="752"/>
      <c r="BH1781" s="752"/>
      <c r="BI1781" s="752"/>
      <c r="BJ1781" s="752"/>
      <c r="BK1781" s="752"/>
      <c r="BL1781" s="752"/>
      <c r="BM1781" s="752"/>
      <c r="BN1781" s="752"/>
      <c r="BO1781" s="752"/>
      <c r="BP1781" s="752"/>
      <c r="BQ1781" s="752"/>
      <c r="BR1781" s="752"/>
      <c r="BS1781" s="752"/>
      <c r="BT1781" s="752"/>
      <c r="BU1781" s="752"/>
      <c r="BV1781" s="752"/>
      <c r="BW1781" s="752"/>
      <c r="BX1781" s="752"/>
      <c r="BY1781" s="752"/>
      <c r="BZ1781" s="752"/>
      <c r="CA1781" s="752"/>
      <c r="CB1781" s="752"/>
      <c r="CC1781" s="752"/>
      <c r="CD1781" s="752"/>
      <c r="CE1781" s="752"/>
      <c r="CF1781" s="752"/>
      <c r="CG1781" s="752"/>
      <c r="CH1781" s="752"/>
      <c r="CI1781" s="752"/>
      <c r="CJ1781" s="752"/>
      <c r="CK1781" s="752"/>
      <c r="CL1781" s="752"/>
      <c r="CM1781" s="752"/>
      <c r="CN1781" s="752"/>
      <c r="CO1781" s="752"/>
      <c r="CP1781" s="752"/>
      <c r="CQ1781" s="752"/>
      <c r="CR1781" s="752"/>
      <c r="CS1781" s="752"/>
      <c r="CT1781" s="752"/>
      <c r="CU1781" s="752"/>
      <c r="CV1781" s="752"/>
      <c r="CW1781" s="752"/>
      <c r="CX1781" s="752"/>
      <c r="CY1781" s="752"/>
      <c r="CZ1781" s="752"/>
      <c r="DA1781" s="752"/>
      <c r="DB1781" s="752"/>
      <c r="DC1781" s="752"/>
      <c r="DD1781" s="752"/>
      <c r="DE1781" s="752"/>
      <c r="DF1781" s="752"/>
      <c r="DG1781" s="752"/>
      <c r="DH1781" s="752"/>
      <c r="DI1781" s="752"/>
      <c r="DJ1781" s="752"/>
      <c r="DK1781" s="752"/>
      <c r="DL1781" s="752"/>
      <c r="DM1781" s="752"/>
      <c r="DN1781" s="752"/>
      <c r="DO1781" s="752"/>
      <c r="DP1781" s="752"/>
      <c r="DQ1781" s="752"/>
      <c r="DR1781" s="752"/>
      <c r="DS1781" s="752"/>
      <c r="DT1781" s="752"/>
      <c r="DU1781" s="752"/>
      <c r="DV1781" s="752"/>
      <c r="DW1781" s="752"/>
      <c r="DX1781" s="752"/>
      <c r="DY1781" s="752"/>
      <c r="DZ1781" s="752"/>
      <c r="EA1781" s="752"/>
      <c r="EB1781" s="752"/>
      <c r="EC1781" s="752"/>
      <c r="ED1781" s="752"/>
      <c r="EE1781" s="752"/>
      <c r="EF1781" s="752"/>
      <c r="EG1781" s="752"/>
      <c r="EH1781" s="752"/>
      <c r="EI1781" s="752"/>
      <c r="EJ1781" s="752"/>
      <c r="EK1781" s="752"/>
      <c r="EL1781" s="752"/>
      <c r="EM1781" s="752"/>
      <c r="EN1781" s="752"/>
      <c r="EO1781" s="752"/>
      <c r="EP1781" s="752"/>
      <c r="EQ1781" s="752"/>
      <c r="ER1781" s="752"/>
      <c r="ES1781" s="752"/>
      <c r="ET1781" s="752"/>
      <c r="EU1781" s="752"/>
      <c r="EV1781" s="752"/>
      <c r="EW1781" s="752"/>
      <c r="EX1781" s="752"/>
      <c r="EY1781" s="752"/>
      <c r="EZ1781" s="752"/>
      <c r="FA1781" s="752"/>
      <c r="FB1781" s="752"/>
      <c r="FC1781" s="752"/>
      <c r="FD1781" s="752"/>
      <c r="FE1781" s="752"/>
      <c r="FF1781" s="752"/>
      <c r="FG1781" s="752"/>
      <c r="FH1781" s="752"/>
      <c r="FI1781" s="752"/>
      <c r="FJ1781" s="752"/>
      <c r="FK1781" s="752"/>
      <c r="FL1781" s="752"/>
      <c r="FM1781" s="752"/>
      <c r="FN1781" s="752"/>
      <c r="FO1781" s="752"/>
      <c r="FP1781" s="752"/>
      <c r="FQ1781" s="752"/>
      <c r="FR1781" s="752"/>
      <c r="FS1781" s="752"/>
      <c r="FT1781" s="752"/>
      <c r="FU1781" s="752"/>
      <c r="FV1781" s="752"/>
      <c r="FW1781" s="752"/>
      <c r="FX1781" s="752"/>
      <c r="FY1781" s="752"/>
      <c r="FZ1781" s="752"/>
      <c r="GA1781" s="752"/>
      <c r="GB1781" s="752"/>
      <c r="GC1781" s="752"/>
      <c r="GD1781" s="752"/>
      <c r="GE1781" s="752"/>
      <c r="GF1781" s="752"/>
      <c r="GG1781" s="752"/>
      <c r="GH1781" s="752"/>
      <c r="GI1781" s="752"/>
      <c r="GJ1781" s="752"/>
      <c r="GK1781" s="752"/>
      <c r="GL1781" s="752"/>
      <c r="GM1781" s="752"/>
      <c r="GN1781" s="752"/>
      <c r="GO1781" s="752"/>
      <c r="GP1781" s="752"/>
      <c r="GQ1781" s="752"/>
      <c r="GR1781" s="752"/>
      <c r="GS1781" s="752"/>
      <c r="GT1781" s="752"/>
      <c r="GU1781" s="752"/>
      <c r="GV1781" s="752"/>
      <c r="GW1781" s="752"/>
      <c r="GX1781" s="752"/>
      <c r="GY1781" s="752"/>
      <c r="GZ1781" s="752"/>
      <c r="HA1781" s="752"/>
      <c r="HB1781" s="752"/>
      <c r="HC1781" s="752"/>
      <c r="HD1781" s="752"/>
      <c r="HE1781" s="752"/>
      <c r="HF1781" s="752"/>
      <c r="HG1781" s="752"/>
      <c r="HH1781" s="752"/>
      <c r="HI1781" s="752"/>
      <c r="HJ1781" s="752"/>
      <c r="HK1781" s="752"/>
      <c r="HL1781" s="752"/>
      <c r="HM1781" s="752"/>
      <c r="HN1781" s="752"/>
      <c r="HO1781" s="752"/>
      <c r="HP1781" s="752"/>
      <c r="HQ1781" s="752"/>
      <c r="HR1781" s="752"/>
      <c r="HS1781" s="752"/>
      <c r="HT1781" s="752"/>
      <c r="HU1781" s="752"/>
      <c r="HV1781" s="752"/>
      <c r="HW1781" s="752"/>
      <c r="HX1781" s="752"/>
      <c r="HY1781" s="752"/>
      <c r="HZ1781" s="752"/>
      <c r="IA1781" s="752"/>
      <c r="IB1781" s="752"/>
      <c r="IC1781" s="752"/>
      <c r="ID1781" s="752"/>
      <c r="IE1781" s="752"/>
      <c r="IF1781" s="752"/>
      <c r="IG1781" s="752"/>
      <c r="IH1781" s="752"/>
      <c r="II1781" s="752"/>
      <c r="IJ1781" s="752"/>
      <c r="IK1781" s="752"/>
      <c r="IL1781" s="752"/>
      <c r="IM1781" s="752"/>
      <c r="IN1781" s="752"/>
      <c r="IO1781" s="752"/>
    </row>
    <row r="1782" spans="1:249" s="1235" customFormat="1" ht="24" customHeight="1">
      <c r="A1782" s="2737" t="s">
        <v>63</v>
      </c>
      <c r="B1782" s="2737"/>
      <c r="C1782" s="2737"/>
      <c r="D1782" s="2737"/>
      <c r="E1782" s="2737"/>
      <c r="F1782" s="2737"/>
      <c r="G1782" s="2737"/>
      <c r="H1782" s="2737"/>
      <c r="I1782" s="2737"/>
      <c r="J1782" s="2737"/>
      <c r="K1782" s="2737"/>
      <c r="L1782" s="2737"/>
      <c r="M1782" s="2737"/>
      <c r="N1782" s="2737"/>
      <c r="O1782" s="2737"/>
      <c r="P1782" s="2737"/>
      <c r="Q1782" s="2737"/>
      <c r="R1782" s="2737"/>
      <c r="S1782" s="2737"/>
      <c r="T1782" s="2737"/>
      <c r="U1782" s="2737"/>
      <c r="V1782" s="2737"/>
      <c r="W1782" s="2737"/>
      <c r="X1782" s="2737"/>
      <c r="Y1782" s="2737"/>
      <c r="Z1782" s="2737"/>
      <c r="AA1782" s="2737"/>
      <c r="AB1782" s="2737"/>
      <c r="AC1782" s="965">
        <f>(AC1711+AC1724+AC1732+AC1735+AC1737+AC1739+AC1740+AC1741+AD1770+AD1777)/10</f>
        <v>63.156757913902062</v>
      </c>
      <c r="AD1782" s="965">
        <f>(AD1711+AD1724+AD1732+AD1735+AD1737+AD1739+AD1770+AD1777)/8</f>
        <v>46.090399341379609</v>
      </c>
      <c r="AE1782" s="131"/>
      <c r="AF1782" s="861"/>
      <c r="AG1782" s="861"/>
      <c r="AH1782" s="861"/>
      <c r="AI1782" s="861"/>
      <c r="AJ1782" s="861"/>
      <c r="AK1782" s="861"/>
      <c r="AL1782" s="861"/>
      <c r="AM1782" s="861"/>
      <c r="AN1782" s="861"/>
      <c r="AO1782" s="861"/>
      <c r="AP1782" s="861"/>
      <c r="AQ1782" s="861"/>
      <c r="AR1782" s="861"/>
      <c r="AS1782" s="861"/>
      <c r="AT1782" s="861"/>
      <c r="AU1782" s="861"/>
      <c r="AV1782" s="861"/>
      <c r="AW1782" s="861"/>
      <c r="AX1782" s="861"/>
      <c r="AY1782" s="861"/>
      <c r="AZ1782" s="861"/>
      <c r="BA1782" s="861"/>
      <c r="BB1782" s="861"/>
      <c r="BC1782" s="862"/>
      <c r="BD1782" s="862"/>
      <c r="BE1782" s="862"/>
      <c r="BF1782" s="862"/>
      <c r="BG1782" s="862"/>
      <c r="BH1782" s="862"/>
      <c r="BI1782" s="862"/>
      <c r="BJ1782" s="862"/>
      <c r="BK1782" s="862"/>
      <c r="BL1782" s="862"/>
      <c r="BM1782" s="862"/>
      <c r="BN1782" s="862"/>
      <c r="BO1782" s="862"/>
      <c r="BP1782" s="862"/>
      <c r="BQ1782" s="862"/>
      <c r="BR1782" s="862"/>
      <c r="BS1782" s="862"/>
      <c r="BT1782" s="862"/>
      <c r="BU1782" s="862"/>
      <c r="BV1782" s="862"/>
      <c r="BW1782" s="862"/>
      <c r="BX1782" s="862"/>
      <c r="BY1782" s="862"/>
      <c r="BZ1782" s="862"/>
      <c r="CA1782" s="862"/>
      <c r="CB1782" s="862"/>
      <c r="CC1782" s="862"/>
      <c r="CD1782" s="862"/>
      <c r="CE1782" s="862"/>
      <c r="CF1782" s="862"/>
      <c r="CG1782" s="862"/>
      <c r="CH1782" s="862"/>
      <c r="CI1782" s="862"/>
      <c r="CJ1782" s="862"/>
      <c r="CK1782" s="862"/>
      <c r="CL1782" s="862"/>
      <c r="CM1782" s="862"/>
      <c r="CN1782" s="862"/>
      <c r="CO1782" s="862"/>
      <c r="CP1782" s="862"/>
      <c r="CQ1782" s="862"/>
      <c r="CR1782" s="862"/>
      <c r="CS1782" s="862"/>
      <c r="CT1782" s="862"/>
      <c r="CU1782" s="862"/>
      <c r="CV1782" s="862"/>
      <c r="CW1782" s="862"/>
      <c r="CX1782" s="862"/>
      <c r="CY1782" s="862"/>
      <c r="CZ1782" s="862"/>
      <c r="DA1782" s="862"/>
      <c r="DB1782" s="862"/>
      <c r="DC1782" s="862"/>
      <c r="DD1782" s="862"/>
      <c r="DE1782" s="862"/>
      <c r="DF1782" s="862"/>
      <c r="DG1782" s="862"/>
      <c r="DH1782" s="862"/>
      <c r="DI1782" s="862"/>
      <c r="DJ1782" s="862"/>
      <c r="DK1782" s="862"/>
      <c r="DL1782" s="862"/>
      <c r="DM1782" s="862"/>
      <c r="DN1782" s="862"/>
      <c r="DO1782" s="862"/>
      <c r="DP1782" s="862"/>
      <c r="DQ1782" s="862"/>
      <c r="DR1782" s="862"/>
      <c r="DS1782" s="862"/>
      <c r="DT1782" s="862"/>
      <c r="DU1782" s="862"/>
      <c r="DV1782" s="862"/>
      <c r="DW1782" s="862"/>
      <c r="DX1782" s="862"/>
      <c r="DY1782" s="862"/>
      <c r="DZ1782" s="862"/>
      <c r="EA1782" s="862"/>
      <c r="EB1782" s="862"/>
      <c r="EC1782" s="862"/>
      <c r="ED1782" s="862"/>
      <c r="EE1782" s="862"/>
      <c r="EF1782" s="862"/>
      <c r="EG1782" s="862"/>
      <c r="EH1782" s="862"/>
      <c r="EI1782" s="862"/>
      <c r="EJ1782" s="862"/>
      <c r="EK1782" s="862"/>
      <c r="EL1782" s="862"/>
      <c r="EM1782" s="862"/>
      <c r="EN1782" s="862"/>
      <c r="EO1782" s="862"/>
      <c r="EP1782" s="862"/>
      <c r="EQ1782" s="862"/>
      <c r="ER1782" s="862"/>
      <c r="ES1782" s="862"/>
      <c r="ET1782" s="862"/>
      <c r="EU1782" s="862"/>
      <c r="EV1782" s="862"/>
      <c r="EW1782" s="862"/>
      <c r="EX1782" s="862"/>
      <c r="EY1782" s="862"/>
      <c r="EZ1782" s="862"/>
      <c r="FA1782" s="862"/>
      <c r="FB1782" s="862"/>
      <c r="FC1782" s="862"/>
      <c r="FD1782" s="862"/>
      <c r="FE1782" s="862"/>
      <c r="FF1782" s="862"/>
      <c r="FG1782" s="862"/>
      <c r="FH1782" s="862"/>
      <c r="FI1782" s="862"/>
      <c r="FJ1782" s="862"/>
      <c r="FK1782" s="862"/>
      <c r="FL1782" s="862"/>
      <c r="FM1782" s="862"/>
      <c r="FN1782" s="862"/>
      <c r="FO1782" s="862"/>
      <c r="FP1782" s="862"/>
      <c r="FQ1782" s="862"/>
      <c r="FR1782" s="862"/>
      <c r="FS1782" s="862"/>
      <c r="FT1782" s="862"/>
      <c r="FU1782" s="862"/>
      <c r="FV1782" s="862"/>
      <c r="FW1782" s="862"/>
      <c r="FX1782" s="862"/>
      <c r="FY1782" s="862"/>
      <c r="FZ1782" s="862"/>
      <c r="GA1782" s="862"/>
      <c r="GB1782" s="862"/>
      <c r="GC1782" s="862"/>
      <c r="GD1782" s="862"/>
      <c r="GE1782" s="862"/>
      <c r="GF1782" s="862"/>
      <c r="GG1782" s="862"/>
      <c r="GH1782" s="862"/>
      <c r="GI1782" s="862"/>
      <c r="GJ1782" s="862"/>
      <c r="GK1782" s="862"/>
      <c r="GL1782" s="862"/>
      <c r="GM1782" s="862"/>
      <c r="GN1782" s="862"/>
      <c r="GO1782" s="862"/>
      <c r="GP1782" s="862"/>
      <c r="GQ1782" s="862"/>
      <c r="GR1782" s="862"/>
      <c r="GS1782" s="862"/>
      <c r="GT1782" s="862"/>
      <c r="GU1782" s="862"/>
      <c r="GV1782" s="862"/>
      <c r="GW1782" s="862"/>
      <c r="GX1782" s="862"/>
      <c r="GY1782" s="862"/>
      <c r="GZ1782" s="862"/>
      <c r="HA1782" s="862"/>
      <c r="HB1782" s="862"/>
      <c r="HC1782" s="862"/>
      <c r="HD1782" s="862"/>
      <c r="HE1782" s="862"/>
      <c r="HF1782" s="862"/>
      <c r="HG1782" s="862"/>
      <c r="HH1782" s="862"/>
      <c r="HI1782" s="862"/>
      <c r="HJ1782" s="862"/>
      <c r="HK1782" s="862"/>
      <c r="HL1782" s="862"/>
      <c r="HM1782" s="862"/>
      <c r="HN1782" s="862"/>
      <c r="HO1782" s="862"/>
      <c r="HP1782" s="862"/>
      <c r="HQ1782" s="862"/>
      <c r="HR1782" s="862"/>
      <c r="HS1782" s="862"/>
      <c r="HT1782" s="862"/>
      <c r="HU1782" s="862"/>
      <c r="HV1782" s="862"/>
      <c r="HW1782" s="862"/>
      <c r="HX1782" s="862"/>
      <c r="HY1782" s="862"/>
      <c r="HZ1782" s="862"/>
      <c r="IA1782" s="862"/>
      <c r="IB1782" s="862"/>
      <c r="IC1782" s="862"/>
      <c r="ID1782" s="862"/>
      <c r="IE1782" s="862"/>
      <c r="IF1782" s="862"/>
      <c r="IG1782" s="862"/>
      <c r="IH1782" s="862"/>
      <c r="II1782" s="862"/>
      <c r="IJ1782" s="862"/>
      <c r="IK1782" s="862"/>
      <c r="IL1782" s="862"/>
      <c r="IM1782" s="862"/>
      <c r="IN1782" s="862"/>
      <c r="IO1782" s="862"/>
    </row>
    <row r="1783" spans="1:249" s="1235" customFormat="1" ht="23.25" customHeight="1">
      <c r="A1783" s="2737" t="s">
        <v>64</v>
      </c>
      <c r="B1783" s="2737"/>
      <c r="C1783" s="2737"/>
      <c r="D1783" s="2737"/>
      <c r="E1783" s="2737"/>
      <c r="F1783" s="2737"/>
      <c r="G1783" s="2737"/>
      <c r="H1783" s="2737"/>
      <c r="I1783" s="2737"/>
      <c r="J1783" s="2737"/>
      <c r="K1783" s="2737"/>
      <c r="L1783" s="2737"/>
      <c r="M1783" s="2737"/>
      <c r="N1783" s="2737"/>
      <c r="O1783" s="2737"/>
      <c r="P1783" s="2737"/>
      <c r="Q1783" s="2737"/>
      <c r="R1783" s="2737"/>
      <c r="S1783" s="2737"/>
      <c r="T1783" s="2737"/>
      <c r="U1783" s="2737"/>
      <c r="V1783" s="2737"/>
      <c r="W1783" s="2737"/>
      <c r="X1783" s="2737"/>
      <c r="Y1783" s="2737"/>
      <c r="Z1783" s="2737"/>
      <c r="AA1783" s="2737"/>
      <c r="AB1783" s="2737"/>
      <c r="AC1783" s="1861" t="str">
        <f>IF(AC1782&gt;=91,"ST",IF(AC1782&gt;=76,"T",IF(AC1782&gt;=66,"S",IF(AC1782&gt;=51,"R","SR"))))</f>
        <v>R</v>
      </c>
      <c r="AD1783" s="1861" t="str">
        <f>IF(AD1782&gt;=91,"ST",IF(AD1782&gt;=76,"T",IF(AD1782&gt;=66,"S",IF(AD1782&gt;=51,"R","SR"))))</f>
        <v>SR</v>
      </c>
      <c r="AE1783" s="131"/>
      <c r="AF1783" s="861"/>
      <c r="AG1783" s="861"/>
      <c r="AH1783" s="861"/>
      <c r="AI1783" s="861"/>
      <c r="AJ1783" s="861"/>
      <c r="AK1783" s="861"/>
      <c r="AL1783" s="861"/>
      <c r="AM1783" s="861"/>
      <c r="AN1783" s="861"/>
      <c r="AO1783" s="861"/>
      <c r="AP1783" s="861"/>
      <c r="AQ1783" s="861"/>
      <c r="AR1783" s="861"/>
      <c r="AS1783" s="861"/>
      <c r="AT1783" s="861"/>
      <c r="AU1783" s="861"/>
      <c r="AV1783" s="861"/>
      <c r="AW1783" s="861"/>
      <c r="AX1783" s="861"/>
      <c r="AY1783" s="861"/>
      <c r="AZ1783" s="861"/>
      <c r="BA1783" s="861"/>
      <c r="BB1783" s="861"/>
      <c r="BC1783" s="862"/>
      <c r="BD1783" s="862"/>
      <c r="BE1783" s="862"/>
      <c r="BF1783" s="862"/>
      <c r="BG1783" s="862"/>
      <c r="BH1783" s="862"/>
      <c r="BI1783" s="862"/>
      <c r="BJ1783" s="862"/>
      <c r="BK1783" s="862"/>
      <c r="BL1783" s="862"/>
      <c r="BM1783" s="862"/>
      <c r="BN1783" s="862"/>
      <c r="BO1783" s="862"/>
      <c r="BP1783" s="862"/>
      <c r="BQ1783" s="862"/>
      <c r="BR1783" s="862"/>
      <c r="BS1783" s="862"/>
      <c r="BT1783" s="862"/>
      <c r="BU1783" s="862"/>
      <c r="BV1783" s="862"/>
      <c r="BW1783" s="862"/>
      <c r="BX1783" s="862"/>
      <c r="BY1783" s="862"/>
      <c r="BZ1783" s="862"/>
      <c r="CA1783" s="862"/>
      <c r="CB1783" s="862"/>
      <c r="CC1783" s="862"/>
      <c r="CD1783" s="862"/>
      <c r="CE1783" s="862"/>
      <c r="CF1783" s="862"/>
      <c r="CG1783" s="862"/>
      <c r="CH1783" s="862"/>
      <c r="CI1783" s="862"/>
      <c r="CJ1783" s="862"/>
      <c r="CK1783" s="862"/>
      <c r="CL1783" s="862"/>
      <c r="CM1783" s="862"/>
      <c r="CN1783" s="862"/>
      <c r="CO1783" s="862"/>
      <c r="CP1783" s="862"/>
      <c r="CQ1783" s="862"/>
      <c r="CR1783" s="862"/>
      <c r="CS1783" s="862"/>
      <c r="CT1783" s="862"/>
      <c r="CU1783" s="862"/>
      <c r="CV1783" s="862"/>
      <c r="CW1783" s="862"/>
      <c r="CX1783" s="862"/>
      <c r="CY1783" s="862"/>
      <c r="CZ1783" s="862"/>
      <c r="DA1783" s="862"/>
      <c r="DB1783" s="862"/>
      <c r="DC1783" s="862"/>
      <c r="DD1783" s="862"/>
      <c r="DE1783" s="862"/>
      <c r="DF1783" s="862"/>
      <c r="DG1783" s="862"/>
      <c r="DH1783" s="862"/>
      <c r="DI1783" s="862"/>
      <c r="DJ1783" s="862"/>
      <c r="DK1783" s="862"/>
      <c r="DL1783" s="862"/>
      <c r="DM1783" s="862"/>
      <c r="DN1783" s="862"/>
      <c r="DO1783" s="862"/>
      <c r="DP1783" s="862"/>
      <c r="DQ1783" s="862"/>
      <c r="DR1783" s="862"/>
      <c r="DS1783" s="862"/>
      <c r="DT1783" s="862"/>
      <c r="DU1783" s="862"/>
      <c r="DV1783" s="862"/>
      <c r="DW1783" s="862"/>
      <c r="DX1783" s="862"/>
      <c r="DY1783" s="862"/>
      <c r="DZ1783" s="862"/>
      <c r="EA1783" s="862"/>
      <c r="EB1783" s="862"/>
      <c r="EC1783" s="862"/>
      <c r="ED1783" s="862"/>
      <c r="EE1783" s="862"/>
      <c r="EF1783" s="862"/>
      <c r="EG1783" s="862"/>
      <c r="EH1783" s="862"/>
      <c r="EI1783" s="862"/>
      <c r="EJ1783" s="862"/>
      <c r="EK1783" s="862"/>
      <c r="EL1783" s="862"/>
      <c r="EM1783" s="862"/>
      <c r="EN1783" s="862"/>
      <c r="EO1783" s="862"/>
      <c r="EP1783" s="862"/>
      <c r="EQ1783" s="862"/>
      <c r="ER1783" s="862"/>
      <c r="ES1783" s="862"/>
      <c r="ET1783" s="862"/>
      <c r="EU1783" s="862"/>
      <c r="EV1783" s="862"/>
      <c r="EW1783" s="862"/>
      <c r="EX1783" s="862"/>
      <c r="EY1783" s="862"/>
      <c r="EZ1783" s="862"/>
      <c r="FA1783" s="862"/>
      <c r="FB1783" s="862"/>
      <c r="FC1783" s="862"/>
      <c r="FD1783" s="862"/>
      <c r="FE1783" s="862"/>
      <c r="FF1783" s="862"/>
      <c r="FG1783" s="862"/>
      <c r="FH1783" s="862"/>
      <c r="FI1783" s="862"/>
      <c r="FJ1783" s="862"/>
      <c r="FK1783" s="862"/>
      <c r="FL1783" s="862"/>
      <c r="FM1783" s="862"/>
      <c r="FN1783" s="862"/>
      <c r="FO1783" s="862"/>
      <c r="FP1783" s="862"/>
      <c r="FQ1783" s="862"/>
      <c r="FR1783" s="862"/>
      <c r="FS1783" s="862"/>
      <c r="FT1783" s="862"/>
      <c r="FU1783" s="862"/>
      <c r="FV1783" s="862"/>
      <c r="FW1783" s="862"/>
      <c r="FX1783" s="862"/>
      <c r="FY1783" s="862"/>
      <c r="FZ1783" s="862"/>
      <c r="GA1783" s="862"/>
      <c r="GB1783" s="862"/>
      <c r="GC1783" s="862"/>
      <c r="GD1783" s="862"/>
      <c r="GE1783" s="862"/>
      <c r="GF1783" s="862"/>
      <c r="GG1783" s="862"/>
      <c r="GH1783" s="862"/>
      <c r="GI1783" s="862"/>
      <c r="GJ1783" s="862"/>
      <c r="GK1783" s="862"/>
      <c r="GL1783" s="862"/>
      <c r="GM1783" s="862"/>
      <c r="GN1783" s="862"/>
      <c r="GO1783" s="862"/>
      <c r="GP1783" s="862"/>
      <c r="GQ1783" s="862"/>
      <c r="GR1783" s="862"/>
      <c r="GS1783" s="862"/>
      <c r="GT1783" s="862"/>
      <c r="GU1783" s="862"/>
      <c r="GV1783" s="862"/>
      <c r="GW1783" s="862"/>
      <c r="GX1783" s="862"/>
      <c r="GY1783" s="862"/>
      <c r="GZ1783" s="862"/>
      <c r="HA1783" s="862"/>
      <c r="HB1783" s="862"/>
      <c r="HC1783" s="862"/>
      <c r="HD1783" s="862"/>
      <c r="HE1783" s="862"/>
      <c r="HF1783" s="862"/>
      <c r="HG1783" s="862"/>
      <c r="HH1783" s="862"/>
      <c r="HI1783" s="862"/>
      <c r="HJ1783" s="862"/>
      <c r="HK1783" s="862"/>
      <c r="HL1783" s="862"/>
      <c r="HM1783" s="862"/>
      <c r="HN1783" s="862"/>
      <c r="HO1783" s="862"/>
      <c r="HP1783" s="862"/>
      <c r="HQ1783" s="862"/>
      <c r="HR1783" s="862"/>
      <c r="HS1783" s="862"/>
      <c r="HT1783" s="862"/>
      <c r="HU1783" s="862"/>
      <c r="HV1783" s="862"/>
      <c r="HW1783" s="862"/>
      <c r="HX1783" s="862"/>
      <c r="HY1783" s="862"/>
      <c r="HZ1783" s="862"/>
      <c r="IA1783" s="862"/>
      <c r="IB1783" s="862"/>
      <c r="IC1783" s="862"/>
      <c r="ID1783" s="862"/>
      <c r="IE1783" s="862"/>
      <c r="IF1783" s="862"/>
      <c r="IG1783" s="862"/>
      <c r="IH1783" s="862"/>
      <c r="II1783" s="862"/>
      <c r="IJ1783" s="862"/>
      <c r="IK1783" s="862"/>
      <c r="IL1783" s="862"/>
      <c r="IM1783" s="862"/>
      <c r="IN1783" s="862"/>
      <c r="IO1783" s="862"/>
    </row>
    <row r="1784" spans="1:249" s="1235" customFormat="1" ht="27.75" customHeight="1">
      <c r="A1784" s="2738" t="s">
        <v>609</v>
      </c>
      <c r="B1784" s="2739"/>
      <c r="C1784" s="2739"/>
      <c r="D1784" s="2739"/>
      <c r="E1784" s="2739"/>
      <c r="F1784" s="2739"/>
      <c r="G1784" s="2739"/>
      <c r="H1784" s="2740"/>
      <c r="I1784" s="800"/>
      <c r="J1784" s="800"/>
      <c r="K1784" s="800"/>
      <c r="L1784" s="1837">
        <f>L1785+L1797+L1805+L1807+L1809</f>
        <v>14134860587</v>
      </c>
      <c r="M1784" s="800"/>
      <c r="N1784" s="1238">
        <f>N1785+N1797+N1805+N1807+N1809</f>
        <v>6601113768</v>
      </c>
      <c r="O1784" s="1838"/>
      <c r="P1784" s="2610">
        <f>P1785+P1797+P1805+P1807+P1809</f>
        <v>3422914188</v>
      </c>
      <c r="Q1784" s="1839"/>
      <c r="R1784" s="1238">
        <f>R1785+R1797+R1805+R1807+R1809</f>
        <v>608287309</v>
      </c>
      <c r="S1784" s="800"/>
      <c r="T1784" s="1238">
        <f>T1785+T1797+T1809</f>
        <v>1384317381</v>
      </c>
      <c r="U1784" s="800"/>
      <c r="V1784" s="1840"/>
      <c r="W1784" s="800"/>
      <c r="X1784" s="1238"/>
      <c r="Y1784" s="800"/>
      <c r="Z1784" s="1238">
        <f>Z1785+Z1797+Z1805+Z1807+Z1809</f>
        <v>1992604690</v>
      </c>
      <c r="AA1784" s="800"/>
      <c r="AB1784" s="1238">
        <f>AB1785+AB1797+AB1805+AB1807+AB1809</f>
        <v>8593718458</v>
      </c>
      <c r="AC1784" s="800"/>
      <c r="AD1784" s="800"/>
      <c r="AE1784" s="1634"/>
      <c r="AF1784" s="861"/>
      <c r="AG1784" s="861"/>
      <c r="AH1784" s="861"/>
      <c r="AI1784" s="861"/>
      <c r="AJ1784" s="861"/>
      <c r="AK1784" s="861"/>
      <c r="AL1784" s="861"/>
      <c r="AM1784" s="861"/>
      <c r="AN1784" s="861"/>
      <c r="AO1784" s="861"/>
      <c r="AP1784" s="861"/>
      <c r="AQ1784" s="861"/>
      <c r="AR1784" s="861"/>
      <c r="AS1784" s="861"/>
      <c r="AT1784" s="861"/>
      <c r="AU1784" s="861"/>
      <c r="AV1784" s="861"/>
      <c r="AW1784" s="861"/>
      <c r="AX1784" s="861"/>
      <c r="AY1784" s="861"/>
      <c r="AZ1784" s="861"/>
      <c r="BA1784" s="861"/>
      <c r="BB1784" s="861"/>
      <c r="BC1784" s="862"/>
      <c r="BD1784" s="862"/>
      <c r="BE1784" s="862"/>
      <c r="BF1784" s="862"/>
      <c r="BG1784" s="862"/>
      <c r="BH1784" s="862"/>
      <c r="BI1784" s="862"/>
      <c r="BJ1784" s="862"/>
      <c r="BK1784" s="862"/>
      <c r="BL1784" s="862"/>
      <c r="BM1784" s="862"/>
      <c r="BN1784" s="862"/>
      <c r="BO1784" s="862"/>
      <c r="BP1784" s="862"/>
      <c r="BQ1784" s="862"/>
      <c r="BR1784" s="862"/>
    </row>
    <row r="1785" spans="1:249" s="22" customFormat="1" ht="82.5">
      <c r="A1785" s="2558">
        <v>1</v>
      </c>
      <c r="B1785" s="629"/>
      <c r="C1785" s="989">
        <v>3</v>
      </c>
      <c r="D1785" s="303" t="s">
        <v>34</v>
      </c>
      <c r="E1785" s="303" t="s">
        <v>39</v>
      </c>
      <c r="F1785" s="303" t="s">
        <v>28</v>
      </c>
      <c r="G1785" s="303" t="s">
        <v>25</v>
      </c>
      <c r="H1785" s="989"/>
      <c r="I1785" s="629" t="s">
        <v>26</v>
      </c>
      <c r="J1785" s="44" t="s">
        <v>3249</v>
      </c>
      <c r="K1785" s="282">
        <v>60</v>
      </c>
      <c r="L1785" s="282">
        <f t="shared" ref="L1785:P1785" si="520">SUM(L1786:L1796)</f>
        <v>3519701383</v>
      </c>
      <c r="M1785" s="282">
        <v>24</v>
      </c>
      <c r="N1785" s="282">
        <f t="shared" si="520"/>
        <v>1426565731</v>
      </c>
      <c r="O1785" s="282">
        <v>12</v>
      </c>
      <c r="P1785" s="403">
        <f t="shared" si="520"/>
        <v>609003178</v>
      </c>
      <c r="Q1785" s="282">
        <v>3</v>
      </c>
      <c r="R1785" s="160">
        <f>SUM(R1786:R1796)</f>
        <v>109558381</v>
      </c>
      <c r="S1785" s="1242"/>
      <c r="T1785" s="222">
        <f>SUM(T1786:T1796)</f>
        <v>264531511</v>
      </c>
      <c r="U1785" s="282"/>
      <c r="V1785" s="1243"/>
      <c r="W1785" s="282"/>
      <c r="X1785" s="1244"/>
      <c r="Y1785" s="282">
        <f t="shared" ref="Y1785:Y1823" si="521">Q1785+S1785+U1785+W1785</f>
        <v>3</v>
      </c>
      <c r="Z1785" s="1243">
        <f t="shared" ref="Z1785:Z1823" si="522">R1785+T1785+V1785+X1785</f>
        <v>374089892</v>
      </c>
      <c r="AA1785" s="160">
        <f t="shared" ref="AA1785:AA1823" si="523">M1785+Y1785</f>
        <v>27</v>
      </c>
      <c r="AB1785" s="160">
        <f t="shared" ref="AB1785:AB1823" si="524">N1785+Z1785</f>
        <v>1800655623</v>
      </c>
      <c r="AC1785" s="825">
        <f t="shared" ref="AC1785:AC1823" si="525">AA1785/K1785*100</f>
        <v>45</v>
      </c>
      <c r="AD1785" s="539">
        <f t="shared" ref="AD1785:AD1823" si="526">AB1785/L1785*100</f>
        <v>51.159329359504355</v>
      </c>
      <c r="AE1785" s="2558" t="s">
        <v>232</v>
      </c>
      <c r="AF1785" s="750"/>
      <c r="AG1785" s="750"/>
      <c r="AH1785" s="750"/>
      <c r="AI1785" s="750"/>
      <c r="AJ1785" s="750"/>
      <c r="AK1785" s="750"/>
      <c r="AL1785" s="750"/>
      <c r="AM1785" s="750"/>
      <c r="AN1785" s="750"/>
      <c r="AO1785" s="750"/>
      <c r="AP1785" s="750"/>
      <c r="AQ1785" s="750"/>
      <c r="AR1785" s="750"/>
      <c r="AS1785" s="750"/>
      <c r="AT1785" s="750"/>
      <c r="AU1785" s="750"/>
      <c r="AV1785" s="750"/>
      <c r="AW1785" s="750"/>
      <c r="AX1785" s="750"/>
      <c r="AY1785" s="750"/>
      <c r="AZ1785" s="750"/>
      <c r="BA1785" s="750"/>
      <c r="BB1785" s="750"/>
      <c r="BC1785" s="752"/>
      <c r="BD1785" s="752"/>
      <c r="BE1785" s="752"/>
      <c r="BF1785" s="752"/>
      <c r="BG1785" s="752"/>
      <c r="BH1785" s="752"/>
      <c r="BI1785" s="752"/>
      <c r="BJ1785" s="752"/>
      <c r="BK1785" s="752"/>
      <c r="BL1785" s="752"/>
      <c r="BM1785" s="752"/>
      <c r="BN1785" s="752"/>
      <c r="BO1785" s="752"/>
      <c r="BP1785" s="752"/>
      <c r="BQ1785" s="752"/>
      <c r="BR1785" s="752"/>
    </row>
    <row r="1786" spans="1:249" ht="99">
      <c r="A1786" s="102"/>
      <c r="B1786" s="8"/>
      <c r="C1786" s="102">
        <v>3</v>
      </c>
      <c r="D1786" s="628" t="s">
        <v>34</v>
      </c>
      <c r="E1786" s="628" t="s">
        <v>39</v>
      </c>
      <c r="F1786" s="628" t="s">
        <v>28</v>
      </c>
      <c r="G1786" s="628" t="s">
        <v>25</v>
      </c>
      <c r="H1786" s="628" t="s">
        <v>28</v>
      </c>
      <c r="I1786" s="8" t="s">
        <v>109</v>
      </c>
      <c r="J1786" s="6" t="s">
        <v>3250</v>
      </c>
      <c r="K1786" s="8">
        <v>60</v>
      </c>
      <c r="L1786" s="826">
        <v>360676157</v>
      </c>
      <c r="M1786" s="1245">
        <v>36</v>
      </c>
      <c r="N1786" s="826">
        <v>86945483</v>
      </c>
      <c r="O1786" s="8">
        <v>12</v>
      </c>
      <c r="P1786" s="632">
        <v>58080000</v>
      </c>
      <c r="Q1786" s="832">
        <v>3</v>
      </c>
      <c r="R1786" s="786">
        <f>6932390+3198617</f>
        <v>10131007</v>
      </c>
      <c r="S1786" s="1246" t="s">
        <v>574</v>
      </c>
      <c r="T1786" s="1247">
        <v>21669787</v>
      </c>
      <c r="U1786" s="8"/>
      <c r="V1786" s="1247"/>
      <c r="W1786" s="8"/>
      <c r="X1786" s="829"/>
      <c r="Y1786" s="514">
        <f t="shared" si="521"/>
        <v>6</v>
      </c>
      <c r="Z1786" s="830">
        <f t="shared" si="522"/>
        <v>31800794</v>
      </c>
      <c r="AA1786" s="503">
        <f t="shared" si="523"/>
        <v>42</v>
      </c>
      <c r="AB1786" s="25">
        <f t="shared" si="524"/>
        <v>118746277</v>
      </c>
      <c r="AC1786" s="827">
        <f t="shared" si="525"/>
        <v>70</v>
      </c>
      <c r="AD1786" s="827">
        <f t="shared" si="526"/>
        <v>32.923240057700845</v>
      </c>
      <c r="AE1786" s="102"/>
    </row>
    <row r="1787" spans="1:249" ht="66">
      <c r="A1787" s="102"/>
      <c r="B1787" s="8"/>
      <c r="C1787" s="102">
        <v>3</v>
      </c>
      <c r="D1787" s="628" t="s">
        <v>34</v>
      </c>
      <c r="E1787" s="628" t="s">
        <v>39</v>
      </c>
      <c r="F1787" s="628" t="s">
        <v>28</v>
      </c>
      <c r="G1787" s="628" t="s">
        <v>25</v>
      </c>
      <c r="H1787" s="628" t="s">
        <v>29</v>
      </c>
      <c r="I1787" s="8" t="s">
        <v>102</v>
      </c>
      <c r="J1787" s="6" t="s">
        <v>3251</v>
      </c>
      <c r="K1787" s="8">
        <v>60</v>
      </c>
      <c r="L1787" s="207">
        <v>916665188</v>
      </c>
      <c r="M1787" s="1245">
        <v>36</v>
      </c>
      <c r="N1787" s="826">
        <v>238692150</v>
      </c>
      <c r="O1787" s="8">
        <v>12</v>
      </c>
      <c r="P1787" s="828">
        <v>131075000</v>
      </c>
      <c r="Q1787" s="832">
        <v>3</v>
      </c>
      <c r="R1787" s="786">
        <f>13050000+7350000+4345000</f>
        <v>24745000</v>
      </c>
      <c r="S1787" s="1246" t="s">
        <v>574</v>
      </c>
      <c r="T1787" s="1247">
        <v>58865000</v>
      </c>
      <c r="U1787" s="8"/>
      <c r="V1787" s="1247"/>
      <c r="W1787" s="8"/>
      <c r="X1787" s="829"/>
      <c r="Y1787" s="514">
        <f t="shared" si="521"/>
        <v>6</v>
      </c>
      <c r="Z1787" s="830">
        <f t="shared" si="522"/>
        <v>83610000</v>
      </c>
      <c r="AA1787" s="25">
        <f t="shared" si="523"/>
        <v>42</v>
      </c>
      <c r="AB1787" s="25">
        <f t="shared" si="524"/>
        <v>322302150</v>
      </c>
      <c r="AC1787" s="827">
        <f t="shared" si="525"/>
        <v>70</v>
      </c>
      <c r="AD1787" s="831">
        <f t="shared" si="526"/>
        <v>35.160291262200744</v>
      </c>
      <c r="AE1787" s="102"/>
    </row>
    <row r="1788" spans="1:249" ht="49.5">
      <c r="A1788" s="102"/>
      <c r="B1788" s="8"/>
      <c r="C1788" s="102">
        <v>3</v>
      </c>
      <c r="D1788" s="628" t="s">
        <v>34</v>
      </c>
      <c r="E1788" s="628" t="s">
        <v>39</v>
      </c>
      <c r="F1788" s="628" t="s">
        <v>28</v>
      </c>
      <c r="G1788" s="628" t="s">
        <v>25</v>
      </c>
      <c r="H1788" s="628" t="s">
        <v>30</v>
      </c>
      <c r="I1788" s="8" t="s">
        <v>110</v>
      </c>
      <c r="J1788" s="6" t="s">
        <v>3252</v>
      </c>
      <c r="K1788" s="8">
        <v>60</v>
      </c>
      <c r="L1788" s="826">
        <v>69912849</v>
      </c>
      <c r="M1788" s="1245">
        <v>36</v>
      </c>
      <c r="N1788" s="826">
        <v>33204000</v>
      </c>
      <c r="O1788" s="8">
        <v>12</v>
      </c>
      <c r="P1788" s="828">
        <v>32157205</v>
      </c>
      <c r="Q1788" s="832">
        <v>3</v>
      </c>
      <c r="R1788" s="786">
        <f>2000000+1736680+2984000</f>
        <v>6720680</v>
      </c>
      <c r="S1788" s="1246" t="s">
        <v>574</v>
      </c>
      <c r="T1788" s="1247">
        <v>17061680</v>
      </c>
      <c r="U1788" s="8"/>
      <c r="V1788" s="1247"/>
      <c r="W1788" s="8"/>
      <c r="X1788" s="829"/>
      <c r="Y1788" s="514">
        <f t="shared" si="521"/>
        <v>6</v>
      </c>
      <c r="Z1788" s="830">
        <f t="shared" si="522"/>
        <v>23782360</v>
      </c>
      <c r="AA1788" s="25">
        <f t="shared" si="523"/>
        <v>42</v>
      </c>
      <c r="AB1788" s="25">
        <f t="shared" si="524"/>
        <v>56986360</v>
      </c>
      <c r="AC1788" s="827">
        <f t="shared" si="525"/>
        <v>70</v>
      </c>
      <c r="AD1788" s="827">
        <f t="shared" si="526"/>
        <v>81.510567535303849</v>
      </c>
      <c r="AE1788" s="102"/>
    </row>
    <row r="1789" spans="1:249" ht="33">
      <c r="A1789" s="102"/>
      <c r="B1789" s="8"/>
      <c r="C1789" s="102">
        <v>3</v>
      </c>
      <c r="D1789" s="628" t="s">
        <v>34</v>
      </c>
      <c r="E1789" s="628" t="s">
        <v>39</v>
      </c>
      <c r="F1789" s="628" t="s">
        <v>28</v>
      </c>
      <c r="G1789" s="628" t="s">
        <v>25</v>
      </c>
      <c r="H1789" s="628" t="s">
        <v>31</v>
      </c>
      <c r="I1789" s="8" t="s">
        <v>32</v>
      </c>
      <c r="J1789" s="6" t="s">
        <v>3253</v>
      </c>
      <c r="K1789" s="8">
        <v>60</v>
      </c>
      <c r="L1789" s="826">
        <v>191141155</v>
      </c>
      <c r="M1789" s="1245">
        <v>36</v>
      </c>
      <c r="N1789" s="826">
        <v>60438000</v>
      </c>
      <c r="O1789" s="8">
        <v>12</v>
      </c>
      <c r="P1789" s="828">
        <v>118200000</v>
      </c>
      <c r="Q1789" s="832">
        <v>3</v>
      </c>
      <c r="R1789" s="786">
        <f>9770420+18576540</f>
        <v>28346960</v>
      </c>
      <c r="S1789" s="1246" t="s">
        <v>574</v>
      </c>
      <c r="T1789" s="1247">
        <v>47865360</v>
      </c>
      <c r="U1789" s="8"/>
      <c r="V1789" s="1247"/>
      <c r="W1789" s="8"/>
      <c r="X1789" s="829"/>
      <c r="Y1789" s="514">
        <f t="shared" si="521"/>
        <v>6</v>
      </c>
      <c r="Z1789" s="830">
        <f t="shared" si="522"/>
        <v>76212320</v>
      </c>
      <c r="AA1789" s="25">
        <f t="shared" si="523"/>
        <v>42</v>
      </c>
      <c r="AB1789" s="25">
        <f t="shared" si="524"/>
        <v>136650320</v>
      </c>
      <c r="AC1789" s="827">
        <f t="shared" si="525"/>
        <v>70</v>
      </c>
      <c r="AD1789" s="827">
        <f t="shared" si="526"/>
        <v>71.491835444857486</v>
      </c>
      <c r="AE1789" s="102"/>
    </row>
    <row r="1790" spans="1:249" ht="82.5">
      <c r="A1790" s="102"/>
      <c r="B1790" s="8"/>
      <c r="C1790" s="102">
        <v>3</v>
      </c>
      <c r="D1790" s="628" t="s">
        <v>34</v>
      </c>
      <c r="E1790" s="628" t="s">
        <v>39</v>
      </c>
      <c r="F1790" s="628" t="s">
        <v>28</v>
      </c>
      <c r="G1790" s="628" t="s">
        <v>25</v>
      </c>
      <c r="H1790" s="628" t="s">
        <v>62</v>
      </c>
      <c r="I1790" s="8" t="s">
        <v>575</v>
      </c>
      <c r="J1790" s="6" t="s">
        <v>1340</v>
      </c>
      <c r="K1790" s="8">
        <v>60</v>
      </c>
      <c r="L1790" s="826">
        <v>139854012</v>
      </c>
      <c r="M1790" s="1245">
        <v>36</v>
      </c>
      <c r="N1790" s="826">
        <v>44592100</v>
      </c>
      <c r="O1790" s="8">
        <v>12</v>
      </c>
      <c r="P1790" s="828">
        <v>39742320</v>
      </c>
      <c r="Q1790" s="832">
        <v>3</v>
      </c>
      <c r="R1790" s="786">
        <f>3359500+12586000</f>
        <v>15945500</v>
      </c>
      <c r="S1790" s="1246" t="s">
        <v>574</v>
      </c>
      <c r="T1790" s="1247">
        <v>18743600</v>
      </c>
      <c r="U1790" s="8"/>
      <c r="V1790" s="1247"/>
      <c r="W1790" s="8"/>
      <c r="X1790" s="829"/>
      <c r="Y1790" s="514">
        <f t="shared" si="521"/>
        <v>6</v>
      </c>
      <c r="Z1790" s="830">
        <f t="shared" si="522"/>
        <v>34689100</v>
      </c>
      <c r="AA1790" s="25">
        <f t="shared" si="523"/>
        <v>42</v>
      </c>
      <c r="AB1790" s="25">
        <f t="shared" si="524"/>
        <v>79281200</v>
      </c>
      <c r="AC1790" s="827">
        <f t="shared" si="525"/>
        <v>70</v>
      </c>
      <c r="AD1790" s="827">
        <f t="shared" si="526"/>
        <v>56.688541763106514</v>
      </c>
      <c r="AE1790" s="102"/>
    </row>
    <row r="1791" spans="1:249" ht="99">
      <c r="A1791" s="102"/>
      <c r="B1791" s="8"/>
      <c r="C1791" s="102">
        <v>3</v>
      </c>
      <c r="D1791" s="628" t="s">
        <v>34</v>
      </c>
      <c r="E1791" s="628" t="s">
        <v>39</v>
      </c>
      <c r="F1791" s="628" t="s">
        <v>28</v>
      </c>
      <c r="G1791" s="628" t="s">
        <v>25</v>
      </c>
      <c r="H1791" s="628" t="s">
        <v>52</v>
      </c>
      <c r="I1791" s="10" t="s">
        <v>156</v>
      </c>
      <c r="J1791" s="6" t="s">
        <v>3254</v>
      </c>
      <c r="K1791" s="8">
        <v>60</v>
      </c>
      <c r="L1791" s="826">
        <v>88070026</v>
      </c>
      <c r="M1791" s="1245">
        <v>36</v>
      </c>
      <c r="N1791" s="826">
        <v>15461500</v>
      </c>
      <c r="O1791" s="8">
        <v>12</v>
      </c>
      <c r="P1791" s="828">
        <v>8478653</v>
      </c>
      <c r="Q1791" s="832">
        <v>3</v>
      </c>
      <c r="R1791" s="786">
        <f>1480160</f>
        <v>1480160</v>
      </c>
      <c r="S1791" s="1246" t="s">
        <v>574</v>
      </c>
      <c r="T1791" s="1247">
        <v>6790960</v>
      </c>
      <c r="U1791" s="8"/>
      <c r="V1791" s="1247"/>
      <c r="W1791" s="8"/>
      <c r="X1791" s="829"/>
      <c r="Y1791" s="514">
        <f t="shared" si="521"/>
        <v>6</v>
      </c>
      <c r="Z1791" s="830">
        <f t="shared" si="522"/>
        <v>8271120</v>
      </c>
      <c r="AA1791" s="25">
        <f t="shared" si="523"/>
        <v>42</v>
      </c>
      <c r="AB1791" s="25">
        <f t="shared" si="524"/>
        <v>23732620</v>
      </c>
      <c r="AC1791" s="827">
        <f t="shared" si="525"/>
        <v>70</v>
      </c>
      <c r="AD1791" s="827">
        <f t="shared" si="526"/>
        <v>26.947442935920108</v>
      </c>
      <c r="AE1791" s="102"/>
    </row>
    <row r="1792" spans="1:249" ht="82.5">
      <c r="A1792" s="102"/>
      <c r="B1792" s="8"/>
      <c r="C1792" s="102">
        <v>3</v>
      </c>
      <c r="D1792" s="628" t="s">
        <v>34</v>
      </c>
      <c r="E1792" s="628" t="s">
        <v>39</v>
      </c>
      <c r="F1792" s="628" t="s">
        <v>28</v>
      </c>
      <c r="G1792" s="628" t="s">
        <v>25</v>
      </c>
      <c r="H1792" s="628" t="s">
        <v>45</v>
      </c>
      <c r="I1792" s="10" t="s">
        <v>157</v>
      </c>
      <c r="J1792" s="6" t="s">
        <v>2703</v>
      </c>
      <c r="K1792" s="8">
        <v>60</v>
      </c>
      <c r="L1792" s="826">
        <v>43400000</v>
      </c>
      <c r="M1792" s="1245">
        <v>36</v>
      </c>
      <c r="N1792" s="826">
        <v>9720000</v>
      </c>
      <c r="O1792" s="8">
        <v>12</v>
      </c>
      <c r="P1792" s="828">
        <v>3600000</v>
      </c>
      <c r="Q1792" s="832">
        <v>3</v>
      </c>
      <c r="R1792" s="786">
        <f>260000</f>
        <v>260000</v>
      </c>
      <c r="S1792" s="1246" t="s">
        <v>574</v>
      </c>
      <c r="T1792" s="1247">
        <v>1260000</v>
      </c>
      <c r="U1792" s="8"/>
      <c r="V1792" s="1247"/>
      <c r="W1792" s="8"/>
      <c r="X1792" s="829"/>
      <c r="Y1792" s="514">
        <f t="shared" si="521"/>
        <v>6</v>
      </c>
      <c r="Z1792" s="830">
        <f t="shared" si="522"/>
        <v>1520000</v>
      </c>
      <c r="AA1792" s="25">
        <f t="shared" si="523"/>
        <v>42</v>
      </c>
      <c r="AB1792" s="25">
        <f t="shared" si="524"/>
        <v>11240000</v>
      </c>
      <c r="AC1792" s="827">
        <f t="shared" si="525"/>
        <v>70</v>
      </c>
      <c r="AD1792" s="827">
        <f t="shared" si="526"/>
        <v>25.89861751152074</v>
      </c>
      <c r="AE1792" s="102"/>
    </row>
    <row r="1793" spans="1:249" ht="49.5">
      <c r="A1793" s="102"/>
      <c r="B1793" s="8"/>
      <c r="C1793" s="102">
        <v>3</v>
      </c>
      <c r="D1793" s="628" t="s">
        <v>34</v>
      </c>
      <c r="E1793" s="628" t="s">
        <v>39</v>
      </c>
      <c r="F1793" s="628" t="s">
        <v>28</v>
      </c>
      <c r="G1793" s="628" t="s">
        <v>25</v>
      </c>
      <c r="H1793" s="628" t="s">
        <v>74</v>
      </c>
      <c r="I1793" s="10" t="s">
        <v>167</v>
      </c>
      <c r="J1793" s="6" t="s">
        <v>3255</v>
      </c>
      <c r="K1793" s="8">
        <v>60</v>
      </c>
      <c r="L1793" s="826">
        <v>257100000</v>
      </c>
      <c r="M1793" s="1245">
        <v>36</v>
      </c>
      <c r="N1793" s="826">
        <v>141594800</v>
      </c>
      <c r="O1793" s="8">
        <v>12</v>
      </c>
      <c r="P1793" s="828">
        <v>67410000</v>
      </c>
      <c r="Q1793" s="832">
        <v>3</v>
      </c>
      <c r="R1793" s="786">
        <f>2000000+2263800+4182250</f>
        <v>8446050</v>
      </c>
      <c r="S1793" s="1246" t="s">
        <v>574</v>
      </c>
      <c r="T1793" s="1247">
        <v>21033000</v>
      </c>
      <c r="U1793" s="8"/>
      <c r="V1793" s="1247"/>
      <c r="W1793" s="8"/>
      <c r="X1793" s="829"/>
      <c r="Y1793" s="514">
        <f t="shared" si="521"/>
        <v>6</v>
      </c>
      <c r="Z1793" s="830">
        <f t="shared" si="522"/>
        <v>29479050</v>
      </c>
      <c r="AA1793" s="25">
        <f t="shared" si="523"/>
        <v>42</v>
      </c>
      <c r="AB1793" s="25">
        <f t="shared" si="524"/>
        <v>171073850</v>
      </c>
      <c r="AC1793" s="827">
        <f t="shared" si="525"/>
        <v>70</v>
      </c>
      <c r="AD1793" s="827">
        <f t="shared" si="526"/>
        <v>66.539809412679901</v>
      </c>
      <c r="AE1793" s="102"/>
      <c r="AF1793" s="971"/>
    </row>
    <row r="1794" spans="1:249" ht="82.5">
      <c r="A1794" s="102"/>
      <c r="B1794" s="8"/>
      <c r="C1794" s="102">
        <v>3</v>
      </c>
      <c r="D1794" s="628" t="s">
        <v>34</v>
      </c>
      <c r="E1794" s="628" t="s">
        <v>39</v>
      </c>
      <c r="F1794" s="628" t="s">
        <v>28</v>
      </c>
      <c r="G1794" s="628" t="s">
        <v>25</v>
      </c>
      <c r="H1794" s="628" t="s">
        <v>44</v>
      </c>
      <c r="I1794" s="10" t="s">
        <v>233</v>
      </c>
      <c r="J1794" s="6" t="s">
        <v>3256</v>
      </c>
      <c r="K1794" s="8">
        <v>60</v>
      </c>
      <c r="L1794" s="826">
        <v>812554925</v>
      </c>
      <c r="M1794" s="1245">
        <v>36</v>
      </c>
      <c r="N1794" s="826">
        <v>433702598</v>
      </c>
      <c r="O1794" s="8">
        <v>12</v>
      </c>
      <c r="P1794" s="828">
        <v>27900000</v>
      </c>
      <c r="Q1794" s="832">
        <v>3</v>
      </c>
      <c r="R1794" s="786">
        <f>1389700</f>
        <v>1389700</v>
      </c>
      <c r="S1794" s="1246" t="s">
        <v>574</v>
      </c>
      <c r="T1794" s="1248">
        <v>11356450</v>
      </c>
      <c r="U1794" s="8"/>
      <c r="V1794" s="1247"/>
      <c r="W1794" s="8"/>
      <c r="X1794" s="829"/>
      <c r="Y1794" s="514">
        <f t="shared" si="521"/>
        <v>6</v>
      </c>
      <c r="Z1794" s="830">
        <f t="shared" si="522"/>
        <v>12746150</v>
      </c>
      <c r="AA1794" s="25">
        <f t="shared" si="523"/>
        <v>42</v>
      </c>
      <c r="AB1794" s="25">
        <f t="shared" si="524"/>
        <v>446448748</v>
      </c>
      <c r="AC1794" s="827">
        <f t="shared" si="525"/>
        <v>70</v>
      </c>
      <c r="AD1794" s="827">
        <f t="shared" si="526"/>
        <v>54.94382401288135</v>
      </c>
      <c r="AE1794" s="102"/>
      <c r="AF1794" s="971"/>
    </row>
    <row r="1795" spans="1:249" ht="82.5">
      <c r="A1795" s="102"/>
      <c r="B1795" s="8"/>
      <c r="C1795" s="102">
        <v>3</v>
      </c>
      <c r="D1795" s="628" t="s">
        <v>34</v>
      </c>
      <c r="E1795" s="628" t="s">
        <v>39</v>
      </c>
      <c r="F1795" s="628" t="s">
        <v>28</v>
      </c>
      <c r="G1795" s="628" t="s">
        <v>25</v>
      </c>
      <c r="H1795" s="628" t="s">
        <v>47</v>
      </c>
      <c r="I1795" s="10" t="s">
        <v>576</v>
      </c>
      <c r="J1795" s="6" t="s">
        <v>3257</v>
      </c>
      <c r="K1795" s="8">
        <v>60</v>
      </c>
      <c r="L1795" s="826">
        <v>470861300</v>
      </c>
      <c r="M1795" s="1245">
        <v>36</v>
      </c>
      <c r="N1795" s="826">
        <v>310943900</v>
      </c>
      <c r="O1795" s="8">
        <v>12</v>
      </c>
      <c r="P1795" s="828">
        <v>70300000</v>
      </c>
      <c r="Q1795" s="832">
        <v>3</v>
      </c>
      <c r="R1795" s="786">
        <f>0+4713774+5977750</f>
        <v>10691524</v>
      </c>
      <c r="S1795" s="1246" t="s">
        <v>574</v>
      </c>
      <c r="T1795" s="1248">
        <v>55603574</v>
      </c>
      <c r="U1795" s="8"/>
      <c r="V1795" s="1247"/>
      <c r="W1795" s="8"/>
      <c r="X1795" s="829"/>
      <c r="Y1795" s="792">
        <f t="shared" si="521"/>
        <v>6</v>
      </c>
      <c r="Z1795" s="830">
        <f t="shared" si="522"/>
        <v>66295098</v>
      </c>
      <c r="AA1795" s="25">
        <f t="shared" si="523"/>
        <v>42</v>
      </c>
      <c r="AB1795" s="25">
        <f t="shared" si="524"/>
        <v>377238998</v>
      </c>
      <c r="AC1795" s="827">
        <f t="shared" si="525"/>
        <v>70</v>
      </c>
      <c r="AD1795" s="827">
        <f t="shared" si="526"/>
        <v>80.116798301325673</v>
      </c>
      <c r="AE1795" s="102"/>
      <c r="AF1795" s="201"/>
      <c r="AG1795" s="201"/>
      <c r="AH1795" s="201"/>
      <c r="AI1795" s="201"/>
      <c r="AJ1795" s="201"/>
      <c r="AK1795" s="201"/>
      <c r="AL1795" s="201"/>
      <c r="AM1795" s="201"/>
      <c r="AN1795" s="201"/>
      <c r="AO1795" s="201"/>
      <c r="AP1795" s="201"/>
      <c r="AQ1795" s="201"/>
      <c r="AR1795" s="201"/>
      <c r="AS1795" s="201"/>
      <c r="AT1795" s="201"/>
      <c r="AU1795" s="201"/>
      <c r="AV1795" s="201"/>
      <c r="AW1795" s="201"/>
      <c r="AX1795" s="201"/>
      <c r="AY1795" s="201"/>
      <c r="AZ1795" s="201"/>
      <c r="BA1795" s="201"/>
      <c r="BB1795" s="201"/>
      <c r="BC1795" s="20"/>
      <c r="BD1795" s="20"/>
      <c r="BE1795" s="20"/>
      <c r="BF1795" s="20"/>
      <c r="BG1795" s="20"/>
      <c r="BH1795" s="20"/>
      <c r="BI1795" s="20"/>
      <c r="BJ1795" s="20"/>
      <c r="BK1795" s="20"/>
      <c r="BL1795" s="20"/>
      <c r="BM1795" s="20"/>
      <c r="BN1795" s="20"/>
      <c r="BO1795" s="20"/>
      <c r="BP1795" s="20"/>
      <c r="BQ1795" s="20"/>
      <c r="BR1795" s="20"/>
      <c r="BS1795" s="16"/>
      <c r="BT1795" s="16"/>
      <c r="BU1795" s="16"/>
      <c r="BV1795" s="16"/>
      <c r="BW1795" s="16"/>
      <c r="BX1795" s="16"/>
      <c r="BY1795" s="16"/>
      <c r="BZ1795" s="16"/>
      <c r="CA1795" s="16"/>
      <c r="CB1795" s="16"/>
      <c r="CC1795" s="16"/>
      <c r="CD1795" s="16"/>
      <c r="CE1795" s="16"/>
      <c r="CF1795" s="16"/>
      <c r="CG1795" s="16"/>
      <c r="CH1795" s="16"/>
      <c r="CI1795" s="16"/>
      <c r="CJ1795" s="16"/>
      <c r="CK1795" s="16"/>
      <c r="CL1795" s="16"/>
      <c r="CM1795" s="16"/>
      <c r="CN1795" s="16"/>
      <c r="CO1795" s="16"/>
      <c r="CP1795" s="16"/>
      <c r="CQ1795" s="16"/>
      <c r="CR1795" s="16"/>
      <c r="CS1795" s="16"/>
      <c r="CT1795" s="16"/>
      <c r="CU1795" s="16"/>
      <c r="CV1795" s="16"/>
      <c r="CW1795" s="16"/>
      <c r="CX1795" s="16"/>
      <c r="CY1795" s="16"/>
      <c r="CZ1795" s="16"/>
      <c r="DA1795" s="16"/>
      <c r="DB1795" s="16"/>
      <c r="DC1795" s="16"/>
      <c r="DD1795" s="16"/>
      <c r="DE1795" s="16"/>
      <c r="DF1795" s="16"/>
      <c r="DG1795" s="16"/>
      <c r="DH1795" s="16"/>
      <c r="DI1795" s="16"/>
      <c r="DJ1795" s="16"/>
      <c r="DK1795" s="16"/>
      <c r="DL1795" s="16"/>
      <c r="DM1795" s="16"/>
      <c r="DN1795" s="16"/>
      <c r="DO1795" s="16"/>
      <c r="DP1795" s="16"/>
      <c r="DQ1795" s="16"/>
      <c r="DR1795" s="16"/>
      <c r="DS1795" s="16"/>
      <c r="DT1795" s="16"/>
      <c r="DU1795" s="16"/>
      <c r="DV1795" s="16"/>
      <c r="DW1795" s="16"/>
      <c r="DX1795" s="16"/>
      <c r="DY1795" s="16"/>
      <c r="DZ1795" s="16"/>
      <c r="EA1795" s="16"/>
      <c r="EB1795" s="16"/>
      <c r="EC1795" s="16"/>
      <c r="ED1795" s="16"/>
      <c r="EE1795" s="16"/>
      <c r="EF1795" s="16"/>
      <c r="EG1795" s="16"/>
      <c r="EH1795" s="16"/>
      <c r="EI1795" s="16"/>
      <c r="EJ1795" s="16"/>
      <c r="EK1795" s="16"/>
      <c r="EL1795" s="16"/>
      <c r="EM1795" s="16"/>
      <c r="EN1795" s="16"/>
      <c r="EO1795" s="16"/>
      <c r="EP1795" s="16"/>
      <c r="EQ1795" s="16"/>
      <c r="ER1795" s="16"/>
      <c r="ES1795" s="16"/>
      <c r="ET1795" s="16"/>
      <c r="EU1795" s="16"/>
      <c r="EV1795" s="16"/>
      <c r="EW1795" s="16"/>
      <c r="EX1795" s="16"/>
      <c r="EY1795" s="16"/>
      <c r="EZ1795" s="16"/>
      <c r="FA1795" s="16"/>
      <c r="FB1795" s="16"/>
      <c r="FC1795" s="16"/>
      <c r="FD1795" s="16"/>
      <c r="FE1795" s="16"/>
      <c r="FF1795" s="16"/>
      <c r="FG1795" s="16"/>
      <c r="FH1795" s="16"/>
      <c r="FI1795" s="16"/>
      <c r="FJ1795" s="16"/>
      <c r="FK1795" s="16"/>
      <c r="FL1795" s="16"/>
      <c r="FM1795" s="16"/>
      <c r="FN1795" s="16"/>
      <c r="FO1795" s="16"/>
      <c r="FP1795" s="16"/>
      <c r="FQ1795" s="16"/>
      <c r="FR1795" s="16"/>
      <c r="FS1795" s="16"/>
      <c r="FT1795" s="16"/>
      <c r="FU1795" s="16"/>
      <c r="FV1795" s="16"/>
      <c r="FW1795" s="16"/>
      <c r="FX1795" s="16"/>
      <c r="FY1795" s="16"/>
      <c r="FZ1795" s="16"/>
      <c r="GA1795" s="16"/>
      <c r="GB1795" s="16"/>
      <c r="GC1795" s="16"/>
      <c r="GD1795" s="16"/>
      <c r="GE1795" s="16"/>
      <c r="GF1795" s="16"/>
      <c r="GG1795" s="16"/>
      <c r="GH1795" s="16"/>
      <c r="GI1795" s="16"/>
      <c r="GJ1795" s="16"/>
      <c r="GK1795" s="16"/>
      <c r="GL1795" s="16"/>
      <c r="GM1795" s="16"/>
      <c r="GN1795" s="16"/>
      <c r="GO1795" s="16"/>
      <c r="GP1795" s="16"/>
      <c r="GQ1795" s="16"/>
      <c r="GR1795" s="16"/>
      <c r="GS1795" s="16"/>
      <c r="GT1795" s="16"/>
      <c r="GU1795" s="16"/>
      <c r="GV1795" s="16"/>
      <c r="GW1795" s="16"/>
      <c r="GX1795" s="16"/>
      <c r="GY1795" s="16"/>
      <c r="GZ1795" s="16"/>
      <c r="HA1795" s="16"/>
      <c r="HB1795" s="16"/>
      <c r="HC1795" s="16"/>
      <c r="HD1795" s="16"/>
      <c r="HE1795" s="16"/>
      <c r="HF1795" s="16"/>
      <c r="HG1795" s="16"/>
      <c r="HH1795" s="16"/>
      <c r="HI1795" s="16"/>
      <c r="HJ1795" s="16"/>
      <c r="HK1795" s="16"/>
      <c r="HL1795" s="16"/>
      <c r="HM1795" s="16"/>
      <c r="HN1795" s="16"/>
      <c r="HO1795" s="16"/>
      <c r="HP1795" s="16"/>
      <c r="HQ1795" s="16"/>
      <c r="HR1795" s="16"/>
      <c r="HS1795" s="16"/>
      <c r="HT1795" s="16"/>
      <c r="HU1795" s="16"/>
      <c r="HV1795" s="16"/>
      <c r="HW1795" s="16"/>
      <c r="HX1795" s="16"/>
      <c r="HY1795" s="16"/>
      <c r="HZ1795" s="16"/>
      <c r="IA1795" s="16"/>
      <c r="IB1795" s="16"/>
      <c r="IC1795" s="16"/>
      <c r="ID1795" s="16"/>
      <c r="IE1795" s="16"/>
      <c r="IF1795" s="16"/>
      <c r="IG1795" s="16"/>
      <c r="IH1795" s="16"/>
      <c r="II1795" s="16"/>
      <c r="IJ1795" s="16"/>
      <c r="IK1795" s="16"/>
      <c r="IL1795" s="16"/>
      <c r="IM1795" s="16"/>
      <c r="IN1795" s="16"/>
      <c r="IO1795" s="16"/>
    </row>
    <row r="1796" spans="1:249" ht="99">
      <c r="A1796" s="102"/>
      <c r="B1796" s="8"/>
      <c r="C1796" s="102">
        <v>3</v>
      </c>
      <c r="D1796" s="628" t="s">
        <v>34</v>
      </c>
      <c r="E1796" s="628" t="s">
        <v>39</v>
      </c>
      <c r="F1796" s="628" t="s">
        <v>28</v>
      </c>
      <c r="G1796" s="628" t="s">
        <v>25</v>
      </c>
      <c r="H1796" s="628" t="s">
        <v>53</v>
      </c>
      <c r="I1796" s="10" t="s">
        <v>577</v>
      </c>
      <c r="J1796" s="6" t="s">
        <v>578</v>
      </c>
      <c r="K1796" s="8">
        <v>50</v>
      </c>
      <c r="L1796" s="826">
        <v>169465771</v>
      </c>
      <c r="M1796" s="1245">
        <v>20</v>
      </c>
      <c r="N1796" s="826">
        <v>51271200</v>
      </c>
      <c r="O1796" s="8">
        <v>10</v>
      </c>
      <c r="P1796" s="828">
        <v>52060000</v>
      </c>
      <c r="Q1796" s="832">
        <v>2</v>
      </c>
      <c r="R1796" s="786">
        <f>1401800</f>
        <v>1401800</v>
      </c>
      <c r="S1796" s="1246" t="s">
        <v>574</v>
      </c>
      <c r="T1796" s="1247">
        <v>4282100</v>
      </c>
      <c r="U1796" s="8"/>
      <c r="V1796" s="1247"/>
      <c r="W1796" s="8"/>
      <c r="X1796" s="829"/>
      <c r="Y1796" s="792">
        <f t="shared" si="521"/>
        <v>5</v>
      </c>
      <c r="Z1796" s="830">
        <f t="shared" si="522"/>
        <v>5683900</v>
      </c>
      <c r="AA1796" s="25">
        <f t="shared" si="523"/>
        <v>25</v>
      </c>
      <c r="AB1796" s="25">
        <f t="shared" si="524"/>
        <v>56955100</v>
      </c>
      <c r="AC1796" s="827">
        <f t="shared" si="525"/>
        <v>50</v>
      </c>
      <c r="AD1796" s="827">
        <f t="shared" si="526"/>
        <v>33.608615866150338</v>
      </c>
      <c r="AE1796" s="102"/>
    </row>
    <row r="1797" spans="1:249" ht="82.5">
      <c r="A1797" s="2558">
        <v>2</v>
      </c>
      <c r="B1797" s="40"/>
      <c r="C1797" s="161">
        <v>3</v>
      </c>
      <c r="D1797" s="303" t="s">
        <v>34</v>
      </c>
      <c r="E1797" s="303" t="s">
        <v>39</v>
      </c>
      <c r="F1797" s="303" t="s">
        <v>28</v>
      </c>
      <c r="G1797" s="303" t="s">
        <v>28</v>
      </c>
      <c r="H1797" s="161"/>
      <c r="I1797" s="33" t="s">
        <v>36</v>
      </c>
      <c r="J1797" s="44" t="s">
        <v>3258</v>
      </c>
      <c r="K1797" s="282">
        <v>60</v>
      </c>
      <c r="L1797" s="282">
        <f t="shared" ref="L1797:N1797" si="527">SUM(L1798:L1801)</f>
        <v>767320905</v>
      </c>
      <c r="M1797" s="282">
        <v>24</v>
      </c>
      <c r="N1797" s="282">
        <f t="shared" si="527"/>
        <v>500665040</v>
      </c>
      <c r="O1797" s="282">
        <v>12</v>
      </c>
      <c r="P1797" s="403">
        <f>SUM(P1798:P1804)</f>
        <v>414275780</v>
      </c>
      <c r="Q1797" s="282">
        <v>3</v>
      </c>
      <c r="R1797" s="160">
        <f>SUM(R1798:R1804)</f>
        <v>37999428</v>
      </c>
      <c r="S1797" s="282"/>
      <c r="T1797" s="159">
        <f>SUM(T1798:T1804)</f>
        <v>236836183</v>
      </c>
      <c r="U1797" s="282"/>
      <c r="V1797" s="1249"/>
      <c r="W1797" s="282"/>
      <c r="X1797" s="1250"/>
      <c r="Y1797" s="282">
        <f t="shared" si="521"/>
        <v>3</v>
      </c>
      <c r="Z1797" s="1249">
        <f t="shared" si="522"/>
        <v>274835611</v>
      </c>
      <c r="AA1797" s="282">
        <f t="shared" si="523"/>
        <v>27</v>
      </c>
      <c r="AB1797" s="159">
        <f t="shared" si="524"/>
        <v>775500651</v>
      </c>
      <c r="AC1797" s="151">
        <f t="shared" si="525"/>
        <v>45</v>
      </c>
      <c r="AD1797" s="151">
        <f t="shared" si="526"/>
        <v>101.06601370387531</v>
      </c>
      <c r="AE1797" s="2558" t="s">
        <v>232</v>
      </c>
    </row>
    <row r="1798" spans="1:249" ht="33">
      <c r="A1798" s="102"/>
      <c r="B1798" s="8"/>
      <c r="C1798" s="102">
        <v>3</v>
      </c>
      <c r="D1798" s="628" t="s">
        <v>34</v>
      </c>
      <c r="E1798" s="628" t="s">
        <v>39</v>
      </c>
      <c r="F1798" s="628" t="s">
        <v>28</v>
      </c>
      <c r="G1798" s="628" t="s">
        <v>28</v>
      </c>
      <c r="H1798" s="628" t="s">
        <v>38</v>
      </c>
      <c r="I1798" s="8" t="s">
        <v>514</v>
      </c>
      <c r="J1798" s="8" t="s">
        <v>3259</v>
      </c>
      <c r="K1798" s="8">
        <v>3</v>
      </c>
      <c r="L1798" s="826">
        <v>58586605</v>
      </c>
      <c r="M1798" s="832">
        <f t="shared" ref="M1798" si="528">N1798/L1798*100</f>
        <v>0</v>
      </c>
      <c r="N1798" s="826">
        <v>0</v>
      </c>
      <c r="O1798" s="832">
        <v>3</v>
      </c>
      <c r="P1798" s="828">
        <v>58586605</v>
      </c>
      <c r="Q1798" s="514">
        <f>R1798/P1798*100</f>
        <v>0</v>
      </c>
      <c r="R1798" s="786">
        <v>0</v>
      </c>
      <c r="S1798" s="8">
        <v>3</v>
      </c>
      <c r="T1798" s="25">
        <v>58039850</v>
      </c>
      <c r="U1798" s="8"/>
      <c r="V1798" s="1247"/>
      <c r="W1798" s="8"/>
      <c r="X1798" s="829"/>
      <c r="Y1798" s="8">
        <f t="shared" si="521"/>
        <v>3</v>
      </c>
      <c r="Z1798" s="830">
        <f t="shared" si="522"/>
        <v>58039850</v>
      </c>
      <c r="AA1798" s="792">
        <f t="shared" si="523"/>
        <v>3</v>
      </c>
      <c r="AB1798" s="25">
        <f t="shared" si="524"/>
        <v>58039850</v>
      </c>
      <c r="AC1798" s="827">
        <f t="shared" si="525"/>
        <v>100</v>
      </c>
      <c r="AD1798" s="827">
        <f t="shared" si="526"/>
        <v>99.066757665852109</v>
      </c>
      <c r="AE1798" s="102"/>
      <c r="AF1798" s="750"/>
      <c r="AG1798" s="750"/>
      <c r="AH1798" s="750"/>
      <c r="AI1798" s="750"/>
      <c r="AJ1798" s="750"/>
      <c r="AK1798" s="750"/>
      <c r="AL1798" s="750"/>
      <c r="AM1798" s="750"/>
      <c r="AN1798" s="750"/>
      <c r="AO1798" s="750"/>
      <c r="AP1798" s="750"/>
      <c r="AQ1798" s="750"/>
      <c r="AR1798" s="750"/>
      <c r="AS1798" s="750"/>
      <c r="AT1798" s="750"/>
      <c r="AU1798" s="750"/>
      <c r="AV1798" s="750"/>
      <c r="AW1798" s="750"/>
      <c r="AX1798" s="750"/>
      <c r="AY1798" s="750"/>
      <c r="AZ1798" s="750"/>
      <c r="BA1798" s="750"/>
      <c r="BB1798" s="750"/>
      <c r="BC1798" s="752"/>
      <c r="BD1798" s="752"/>
      <c r="BE1798" s="752"/>
      <c r="BF1798" s="752"/>
      <c r="BG1798" s="752"/>
      <c r="BH1798" s="752"/>
      <c r="BI1798" s="752"/>
      <c r="BJ1798" s="752"/>
      <c r="BK1798" s="752"/>
      <c r="BL1798" s="752"/>
      <c r="BM1798" s="752"/>
      <c r="BN1798" s="752"/>
      <c r="BO1798" s="752"/>
      <c r="BP1798" s="752"/>
      <c r="BQ1798" s="752"/>
      <c r="BR1798" s="752"/>
      <c r="BS1798" s="22"/>
      <c r="BT1798" s="22"/>
      <c r="BU1798" s="22"/>
      <c r="BV1798" s="22"/>
      <c r="BW1798" s="22"/>
      <c r="BX1798" s="22"/>
      <c r="BY1798" s="22"/>
      <c r="BZ1798" s="22"/>
      <c r="CA1798" s="22"/>
      <c r="CB1798" s="22"/>
      <c r="CC1798" s="22"/>
      <c r="CD1798" s="22"/>
      <c r="CE1798" s="22"/>
      <c r="CF1798" s="22"/>
      <c r="CG1798" s="22"/>
      <c r="CH1798" s="22"/>
      <c r="CI1798" s="22"/>
      <c r="CJ1798" s="22"/>
      <c r="CK1798" s="22"/>
      <c r="CL1798" s="22"/>
      <c r="CM1798" s="22"/>
      <c r="CN1798" s="22"/>
      <c r="CO1798" s="22"/>
      <c r="CP1798" s="22"/>
      <c r="CQ1798" s="22"/>
      <c r="CR1798" s="22"/>
      <c r="CS1798" s="22"/>
      <c r="CT1798" s="22"/>
      <c r="CU1798" s="22"/>
      <c r="CV1798" s="22"/>
      <c r="CW1798" s="22"/>
      <c r="CX1798" s="22"/>
      <c r="CY1798" s="22"/>
      <c r="CZ1798" s="22"/>
      <c r="DA1798" s="22"/>
      <c r="DB1798" s="22"/>
      <c r="DC1798" s="22"/>
      <c r="DD1798" s="22"/>
      <c r="DE1798" s="22"/>
      <c r="DF1798" s="22"/>
      <c r="DG1798" s="22"/>
      <c r="DH1798" s="22"/>
      <c r="DI1798" s="22"/>
      <c r="DJ1798" s="22"/>
      <c r="DK1798" s="22"/>
      <c r="DL1798" s="22"/>
      <c r="DM1798" s="22"/>
      <c r="DN1798" s="22"/>
      <c r="DO1798" s="22"/>
      <c r="DP1798" s="22"/>
      <c r="DQ1798" s="22"/>
      <c r="DR1798" s="22"/>
      <c r="DS1798" s="22"/>
      <c r="DT1798" s="22"/>
      <c r="DU1798" s="22"/>
      <c r="DV1798" s="22"/>
      <c r="DW1798" s="22"/>
      <c r="DX1798" s="22"/>
      <c r="DY1798" s="22"/>
      <c r="DZ1798" s="22"/>
      <c r="EA1798" s="22"/>
      <c r="EB1798" s="22"/>
      <c r="EC1798" s="22"/>
      <c r="ED1798" s="22"/>
      <c r="EE1798" s="22"/>
      <c r="EF1798" s="22"/>
      <c r="EG1798" s="22"/>
      <c r="EH1798" s="22"/>
      <c r="EI1798" s="22"/>
      <c r="EJ1798" s="22"/>
      <c r="EK1798" s="22"/>
      <c r="EL1798" s="22"/>
      <c r="EM1798" s="22"/>
      <c r="EN1798" s="22"/>
      <c r="EO1798" s="22"/>
      <c r="EP1798" s="22"/>
      <c r="EQ1798" s="22"/>
      <c r="ER1798" s="22"/>
      <c r="ES1798" s="22"/>
      <c r="ET1798" s="22"/>
      <c r="EU1798" s="22"/>
      <c r="EV1798" s="22"/>
      <c r="EW1798" s="22"/>
      <c r="EX1798" s="22"/>
      <c r="EY1798" s="22"/>
      <c r="EZ1798" s="22"/>
      <c r="FA1798" s="22"/>
      <c r="FB1798" s="22"/>
      <c r="FC1798" s="22"/>
      <c r="FD1798" s="22"/>
      <c r="FE1798" s="22"/>
      <c r="FF1798" s="22"/>
      <c r="FG1798" s="22"/>
      <c r="FH1798" s="22"/>
      <c r="FI1798" s="22"/>
      <c r="FJ1798" s="22"/>
      <c r="FK1798" s="22"/>
      <c r="FL1798" s="22"/>
      <c r="FM1798" s="22"/>
      <c r="FN1798" s="22"/>
      <c r="FO1798" s="22"/>
      <c r="FP1798" s="22"/>
      <c r="FQ1798" s="22"/>
      <c r="FR1798" s="22"/>
      <c r="FS1798" s="22"/>
      <c r="FT1798" s="22"/>
      <c r="FU1798" s="22"/>
      <c r="FV1798" s="22"/>
      <c r="FW1798" s="22"/>
      <c r="FX1798" s="22"/>
      <c r="FY1798" s="22"/>
      <c r="FZ1798" s="22"/>
      <c r="GA1798" s="22"/>
      <c r="GB1798" s="22"/>
      <c r="GC1798" s="22"/>
      <c r="GD1798" s="22"/>
      <c r="GE1798" s="22"/>
      <c r="GF1798" s="22"/>
      <c r="GG1798" s="22"/>
      <c r="GH1798" s="22"/>
      <c r="GI1798" s="22"/>
      <c r="GJ1798" s="22"/>
      <c r="GK1798" s="22"/>
      <c r="GL1798" s="22"/>
      <c r="GM1798" s="22"/>
      <c r="GN1798" s="22"/>
      <c r="GO1798" s="22"/>
      <c r="GP1798" s="22"/>
      <c r="GQ1798" s="22"/>
      <c r="GR1798" s="22"/>
      <c r="GS1798" s="22"/>
      <c r="GT1798" s="22"/>
      <c r="GU1798" s="22"/>
      <c r="GV1798" s="22"/>
      <c r="GW1798" s="22"/>
      <c r="GX1798" s="22"/>
      <c r="GY1798" s="22"/>
      <c r="GZ1798" s="22"/>
      <c r="HA1798" s="22"/>
      <c r="HB1798" s="22"/>
      <c r="HC1798" s="22"/>
      <c r="HD1798" s="22"/>
      <c r="HE1798" s="22"/>
      <c r="HF1798" s="22"/>
      <c r="HG1798" s="22"/>
      <c r="HH1798" s="22"/>
      <c r="HI1798" s="22"/>
      <c r="HJ1798" s="22"/>
      <c r="HK1798" s="22"/>
      <c r="HL1798" s="22"/>
      <c r="HM1798" s="22"/>
      <c r="HN1798" s="22"/>
      <c r="HO1798" s="22"/>
      <c r="HP1798" s="22"/>
      <c r="HQ1798" s="22"/>
      <c r="HR1798" s="22"/>
      <c r="HS1798" s="22"/>
      <c r="HT1798" s="22"/>
      <c r="HU1798" s="22"/>
      <c r="HV1798" s="22"/>
      <c r="HW1798" s="22"/>
      <c r="HX1798" s="22"/>
      <c r="HY1798" s="22"/>
      <c r="HZ1798" s="22"/>
      <c r="IA1798" s="22"/>
      <c r="IB1798" s="22"/>
      <c r="IC1798" s="22"/>
      <c r="ID1798" s="22"/>
      <c r="IE1798" s="22"/>
      <c r="IF1798" s="22"/>
      <c r="IG1798" s="22"/>
      <c r="IH1798" s="22"/>
      <c r="II1798" s="22"/>
      <c r="IJ1798" s="22"/>
      <c r="IK1798" s="22"/>
      <c r="IL1798" s="22"/>
      <c r="IM1798" s="22"/>
      <c r="IN1798" s="22"/>
      <c r="IO1798" s="22"/>
    </row>
    <row r="1799" spans="1:249" ht="33">
      <c r="A1799" s="102"/>
      <c r="B1799" s="8"/>
      <c r="C1799" s="102">
        <v>3</v>
      </c>
      <c r="D1799" s="628" t="s">
        <v>34</v>
      </c>
      <c r="E1799" s="628" t="s">
        <v>39</v>
      </c>
      <c r="F1799" s="628" t="s">
        <v>28</v>
      </c>
      <c r="G1799" s="628" t="s">
        <v>28</v>
      </c>
      <c r="H1799" s="628" t="s">
        <v>43</v>
      </c>
      <c r="I1799" s="8" t="s">
        <v>82</v>
      </c>
      <c r="J1799" s="8" t="s">
        <v>3260</v>
      </c>
      <c r="K1799" s="8">
        <v>6</v>
      </c>
      <c r="L1799" s="826">
        <v>505403300</v>
      </c>
      <c r="M1799" s="832">
        <v>3</v>
      </c>
      <c r="N1799" s="826">
        <v>431219040</v>
      </c>
      <c r="O1799" s="832">
        <v>3</v>
      </c>
      <c r="P1799" s="828">
        <v>75679175</v>
      </c>
      <c r="Q1799" s="514">
        <v>0</v>
      </c>
      <c r="R1799" s="786">
        <v>0</v>
      </c>
      <c r="S1799" s="8">
        <v>3</v>
      </c>
      <c r="T1799" s="25">
        <v>72600000</v>
      </c>
      <c r="U1799" s="8"/>
      <c r="V1799" s="1247"/>
      <c r="W1799" s="8"/>
      <c r="X1799" s="829"/>
      <c r="Y1799" s="792">
        <f t="shared" si="521"/>
        <v>3</v>
      </c>
      <c r="Z1799" s="830">
        <f t="shared" si="522"/>
        <v>72600000</v>
      </c>
      <c r="AA1799" s="792">
        <f t="shared" si="523"/>
        <v>6</v>
      </c>
      <c r="AB1799" s="25">
        <f t="shared" si="524"/>
        <v>503819040</v>
      </c>
      <c r="AC1799" s="827">
        <f t="shared" si="525"/>
        <v>100</v>
      </c>
      <c r="AD1799" s="827">
        <f t="shared" si="526"/>
        <v>99.686535485621093</v>
      </c>
      <c r="AE1799" s="102"/>
      <c r="AF1799" s="750"/>
      <c r="AG1799" s="750"/>
      <c r="AH1799" s="750"/>
      <c r="AI1799" s="750"/>
      <c r="AJ1799" s="750"/>
      <c r="AK1799" s="750"/>
      <c r="AL1799" s="750"/>
      <c r="AM1799" s="750"/>
      <c r="AN1799" s="750"/>
      <c r="AO1799" s="750"/>
      <c r="AP1799" s="750"/>
      <c r="AQ1799" s="750"/>
      <c r="AR1799" s="750"/>
      <c r="AS1799" s="750"/>
      <c r="AT1799" s="750"/>
      <c r="AU1799" s="750"/>
      <c r="AV1799" s="750"/>
      <c r="AW1799" s="750"/>
      <c r="AX1799" s="750"/>
      <c r="AY1799" s="750"/>
      <c r="AZ1799" s="750"/>
      <c r="BA1799" s="750"/>
      <c r="BB1799" s="750"/>
      <c r="BC1799" s="752"/>
      <c r="BD1799" s="752"/>
      <c r="BE1799" s="752"/>
      <c r="BF1799" s="752"/>
      <c r="BG1799" s="752"/>
      <c r="BH1799" s="752"/>
      <c r="BI1799" s="752"/>
      <c r="BJ1799" s="752"/>
      <c r="BK1799" s="752"/>
      <c r="BL1799" s="752"/>
      <c r="BM1799" s="752"/>
      <c r="BN1799" s="752"/>
      <c r="BO1799" s="752"/>
      <c r="BP1799" s="752"/>
      <c r="BQ1799" s="752"/>
      <c r="BR1799" s="752"/>
      <c r="BS1799" s="22"/>
      <c r="BT1799" s="22"/>
      <c r="BU1799" s="22"/>
      <c r="BV1799" s="22"/>
      <c r="BW1799" s="22"/>
      <c r="BX1799" s="22"/>
      <c r="BY1799" s="22"/>
      <c r="BZ1799" s="22"/>
      <c r="CA1799" s="22"/>
      <c r="CB1799" s="22"/>
      <c r="CC1799" s="22"/>
      <c r="CD1799" s="22"/>
      <c r="CE1799" s="22"/>
      <c r="CF1799" s="22"/>
      <c r="CG1799" s="22"/>
      <c r="CH1799" s="22"/>
      <c r="CI1799" s="22"/>
      <c r="CJ1799" s="22"/>
      <c r="CK1799" s="22"/>
      <c r="CL1799" s="22"/>
      <c r="CM1799" s="22"/>
      <c r="CN1799" s="22"/>
      <c r="CO1799" s="22"/>
      <c r="CP1799" s="22"/>
      <c r="CQ1799" s="22"/>
      <c r="CR1799" s="22"/>
      <c r="CS1799" s="22"/>
      <c r="CT1799" s="22"/>
      <c r="CU1799" s="22"/>
      <c r="CV1799" s="22"/>
      <c r="CW1799" s="22"/>
      <c r="CX1799" s="22"/>
      <c r="CY1799" s="22"/>
      <c r="CZ1799" s="22"/>
      <c r="DA1799" s="22"/>
      <c r="DB1799" s="22"/>
      <c r="DC1799" s="22"/>
      <c r="DD1799" s="22"/>
      <c r="DE1799" s="22"/>
      <c r="DF1799" s="22"/>
      <c r="DG1799" s="22"/>
      <c r="DH1799" s="22"/>
      <c r="DI1799" s="22"/>
      <c r="DJ1799" s="22"/>
      <c r="DK1799" s="22"/>
      <c r="DL1799" s="22"/>
      <c r="DM1799" s="22"/>
      <c r="DN1799" s="22"/>
      <c r="DO1799" s="22"/>
      <c r="DP1799" s="22"/>
      <c r="DQ1799" s="22"/>
      <c r="DR1799" s="22"/>
      <c r="DS1799" s="22"/>
      <c r="DT1799" s="22"/>
      <c r="DU1799" s="22"/>
      <c r="DV1799" s="22"/>
      <c r="DW1799" s="22"/>
      <c r="DX1799" s="22"/>
      <c r="DY1799" s="22"/>
      <c r="DZ1799" s="22"/>
      <c r="EA1799" s="22"/>
      <c r="EB1799" s="22"/>
      <c r="EC1799" s="22"/>
      <c r="ED1799" s="22"/>
      <c r="EE1799" s="22"/>
      <c r="EF1799" s="22"/>
      <c r="EG1799" s="22"/>
      <c r="EH1799" s="22"/>
      <c r="EI1799" s="22"/>
      <c r="EJ1799" s="22"/>
      <c r="EK1799" s="22"/>
      <c r="EL1799" s="22"/>
      <c r="EM1799" s="22"/>
      <c r="EN1799" s="22"/>
      <c r="EO1799" s="22"/>
      <c r="EP1799" s="22"/>
      <c r="EQ1799" s="22"/>
      <c r="ER1799" s="22"/>
      <c r="ES1799" s="22"/>
      <c r="ET1799" s="22"/>
      <c r="EU1799" s="22"/>
      <c r="EV1799" s="22"/>
      <c r="EW1799" s="22"/>
      <c r="EX1799" s="22"/>
      <c r="EY1799" s="22"/>
      <c r="EZ1799" s="22"/>
      <c r="FA1799" s="22"/>
      <c r="FB1799" s="22"/>
      <c r="FC1799" s="22"/>
      <c r="FD1799" s="22"/>
      <c r="FE1799" s="22"/>
      <c r="FF1799" s="22"/>
      <c r="FG1799" s="22"/>
      <c r="FH1799" s="22"/>
      <c r="FI1799" s="22"/>
      <c r="FJ1799" s="22"/>
      <c r="FK1799" s="22"/>
      <c r="FL1799" s="22"/>
      <c r="FM1799" s="22"/>
      <c r="FN1799" s="22"/>
      <c r="FO1799" s="22"/>
      <c r="FP1799" s="22"/>
      <c r="FQ1799" s="22"/>
      <c r="FR1799" s="22"/>
      <c r="FS1799" s="22"/>
      <c r="FT1799" s="22"/>
      <c r="FU1799" s="22"/>
      <c r="FV1799" s="22"/>
      <c r="FW1799" s="22"/>
      <c r="FX1799" s="22"/>
      <c r="FY1799" s="22"/>
      <c r="FZ1799" s="22"/>
      <c r="GA1799" s="22"/>
      <c r="GB1799" s="22"/>
      <c r="GC1799" s="22"/>
      <c r="GD1799" s="22"/>
      <c r="GE1799" s="22"/>
      <c r="GF1799" s="22"/>
      <c r="GG1799" s="22"/>
      <c r="GH1799" s="22"/>
      <c r="GI1799" s="22"/>
      <c r="GJ1799" s="22"/>
      <c r="GK1799" s="22"/>
      <c r="GL1799" s="22"/>
      <c r="GM1799" s="22"/>
      <c r="GN1799" s="22"/>
      <c r="GO1799" s="22"/>
      <c r="GP1799" s="22"/>
      <c r="GQ1799" s="22"/>
      <c r="GR1799" s="22"/>
      <c r="GS1799" s="22"/>
      <c r="GT1799" s="22"/>
      <c r="GU1799" s="22"/>
      <c r="GV1799" s="22"/>
      <c r="GW1799" s="22"/>
      <c r="GX1799" s="22"/>
      <c r="GY1799" s="22"/>
      <c r="GZ1799" s="22"/>
      <c r="HA1799" s="22"/>
      <c r="HB1799" s="22"/>
      <c r="HC1799" s="22"/>
      <c r="HD1799" s="22"/>
      <c r="HE1799" s="22"/>
      <c r="HF1799" s="22"/>
      <c r="HG1799" s="22"/>
      <c r="HH1799" s="22"/>
      <c r="HI1799" s="22"/>
      <c r="HJ1799" s="22"/>
      <c r="HK1799" s="22"/>
      <c r="HL1799" s="22"/>
      <c r="HM1799" s="22"/>
      <c r="HN1799" s="22"/>
      <c r="HO1799" s="22"/>
      <c r="HP1799" s="22"/>
      <c r="HQ1799" s="22"/>
      <c r="HR1799" s="22"/>
      <c r="HS1799" s="22"/>
      <c r="HT1799" s="22"/>
      <c r="HU1799" s="22"/>
      <c r="HV1799" s="22"/>
      <c r="HW1799" s="22"/>
      <c r="HX1799" s="22"/>
      <c r="HY1799" s="22"/>
      <c r="HZ1799" s="22"/>
      <c r="IA1799" s="22"/>
      <c r="IB1799" s="22"/>
      <c r="IC1799" s="22"/>
      <c r="ID1799" s="22"/>
      <c r="IE1799" s="22"/>
      <c r="IF1799" s="22"/>
      <c r="IG1799" s="22"/>
      <c r="IH1799" s="22"/>
      <c r="II1799" s="22"/>
      <c r="IJ1799" s="22"/>
      <c r="IK1799" s="22"/>
      <c r="IL1799" s="22"/>
      <c r="IM1799" s="22"/>
      <c r="IN1799" s="22"/>
      <c r="IO1799" s="22"/>
    </row>
    <row r="1800" spans="1:249" ht="33">
      <c r="A1800" s="102"/>
      <c r="B1800" s="8"/>
      <c r="C1800" s="102">
        <v>3</v>
      </c>
      <c r="D1800" s="628" t="s">
        <v>34</v>
      </c>
      <c r="E1800" s="628" t="s">
        <v>39</v>
      </c>
      <c r="F1800" s="628" t="s">
        <v>28</v>
      </c>
      <c r="G1800" s="628" t="s">
        <v>28</v>
      </c>
      <c r="H1800" s="628" t="s">
        <v>31</v>
      </c>
      <c r="I1800" s="8" t="s">
        <v>580</v>
      </c>
      <c r="J1800" s="8" t="s">
        <v>3261</v>
      </c>
      <c r="K1800" s="8">
        <v>1</v>
      </c>
      <c r="L1800" s="826">
        <f>P1800</f>
        <v>12000000</v>
      </c>
      <c r="M1800" s="832">
        <v>0</v>
      </c>
      <c r="N1800" s="826">
        <v>0</v>
      </c>
      <c r="O1800" s="832">
        <v>1</v>
      </c>
      <c r="P1800" s="828">
        <v>12000000</v>
      </c>
      <c r="Q1800" s="514">
        <v>0</v>
      </c>
      <c r="R1800" s="786">
        <v>0</v>
      </c>
      <c r="S1800" s="8">
        <v>3</v>
      </c>
      <c r="T1800" s="25">
        <v>11880000</v>
      </c>
      <c r="U1800" s="8"/>
      <c r="V1800" s="1247"/>
      <c r="W1800" s="8"/>
      <c r="X1800" s="829"/>
      <c r="Y1800" s="792">
        <f t="shared" si="521"/>
        <v>3</v>
      </c>
      <c r="Z1800" s="830">
        <f t="shared" si="522"/>
        <v>11880000</v>
      </c>
      <c r="AA1800" s="792">
        <f t="shared" si="523"/>
        <v>3</v>
      </c>
      <c r="AB1800" s="25">
        <f t="shared" si="524"/>
        <v>11880000</v>
      </c>
      <c r="AC1800" s="827">
        <f t="shared" si="525"/>
        <v>300</v>
      </c>
      <c r="AD1800" s="827">
        <f t="shared" si="526"/>
        <v>99</v>
      </c>
      <c r="AE1800" s="102"/>
    </row>
    <row r="1801" spans="1:249" ht="49.5">
      <c r="A1801" s="102"/>
      <c r="B1801" s="8"/>
      <c r="C1801" s="102">
        <v>3</v>
      </c>
      <c r="D1801" s="628" t="s">
        <v>34</v>
      </c>
      <c r="E1801" s="628" t="s">
        <v>39</v>
      </c>
      <c r="F1801" s="628" t="s">
        <v>28</v>
      </c>
      <c r="G1801" s="628" t="s">
        <v>28</v>
      </c>
      <c r="H1801" s="628" t="s">
        <v>61</v>
      </c>
      <c r="I1801" s="8" t="s">
        <v>37</v>
      </c>
      <c r="J1801" s="8" t="s">
        <v>3262</v>
      </c>
      <c r="K1801" s="8">
        <v>60</v>
      </c>
      <c r="L1801" s="826">
        <v>191331000</v>
      </c>
      <c r="M1801" s="832">
        <v>24</v>
      </c>
      <c r="N1801" s="826">
        <v>69446000</v>
      </c>
      <c r="O1801" s="832">
        <v>12</v>
      </c>
      <c r="P1801" s="828">
        <v>33000000</v>
      </c>
      <c r="Q1801" s="514">
        <v>3</v>
      </c>
      <c r="R1801" s="786">
        <v>2900000</v>
      </c>
      <c r="S1801" s="8">
        <v>3</v>
      </c>
      <c r="T1801" s="25">
        <v>9330000</v>
      </c>
      <c r="U1801" s="8"/>
      <c r="V1801" s="1247"/>
      <c r="W1801" s="8"/>
      <c r="X1801" s="829"/>
      <c r="Y1801" s="792">
        <f t="shared" si="521"/>
        <v>6</v>
      </c>
      <c r="Z1801" s="830">
        <f t="shared" si="522"/>
        <v>12230000</v>
      </c>
      <c r="AA1801" s="792">
        <f t="shared" si="523"/>
        <v>30</v>
      </c>
      <c r="AB1801" s="25">
        <f t="shared" si="524"/>
        <v>81676000</v>
      </c>
      <c r="AC1801" s="827">
        <f t="shared" si="525"/>
        <v>50</v>
      </c>
      <c r="AD1801" s="827">
        <f t="shared" si="526"/>
        <v>42.688325467383748</v>
      </c>
      <c r="AE1801" s="102"/>
    </row>
    <row r="1802" spans="1:249" ht="49.5">
      <c r="A1802" s="102"/>
      <c r="B1802" s="8"/>
      <c r="C1802" s="102">
        <v>3</v>
      </c>
      <c r="D1802" s="628" t="s">
        <v>34</v>
      </c>
      <c r="E1802" s="628" t="s">
        <v>39</v>
      </c>
      <c r="F1802" s="628" t="s">
        <v>28</v>
      </c>
      <c r="G1802" s="628" t="s">
        <v>28</v>
      </c>
      <c r="H1802" s="628" t="s">
        <v>61</v>
      </c>
      <c r="I1802" s="8" t="s">
        <v>581</v>
      </c>
      <c r="J1802" s="8" t="s">
        <v>3179</v>
      </c>
      <c r="K1802" s="8">
        <v>60</v>
      </c>
      <c r="L1802" s="826">
        <f>2*N1802</f>
        <v>382225264</v>
      </c>
      <c r="M1802" s="832">
        <v>24</v>
      </c>
      <c r="N1802" s="826">
        <v>191112632</v>
      </c>
      <c r="O1802" s="832">
        <v>12</v>
      </c>
      <c r="P1802" s="828">
        <v>109510000</v>
      </c>
      <c r="Q1802" s="514">
        <v>3</v>
      </c>
      <c r="R1802" s="786">
        <v>27176928</v>
      </c>
      <c r="S1802" s="8">
        <v>3</v>
      </c>
      <c r="T1802" s="25">
        <v>61563833</v>
      </c>
      <c r="U1802" s="8"/>
      <c r="V1802" s="1247"/>
      <c r="W1802" s="8"/>
      <c r="X1802" s="829"/>
      <c r="Y1802" s="792">
        <f t="shared" si="521"/>
        <v>6</v>
      </c>
      <c r="Z1802" s="830">
        <f t="shared" si="522"/>
        <v>88740761</v>
      </c>
      <c r="AA1802" s="792">
        <f t="shared" si="523"/>
        <v>30</v>
      </c>
      <c r="AB1802" s="25">
        <f t="shared" si="524"/>
        <v>279853393</v>
      </c>
      <c r="AC1802" s="827">
        <f t="shared" si="525"/>
        <v>50</v>
      </c>
      <c r="AD1802" s="827">
        <f t="shared" si="526"/>
        <v>73.216874800824257</v>
      </c>
      <c r="AE1802" s="102"/>
    </row>
    <row r="1803" spans="1:249" ht="49.5">
      <c r="A1803" s="102"/>
      <c r="B1803" s="8"/>
      <c r="C1803" s="102">
        <v>3</v>
      </c>
      <c r="D1803" s="628" t="s">
        <v>34</v>
      </c>
      <c r="E1803" s="628" t="s">
        <v>39</v>
      </c>
      <c r="F1803" s="628" t="s">
        <v>28</v>
      </c>
      <c r="G1803" s="628" t="s">
        <v>28</v>
      </c>
      <c r="H1803" s="628" t="s">
        <v>50</v>
      </c>
      <c r="I1803" s="8" t="s">
        <v>520</v>
      </c>
      <c r="J1803" s="8" t="s">
        <v>3263</v>
      </c>
      <c r="K1803" s="8">
        <v>36</v>
      </c>
      <c r="L1803" s="826">
        <f>150000000</f>
        <v>150000000</v>
      </c>
      <c r="M1803" s="832">
        <v>0</v>
      </c>
      <c r="N1803" s="826">
        <v>0</v>
      </c>
      <c r="O1803" s="832">
        <v>12</v>
      </c>
      <c r="P1803" s="828">
        <v>50500000</v>
      </c>
      <c r="Q1803" s="514">
        <v>3</v>
      </c>
      <c r="R1803" s="786">
        <v>7922500</v>
      </c>
      <c r="S1803" s="8">
        <v>3</v>
      </c>
      <c r="T1803" s="25">
        <v>23422500</v>
      </c>
      <c r="U1803" s="8"/>
      <c r="V1803" s="1247"/>
      <c r="W1803" s="8"/>
      <c r="X1803" s="829"/>
      <c r="Y1803" s="792">
        <f t="shared" si="521"/>
        <v>6</v>
      </c>
      <c r="Z1803" s="830">
        <f t="shared" si="522"/>
        <v>31345000</v>
      </c>
      <c r="AA1803" s="792">
        <f t="shared" si="523"/>
        <v>6</v>
      </c>
      <c r="AB1803" s="25">
        <f t="shared" si="524"/>
        <v>31345000</v>
      </c>
      <c r="AC1803" s="827">
        <f t="shared" si="525"/>
        <v>16.666666666666664</v>
      </c>
      <c r="AD1803" s="827">
        <f t="shared" si="526"/>
        <v>20.896666666666665</v>
      </c>
      <c r="AE1803" s="102"/>
    </row>
    <row r="1804" spans="1:249" ht="49.5">
      <c r="A1804" s="102"/>
      <c r="B1804" s="8"/>
      <c r="C1804" s="102">
        <v>3</v>
      </c>
      <c r="D1804" s="628" t="s">
        <v>34</v>
      </c>
      <c r="E1804" s="628" t="s">
        <v>39</v>
      </c>
      <c r="F1804" s="628" t="s">
        <v>28</v>
      </c>
      <c r="G1804" s="628" t="s">
        <v>28</v>
      </c>
      <c r="H1804" s="628" t="s">
        <v>99</v>
      </c>
      <c r="I1804" s="8" t="s">
        <v>582</v>
      </c>
      <c r="J1804" s="8" t="s">
        <v>3264</v>
      </c>
      <c r="K1804" s="8">
        <v>1</v>
      </c>
      <c r="L1804" s="826">
        <f>P1804</f>
        <v>75000000</v>
      </c>
      <c r="M1804" s="832">
        <v>0</v>
      </c>
      <c r="N1804" s="826">
        <v>0</v>
      </c>
      <c r="O1804" s="832">
        <v>1</v>
      </c>
      <c r="P1804" s="828">
        <v>75000000</v>
      </c>
      <c r="Q1804" s="514">
        <v>0</v>
      </c>
      <c r="R1804" s="786">
        <v>0</v>
      </c>
      <c r="S1804" s="8"/>
      <c r="T1804" s="25">
        <v>0</v>
      </c>
      <c r="U1804" s="8"/>
      <c r="V1804" s="1247"/>
      <c r="W1804" s="8"/>
      <c r="X1804" s="829"/>
      <c r="Y1804" s="792">
        <f t="shared" si="521"/>
        <v>0</v>
      </c>
      <c r="Z1804" s="830">
        <f t="shared" si="522"/>
        <v>0</v>
      </c>
      <c r="AA1804" s="792">
        <f t="shared" si="523"/>
        <v>0</v>
      </c>
      <c r="AB1804" s="25">
        <f t="shared" si="524"/>
        <v>0</v>
      </c>
      <c r="AC1804" s="827">
        <f t="shared" si="525"/>
        <v>0</v>
      </c>
      <c r="AD1804" s="827">
        <f t="shared" si="526"/>
        <v>0</v>
      </c>
      <c r="AE1804" s="102"/>
    </row>
    <row r="1805" spans="1:249" ht="49.5">
      <c r="A1805" s="2558">
        <v>3</v>
      </c>
      <c r="B1805" s="40"/>
      <c r="C1805" s="161">
        <v>3</v>
      </c>
      <c r="D1805" s="303" t="s">
        <v>34</v>
      </c>
      <c r="E1805" s="303" t="s">
        <v>39</v>
      </c>
      <c r="F1805" s="303" t="s">
        <v>28</v>
      </c>
      <c r="G1805" s="303" t="s">
        <v>38</v>
      </c>
      <c r="H1805" s="161"/>
      <c r="I1805" s="33" t="s">
        <v>583</v>
      </c>
      <c r="J1805" s="44" t="s">
        <v>3265</v>
      </c>
      <c r="K1805" s="33">
        <v>100</v>
      </c>
      <c r="L1805" s="282">
        <f>3*P1805</f>
        <v>21750000</v>
      </c>
      <c r="M1805" s="282">
        <v>0</v>
      </c>
      <c r="N1805" s="284">
        <f t="shared" ref="N1805:P1805" si="529">SUM(N1806)</f>
        <v>0</v>
      </c>
      <c r="O1805" s="282">
        <v>80</v>
      </c>
      <c r="P1805" s="282">
        <f t="shared" si="529"/>
        <v>7250000</v>
      </c>
      <c r="Q1805" s="833">
        <f>R1805/P1805*100</f>
        <v>0</v>
      </c>
      <c r="R1805" s="403">
        <f>SUM(R1806)</f>
        <v>0</v>
      </c>
      <c r="S1805" s="282"/>
      <c r="T1805" s="159"/>
      <c r="U1805" s="282"/>
      <c r="V1805" s="1249"/>
      <c r="W1805" s="282"/>
      <c r="X1805" s="1250"/>
      <c r="Y1805" s="834">
        <f t="shared" si="521"/>
        <v>0</v>
      </c>
      <c r="Z1805" s="1249">
        <f t="shared" si="522"/>
        <v>0</v>
      </c>
      <c r="AA1805" s="1251">
        <f t="shared" si="523"/>
        <v>0</v>
      </c>
      <c r="AB1805" s="159">
        <f t="shared" si="524"/>
        <v>0</v>
      </c>
      <c r="AC1805" s="151">
        <f t="shared" si="525"/>
        <v>0</v>
      </c>
      <c r="AD1805" s="151">
        <f t="shared" si="526"/>
        <v>0</v>
      </c>
      <c r="AE1805" s="2558" t="s">
        <v>232</v>
      </c>
      <c r="AF1805" s="750"/>
      <c r="AG1805" s="750"/>
      <c r="AH1805" s="750"/>
      <c r="AI1805" s="750"/>
      <c r="AJ1805" s="750"/>
      <c r="AK1805" s="750"/>
      <c r="AL1805" s="750"/>
      <c r="AM1805" s="750"/>
      <c r="AN1805" s="750"/>
      <c r="AO1805" s="750"/>
      <c r="AP1805" s="750"/>
      <c r="AQ1805" s="750"/>
      <c r="AR1805" s="750"/>
      <c r="AS1805" s="750"/>
      <c r="AT1805" s="750"/>
      <c r="AU1805" s="750"/>
      <c r="AV1805" s="750"/>
      <c r="AW1805" s="750"/>
      <c r="AX1805" s="750"/>
      <c r="AY1805" s="750"/>
      <c r="AZ1805" s="750"/>
      <c r="BA1805" s="750"/>
      <c r="BB1805" s="750"/>
      <c r="BC1805" s="752"/>
      <c r="BD1805" s="752"/>
      <c r="BE1805" s="752"/>
      <c r="BF1805" s="752"/>
      <c r="BG1805" s="752"/>
      <c r="BH1805" s="752"/>
      <c r="BI1805" s="752"/>
      <c r="BJ1805" s="752"/>
      <c r="BK1805" s="752"/>
      <c r="BL1805" s="752"/>
      <c r="BM1805" s="752"/>
      <c r="BN1805" s="752"/>
      <c r="BO1805" s="752"/>
      <c r="BP1805" s="752"/>
      <c r="BQ1805" s="752"/>
      <c r="BR1805" s="752"/>
      <c r="BS1805" s="22"/>
      <c r="BT1805" s="22"/>
      <c r="BU1805" s="22"/>
      <c r="BV1805" s="22"/>
      <c r="BW1805" s="22"/>
      <c r="BX1805" s="22"/>
      <c r="BY1805" s="22"/>
      <c r="BZ1805" s="22"/>
      <c r="CA1805" s="22"/>
      <c r="CB1805" s="22"/>
      <c r="CC1805" s="22"/>
      <c r="CD1805" s="22"/>
      <c r="CE1805" s="22"/>
      <c r="CF1805" s="22"/>
      <c r="CG1805" s="22"/>
      <c r="CH1805" s="22"/>
      <c r="CI1805" s="22"/>
      <c r="CJ1805" s="22"/>
      <c r="CK1805" s="22"/>
      <c r="CL1805" s="22"/>
      <c r="CM1805" s="22"/>
      <c r="CN1805" s="22"/>
      <c r="CO1805" s="22"/>
      <c r="CP1805" s="22"/>
      <c r="CQ1805" s="22"/>
      <c r="CR1805" s="22"/>
      <c r="CS1805" s="22"/>
      <c r="CT1805" s="22"/>
      <c r="CU1805" s="22"/>
      <c r="CV1805" s="22"/>
      <c r="CW1805" s="22"/>
      <c r="CX1805" s="22"/>
      <c r="CY1805" s="22"/>
      <c r="CZ1805" s="22"/>
      <c r="DA1805" s="22"/>
      <c r="DB1805" s="22"/>
      <c r="DC1805" s="22"/>
      <c r="DD1805" s="22"/>
      <c r="DE1805" s="22"/>
      <c r="DF1805" s="22"/>
      <c r="DG1805" s="22"/>
      <c r="DH1805" s="22"/>
      <c r="DI1805" s="22"/>
      <c r="DJ1805" s="22"/>
      <c r="DK1805" s="22"/>
      <c r="DL1805" s="22"/>
      <c r="DM1805" s="22"/>
      <c r="DN1805" s="22"/>
      <c r="DO1805" s="22"/>
      <c r="DP1805" s="22"/>
      <c r="DQ1805" s="22"/>
      <c r="DR1805" s="22"/>
      <c r="DS1805" s="22"/>
      <c r="DT1805" s="22"/>
      <c r="DU1805" s="22"/>
      <c r="DV1805" s="22"/>
      <c r="DW1805" s="22"/>
      <c r="DX1805" s="22"/>
      <c r="DY1805" s="22"/>
      <c r="DZ1805" s="22"/>
      <c r="EA1805" s="22"/>
      <c r="EB1805" s="22"/>
      <c r="EC1805" s="22"/>
      <c r="ED1805" s="22"/>
      <c r="EE1805" s="22"/>
      <c r="EF1805" s="22"/>
      <c r="EG1805" s="22"/>
      <c r="EH1805" s="22"/>
      <c r="EI1805" s="22"/>
      <c r="EJ1805" s="22"/>
      <c r="EK1805" s="22"/>
      <c r="EL1805" s="22"/>
      <c r="EM1805" s="22"/>
      <c r="EN1805" s="22"/>
      <c r="EO1805" s="22"/>
      <c r="EP1805" s="22"/>
      <c r="EQ1805" s="22"/>
      <c r="ER1805" s="22"/>
      <c r="ES1805" s="22"/>
      <c r="ET1805" s="22"/>
      <c r="EU1805" s="22"/>
      <c r="EV1805" s="22"/>
      <c r="EW1805" s="22"/>
      <c r="EX1805" s="22"/>
      <c r="EY1805" s="22"/>
      <c r="EZ1805" s="22"/>
      <c r="FA1805" s="22"/>
      <c r="FB1805" s="22"/>
      <c r="FC1805" s="22"/>
      <c r="FD1805" s="22"/>
      <c r="FE1805" s="22"/>
      <c r="FF1805" s="22"/>
      <c r="FG1805" s="22"/>
      <c r="FH1805" s="22"/>
      <c r="FI1805" s="22"/>
      <c r="FJ1805" s="22"/>
      <c r="FK1805" s="22"/>
      <c r="FL1805" s="22"/>
      <c r="FM1805" s="22"/>
      <c r="FN1805" s="22"/>
      <c r="FO1805" s="22"/>
      <c r="FP1805" s="22"/>
      <c r="FQ1805" s="22"/>
      <c r="FR1805" s="22"/>
      <c r="FS1805" s="22"/>
      <c r="FT1805" s="22"/>
      <c r="FU1805" s="22"/>
      <c r="FV1805" s="22"/>
      <c r="FW1805" s="22"/>
      <c r="FX1805" s="22"/>
      <c r="FY1805" s="22"/>
      <c r="FZ1805" s="22"/>
      <c r="GA1805" s="22"/>
      <c r="GB1805" s="22"/>
      <c r="GC1805" s="22"/>
      <c r="GD1805" s="22"/>
      <c r="GE1805" s="22"/>
      <c r="GF1805" s="22"/>
      <c r="GG1805" s="22"/>
      <c r="GH1805" s="22"/>
      <c r="GI1805" s="22"/>
      <c r="GJ1805" s="22"/>
      <c r="GK1805" s="22"/>
      <c r="GL1805" s="22"/>
      <c r="GM1805" s="22"/>
      <c r="GN1805" s="22"/>
      <c r="GO1805" s="22"/>
      <c r="GP1805" s="22"/>
      <c r="GQ1805" s="22"/>
      <c r="GR1805" s="22"/>
      <c r="GS1805" s="22"/>
      <c r="GT1805" s="22"/>
      <c r="GU1805" s="22"/>
      <c r="GV1805" s="22"/>
      <c r="GW1805" s="22"/>
      <c r="GX1805" s="22"/>
      <c r="GY1805" s="22"/>
      <c r="GZ1805" s="22"/>
      <c r="HA1805" s="22"/>
      <c r="HB1805" s="22"/>
      <c r="HC1805" s="22"/>
      <c r="HD1805" s="22"/>
      <c r="HE1805" s="22"/>
      <c r="HF1805" s="22"/>
      <c r="HG1805" s="22"/>
      <c r="HH1805" s="22"/>
      <c r="HI1805" s="22"/>
      <c r="HJ1805" s="22"/>
      <c r="HK1805" s="22"/>
      <c r="HL1805" s="22"/>
      <c r="HM1805" s="22"/>
      <c r="HN1805" s="22"/>
      <c r="HO1805" s="22"/>
      <c r="HP1805" s="22"/>
      <c r="HQ1805" s="22"/>
      <c r="HR1805" s="22"/>
      <c r="HS1805" s="22"/>
      <c r="HT1805" s="22"/>
      <c r="HU1805" s="22"/>
      <c r="HV1805" s="22"/>
      <c r="HW1805" s="22"/>
      <c r="HX1805" s="22"/>
      <c r="HY1805" s="22"/>
      <c r="HZ1805" s="22"/>
      <c r="IA1805" s="22"/>
      <c r="IB1805" s="22"/>
      <c r="IC1805" s="22"/>
      <c r="ID1805" s="22"/>
      <c r="IE1805" s="22"/>
      <c r="IF1805" s="22"/>
      <c r="IG1805" s="22"/>
      <c r="IH1805" s="22"/>
      <c r="II1805" s="22"/>
      <c r="IJ1805" s="22"/>
      <c r="IK1805" s="22"/>
      <c r="IL1805" s="22"/>
      <c r="IM1805" s="22"/>
      <c r="IN1805" s="22"/>
      <c r="IO1805" s="22"/>
    </row>
    <row r="1806" spans="1:249" ht="54" customHeight="1">
      <c r="A1806" s="102"/>
      <c r="B1806" s="10"/>
      <c r="C1806" s="102">
        <v>3</v>
      </c>
      <c r="D1806" s="628" t="s">
        <v>34</v>
      </c>
      <c r="E1806" s="628" t="s">
        <v>39</v>
      </c>
      <c r="F1806" s="628" t="s">
        <v>28</v>
      </c>
      <c r="G1806" s="628" t="s">
        <v>38</v>
      </c>
      <c r="H1806" s="628" t="s">
        <v>29</v>
      </c>
      <c r="I1806" s="8" t="s">
        <v>584</v>
      </c>
      <c r="J1806" s="6" t="s">
        <v>3266</v>
      </c>
      <c r="K1806" s="8">
        <v>10</v>
      </c>
      <c r="L1806" s="826">
        <f>10*P1806</f>
        <v>72500000</v>
      </c>
      <c r="M1806" s="832">
        <v>0</v>
      </c>
      <c r="N1806" s="835">
        <v>0</v>
      </c>
      <c r="O1806" s="832">
        <v>1</v>
      </c>
      <c r="P1806" s="828">
        <v>7250000</v>
      </c>
      <c r="Q1806" s="836">
        <f>R1806/P1806*100</f>
        <v>0</v>
      </c>
      <c r="R1806" s="828">
        <v>0</v>
      </c>
      <c r="S1806" s="25"/>
      <c r="T1806" s="25"/>
      <c r="U1806" s="8"/>
      <c r="V1806" s="1247"/>
      <c r="W1806" s="8"/>
      <c r="X1806" s="829"/>
      <c r="Y1806" s="792">
        <f t="shared" si="521"/>
        <v>0</v>
      </c>
      <c r="Z1806" s="830">
        <f t="shared" si="522"/>
        <v>0</v>
      </c>
      <c r="AA1806" s="792">
        <f t="shared" si="523"/>
        <v>0</v>
      </c>
      <c r="AB1806" s="25">
        <f t="shared" si="524"/>
        <v>0</v>
      </c>
      <c r="AC1806" s="827">
        <f t="shared" si="525"/>
        <v>0</v>
      </c>
      <c r="AD1806" s="827">
        <f t="shared" si="526"/>
        <v>0</v>
      </c>
      <c r="AE1806" s="102"/>
    </row>
    <row r="1807" spans="1:249" ht="99">
      <c r="A1807" s="2558">
        <v>4</v>
      </c>
      <c r="B1807" s="40"/>
      <c r="C1807" s="161">
        <v>3</v>
      </c>
      <c r="D1807" s="303" t="s">
        <v>34</v>
      </c>
      <c r="E1807" s="303" t="s">
        <v>39</v>
      </c>
      <c r="F1807" s="303" t="s">
        <v>28</v>
      </c>
      <c r="G1807" s="161">
        <v>15</v>
      </c>
      <c r="H1807" s="161"/>
      <c r="I1807" s="33" t="s">
        <v>3212</v>
      </c>
      <c r="J1807" s="44" t="s">
        <v>3187</v>
      </c>
      <c r="K1807" s="33">
        <v>100</v>
      </c>
      <c r="L1807" s="282">
        <f t="shared" ref="L1807:P1807" si="530">SUM(L1808)</f>
        <v>256245000</v>
      </c>
      <c r="M1807" s="282">
        <v>75</v>
      </c>
      <c r="N1807" s="284">
        <f t="shared" si="530"/>
        <v>87516780</v>
      </c>
      <c r="O1807" s="282">
        <v>15</v>
      </c>
      <c r="P1807" s="282">
        <f t="shared" si="530"/>
        <v>18910000</v>
      </c>
      <c r="Q1807" s="833">
        <f>R1807/P1807*100</f>
        <v>0</v>
      </c>
      <c r="R1807" s="403">
        <f>SUM(R1808)</f>
        <v>0</v>
      </c>
      <c r="S1807" s="282"/>
      <c r="T1807" s="159"/>
      <c r="U1807" s="282"/>
      <c r="V1807" s="1249"/>
      <c r="W1807" s="282"/>
      <c r="X1807" s="1250"/>
      <c r="Y1807" s="834">
        <f t="shared" si="521"/>
        <v>0</v>
      </c>
      <c r="Z1807" s="1249">
        <f t="shared" si="522"/>
        <v>0</v>
      </c>
      <c r="AA1807" s="1251">
        <f t="shared" si="523"/>
        <v>75</v>
      </c>
      <c r="AB1807" s="159">
        <f t="shared" si="524"/>
        <v>87516780</v>
      </c>
      <c r="AC1807" s="151">
        <f t="shared" si="525"/>
        <v>75</v>
      </c>
      <c r="AD1807" s="151">
        <f t="shared" si="526"/>
        <v>34.153556166949599</v>
      </c>
      <c r="AE1807" s="2558" t="s">
        <v>232</v>
      </c>
    </row>
    <row r="1808" spans="1:249" ht="41.25" customHeight="1">
      <c r="A1808" s="102"/>
      <c r="B1808" s="10"/>
      <c r="C1808" s="102">
        <v>3</v>
      </c>
      <c r="D1808" s="628" t="s">
        <v>34</v>
      </c>
      <c r="E1808" s="628" t="s">
        <v>39</v>
      </c>
      <c r="F1808" s="628" t="s">
        <v>28</v>
      </c>
      <c r="G1808" s="102">
        <v>15</v>
      </c>
      <c r="H1808" s="102">
        <v>11</v>
      </c>
      <c r="I1808" s="8" t="s">
        <v>585</v>
      </c>
      <c r="J1808" s="6" t="s">
        <v>3267</v>
      </c>
      <c r="K1808" s="8">
        <v>10</v>
      </c>
      <c r="L1808" s="826">
        <v>256245000</v>
      </c>
      <c r="M1808" s="832">
        <v>4</v>
      </c>
      <c r="N1808" s="826">
        <v>87516780</v>
      </c>
      <c r="O1808" s="832">
        <v>2</v>
      </c>
      <c r="P1808" s="828">
        <v>18910000</v>
      </c>
      <c r="Q1808" s="836">
        <f>R1808/P1808*100</f>
        <v>0</v>
      </c>
      <c r="R1808" s="828">
        <v>0</v>
      </c>
      <c r="S1808" s="25"/>
      <c r="T1808" s="25"/>
      <c r="U1808" s="8"/>
      <c r="V1808" s="1247"/>
      <c r="W1808" s="8"/>
      <c r="X1808" s="829"/>
      <c r="Y1808" s="792">
        <f t="shared" si="521"/>
        <v>0</v>
      </c>
      <c r="Z1808" s="830">
        <f t="shared" si="522"/>
        <v>0</v>
      </c>
      <c r="AA1808" s="792">
        <f t="shared" si="523"/>
        <v>4</v>
      </c>
      <c r="AB1808" s="25">
        <f t="shared" si="524"/>
        <v>87516780</v>
      </c>
      <c r="AC1808" s="827">
        <f t="shared" si="525"/>
        <v>40</v>
      </c>
      <c r="AD1808" s="827">
        <f t="shared" si="526"/>
        <v>34.153556166949599</v>
      </c>
      <c r="AE1808" s="102"/>
    </row>
    <row r="1809" spans="1:249" ht="66">
      <c r="A1809" s="2558">
        <v>5</v>
      </c>
      <c r="B1809" s="158"/>
      <c r="C1809" s="161">
        <v>3</v>
      </c>
      <c r="D1809" s="303" t="s">
        <v>34</v>
      </c>
      <c r="E1809" s="303" t="s">
        <v>39</v>
      </c>
      <c r="F1809" s="303" t="s">
        <v>28</v>
      </c>
      <c r="G1809" s="161">
        <v>17</v>
      </c>
      <c r="H1809" s="161"/>
      <c r="I1809" s="33" t="s">
        <v>3268</v>
      </c>
      <c r="J1809" s="44" t="s">
        <v>3269</v>
      </c>
      <c r="K1809" s="300">
        <v>895.74787905699998</v>
      </c>
      <c r="L1809" s="282">
        <f t="shared" ref="L1809:P1809" si="531">SUM(L1810:L1823)</f>
        <v>9569843299</v>
      </c>
      <c r="M1809" s="1885">
        <v>384.27622439200002</v>
      </c>
      <c r="N1809" s="282">
        <f t="shared" si="531"/>
        <v>4586366217</v>
      </c>
      <c r="O1809" s="1884">
        <v>154.52315850900001</v>
      </c>
      <c r="P1809" s="403">
        <f t="shared" si="531"/>
        <v>2373475230</v>
      </c>
      <c r="Q1809" s="33">
        <v>0</v>
      </c>
      <c r="R1809" s="403">
        <f>SUM(R1810:R1823)</f>
        <v>460729500</v>
      </c>
      <c r="S1809" s="33"/>
      <c r="T1809" s="159">
        <f>SUM(T1810:T1823)</f>
        <v>882949687</v>
      </c>
      <c r="U1809" s="33"/>
      <c r="V1809" s="1249"/>
      <c r="W1809" s="33"/>
      <c r="X1809" s="1250"/>
      <c r="Y1809" s="1251">
        <f t="shared" si="521"/>
        <v>0</v>
      </c>
      <c r="Z1809" s="1249">
        <f t="shared" si="522"/>
        <v>1343679187</v>
      </c>
      <c r="AA1809" s="1251">
        <f t="shared" si="523"/>
        <v>384.27622439200002</v>
      </c>
      <c r="AB1809" s="159">
        <f t="shared" si="524"/>
        <v>5930045404</v>
      </c>
      <c r="AC1809" s="151">
        <f t="shared" si="525"/>
        <v>42.900042900078915</v>
      </c>
      <c r="AD1809" s="151">
        <f t="shared" si="526"/>
        <v>61.965961392697622</v>
      </c>
      <c r="AE1809" s="2558" t="s">
        <v>232</v>
      </c>
    </row>
    <row r="1810" spans="1:249" ht="36" customHeight="1">
      <c r="A1810" s="102"/>
      <c r="B1810" s="8"/>
      <c r="C1810" s="102">
        <v>3</v>
      </c>
      <c r="D1810" s="628" t="s">
        <v>34</v>
      </c>
      <c r="E1810" s="628" t="s">
        <v>39</v>
      </c>
      <c r="F1810" s="628" t="s">
        <v>28</v>
      </c>
      <c r="G1810" s="628" t="s">
        <v>74</v>
      </c>
      <c r="H1810" s="628" t="s">
        <v>35</v>
      </c>
      <c r="I1810" s="8" t="s">
        <v>586</v>
      </c>
      <c r="J1810" s="6" t="s">
        <v>3270</v>
      </c>
      <c r="K1810" s="826">
        <v>5</v>
      </c>
      <c r="L1810" s="826">
        <v>431617955</v>
      </c>
      <c r="M1810" s="8">
        <v>2</v>
      </c>
      <c r="N1810" s="826">
        <v>126146300</v>
      </c>
      <c r="O1810" s="8">
        <v>1</v>
      </c>
      <c r="P1810" s="828">
        <v>16982000</v>
      </c>
      <c r="Q1810" s="25">
        <v>0</v>
      </c>
      <c r="R1810" s="828">
        <v>0</v>
      </c>
      <c r="S1810" s="8"/>
      <c r="T1810" s="25">
        <v>1330000</v>
      </c>
      <c r="U1810" s="8"/>
      <c r="V1810" s="1247"/>
      <c r="W1810" s="8"/>
      <c r="X1810" s="829"/>
      <c r="Y1810" s="792">
        <f t="shared" si="521"/>
        <v>0</v>
      </c>
      <c r="Z1810" s="830">
        <f t="shared" si="522"/>
        <v>1330000</v>
      </c>
      <c r="AA1810" s="792">
        <f t="shared" si="523"/>
        <v>2</v>
      </c>
      <c r="AB1810" s="25">
        <f t="shared" si="524"/>
        <v>127476300</v>
      </c>
      <c r="AC1810" s="827">
        <f t="shared" si="525"/>
        <v>40</v>
      </c>
      <c r="AD1810" s="827">
        <f t="shared" si="526"/>
        <v>29.534522028862309</v>
      </c>
      <c r="AE1810" s="102"/>
    </row>
    <row r="1811" spans="1:249" ht="33">
      <c r="A1811" s="102"/>
      <c r="B1811" s="8"/>
      <c r="C1811" s="102">
        <v>3</v>
      </c>
      <c r="D1811" s="628" t="s">
        <v>34</v>
      </c>
      <c r="E1811" s="628" t="s">
        <v>39</v>
      </c>
      <c r="F1811" s="628" t="s">
        <v>28</v>
      </c>
      <c r="G1811" s="628" t="s">
        <v>74</v>
      </c>
      <c r="H1811" s="628" t="s">
        <v>59</v>
      </c>
      <c r="I1811" s="8" t="s">
        <v>587</v>
      </c>
      <c r="J1811" s="6" t="s">
        <v>3271</v>
      </c>
      <c r="K1811" s="826">
        <v>3</v>
      </c>
      <c r="L1811" s="826">
        <f>3*P1811</f>
        <v>246100200</v>
      </c>
      <c r="M1811" s="8">
        <v>0</v>
      </c>
      <c r="N1811" s="826">
        <v>0</v>
      </c>
      <c r="O1811" s="8">
        <v>1</v>
      </c>
      <c r="P1811" s="828">
        <v>82033400</v>
      </c>
      <c r="Q1811" s="25">
        <v>0</v>
      </c>
      <c r="R1811" s="828">
        <v>12070750</v>
      </c>
      <c r="S1811" s="8"/>
      <c r="T1811" s="25">
        <v>21941000</v>
      </c>
      <c r="U1811" s="8"/>
      <c r="V1811" s="1247"/>
      <c r="W1811" s="8"/>
      <c r="X1811" s="829"/>
      <c r="Y1811" s="792">
        <f t="shared" si="521"/>
        <v>0</v>
      </c>
      <c r="Z1811" s="830">
        <f t="shared" si="522"/>
        <v>34011750</v>
      </c>
      <c r="AA1811" s="792">
        <f t="shared" si="523"/>
        <v>0</v>
      </c>
      <c r="AB1811" s="25">
        <f t="shared" si="524"/>
        <v>34011750</v>
      </c>
      <c r="AC1811" s="827">
        <f t="shared" si="525"/>
        <v>0</v>
      </c>
      <c r="AD1811" s="827">
        <f t="shared" si="526"/>
        <v>13.820285395948478</v>
      </c>
      <c r="AE1811" s="102"/>
      <c r="AF1811" s="750"/>
      <c r="AG1811" s="750"/>
      <c r="AH1811" s="750"/>
      <c r="AI1811" s="750"/>
      <c r="AJ1811" s="750"/>
      <c r="AK1811" s="750"/>
      <c r="AL1811" s="750"/>
      <c r="AM1811" s="750"/>
      <c r="AN1811" s="750"/>
      <c r="AO1811" s="750"/>
      <c r="AP1811" s="750"/>
      <c r="AQ1811" s="750"/>
      <c r="AR1811" s="750"/>
      <c r="AS1811" s="750"/>
      <c r="AT1811" s="750"/>
      <c r="AU1811" s="750"/>
      <c r="AV1811" s="750"/>
      <c r="AW1811" s="750"/>
      <c r="AX1811" s="750"/>
      <c r="AY1811" s="750"/>
      <c r="AZ1811" s="750"/>
      <c r="BA1811" s="750"/>
      <c r="BB1811" s="750"/>
      <c r="BC1811" s="752"/>
      <c r="BD1811" s="752"/>
      <c r="BE1811" s="752"/>
      <c r="BF1811" s="752"/>
      <c r="BG1811" s="752"/>
      <c r="BH1811" s="752"/>
      <c r="BI1811" s="752"/>
      <c r="BJ1811" s="752"/>
      <c r="BK1811" s="752"/>
      <c r="BL1811" s="752"/>
      <c r="BM1811" s="752"/>
      <c r="BN1811" s="752"/>
      <c r="BO1811" s="752"/>
      <c r="BP1811" s="752"/>
      <c r="BQ1811" s="752"/>
      <c r="BR1811" s="752"/>
      <c r="BS1811" s="22"/>
      <c r="BT1811" s="22"/>
      <c r="BU1811" s="22"/>
      <c r="BV1811" s="22"/>
      <c r="BW1811" s="22"/>
      <c r="BX1811" s="22"/>
      <c r="BY1811" s="22"/>
      <c r="BZ1811" s="22"/>
      <c r="CA1811" s="22"/>
      <c r="CB1811" s="22"/>
      <c r="CC1811" s="22"/>
      <c r="CD1811" s="22"/>
      <c r="CE1811" s="22"/>
      <c r="CF1811" s="22"/>
      <c r="CG1811" s="22"/>
      <c r="CH1811" s="22"/>
      <c r="CI1811" s="22"/>
      <c r="CJ1811" s="22"/>
      <c r="CK1811" s="22"/>
      <c r="CL1811" s="22"/>
      <c r="CM1811" s="22"/>
      <c r="CN1811" s="22"/>
      <c r="CO1811" s="22"/>
      <c r="CP1811" s="22"/>
      <c r="CQ1811" s="22"/>
      <c r="CR1811" s="22"/>
      <c r="CS1811" s="22"/>
      <c r="CT1811" s="22"/>
      <c r="CU1811" s="22"/>
      <c r="CV1811" s="22"/>
      <c r="CW1811" s="22"/>
      <c r="CX1811" s="22"/>
      <c r="CY1811" s="22"/>
      <c r="CZ1811" s="22"/>
      <c r="DA1811" s="22"/>
      <c r="DB1811" s="22"/>
      <c r="DC1811" s="22"/>
      <c r="DD1811" s="22"/>
      <c r="DE1811" s="22"/>
      <c r="DF1811" s="22"/>
      <c r="DG1811" s="22"/>
      <c r="DH1811" s="22"/>
      <c r="DI1811" s="22"/>
      <c r="DJ1811" s="22"/>
      <c r="DK1811" s="22"/>
      <c r="DL1811" s="22"/>
      <c r="DM1811" s="22"/>
      <c r="DN1811" s="22"/>
      <c r="DO1811" s="22"/>
      <c r="DP1811" s="22"/>
      <c r="DQ1811" s="22"/>
      <c r="DR1811" s="22"/>
      <c r="DS1811" s="22"/>
      <c r="DT1811" s="22"/>
      <c r="DU1811" s="22"/>
      <c r="DV1811" s="22"/>
      <c r="DW1811" s="22"/>
      <c r="DX1811" s="22"/>
      <c r="DY1811" s="22"/>
      <c r="DZ1811" s="22"/>
      <c r="EA1811" s="22"/>
      <c r="EB1811" s="22"/>
      <c r="EC1811" s="22"/>
      <c r="ED1811" s="22"/>
      <c r="EE1811" s="22"/>
      <c r="EF1811" s="22"/>
      <c r="EG1811" s="22"/>
      <c r="EH1811" s="22"/>
      <c r="EI1811" s="22"/>
      <c r="EJ1811" s="22"/>
      <c r="EK1811" s="22"/>
      <c r="EL1811" s="22"/>
      <c r="EM1811" s="22"/>
      <c r="EN1811" s="22"/>
      <c r="EO1811" s="22"/>
      <c r="EP1811" s="22"/>
      <c r="EQ1811" s="22"/>
      <c r="ER1811" s="22"/>
      <c r="ES1811" s="22"/>
      <c r="ET1811" s="22"/>
      <c r="EU1811" s="22"/>
      <c r="EV1811" s="22"/>
      <c r="EW1811" s="22"/>
      <c r="EX1811" s="22"/>
      <c r="EY1811" s="22"/>
      <c r="EZ1811" s="22"/>
      <c r="FA1811" s="22"/>
      <c r="FB1811" s="22"/>
      <c r="FC1811" s="22"/>
      <c r="FD1811" s="22"/>
      <c r="FE1811" s="22"/>
      <c r="FF1811" s="22"/>
      <c r="FG1811" s="22"/>
      <c r="FH1811" s="22"/>
      <c r="FI1811" s="22"/>
      <c r="FJ1811" s="22"/>
      <c r="FK1811" s="22"/>
      <c r="FL1811" s="22"/>
      <c r="FM1811" s="22"/>
      <c r="FN1811" s="22"/>
      <c r="FO1811" s="22"/>
      <c r="FP1811" s="22"/>
      <c r="FQ1811" s="22"/>
      <c r="FR1811" s="22"/>
      <c r="FS1811" s="22"/>
      <c r="FT1811" s="22"/>
      <c r="FU1811" s="22"/>
      <c r="FV1811" s="22"/>
      <c r="FW1811" s="22"/>
      <c r="FX1811" s="22"/>
      <c r="FY1811" s="22"/>
      <c r="FZ1811" s="22"/>
      <c r="GA1811" s="22"/>
      <c r="GB1811" s="22"/>
      <c r="GC1811" s="22"/>
      <c r="GD1811" s="22"/>
      <c r="GE1811" s="22"/>
      <c r="GF1811" s="22"/>
      <c r="GG1811" s="22"/>
      <c r="GH1811" s="22"/>
      <c r="GI1811" s="22"/>
      <c r="GJ1811" s="22"/>
      <c r="GK1811" s="22"/>
      <c r="GL1811" s="22"/>
      <c r="GM1811" s="22"/>
      <c r="GN1811" s="22"/>
      <c r="GO1811" s="22"/>
      <c r="GP1811" s="22"/>
      <c r="GQ1811" s="22"/>
      <c r="GR1811" s="22"/>
      <c r="GS1811" s="22"/>
      <c r="GT1811" s="22"/>
      <c r="GU1811" s="22"/>
      <c r="GV1811" s="22"/>
      <c r="GW1811" s="22"/>
      <c r="GX1811" s="22"/>
      <c r="GY1811" s="22"/>
      <c r="GZ1811" s="22"/>
      <c r="HA1811" s="22"/>
      <c r="HB1811" s="22"/>
      <c r="HC1811" s="22"/>
      <c r="HD1811" s="22"/>
      <c r="HE1811" s="22"/>
      <c r="HF1811" s="22"/>
      <c r="HG1811" s="22"/>
      <c r="HH1811" s="22"/>
      <c r="HI1811" s="22"/>
      <c r="HJ1811" s="22"/>
      <c r="HK1811" s="22"/>
      <c r="HL1811" s="22"/>
      <c r="HM1811" s="22"/>
      <c r="HN1811" s="22"/>
      <c r="HO1811" s="22"/>
      <c r="HP1811" s="22"/>
      <c r="HQ1811" s="22"/>
      <c r="HR1811" s="22"/>
      <c r="HS1811" s="22"/>
      <c r="HT1811" s="22"/>
      <c r="HU1811" s="22"/>
      <c r="HV1811" s="22"/>
      <c r="HW1811" s="22"/>
      <c r="HX1811" s="22"/>
      <c r="HY1811" s="22"/>
      <c r="HZ1811" s="22"/>
      <c r="IA1811" s="22"/>
      <c r="IB1811" s="22"/>
      <c r="IC1811" s="22"/>
      <c r="ID1811" s="22"/>
      <c r="IE1811" s="22"/>
      <c r="IF1811" s="22"/>
      <c r="IG1811" s="22"/>
      <c r="IH1811" s="22"/>
      <c r="II1811" s="22"/>
      <c r="IJ1811" s="22"/>
      <c r="IK1811" s="22"/>
      <c r="IL1811" s="22"/>
      <c r="IM1811" s="22"/>
      <c r="IN1811" s="22"/>
      <c r="IO1811" s="22"/>
    </row>
    <row r="1812" spans="1:249" ht="33">
      <c r="A1812" s="102"/>
      <c r="B1812" s="10"/>
      <c r="C1812" s="102">
        <v>3</v>
      </c>
      <c r="D1812" s="628" t="s">
        <v>34</v>
      </c>
      <c r="E1812" s="628" t="s">
        <v>39</v>
      </c>
      <c r="F1812" s="628" t="s">
        <v>28</v>
      </c>
      <c r="G1812" s="628" t="s">
        <v>74</v>
      </c>
      <c r="H1812" s="628" t="s">
        <v>494</v>
      </c>
      <c r="I1812" s="8" t="s">
        <v>588</v>
      </c>
      <c r="J1812" s="6" t="s">
        <v>3272</v>
      </c>
      <c r="K1812" s="826">
        <v>5</v>
      </c>
      <c r="L1812" s="826">
        <v>597638000</v>
      </c>
      <c r="M1812" s="8">
        <v>3</v>
      </c>
      <c r="N1812" s="826">
        <v>358544175</v>
      </c>
      <c r="O1812" s="8">
        <v>1</v>
      </c>
      <c r="P1812" s="828">
        <v>118986419</v>
      </c>
      <c r="Q1812" s="25">
        <v>0</v>
      </c>
      <c r="R1812" s="828">
        <v>2214000</v>
      </c>
      <c r="S1812" s="8"/>
      <c r="T1812" s="238">
        <v>104699050</v>
      </c>
      <c r="U1812" s="8"/>
      <c r="V1812" s="1247"/>
      <c r="W1812" s="8"/>
      <c r="X1812" s="829"/>
      <c r="Y1812" s="837">
        <f t="shared" si="521"/>
        <v>0</v>
      </c>
      <c r="Z1812" s="830">
        <f t="shared" si="522"/>
        <v>106913050</v>
      </c>
      <c r="AA1812" s="792">
        <f t="shared" si="523"/>
        <v>3</v>
      </c>
      <c r="AB1812" s="25">
        <f t="shared" si="524"/>
        <v>465457225</v>
      </c>
      <c r="AC1812" s="827">
        <f t="shared" si="525"/>
        <v>60</v>
      </c>
      <c r="AD1812" s="827">
        <f t="shared" si="526"/>
        <v>77.88280280035741</v>
      </c>
      <c r="AE1812" s="102"/>
      <c r="BR1812" s="752"/>
      <c r="BS1812" s="752"/>
      <c r="BT1812" s="752"/>
      <c r="BU1812" s="752"/>
      <c r="BV1812" s="752"/>
      <c r="BW1812" s="752"/>
      <c r="BX1812" s="752"/>
      <c r="BY1812" s="752"/>
      <c r="BZ1812" s="752"/>
      <c r="CA1812" s="752"/>
      <c r="CB1812" s="752"/>
      <c r="CC1812" s="752"/>
      <c r="CD1812" s="752"/>
      <c r="CE1812" s="752"/>
      <c r="CF1812" s="752"/>
      <c r="CG1812" s="752"/>
      <c r="CH1812" s="752"/>
      <c r="CI1812" s="752"/>
      <c r="CJ1812" s="752"/>
      <c r="CK1812" s="752"/>
      <c r="CL1812" s="752"/>
      <c r="CM1812" s="752"/>
      <c r="CN1812" s="752"/>
      <c r="CO1812" s="752"/>
      <c r="CP1812" s="752"/>
      <c r="CQ1812" s="752"/>
      <c r="CR1812" s="752"/>
      <c r="CS1812" s="752"/>
      <c r="CT1812" s="752"/>
      <c r="CU1812" s="752"/>
      <c r="CV1812" s="752"/>
      <c r="CW1812" s="752"/>
      <c r="CX1812" s="752"/>
      <c r="CY1812" s="752"/>
      <c r="CZ1812" s="752"/>
      <c r="DA1812" s="752"/>
      <c r="DB1812" s="752"/>
      <c r="DC1812" s="752"/>
      <c r="DD1812" s="752"/>
      <c r="DE1812" s="752"/>
      <c r="DF1812" s="752"/>
      <c r="DG1812" s="752"/>
      <c r="DH1812" s="752"/>
      <c r="DI1812" s="752"/>
      <c r="DJ1812" s="752"/>
      <c r="DK1812" s="752"/>
      <c r="DL1812" s="752"/>
      <c r="DM1812" s="752"/>
      <c r="DN1812" s="752"/>
      <c r="DO1812" s="752"/>
      <c r="DP1812" s="752"/>
      <c r="DQ1812" s="752"/>
      <c r="DR1812" s="752"/>
      <c r="DS1812" s="752"/>
      <c r="DT1812" s="752"/>
      <c r="DU1812" s="752"/>
      <c r="DV1812" s="752"/>
      <c r="DW1812" s="752"/>
      <c r="DX1812" s="752"/>
      <c r="DY1812" s="752"/>
      <c r="DZ1812" s="752"/>
      <c r="EA1812" s="752"/>
      <c r="EB1812" s="752"/>
      <c r="EC1812" s="752"/>
      <c r="ED1812" s="752"/>
      <c r="EE1812" s="752"/>
      <c r="EF1812" s="752"/>
      <c r="EG1812" s="752"/>
      <c r="EH1812" s="752"/>
      <c r="EI1812" s="752"/>
      <c r="EJ1812" s="752"/>
      <c r="EK1812" s="752"/>
      <c r="EL1812" s="752"/>
      <c r="EM1812" s="752"/>
      <c r="EN1812" s="752"/>
      <c r="EO1812" s="752"/>
      <c r="EP1812" s="752"/>
      <c r="EQ1812" s="752"/>
      <c r="ER1812" s="752"/>
      <c r="ES1812" s="752"/>
      <c r="ET1812" s="752"/>
      <c r="EU1812" s="752"/>
      <c r="EV1812" s="752"/>
      <c r="EW1812" s="752"/>
      <c r="EX1812" s="752"/>
      <c r="EY1812" s="752"/>
      <c r="EZ1812" s="752"/>
      <c r="FA1812" s="752"/>
      <c r="FB1812" s="752"/>
      <c r="FC1812" s="752"/>
      <c r="FD1812" s="752"/>
      <c r="FE1812" s="752"/>
      <c r="FF1812" s="752"/>
      <c r="FG1812" s="752"/>
      <c r="FH1812" s="752"/>
      <c r="FI1812" s="752"/>
      <c r="FJ1812" s="752"/>
      <c r="FK1812" s="752"/>
      <c r="FL1812" s="752"/>
      <c r="FM1812" s="752"/>
      <c r="FN1812" s="752"/>
      <c r="FO1812" s="752"/>
      <c r="FP1812" s="752"/>
      <c r="FQ1812" s="752"/>
      <c r="FR1812" s="752"/>
      <c r="FS1812" s="752"/>
      <c r="FT1812" s="752"/>
      <c r="FU1812" s="752"/>
      <c r="FV1812" s="752"/>
      <c r="FW1812" s="752"/>
      <c r="FX1812" s="752"/>
      <c r="FY1812" s="752"/>
      <c r="FZ1812" s="752"/>
      <c r="GA1812" s="752"/>
      <c r="GB1812" s="752"/>
      <c r="GC1812" s="752"/>
      <c r="GD1812" s="752"/>
      <c r="GE1812" s="752"/>
      <c r="GF1812" s="752"/>
      <c r="GG1812" s="752"/>
      <c r="GH1812" s="752"/>
      <c r="GI1812" s="752"/>
      <c r="GJ1812" s="752"/>
      <c r="GK1812" s="752"/>
      <c r="GL1812" s="752"/>
      <c r="GM1812" s="752"/>
      <c r="GN1812" s="752"/>
      <c r="GO1812" s="752"/>
      <c r="GP1812" s="752"/>
      <c r="GQ1812" s="752"/>
      <c r="GR1812" s="752"/>
      <c r="GS1812" s="752"/>
      <c r="GT1812" s="752"/>
      <c r="GU1812" s="752"/>
      <c r="GV1812" s="752"/>
      <c r="GW1812" s="752"/>
      <c r="GX1812" s="752"/>
      <c r="GY1812" s="752"/>
      <c r="GZ1812" s="752"/>
      <c r="HA1812" s="752"/>
      <c r="HB1812" s="752"/>
      <c r="HC1812" s="752"/>
      <c r="HD1812" s="752"/>
      <c r="HE1812" s="752"/>
      <c r="HF1812" s="752"/>
      <c r="HG1812" s="752"/>
      <c r="HH1812" s="752"/>
      <c r="HI1812" s="752"/>
      <c r="HJ1812" s="752"/>
      <c r="HK1812" s="752"/>
      <c r="HL1812" s="752"/>
      <c r="HM1812" s="752"/>
      <c r="HN1812" s="752"/>
      <c r="HO1812" s="752"/>
      <c r="HP1812" s="752"/>
      <c r="HQ1812" s="752"/>
      <c r="HR1812" s="752"/>
      <c r="HS1812" s="752"/>
      <c r="HT1812" s="752"/>
      <c r="HU1812" s="752"/>
      <c r="HV1812" s="752"/>
      <c r="HW1812" s="752"/>
      <c r="HX1812" s="752"/>
      <c r="HY1812" s="752"/>
      <c r="HZ1812" s="752"/>
      <c r="IA1812" s="752"/>
      <c r="IB1812" s="752"/>
      <c r="IC1812" s="752"/>
      <c r="ID1812" s="752"/>
      <c r="IE1812" s="752"/>
      <c r="IF1812" s="752"/>
      <c r="IG1812" s="752"/>
      <c r="IH1812" s="752"/>
      <c r="II1812" s="752"/>
      <c r="IJ1812" s="752"/>
      <c r="IK1812" s="752"/>
      <c r="IL1812" s="752"/>
      <c r="IM1812" s="752"/>
      <c r="IN1812" s="752"/>
      <c r="IO1812" s="752"/>
    </row>
    <row r="1813" spans="1:249" ht="49.5">
      <c r="A1813" s="102"/>
      <c r="B1813" s="10"/>
      <c r="C1813" s="102">
        <v>3</v>
      </c>
      <c r="D1813" s="628" t="s">
        <v>34</v>
      </c>
      <c r="E1813" s="628" t="s">
        <v>39</v>
      </c>
      <c r="F1813" s="628" t="s">
        <v>28</v>
      </c>
      <c r="G1813" s="628" t="s">
        <v>74</v>
      </c>
      <c r="H1813" s="628" t="s">
        <v>589</v>
      </c>
      <c r="I1813" s="8" t="s">
        <v>590</v>
      </c>
      <c r="J1813" s="6" t="s">
        <v>3273</v>
      </c>
      <c r="K1813" s="826">
        <v>60</v>
      </c>
      <c r="L1813" s="826">
        <v>72640284</v>
      </c>
      <c r="M1813" s="8">
        <v>24</v>
      </c>
      <c r="N1813" s="826">
        <v>166264000</v>
      </c>
      <c r="O1813" s="8">
        <v>12</v>
      </c>
      <c r="P1813" s="828">
        <v>105820000</v>
      </c>
      <c r="Q1813" s="503">
        <v>3</v>
      </c>
      <c r="R1813" s="828">
        <v>18338000</v>
      </c>
      <c r="S1813" s="8">
        <v>3</v>
      </c>
      <c r="T1813" s="25">
        <v>53290500</v>
      </c>
      <c r="U1813" s="8"/>
      <c r="V1813" s="1247"/>
      <c r="W1813" s="8"/>
      <c r="X1813" s="829"/>
      <c r="Y1813" s="837">
        <f t="shared" si="521"/>
        <v>6</v>
      </c>
      <c r="Z1813" s="830">
        <f t="shared" si="522"/>
        <v>71628500</v>
      </c>
      <c r="AA1813" s="792">
        <f t="shared" si="523"/>
        <v>30</v>
      </c>
      <c r="AB1813" s="25">
        <f t="shared" si="524"/>
        <v>237892500</v>
      </c>
      <c r="AC1813" s="827">
        <f t="shared" si="525"/>
        <v>50</v>
      </c>
      <c r="AD1813" s="827">
        <f t="shared" si="526"/>
        <v>327.49390131789681</v>
      </c>
      <c r="AE1813" s="102"/>
    </row>
    <row r="1814" spans="1:249" ht="66">
      <c r="A1814" s="102"/>
      <c r="B1814" s="10"/>
      <c r="C1814" s="102">
        <v>3</v>
      </c>
      <c r="D1814" s="628" t="s">
        <v>34</v>
      </c>
      <c r="E1814" s="628" t="s">
        <v>39</v>
      </c>
      <c r="F1814" s="628" t="s">
        <v>28</v>
      </c>
      <c r="G1814" s="628" t="s">
        <v>74</v>
      </c>
      <c r="H1814" s="102">
        <v>50</v>
      </c>
      <c r="I1814" s="8" t="s">
        <v>591</v>
      </c>
      <c r="J1814" s="6" t="s">
        <v>3274</v>
      </c>
      <c r="K1814" s="8">
        <v>60</v>
      </c>
      <c r="L1814" s="826">
        <v>1283069606</v>
      </c>
      <c r="M1814" s="8">
        <v>24</v>
      </c>
      <c r="N1814" s="826">
        <v>704123161</v>
      </c>
      <c r="O1814" s="8">
        <v>12</v>
      </c>
      <c r="P1814" s="828">
        <v>133595000</v>
      </c>
      <c r="Q1814" s="503">
        <v>3</v>
      </c>
      <c r="R1814" s="828">
        <v>25409100</v>
      </c>
      <c r="S1814" s="8">
        <v>3</v>
      </c>
      <c r="T1814" s="25">
        <v>63692300</v>
      </c>
      <c r="U1814" s="8"/>
      <c r="V1814" s="1247"/>
      <c r="W1814" s="8"/>
      <c r="X1814" s="829"/>
      <c r="Y1814" s="837">
        <f t="shared" si="521"/>
        <v>6</v>
      </c>
      <c r="Z1814" s="830">
        <f t="shared" si="522"/>
        <v>89101400</v>
      </c>
      <c r="AA1814" s="792">
        <f t="shared" si="523"/>
        <v>30</v>
      </c>
      <c r="AB1814" s="25">
        <f t="shared" si="524"/>
        <v>793224561</v>
      </c>
      <c r="AC1814" s="827">
        <f t="shared" si="525"/>
        <v>50</v>
      </c>
      <c r="AD1814" s="827">
        <f t="shared" si="526"/>
        <v>61.822410669745068</v>
      </c>
      <c r="AE1814" s="102"/>
    </row>
    <row r="1815" spans="1:249" ht="66">
      <c r="A1815" s="102"/>
      <c r="B1815" s="10"/>
      <c r="C1815" s="102">
        <v>3</v>
      </c>
      <c r="D1815" s="628" t="s">
        <v>34</v>
      </c>
      <c r="E1815" s="628" t="s">
        <v>39</v>
      </c>
      <c r="F1815" s="628" t="s">
        <v>28</v>
      </c>
      <c r="G1815" s="628" t="s">
        <v>74</v>
      </c>
      <c r="H1815" s="628" t="s">
        <v>592</v>
      </c>
      <c r="I1815" s="8" t="s">
        <v>593</v>
      </c>
      <c r="J1815" s="6" t="s">
        <v>3275</v>
      </c>
      <c r="K1815" s="8">
        <v>60</v>
      </c>
      <c r="L1815" s="826">
        <v>928199725</v>
      </c>
      <c r="M1815" s="8">
        <v>24</v>
      </c>
      <c r="N1815" s="826">
        <v>528008186</v>
      </c>
      <c r="O1815" s="8">
        <v>12</v>
      </c>
      <c r="P1815" s="828">
        <v>113940104</v>
      </c>
      <c r="Q1815" s="25">
        <v>3</v>
      </c>
      <c r="R1815" s="828">
        <v>19680250</v>
      </c>
      <c r="S1815" s="8">
        <v>3</v>
      </c>
      <c r="T1815" s="25">
        <v>51887550</v>
      </c>
      <c r="U1815" s="8"/>
      <c r="V1815" s="1247"/>
      <c r="W1815" s="8"/>
      <c r="X1815" s="829"/>
      <c r="Y1815" s="837">
        <f t="shared" si="521"/>
        <v>6</v>
      </c>
      <c r="Z1815" s="830">
        <f t="shared" si="522"/>
        <v>71567800</v>
      </c>
      <c r="AA1815" s="792">
        <f t="shared" si="523"/>
        <v>30</v>
      </c>
      <c r="AB1815" s="25">
        <f t="shared" si="524"/>
        <v>599575986</v>
      </c>
      <c r="AC1815" s="827">
        <f t="shared" si="525"/>
        <v>50</v>
      </c>
      <c r="AD1815" s="827">
        <f t="shared" si="526"/>
        <v>64.595578931032321</v>
      </c>
      <c r="AE1815" s="102"/>
      <c r="AF1815" s="750"/>
      <c r="AG1815" s="750"/>
      <c r="AH1815" s="750"/>
      <c r="AI1815" s="750"/>
      <c r="AJ1815" s="750"/>
      <c r="AK1815" s="750"/>
      <c r="AL1815" s="750"/>
      <c r="AM1815" s="750"/>
      <c r="AN1815" s="750"/>
      <c r="AO1815" s="750"/>
      <c r="AP1815" s="750"/>
      <c r="AQ1815" s="750"/>
      <c r="AR1815" s="750"/>
      <c r="AS1815" s="750"/>
      <c r="AT1815" s="750"/>
      <c r="AU1815" s="750"/>
      <c r="AV1815" s="750"/>
      <c r="AW1815" s="750"/>
      <c r="AX1815" s="750"/>
      <c r="AY1815" s="750"/>
      <c r="AZ1815" s="750"/>
      <c r="BA1815" s="750"/>
      <c r="BB1815" s="750"/>
      <c r="BC1815" s="752"/>
      <c r="BD1815" s="752"/>
      <c r="BE1815" s="752"/>
      <c r="BF1815" s="752"/>
      <c r="BG1815" s="752"/>
      <c r="BH1815" s="752"/>
      <c r="BI1815" s="752"/>
      <c r="BJ1815" s="752"/>
      <c r="BK1815" s="752"/>
      <c r="BL1815" s="752"/>
      <c r="BM1815" s="752"/>
      <c r="BN1815" s="752"/>
      <c r="BO1815" s="752"/>
      <c r="BP1815" s="752"/>
      <c r="BQ1815" s="752"/>
      <c r="BR1815" s="752"/>
      <c r="BS1815" s="22"/>
      <c r="BT1815" s="22"/>
      <c r="BU1815" s="22"/>
      <c r="BV1815" s="22"/>
      <c r="BW1815" s="22"/>
      <c r="BX1815" s="22"/>
      <c r="BY1815" s="22"/>
      <c r="BZ1815" s="22"/>
      <c r="CA1815" s="22"/>
      <c r="CB1815" s="22"/>
      <c r="CC1815" s="22"/>
      <c r="CD1815" s="22"/>
      <c r="CE1815" s="22"/>
      <c r="CF1815" s="22"/>
      <c r="CG1815" s="22"/>
      <c r="CH1815" s="22"/>
      <c r="CI1815" s="22"/>
      <c r="CJ1815" s="22"/>
      <c r="CK1815" s="22"/>
      <c r="CL1815" s="22"/>
      <c r="CM1815" s="22"/>
      <c r="CN1815" s="22"/>
      <c r="CO1815" s="22"/>
      <c r="CP1815" s="22"/>
      <c r="CQ1815" s="22"/>
      <c r="CR1815" s="22"/>
      <c r="CS1815" s="22"/>
      <c r="CT1815" s="22"/>
      <c r="CU1815" s="22"/>
      <c r="CV1815" s="22"/>
      <c r="CW1815" s="22"/>
      <c r="CX1815" s="22"/>
      <c r="CY1815" s="22"/>
      <c r="CZ1815" s="22"/>
      <c r="DA1815" s="22"/>
      <c r="DB1815" s="22"/>
      <c r="DC1815" s="22"/>
      <c r="DD1815" s="22"/>
      <c r="DE1815" s="22"/>
      <c r="DF1815" s="22"/>
      <c r="DG1815" s="22"/>
      <c r="DH1815" s="22"/>
      <c r="DI1815" s="22"/>
      <c r="DJ1815" s="22"/>
      <c r="DK1815" s="22"/>
      <c r="DL1815" s="22"/>
      <c r="DM1815" s="22"/>
      <c r="DN1815" s="22"/>
      <c r="DO1815" s="22"/>
      <c r="DP1815" s="22"/>
      <c r="DQ1815" s="22"/>
      <c r="DR1815" s="22"/>
      <c r="DS1815" s="22"/>
      <c r="DT1815" s="22"/>
      <c r="DU1815" s="22"/>
      <c r="DV1815" s="22"/>
      <c r="DW1815" s="22"/>
      <c r="DX1815" s="22"/>
      <c r="DY1815" s="22"/>
      <c r="DZ1815" s="22"/>
      <c r="EA1815" s="22"/>
      <c r="EB1815" s="22"/>
      <c r="EC1815" s="22"/>
      <c r="ED1815" s="22"/>
      <c r="EE1815" s="22"/>
      <c r="EF1815" s="22"/>
      <c r="EG1815" s="22"/>
      <c r="EH1815" s="22"/>
      <c r="EI1815" s="22"/>
      <c r="EJ1815" s="22"/>
      <c r="EK1815" s="22"/>
      <c r="EL1815" s="22"/>
      <c r="EM1815" s="22"/>
      <c r="EN1815" s="22"/>
      <c r="EO1815" s="22"/>
      <c r="EP1815" s="22"/>
      <c r="EQ1815" s="22"/>
      <c r="ER1815" s="22"/>
      <c r="ES1815" s="22"/>
      <c r="ET1815" s="22"/>
      <c r="EU1815" s="22"/>
      <c r="EV1815" s="22"/>
      <c r="EW1815" s="22"/>
      <c r="EX1815" s="22"/>
      <c r="EY1815" s="22"/>
      <c r="EZ1815" s="22"/>
      <c r="FA1815" s="22"/>
      <c r="FB1815" s="22"/>
      <c r="FC1815" s="22"/>
      <c r="FD1815" s="22"/>
      <c r="FE1815" s="22"/>
      <c r="FF1815" s="22"/>
      <c r="FG1815" s="22"/>
      <c r="FH1815" s="22"/>
      <c r="FI1815" s="22"/>
      <c r="FJ1815" s="22"/>
      <c r="FK1815" s="22"/>
      <c r="FL1815" s="22"/>
      <c r="FM1815" s="22"/>
      <c r="FN1815" s="22"/>
      <c r="FO1815" s="22"/>
      <c r="FP1815" s="22"/>
      <c r="FQ1815" s="22"/>
      <c r="FR1815" s="22"/>
      <c r="FS1815" s="22"/>
      <c r="FT1815" s="22"/>
      <c r="FU1815" s="22"/>
      <c r="FV1815" s="22"/>
      <c r="FW1815" s="22"/>
      <c r="FX1815" s="22"/>
      <c r="FY1815" s="22"/>
      <c r="FZ1815" s="22"/>
      <c r="GA1815" s="22"/>
      <c r="GB1815" s="22"/>
      <c r="GC1815" s="22"/>
      <c r="GD1815" s="22"/>
      <c r="GE1815" s="22"/>
      <c r="GF1815" s="22"/>
      <c r="GG1815" s="22"/>
      <c r="GH1815" s="22"/>
      <c r="GI1815" s="22"/>
      <c r="GJ1815" s="22"/>
      <c r="GK1815" s="22"/>
      <c r="GL1815" s="22"/>
      <c r="GM1815" s="22"/>
      <c r="GN1815" s="22"/>
      <c r="GO1815" s="22"/>
      <c r="GP1815" s="22"/>
      <c r="GQ1815" s="22"/>
      <c r="GR1815" s="22"/>
      <c r="GS1815" s="22"/>
      <c r="GT1815" s="22"/>
      <c r="GU1815" s="22"/>
      <c r="GV1815" s="22"/>
      <c r="GW1815" s="22"/>
      <c r="GX1815" s="22"/>
      <c r="GY1815" s="22"/>
      <c r="GZ1815" s="22"/>
      <c r="HA1815" s="22"/>
      <c r="HB1815" s="22"/>
      <c r="HC1815" s="22"/>
      <c r="HD1815" s="22"/>
      <c r="HE1815" s="22"/>
      <c r="HF1815" s="22"/>
      <c r="HG1815" s="22"/>
      <c r="HH1815" s="22"/>
      <c r="HI1815" s="22"/>
      <c r="HJ1815" s="22"/>
      <c r="HK1815" s="22"/>
      <c r="HL1815" s="22"/>
      <c r="HM1815" s="22"/>
      <c r="HN1815" s="22"/>
      <c r="HO1815" s="22"/>
      <c r="HP1815" s="22"/>
      <c r="HQ1815" s="22"/>
      <c r="HR1815" s="22"/>
      <c r="HS1815" s="22"/>
      <c r="HT1815" s="22"/>
      <c r="HU1815" s="22"/>
      <c r="HV1815" s="22"/>
      <c r="HW1815" s="22"/>
      <c r="HX1815" s="22"/>
      <c r="HY1815" s="22"/>
      <c r="HZ1815" s="22"/>
      <c r="IA1815" s="22"/>
      <c r="IB1815" s="22"/>
      <c r="IC1815" s="22"/>
      <c r="ID1815" s="22"/>
      <c r="IE1815" s="22"/>
      <c r="IF1815" s="22"/>
      <c r="IG1815" s="22"/>
      <c r="IH1815" s="22"/>
      <c r="II1815" s="22"/>
      <c r="IJ1815" s="22"/>
      <c r="IK1815" s="22"/>
      <c r="IL1815" s="22"/>
      <c r="IM1815" s="22"/>
      <c r="IN1815" s="22"/>
      <c r="IO1815" s="22"/>
    </row>
    <row r="1816" spans="1:249" ht="66">
      <c r="A1816" s="102"/>
      <c r="B1816" s="10"/>
      <c r="C1816" s="102">
        <v>3</v>
      </c>
      <c r="D1816" s="628" t="s">
        <v>34</v>
      </c>
      <c r="E1816" s="628" t="s">
        <v>39</v>
      </c>
      <c r="F1816" s="628" t="s">
        <v>28</v>
      </c>
      <c r="G1816" s="628" t="s">
        <v>74</v>
      </c>
      <c r="H1816" s="628" t="s">
        <v>594</v>
      </c>
      <c r="I1816" s="8" t="s">
        <v>595</v>
      </c>
      <c r="J1816" s="6" t="s">
        <v>3276</v>
      </c>
      <c r="K1816" s="8">
        <v>60</v>
      </c>
      <c r="L1816" s="826">
        <v>1019224805</v>
      </c>
      <c r="M1816" s="514">
        <v>24</v>
      </c>
      <c r="N1816" s="826">
        <v>516321290</v>
      </c>
      <c r="O1816" s="8">
        <v>12</v>
      </c>
      <c r="P1816" s="828">
        <v>119055000</v>
      </c>
      <c r="Q1816" s="25">
        <v>3</v>
      </c>
      <c r="R1816" s="828">
        <v>18431000</v>
      </c>
      <c r="S1816" s="8">
        <v>3</v>
      </c>
      <c r="T1816" s="25">
        <v>57332000</v>
      </c>
      <c r="U1816" s="8"/>
      <c r="V1816" s="1247"/>
      <c r="W1816" s="8"/>
      <c r="X1816" s="829"/>
      <c r="Y1816" s="837">
        <f t="shared" si="521"/>
        <v>6</v>
      </c>
      <c r="Z1816" s="830">
        <f t="shared" si="522"/>
        <v>75763000</v>
      </c>
      <c r="AA1816" s="792">
        <f t="shared" si="523"/>
        <v>30</v>
      </c>
      <c r="AB1816" s="25">
        <f t="shared" si="524"/>
        <v>592084290</v>
      </c>
      <c r="AC1816" s="827">
        <f t="shared" si="525"/>
        <v>50</v>
      </c>
      <c r="AD1816" s="827">
        <f t="shared" si="526"/>
        <v>58.09162876486311</v>
      </c>
      <c r="AE1816" s="102"/>
      <c r="AF1816" s="750"/>
      <c r="AG1816" s="750"/>
      <c r="AH1816" s="750"/>
      <c r="AI1816" s="750"/>
      <c r="AJ1816" s="750"/>
      <c r="AK1816" s="750"/>
      <c r="AL1816" s="750"/>
      <c r="AM1816" s="750"/>
      <c r="AN1816" s="750"/>
      <c r="AO1816" s="750"/>
      <c r="AP1816" s="750"/>
      <c r="AQ1816" s="750"/>
      <c r="AR1816" s="750"/>
      <c r="AS1816" s="750"/>
      <c r="AT1816" s="750"/>
      <c r="AU1816" s="750"/>
      <c r="AV1816" s="750"/>
      <c r="AW1816" s="750"/>
      <c r="AX1816" s="750"/>
      <c r="AY1816" s="750"/>
      <c r="AZ1816" s="750"/>
      <c r="BA1816" s="750"/>
      <c r="BB1816" s="750"/>
      <c r="BC1816" s="752"/>
      <c r="BD1816" s="752"/>
      <c r="BE1816" s="752"/>
      <c r="BF1816" s="752"/>
      <c r="BG1816" s="752"/>
      <c r="BH1816" s="752"/>
      <c r="BI1816" s="752"/>
      <c r="BJ1816" s="752"/>
      <c r="BK1816" s="752"/>
      <c r="BL1816" s="752"/>
      <c r="BM1816" s="752"/>
      <c r="BN1816" s="752"/>
      <c r="BO1816" s="752"/>
      <c r="BP1816" s="752"/>
      <c r="BQ1816" s="752"/>
      <c r="BR1816" s="752"/>
      <c r="BS1816" s="22"/>
      <c r="BT1816" s="22"/>
      <c r="BU1816" s="22"/>
      <c r="BV1816" s="22"/>
      <c r="BW1816" s="22"/>
      <c r="BX1816" s="22"/>
      <c r="BY1816" s="22"/>
      <c r="BZ1816" s="22"/>
      <c r="CA1816" s="22"/>
      <c r="CB1816" s="22"/>
      <c r="CC1816" s="22"/>
      <c r="CD1816" s="22"/>
      <c r="CE1816" s="22"/>
      <c r="CF1816" s="22"/>
      <c r="CG1816" s="22"/>
      <c r="CH1816" s="22"/>
      <c r="CI1816" s="22"/>
      <c r="CJ1816" s="22"/>
      <c r="CK1816" s="22"/>
      <c r="CL1816" s="22"/>
      <c r="CM1816" s="22"/>
      <c r="CN1816" s="22"/>
      <c r="CO1816" s="22"/>
      <c r="CP1816" s="22"/>
      <c r="CQ1816" s="22"/>
      <c r="CR1816" s="22"/>
      <c r="CS1816" s="22"/>
      <c r="CT1816" s="22"/>
      <c r="CU1816" s="22"/>
      <c r="CV1816" s="22"/>
      <c r="CW1816" s="22"/>
      <c r="CX1816" s="22"/>
      <c r="CY1816" s="22"/>
      <c r="CZ1816" s="22"/>
      <c r="DA1816" s="22"/>
      <c r="DB1816" s="22"/>
      <c r="DC1816" s="22"/>
      <c r="DD1816" s="22"/>
      <c r="DE1816" s="22"/>
      <c r="DF1816" s="22"/>
      <c r="DG1816" s="22"/>
      <c r="DH1816" s="22"/>
      <c r="DI1816" s="22"/>
      <c r="DJ1816" s="22"/>
      <c r="DK1816" s="22"/>
      <c r="DL1816" s="22"/>
      <c r="DM1816" s="22"/>
      <c r="DN1816" s="22"/>
      <c r="DO1816" s="22"/>
      <c r="DP1816" s="22"/>
      <c r="DQ1816" s="22"/>
      <c r="DR1816" s="22"/>
      <c r="DS1816" s="22"/>
      <c r="DT1816" s="22"/>
      <c r="DU1816" s="22"/>
      <c r="DV1816" s="22"/>
      <c r="DW1816" s="22"/>
      <c r="DX1816" s="22"/>
      <c r="DY1816" s="22"/>
      <c r="DZ1816" s="22"/>
      <c r="EA1816" s="22"/>
      <c r="EB1816" s="22"/>
      <c r="EC1816" s="22"/>
      <c r="ED1816" s="22"/>
      <c r="EE1816" s="22"/>
      <c r="EF1816" s="22"/>
      <c r="EG1816" s="22"/>
      <c r="EH1816" s="22"/>
      <c r="EI1816" s="22"/>
      <c r="EJ1816" s="22"/>
      <c r="EK1816" s="22"/>
      <c r="EL1816" s="22"/>
      <c r="EM1816" s="22"/>
      <c r="EN1816" s="22"/>
      <c r="EO1816" s="22"/>
      <c r="EP1816" s="22"/>
      <c r="EQ1816" s="22"/>
      <c r="ER1816" s="22"/>
      <c r="ES1816" s="22"/>
      <c r="ET1816" s="22"/>
      <c r="EU1816" s="22"/>
      <c r="EV1816" s="22"/>
      <c r="EW1816" s="22"/>
      <c r="EX1816" s="22"/>
      <c r="EY1816" s="22"/>
      <c r="EZ1816" s="22"/>
      <c r="FA1816" s="22"/>
      <c r="FB1816" s="22"/>
      <c r="FC1816" s="22"/>
      <c r="FD1816" s="22"/>
      <c r="FE1816" s="22"/>
      <c r="FF1816" s="22"/>
      <c r="FG1816" s="22"/>
      <c r="FH1816" s="22"/>
      <c r="FI1816" s="22"/>
      <c r="FJ1816" s="22"/>
      <c r="FK1816" s="22"/>
      <c r="FL1816" s="22"/>
      <c r="FM1816" s="22"/>
      <c r="FN1816" s="22"/>
      <c r="FO1816" s="22"/>
      <c r="FP1816" s="22"/>
      <c r="FQ1816" s="22"/>
      <c r="FR1816" s="22"/>
      <c r="FS1816" s="22"/>
      <c r="FT1816" s="22"/>
      <c r="FU1816" s="22"/>
      <c r="FV1816" s="22"/>
      <c r="FW1816" s="22"/>
      <c r="FX1816" s="22"/>
      <c r="FY1816" s="22"/>
      <c r="FZ1816" s="22"/>
      <c r="GA1816" s="22"/>
      <c r="GB1816" s="22"/>
      <c r="GC1816" s="22"/>
      <c r="GD1816" s="22"/>
      <c r="GE1816" s="22"/>
      <c r="GF1816" s="22"/>
      <c r="GG1816" s="22"/>
      <c r="GH1816" s="22"/>
      <c r="GI1816" s="22"/>
      <c r="GJ1816" s="22"/>
      <c r="GK1816" s="22"/>
      <c r="GL1816" s="22"/>
      <c r="GM1816" s="22"/>
      <c r="GN1816" s="22"/>
      <c r="GO1816" s="22"/>
      <c r="GP1816" s="22"/>
      <c r="GQ1816" s="22"/>
      <c r="GR1816" s="22"/>
      <c r="GS1816" s="22"/>
      <c r="GT1816" s="22"/>
      <c r="GU1816" s="22"/>
      <c r="GV1816" s="22"/>
      <c r="GW1816" s="22"/>
      <c r="GX1816" s="22"/>
      <c r="GY1816" s="22"/>
      <c r="GZ1816" s="22"/>
      <c r="HA1816" s="22"/>
      <c r="HB1816" s="22"/>
      <c r="HC1816" s="22"/>
      <c r="HD1816" s="22"/>
      <c r="HE1816" s="22"/>
      <c r="HF1816" s="22"/>
      <c r="HG1816" s="22"/>
      <c r="HH1816" s="22"/>
      <c r="HI1816" s="22"/>
      <c r="HJ1816" s="22"/>
      <c r="HK1816" s="22"/>
      <c r="HL1816" s="22"/>
      <c r="HM1816" s="22"/>
      <c r="HN1816" s="22"/>
      <c r="HO1816" s="22"/>
      <c r="HP1816" s="22"/>
      <c r="HQ1816" s="22"/>
      <c r="HR1816" s="22"/>
      <c r="HS1816" s="22"/>
      <c r="HT1816" s="22"/>
      <c r="HU1816" s="22"/>
      <c r="HV1816" s="22"/>
      <c r="HW1816" s="22"/>
      <c r="HX1816" s="22"/>
      <c r="HY1816" s="22"/>
      <c r="HZ1816" s="22"/>
      <c r="IA1816" s="22"/>
      <c r="IB1816" s="22"/>
      <c r="IC1816" s="22"/>
      <c r="ID1816" s="22"/>
      <c r="IE1816" s="22"/>
      <c r="IF1816" s="22"/>
      <c r="IG1816" s="22"/>
      <c r="IH1816" s="22"/>
      <c r="II1816" s="22"/>
      <c r="IJ1816" s="22"/>
      <c r="IK1816" s="22"/>
      <c r="IL1816" s="22"/>
      <c r="IM1816" s="22"/>
      <c r="IN1816" s="22"/>
      <c r="IO1816" s="22"/>
    </row>
    <row r="1817" spans="1:249" ht="33">
      <c r="A1817" s="102"/>
      <c r="B1817" s="10"/>
      <c r="C1817" s="102">
        <v>3</v>
      </c>
      <c r="D1817" s="628" t="s">
        <v>34</v>
      </c>
      <c r="E1817" s="628" t="s">
        <v>39</v>
      </c>
      <c r="F1817" s="628" t="s">
        <v>28</v>
      </c>
      <c r="G1817" s="628" t="s">
        <v>74</v>
      </c>
      <c r="H1817" s="628" t="s">
        <v>596</v>
      </c>
      <c r="I1817" s="8" t="s">
        <v>597</v>
      </c>
      <c r="J1817" s="6" t="s">
        <v>3277</v>
      </c>
      <c r="K1817" s="8">
        <v>600</v>
      </c>
      <c r="L1817" s="826">
        <v>710949800</v>
      </c>
      <c r="M1817" s="514">
        <v>250</v>
      </c>
      <c r="N1817" s="826">
        <v>321809000</v>
      </c>
      <c r="O1817" s="8">
        <v>100</v>
      </c>
      <c r="P1817" s="828">
        <v>128875177</v>
      </c>
      <c r="Q1817" s="2671">
        <v>0</v>
      </c>
      <c r="R1817" s="828">
        <v>27757750</v>
      </c>
      <c r="S1817" s="8"/>
      <c r="T1817" s="25">
        <v>50577187</v>
      </c>
      <c r="U1817" s="8"/>
      <c r="V1817" s="1247"/>
      <c r="W1817" s="8"/>
      <c r="X1817" s="829"/>
      <c r="Y1817" s="837">
        <f t="shared" si="521"/>
        <v>0</v>
      </c>
      <c r="Z1817" s="830">
        <f t="shared" si="522"/>
        <v>78334937</v>
      </c>
      <c r="AA1817" s="792">
        <f t="shared" si="523"/>
        <v>250</v>
      </c>
      <c r="AB1817" s="25">
        <f t="shared" si="524"/>
        <v>400143937</v>
      </c>
      <c r="AC1817" s="827">
        <f t="shared" si="525"/>
        <v>41.666666666666671</v>
      </c>
      <c r="AD1817" s="827">
        <f t="shared" si="526"/>
        <v>56.283008589354687</v>
      </c>
      <c r="AE1817" s="102"/>
      <c r="AF1817" s="750"/>
      <c r="AG1817" s="750"/>
      <c r="AH1817" s="750"/>
      <c r="AI1817" s="750"/>
      <c r="AJ1817" s="750"/>
      <c r="AK1817" s="750"/>
      <c r="AL1817" s="750"/>
      <c r="AM1817" s="750"/>
      <c r="AN1817" s="750"/>
      <c r="AO1817" s="750"/>
      <c r="AP1817" s="750"/>
      <c r="AQ1817" s="750"/>
      <c r="AR1817" s="750"/>
      <c r="AS1817" s="750"/>
      <c r="AT1817" s="750"/>
      <c r="AU1817" s="750"/>
      <c r="AV1817" s="750"/>
      <c r="AW1817" s="750"/>
      <c r="AX1817" s="750"/>
      <c r="AY1817" s="750"/>
      <c r="AZ1817" s="750"/>
      <c r="BA1817" s="750"/>
      <c r="BB1817" s="750"/>
      <c r="BC1817" s="752"/>
      <c r="BD1817" s="752"/>
      <c r="BE1817" s="752"/>
      <c r="BF1817" s="752"/>
      <c r="BG1817" s="752"/>
      <c r="BH1817" s="752"/>
      <c r="BI1817" s="752"/>
      <c r="BJ1817" s="752"/>
      <c r="BK1817" s="752"/>
      <c r="BL1817" s="752"/>
      <c r="BM1817" s="752"/>
      <c r="BN1817" s="752"/>
      <c r="BO1817" s="752"/>
      <c r="BP1817" s="752"/>
      <c r="BQ1817" s="752"/>
      <c r="BR1817" s="752"/>
      <c r="BS1817" s="22"/>
      <c r="BT1817" s="22"/>
      <c r="BU1817" s="22"/>
      <c r="BV1817" s="22"/>
      <c r="BW1817" s="22"/>
      <c r="BX1817" s="22"/>
      <c r="BY1817" s="22"/>
      <c r="BZ1817" s="22"/>
      <c r="CA1817" s="22"/>
      <c r="CB1817" s="22"/>
      <c r="CC1817" s="22"/>
      <c r="CD1817" s="22"/>
      <c r="CE1817" s="22"/>
      <c r="CF1817" s="22"/>
      <c r="CG1817" s="22"/>
      <c r="CH1817" s="22"/>
      <c r="CI1817" s="22"/>
      <c r="CJ1817" s="22"/>
      <c r="CK1817" s="22"/>
      <c r="CL1817" s="22"/>
      <c r="CM1817" s="22"/>
      <c r="CN1817" s="22"/>
      <c r="CO1817" s="22"/>
      <c r="CP1817" s="22"/>
      <c r="CQ1817" s="22"/>
      <c r="CR1817" s="22"/>
      <c r="CS1817" s="22"/>
      <c r="CT1817" s="22"/>
      <c r="CU1817" s="22"/>
      <c r="CV1817" s="22"/>
      <c r="CW1817" s="22"/>
      <c r="CX1817" s="22"/>
      <c r="CY1817" s="22"/>
      <c r="CZ1817" s="22"/>
      <c r="DA1817" s="22"/>
      <c r="DB1817" s="22"/>
      <c r="DC1817" s="22"/>
      <c r="DD1817" s="22"/>
      <c r="DE1817" s="22"/>
      <c r="DF1817" s="22"/>
      <c r="DG1817" s="22"/>
      <c r="DH1817" s="22"/>
      <c r="DI1817" s="22"/>
      <c r="DJ1817" s="22"/>
      <c r="DK1817" s="22"/>
      <c r="DL1817" s="22"/>
      <c r="DM1817" s="22"/>
      <c r="DN1817" s="22"/>
      <c r="DO1817" s="22"/>
      <c r="DP1817" s="22"/>
      <c r="DQ1817" s="22"/>
      <c r="DR1817" s="22"/>
      <c r="DS1817" s="22"/>
      <c r="DT1817" s="22"/>
      <c r="DU1817" s="22"/>
      <c r="DV1817" s="22"/>
      <c r="DW1817" s="22"/>
      <c r="DX1817" s="22"/>
      <c r="DY1817" s="22"/>
      <c r="DZ1817" s="22"/>
      <c r="EA1817" s="22"/>
      <c r="EB1817" s="22"/>
      <c r="EC1817" s="22"/>
      <c r="ED1817" s="22"/>
      <c r="EE1817" s="22"/>
      <c r="EF1817" s="22"/>
      <c r="EG1817" s="22"/>
      <c r="EH1817" s="22"/>
      <c r="EI1817" s="22"/>
      <c r="EJ1817" s="22"/>
      <c r="EK1817" s="22"/>
      <c r="EL1817" s="22"/>
      <c r="EM1817" s="22"/>
      <c r="EN1817" s="22"/>
      <c r="EO1817" s="22"/>
      <c r="EP1817" s="22"/>
      <c r="EQ1817" s="22"/>
      <c r="ER1817" s="22"/>
      <c r="ES1817" s="22"/>
      <c r="ET1817" s="22"/>
      <c r="EU1817" s="22"/>
      <c r="EV1817" s="22"/>
      <c r="EW1817" s="22"/>
      <c r="EX1817" s="22"/>
      <c r="EY1817" s="22"/>
      <c r="EZ1817" s="22"/>
      <c r="FA1817" s="22"/>
      <c r="FB1817" s="22"/>
      <c r="FC1817" s="22"/>
      <c r="FD1817" s="22"/>
      <c r="FE1817" s="22"/>
      <c r="FF1817" s="22"/>
      <c r="FG1817" s="22"/>
      <c r="FH1817" s="22"/>
      <c r="FI1817" s="22"/>
      <c r="FJ1817" s="22"/>
      <c r="FK1817" s="22"/>
      <c r="FL1817" s="22"/>
      <c r="FM1817" s="22"/>
      <c r="FN1817" s="22"/>
      <c r="FO1817" s="22"/>
      <c r="FP1817" s="22"/>
      <c r="FQ1817" s="22"/>
      <c r="FR1817" s="22"/>
      <c r="FS1817" s="22"/>
      <c r="FT1817" s="22"/>
      <c r="FU1817" s="22"/>
      <c r="FV1817" s="22"/>
      <c r="FW1817" s="22"/>
      <c r="FX1817" s="22"/>
      <c r="FY1817" s="22"/>
      <c r="FZ1817" s="22"/>
      <c r="GA1817" s="22"/>
      <c r="GB1817" s="22"/>
      <c r="GC1817" s="22"/>
      <c r="GD1817" s="22"/>
      <c r="GE1817" s="22"/>
      <c r="GF1817" s="22"/>
      <c r="GG1817" s="22"/>
      <c r="GH1817" s="22"/>
      <c r="GI1817" s="22"/>
      <c r="GJ1817" s="22"/>
      <c r="GK1817" s="22"/>
      <c r="GL1817" s="22"/>
      <c r="GM1817" s="22"/>
      <c r="GN1817" s="22"/>
      <c r="GO1817" s="22"/>
      <c r="GP1817" s="22"/>
      <c r="GQ1817" s="22"/>
      <c r="GR1817" s="22"/>
      <c r="GS1817" s="22"/>
      <c r="GT1817" s="22"/>
      <c r="GU1817" s="22"/>
      <c r="GV1817" s="22"/>
      <c r="GW1817" s="22"/>
      <c r="GX1817" s="22"/>
      <c r="GY1817" s="22"/>
      <c r="GZ1817" s="22"/>
      <c r="HA1817" s="22"/>
      <c r="HB1817" s="22"/>
      <c r="HC1817" s="22"/>
      <c r="HD1817" s="22"/>
      <c r="HE1817" s="22"/>
      <c r="HF1817" s="22"/>
      <c r="HG1817" s="22"/>
      <c r="HH1817" s="22"/>
      <c r="HI1817" s="22"/>
      <c r="HJ1817" s="22"/>
      <c r="HK1817" s="22"/>
      <c r="HL1817" s="22"/>
      <c r="HM1817" s="22"/>
      <c r="HN1817" s="22"/>
      <c r="HO1817" s="22"/>
      <c r="HP1817" s="22"/>
      <c r="HQ1817" s="22"/>
      <c r="HR1817" s="22"/>
      <c r="HS1817" s="22"/>
      <c r="HT1817" s="22"/>
      <c r="HU1817" s="22"/>
      <c r="HV1817" s="22"/>
      <c r="HW1817" s="22"/>
      <c r="HX1817" s="22"/>
      <c r="HY1817" s="22"/>
      <c r="HZ1817" s="22"/>
      <c r="IA1817" s="22"/>
      <c r="IB1817" s="22"/>
      <c r="IC1817" s="22"/>
      <c r="ID1817" s="22"/>
      <c r="IE1817" s="22"/>
      <c r="IF1817" s="22"/>
      <c r="IG1817" s="22"/>
      <c r="IH1817" s="22"/>
      <c r="II1817" s="22"/>
      <c r="IJ1817" s="22"/>
      <c r="IK1817" s="22"/>
      <c r="IL1817" s="22"/>
      <c r="IM1817" s="22"/>
      <c r="IN1817" s="22"/>
      <c r="IO1817" s="22"/>
    </row>
    <row r="1818" spans="1:249" ht="49.5">
      <c r="A1818" s="102"/>
      <c r="B1818" s="10"/>
      <c r="C1818" s="102">
        <v>3</v>
      </c>
      <c r="D1818" s="628" t="s">
        <v>34</v>
      </c>
      <c r="E1818" s="628" t="s">
        <v>39</v>
      </c>
      <c r="F1818" s="628" t="s">
        <v>28</v>
      </c>
      <c r="G1818" s="628" t="s">
        <v>74</v>
      </c>
      <c r="H1818" s="628" t="s">
        <v>598</v>
      </c>
      <c r="I1818" s="8" t="s">
        <v>599</v>
      </c>
      <c r="J1818" s="6" t="s">
        <v>3278</v>
      </c>
      <c r="K1818" s="8">
        <v>5</v>
      </c>
      <c r="L1818" s="826">
        <v>340178663</v>
      </c>
      <c r="M1818" s="514">
        <v>2</v>
      </c>
      <c r="N1818" s="826">
        <v>223976300</v>
      </c>
      <c r="O1818" s="8">
        <v>1</v>
      </c>
      <c r="P1818" s="828">
        <v>76702500</v>
      </c>
      <c r="Q1818" s="503">
        <v>0</v>
      </c>
      <c r="R1818" s="828">
        <v>985100</v>
      </c>
      <c r="S1818" s="8"/>
      <c r="T1818" s="25">
        <v>4614150</v>
      </c>
      <c r="U1818" s="8"/>
      <c r="V1818" s="1247"/>
      <c r="W1818" s="8"/>
      <c r="X1818" s="829"/>
      <c r="Y1818" s="837">
        <f t="shared" si="521"/>
        <v>0</v>
      </c>
      <c r="Z1818" s="830">
        <f t="shared" si="522"/>
        <v>5599250</v>
      </c>
      <c r="AA1818" s="792">
        <f t="shared" si="523"/>
        <v>2</v>
      </c>
      <c r="AB1818" s="25">
        <f t="shared" si="524"/>
        <v>229575550</v>
      </c>
      <c r="AC1818" s="827">
        <f>AA1818/K1818*100</f>
        <v>40</v>
      </c>
      <c r="AD1818" s="827">
        <f t="shared" si="526"/>
        <v>67.486757686504291</v>
      </c>
      <c r="AE1818" s="102"/>
      <c r="AF1818" s="750"/>
      <c r="AG1818" s="750"/>
      <c r="AH1818" s="750"/>
      <c r="AI1818" s="750"/>
      <c r="AJ1818" s="750"/>
      <c r="AK1818" s="750"/>
      <c r="AL1818" s="750"/>
      <c r="AM1818" s="750"/>
      <c r="AN1818" s="750"/>
      <c r="AO1818" s="750"/>
      <c r="AP1818" s="750"/>
      <c r="AQ1818" s="750"/>
      <c r="AR1818" s="750"/>
      <c r="AS1818" s="750"/>
      <c r="AT1818" s="750"/>
      <c r="AU1818" s="750"/>
      <c r="AV1818" s="750"/>
      <c r="AW1818" s="750"/>
      <c r="AX1818" s="750"/>
      <c r="AY1818" s="750"/>
      <c r="AZ1818" s="750"/>
      <c r="BA1818" s="750"/>
      <c r="BB1818" s="750"/>
      <c r="BC1818" s="752"/>
      <c r="BD1818" s="752"/>
      <c r="BE1818" s="752"/>
      <c r="BF1818" s="752"/>
      <c r="BG1818" s="752"/>
      <c r="BH1818" s="752"/>
      <c r="BI1818" s="752"/>
      <c r="BJ1818" s="752"/>
      <c r="BK1818" s="752"/>
      <c r="BL1818" s="752"/>
      <c r="BM1818" s="752"/>
      <c r="BN1818" s="752"/>
      <c r="BO1818" s="752"/>
      <c r="BP1818" s="752"/>
      <c r="BQ1818" s="752"/>
      <c r="BR1818" s="752"/>
      <c r="BS1818" s="22"/>
      <c r="BT1818" s="22"/>
      <c r="BU1818" s="22"/>
      <c r="BV1818" s="22"/>
      <c r="BW1818" s="22"/>
      <c r="BX1818" s="22"/>
      <c r="BY1818" s="22"/>
      <c r="BZ1818" s="22"/>
      <c r="CA1818" s="22"/>
      <c r="CB1818" s="22"/>
      <c r="CC1818" s="22"/>
      <c r="CD1818" s="22"/>
      <c r="CE1818" s="22"/>
      <c r="CF1818" s="22"/>
      <c r="CG1818" s="22"/>
      <c r="CH1818" s="22"/>
      <c r="CI1818" s="22"/>
      <c r="CJ1818" s="22"/>
      <c r="CK1818" s="22"/>
      <c r="CL1818" s="22"/>
      <c r="CM1818" s="22"/>
      <c r="CN1818" s="22"/>
      <c r="CO1818" s="22"/>
      <c r="CP1818" s="22"/>
      <c r="CQ1818" s="22"/>
      <c r="CR1818" s="22"/>
      <c r="CS1818" s="22"/>
      <c r="CT1818" s="22"/>
      <c r="CU1818" s="22"/>
      <c r="CV1818" s="22"/>
      <c r="CW1818" s="22"/>
      <c r="CX1818" s="22"/>
      <c r="CY1818" s="22"/>
      <c r="CZ1818" s="22"/>
      <c r="DA1818" s="22"/>
      <c r="DB1818" s="22"/>
      <c r="DC1818" s="22"/>
      <c r="DD1818" s="22"/>
      <c r="DE1818" s="22"/>
      <c r="DF1818" s="22"/>
      <c r="DG1818" s="22"/>
      <c r="DH1818" s="22"/>
      <c r="DI1818" s="22"/>
      <c r="DJ1818" s="22"/>
      <c r="DK1818" s="22"/>
      <c r="DL1818" s="22"/>
      <c r="DM1818" s="22"/>
      <c r="DN1818" s="22"/>
      <c r="DO1818" s="22"/>
      <c r="DP1818" s="22"/>
      <c r="DQ1818" s="22"/>
      <c r="DR1818" s="22"/>
      <c r="DS1818" s="22"/>
      <c r="DT1818" s="22"/>
      <c r="DU1818" s="22"/>
      <c r="DV1818" s="22"/>
      <c r="DW1818" s="22"/>
      <c r="DX1818" s="22"/>
      <c r="DY1818" s="22"/>
      <c r="DZ1818" s="22"/>
      <c r="EA1818" s="22"/>
      <c r="EB1818" s="22"/>
      <c r="EC1818" s="22"/>
      <c r="ED1818" s="22"/>
      <c r="EE1818" s="22"/>
      <c r="EF1818" s="22"/>
      <c r="EG1818" s="22"/>
      <c r="EH1818" s="22"/>
      <c r="EI1818" s="22"/>
      <c r="EJ1818" s="22"/>
      <c r="EK1818" s="22"/>
      <c r="EL1818" s="22"/>
      <c r="EM1818" s="22"/>
      <c r="EN1818" s="22"/>
      <c r="EO1818" s="22"/>
      <c r="EP1818" s="22"/>
      <c r="EQ1818" s="22"/>
      <c r="ER1818" s="22"/>
      <c r="ES1818" s="22"/>
      <c r="ET1818" s="22"/>
      <c r="EU1818" s="22"/>
      <c r="EV1818" s="22"/>
      <c r="EW1818" s="22"/>
      <c r="EX1818" s="22"/>
      <c r="EY1818" s="22"/>
      <c r="EZ1818" s="22"/>
      <c r="FA1818" s="22"/>
      <c r="FB1818" s="22"/>
      <c r="FC1818" s="22"/>
      <c r="FD1818" s="22"/>
      <c r="FE1818" s="22"/>
      <c r="FF1818" s="22"/>
      <c r="FG1818" s="22"/>
      <c r="FH1818" s="22"/>
      <c r="FI1818" s="22"/>
      <c r="FJ1818" s="22"/>
      <c r="FK1818" s="22"/>
      <c r="FL1818" s="22"/>
      <c r="FM1818" s="22"/>
      <c r="FN1818" s="22"/>
      <c r="FO1818" s="22"/>
      <c r="FP1818" s="22"/>
      <c r="FQ1818" s="22"/>
      <c r="FR1818" s="22"/>
      <c r="FS1818" s="22"/>
      <c r="FT1818" s="22"/>
      <c r="FU1818" s="22"/>
      <c r="FV1818" s="22"/>
      <c r="FW1818" s="22"/>
      <c r="FX1818" s="22"/>
      <c r="FY1818" s="22"/>
      <c r="FZ1818" s="22"/>
      <c r="GA1818" s="22"/>
      <c r="GB1818" s="22"/>
      <c r="GC1818" s="22"/>
      <c r="GD1818" s="22"/>
      <c r="GE1818" s="22"/>
      <c r="GF1818" s="22"/>
      <c r="GG1818" s="22"/>
      <c r="GH1818" s="22"/>
      <c r="GI1818" s="22"/>
      <c r="GJ1818" s="22"/>
      <c r="GK1818" s="22"/>
      <c r="GL1818" s="22"/>
      <c r="GM1818" s="22"/>
      <c r="GN1818" s="22"/>
      <c r="GO1818" s="22"/>
      <c r="GP1818" s="22"/>
      <c r="GQ1818" s="22"/>
      <c r="GR1818" s="22"/>
      <c r="GS1818" s="22"/>
      <c r="GT1818" s="22"/>
      <c r="GU1818" s="22"/>
      <c r="GV1818" s="22"/>
      <c r="GW1818" s="22"/>
      <c r="GX1818" s="22"/>
      <c r="GY1818" s="22"/>
      <c r="GZ1818" s="22"/>
      <c r="HA1818" s="22"/>
      <c r="HB1818" s="22"/>
      <c r="HC1818" s="22"/>
      <c r="HD1818" s="22"/>
      <c r="HE1818" s="22"/>
      <c r="HF1818" s="22"/>
      <c r="HG1818" s="22"/>
      <c r="HH1818" s="22"/>
      <c r="HI1818" s="22"/>
      <c r="HJ1818" s="22"/>
      <c r="HK1818" s="22"/>
      <c r="HL1818" s="22"/>
      <c r="HM1818" s="22"/>
      <c r="HN1818" s="22"/>
      <c r="HO1818" s="22"/>
      <c r="HP1818" s="22"/>
      <c r="HQ1818" s="22"/>
      <c r="HR1818" s="22"/>
      <c r="HS1818" s="22"/>
      <c r="HT1818" s="22"/>
      <c r="HU1818" s="22"/>
      <c r="HV1818" s="22"/>
      <c r="HW1818" s="22"/>
      <c r="HX1818" s="22"/>
      <c r="HY1818" s="22"/>
      <c r="HZ1818" s="22"/>
      <c r="IA1818" s="22"/>
      <c r="IB1818" s="22"/>
      <c r="IC1818" s="22"/>
      <c r="ID1818" s="22"/>
      <c r="IE1818" s="22"/>
      <c r="IF1818" s="22"/>
      <c r="IG1818" s="22"/>
      <c r="IH1818" s="22"/>
      <c r="II1818" s="22"/>
      <c r="IJ1818" s="22"/>
      <c r="IK1818" s="22"/>
      <c r="IL1818" s="22"/>
      <c r="IM1818" s="22"/>
      <c r="IN1818" s="22"/>
      <c r="IO1818" s="22"/>
    </row>
    <row r="1819" spans="1:249" ht="33">
      <c r="A1819" s="102"/>
      <c r="B1819" s="10"/>
      <c r="C1819" s="102">
        <v>3</v>
      </c>
      <c r="D1819" s="628" t="s">
        <v>34</v>
      </c>
      <c r="E1819" s="628" t="s">
        <v>39</v>
      </c>
      <c r="F1819" s="628" t="s">
        <v>28</v>
      </c>
      <c r="G1819" s="628" t="s">
        <v>74</v>
      </c>
      <c r="H1819" s="628" t="s">
        <v>346</v>
      </c>
      <c r="I1819" s="8" t="s">
        <v>600</v>
      </c>
      <c r="J1819" s="6" t="s">
        <v>3279</v>
      </c>
      <c r="K1819" s="8">
        <v>20</v>
      </c>
      <c r="L1819" s="826">
        <v>662667556</v>
      </c>
      <c r="M1819" s="514">
        <v>8</v>
      </c>
      <c r="N1819" s="826">
        <v>346443989</v>
      </c>
      <c r="O1819" s="8">
        <v>4</v>
      </c>
      <c r="P1819" s="828">
        <v>134207800</v>
      </c>
      <c r="Q1819" s="503">
        <v>1</v>
      </c>
      <c r="R1819" s="828">
        <v>23844450</v>
      </c>
      <c r="S1819" s="8"/>
      <c r="T1819" s="25">
        <v>66217250</v>
      </c>
      <c r="U1819" s="8"/>
      <c r="V1819" s="1247"/>
      <c r="W1819" s="8"/>
      <c r="X1819" s="829"/>
      <c r="Y1819" s="837">
        <f t="shared" si="521"/>
        <v>1</v>
      </c>
      <c r="Z1819" s="830">
        <f t="shared" si="522"/>
        <v>90061700</v>
      </c>
      <c r="AA1819" s="792">
        <f t="shared" si="523"/>
        <v>9</v>
      </c>
      <c r="AB1819" s="25">
        <f t="shared" si="524"/>
        <v>436505689</v>
      </c>
      <c r="AC1819" s="827">
        <f t="shared" si="525"/>
        <v>45</v>
      </c>
      <c r="AD1819" s="827">
        <f t="shared" si="526"/>
        <v>65.870991426657383</v>
      </c>
      <c r="AE1819" s="102"/>
    </row>
    <row r="1820" spans="1:249" ht="49.5">
      <c r="A1820" s="102"/>
      <c r="B1820" s="10"/>
      <c r="C1820" s="102">
        <v>3</v>
      </c>
      <c r="D1820" s="628" t="s">
        <v>34</v>
      </c>
      <c r="E1820" s="628" t="s">
        <v>39</v>
      </c>
      <c r="F1820" s="628" t="s">
        <v>28</v>
      </c>
      <c r="G1820" s="628" t="s">
        <v>74</v>
      </c>
      <c r="H1820" s="628" t="s">
        <v>601</v>
      </c>
      <c r="I1820" s="8" t="s">
        <v>602</v>
      </c>
      <c r="J1820" s="6" t="s">
        <v>3280</v>
      </c>
      <c r="K1820" s="8">
        <v>5</v>
      </c>
      <c r="L1820" s="826">
        <v>79551516</v>
      </c>
      <c r="M1820" s="514">
        <v>2</v>
      </c>
      <c r="N1820" s="826">
        <v>166315100</v>
      </c>
      <c r="O1820" s="8">
        <v>1</v>
      </c>
      <c r="P1820" s="828">
        <v>301890000</v>
      </c>
      <c r="Q1820" s="503">
        <v>0</v>
      </c>
      <c r="R1820" s="828">
        <v>10985400</v>
      </c>
      <c r="S1820" s="8"/>
      <c r="T1820" s="25">
        <v>30338600</v>
      </c>
      <c r="U1820" s="8"/>
      <c r="V1820" s="1247"/>
      <c r="W1820" s="8"/>
      <c r="X1820" s="829"/>
      <c r="Y1820" s="837">
        <f t="shared" si="521"/>
        <v>0</v>
      </c>
      <c r="Z1820" s="830">
        <f t="shared" si="522"/>
        <v>41324000</v>
      </c>
      <c r="AA1820" s="792">
        <f t="shared" si="523"/>
        <v>2</v>
      </c>
      <c r="AB1820" s="25">
        <f t="shared" si="524"/>
        <v>207639100</v>
      </c>
      <c r="AC1820" s="827">
        <f t="shared" si="525"/>
        <v>40</v>
      </c>
      <c r="AD1820" s="827">
        <f t="shared" si="526"/>
        <v>261.01212200657494</v>
      </c>
      <c r="AE1820" s="102"/>
      <c r="AF1820" s="201"/>
      <c r="AG1820" s="201"/>
      <c r="AH1820" s="201"/>
      <c r="AI1820" s="201"/>
      <c r="AJ1820" s="201"/>
      <c r="AK1820" s="201"/>
      <c r="AL1820" s="201"/>
      <c r="AM1820" s="201"/>
      <c r="AN1820" s="201"/>
      <c r="AO1820" s="201"/>
      <c r="AP1820" s="201"/>
      <c r="AQ1820" s="201"/>
      <c r="AR1820" s="201"/>
      <c r="AS1820" s="201"/>
      <c r="AT1820" s="201"/>
      <c r="AU1820" s="201"/>
      <c r="AV1820" s="201"/>
      <c r="AW1820" s="201"/>
      <c r="AX1820" s="201"/>
      <c r="AY1820" s="201"/>
      <c r="AZ1820" s="201"/>
      <c r="BA1820" s="201"/>
      <c r="BB1820" s="201"/>
      <c r="BC1820" s="20"/>
      <c r="BD1820" s="20"/>
      <c r="BE1820" s="20"/>
      <c r="BF1820" s="20"/>
      <c r="BG1820" s="20"/>
      <c r="BH1820" s="20"/>
      <c r="BI1820" s="20"/>
      <c r="BJ1820" s="20"/>
      <c r="BK1820" s="20"/>
      <c r="BL1820" s="20"/>
      <c r="BM1820" s="20"/>
      <c r="BN1820" s="20"/>
      <c r="BO1820" s="20"/>
      <c r="BP1820" s="20"/>
      <c r="BQ1820" s="20"/>
      <c r="BR1820" s="20"/>
      <c r="BS1820" s="20"/>
      <c r="BT1820" s="20"/>
      <c r="BU1820" s="20"/>
      <c r="BV1820" s="20"/>
      <c r="BW1820" s="20"/>
      <c r="BX1820" s="20"/>
      <c r="BY1820" s="20"/>
      <c r="BZ1820" s="20"/>
      <c r="CA1820" s="20"/>
      <c r="CB1820" s="20"/>
      <c r="CC1820" s="20"/>
      <c r="CD1820" s="20"/>
      <c r="CE1820" s="20"/>
      <c r="CF1820" s="20"/>
      <c r="CG1820" s="20"/>
      <c r="CH1820" s="20"/>
      <c r="CI1820" s="20"/>
      <c r="CJ1820" s="20"/>
      <c r="CK1820" s="20"/>
      <c r="CL1820" s="20"/>
      <c r="CM1820" s="20"/>
      <c r="CN1820" s="20"/>
      <c r="CO1820" s="20"/>
      <c r="CP1820" s="20"/>
      <c r="CQ1820" s="20"/>
      <c r="CR1820" s="20"/>
      <c r="CS1820" s="20"/>
      <c r="CT1820" s="20"/>
      <c r="CU1820" s="20"/>
      <c r="CV1820" s="20"/>
      <c r="CW1820" s="20"/>
      <c r="CX1820" s="20"/>
      <c r="CY1820" s="20"/>
      <c r="CZ1820" s="20"/>
      <c r="DA1820" s="20"/>
      <c r="DB1820" s="20"/>
      <c r="DC1820" s="20"/>
      <c r="DD1820" s="20"/>
      <c r="DE1820" s="20"/>
      <c r="DF1820" s="20"/>
      <c r="DG1820" s="20"/>
      <c r="DH1820" s="20"/>
      <c r="DI1820" s="20"/>
      <c r="DJ1820" s="20"/>
      <c r="DK1820" s="20"/>
      <c r="DL1820" s="20"/>
      <c r="DM1820" s="20"/>
      <c r="DN1820" s="20"/>
      <c r="DO1820" s="20"/>
      <c r="DP1820" s="20"/>
      <c r="DQ1820" s="20"/>
      <c r="DR1820" s="20"/>
      <c r="DS1820" s="20"/>
      <c r="DT1820" s="20"/>
      <c r="DU1820" s="20"/>
      <c r="DV1820" s="20"/>
      <c r="DW1820" s="20"/>
      <c r="DX1820" s="20"/>
      <c r="DY1820" s="20"/>
      <c r="DZ1820" s="20"/>
      <c r="EA1820" s="20"/>
      <c r="EB1820" s="20"/>
      <c r="EC1820" s="20"/>
      <c r="ED1820" s="20"/>
      <c r="EE1820" s="20"/>
      <c r="EF1820" s="20"/>
      <c r="EG1820" s="20"/>
      <c r="EH1820" s="20"/>
      <c r="EI1820" s="20"/>
      <c r="EJ1820" s="20"/>
      <c r="EK1820" s="20"/>
      <c r="EL1820" s="20"/>
      <c r="EM1820" s="20"/>
      <c r="EN1820" s="20"/>
      <c r="EO1820" s="20"/>
      <c r="EP1820" s="20"/>
      <c r="EQ1820" s="20"/>
      <c r="ER1820" s="20"/>
      <c r="ES1820" s="20"/>
      <c r="ET1820" s="20"/>
      <c r="EU1820" s="20"/>
      <c r="EV1820" s="20"/>
      <c r="EW1820" s="20"/>
      <c r="EX1820" s="20"/>
      <c r="EY1820" s="20"/>
      <c r="EZ1820" s="20"/>
      <c r="FA1820" s="20"/>
      <c r="FB1820" s="20"/>
      <c r="FC1820" s="20"/>
      <c r="FD1820" s="20"/>
      <c r="FE1820" s="20"/>
      <c r="FF1820" s="20"/>
      <c r="FG1820" s="20"/>
      <c r="FH1820" s="20"/>
      <c r="FI1820" s="20"/>
      <c r="FJ1820" s="20"/>
      <c r="FK1820" s="20"/>
      <c r="FL1820" s="20"/>
      <c r="FM1820" s="20"/>
      <c r="FN1820" s="20"/>
      <c r="FO1820" s="20"/>
      <c r="FP1820" s="20"/>
      <c r="FQ1820" s="20"/>
      <c r="FR1820" s="20"/>
      <c r="FS1820" s="20"/>
      <c r="FT1820" s="20"/>
      <c r="FU1820" s="20"/>
      <c r="FV1820" s="20"/>
      <c r="FW1820" s="20"/>
      <c r="FX1820" s="20"/>
      <c r="FY1820" s="20"/>
      <c r="FZ1820" s="20"/>
      <c r="GA1820" s="20"/>
      <c r="GB1820" s="20"/>
      <c r="GC1820" s="20"/>
      <c r="GD1820" s="20"/>
      <c r="GE1820" s="20"/>
      <c r="GF1820" s="20"/>
      <c r="GG1820" s="20"/>
      <c r="GH1820" s="20"/>
      <c r="GI1820" s="20"/>
      <c r="GJ1820" s="20"/>
      <c r="GK1820" s="20"/>
      <c r="GL1820" s="20"/>
      <c r="GM1820" s="20"/>
      <c r="GN1820" s="20"/>
      <c r="GO1820" s="20"/>
      <c r="GP1820" s="20"/>
      <c r="GQ1820" s="20"/>
      <c r="GR1820" s="20"/>
      <c r="GS1820" s="20"/>
      <c r="GT1820" s="20"/>
      <c r="GU1820" s="20"/>
      <c r="GV1820" s="20"/>
      <c r="GW1820" s="20"/>
      <c r="GX1820" s="20"/>
      <c r="GY1820" s="20"/>
      <c r="GZ1820" s="20"/>
      <c r="HA1820" s="20"/>
      <c r="HB1820" s="20"/>
      <c r="HC1820" s="20"/>
      <c r="HD1820" s="20"/>
      <c r="HE1820" s="20"/>
      <c r="HF1820" s="20"/>
      <c r="HG1820" s="20"/>
      <c r="HH1820" s="20"/>
      <c r="HI1820" s="20"/>
      <c r="HJ1820" s="20"/>
      <c r="HK1820" s="20"/>
      <c r="HL1820" s="20"/>
      <c r="HM1820" s="20"/>
      <c r="HN1820" s="20"/>
      <c r="HO1820" s="20"/>
      <c r="HP1820" s="20"/>
      <c r="HQ1820" s="20"/>
      <c r="HR1820" s="20"/>
      <c r="HS1820" s="20"/>
      <c r="HT1820" s="20"/>
      <c r="HU1820" s="20"/>
      <c r="HV1820" s="20"/>
      <c r="HW1820" s="20"/>
      <c r="HX1820" s="20"/>
      <c r="HY1820" s="20"/>
      <c r="HZ1820" s="20"/>
      <c r="IA1820" s="20"/>
      <c r="IB1820" s="20"/>
      <c r="IC1820" s="20"/>
      <c r="ID1820" s="20"/>
      <c r="IE1820" s="20"/>
      <c r="IF1820" s="20"/>
      <c r="IG1820" s="20"/>
      <c r="IH1820" s="20"/>
      <c r="II1820" s="20"/>
      <c r="IJ1820" s="20"/>
      <c r="IK1820" s="20"/>
      <c r="IL1820" s="20"/>
      <c r="IM1820" s="20"/>
      <c r="IN1820" s="20"/>
      <c r="IO1820" s="20"/>
    </row>
    <row r="1821" spans="1:249" ht="49.5">
      <c r="A1821" s="102"/>
      <c r="B1821" s="10"/>
      <c r="C1821" s="102">
        <v>3</v>
      </c>
      <c r="D1821" s="628" t="s">
        <v>34</v>
      </c>
      <c r="E1821" s="628" t="s">
        <v>39</v>
      </c>
      <c r="F1821" s="628" t="s">
        <v>28</v>
      </c>
      <c r="G1821" s="628" t="s">
        <v>74</v>
      </c>
      <c r="H1821" s="628" t="s">
        <v>603</v>
      </c>
      <c r="I1821" s="8" t="s">
        <v>604</v>
      </c>
      <c r="J1821" s="6" t="s">
        <v>3281</v>
      </c>
      <c r="K1821" s="8">
        <v>5</v>
      </c>
      <c r="L1821" s="826">
        <v>1780479099</v>
      </c>
      <c r="M1821" s="514">
        <v>2</v>
      </c>
      <c r="N1821" s="826">
        <v>1128414716</v>
      </c>
      <c r="O1821" s="8">
        <v>1</v>
      </c>
      <c r="P1821" s="828">
        <v>271671200</v>
      </c>
      <c r="Q1821" s="828">
        <v>1</v>
      </c>
      <c r="R1821" s="828">
        <v>239365250</v>
      </c>
      <c r="S1821" s="8"/>
      <c r="T1821" s="25">
        <v>248303650</v>
      </c>
      <c r="U1821" s="8"/>
      <c r="V1821" s="1247"/>
      <c r="W1821" s="8"/>
      <c r="X1821" s="829"/>
      <c r="Y1821" s="837">
        <f t="shared" si="521"/>
        <v>1</v>
      </c>
      <c r="Z1821" s="830">
        <f t="shared" si="522"/>
        <v>487668900</v>
      </c>
      <c r="AA1821" s="792">
        <f t="shared" si="523"/>
        <v>3</v>
      </c>
      <c r="AB1821" s="25">
        <f t="shared" si="524"/>
        <v>1616083616</v>
      </c>
      <c r="AC1821" s="827">
        <f t="shared" si="525"/>
        <v>60</v>
      </c>
      <c r="AD1821" s="827">
        <f t="shared" si="526"/>
        <v>90.766783890227515</v>
      </c>
      <c r="AE1821" s="102"/>
      <c r="AF1821" s="750"/>
      <c r="AG1821" s="750"/>
      <c r="AH1821" s="750"/>
      <c r="AI1821" s="750"/>
      <c r="AJ1821" s="750"/>
      <c r="AK1821" s="750"/>
      <c r="AL1821" s="750"/>
      <c r="AM1821" s="750"/>
      <c r="AN1821" s="750"/>
      <c r="AO1821" s="750"/>
      <c r="AP1821" s="750"/>
      <c r="AQ1821" s="750"/>
      <c r="AR1821" s="750"/>
      <c r="AS1821" s="750"/>
      <c r="AT1821" s="750"/>
      <c r="AU1821" s="750"/>
      <c r="AV1821" s="750"/>
      <c r="AW1821" s="750"/>
      <c r="AX1821" s="750"/>
      <c r="AY1821" s="750"/>
      <c r="AZ1821" s="750"/>
      <c r="BA1821" s="750"/>
      <c r="BB1821" s="750"/>
      <c r="BC1821" s="752"/>
      <c r="BD1821" s="752"/>
      <c r="BE1821" s="752"/>
      <c r="BF1821" s="752"/>
      <c r="BG1821" s="752"/>
      <c r="BH1821" s="752"/>
      <c r="BI1821" s="752"/>
      <c r="BJ1821" s="752"/>
      <c r="BK1821" s="752"/>
      <c r="BL1821" s="752"/>
      <c r="BM1821" s="752"/>
      <c r="BN1821" s="752"/>
      <c r="BO1821" s="752"/>
      <c r="BP1821" s="752"/>
      <c r="BQ1821" s="752"/>
      <c r="BR1821" s="752"/>
      <c r="BS1821" s="752"/>
      <c r="BT1821" s="752"/>
      <c r="BU1821" s="752"/>
      <c r="BV1821" s="752"/>
      <c r="BW1821" s="752"/>
      <c r="BX1821" s="752"/>
      <c r="BY1821" s="752"/>
      <c r="BZ1821" s="752"/>
      <c r="CA1821" s="752"/>
      <c r="CB1821" s="752"/>
      <c r="CC1821" s="752"/>
      <c r="CD1821" s="752"/>
      <c r="CE1821" s="752"/>
      <c r="CF1821" s="752"/>
      <c r="CG1821" s="752"/>
      <c r="CH1821" s="752"/>
      <c r="CI1821" s="752"/>
      <c r="CJ1821" s="752"/>
      <c r="CK1821" s="752"/>
      <c r="CL1821" s="752"/>
      <c r="CM1821" s="752"/>
      <c r="CN1821" s="752"/>
      <c r="CO1821" s="752"/>
      <c r="CP1821" s="752"/>
      <c r="CQ1821" s="752"/>
      <c r="CR1821" s="752"/>
      <c r="CS1821" s="752"/>
      <c r="CT1821" s="752"/>
      <c r="CU1821" s="752"/>
      <c r="CV1821" s="752"/>
      <c r="CW1821" s="752"/>
      <c r="CX1821" s="752"/>
      <c r="CY1821" s="752"/>
      <c r="CZ1821" s="752"/>
      <c r="DA1821" s="752"/>
      <c r="DB1821" s="752"/>
      <c r="DC1821" s="752"/>
      <c r="DD1821" s="752"/>
      <c r="DE1821" s="752"/>
      <c r="DF1821" s="752"/>
      <c r="DG1821" s="752"/>
      <c r="DH1821" s="752"/>
      <c r="DI1821" s="752"/>
      <c r="DJ1821" s="752"/>
      <c r="DK1821" s="752"/>
      <c r="DL1821" s="752"/>
      <c r="DM1821" s="752"/>
      <c r="DN1821" s="752"/>
      <c r="DO1821" s="752"/>
      <c r="DP1821" s="752"/>
      <c r="DQ1821" s="752"/>
      <c r="DR1821" s="752"/>
      <c r="DS1821" s="752"/>
      <c r="DT1821" s="752"/>
      <c r="DU1821" s="752"/>
      <c r="DV1821" s="752"/>
      <c r="DW1821" s="752"/>
      <c r="DX1821" s="752"/>
      <c r="DY1821" s="752"/>
      <c r="DZ1821" s="752"/>
      <c r="EA1821" s="752"/>
      <c r="EB1821" s="752"/>
      <c r="EC1821" s="752"/>
      <c r="ED1821" s="752"/>
      <c r="EE1821" s="752"/>
      <c r="EF1821" s="752"/>
      <c r="EG1821" s="752"/>
      <c r="EH1821" s="752"/>
      <c r="EI1821" s="752"/>
      <c r="EJ1821" s="752"/>
      <c r="EK1821" s="752"/>
      <c r="EL1821" s="752"/>
      <c r="EM1821" s="752"/>
      <c r="EN1821" s="752"/>
      <c r="EO1821" s="752"/>
      <c r="EP1821" s="752"/>
      <c r="EQ1821" s="752"/>
      <c r="ER1821" s="752"/>
      <c r="ES1821" s="752"/>
      <c r="ET1821" s="752"/>
      <c r="EU1821" s="752"/>
      <c r="EV1821" s="752"/>
      <c r="EW1821" s="752"/>
      <c r="EX1821" s="752"/>
      <c r="EY1821" s="752"/>
      <c r="EZ1821" s="752"/>
      <c r="FA1821" s="752"/>
      <c r="FB1821" s="752"/>
      <c r="FC1821" s="752"/>
      <c r="FD1821" s="752"/>
      <c r="FE1821" s="752"/>
      <c r="FF1821" s="752"/>
      <c r="FG1821" s="752"/>
      <c r="FH1821" s="752"/>
      <c r="FI1821" s="752"/>
      <c r="FJ1821" s="752"/>
      <c r="FK1821" s="752"/>
      <c r="FL1821" s="752"/>
      <c r="FM1821" s="752"/>
      <c r="FN1821" s="752"/>
      <c r="FO1821" s="752"/>
      <c r="FP1821" s="752"/>
      <c r="FQ1821" s="752"/>
      <c r="FR1821" s="752"/>
      <c r="FS1821" s="752"/>
      <c r="FT1821" s="752"/>
      <c r="FU1821" s="752"/>
      <c r="FV1821" s="752"/>
      <c r="FW1821" s="752"/>
      <c r="FX1821" s="752"/>
      <c r="FY1821" s="752"/>
      <c r="FZ1821" s="752"/>
      <c r="GA1821" s="752"/>
      <c r="GB1821" s="752"/>
      <c r="GC1821" s="752"/>
      <c r="GD1821" s="752"/>
      <c r="GE1821" s="752"/>
      <c r="GF1821" s="752"/>
      <c r="GG1821" s="752"/>
      <c r="GH1821" s="752"/>
      <c r="GI1821" s="752"/>
      <c r="GJ1821" s="752"/>
      <c r="GK1821" s="752"/>
      <c r="GL1821" s="752"/>
      <c r="GM1821" s="752"/>
      <c r="GN1821" s="752"/>
      <c r="GO1821" s="752"/>
      <c r="GP1821" s="752"/>
      <c r="GQ1821" s="752"/>
      <c r="GR1821" s="752"/>
      <c r="GS1821" s="752"/>
      <c r="GT1821" s="752"/>
      <c r="GU1821" s="752"/>
      <c r="GV1821" s="752"/>
      <c r="GW1821" s="752"/>
      <c r="GX1821" s="752"/>
      <c r="GY1821" s="752"/>
      <c r="GZ1821" s="752"/>
      <c r="HA1821" s="752"/>
      <c r="HB1821" s="752"/>
      <c r="HC1821" s="752"/>
      <c r="HD1821" s="752"/>
      <c r="HE1821" s="752"/>
      <c r="HF1821" s="752"/>
      <c r="HG1821" s="752"/>
      <c r="HH1821" s="752"/>
      <c r="HI1821" s="752"/>
      <c r="HJ1821" s="752"/>
      <c r="HK1821" s="752"/>
      <c r="HL1821" s="752"/>
      <c r="HM1821" s="752"/>
      <c r="HN1821" s="752"/>
      <c r="HO1821" s="752"/>
      <c r="HP1821" s="752"/>
      <c r="HQ1821" s="752"/>
      <c r="HR1821" s="752"/>
      <c r="HS1821" s="752"/>
      <c r="HT1821" s="752"/>
      <c r="HU1821" s="752"/>
      <c r="HV1821" s="752"/>
      <c r="HW1821" s="752"/>
      <c r="HX1821" s="752"/>
      <c r="HY1821" s="752"/>
      <c r="HZ1821" s="752"/>
      <c r="IA1821" s="752"/>
      <c r="IB1821" s="752"/>
      <c r="IC1821" s="752"/>
      <c r="ID1821" s="752"/>
      <c r="IE1821" s="752"/>
      <c r="IF1821" s="752"/>
      <c r="IG1821" s="752"/>
      <c r="IH1821" s="752"/>
      <c r="II1821" s="752"/>
      <c r="IJ1821" s="752"/>
      <c r="IK1821" s="752"/>
      <c r="IL1821" s="752"/>
      <c r="IM1821" s="752"/>
      <c r="IN1821" s="752"/>
      <c r="IO1821" s="752"/>
    </row>
    <row r="1822" spans="1:249" ht="41.25" customHeight="1">
      <c r="A1822" s="102"/>
      <c r="B1822" s="10"/>
      <c r="C1822" s="102">
        <v>3</v>
      </c>
      <c r="D1822" s="628" t="s">
        <v>34</v>
      </c>
      <c r="E1822" s="628" t="s">
        <v>39</v>
      </c>
      <c r="F1822" s="628" t="s">
        <v>28</v>
      </c>
      <c r="G1822" s="628" t="s">
        <v>74</v>
      </c>
      <c r="H1822" s="628" t="s">
        <v>605</v>
      </c>
      <c r="I1822" s="8" t="s">
        <v>606</v>
      </c>
      <c r="J1822" s="6" t="s">
        <v>3282</v>
      </c>
      <c r="K1822" s="8">
        <v>1</v>
      </c>
      <c r="L1822" s="826">
        <f>P1822</f>
        <v>445811900</v>
      </c>
      <c r="M1822" s="514">
        <v>0</v>
      </c>
      <c r="N1822" s="826">
        <v>0</v>
      </c>
      <c r="O1822" s="8">
        <v>1</v>
      </c>
      <c r="P1822" s="828">
        <v>445811900</v>
      </c>
      <c r="Q1822" s="25">
        <v>0</v>
      </c>
      <c r="R1822" s="828">
        <v>0</v>
      </c>
      <c r="S1822" s="8"/>
      <c r="T1822" s="25">
        <v>0</v>
      </c>
      <c r="U1822" s="8"/>
      <c r="V1822" s="1247"/>
      <c r="W1822" s="8"/>
      <c r="X1822" s="829"/>
      <c r="Y1822" s="837">
        <f t="shared" si="521"/>
        <v>0</v>
      </c>
      <c r="Z1822" s="830">
        <f t="shared" si="522"/>
        <v>0</v>
      </c>
      <c r="AA1822" s="792">
        <f t="shared" si="523"/>
        <v>0</v>
      </c>
      <c r="AB1822" s="25">
        <f t="shared" si="524"/>
        <v>0</v>
      </c>
      <c r="AC1822" s="827">
        <f t="shared" si="525"/>
        <v>0</v>
      </c>
      <c r="AD1822" s="827">
        <f t="shared" si="526"/>
        <v>0</v>
      </c>
      <c r="AE1822" s="102"/>
      <c r="AF1822" s="200"/>
      <c r="AG1822" s="200"/>
      <c r="AH1822" s="200"/>
      <c r="AI1822" s="200"/>
      <c r="AJ1822" s="200"/>
      <c r="AK1822" s="200"/>
      <c r="AL1822" s="200"/>
      <c r="AM1822" s="200"/>
      <c r="AN1822" s="200"/>
      <c r="AO1822" s="200"/>
      <c r="AP1822" s="200"/>
      <c r="AQ1822" s="200"/>
      <c r="AR1822" s="200"/>
      <c r="AS1822" s="200"/>
      <c r="AT1822" s="200"/>
      <c r="AU1822" s="200"/>
      <c r="AV1822" s="200"/>
      <c r="AW1822" s="200"/>
      <c r="AX1822" s="200"/>
      <c r="AY1822" s="200"/>
      <c r="AZ1822" s="200"/>
      <c r="BA1822" s="200"/>
      <c r="BB1822" s="200"/>
      <c r="BC1822" s="970"/>
      <c r="BD1822" s="970"/>
      <c r="BE1822" s="970"/>
      <c r="BF1822" s="970"/>
      <c r="BG1822" s="970"/>
      <c r="BH1822" s="970"/>
      <c r="BI1822" s="970"/>
      <c r="BJ1822" s="970"/>
      <c r="BK1822" s="970"/>
      <c r="BL1822" s="970"/>
      <c r="BM1822" s="970"/>
      <c r="BN1822" s="970"/>
      <c r="BO1822" s="970"/>
      <c r="BP1822" s="970"/>
      <c r="BQ1822" s="970"/>
      <c r="BR1822" s="970"/>
      <c r="BS1822" s="970"/>
      <c r="BT1822" s="970"/>
      <c r="BU1822" s="970"/>
      <c r="BV1822" s="970"/>
      <c r="BW1822" s="970"/>
      <c r="BX1822" s="970"/>
      <c r="BY1822" s="970"/>
      <c r="BZ1822" s="970"/>
      <c r="CA1822" s="970"/>
      <c r="CB1822" s="970"/>
      <c r="CC1822" s="970"/>
      <c r="CD1822" s="970"/>
      <c r="CE1822" s="970"/>
      <c r="CF1822" s="970"/>
      <c r="CG1822" s="970"/>
      <c r="CH1822" s="970"/>
      <c r="CI1822" s="970"/>
      <c r="CJ1822" s="970"/>
      <c r="CK1822" s="970"/>
      <c r="CL1822" s="970"/>
      <c r="CM1822" s="970"/>
      <c r="CN1822" s="970"/>
      <c r="CO1822" s="970"/>
      <c r="CP1822" s="970"/>
      <c r="CQ1822" s="970"/>
      <c r="CR1822" s="970"/>
      <c r="CS1822" s="970"/>
      <c r="CT1822" s="970"/>
      <c r="CU1822" s="970"/>
      <c r="CV1822" s="970"/>
      <c r="CW1822" s="970"/>
      <c r="CX1822" s="970"/>
      <c r="CY1822" s="970"/>
      <c r="CZ1822" s="970"/>
      <c r="DA1822" s="970"/>
      <c r="DB1822" s="970"/>
      <c r="DC1822" s="970"/>
      <c r="DD1822" s="970"/>
      <c r="DE1822" s="970"/>
      <c r="DF1822" s="970"/>
      <c r="DG1822" s="970"/>
      <c r="DH1822" s="970"/>
      <c r="DI1822" s="970"/>
      <c r="DJ1822" s="970"/>
      <c r="DK1822" s="970"/>
      <c r="DL1822" s="970"/>
      <c r="DM1822" s="970"/>
      <c r="DN1822" s="970"/>
      <c r="DO1822" s="970"/>
      <c r="DP1822" s="970"/>
      <c r="DQ1822" s="970"/>
      <c r="DR1822" s="970"/>
      <c r="DS1822" s="970"/>
      <c r="DT1822" s="970"/>
      <c r="DU1822" s="970"/>
      <c r="DV1822" s="970"/>
      <c r="DW1822" s="970"/>
      <c r="DX1822" s="970"/>
      <c r="DY1822" s="970"/>
      <c r="DZ1822" s="970"/>
      <c r="EA1822" s="970"/>
      <c r="EB1822" s="970"/>
      <c r="EC1822" s="970"/>
      <c r="ED1822" s="970"/>
      <c r="EE1822" s="970"/>
      <c r="EF1822" s="970"/>
      <c r="EG1822" s="970"/>
      <c r="EH1822" s="970"/>
      <c r="EI1822" s="970"/>
      <c r="EJ1822" s="970"/>
      <c r="EK1822" s="970"/>
      <c r="EL1822" s="970"/>
      <c r="EM1822" s="970"/>
      <c r="EN1822" s="970"/>
      <c r="EO1822" s="970"/>
      <c r="EP1822" s="970"/>
      <c r="EQ1822" s="970"/>
      <c r="ER1822" s="970"/>
      <c r="ES1822" s="970"/>
      <c r="ET1822" s="970"/>
      <c r="EU1822" s="970"/>
      <c r="EV1822" s="970"/>
      <c r="EW1822" s="970"/>
      <c r="EX1822" s="970"/>
      <c r="EY1822" s="970"/>
      <c r="EZ1822" s="970"/>
      <c r="FA1822" s="970"/>
      <c r="FB1822" s="970"/>
      <c r="FC1822" s="970"/>
      <c r="FD1822" s="970"/>
      <c r="FE1822" s="970"/>
      <c r="FF1822" s="970"/>
      <c r="FG1822" s="970"/>
      <c r="FH1822" s="970"/>
      <c r="FI1822" s="970"/>
      <c r="FJ1822" s="970"/>
      <c r="FK1822" s="970"/>
      <c r="FL1822" s="970"/>
      <c r="FM1822" s="970"/>
      <c r="FN1822" s="970"/>
      <c r="FO1822" s="970"/>
      <c r="FP1822" s="970"/>
      <c r="FQ1822" s="970"/>
      <c r="FR1822" s="970"/>
      <c r="FS1822" s="970"/>
      <c r="FT1822" s="970"/>
      <c r="FU1822" s="970"/>
      <c r="FV1822" s="970"/>
      <c r="FW1822" s="970"/>
      <c r="FX1822" s="970"/>
      <c r="FY1822" s="970"/>
      <c r="FZ1822" s="970"/>
      <c r="GA1822" s="970"/>
      <c r="GB1822" s="970"/>
      <c r="GC1822" s="970"/>
      <c r="GD1822" s="970"/>
      <c r="GE1822" s="970"/>
      <c r="GF1822" s="970"/>
      <c r="GG1822" s="970"/>
      <c r="GH1822" s="970"/>
      <c r="GI1822" s="970"/>
      <c r="GJ1822" s="970"/>
      <c r="GK1822" s="970"/>
      <c r="GL1822" s="970"/>
      <c r="GM1822" s="970"/>
      <c r="GN1822" s="970"/>
      <c r="GO1822" s="970"/>
      <c r="GP1822" s="970"/>
      <c r="GQ1822" s="970"/>
      <c r="GR1822" s="970"/>
      <c r="GS1822" s="970"/>
      <c r="GT1822" s="970"/>
      <c r="GU1822" s="970"/>
      <c r="GV1822" s="970"/>
      <c r="GW1822" s="970"/>
      <c r="GX1822" s="970"/>
      <c r="GY1822" s="970"/>
      <c r="GZ1822" s="970"/>
      <c r="HA1822" s="970"/>
      <c r="HB1822" s="970"/>
      <c r="HC1822" s="970"/>
      <c r="HD1822" s="970"/>
      <c r="HE1822" s="970"/>
      <c r="HF1822" s="970"/>
      <c r="HG1822" s="970"/>
      <c r="HH1822" s="970"/>
      <c r="HI1822" s="970"/>
      <c r="HJ1822" s="970"/>
      <c r="HK1822" s="970"/>
      <c r="HL1822" s="970"/>
      <c r="HM1822" s="970"/>
      <c r="HN1822" s="970"/>
      <c r="HO1822" s="970"/>
      <c r="HP1822" s="970"/>
      <c r="HQ1822" s="970"/>
      <c r="HR1822" s="970"/>
      <c r="HS1822" s="970"/>
      <c r="HT1822" s="970"/>
      <c r="HU1822" s="970"/>
      <c r="HV1822" s="970"/>
      <c r="HW1822" s="970"/>
      <c r="HX1822" s="970"/>
      <c r="HY1822" s="970"/>
      <c r="HZ1822" s="970"/>
      <c r="IA1822" s="970"/>
      <c r="IB1822" s="970"/>
      <c r="IC1822" s="970"/>
      <c r="ID1822" s="970"/>
      <c r="IE1822" s="970"/>
      <c r="IF1822" s="970"/>
      <c r="IG1822" s="970"/>
      <c r="IH1822" s="970"/>
      <c r="II1822" s="970"/>
      <c r="IJ1822" s="970"/>
      <c r="IK1822" s="970"/>
      <c r="IL1822" s="970"/>
      <c r="IM1822" s="970"/>
      <c r="IN1822" s="970"/>
      <c r="IO1822" s="970"/>
    </row>
    <row r="1823" spans="1:249" ht="66">
      <c r="A1823" s="102"/>
      <c r="B1823" s="10"/>
      <c r="C1823" s="102">
        <v>3</v>
      </c>
      <c r="D1823" s="628" t="s">
        <v>34</v>
      </c>
      <c r="E1823" s="628" t="s">
        <v>39</v>
      </c>
      <c r="F1823" s="628" t="s">
        <v>28</v>
      </c>
      <c r="G1823" s="628" t="s">
        <v>74</v>
      </c>
      <c r="H1823" s="628" t="s">
        <v>607</v>
      </c>
      <c r="I1823" s="8" t="s">
        <v>608</v>
      </c>
      <c r="J1823" s="8" t="s">
        <v>3283</v>
      </c>
      <c r="K1823" s="8">
        <v>36</v>
      </c>
      <c r="L1823" s="826">
        <f>3*P1823</f>
        <v>971714190</v>
      </c>
      <c r="M1823" s="514">
        <v>0</v>
      </c>
      <c r="N1823" s="826">
        <v>0</v>
      </c>
      <c r="O1823" s="8">
        <v>12</v>
      </c>
      <c r="P1823" s="828">
        <v>323904730</v>
      </c>
      <c r="Q1823" s="503">
        <v>3</v>
      </c>
      <c r="R1823" s="828">
        <v>61648450</v>
      </c>
      <c r="S1823" s="8"/>
      <c r="T1823" s="25">
        <v>128726450</v>
      </c>
      <c r="U1823" s="8"/>
      <c r="V1823" s="1247"/>
      <c r="W1823" s="8"/>
      <c r="X1823" s="829"/>
      <c r="Y1823" s="837">
        <f t="shared" si="521"/>
        <v>3</v>
      </c>
      <c r="Z1823" s="830">
        <f t="shared" si="522"/>
        <v>190374900</v>
      </c>
      <c r="AA1823" s="792">
        <f t="shared" si="523"/>
        <v>3</v>
      </c>
      <c r="AB1823" s="25">
        <f t="shared" si="524"/>
        <v>190374900</v>
      </c>
      <c r="AC1823" s="827">
        <f t="shared" si="525"/>
        <v>8.3333333333333321</v>
      </c>
      <c r="AD1823" s="827">
        <f t="shared" si="526"/>
        <v>19.591655855102825</v>
      </c>
      <c r="AE1823" s="102"/>
      <c r="BR1823" s="752"/>
      <c r="BS1823" s="752"/>
      <c r="BT1823" s="752"/>
      <c r="BU1823" s="752"/>
      <c r="BV1823" s="752"/>
      <c r="BW1823" s="752"/>
      <c r="BX1823" s="752"/>
      <c r="BY1823" s="752"/>
      <c r="BZ1823" s="752"/>
      <c r="CA1823" s="752"/>
      <c r="CB1823" s="752"/>
      <c r="CC1823" s="752"/>
      <c r="CD1823" s="752"/>
      <c r="CE1823" s="752"/>
      <c r="CF1823" s="752"/>
      <c r="CG1823" s="752"/>
      <c r="CH1823" s="752"/>
      <c r="CI1823" s="752"/>
      <c r="CJ1823" s="752"/>
      <c r="CK1823" s="752"/>
      <c r="CL1823" s="752"/>
      <c r="CM1823" s="752"/>
      <c r="CN1823" s="752"/>
      <c r="CO1823" s="752"/>
      <c r="CP1823" s="752"/>
      <c r="CQ1823" s="752"/>
      <c r="CR1823" s="752"/>
      <c r="CS1823" s="752"/>
      <c r="CT1823" s="752"/>
      <c r="CU1823" s="752"/>
      <c r="CV1823" s="752"/>
      <c r="CW1823" s="752"/>
      <c r="CX1823" s="752"/>
      <c r="CY1823" s="752"/>
      <c r="CZ1823" s="752"/>
      <c r="DA1823" s="752"/>
      <c r="DB1823" s="752"/>
      <c r="DC1823" s="752"/>
      <c r="DD1823" s="752"/>
      <c r="DE1823" s="752"/>
      <c r="DF1823" s="752"/>
      <c r="DG1823" s="752"/>
      <c r="DH1823" s="752"/>
      <c r="DI1823" s="752"/>
      <c r="DJ1823" s="752"/>
      <c r="DK1823" s="752"/>
      <c r="DL1823" s="752"/>
      <c r="DM1823" s="752"/>
      <c r="DN1823" s="752"/>
      <c r="DO1823" s="752"/>
      <c r="DP1823" s="752"/>
      <c r="DQ1823" s="752"/>
      <c r="DR1823" s="752"/>
      <c r="DS1823" s="752"/>
      <c r="DT1823" s="752"/>
      <c r="DU1823" s="752"/>
      <c r="DV1823" s="752"/>
      <c r="DW1823" s="752"/>
      <c r="DX1823" s="752"/>
      <c r="DY1823" s="752"/>
      <c r="DZ1823" s="752"/>
      <c r="EA1823" s="752"/>
      <c r="EB1823" s="752"/>
      <c r="EC1823" s="752"/>
      <c r="ED1823" s="752"/>
      <c r="EE1823" s="752"/>
      <c r="EF1823" s="752"/>
      <c r="EG1823" s="752"/>
      <c r="EH1823" s="752"/>
      <c r="EI1823" s="752"/>
      <c r="EJ1823" s="752"/>
      <c r="EK1823" s="752"/>
      <c r="EL1823" s="752"/>
      <c r="EM1823" s="752"/>
      <c r="EN1823" s="752"/>
      <c r="EO1823" s="752"/>
      <c r="EP1823" s="752"/>
      <c r="EQ1823" s="752"/>
      <c r="ER1823" s="752"/>
      <c r="ES1823" s="752"/>
      <c r="ET1823" s="752"/>
      <c r="EU1823" s="752"/>
      <c r="EV1823" s="752"/>
      <c r="EW1823" s="752"/>
      <c r="EX1823" s="752"/>
      <c r="EY1823" s="752"/>
      <c r="EZ1823" s="752"/>
      <c r="FA1823" s="752"/>
      <c r="FB1823" s="752"/>
      <c r="FC1823" s="752"/>
      <c r="FD1823" s="752"/>
      <c r="FE1823" s="752"/>
      <c r="FF1823" s="752"/>
      <c r="FG1823" s="752"/>
      <c r="FH1823" s="752"/>
      <c r="FI1823" s="752"/>
      <c r="FJ1823" s="752"/>
      <c r="FK1823" s="752"/>
      <c r="FL1823" s="752"/>
      <c r="FM1823" s="752"/>
      <c r="FN1823" s="752"/>
      <c r="FO1823" s="752"/>
      <c r="FP1823" s="752"/>
      <c r="FQ1823" s="752"/>
      <c r="FR1823" s="752"/>
      <c r="FS1823" s="752"/>
      <c r="FT1823" s="752"/>
      <c r="FU1823" s="752"/>
      <c r="FV1823" s="752"/>
      <c r="FW1823" s="752"/>
      <c r="FX1823" s="752"/>
      <c r="FY1823" s="752"/>
      <c r="FZ1823" s="752"/>
      <c r="GA1823" s="752"/>
      <c r="GB1823" s="752"/>
      <c r="GC1823" s="752"/>
      <c r="GD1823" s="752"/>
      <c r="GE1823" s="752"/>
      <c r="GF1823" s="752"/>
      <c r="GG1823" s="752"/>
      <c r="GH1823" s="752"/>
      <c r="GI1823" s="752"/>
      <c r="GJ1823" s="752"/>
      <c r="GK1823" s="752"/>
      <c r="GL1823" s="752"/>
      <c r="GM1823" s="752"/>
      <c r="GN1823" s="752"/>
      <c r="GO1823" s="752"/>
      <c r="GP1823" s="752"/>
      <c r="GQ1823" s="752"/>
      <c r="GR1823" s="752"/>
      <c r="GS1823" s="752"/>
      <c r="GT1823" s="752"/>
      <c r="GU1823" s="752"/>
      <c r="GV1823" s="752"/>
      <c r="GW1823" s="752"/>
      <c r="GX1823" s="752"/>
      <c r="GY1823" s="752"/>
      <c r="GZ1823" s="752"/>
      <c r="HA1823" s="752"/>
      <c r="HB1823" s="752"/>
      <c r="HC1823" s="752"/>
      <c r="HD1823" s="752"/>
      <c r="HE1823" s="752"/>
      <c r="HF1823" s="752"/>
      <c r="HG1823" s="752"/>
      <c r="HH1823" s="752"/>
      <c r="HI1823" s="752"/>
      <c r="HJ1823" s="752"/>
      <c r="HK1823" s="752"/>
      <c r="HL1823" s="752"/>
      <c r="HM1823" s="752"/>
      <c r="HN1823" s="752"/>
      <c r="HO1823" s="752"/>
      <c r="HP1823" s="752"/>
      <c r="HQ1823" s="752"/>
      <c r="HR1823" s="752"/>
      <c r="HS1823" s="752"/>
      <c r="HT1823" s="752"/>
      <c r="HU1823" s="752"/>
      <c r="HV1823" s="752"/>
      <c r="HW1823" s="752"/>
      <c r="HX1823" s="752"/>
      <c r="HY1823" s="752"/>
      <c r="HZ1823" s="752"/>
      <c r="IA1823" s="752"/>
      <c r="IB1823" s="752"/>
      <c r="IC1823" s="752"/>
      <c r="ID1823" s="752"/>
      <c r="IE1823" s="752"/>
      <c r="IF1823" s="752"/>
      <c r="IG1823" s="752"/>
      <c r="IH1823" s="752"/>
      <c r="II1823" s="752"/>
      <c r="IJ1823" s="752"/>
      <c r="IK1823" s="752"/>
      <c r="IL1823" s="752"/>
      <c r="IM1823" s="752"/>
      <c r="IN1823" s="752"/>
      <c r="IO1823" s="752"/>
    </row>
    <row r="1824" spans="1:249" s="1235" customFormat="1" ht="21" customHeight="1">
      <c r="A1824" s="2857" t="s">
        <v>2239</v>
      </c>
      <c r="B1824" s="2857"/>
      <c r="C1824" s="2857"/>
      <c r="D1824" s="2857"/>
      <c r="E1824" s="2857"/>
      <c r="F1824" s="2857"/>
      <c r="G1824" s="2857"/>
      <c r="H1824" s="2857"/>
      <c r="I1824" s="2857"/>
      <c r="J1824" s="2857"/>
      <c r="K1824" s="2857"/>
      <c r="L1824" s="2857"/>
      <c r="M1824" s="2857"/>
      <c r="N1824" s="2857"/>
      <c r="O1824" s="2857"/>
      <c r="P1824" s="2857"/>
      <c r="Q1824" s="2857"/>
      <c r="R1824" s="2857"/>
      <c r="S1824" s="2857"/>
      <c r="T1824" s="2857"/>
      <c r="U1824" s="2857"/>
      <c r="V1824" s="2857"/>
      <c r="W1824" s="2857"/>
      <c r="X1824" s="2857"/>
      <c r="Y1824" s="2857"/>
      <c r="Z1824" s="2857"/>
      <c r="AA1824" s="2857"/>
      <c r="AB1824" s="2857"/>
      <c r="AC1824" s="1811">
        <f>(AC1785+AC1797+AC1805+AC1807+AC1809)/5</f>
        <v>41.580008580015786</v>
      </c>
      <c r="AD1824" s="1811">
        <f>(AD1785+AD1797+AD1805+AD1807+AD1809)/5</f>
        <v>49.668972124605389</v>
      </c>
      <c r="AE1824" s="131"/>
      <c r="AF1824" s="200"/>
      <c r="AG1824" s="200"/>
      <c r="AH1824" s="200"/>
      <c r="AI1824" s="200"/>
      <c r="AJ1824" s="200"/>
      <c r="AK1824" s="200"/>
      <c r="AL1824" s="200"/>
      <c r="AM1824" s="200"/>
      <c r="AN1824" s="200"/>
      <c r="AO1824" s="200"/>
      <c r="AP1824" s="200"/>
      <c r="AQ1824" s="200"/>
      <c r="AR1824" s="200"/>
      <c r="AS1824" s="200"/>
      <c r="AT1824" s="200"/>
      <c r="AU1824" s="200"/>
      <c r="AV1824" s="200"/>
      <c r="AW1824" s="200"/>
      <c r="AX1824" s="200"/>
      <c r="AY1824" s="200"/>
      <c r="AZ1824" s="200"/>
      <c r="BA1824" s="200"/>
      <c r="BB1824" s="200"/>
      <c r="BC1824" s="970"/>
      <c r="BD1824" s="970"/>
      <c r="BE1824" s="970"/>
      <c r="BF1824" s="970"/>
      <c r="BG1824" s="970"/>
      <c r="BH1824" s="970"/>
      <c r="BI1824" s="970"/>
      <c r="BJ1824" s="970"/>
      <c r="BK1824" s="970"/>
      <c r="BL1824" s="970"/>
      <c r="BM1824" s="970"/>
      <c r="BN1824" s="970"/>
      <c r="BO1824" s="970"/>
      <c r="BP1824" s="970"/>
      <c r="BQ1824" s="970"/>
      <c r="BR1824" s="970"/>
      <c r="BS1824" s="970"/>
      <c r="BT1824" s="970"/>
      <c r="BU1824" s="970"/>
      <c r="BV1824" s="970"/>
      <c r="BW1824" s="970"/>
      <c r="BX1824" s="970"/>
      <c r="BY1824" s="970"/>
      <c r="BZ1824" s="970"/>
      <c r="CA1824" s="970"/>
      <c r="CB1824" s="970"/>
      <c r="CC1824" s="970"/>
      <c r="CD1824" s="970"/>
      <c r="CE1824" s="970"/>
      <c r="CF1824" s="970"/>
      <c r="CG1824" s="970"/>
      <c r="CH1824" s="970"/>
      <c r="CI1824" s="970"/>
      <c r="CJ1824" s="970"/>
      <c r="CK1824" s="970"/>
      <c r="CL1824" s="970"/>
      <c r="CM1824" s="970"/>
      <c r="CN1824" s="970"/>
      <c r="CO1824" s="970"/>
      <c r="CP1824" s="970"/>
      <c r="CQ1824" s="970"/>
      <c r="CR1824" s="970"/>
      <c r="CS1824" s="970"/>
      <c r="CT1824" s="970"/>
      <c r="CU1824" s="970"/>
      <c r="CV1824" s="970"/>
      <c r="CW1824" s="970"/>
      <c r="CX1824" s="970"/>
      <c r="CY1824" s="970"/>
      <c r="CZ1824" s="970"/>
      <c r="DA1824" s="970"/>
      <c r="DB1824" s="970"/>
      <c r="DC1824" s="970"/>
      <c r="DD1824" s="970"/>
      <c r="DE1824" s="970"/>
      <c r="DF1824" s="970"/>
      <c r="DG1824" s="970"/>
      <c r="DH1824" s="970"/>
      <c r="DI1824" s="970"/>
      <c r="DJ1824" s="970"/>
      <c r="DK1824" s="970"/>
      <c r="DL1824" s="970"/>
      <c r="DM1824" s="970"/>
      <c r="DN1824" s="970"/>
      <c r="DO1824" s="970"/>
      <c r="DP1824" s="970"/>
      <c r="DQ1824" s="970"/>
      <c r="DR1824" s="970"/>
      <c r="DS1824" s="970"/>
      <c r="DT1824" s="970"/>
      <c r="DU1824" s="970"/>
      <c r="DV1824" s="970"/>
      <c r="DW1824" s="970"/>
      <c r="DX1824" s="970"/>
      <c r="DY1824" s="970"/>
      <c r="DZ1824" s="970"/>
      <c r="EA1824" s="970"/>
      <c r="EB1824" s="970"/>
      <c r="EC1824" s="970"/>
      <c r="ED1824" s="970"/>
      <c r="EE1824" s="970"/>
      <c r="EF1824" s="970"/>
      <c r="EG1824" s="970"/>
      <c r="EH1824" s="970"/>
      <c r="EI1824" s="970"/>
      <c r="EJ1824" s="970"/>
      <c r="EK1824" s="970"/>
      <c r="EL1824" s="970"/>
      <c r="EM1824" s="970"/>
      <c r="EN1824" s="970"/>
      <c r="EO1824" s="970"/>
      <c r="EP1824" s="970"/>
      <c r="EQ1824" s="970"/>
      <c r="ER1824" s="970"/>
      <c r="ES1824" s="970"/>
      <c r="ET1824" s="970"/>
      <c r="EU1824" s="970"/>
      <c r="EV1824" s="970"/>
      <c r="EW1824" s="970"/>
      <c r="EX1824" s="970"/>
      <c r="EY1824" s="970"/>
      <c r="EZ1824" s="970"/>
      <c r="FA1824" s="970"/>
      <c r="FB1824" s="970"/>
      <c r="FC1824" s="970"/>
      <c r="FD1824" s="970"/>
      <c r="FE1824" s="970"/>
      <c r="FF1824" s="970"/>
      <c r="FG1824" s="970"/>
      <c r="FH1824" s="970"/>
      <c r="FI1824" s="970"/>
      <c r="FJ1824" s="970"/>
      <c r="FK1824" s="970"/>
      <c r="FL1824" s="970"/>
      <c r="FM1824" s="970"/>
      <c r="FN1824" s="970"/>
      <c r="FO1824" s="970"/>
      <c r="FP1824" s="970"/>
      <c r="FQ1824" s="970"/>
      <c r="FR1824" s="970"/>
      <c r="FS1824" s="970"/>
      <c r="FT1824" s="970"/>
      <c r="FU1824" s="970"/>
      <c r="FV1824" s="970"/>
      <c r="FW1824" s="970"/>
      <c r="FX1824" s="970"/>
      <c r="FY1824" s="970"/>
      <c r="FZ1824" s="970"/>
      <c r="GA1824" s="970"/>
      <c r="GB1824" s="970"/>
      <c r="GC1824" s="970"/>
      <c r="GD1824" s="970"/>
      <c r="GE1824" s="970"/>
      <c r="GF1824" s="970"/>
      <c r="GG1824" s="970"/>
      <c r="GH1824" s="970"/>
      <c r="GI1824" s="970"/>
      <c r="GJ1824" s="970"/>
      <c r="GK1824" s="970"/>
      <c r="GL1824" s="970"/>
      <c r="GM1824" s="970"/>
      <c r="GN1824" s="970"/>
      <c r="GO1824" s="970"/>
      <c r="GP1824" s="970"/>
      <c r="GQ1824" s="970"/>
      <c r="GR1824" s="970"/>
      <c r="GS1824" s="970"/>
      <c r="GT1824" s="970"/>
      <c r="GU1824" s="970"/>
      <c r="GV1824" s="970"/>
      <c r="GW1824" s="970"/>
      <c r="GX1824" s="970"/>
      <c r="GY1824" s="970"/>
      <c r="GZ1824" s="970"/>
      <c r="HA1824" s="970"/>
      <c r="HB1824" s="970"/>
      <c r="HC1824" s="970"/>
      <c r="HD1824" s="970"/>
      <c r="HE1824" s="970"/>
      <c r="HF1824" s="970"/>
      <c r="HG1824" s="970"/>
      <c r="HH1824" s="970"/>
      <c r="HI1824" s="970"/>
      <c r="HJ1824" s="970"/>
      <c r="HK1824" s="970"/>
      <c r="HL1824" s="970"/>
      <c r="HM1824" s="970"/>
      <c r="HN1824" s="970"/>
      <c r="HO1824" s="970"/>
      <c r="HP1824" s="970"/>
      <c r="HQ1824" s="970"/>
      <c r="HR1824" s="970"/>
      <c r="HS1824" s="970"/>
      <c r="HT1824" s="970"/>
      <c r="HU1824" s="970"/>
      <c r="HV1824" s="970"/>
      <c r="HW1824" s="970"/>
      <c r="HX1824" s="970"/>
      <c r="HY1824" s="970"/>
      <c r="HZ1824" s="970"/>
      <c r="IA1824" s="970"/>
      <c r="IB1824" s="970"/>
      <c r="IC1824" s="970"/>
      <c r="ID1824" s="970"/>
      <c r="IE1824" s="970"/>
      <c r="IF1824" s="970"/>
      <c r="IG1824" s="970"/>
      <c r="IH1824" s="970"/>
      <c r="II1824" s="970"/>
      <c r="IJ1824" s="970"/>
      <c r="IK1824" s="970"/>
      <c r="IL1824" s="970"/>
      <c r="IM1824" s="970"/>
      <c r="IN1824" s="970"/>
      <c r="IO1824" s="970"/>
    </row>
    <row r="1825" spans="1:249" s="1235" customFormat="1" ht="24.75" customHeight="1">
      <c r="A1825" s="2580"/>
      <c r="B1825" s="1886"/>
      <c r="C1825" s="1887"/>
      <c r="D1825" s="1887"/>
      <c r="E1825" s="1887"/>
      <c r="F1825" s="1887"/>
      <c r="G1825" s="1887"/>
      <c r="H1825" s="1887"/>
      <c r="I1825" s="1886"/>
      <c r="J1825" s="1886"/>
      <c r="K1825" s="1886"/>
      <c r="L1825" s="1886"/>
      <c r="M1825" s="1886"/>
      <c r="N1825" s="1886"/>
      <c r="O1825" s="1886"/>
      <c r="P1825" s="1886"/>
      <c r="Q1825" s="1886"/>
      <c r="R1825" s="1886"/>
      <c r="S1825" s="1886"/>
      <c r="T1825" s="1886"/>
      <c r="U1825" s="1886"/>
      <c r="V1825" s="1886"/>
      <c r="W1825" s="1886"/>
      <c r="X1825" s="1886"/>
      <c r="Y1825" s="1886"/>
      <c r="Z1825" s="1886"/>
      <c r="AA1825" s="1886"/>
      <c r="AB1825" s="1888" t="s">
        <v>64</v>
      </c>
      <c r="AC1825" s="1861" t="str">
        <f>IF(AC1824&gt;=91,"ST",IF(AC1824&gt;=76,"T",IF(AC1824&gt;=66,"S",IF(AC1824&gt;=51,"R","SR"))))</f>
        <v>SR</v>
      </c>
      <c r="AD1825" s="1861" t="str">
        <f>IF(AD1824&gt;=91,"ST",IF(AD1824&gt;=76,"T",IF(AD1824&gt;=66,"S",IF(AD1824&gt;=51,"R","SR"))))</f>
        <v>SR</v>
      </c>
      <c r="AE1825" s="131"/>
      <c r="AF1825" s="200"/>
      <c r="AG1825" s="200"/>
      <c r="AH1825" s="200"/>
      <c r="AI1825" s="200"/>
      <c r="AJ1825" s="200"/>
      <c r="AK1825" s="200"/>
      <c r="AL1825" s="200"/>
      <c r="AM1825" s="200"/>
      <c r="AN1825" s="200"/>
      <c r="AO1825" s="200"/>
      <c r="AP1825" s="200"/>
      <c r="AQ1825" s="200"/>
      <c r="AR1825" s="200"/>
      <c r="AS1825" s="200"/>
      <c r="AT1825" s="200"/>
      <c r="AU1825" s="200"/>
      <c r="AV1825" s="200"/>
      <c r="AW1825" s="200"/>
      <c r="AX1825" s="200"/>
      <c r="AY1825" s="200"/>
      <c r="AZ1825" s="200"/>
      <c r="BA1825" s="200"/>
      <c r="BB1825" s="200"/>
      <c r="BC1825" s="970"/>
      <c r="BD1825" s="970"/>
      <c r="BE1825" s="970"/>
      <c r="BF1825" s="970"/>
      <c r="BG1825" s="970"/>
      <c r="BH1825" s="970"/>
      <c r="BI1825" s="970"/>
      <c r="BJ1825" s="970"/>
      <c r="BK1825" s="970"/>
      <c r="BL1825" s="970"/>
      <c r="BM1825" s="970"/>
      <c r="BN1825" s="970"/>
      <c r="BO1825" s="970"/>
      <c r="BP1825" s="970"/>
      <c r="BQ1825" s="970"/>
      <c r="BR1825" s="970"/>
      <c r="BS1825" s="970"/>
      <c r="BT1825" s="970"/>
      <c r="BU1825" s="970"/>
      <c r="BV1825" s="970"/>
      <c r="BW1825" s="970"/>
      <c r="BX1825" s="970"/>
      <c r="BY1825" s="970"/>
      <c r="BZ1825" s="970"/>
      <c r="CA1825" s="970"/>
      <c r="CB1825" s="970"/>
      <c r="CC1825" s="970"/>
      <c r="CD1825" s="970"/>
      <c r="CE1825" s="970"/>
      <c r="CF1825" s="970"/>
      <c r="CG1825" s="970"/>
      <c r="CH1825" s="970"/>
      <c r="CI1825" s="970"/>
      <c r="CJ1825" s="970"/>
      <c r="CK1825" s="970"/>
      <c r="CL1825" s="970"/>
      <c r="CM1825" s="970"/>
      <c r="CN1825" s="970"/>
      <c r="CO1825" s="970"/>
      <c r="CP1825" s="970"/>
      <c r="CQ1825" s="970"/>
      <c r="CR1825" s="970"/>
      <c r="CS1825" s="970"/>
      <c r="CT1825" s="970"/>
      <c r="CU1825" s="970"/>
      <c r="CV1825" s="970"/>
      <c r="CW1825" s="970"/>
      <c r="CX1825" s="970"/>
      <c r="CY1825" s="970"/>
      <c r="CZ1825" s="970"/>
      <c r="DA1825" s="970"/>
      <c r="DB1825" s="970"/>
      <c r="DC1825" s="970"/>
      <c r="DD1825" s="970"/>
      <c r="DE1825" s="970"/>
      <c r="DF1825" s="970"/>
      <c r="DG1825" s="970"/>
      <c r="DH1825" s="970"/>
      <c r="DI1825" s="970"/>
      <c r="DJ1825" s="970"/>
      <c r="DK1825" s="970"/>
      <c r="DL1825" s="970"/>
      <c r="DM1825" s="970"/>
      <c r="DN1825" s="970"/>
      <c r="DO1825" s="970"/>
      <c r="DP1825" s="970"/>
      <c r="DQ1825" s="970"/>
      <c r="DR1825" s="970"/>
      <c r="DS1825" s="970"/>
      <c r="DT1825" s="970"/>
      <c r="DU1825" s="970"/>
      <c r="DV1825" s="970"/>
      <c r="DW1825" s="970"/>
      <c r="DX1825" s="970"/>
      <c r="DY1825" s="970"/>
      <c r="DZ1825" s="970"/>
      <c r="EA1825" s="970"/>
      <c r="EB1825" s="970"/>
      <c r="EC1825" s="970"/>
      <c r="ED1825" s="970"/>
      <c r="EE1825" s="970"/>
      <c r="EF1825" s="970"/>
      <c r="EG1825" s="970"/>
      <c r="EH1825" s="970"/>
      <c r="EI1825" s="970"/>
      <c r="EJ1825" s="970"/>
      <c r="EK1825" s="970"/>
      <c r="EL1825" s="970"/>
      <c r="EM1825" s="970"/>
      <c r="EN1825" s="970"/>
      <c r="EO1825" s="970"/>
      <c r="EP1825" s="970"/>
      <c r="EQ1825" s="970"/>
      <c r="ER1825" s="970"/>
      <c r="ES1825" s="970"/>
      <c r="ET1825" s="970"/>
      <c r="EU1825" s="970"/>
      <c r="EV1825" s="970"/>
      <c r="EW1825" s="970"/>
      <c r="EX1825" s="970"/>
      <c r="EY1825" s="970"/>
      <c r="EZ1825" s="970"/>
      <c r="FA1825" s="970"/>
      <c r="FB1825" s="970"/>
      <c r="FC1825" s="970"/>
      <c r="FD1825" s="970"/>
      <c r="FE1825" s="970"/>
      <c r="FF1825" s="970"/>
      <c r="FG1825" s="970"/>
      <c r="FH1825" s="970"/>
      <c r="FI1825" s="970"/>
      <c r="FJ1825" s="970"/>
      <c r="FK1825" s="970"/>
      <c r="FL1825" s="970"/>
      <c r="FM1825" s="970"/>
      <c r="FN1825" s="970"/>
      <c r="FO1825" s="970"/>
      <c r="FP1825" s="970"/>
      <c r="FQ1825" s="970"/>
      <c r="FR1825" s="970"/>
      <c r="FS1825" s="970"/>
      <c r="FT1825" s="970"/>
      <c r="FU1825" s="970"/>
      <c r="FV1825" s="970"/>
      <c r="FW1825" s="970"/>
      <c r="FX1825" s="970"/>
      <c r="FY1825" s="970"/>
      <c r="FZ1825" s="970"/>
      <c r="GA1825" s="970"/>
      <c r="GB1825" s="970"/>
      <c r="GC1825" s="970"/>
      <c r="GD1825" s="970"/>
      <c r="GE1825" s="970"/>
      <c r="GF1825" s="970"/>
      <c r="GG1825" s="970"/>
      <c r="GH1825" s="970"/>
      <c r="GI1825" s="970"/>
      <c r="GJ1825" s="970"/>
      <c r="GK1825" s="970"/>
      <c r="GL1825" s="970"/>
      <c r="GM1825" s="970"/>
      <c r="GN1825" s="970"/>
      <c r="GO1825" s="970"/>
      <c r="GP1825" s="970"/>
      <c r="GQ1825" s="970"/>
      <c r="GR1825" s="970"/>
      <c r="GS1825" s="970"/>
      <c r="GT1825" s="970"/>
      <c r="GU1825" s="970"/>
      <c r="GV1825" s="970"/>
      <c r="GW1825" s="970"/>
      <c r="GX1825" s="970"/>
      <c r="GY1825" s="970"/>
      <c r="GZ1825" s="970"/>
      <c r="HA1825" s="970"/>
      <c r="HB1825" s="970"/>
      <c r="HC1825" s="970"/>
      <c r="HD1825" s="970"/>
      <c r="HE1825" s="970"/>
      <c r="HF1825" s="970"/>
      <c r="HG1825" s="970"/>
      <c r="HH1825" s="970"/>
      <c r="HI1825" s="970"/>
      <c r="HJ1825" s="970"/>
      <c r="HK1825" s="970"/>
      <c r="HL1825" s="970"/>
      <c r="HM1825" s="970"/>
      <c r="HN1825" s="970"/>
      <c r="HO1825" s="970"/>
      <c r="HP1825" s="970"/>
      <c r="HQ1825" s="970"/>
      <c r="HR1825" s="970"/>
      <c r="HS1825" s="970"/>
      <c r="HT1825" s="970"/>
      <c r="HU1825" s="970"/>
      <c r="HV1825" s="970"/>
      <c r="HW1825" s="970"/>
      <c r="HX1825" s="970"/>
      <c r="HY1825" s="970"/>
      <c r="HZ1825" s="970"/>
      <c r="IA1825" s="970"/>
      <c r="IB1825" s="970"/>
      <c r="IC1825" s="970"/>
      <c r="ID1825" s="970"/>
      <c r="IE1825" s="970"/>
      <c r="IF1825" s="970"/>
      <c r="IG1825" s="970"/>
      <c r="IH1825" s="970"/>
      <c r="II1825" s="970"/>
      <c r="IJ1825" s="970"/>
      <c r="IK1825" s="970"/>
      <c r="IL1825" s="970"/>
      <c r="IM1825" s="970"/>
      <c r="IN1825" s="970"/>
      <c r="IO1825" s="970"/>
    </row>
    <row r="1826" spans="1:249" s="1235" customFormat="1" ht="28.5" customHeight="1">
      <c r="A1826" s="1867" t="s">
        <v>16</v>
      </c>
      <c r="B1826" s="1872"/>
      <c r="C1826" s="1867"/>
      <c r="D1826" s="1867"/>
      <c r="E1826" s="1867"/>
      <c r="F1826" s="1867"/>
      <c r="G1826" s="1867"/>
      <c r="H1826" s="1867"/>
      <c r="I1826" s="2734" t="s">
        <v>1760</v>
      </c>
      <c r="J1826" s="2735"/>
      <c r="K1826" s="1872"/>
      <c r="L1826" s="1868">
        <f>L1827+L1839+L1845+L1850+L1869</f>
        <v>23999850000</v>
      </c>
      <c r="M1826" s="1872"/>
      <c r="N1826" s="1868">
        <f>N1827+N1839+N1845+N1850+N1869</f>
        <v>9887835528</v>
      </c>
      <c r="O1826" s="1872"/>
      <c r="P1826" s="1868">
        <f>P1827+P1839+P1845+P1850+P1869</f>
        <v>4323149713</v>
      </c>
      <c r="Q1826" s="1872"/>
      <c r="R1826" s="1868">
        <f>R1827+R1839+R1845+R1850+R1869</f>
        <v>328972784</v>
      </c>
      <c r="S1826" s="1872"/>
      <c r="T1826" s="1868">
        <f>T1827+T1839+T1845+T1850+T1869</f>
        <v>1502923641</v>
      </c>
      <c r="U1826" s="1872"/>
      <c r="V1826" s="1868">
        <f>V1827+V1839+V1845+V1850+V1869</f>
        <v>0</v>
      </c>
      <c r="W1826" s="1872"/>
      <c r="X1826" s="1868">
        <f>X1827+X1839+X1845+X1850+X1869</f>
        <v>0</v>
      </c>
      <c r="Y1826" s="1867"/>
      <c r="Z1826" s="1889">
        <f>Z1827+Z1839+Z1845+Z1850+Z1869</f>
        <v>1831896425</v>
      </c>
      <c r="AA1826" s="1872"/>
      <c r="AB1826" s="1868">
        <f>AB1827+AB1839+AB1845+AB1850+AB1869</f>
        <v>11719731953</v>
      </c>
      <c r="AC1826" s="1872"/>
      <c r="AD1826" s="1872"/>
      <c r="AE1826" s="865"/>
      <c r="AF1826" s="200"/>
      <c r="AG1826" s="200"/>
      <c r="AH1826" s="200"/>
      <c r="AI1826" s="200"/>
      <c r="AJ1826" s="200"/>
      <c r="AK1826" s="200"/>
      <c r="AL1826" s="200"/>
      <c r="AM1826" s="200"/>
      <c r="AN1826" s="200"/>
      <c r="AO1826" s="200"/>
      <c r="AP1826" s="200"/>
      <c r="AQ1826" s="200"/>
      <c r="AR1826" s="200"/>
      <c r="AS1826" s="200"/>
      <c r="AT1826" s="200"/>
      <c r="AU1826" s="200"/>
      <c r="AV1826" s="200"/>
      <c r="AW1826" s="200"/>
      <c r="AX1826" s="200"/>
      <c r="AY1826" s="200"/>
      <c r="AZ1826" s="200"/>
      <c r="BA1826" s="200"/>
      <c r="BB1826" s="200"/>
      <c r="BC1826" s="970"/>
      <c r="BD1826" s="970"/>
      <c r="BE1826" s="970"/>
      <c r="BF1826" s="970"/>
      <c r="BG1826" s="970"/>
      <c r="BH1826" s="970"/>
      <c r="BI1826" s="970"/>
      <c r="BJ1826" s="970"/>
      <c r="BK1826" s="970"/>
      <c r="BL1826" s="970"/>
      <c r="BM1826" s="970"/>
      <c r="BN1826" s="970"/>
      <c r="BO1826" s="970"/>
      <c r="BP1826" s="970"/>
      <c r="BQ1826" s="970"/>
      <c r="BR1826" s="970"/>
      <c r="BS1826" s="970"/>
      <c r="BT1826" s="970"/>
      <c r="BU1826" s="970"/>
      <c r="BV1826" s="970"/>
      <c r="BW1826" s="970"/>
      <c r="BX1826" s="970"/>
      <c r="BY1826" s="970"/>
      <c r="BZ1826" s="970"/>
      <c r="CA1826" s="970"/>
      <c r="CB1826" s="970"/>
      <c r="CC1826" s="970"/>
      <c r="CD1826" s="970"/>
      <c r="CE1826" s="970"/>
      <c r="CF1826" s="970"/>
      <c r="CG1826" s="970"/>
      <c r="CH1826" s="970"/>
      <c r="CI1826" s="970"/>
      <c r="CJ1826" s="970"/>
      <c r="CK1826" s="970"/>
      <c r="CL1826" s="970"/>
      <c r="CM1826" s="970"/>
      <c r="CN1826" s="970"/>
      <c r="CO1826" s="970"/>
      <c r="CP1826" s="970"/>
      <c r="CQ1826" s="970"/>
      <c r="CR1826" s="970"/>
      <c r="CS1826" s="970"/>
      <c r="CT1826" s="970"/>
      <c r="CU1826" s="970"/>
      <c r="CV1826" s="970"/>
      <c r="CW1826" s="970"/>
      <c r="CX1826" s="970"/>
      <c r="CY1826" s="970"/>
      <c r="CZ1826" s="970"/>
      <c r="DA1826" s="970"/>
      <c r="DB1826" s="970"/>
      <c r="DC1826" s="970"/>
      <c r="DD1826" s="970"/>
      <c r="DE1826" s="970"/>
      <c r="DF1826" s="970"/>
      <c r="DG1826" s="970"/>
      <c r="DH1826" s="970"/>
      <c r="DI1826" s="970"/>
      <c r="DJ1826" s="970"/>
      <c r="DK1826" s="970"/>
      <c r="DL1826" s="970"/>
      <c r="DM1826" s="970"/>
      <c r="DN1826" s="970"/>
      <c r="DO1826" s="970"/>
      <c r="DP1826" s="970"/>
      <c r="DQ1826" s="970"/>
      <c r="DR1826" s="970"/>
      <c r="DS1826" s="970"/>
      <c r="DT1826" s="970"/>
      <c r="DU1826" s="970"/>
      <c r="DV1826" s="970"/>
      <c r="DW1826" s="970"/>
      <c r="DX1826" s="970"/>
      <c r="DY1826" s="970"/>
      <c r="DZ1826" s="970"/>
      <c r="EA1826" s="970"/>
      <c r="EB1826" s="970"/>
      <c r="EC1826" s="970"/>
      <c r="ED1826" s="970"/>
      <c r="EE1826" s="970"/>
      <c r="EF1826" s="970"/>
      <c r="EG1826" s="970"/>
      <c r="EH1826" s="970"/>
      <c r="EI1826" s="970"/>
      <c r="EJ1826" s="970"/>
      <c r="EK1826" s="970"/>
      <c r="EL1826" s="970"/>
      <c r="EM1826" s="970"/>
      <c r="EN1826" s="970"/>
      <c r="EO1826" s="970"/>
      <c r="EP1826" s="970"/>
      <c r="EQ1826" s="970"/>
      <c r="ER1826" s="970"/>
      <c r="ES1826" s="970"/>
      <c r="ET1826" s="970"/>
      <c r="EU1826" s="970"/>
      <c r="EV1826" s="970"/>
      <c r="EW1826" s="970"/>
      <c r="EX1826" s="970"/>
      <c r="EY1826" s="970"/>
      <c r="EZ1826" s="970"/>
      <c r="FA1826" s="970"/>
      <c r="FB1826" s="970"/>
      <c r="FC1826" s="970"/>
      <c r="FD1826" s="970"/>
      <c r="FE1826" s="970"/>
      <c r="FF1826" s="970"/>
      <c r="FG1826" s="970"/>
      <c r="FH1826" s="970"/>
      <c r="FI1826" s="970"/>
      <c r="FJ1826" s="970"/>
      <c r="FK1826" s="970"/>
      <c r="FL1826" s="970"/>
      <c r="FM1826" s="970"/>
      <c r="FN1826" s="970"/>
      <c r="FO1826" s="970"/>
      <c r="FP1826" s="970"/>
      <c r="FQ1826" s="970"/>
      <c r="FR1826" s="970"/>
      <c r="FS1826" s="970"/>
      <c r="FT1826" s="970"/>
      <c r="FU1826" s="970"/>
      <c r="FV1826" s="970"/>
      <c r="FW1826" s="970"/>
      <c r="FX1826" s="970"/>
      <c r="FY1826" s="970"/>
      <c r="FZ1826" s="970"/>
      <c r="GA1826" s="970"/>
      <c r="GB1826" s="970"/>
      <c r="GC1826" s="970"/>
      <c r="GD1826" s="970"/>
      <c r="GE1826" s="970"/>
      <c r="GF1826" s="970"/>
      <c r="GG1826" s="970"/>
      <c r="GH1826" s="970"/>
      <c r="GI1826" s="970"/>
      <c r="GJ1826" s="970"/>
      <c r="GK1826" s="970"/>
      <c r="GL1826" s="970"/>
      <c r="GM1826" s="970"/>
      <c r="GN1826" s="970"/>
      <c r="GO1826" s="970"/>
      <c r="GP1826" s="970"/>
      <c r="GQ1826" s="970"/>
      <c r="GR1826" s="970"/>
      <c r="GS1826" s="970"/>
      <c r="GT1826" s="970"/>
      <c r="GU1826" s="970"/>
      <c r="GV1826" s="970"/>
      <c r="GW1826" s="970"/>
      <c r="GX1826" s="970"/>
      <c r="GY1826" s="970"/>
      <c r="GZ1826" s="970"/>
      <c r="HA1826" s="970"/>
      <c r="HB1826" s="970"/>
      <c r="HC1826" s="970"/>
      <c r="HD1826" s="970"/>
      <c r="HE1826" s="970"/>
      <c r="HF1826" s="970"/>
      <c r="HG1826" s="970"/>
      <c r="HH1826" s="970"/>
      <c r="HI1826" s="970"/>
      <c r="HJ1826" s="970"/>
      <c r="HK1826" s="970"/>
      <c r="HL1826" s="970"/>
      <c r="HM1826" s="970"/>
      <c r="HN1826" s="970"/>
      <c r="HO1826" s="970"/>
      <c r="HP1826" s="970"/>
      <c r="HQ1826" s="970"/>
      <c r="HR1826" s="970"/>
      <c r="HS1826" s="970"/>
      <c r="HT1826" s="970"/>
      <c r="HU1826" s="970"/>
      <c r="HV1826" s="970"/>
      <c r="HW1826" s="970"/>
      <c r="HX1826" s="970"/>
      <c r="HY1826" s="970"/>
      <c r="HZ1826" s="970"/>
      <c r="IA1826" s="970"/>
      <c r="IB1826" s="970"/>
      <c r="IC1826" s="970"/>
      <c r="ID1826" s="970"/>
      <c r="IE1826" s="970"/>
      <c r="IF1826" s="970"/>
      <c r="IG1826" s="970"/>
      <c r="IH1826" s="970"/>
      <c r="II1826" s="970"/>
      <c r="IJ1826" s="970"/>
      <c r="IK1826" s="970"/>
      <c r="IL1826" s="970"/>
      <c r="IM1826" s="970"/>
      <c r="IN1826" s="970"/>
      <c r="IO1826" s="970"/>
    </row>
    <row r="1827" spans="1:249" ht="68.25" customHeight="1">
      <c r="A1827" s="420">
        <v>1</v>
      </c>
      <c r="B1827" s="419"/>
      <c r="C1827" s="286">
        <v>3</v>
      </c>
      <c r="D1827" s="753" t="s">
        <v>34</v>
      </c>
      <c r="E1827" s="753" t="s">
        <v>78</v>
      </c>
      <c r="F1827" s="753" t="s">
        <v>25</v>
      </c>
      <c r="G1827" s="753" t="s">
        <v>25</v>
      </c>
      <c r="H1827" s="633" t="s">
        <v>25</v>
      </c>
      <c r="I1827" s="44" t="s">
        <v>26</v>
      </c>
      <c r="J1827" s="44" t="s">
        <v>1761</v>
      </c>
      <c r="K1827" s="146">
        <v>72</v>
      </c>
      <c r="L1827" s="281">
        <f>SUM(L1828:L1838)</f>
        <v>3640718000</v>
      </c>
      <c r="M1827" s="146">
        <v>36</v>
      </c>
      <c r="N1827" s="1252">
        <f>SUM(N1828:N1838)</f>
        <v>1942214698</v>
      </c>
      <c r="O1827" s="146">
        <v>12</v>
      </c>
      <c r="P1827" s="281">
        <f>SUM(P1828:P1838)</f>
        <v>633464850</v>
      </c>
      <c r="Q1827" s="146">
        <v>3</v>
      </c>
      <c r="R1827" s="281">
        <f>SUM(R1828:R1838)</f>
        <v>81326336</v>
      </c>
      <c r="S1827" s="2611">
        <v>0</v>
      </c>
      <c r="T1827" s="2611">
        <f>SUM(T1828:T1838)</f>
        <v>115351228</v>
      </c>
      <c r="U1827" s="222">
        <v>0</v>
      </c>
      <c r="V1827" s="222">
        <f>SUM(V1828:V1838)</f>
        <v>0</v>
      </c>
      <c r="W1827" s="222">
        <v>0</v>
      </c>
      <c r="X1827" s="222">
        <f>SUM(X1828:X1838)</f>
        <v>0</v>
      </c>
      <c r="Y1827" s="289">
        <f t="shared" ref="Y1827:Y1873" si="532">Q1827+S1827+U1827+W1827</f>
        <v>3</v>
      </c>
      <c r="Z1827" s="281">
        <f t="shared" ref="Z1827:Z1873" si="533">R1827+T1827+V1827+X1827</f>
        <v>196677564</v>
      </c>
      <c r="AA1827" s="146">
        <f t="shared" ref="AA1827:AA1873" si="534">M1827+Y1827</f>
        <v>39</v>
      </c>
      <c r="AB1827" s="281">
        <f t="shared" ref="AB1827:AB1873" si="535">N1827+Z1827</f>
        <v>2138892262</v>
      </c>
      <c r="AC1827" s="868">
        <f t="shared" ref="AC1827:AC1869" si="536">AA1827/K1827*100</f>
        <v>54.166666666666664</v>
      </c>
      <c r="AD1827" s="868">
        <f t="shared" ref="AD1827:AD1869" si="537">AB1827/L1827*100</f>
        <v>58.749187989841566</v>
      </c>
      <c r="AE1827" s="133" t="s">
        <v>1762</v>
      </c>
      <c r="AF1827" s="201"/>
      <c r="AG1827" s="201"/>
      <c r="AH1827" s="201"/>
      <c r="AI1827" s="201"/>
      <c r="AJ1827" s="201"/>
      <c r="AK1827" s="201"/>
      <c r="AL1827" s="201"/>
      <c r="AM1827" s="201"/>
      <c r="AN1827" s="201"/>
      <c r="AO1827" s="201"/>
      <c r="AP1827" s="201"/>
      <c r="AQ1827" s="201"/>
      <c r="AR1827" s="201"/>
      <c r="AS1827" s="201"/>
      <c r="AT1827" s="201"/>
      <c r="AU1827" s="201"/>
      <c r="AV1827" s="201"/>
      <c r="AW1827" s="201"/>
      <c r="AX1827" s="201"/>
      <c r="AY1827" s="201"/>
      <c r="AZ1827" s="201"/>
      <c r="BA1827" s="201"/>
      <c r="BB1827" s="201"/>
      <c r="BC1827" s="20"/>
      <c r="BD1827" s="20"/>
      <c r="BE1827" s="20"/>
      <c r="BF1827" s="20"/>
      <c r="BG1827" s="20"/>
      <c r="BH1827" s="20"/>
      <c r="BI1827" s="20"/>
      <c r="BJ1827" s="20"/>
      <c r="BK1827" s="20"/>
      <c r="BL1827" s="20"/>
      <c r="BM1827" s="20"/>
      <c r="BN1827" s="20"/>
      <c r="BO1827" s="20"/>
      <c r="BP1827" s="20"/>
      <c r="BQ1827" s="20"/>
      <c r="BR1827" s="20"/>
      <c r="BS1827" s="20"/>
      <c r="BT1827" s="20"/>
      <c r="BU1827" s="20"/>
      <c r="BV1827" s="20"/>
      <c r="BW1827" s="20"/>
      <c r="BX1827" s="20"/>
      <c r="BY1827" s="20"/>
      <c r="BZ1827" s="20"/>
      <c r="CA1827" s="20"/>
      <c r="CB1827" s="20"/>
      <c r="CC1827" s="20"/>
      <c r="CD1827" s="20"/>
      <c r="CE1827" s="20"/>
      <c r="CF1827" s="20"/>
      <c r="CG1827" s="20"/>
      <c r="CH1827" s="20"/>
      <c r="CI1827" s="20"/>
      <c r="CJ1827" s="20"/>
      <c r="CK1827" s="20"/>
      <c r="CL1827" s="20"/>
      <c r="CM1827" s="20"/>
      <c r="CN1827" s="20"/>
      <c r="CO1827" s="20"/>
      <c r="CP1827" s="20"/>
      <c r="CQ1827" s="20"/>
      <c r="CR1827" s="20"/>
      <c r="CS1827" s="20"/>
      <c r="CT1827" s="20"/>
      <c r="CU1827" s="20"/>
      <c r="CV1827" s="20"/>
      <c r="CW1827" s="20"/>
      <c r="CX1827" s="20"/>
      <c r="CY1827" s="20"/>
      <c r="CZ1827" s="20"/>
      <c r="DA1827" s="20"/>
      <c r="DB1827" s="20"/>
      <c r="DC1827" s="20"/>
      <c r="DD1827" s="20"/>
      <c r="DE1827" s="20"/>
      <c r="DF1827" s="20"/>
      <c r="DG1827" s="20"/>
      <c r="DH1827" s="20"/>
      <c r="DI1827" s="20"/>
      <c r="DJ1827" s="20"/>
      <c r="DK1827" s="20"/>
      <c r="DL1827" s="20"/>
      <c r="DM1827" s="20"/>
      <c r="DN1827" s="20"/>
      <c r="DO1827" s="20"/>
      <c r="DP1827" s="20"/>
      <c r="DQ1827" s="20"/>
      <c r="DR1827" s="20"/>
      <c r="DS1827" s="20"/>
      <c r="DT1827" s="20"/>
      <c r="DU1827" s="20"/>
      <c r="DV1827" s="20"/>
      <c r="DW1827" s="20"/>
      <c r="DX1827" s="20"/>
      <c r="DY1827" s="20"/>
      <c r="DZ1827" s="20"/>
      <c r="EA1827" s="20"/>
      <c r="EB1827" s="20"/>
      <c r="EC1827" s="20"/>
      <c r="ED1827" s="20"/>
      <c r="EE1827" s="20"/>
      <c r="EF1827" s="20"/>
      <c r="EG1827" s="20"/>
      <c r="EH1827" s="20"/>
      <c r="EI1827" s="20"/>
      <c r="EJ1827" s="20"/>
      <c r="EK1827" s="20"/>
      <c r="EL1827" s="20"/>
      <c r="EM1827" s="20"/>
      <c r="EN1827" s="20"/>
      <c r="EO1827" s="20"/>
      <c r="EP1827" s="20"/>
      <c r="EQ1827" s="20"/>
      <c r="ER1827" s="20"/>
      <c r="ES1827" s="20"/>
      <c r="ET1827" s="20"/>
      <c r="EU1827" s="20"/>
      <c r="EV1827" s="20"/>
      <c r="EW1827" s="20"/>
      <c r="EX1827" s="20"/>
      <c r="EY1827" s="20"/>
      <c r="EZ1827" s="20"/>
      <c r="FA1827" s="20"/>
      <c r="FB1827" s="20"/>
      <c r="FC1827" s="20"/>
      <c r="FD1827" s="20"/>
      <c r="FE1827" s="20"/>
      <c r="FF1827" s="20"/>
      <c r="FG1827" s="20"/>
      <c r="FH1827" s="20"/>
      <c r="FI1827" s="20"/>
      <c r="FJ1827" s="20"/>
      <c r="FK1827" s="20"/>
      <c r="FL1827" s="20"/>
      <c r="FM1827" s="20"/>
      <c r="FN1827" s="20"/>
      <c r="FO1827" s="20"/>
      <c r="FP1827" s="20"/>
      <c r="FQ1827" s="20"/>
      <c r="FR1827" s="20"/>
      <c r="FS1827" s="20"/>
      <c r="FT1827" s="20"/>
      <c r="FU1827" s="20"/>
      <c r="FV1827" s="20"/>
      <c r="FW1827" s="20"/>
      <c r="FX1827" s="20"/>
      <c r="FY1827" s="20"/>
      <c r="FZ1827" s="20"/>
      <c r="GA1827" s="20"/>
      <c r="GB1827" s="20"/>
      <c r="GC1827" s="20"/>
      <c r="GD1827" s="20"/>
      <c r="GE1827" s="20"/>
      <c r="GF1827" s="20"/>
      <c r="GG1827" s="20"/>
      <c r="GH1827" s="20"/>
      <c r="GI1827" s="20"/>
      <c r="GJ1827" s="20"/>
      <c r="GK1827" s="20"/>
      <c r="GL1827" s="20"/>
      <c r="GM1827" s="20"/>
      <c r="GN1827" s="20"/>
      <c r="GO1827" s="20"/>
      <c r="GP1827" s="20"/>
      <c r="GQ1827" s="20"/>
      <c r="GR1827" s="20"/>
      <c r="GS1827" s="20"/>
      <c r="GT1827" s="20"/>
      <c r="GU1827" s="20"/>
      <c r="GV1827" s="20"/>
      <c r="GW1827" s="20"/>
      <c r="GX1827" s="20"/>
      <c r="GY1827" s="20"/>
      <c r="GZ1827" s="20"/>
      <c r="HA1827" s="20"/>
      <c r="HB1827" s="20"/>
      <c r="HC1827" s="20"/>
      <c r="HD1827" s="20"/>
      <c r="HE1827" s="20"/>
      <c r="HF1827" s="20"/>
      <c r="HG1827" s="20"/>
      <c r="HH1827" s="20"/>
      <c r="HI1827" s="20"/>
      <c r="HJ1827" s="20"/>
      <c r="HK1827" s="20"/>
      <c r="HL1827" s="20"/>
      <c r="HM1827" s="20"/>
      <c r="HN1827" s="20"/>
      <c r="HO1827" s="20"/>
      <c r="HP1827" s="20"/>
      <c r="HQ1827" s="20"/>
      <c r="HR1827" s="20"/>
      <c r="HS1827" s="20"/>
      <c r="HT1827" s="20"/>
      <c r="HU1827" s="20"/>
      <c r="HV1827" s="20"/>
      <c r="HW1827" s="20"/>
      <c r="HX1827" s="20"/>
      <c r="HY1827" s="20"/>
      <c r="HZ1827" s="20"/>
      <c r="IA1827" s="20"/>
      <c r="IB1827" s="20"/>
      <c r="IC1827" s="20"/>
      <c r="ID1827" s="20"/>
      <c r="IE1827" s="20"/>
      <c r="IF1827" s="20"/>
      <c r="IG1827" s="20"/>
      <c r="IH1827" s="20"/>
      <c r="II1827" s="20"/>
      <c r="IJ1827" s="20"/>
      <c r="IK1827" s="20"/>
      <c r="IL1827" s="20"/>
      <c r="IM1827" s="20"/>
      <c r="IN1827" s="20"/>
      <c r="IO1827" s="20"/>
    </row>
    <row r="1828" spans="1:249" ht="49.5">
      <c r="A1828" s="410"/>
      <c r="B1828" s="409" t="s">
        <v>1763</v>
      </c>
      <c r="C1828" s="1253">
        <v>3</v>
      </c>
      <c r="D1828" s="1164" t="s">
        <v>34</v>
      </c>
      <c r="E1828" s="1164" t="s">
        <v>78</v>
      </c>
      <c r="F1828" s="1164" t="s">
        <v>25</v>
      </c>
      <c r="G1828" s="1164" t="s">
        <v>25</v>
      </c>
      <c r="H1828" s="1254" t="s">
        <v>28</v>
      </c>
      <c r="I1828" s="280" t="s">
        <v>1519</v>
      </c>
      <c r="J1828" s="280" t="s">
        <v>3284</v>
      </c>
      <c r="K1828" s="417">
        <v>72</v>
      </c>
      <c r="L1828" s="1255">
        <v>442480000</v>
      </c>
      <c r="M1828" s="413">
        <v>36</v>
      </c>
      <c r="N1828" s="415">
        <v>272590180</v>
      </c>
      <c r="O1828" s="413">
        <v>12</v>
      </c>
      <c r="P1828" s="1256">
        <v>108000000</v>
      </c>
      <c r="Q1828" s="413">
        <v>3</v>
      </c>
      <c r="R1828" s="1255">
        <v>22066486</v>
      </c>
      <c r="S1828" s="413">
        <v>3</v>
      </c>
      <c r="T1828" s="1257">
        <v>21488428</v>
      </c>
      <c r="U1828" s="413"/>
      <c r="V1828" s="418"/>
      <c r="W1828" s="413"/>
      <c r="X1828" s="1256"/>
      <c r="Y1828" s="409">
        <f t="shared" si="532"/>
        <v>6</v>
      </c>
      <c r="Z1828" s="1258">
        <f t="shared" si="533"/>
        <v>43554914</v>
      </c>
      <c r="AA1828" s="409">
        <f t="shared" si="534"/>
        <v>42</v>
      </c>
      <c r="AB1828" s="1259">
        <f t="shared" si="535"/>
        <v>316145094</v>
      </c>
      <c r="AC1828" s="1260">
        <f t="shared" si="536"/>
        <v>58.333333333333336</v>
      </c>
      <c r="AD1828" s="1260">
        <f t="shared" si="537"/>
        <v>71.448448291448202</v>
      </c>
      <c r="AE1828" s="102"/>
      <c r="AF1828" s="201"/>
      <c r="AG1828" s="201"/>
      <c r="AH1828" s="201"/>
      <c r="AI1828" s="201"/>
      <c r="AJ1828" s="201"/>
      <c r="AK1828" s="201"/>
      <c r="AL1828" s="201"/>
      <c r="AM1828" s="201"/>
      <c r="AN1828" s="201"/>
      <c r="AO1828" s="201"/>
      <c r="AP1828" s="201"/>
      <c r="AQ1828" s="201"/>
      <c r="AR1828" s="201"/>
      <c r="AS1828" s="201"/>
      <c r="AT1828" s="201"/>
      <c r="AU1828" s="201"/>
      <c r="AV1828" s="201"/>
      <c r="AW1828" s="201"/>
      <c r="AX1828" s="201"/>
      <c r="AY1828" s="201"/>
      <c r="AZ1828" s="201"/>
      <c r="BA1828" s="201"/>
      <c r="BB1828" s="201"/>
      <c r="BC1828" s="20"/>
      <c r="BD1828" s="20"/>
      <c r="BE1828" s="20"/>
      <c r="BF1828" s="20"/>
      <c r="BG1828" s="20"/>
      <c r="BH1828" s="20"/>
      <c r="BI1828" s="20"/>
      <c r="BJ1828" s="20"/>
      <c r="BK1828" s="20"/>
      <c r="BL1828" s="20"/>
      <c r="BM1828" s="20"/>
      <c r="BN1828" s="20"/>
      <c r="BO1828" s="20"/>
      <c r="BP1828" s="20"/>
      <c r="BQ1828" s="20"/>
      <c r="BR1828" s="20"/>
      <c r="BS1828" s="20"/>
      <c r="BT1828" s="20"/>
      <c r="BU1828" s="20"/>
      <c r="BV1828" s="20"/>
      <c r="BW1828" s="20"/>
      <c r="BX1828" s="20"/>
      <c r="BY1828" s="20"/>
      <c r="BZ1828" s="20"/>
      <c r="CA1828" s="20"/>
      <c r="CB1828" s="20"/>
      <c r="CC1828" s="20"/>
      <c r="CD1828" s="20"/>
      <c r="CE1828" s="20"/>
      <c r="CF1828" s="20"/>
      <c r="CG1828" s="20"/>
      <c r="CH1828" s="20"/>
      <c r="CI1828" s="20"/>
      <c r="CJ1828" s="20"/>
      <c r="CK1828" s="20"/>
      <c r="CL1828" s="20"/>
      <c r="CM1828" s="20"/>
      <c r="CN1828" s="20"/>
      <c r="CO1828" s="20"/>
      <c r="CP1828" s="20"/>
      <c r="CQ1828" s="20"/>
      <c r="CR1828" s="20"/>
      <c r="CS1828" s="20"/>
      <c r="CT1828" s="20"/>
      <c r="CU1828" s="20"/>
      <c r="CV1828" s="20"/>
      <c r="CW1828" s="20"/>
      <c r="CX1828" s="20"/>
      <c r="CY1828" s="20"/>
      <c r="CZ1828" s="20"/>
      <c r="DA1828" s="20"/>
      <c r="DB1828" s="20"/>
      <c r="DC1828" s="20"/>
      <c r="DD1828" s="20"/>
      <c r="DE1828" s="20"/>
      <c r="DF1828" s="20"/>
      <c r="DG1828" s="20"/>
      <c r="DH1828" s="20"/>
      <c r="DI1828" s="20"/>
      <c r="DJ1828" s="20"/>
      <c r="DK1828" s="20"/>
      <c r="DL1828" s="20"/>
      <c r="DM1828" s="20"/>
      <c r="DN1828" s="20"/>
      <c r="DO1828" s="20"/>
      <c r="DP1828" s="20"/>
      <c r="DQ1828" s="20"/>
      <c r="DR1828" s="20"/>
      <c r="DS1828" s="20"/>
      <c r="DT1828" s="20"/>
      <c r="DU1828" s="20"/>
      <c r="DV1828" s="20"/>
      <c r="DW1828" s="20"/>
      <c r="DX1828" s="20"/>
      <c r="DY1828" s="20"/>
      <c r="DZ1828" s="20"/>
      <c r="EA1828" s="20"/>
      <c r="EB1828" s="20"/>
      <c r="EC1828" s="20"/>
      <c r="ED1828" s="20"/>
      <c r="EE1828" s="20"/>
      <c r="EF1828" s="20"/>
      <c r="EG1828" s="20"/>
      <c r="EH1828" s="20"/>
      <c r="EI1828" s="20"/>
      <c r="EJ1828" s="20"/>
      <c r="EK1828" s="20"/>
      <c r="EL1828" s="20"/>
      <c r="EM1828" s="20"/>
      <c r="EN1828" s="20"/>
      <c r="EO1828" s="20"/>
      <c r="EP1828" s="20"/>
      <c r="EQ1828" s="20"/>
      <c r="ER1828" s="20"/>
      <c r="ES1828" s="20"/>
      <c r="ET1828" s="20"/>
      <c r="EU1828" s="20"/>
      <c r="EV1828" s="20"/>
      <c r="EW1828" s="20"/>
      <c r="EX1828" s="20"/>
      <c r="EY1828" s="20"/>
      <c r="EZ1828" s="20"/>
      <c r="FA1828" s="20"/>
      <c r="FB1828" s="20"/>
      <c r="FC1828" s="20"/>
      <c r="FD1828" s="20"/>
      <c r="FE1828" s="20"/>
      <c r="FF1828" s="20"/>
      <c r="FG1828" s="20"/>
      <c r="FH1828" s="20"/>
      <c r="FI1828" s="20"/>
      <c r="FJ1828" s="20"/>
      <c r="FK1828" s="20"/>
      <c r="FL1828" s="20"/>
      <c r="FM1828" s="20"/>
      <c r="FN1828" s="20"/>
      <c r="FO1828" s="20"/>
      <c r="FP1828" s="20"/>
      <c r="FQ1828" s="20"/>
      <c r="FR1828" s="20"/>
      <c r="FS1828" s="20"/>
      <c r="FT1828" s="20"/>
      <c r="FU1828" s="20"/>
      <c r="FV1828" s="20"/>
      <c r="FW1828" s="20"/>
      <c r="FX1828" s="20"/>
      <c r="FY1828" s="20"/>
      <c r="FZ1828" s="20"/>
      <c r="GA1828" s="20"/>
      <c r="GB1828" s="20"/>
      <c r="GC1828" s="20"/>
      <c r="GD1828" s="20"/>
      <c r="GE1828" s="20"/>
      <c r="GF1828" s="20"/>
      <c r="GG1828" s="20"/>
      <c r="GH1828" s="20"/>
      <c r="GI1828" s="20"/>
      <c r="GJ1828" s="20"/>
      <c r="GK1828" s="20"/>
      <c r="GL1828" s="20"/>
      <c r="GM1828" s="20"/>
      <c r="GN1828" s="20"/>
      <c r="GO1828" s="20"/>
      <c r="GP1828" s="20"/>
      <c r="GQ1828" s="20"/>
      <c r="GR1828" s="20"/>
      <c r="GS1828" s="20"/>
      <c r="GT1828" s="20"/>
      <c r="GU1828" s="20"/>
      <c r="GV1828" s="20"/>
      <c r="GW1828" s="20"/>
      <c r="GX1828" s="20"/>
      <c r="GY1828" s="20"/>
      <c r="GZ1828" s="20"/>
      <c r="HA1828" s="20"/>
      <c r="HB1828" s="20"/>
      <c r="HC1828" s="20"/>
      <c r="HD1828" s="20"/>
      <c r="HE1828" s="20"/>
      <c r="HF1828" s="20"/>
      <c r="HG1828" s="20"/>
      <c r="HH1828" s="20"/>
      <c r="HI1828" s="20"/>
      <c r="HJ1828" s="20"/>
      <c r="HK1828" s="20"/>
      <c r="HL1828" s="20"/>
      <c r="HM1828" s="20"/>
      <c r="HN1828" s="20"/>
      <c r="HO1828" s="20"/>
      <c r="HP1828" s="20"/>
      <c r="HQ1828" s="20"/>
      <c r="HR1828" s="20"/>
      <c r="HS1828" s="20"/>
      <c r="HT1828" s="20"/>
      <c r="HU1828" s="20"/>
      <c r="HV1828" s="20"/>
      <c r="HW1828" s="20"/>
      <c r="HX1828" s="20"/>
      <c r="HY1828" s="20"/>
      <c r="HZ1828" s="20"/>
      <c r="IA1828" s="20"/>
      <c r="IB1828" s="20"/>
      <c r="IC1828" s="20"/>
      <c r="ID1828" s="20"/>
      <c r="IE1828" s="20"/>
      <c r="IF1828" s="20"/>
      <c r="IG1828" s="20"/>
      <c r="IH1828" s="20"/>
      <c r="II1828" s="20"/>
      <c r="IJ1828" s="20"/>
      <c r="IK1828" s="20"/>
      <c r="IL1828" s="20"/>
      <c r="IM1828" s="20"/>
      <c r="IN1828" s="20"/>
      <c r="IO1828" s="20"/>
    </row>
    <row r="1829" spans="1:249" ht="82.5">
      <c r="A1829" s="410"/>
      <c r="B1829" s="409"/>
      <c r="C1829" s="1253">
        <v>3</v>
      </c>
      <c r="D1829" s="1164" t="s">
        <v>34</v>
      </c>
      <c r="E1829" s="1164" t="s">
        <v>78</v>
      </c>
      <c r="F1829" s="1164" t="s">
        <v>25</v>
      </c>
      <c r="G1829" s="1164" t="s">
        <v>25</v>
      </c>
      <c r="H1829" s="1254" t="s">
        <v>29</v>
      </c>
      <c r="I1829" s="280" t="s">
        <v>614</v>
      </c>
      <c r="J1829" s="280" t="s">
        <v>3285</v>
      </c>
      <c r="K1829" s="417">
        <v>72</v>
      </c>
      <c r="L1829" s="1255">
        <v>631032000</v>
      </c>
      <c r="M1829" s="413">
        <v>36</v>
      </c>
      <c r="N1829" s="415">
        <v>313482000</v>
      </c>
      <c r="O1829" s="413">
        <v>12</v>
      </c>
      <c r="P1829" s="1256">
        <v>89250000</v>
      </c>
      <c r="Q1829" s="413">
        <v>3</v>
      </c>
      <c r="R1829" s="1255">
        <v>10600000</v>
      </c>
      <c r="S1829" s="413">
        <v>3</v>
      </c>
      <c r="T1829" s="1257">
        <v>15800000</v>
      </c>
      <c r="U1829" s="413"/>
      <c r="V1829" s="418"/>
      <c r="W1829" s="413"/>
      <c r="X1829" s="1256"/>
      <c r="Y1829" s="409">
        <f t="shared" si="532"/>
        <v>6</v>
      </c>
      <c r="Z1829" s="1258">
        <f t="shared" si="533"/>
        <v>26400000</v>
      </c>
      <c r="AA1829" s="409">
        <f t="shared" si="534"/>
        <v>42</v>
      </c>
      <c r="AB1829" s="1259">
        <f t="shared" si="535"/>
        <v>339882000</v>
      </c>
      <c r="AC1829" s="1260">
        <f t="shared" si="536"/>
        <v>58.333333333333336</v>
      </c>
      <c r="AD1829" s="1260">
        <f t="shared" si="537"/>
        <v>53.861293880500519</v>
      </c>
      <c r="AE1829" s="102"/>
      <c r="AF1829" s="201"/>
      <c r="AG1829" s="201"/>
      <c r="AH1829" s="201"/>
      <c r="AI1829" s="201"/>
      <c r="AJ1829" s="201"/>
      <c r="AK1829" s="201"/>
      <c r="AL1829" s="201"/>
      <c r="AM1829" s="201"/>
      <c r="AN1829" s="201"/>
      <c r="AO1829" s="201"/>
      <c r="AP1829" s="201"/>
      <c r="AQ1829" s="201"/>
      <c r="AR1829" s="201"/>
      <c r="AS1829" s="201"/>
      <c r="AT1829" s="201"/>
      <c r="AU1829" s="201"/>
      <c r="AV1829" s="201"/>
      <c r="AW1829" s="201"/>
      <c r="AX1829" s="201"/>
      <c r="AY1829" s="201"/>
      <c r="AZ1829" s="201"/>
      <c r="BA1829" s="201"/>
      <c r="BB1829" s="201"/>
      <c r="BC1829" s="20"/>
      <c r="BD1829" s="20"/>
      <c r="BE1829" s="20"/>
      <c r="BF1829" s="20"/>
      <c r="BG1829" s="20"/>
      <c r="BH1829" s="20"/>
      <c r="BI1829" s="20"/>
      <c r="BJ1829" s="20"/>
      <c r="BK1829" s="20"/>
      <c r="BL1829" s="20"/>
      <c r="BM1829" s="20"/>
      <c r="BN1829" s="20"/>
      <c r="BO1829" s="20"/>
      <c r="BP1829" s="20"/>
      <c r="BQ1829" s="20"/>
      <c r="BR1829" s="20"/>
      <c r="BS1829" s="20"/>
      <c r="BT1829" s="20"/>
      <c r="BU1829" s="20"/>
      <c r="BV1829" s="20"/>
      <c r="BW1829" s="20"/>
      <c r="BX1829" s="20"/>
      <c r="BY1829" s="20"/>
      <c r="BZ1829" s="20"/>
      <c r="CA1829" s="20"/>
      <c r="CB1829" s="20"/>
      <c r="CC1829" s="20"/>
      <c r="CD1829" s="20"/>
      <c r="CE1829" s="20"/>
      <c r="CF1829" s="20"/>
      <c r="CG1829" s="20"/>
      <c r="CH1829" s="20"/>
      <c r="CI1829" s="20"/>
      <c r="CJ1829" s="20"/>
      <c r="CK1829" s="20"/>
      <c r="CL1829" s="20"/>
      <c r="CM1829" s="20"/>
      <c r="CN1829" s="20"/>
      <c r="CO1829" s="20"/>
      <c r="CP1829" s="20"/>
      <c r="CQ1829" s="20"/>
      <c r="CR1829" s="20"/>
      <c r="CS1829" s="20"/>
      <c r="CT1829" s="20"/>
      <c r="CU1829" s="20"/>
      <c r="CV1829" s="20"/>
      <c r="CW1829" s="20"/>
      <c r="CX1829" s="20"/>
      <c r="CY1829" s="20"/>
      <c r="CZ1829" s="20"/>
      <c r="DA1829" s="20"/>
      <c r="DB1829" s="20"/>
      <c r="DC1829" s="20"/>
      <c r="DD1829" s="20"/>
      <c r="DE1829" s="20"/>
      <c r="DF1829" s="20"/>
      <c r="DG1829" s="20"/>
      <c r="DH1829" s="20"/>
      <c r="DI1829" s="20"/>
      <c r="DJ1829" s="20"/>
      <c r="DK1829" s="20"/>
      <c r="DL1829" s="20"/>
      <c r="DM1829" s="20"/>
      <c r="DN1829" s="20"/>
      <c r="DO1829" s="20"/>
      <c r="DP1829" s="20"/>
      <c r="DQ1829" s="20"/>
      <c r="DR1829" s="20"/>
      <c r="DS1829" s="20"/>
      <c r="DT1829" s="20"/>
      <c r="DU1829" s="20"/>
      <c r="DV1829" s="20"/>
      <c r="DW1829" s="20"/>
      <c r="DX1829" s="20"/>
      <c r="DY1829" s="20"/>
      <c r="DZ1829" s="20"/>
      <c r="EA1829" s="20"/>
      <c r="EB1829" s="20"/>
      <c r="EC1829" s="20"/>
      <c r="ED1829" s="20"/>
      <c r="EE1829" s="20"/>
      <c r="EF1829" s="20"/>
      <c r="EG1829" s="20"/>
      <c r="EH1829" s="20"/>
      <c r="EI1829" s="20"/>
      <c r="EJ1829" s="20"/>
      <c r="EK1829" s="20"/>
      <c r="EL1829" s="20"/>
      <c r="EM1829" s="20"/>
      <c r="EN1829" s="20"/>
      <c r="EO1829" s="20"/>
      <c r="EP1829" s="20"/>
      <c r="EQ1829" s="20"/>
      <c r="ER1829" s="20"/>
      <c r="ES1829" s="20"/>
      <c r="ET1829" s="20"/>
      <c r="EU1829" s="20"/>
      <c r="EV1829" s="20"/>
      <c r="EW1829" s="20"/>
      <c r="EX1829" s="20"/>
      <c r="EY1829" s="20"/>
      <c r="EZ1829" s="20"/>
      <c r="FA1829" s="20"/>
      <c r="FB1829" s="20"/>
      <c r="FC1829" s="20"/>
      <c r="FD1829" s="20"/>
      <c r="FE1829" s="20"/>
      <c r="FF1829" s="20"/>
      <c r="FG1829" s="20"/>
      <c r="FH1829" s="20"/>
      <c r="FI1829" s="20"/>
      <c r="FJ1829" s="20"/>
      <c r="FK1829" s="20"/>
      <c r="FL1829" s="20"/>
      <c r="FM1829" s="20"/>
      <c r="FN1829" s="20"/>
      <c r="FO1829" s="20"/>
      <c r="FP1829" s="20"/>
      <c r="FQ1829" s="20"/>
      <c r="FR1829" s="20"/>
      <c r="FS1829" s="20"/>
      <c r="FT1829" s="20"/>
      <c r="FU1829" s="20"/>
      <c r="FV1829" s="20"/>
      <c r="FW1829" s="20"/>
      <c r="FX1829" s="20"/>
      <c r="FY1829" s="20"/>
      <c r="FZ1829" s="20"/>
      <c r="GA1829" s="20"/>
      <c r="GB1829" s="20"/>
      <c r="GC1829" s="20"/>
      <c r="GD1829" s="20"/>
      <c r="GE1829" s="20"/>
      <c r="GF1829" s="20"/>
      <c r="GG1829" s="20"/>
      <c r="GH1829" s="20"/>
      <c r="GI1829" s="20"/>
      <c r="GJ1829" s="20"/>
      <c r="GK1829" s="20"/>
      <c r="GL1829" s="20"/>
      <c r="GM1829" s="20"/>
      <c r="GN1829" s="20"/>
      <c r="GO1829" s="20"/>
      <c r="GP1829" s="20"/>
      <c r="GQ1829" s="20"/>
      <c r="GR1829" s="20"/>
      <c r="GS1829" s="20"/>
      <c r="GT1829" s="20"/>
      <c r="GU1829" s="20"/>
      <c r="GV1829" s="20"/>
      <c r="GW1829" s="20"/>
      <c r="GX1829" s="20"/>
      <c r="GY1829" s="20"/>
      <c r="GZ1829" s="20"/>
      <c r="HA1829" s="20"/>
      <c r="HB1829" s="20"/>
      <c r="HC1829" s="20"/>
      <c r="HD1829" s="20"/>
      <c r="HE1829" s="20"/>
      <c r="HF1829" s="20"/>
      <c r="HG1829" s="20"/>
      <c r="HH1829" s="20"/>
      <c r="HI1829" s="20"/>
      <c r="HJ1829" s="20"/>
      <c r="HK1829" s="20"/>
      <c r="HL1829" s="20"/>
      <c r="HM1829" s="20"/>
      <c r="HN1829" s="20"/>
      <c r="HO1829" s="20"/>
      <c r="HP1829" s="20"/>
      <c r="HQ1829" s="20"/>
      <c r="HR1829" s="20"/>
      <c r="HS1829" s="20"/>
      <c r="HT1829" s="20"/>
      <c r="HU1829" s="20"/>
      <c r="HV1829" s="20"/>
      <c r="HW1829" s="20"/>
      <c r="HX1829" s="20"/>
      <c r="HY1829" s="20"/>
      <c r="HZ1829" s="20"/>
      <c r="IA1829" s="20"/>
      <c r="IB1829" s="20"/>
      <c r="IC1829" s="20"/>
      <c r="ID1829" s="20"/>
      <c r="IE1829" s="20"/>
      <c r="IF1829" s="20"/>
      <c r="IG1829" s="20"/>
      <c r="IH1829" s="20"/>
      <c r="II1829" s="20"/>
      <c r="IJ1829" s="20"/>
      <c r="IK1829" s="20"/>
      <c r="IL1829" s="20"/>
      <c r="IM1829" s="20"/>
      <c r="IN1829" s="20"/>
      <c r="IO1829" s="20"/>
    </row>
    <row r="1830" spans="1:249" ht="49.5">
      <c r="A1830" s="410"/>
      <c r="B1830" s="409"/>
      <c r="C1830" s="1253">
        <v>3</v>
      </c>
      <c r="D1830" s="1164" t="s">
        <v>34</v>
      </c>
      <c r="E1830" s="1164" t="s">
        <v>78</v>
      </c>
      <c r="F1830" s="1164" t="s">
        <v>25</v>
      </c>
      <c r="G1830" s="1164" t="s">
        <v>25</v>
      </c>
      <c r="H1830" s="1254" t="s">
        <v>30</v>
      </c>
      <c r="I1830" s="280" t="s">
        <v>616</v>
      </c>
      <c r="J1830" s="280" t="s">
        <v>3286</v>
      </c>
      <c r="K1830" s="417">
        <v>72</v>
      </c>
      <c r="L1830" s="1255">
        <v>255000000</v>
      </c>
      <c r="M1830" s="413">
        <v>36</v>
      </c>
      <c r="N1830" s="415">
        <v>108000000</v>
      </c>
      <c r="O1830" s="413">
        <v>12</v>
      </c>
      <c r="P1830" s="1256">
        <v>38819400</v>
      </c>
      <c r="Q1830" s="413">
        <v>3</v>
      </c>
      <c r="R1830" s="1255">
        <v>5716700</v>
      </c>
      <c r="S1830" s="413">
        <v>3</v>
      </c>
      <c r="T1830" s="1257">
        <v>9563000</v>
      </c>
      <c r="U1830" s="413"/>
      <c r="V1830" s="418"/>
      <c r="W1830" s="413"/>
      <c r="X1830" s="1256"/>
      <c r="Y1830" s="409">
        <f t="shared" si="532"/>
        <v>6</v>
      </c>
      <c r="Z1830" s="1258">
        <f t="shared" si="533"/>
        <v>15279700</v>
      </c>
      <c r="AA1830" s="409">
        <f t="shared" si="534"/>
        <v>42</v>
      </c>
      <c r="AB1830" s="1259">
        <f t="shared" si="535"/>
        <v>123279700</v>
      </c>
      <c r="AC1830" s="1260">
        <f t="shared" si="536"/>
        <v>58.333333333333336</v>
      </c>
      <c r="AD1830" s="1260">
        <f t="shared" si="537"/>
        <v>48.344980392156863</v>
      </c>
      <c r="AE1830" s="102"/>
      <c r="AF1830" s="201"/>
      <c r="AG1830" s="201"/>
      <c r="AH1830" s="201"/>
      <c r="AI1830" s="201"/>
      <c r="AJ1830" s="201"/>
      <c r="AK1830" s="201"/>
      <c r="AL1830" s="201"/>
      <c r="AM1830" s="201"/>
      <c r="AN1830" s="201"/>
      <c r="AO1830" s="201"/>
      <c r="AP1830" s="201"/>
      <c r="AQ1830" s="201"/>
      <c r="AR1830" s="201"/>
      <c r="AS1830" s="201"/>
      <c r="AT1830" s="201"/>
      <c r="AU1830" s="201"/>
      <c r="AV1830" s="201"/>
      <c r="AW1830" s="201"/>
      <c r="AX1830" s="201"/>
      <c r="AY1830" s="201"/>
      <c r="AZ1830" s="201"/>
      <c r="BA1830" s="201"/>
      <c r="BB1830" s="201"/>
      <c r="BC1830" s="20"/>
      <c r="BD1830" s="20"/>
      <c r="BE1830" s="20"/>
      <c r="BF1830" s="20"/>
      <c r="BG1830" s="20"/>
      <c r="BH1830" s="20"/>
      <c r="BI1830" s="20"/>
      <c r="BJ1830" s="20"/>
      <c r="BK1830" s="20"/>
      <c r="BL1830" s="20"/>
      <c r="BM1830" s="20"/>
      <c r="BN1830" s="20"/>
      <c r="BO1830" s="20"/>
      <c r="BP1830" s="20"/>
      <c r="BQ1830" s="20"/>
      <c r="BR1830" s="20"/>
      <c r="BS1830" s="20"/>
      <c r="BT1830" s="20"/>
      <c r="BU1830" s="20"/>
      <c r="BV1830" s="20"/>
      <c r="BW1830" s="20"/>
      <c r="BX1830" s="20"/>
      <c r="BY1830" s="20"/>
      <c r="BZ1830" s="20"/>
      <c r="CA1830" s="20"/>
      <c r="CB1830" s="20"/>
      <c r="CC1830" s="20"/>
      <c r="CD1830" s="20"/>
      <c r="CE1830" s="20"/>
      <c r="CF1830" s="20"/>
      <c r="CG1830" s="20"/>
      <c r="CH1830" s="20"/>
      <c r="CI1830" s="20"/>
      <c r="CJ1830" s="20"/>
      <c r="CK1830" s="20"/>
      <c r="CL1830" s="20"/>
      <c r="CM1830" s="20"/>
      <c r="CN1830" s="20"/>
      <c r="CO1830" s="20"/>
      <c r="CP1830" s="20"/>
      <c r="CQ1830" s="20"/>
      <c r="CR1830" s="20"/>
      <c r="CS1830" s="20"/>
      <c r="CT1830" s="20"/>
      <c r="CU1830" s="20"/>
      <c r="CV1830" s="20"/>
      <c r="CW1830" s="20"/>
      <c r="CX1830" s="20"/>
      <c r="CY1830" s="20"/>
      <c r="CZ1830" s="20"/>
      <c r="DA1830" s="20"/>
      <c r="DB1830" s="20"/>
      <c r="DC1830" s="20"/>
      <c r="DD1830" s="20"/>
      <c r="DE1830" s="20"/>
      <c r="DF1830" s="20"/>
      <c r="DG1830" s="20"/>
      <c r="DH1830" s="20"/>
      <c r="DI1830" s="20"/>
      <c r="DJ1830" s="20"/>
      <c r="DK1830" s="20"/>
      <c r="DL1830" s="20"/>
      <c r="DM1830" s="20"/>
      <c r="DN1830" s="20"/>
      <c r="DO1830" s="20"/>
      <c r="DP1830" s="20"/>
      <c r="DQ1830" s="20"/>
      <c r="DR1830" s="20"/>
      <c r="DS1830" s="20"/>
      <c r="DT1830" s="20"/>
      <c r="DU1830" s="20"/>
      <c r="DV1830" s="20"/>
      <c r="DW1830" s="20"/>
      <c r="DX1830" s="20"/>
      <c r="DY1830" s="20"/>
      <c r="DZ1830" s="20"/>
      <c r="EA1830" s="20"/>
      <c r="EB1830" s="20"/>
      <c r="EC1830" s="20"/>
      <c r="ED1830" s="20"/>
      <c r="EE1830" s="20"/>
      <c r="EF1830" s="20"/>
      <c r="EG1830" s="20"/>
      <c r="EH1830" s="20"/>
      <c r="EI1830" s="20"/>
      <c r="EJ1830" s="20"/>
      <c r="EK1830" s="20"/>
      <c r="EL1830" s="20"/>
      <c r="EM1830" s="20"/>
      <c r="EN1830" s="20"/>
      <c r="EO1830" s="20"/>
      <c r="EP1830" s="20"/>
      <c r="EQ1830" s="20"/>
      <c r="ER1830" s="20"/>
      <c r="ES1830" s="20"/>
      <c r="ET1830" s="20"/>
      <c r="EU1830" s="20"/>
      <c r="EV1830" s="20"/>
      <c r="EW1830" s="20"/>
      <c r="EX1830" s="20"/>
      <c r="EY1830" s="20"/>
      <c r="EZ1830" s="20"/>
      <c r="FA1830" s="20"/>
      <c r="FB1830" s="20"/>
      <c r="FC1830" s="20"/>
      <c r="FD1830" s="20"/>
      <c r="FE1830" s="20"/>
      <c r="FF1830" s="20"/>
      <c r="FG1830" s="20"/>
      <c r="FH1830" s="20"/>
      <c r="FI1830" s="20"/>
      <c r="FJ1830" s="20"/>
      <c r="FK1830" s="20"/>
      <c r="FL1830" s="20"/>
      <c r="FM1830" s="20"/>
      <c r="FN1830" s="20"/>
      <c r="FO1830" s="20"/>
      <c r="FP1830" s="20"/>
      <c r="FQ1830" s="20"/>
      <c r="FR1830" s="20"/>
      <c r="FS1830" s="20"/>
      <c r="FT1830" s="20"/>
      <c r="FU1830" s="20"/>
      <c r="FV1830" s="20"/>
      <c r="FW1830" s="20"/>
      <c r="FX1830" s="20"/>
      <c r="FY1830" s="20"/>
      <c r="FZ1830" s="20"/>
      <c r="GA1830" s="20"/>
      <c r="GB1830" s="20"/>
      <c r="GC1830" s="20"/>
      <c r="GD1830" s="20"/>
      <c r="GE1830" s="20"/>
      <c r="GF1830" s="20"/>
      <c r="GG1830" s="20"/>
      <c r="GH1830" s="20"/>
      <c r="GI1830" s="20"/>
      <c r="GJ1830" s="20"/>
      <c r="GK1830" s="20"/>
      <c r="GL1830" s="20"/>
      <c r="GM1830" s="20"/>
      <c r="GN1830" s="20"/>
      <c r="GO1830" s="20"/>
      <c r="GP1830" s="20"/>
      <c r="GQ1830" s="20"/>
      <c r="GR1830" s="20"/>
      <c r="GS1830" s="20"/>
      <c r="GT1830" s="20"/>
      <c r="GU1830" s="20"/>
      <c r="GV1830" s="20"/>
      <c r="GW1830" s="20"/>
      <c r="GX1830" s="20"/>
      <c r="GY1830" s="20"/>
      <c r="GZ1830" s="20"/>
      <c r="HA1830" s="20"/>
      <c r="HB1830" s="20"/>
      <c r="HC1830" s="20"/>
      <c r="HD1830" s="20"/>
      <c r="HE1830" s="20"/>
      <c r="HF1830" s="20"/>
      <c r="HG1830" s="20"/>
      <c r="HH1830" s="20"/>
      <c r="HI1830" s="20"/>
      <c r="HJ1830" s="20"/>
      <c r="HK1830" s="20"/>
      <c r="HL1830" s="20"/>
      <c r="HM1830" s="20"/>
      <c r="HN1830" s="20"/>
      <c r="HO1830" s="20"/>
      <c r="HP1830" s="20"/>
      <c r="HQ1830" s="20"/>
      <c r="HR1830" s="20"/>
      <c r="HS1830" s="20"/>
      <c r="HT1830" s="20"/>
      <c r="HU1830" s="20"/>
      <c r="HV1830" s="20"/>
      <c r="HW1830" s="20"/>
      <c r="HX1830" s="20"/>
      <c r="HY1830" s="20"/>
      <c r="HZ1830" s="20"/>
      <c r="IA1830" s="20"/>
      <c r="IB1830" s="20"/>
      <c r="IC1830" s="20"/>
      <c r="ID1830" s="20"/>
      <c r="IE1830" s="20"/>
      <c r="IF1830" s="20"/>
      <c r="IG1830" s="20"/>
      <c r="IH1830" s="20"/>
      <c r="II1830" s="20"/>
      <c r="IJ1830" s="20"/>
      <c r="IK1830" s="20"/>
      <c r="IL1830" s="20"/>
      <c r="IM1830" s="20"/>
      <c r="IN1830" s="20"/>
      <c r="IO1830" s="20"/>
    </row>
    <row r="1831" spans="1:249" ht="66">
      <c r="A1831" s="410"/>
      <c r="B1831" s="409"/>
      <c r="C1831" s="1253">
        <v>3</v>
      </c>
      <c r="D1831" s="1164" t="s">
        <v>34</v>
      </c>
      <c r="E1831" s="1164" t="s">
        <v>78</v>
      </c>
      <c r="F1831" s="1164" t="s">
        <v>25</v>
      </c>
      <c r="G1831" s="1164" t="s">
        <v>25</v>
      </c>
      <c r="H1831" s="410">
        <v>10</v>
      </c>
      <c r="I1831" s="280" t="s">
        <v>32</v>
      </c>
      <c r="J1831" s="280" t="s">
        <v>1765</v>
      </c>
      <c r="K1831" s="417">
        <v>72</v>
      </c>
      <c r="L1831" s="1255">
        <v>221973000</v>
      </c>
      <c r="M1831" s="413">
        <v>36</v>
      </c>
      <c r="N1831" s="415">
        <v>116506864</v>
      </c>
      <c r="O1831" s="413">
        <v>12</v>
      </c>
      <c r="P1831" s="1256">
        <v>98994950</v>
      </c>
      <c r="Q1831" s="413">
        <v>3</v>
      </c>
      <c r="R1831" s="1255">
        <v>14996650</v>
      </c>
      <c r="S1831" s="413">
        <v>3</v>
      </c>
      <c r="T1831" s="1257">
        <v>15838300</v>
      </c>
      <c r="U1831" s="413"/>
      <c r="V1831" s="418"/>
      <c r="W1831" s="413"/>
      <c r="X1831" s="1256"/>
      <c r="Y1831" s="409">
        <f t="shared" si="532"/>
        <v>6</v>
      </c>
      <c r="Z1831" s="1258">
        <f t="shared" si="533"/>
        <v>30834950</v>
      </c>
      <c r="AA1831" s="409">
        <f t="shared" si="534"/>
        <v>42</v>
      </c>
      <c r="AB1831" s="1259">
        <f t="shared" si="535"/>
        <v>147341814</v>
      </c>
      <c r="AC1831" s="1260">
        <f t="shared" si="536"/>
        <v>58.333333333333336</v>
      </c>
      <c r="AD1831" s="1260">
        <f t="shared" si="537"/>
        <v>66.378259518049489</v>
      </c>
      <c r="AE1831" s="102"/>
      <c r="AF1831" s="201"/>
      <c r="AG1831" s="201"/>
      <c r="AH1831" s="201"/>
      <c r="AI1831" s="201"/>
      <c r="AJ1831" s="201"/>
      <c r="AK1831" s="201"/>
      <c r="AL1831" s="201"/>
      <c r="AM1831" s="201"/>
      <c r="AN1831" s="201"/>
      <c r="AO1831" s="201"/>
      <c r="AP1831" s="201"/>
      <c r="AQ1831" s="201"/>
      <c r="AR1831" s="201"/>
      <c r="AS1831" s="201"/>
      <c r="AT1831" s="201"/>
      <c r="AU1831" s="201"/>
      <c r="AV1831" s="201"/>
      <c r="AW1831" s="201"/>
      <c r="AX1831" s="201"/>
      <c r="AY1831" s="201"/>
      <c r="AZ1831" s="201"/>
      <c r="BA1831" s="201"/>
      <c r="BB1831" s="201"/>
      <c r="BC1831" s="20"/>
      <c r="BD1831" s="20"/>
      <c r="BE1831" s="20"/>
      <c r="BF1831" s="20"/>
      <c r="BG1831" s="20"/>
      <c r="BH1831" s="20"/>
      <c r="BI1831" s="20"/>
      <c r="BJ1831" s="20"/>
      <c r="BK1831" s="20"/>
      <c r="BL1831" s="20"/>
      <c r="BM1831" s="20"/>
      <c r="BN1831" s="20"/>
      <c r="BO1831" s="20"/>
      <c r="BP1831" s="20"/>
      <c r="BQ1831" s="20"/>
      <c r="BR1831" s="20"/>
      <c r="BS1831" s="20"/>
      <c r="BT1831" s="20"/>
      <c r="BU1831" s="20"/>
      <c r="BV1831" s="20"/>
      <c r="BW1831" s="20"/>
      <c r="BX1831" s="20"/>
      <c r="BY1831" s="20"/>
      <c r="BZ1831" s="20"/>
      <c r="CA1831" s="20"/>
      <c r="CB1831" s="20"/>
      <c r="CC1831" s="20"/>
      <c r="CD1831" s="20"/>
      <c r="CE1831" s="20"/>
      <c r="CF1831" s="20"/>
      <c r="CG1831" s="20"/>
      <c r="CH1831" s="20"/>
      <c r="CI1831" s="20"/>
      <c r="CJ1831" s="20"/>
      <c r="CK1831" s="20"/>
      <c r="CL1831" s="20"/>
      <c r="CM1831" s="20"/>
      <c r="CN1831" s="20"/>
      <c r="CO1831" s="20"/>
      <c r="CP1831" s="20"/>
      <c r="CQ1831" s="20"/>
      <c r="CR1831" s="20"/>
      <c r="CS1831" s="20"/>
      <c r="CT1831" s="20"/>
      <c r="CU1831" s="20"/>
      <c r="CV1831" s="20"/>
      <c r="CW1831" s="20"/>
      <c r="CX1831" s="20"/>
      <c r="CY1831" s="20"/>
      <c r="CZ1831" s="20"/>
      <c r="DA1831" s="20"/>
      <c r="DB1831" s="20"/>
      <c r="DC1831" s="20"/>
      <c r="DD1831" s="20"/>
      <c r="DE1831" s="20"/>
      <c r="DF1831" s="20"/>
      <c r="DG1831" s="20"/>
      <c r="DH1831" s="20"/>
      <c r="DI1831" s="20"/>
      <c r="DJ1831" s="20"/>
      <c r="DK1831" s="20"/>
      <c r="DL1831" s="20"/>
      <c r="DM1831" s="20"/>
      <c r="DN1831" s="20"/>
      <c r="DO1831" s="20"/>
      <c r="DP1831" s="20"/>
      <c r="DQ1831" s="20"/>
      <c r="DR1831" s="20"/>
      <c r="DS1831" s="20"/>
      <c r="DT1831" s="20"/>
      <c r="DU1831" s="20"/>
      <c r="DV1831" s="20"/>
      <c r="DW1831" s="20"/>
      <c r="DX1831" s="20"/>
      <c r="DY1831" s="20"/>
      <c r="DZ1831" s="20"/>
      <c r="EA1831" s="20"/>
      <c r="EB1831" s="20"/>
      <c r="EC1831" s="20"/>
      <c r="ED1831" s="20"/>
      <c r="EE1831" s="20"/>
      <c r="EF1831" s="20"/>
      <c r="EG1831" s="20"/>
      <c r="EH1831" s="20"/>
      <c r="EI1831" s="20"/>
      <c r="EJ1831" s="20"/>
      <c r="EK1831" s="20"/>
      <c r="EL1831" s="20"/>
      <c r="EM1831" s="20"/>
      <c r="EN1831" s="20"/>
      <c r="EO1831" s="20"/>
      <c r="EP1831" s="20"/>
      <c r="EQ1831" s="20"/>
      <c r="ER1831" s="20"/>
      <c r="ES1831" s="20"/>
      <c r="ET1831" s="20"/>
      <c r="EU1831" s="20"/>
      <c r="EV1831" s="20"/>
      <c r="EW1831" s="20"/>
      <c r="EX1831" s="20"/>
      <c r="EY1831" s="20"/>
      <c r="EZ1831" s="20"/>
      <c r="FA1831" s="20"/>
      <c r="FB1831" s="20"/>
      <c r="FC1831" s="20"/>
      <c r="FD1831" s="20"/>
      <c r="FE1831" s="20"/>
      <c r="FF1831" s="20"/>
      <c r="FG1831" s="20"/>
      <c r="FH1831" s="20"/>
      <c r="FI1831" s="20"/>
      <c r="FJ1831" s="20"/>
      <c r="FK1831" s="20"/>
      <c r="FL1831" s="20"/>
      <c r="FM1831" s="20"/>
      <c r="FN1831" s="20"/>
      <c r="FO1831" s="20"/>
      <c r="FP1831" s="20"/>
      <c r="FQ1831" s="20"/>
      <c r="FR1831" s="20"/>
      <c r="FS1831" s="20"/>
      <c r="FT1831" s="20"/>
      <c r="FU1831" s="20"/>
      <c r="FV1831" s="20"/>
      <c r="FW1831" s="20"/>
      <c r="FX1831" s="20"/>
      <c r="FY1831" s="20"/>
      <c r="FZ1831" s="20"/>
      <c r="GA1831" s="20"/>
      <c r="GB1831" s="20"/>
      <c r="GC1831" s="20"/>
      <c r="GD1831" s="20"/>
      <c r="GE1831" s="20"/>
      <c r="GF1831" s="20"/>
      <c r="GG1831" s="20"/>
      <c r="GH1831" s="20"/>
      <c r="GI1831" s="20"/>
      <c r="GJ1831" s="20"/>
      <c r="GK1831" s="20"/>
      <c r="GL1831" s="20"/>
      <c r="GM1831" s="20"/>
      <c r="GN1831" s="20"/>
      <c r="GO1831" s="20"/>
      <c r="GP1831" s="20"/>
      <c r="GQ1831" s="20"/>
      <c r="GR1831" s="20"/>
      <c r="GS1831" s="20"/>
      <c r="GT1831" s="20"/>
      <c r="GU1831" s="20"/>
      <c r="GV1831" s="20"/>
      <c r="GW1831" s="20"/>
      <c r="GX1831" s="20"/>
      <c r="GY1831" s="20"/>
      <c r="GZ1831" s="20"/>
      <c r="HA1831" s="20"/>
      <c r="HB1831" s="20"/>
      <c r="HC1831" s="20"/>
      <c r="HD1831" s="20"/>
      <c r="HE1831" s="20"/>
      <c r="HF1831" s="20"/>
      <c r="HG1831" s="20"/>
      <c r="HH1831" s="20"/>
      <c r="HI1831" s="20"/>
      <c r="HJ1831" s="20"/>
      <c r="HK1831" s="20"/>
      <c r="HL1831" s="20"/>
      <c r="HM1831" s="20"/>
      <c r="HN1831" s="20"/>
      <c r="HO1831" s="20"/>
      <c r="HP1831" s="20"/>
      <c r="HQ1831" s="20"/>
      <c r="HR1831" s="20"/>
      <c r="HS1831" s="20"/>
      <c r="HT1831" s="20"/>
      <c r="HU1831" s="20"/>
      <c r="HV1831" s="20"/>
      <c r="HW1831" s="20"/>
      <c r="HX1831" s="20"/>
      <c r="HY1831" s="20"/>
      <c r="HZ1831" s="20"/>
      <c r="IA1831" s="20"/>
      <c r="IB1831" s="20"/>
      <c r="IC1831" s="20"/>
      <c r="ID1831" s="20"/>
      <c r="IE1831" s="20"/>
      <c r="IF1831" s="20"/>
      <c r="IG1831" s="20"/>
      <c r="IH1831" s="20"/>
      <c r="II1831" s="20"/>
      <c r="IJ1831" s="20"/>
      <c r="IK1831" s="20"/>
      <c r="IL1831" s="20"/>
      <c r="IM1831" s="20"/>
      <c r="IN1831" s="20"/>
      <c r="IO1831" s="20"/>
    </row>
    <row r="1832" spans="1:249" ht="82.5">
      <c r="A1832" s="410"/>
      <c r="B1832" s="409"/>
      <c r="C1832" s="1253">
        <v>3</v>
      </c>
      <c r="D1832" s="1164" t="s">
        <v>34</v>
      </c>
      <c r="E1832" s="1164" t="s">
        <v>78</v>
      </c>
      <c r="F1832" s="1164" t="s">
        <v>25</v>
      </c>
      <c r="G1832" s="1164" t="s">
        <v>25</v>
      </c>
      <c r="H1832" s="410">
        <v>11</v>
      </c>
      <c r="I1832" s="280" t="s">
        <v>617</v>
      </c>
      <c r="J1832" s="280" t="s">
        <v>1766</v>
      </c>
      <c r="K1832" s="417">
        <v>72</v>
      </c>
      <c r="L1832" s="1255">
        <v>302143000</v>
      </c>
      <c r="M1832" s="413">
        <v>36</v>
      </c>
      <c r="N1832" s="415">
        <v>151963600</v>
      </c>
      <c r="O1832" s="413">
        <v>12</v>
      </c>
      <c r="P1832" s="1256">
        <v>80081700</v>
      </c>
      <c r="Q1832" s="413">
        <v>3</v>
      </c>
      <c r="R1832" s="1255">
        <v>6728000</v>
      </c>
      <c r="S1832" s="413">
        <v>3</v>
      </c>
      <c r="T1832" s="1257">
        <v>7245000</v>
      </c>
      <c r="U1832" s="413"/>
      <c r="V1832" s="418"/>
      <c r="W1832" s="413"/>
      <c r="X1832" s="1256"/>
      <c r="Y1832" s="409">
        <f t="shared" si="532"/>
        <v>6</v>
      </c>
      <c r="Z1832" s="1258">
        <f t="shared" si="533"/>
        <v>13973000</v>
      </c>
      <c r="AA1832" s="409">
        <f t="shared" si="534"/>
        <v>42</v>
      </c>
      <c r="AB1832" s="1259">
        <f t="shared" si="535"/>
        <v>165936600</v>
      </c>
      <c r="AC1832" s="1260">
        <f t="shared" si="536"/>
        <v>58.333333333333336</v>
      </c>
      <c r="AD1832" s="1260">
        <f t="shared" si="537"/>
        <v>54.919888926766468</v>
      </c>
      <c r="AE1832" s="102"/>
      <c r="AF1832" s="201"/>
      <c r="AG1832" s="201"/>
      <c r="AH1832" s="201"/>
      <c r="AI1832" s="201"/>
      <c r="AJ1832" s="201"/>
      <c r="AK1832" s="201"/>
      <c r="AL1832" s="201"/>
      <c r="AM1832" s="201"/>
      <c r="AN1832" s="201"/>
      <c r="AO1832" s="201"/>
      <c r="AP1832" s="201"/>
      <c r="AQ1832" s="201"/>
      <c r="AR1832" s="201"/>
      <c r="AS1832" s="201"/>
      <c r="AT1832" s="201"/>
      <c r="AU1832" s="201"/>
      <c r="AV1832" s="201"/>
      <c r="AW1832" s="201"/>
      <c r="AX1832" s="201"/>
      <c r="AY1832" s="201"/>
      <c r="AZ1832" s="201"/>
      <c r="BA1832" s="201"/>
      <c r="BB1832" s="201"/>
      <c r="BC1832" s="20"/>
      <c r="BD1832" s="20"/>
      <c r="BE1832" s="20"/>
      <c r="BF1832" s="20"/>
      <c r="BG1832" s="20"/>
      <c r="BH1832" s="20"/>
      <c r="BI1832" s="20"/>
      <c r="BJ1832" s="20"/>
      <c r="BK1832" s="20"/>
      <c r="BL1832" s="20"/>
      <c r="BM1832" s="20"/>
      <c r="BN1832" s="20"/>
      <c r="BO1832" s="20"/>
      <c r="BP1832" s="20"/>
      <c r="BQ1832" s="20"/>
      <c r="BR1832" s="20"/>
      <c r="BS1832" s="20"/>
      <c r="BT1832" s="20"/>
      <c r="BU1832" s="20"/>
      <c r="BV1832" s="20"/>
      <c r="BW1832" s="20"/>
      <c r="BX1832" s="20"/>
      <c r="BY1832" s="20"/>
      <c r="BZ1832" s="20"/>
      <c r="CA1832" s="20"/>
      <c r="CB1832" s="20"/>
      <c r="CC1832" s="20"/>
      <c r="CD1832" s="20"/>
      <c r="CE1832" s="20"/>
      <c r="CF1832" s="20"/>
      <c r="CG1832" s="20"/>
      <c r="CH1832" s="20"/>
      <c r="CI1832" s="20"/>
      <c r="CJ1832" s="20"/>
      <c r="CK1832" s="20"/>
      <c r="CL1832" s="20"/>
      <c r="CM1832" s="20"/>
      <c r="CN1832" s="20"/>
      <c r="CO1832" s="20"/>
      <c r="CP1832" s="20"/>
      <c r="CQ1832" s="20"/>
      <c r="CR1832" s="20"/>
      <c r="CS1832" s="20"/>
      <c r="CT1832" s="20"/>
      <c r="CU1832" s="20"/>
      <c r="CV1832" s="20"/>
      <c r="CW1832" s="20"/>
      <c r="CX1832" s="20"/>
      <c r="CY1832" s="20"/>
      <c r="CZ1832" s="20"/>
      <c r="DA1832" s="20"/>
      <c r="DB1832" s="20"/>
      <c r="DC1832" s="20"/>
      <c r="DD1832" s="20"/>
      <c r="DE1832" s="20"/>
      <c r="DF1832" s="20"/>
      <c r="DG1832" s="20"/>
      <c r="DH1832" s="20"/>
      <c r="DI1832" s="20"/>
      <c r="DJ1832" s="20"/>
      <c r="DK1832" s="20"/>
      <c r="DL1832" s="20"/>
      <c r="DM1832" s="20"/>
      <c r="DN1832" s="20"/>
      <c r="DO1832" s="20"/>
      <c r="DP1832" s="20"/>
      <c r="DQ1832" s="20"/>
      <c r="DR1832" s="20"/>
      <c r="DS1832" s="20"/>
      <c r="DT1832" s="20"/>
      <c r="DU1832" s="20"/>
      <c r="DV1832" s="20"/>
      <c r="DW1832" s="20"/>
      <c r="DX1832" s="20"/>
      <c r="DY1832" s="20"/>
      <c r="DZ1832" s="20"/>
      <c r="EA1832" s="20"/>
      <c r="EB1832" s="20"/>
      <c r="EC1832" s="20"/>
      <c r="ED1832" s="20"/>
      <c r="EE1832" s="20"/>
      <c r="EF1832" s="20"/>
      <c r="EG1832" s="20"/>
      <c r="EH1832" s="20"/>
      <c r="EI1832" s="20"/>
      <c r="EJ1832" s="20"/>
      <c r="EK1832" s="20"/>
      <c r="EL1832" s="20"/>
      <c r="EM1832" s="20"/>
      <c r="EN1832" s="20"/>
      <c r="EO1832" s="20"/>
      <c r="EP1832" s="20"/>
      <c r="EQ1832" s="20"/>
      <c r="ER1832" s="20"/>
      <c r="ES1832" s="20"/>
      <c r="ET1832" s="20"/>
      <c r="EU1832" s="20"/>
      <c r="EV1832" s="20"/>
      <c r="EW1832" s="20"/>
      <c r="EX1832" s="20"/>
      <c r="EY1832" s="20"/>
      <c r="EZ1832" s="20"/>
      <c r="FA1832" s="20"/>
      <c r="FB1832" s="20"/>
      <c r="FC1832" s="20"/>
      <c r="FD1832" s="20"/>
      <c r="FE1832" s="20"/>
      <c r="FF1832" s="20"/>
      <c r="FG1832" s="20"/>
      <c r="FH1832" s="20"/>
      <c r="FI1832" s="20"/>
      <c r="FJ1832" s="20"/>
      <c r="FK1832" s="20"/>
      <c r="FL1832" s="20"/>
      <c r="FM1832" s="20"/>
      <c r="FN1832" s="20"/>
      <c r="FO1832" s="20"/>
      <c r="FP1832" s="20"/>
      <c r="FQ1832" s="20"/>
      <c r="FR1832" s="20"/>
      <c r="FS1832" s="20"/>
      <c r="FT1832" s="20"/>
      <c r="FU1832" s="20"/>
      <c r="FV1832" s="20"/>
      <c r="FW1832" s="20"/>
      <c r="FX1832" s="20"/>
      <c r="FY1832" s="20"/>
      <c r="FZ1832" s="20"/>
      <c r="GA1832" s="20"/>
      <c r="GB1832" s="20"/>
      <c r="GC1832" s="20"/>
      <c r="GD1832" s="20"/>
      <c r="GE1832" s="20"/>
      <c r="GF1832" s="20"/>
      <c r="GG1832" s="20"/>
      <c r="GH1832" s="20"/>
      <c r="GI1832" s="20"/>
      <c r="GJ1832" s="20"/>
      <c r="GK1832" s="20"/>
      <c r="GL1832" s="20"/>
      <c r="GM1832" s="20"/>
      <c r="GN1832" s="20"/>
      <c r="GO1832" s="20"/>
      <c r="GP1832" s="20"/>
      <c r="GQ1832" s="20"/>
      <c r="GR1832" s="20"/>
      <c r="GS1832" s="20"/>
      <c r="GT1832" s="20"/>
      <c r="GU1832" s="20"/>
      <c r="GV1832" s="20"/>
      <c r="GW1832" s="20"/>
      <c r="GX1832" s="20"/>
      <c r="GY1832" s="20"/>
      <c r="GZ1832" s="20"/>
      <c r="HA1832" s="20"/>
      <c r="HB1832" s="20"/>
      <c r="HC1832" s="20"/>
      <c r="HD1832" s="20"/>
      <c r="HE1832" s="20"/>
      <c r="HF1832" s="20"/>
      <c r="HG1832" s="20"/>
      <c r="HH1832" s="20"/>
      <c r="HI1832" s="20"/>
      <c r="HJ1832" s="20"/>
      <c r="HK1832" s="20"/>
      <c r="HL1832" s="20"/>
      <c r="HM1832" s="20"/>
      <c r="HN1832" s="20"/>
      <c r="HO1832" s="20"/>
      <c r="HP1832" s="20"/>
      <c r="HQ1832" s="20"/>
      <c r="HR1832" s="20"/>
      <c r="HS1832" s="20"/>
      <c r="HT1832" s="20"/>
      <c r="HU1832" s="20"/>
      <c r="HV1832" s="20"/>
      <c r="HW1832" s="20"/>
      <c r="HX1832" s="20"/>
      <c r="HY1832" s="20"/>
      <c r="HZ1832" s="20"/>
      <c r="IA1832" s="20"/>
      <c r="IB1832" s="20"/>
      <c r="IC1832" s="20"/>
      <c r="ID1832" s="20"/>
      <c r="IE1832" s="20"/>
      <c r="IF1832" s="20"/>
      <c r="IG1832" s="20"/>
      <c r="IH1832" s="20"/>
      <c r="II1832" s="20"/>
      <c r="IJ1832" s="20"/>
      <c r="IK1832" s="20"/>
      <c r="IL1832" s="20"/>
      <c r="IM1832" s="20"/>
      <c r="IN1832" s="20"/>
      <c r="IO1832" s="20"/>
    </row>
    <row r="1833" spans="1:249" ht="82.5">
      <c r="A1833" s="410"/>
      <c r="B1833" s="409"/>
      <c r="C1833" s="1253">
        <v>3</v>
      </c>
      <c r="D1833" s="1164" t="s">
        <v>34</v>
      </c>
      <c r="E1833" s="1164" t="s">
        <v>78</v>
      </c>
      <c r="F1833" s="1164" t="s">
        <v>25</v>
      </c>
      <c r="G1833" s="1164" t="s">
        <v>25</v>
      </c>
      <c r="H1833" s="410">
        <v>12</v>
      </c>
      <c r="I1833" s="280" t="s">
        <v>618</v>
      </c>
      <c r="J1833" s="280" t="s">
        <v>1767</v>
      </c>
      <c r="K1833" s="417">
        <v>72</v>
      </c>
      <c r="L1833" s="1255">
        <v>75025000</v>
      </c>
      <c r="M1833" s="413">
        <v>36</v>
      </c>
      <c r="N1833" s="415">
        <v>52439700</v>
      </c>
      <c r="O1833" s="413">
        <v>12</v>
      </c>
      <c r="P1833" s="1256">
        <v>8866300</v>
      </c>
      <c r="Q1833" s="413">
        <v>3</v>
      </c>
      <c r="R1833" s="1255">
        <v>4278500</v>
      </c>
      <c r="S1833" s="413">
        <v>3</v>
      </c>
      <c r="T1833" s="1257">
        <v>2186500</v>
      </c>
      <c r="U1833" s="413"/>
      <c r="V1833" s="418"/>
      <c r="W1833" s="413"/>
      <c r="X1833" s="1256"/>
      <c r="Y1833" s="409">
        <f t="shared" si="532"/>
        <v>6</v>
      </c>
      <c r="Z1833" s="1258">
        <f t="shared" si="533"/>
        <v>6465000</v>
      </c>
      <c r="AA1833" s="409">
        <f t="shared" si="534"/>
        <v>42</v>
      </c>
      <c r="AB1833" s="1259">
        <f t="shared" si="535"/>
        <v>58904700</v>
      </c>
      <c r="AC1833" s="1260">
        <f t="shared" si="536"/>
        <v>58.333333333333336</v>
      </c>
      <c r="AD1833" s="1260">
        <f t="shared" si="537"/>
        <v>78.513428857047657</v>
      </c>
      <c r="AE1833" s="102"/>
      <c r="AF1833" s="201"/>
      <c r="AG1833" s="201"/>
      <c r="AH1833" s="201"/>
      <c r="AI1833" s="201"/>
      <c r="AJ1833" s="201"/>
      <c r="AK1833" s="201"/>
      <c r="AL1833" s="201"/>
      <c r="AM1833" s="201"/>
      <c r="AN1833" s="201"/>
      <c r="AO1833" s="201"/>
      <c r="AP1833" s="201"/>
      <c r="AQ1833" s="201"/>
      <c r="AR1833" s="201"/>
      <c r="AS1833" s="201"/>
      <c r="AT1833" s="201"/>
      <c r="AU1833" s="201"/>
      <c r="AV1833" s="201"/>
      <c r="AW1833" s="201"/>
      <c r="AX1833" s="201"/>
      <c r="AY1833" s="201"/>
      <c r="AZ1833" s="201"/>
      <c r="BA1833" s="201"/>
      <c r="BB1833" s="201"/>
      <c r="BC1833" s="20"/>
      <c r="BD1833" s="20"/>
      <c r="BE1833" s="20"/>
      <c r="BF1833" s="20"/>
      <c r="BG1833" s="20"/>
      <c r="BH1833" s="20"/>
      <c r="BI1833" s="20"/>
      <c r="BJ1833" s="20"/>
      <c r="BK1833" s="20"/>
      <c r="BL1833" s="20"/>
      <c r="BM1833" s="20"/>
      <c r="BN1833" s="20"/>
      <c r="BO1833" s="20"/>
      <c r="BP1833" s="20"/>
      <c r="BQ1833" s="20"/>
      <c r="BR1833" s="20"/>
      <c r="BS1833" s="20"/>
      <c r="BT1833" s="20"/>
      <c r="BU1833" s="20"/>
      <c r="BV1833" s="20"/>
      <c r="BW1833" s="20"/>
      <c r="BX1833" s="20"/>
      <c r="BY1833" s="20"/>
      <c r="BZ1833" s="20"/>
      <c r="CA1833" s="20"/>
      <c r="CB1833" s="20"/>
      <c r="CC1833" s="20"/>
      <c r="CD1833" s="20"/>
      <c r="CE1833" s="20"/>
      <c r="CF1833" s="20"/>
      <c r="CG1833" s="20"/>
      <c r="CH1833" s="20"/>
      <c r="CI1833" s="20"/>
      <c r="CJ1833" s="20"/>
      <c r="CK1833" s="20"/>
      <c r="CL1833" s="20"/>
      <c r="CM1833" s="20"/>
      <c r="CN1833" s="20"/>
      <c r="CO1833" s="20"/>
      <c r="CP1833" s="20"/>
      <c r="CQ1833" s="20"/>
      <c r="CR1833" s="20"/>
      <c r="CS1833" s="20"/>
      <c r="CT1833" s="20"/>
      <c r="CU1833" s="20"/>
      <c r="CV1833" s="20"/>
      <c r="CW1833" s="20"/>
      <c r="CX1833" s="20"/>
      <c r="CY1833" s="20"/>
      <c r="CZ1833" s="20"/>
      <c r="DA1833" s="20"/>
      <c r="DB1833" s="20"/>
      <c r="DC1833" s="20"/>
      <c r="DD1833" s="20"/>
      <c r="DE1833" s="20"/>
      <c r="DF1833" s="20"/>
      <c r="DG1833" s="20"/>
      <c r="DH1833" s="20"/>
      <c r="DI1833" s="20"/>
      <c r="DJ1833" s="20"/>
      <c r="DK1833" s="20"/>
      <c r="DL1833" s="20"/>
      <c r="DM1833" s="20"/>
      <c r="DN1833" s="20"/>
      <c r="DO1833" s="20"/>
      <c r="DP1833" s="20"/>
      <c r="DQ1833" s="20"/>
      <c r="DR1833" s="20"/>
      <c r="DS1833" s="20"/>
      <c r="DT1833" s="20"/>
      <c r="DU1833" s="20"/>
      <c r="DV1833" s="20"/>
      <c r="DW1833" s="20"/>
      <c r="DX1833" s="20"/>
      <c r="DY1833" s="20"/>
      <c r="DZ1833" s="20"/>
      <c r="EA1833" s="20"/>
      <c r="EB1833" s="20"/>
      <c r="EC1833" s="20"/>
      <c r="ED1833" s="20"/>
      <c r="EE1833" s="20"/>
      <c r="EF1833" s="20"/>
      <c r="EG1833" s="20"/>
      <c r="EH1833" s="20"/>
      <c r="EI1833" s="20"/>
      <c r="EJ1833" s="20"/>
      <c r="EK1833" s="20"/>
      <c r="EL1833" s="20"/>
      <c r="EM1833" s="20"/>
      <c r="EN1833" s="20"/>
      <c r="EO1833" s="20"/>
      <c r="EP1833" s="20"/>
      <c r="EQ1833" s="20"/>
      <c r="ER1833" s="20"/>
      <c r="ES1833" s="20"/>
      <c r="ET1833" s="20"/>
      <c r="EU1833" s="20"/>
      <c r="EV1833" s="20"/>
      <c r="EW1833" s="20"/>
      <c r="EX1833" s="20"/>
      <c r="EY1833" s="20"/>
      <c r="EZ1833" s="20"/>
      <c r="FA1833" s="20"/>
      <c r="FB1833" s="20"/>
      <c r="FC1833" s="20"/>
      <c r="FD1833" s="20"/>
      <c r="FE1833" s="20"/>
      <c r="FF1833" s="20"/>
      <c r="FG1833" s="20"/>
      <c r="FH1833" s="20"/>
      <c r="FI1833" s="20"/>
      <c r="FJ1833" s="20"/>
      <c r="FK1833" s="20"/>
      <c r="FL1833" s="20"/>
      <c r="FM1833" s="20"/>
      <c r="FN1833" s="20"/>
      <c r="FO1833" s="20"/>
      <c r="FP1833" s="20"/>
      <c r="FQ1833" s="20"/>
      <c r="FR1833" s="20"/>
      <c r="FS1833" s="20"/>
      <c r="FT1833" s="20"/>
      <c r="FU1833" s="20"/>
      <c r="FV1833" s="20"/>
      <c r="FW1833" s="20"/>
      <c r="FX1833" s="20"/>
      <c r="FY1833" s="20"/>
      <c r="FZ1833" s="20"/>
      <c r="GA1833" s="20"/>
      <c r="GB1833" s="20"/>
      <c r="GC1833" s="20"/>
      <c r="GD1833" s="20"/>
      <c r="GE1833" s="20"/>
      <c r="GF1833" s="20"/>
      <c r="GG1833" s="20"/>
      <c r="GH1833" s="20"/>
      <c r="GI1833" s="20"/>
      <c r="GJ1833" s="20"/>
      <c r="GK1833" s="20"/>
      <c r="GL1833" s="20"/>
      <c r="GM1833" s="20"/>
      <c r="GN1833" s="20"/>
      <c r="GO1833" s="20"/>
      <c r="GP1833" s="20"/>
      <c r="GQ1833" s="20"/>
      <c r="GR1833" s="20"/>
      <c r="GS1833" s="20"/>
      <c r="GT1833" s="20"/>
      <c r="GU1833" s="20"/>
      <c r="GV1833" s="20"/>
      <c r="GW1833" s="20"/>
      <c r="GX1833" s="20"/>
      <c r="GY1833" s="20"/>
      <c r="GZ1833" s="20"/>
      <c r="HA1833" s="20"/>
      <c r="HB1833" s="20"/>
      <c r="HC1833" s="20"/>
      <c r="HD1833" s="20"/>
      <c r="HE1833" s="20"/>
      <c r="HF1833" s="20"/>
      <c r="HG1833" s="20"/>
      <c r="HH1833" s="20"/>
      <c r="HI1833" s="20"/>
      <c r="HJ1833" s="20"/>
      <c r="HK1833" s="20"/>
      <c r="HL1833" s="20"/>
      <c r="HM1833" s="20"/>
      <c r="HN1833" s="20"/>
      <c r="HO1833" s="20"/>
      <c r="HP1833" s="20"/>
      <c r="HQ1833" s="20"/>
      <c r="HR1833" s="20"/>
      <c r="HS1833" s="20"/>
      <c r="HT1833" s="20"/>
      <c r="HU1833" s="20"/>
      <c r="HV1833" s="20"/>
      <c r="HW1833" s="20"/>
      <c r="HX1833" s="20"/>
      <c r="HY1833" s="20"/>
      <c r="HZ1833" s="20"/>
      <c r="IA1833" s="20"/>
      <c r="IB1833" s="20"/>
      <c r="IC1833" s="20"/>
      <c r="ID1833" s="20"/>
      <c r="IE1833" s="20"/>
      <c r="IF1833" s="20"/>
      <c r="IG1833" s="20"/>
      <c r="IH1833" s="20"/>
      <c r="II1833" s="20"/>
      <c r="IJ1833" s="20"/>
      <c r="IK1833" s="20"/>
      <c r="IL1833" s="20"/>
      <c r="IM1833" s="20"/>
      <c r="IN1833" s="20"/>
      <c r="IO1833" s="20"/>
    </row>
    <row r="1834" spans="1:249" ht="99">
      <c r="A1834" s="410"/>
      <c r="B1834" s="409"/>
      <c r="C1834" s="1253">
        <v>3</v>
      </c>
      <c r="D1834" s="1164" t="s">
        <v>34</v>
      </c>
      <c r="E1834" s="1164" t="s">
        <v>78</v>
      </c>
      <c r="F1834" s="1164" t="s">
        <v>25</v>
      </c>
      <c r="G1834" s="1164" t="s">
        <v>25</v>
      </c>
      <c r="H1834" s="410">
        <v>15</v>
      </c>
      <c r="I1834" s="280" t="s">
        <v>1520</v>
      </c>
      <c r="J1834" s="280" t="s">
        <v>1768</v>
      </c>
      <c r="K1834" s="417">
        <v>72</v>
      </c>
      <c r="L1834" s="1255">
        <v>77119000</v>
      </c>
      <c r="M1834" s="413">
        <v>36</v>
      </c>
      <c r="N1834" s="415">
        <v>36219000</v>
      </c>
      <c r="O1834" s="413">
        <v>12</v>
      </c>
      <c r="P1834" s="1256">
        <v>14500000</v>
      </c>
      <c r="Q1834" s="413">
        <v>3</v>
      </c>
      <c r="R1834" s="1255">
        <v>865000</v>
      </c>
      <c r="S1834" s="413">
        <v>3</v>
      </c>
      <c r="T1834" s="1257">
        <v>855000</v>
      </c>
      <c r="U1834" s="413"/>
      <c r="V1834" s="418"/>
      <c r="W1834" s="413"/>
      <c r="X1834" s="1256"/>
      <c r="Y1834" s="409">
        <f t="shared" si="532"/>
        <v>6</v>
      </c>
      <c r="Z1834" s="1258">
        <f t="shared" si="533"/>
        <v>1720000</v>
      </c>
      <c r="AA1834" s="409">
        <f t="shared" si="534"/>
        <v>42</v>
      </c>
      <c r="AB1834" s="1259">
        <f t="shared" si="535"/>
        <v>37939000</v>
      </c>
      <c r="AC1834" s="1260">
        <f t="shared" si="536"/>
        <v>58.333333333333336</v>
      </c>
      <c r="AD1834" s="1260">
        <f t="shared" si="537"/>
        <v>49.195399317937216</v>
      </c>
      <c r="AE1834" s="102"/>
      <c r="AF1834" s="201"/>
      <c r="AG1834" s="201"/>
      <c r="AH1834" s="201"/>
      <c r="AI1834" s="201"/>
      <c r="AJ1834" s="201"/>
      <c r="AK1834" s="201"/>
      <c r="AL1834" s="201"/>
      <c r="AM1834" s="201"/>
      <c r="AN1834" s="201"/>
      <c r="AO1834" s="201"/>
      <c r="AP1834" s="201"/>
      <c r="AQ1834" s="201"/>
      <c r="AR1834" s="201"/>
      <c r="AS1834" s="201"/>
      <c r="AT1834" s="201"/>
      <c r="AU1834" s="201"/>
      <c r="AV1834" s="201"/>
      <c r="AW1834" s="201"/>
      <c r="AX1834" s="201"/>
      <c r="AY1834" s="201"/>
      <c r="AZ1834" s="201"/>
      <c r="BA1834" s="201"/>
      <c r="BB1834" s="201"/>
      <c r="BC1834" s="20"/>
      <c r="BD1834" s="20"/>
      <c r="BE1834" s="20"/>
      <c r="BF1834" s="20"/>
      <c r="BG1834" s="20"/>
      <c r="BH1834" s="20"/>
      <c r="BI1834" s="20"/>
      <c r="BJ1834" s="20"/>
      <c r="BK1834" s="20"/>
      <c r="BL1834" s="20"/>
      <c r="BM1834" s="20"/>
      <c r="BN1834" s="20"/>
      <c r="BO1834" s="20"/>
      <c r="BP1834" s="20"/>
      <c r="BQ1834" s="20"/>
      <c r="BR1834" s="20"/>
      <c r="BS1834" s="20"/>
      <c r="BT1834" s="20"/>
      <c r="BU1834" s="20"/>
      <c r="BV1834" s="20"/>
      <c r="BW1834" s="20"/>
      <c r="BX1834" s="20"/>
      <c r="BY1834" s="20"/>
      <c r="BZ1834" s="20"/>
      <c r="CA1834" s="20"/>
      <c r="CB1834" s="20"/>
      <c r="CC1834" s="20"/>
      <c r="CD1834" s="20"/>
      <c r="CE1834" s="20"/>
      <c r="CF1834" s="20"/>
      <c r="CG1834" s="20"/>
      <c r="CH1834" s="20"/>
      <c r="CI1834" s="20"/>
      <c r="CJ1834" s="20"/>
      <c r="CK1834" s="20"/>
      <c r="CL1834" s="20"/>
      <c r="CM1834" s="20"/>
      <c r="CN1834" s="20"/>
      <c r="CO1834" s="20"/>
      <c r="CP1834" s="20"/>
      <c r="CQ1834" s="20"/>
      <c r="CR1834" s="20"/>
      <c r="CS1834" s="20"/>
      <c r="CT1834" s="20"/>
      <c r="CU1834" s="20"/>
      <c r="CV1834" s="20"/>
      <c r="CW1834" s="20"/>
      <c r="CX1834" s="20"/>
      <c r="CY1834" s="20"/>
      <c r="CZ1834" s="20"/>
      <c r="DA1834" s="20"/>
      <c r="DB1834" s="20"/>
      <c r="DC1834" s="20"/>
      <c r="DD1834" s="20"/>
      <c r="DE1834" s="20"/>
      <c r="DF1834" s="20"/>
      <c r="DG1834" s="20"/>
      <c r="DH1834" s="20"/>
      <c r="DI1834" s="20"/>
      <c r="DJ1834" s="20"/>
      <c r="DK1834" s="20"/>
      <c r="DL1834" s="20"/>
      <c r="DM1834" s="20"/>
      <c r="DN1834" s="20"/>
      <c r="DO1834" s="20"/>
      <c r="DP1834" s="20"/>
      <c r="DQ1834" s="20"/>
      <c r="DR1834" s="20"/>
      <c r="DS1834" s="20"/>
      <c r="DT1834" s="20"/>
      <c r="DU1834" s="20"/>
      <c r="DV1834" s="20"/>
      <c r="DW1834" s="20"/>
      <c r="DX1834" s="20"/>
      <c r="DY1834" s="20"/>
      <c r="DZ1834" s="20"/>
      <c r="EA1834" s="20"/>
      <c r="EB1834" s="20"/>
      <c r="EC1834" s="20"/>
      <c r="ED1834" s="20"/>
      <c r="EE1834" s="20"/>
      <c r="EF1834" s="20"/>
      <c r="EG1834" s="20"/>
      <c r="EH1834" s="20"/>
      <c r="EI1834" s="20"/>
      <c r="EJ1834" s="20"/>
      <c r="EK1834" s="20"/>
      <c r="EL1834" s="20"/>
      <c r="EM1834" s="20"/>
      <c r="EN1834" s="20"/>
      <c r="EO1834" s="20"/>
      <c r="EP1834" s="20"/>
      <c r="EQ1834" s="20"/>
      <c r="ER1834" s="20"/>
      <c r="ES1834" s="20"/>
      <c r="ET1834" s="20"/>
      <c r="EU1834" s="20"/>
      <c r="EV1834" s="20"/>
      <c r="EW1834" s="20"/>
      <c r="EX1834" s="20"/>
      <c r="EY1834" s="20"/>
      <c r="EZ1834" s="20"/>
      <c r="FA1834" s="20"/>
      <c r="FB1834" s="20"/>
      <c r="FC1834" s="20"/>
      <c r="FD1834" s="20"/>
      <c r="FE1834" s="20"/>
      <c r="FF1834" s="20"/>
      <c r="FG1834" s="20"/>
      <c r="FH1834" s="20"/>
      <c r="FI1834" s="20"/>
      <c r="FJ1834" s="20"/>
      <c r="FK1834" s="20"/>
      <c r="FL1834" s="20"/>
      <c r="FM1834" s="20"/>
      <c r="FN1834" s="20"/>
      <c r="FO1834" s="20"/>
      <c r="FP1834" s="20"/>
      <c r="FQ1834" s="20"/>
      <c r="FR1834" s="20"/>
      <c r="FS1834" s="20"/>
      <c r="FT1834" s="20"/>
      <c r="FU1834" s="20"/>
      <c r="FV1834" s="20"/>
      <c r="FW1834" s="20"/>
      <c r="FX1834" s="20"/>
      <c r="FY1834" s="20"/>
      <c r="FZ1834" s="20"/>
      <c r="GA1834" s="20"/>
      <c r="GB1834" s="20"/>
      <c r="GC1834" s="20"/>
      <c r="GD1834" s="20"/>
      <c r="GE1834" s="20"/>
      <c r="GF1834" s="20"/>
      <c r="GG1834" s="20"/>
      <c r="GH1834" s="20"/>
      <c r="GI1834" s="20"/>
      <c r="GJ1834" s="20"/>
      <c r="GK1834" s="20"/>
      <c r="GL1834" s="20"/>
      <c r="GM1834" s="20"/>
      <c r="GN1834" s="20"/>
      <c r="GO1834" s="20"/>
      <c r="GP1834" s="20"/>
      <c r="GQ1834" s="20"/>
      <c r="GR1834" s="20"/>
      <c r="GS1834" s="20"/>
      <c r="GT1834" s="20"/>
      <c r="GU1834" s="20"/>
      <c r="GV1834" s="20"/>
      <c r="GW1834" s="20"/>
      <c r="GX1834" s="20"/>
      <c r="GY1834" s="20"/>
      <c r="GZ1834" s="20"/>
      <c r="HA1834" s="20"/>
      <c r="HB1834" s="20"/>
      <c r="HC1834" s="20"/>
      <c r="HD1834" s="20"/>
      <c r="HE1834" s="20"/>
      <c r="HF1834" s="20"/>
      <c r="HG1834" s="20"/>
      <c r="HH1834" s="20"/>
      <c r="HI1834" s="20"/>
      <c r="HJ1834" s="20"/>
      <c r="HK1834" s="20"/>
      <c r="HL1834" s="20"/>
      <c r="HM1834" s="20"/>
      <c r="HN1834" s="20"/>
      <c r="HO1834" s="20"/>
      <c r="HP1834" s="20"/>
      <c r="HQ1834" s="20"/>
      <c r="HR1834" s="20"/>
      <c r="HS1834" s="20"/>
      <c r="HT1834" s="20"/>
      <c r="HU1834" s="20"/>
      <c r="HV1834" s="20"/>
      <c r="HW1834" s="20"/>
      <c r="HX1834" s="20"/>
      <c r="HY1834" s="20"/>
      <c r="HZ1834" s="20"/>
      <c r="IA1834" s="20"/>
      <c r="IB1834" s="20"/>
      <c r="IC1834" s="20"/>
      <c r="ID1834" s="20"/>
      <c r="IE1834" s="20"/>
      <c r="IF1834" s="20"/>
      <c r="IG1834" s="20"/>
      <c r="IH1834" s="20"/>
      <c r="II1834" s="20"/>
      <c r="IJ1834" s="20"/>
      <c r="IK1834" s="20"/>
      <c r="IL1834" s="20"/>
      <c r="IM1834" s="20"/>
      <c r="IN1834" s="20"/>
      <c r="IO1834" s="20"/>
    </row>
    <row r="1835" spans="1:249" ht="66">
      <c r="A1835" s="410"/>
      <c r="B1835" s="409"/>
      <c r="C1835" s="1253">
        <v>3</v>
      </c>
      <c r="D1835" s="1164" t="s">
        <v>34</v>
      </c>
      <c r="E1835" s="1164" t="s">
        <v>78</v>
      </c>
      <c r="F1835" s="1164" t="s">
        <v>25</v>
      </c>
      <c r="G1835" s="1164" t="s">
        <v>25</v>
      </c>
      <c r="H1835" s="410">
        <v>17</v>
      </c>
      <c r="I1835" s="280" t="s">
        <v>620</v>
      </c>
      <c r="J1835" s="280" t="s">
        <v>1769</v>
      </c>
      <c r="K1835" s="417">
        <v>72</v>
      </c>
      <c r="L1835" s="1255">
        <v>240333000</v>
      </c>
      <c r="M1835" s="413">
        <v>36</v>
      </c>
      <c r="N1835" s="415">
        <v>99533000</v>
      </c>
      <c r="O1835" s="413">
        <v>12</v>
      </c>
      <c r="P1835" s="1256">
        <v>44577500</v>
      </c>
      <c r="Q1835" s="413">
        <v>3</v>
      </c>
      <c r="R1835" s="1255">
        <v>6050000</v>
      </c>
      <c r="S1835" s="413">
        <v>3</v>
      </c>
      <c r="T1835" s="1257">
        <v>1980000</v>
      </c>
      <c r="U1835" s="413"/>
      <c r="V1835" s="418"/>
      <c r="W1835" s="413"/>
      <c r="X1835" s="1256"/>
      <c r="Y1835" s="409">
        <f t="shared" si="532"/>
        <v>6</v>
      </c>
      <c r="Z1835" s="1258">
        <f t="shared" si="533"/>
        <v>8030000</v>
      </c>
      <c r="AA1835" s="409">
        <f t="shared" si="534"/>
        <v>42</v>
      </c>
      <c r="AB1835" s="1259">
        <f t="shared" si="535"/>
        <v>107563000</v>
      </c>
      <c r="AC1835" s="1260">
        <f t="shared" si="536"/>
        <v>58.333333333333336</v>
      </c>
      <c r="AD1835" s="1260">
        <f t="shared" si="537"/>
        <v>44.75581796923435</v>
      </c>
      <c r="AE1835" s="102"/>
      <c r="AF1835" s="201"/>
      <c r="AG1835" s="201"/>
      <c r="AH1835" s="201"/>
      <c r="AI1835" s="201"/>
      <c r="AJ1835" s="201"/>
      <c r="AK1835" s="201"/>
      <c r="AL1835" s="201"/>
      <c r="AM1835" s="201"/>
      <c r="AN1835" s="201"/>
      <c r="AO1835" s="201"/>
      <c r="AP1835" s="201"/>
      <c r="AQ1835" s="201"/>
      <c r="AR1835" s="201"/>
      <c r="AS1835" s="201"/>
      <c r="AT1835" s="201"/>
      <c r="AU1835" s="201"/>
      <c r="AV1835" s="201"/>
      <c r="AW1835" s="201"/>
      <c r="AX1835" s="201"/>
      <c r="AY1835" s="201"/>
      <c r="AZ1835" s="201"/>
      <c r="BA1835" s="201"/>
      <c r="BB1835" s="201"/>
      <c r="BC1835" s="20"/>
      <c r="BD1835" s="20"/>
      <c r="BE1835" s="20"/>
      <c r="BF1835" s="20"/>
      <c r="BG1835" s="20"/>
      <c r="BH1835" s="20"/>
      <c r="BI1835" s="20"/>
      <c r="BJ1835" s="20"/>
      <c r="BK1835" s="20"/>
      <c r="BL1835" s="20"/>
      <c r="BM1835" s="20"/>
      <c r="BN1835" s="20"/>
      <c r="BO1835" s="20"/>
      <c r="BP1835" s="20"/>
      <c r="BQ1835" s="20"/>
      <c r="BR1835" s="20"/>
      <c r="BS1835" s="20"/>
      <c r="BT1835" s="20"/>
      <c r="BU1835" s="20"/>
      <c r="BV1835" s="20"/>
      <c r="BW1835" s="20"/>
      <c r="BX1835" s="20"/>
      <c r="BY1835" s="20"/>
      <c r="BZ1835" s="20"/>
      <c r="CA1835" s="20"/>
      <c r="CB1835" s="20"/>
      <c r="CC1835" s="20"/>
      <c r="CD1835" s="20"/>
      <c r="CE1835" s="20"/>
      <c r="CF1835" s="20"/>
      <c r="CG1835" s="20"/>
      <c r="CH1835" s="20"/>
      <c r="CI1835" s="20"/>
      <c r="CJ1835" s="20"/>
      <c r="CK1835" s="20"/>
      <c r="CL1835" s="20"/>
      <c r="CM1835" s="20"/>
      <c r="CN1835" s="20"/>
      <c r="CO1835" s="20"/>
      <c r="CP1835" s="20"/>
      <c r="CQ1835" s="20"/>
      <c r="CR1835" s="20"/>
      <c r="CS1835" s="20"/>
      <c r="CT1835" s="20"/>
      <c r="CU1835" s="20"/>
      <c r="CV1835" s="20"/>
      <c r="CW1835" s="20"/>
      <c r="CX1835" s="20"/>
      <c r="CY1835" s="20"/>
      <c r="CZ1835" s="20"/>
      <c r="DA1835" s="20"/>
      <c r="DB1835" s="20"/>
      <c r="DC1835" s="20"/>
      <c r="DD1835" s="20"/>
      <c r="DE1835" s="20"/>
      <c r="DF1835" s="20"/>
      <c r="DG1835" s="20"/>
      <c r="DH1835" s="20"/>
      <c r="DI1835" s="20"/>
      <c r="DJ1835" s="20"/>
      <c r="DK1835" s="20"/>
      <c r="DL1835" s="20"/>
      <c r="DM1835" s="20"/>
      <c r="DN1835" s="20"/>
      <c r="DO1835" s="20"/>
      <c r="DP1835" s="20"/>
      <c r="DQ1835" s="20"/>
      <c r="DR1835" s="20"/>
      <c r="DS1835" s="20"/>
      <c r="DT1835" s="20"/>
      <c r="DU1835" s="20"/>
      <c r="DV1835" s="20"/>
      <c r="DW1835" s="20"/>
      <c r="DX1835" s="20"/>
      <c r="DY1835" s="20"/>
      <c r="DZ1835" s="20"/>
      <c r="EA1835" s="20"/>
      <c r="EB1835" s="20"/>
      <c r="EC1835" s="20"/>
      <c r="ED1835" s="20"/>
      <c r="EE1835" s="20"/>
      <c r="EF1835" s="20"/>
      <c r="EG1835" s="20"/>
      <c r="EH1835" s="20"/>
      <c r="EI1835" s="20"/>
      <c r="EJ1835" s="20"/>
      <c r="EK1835" s="20"/>
      <c r="EL1835" s="20"/>
      <c r="EM1835" s="20"/>
      <c r="EN1835" s="20"/>
      <c r="EO1835" s="20"/>
      <c r="EP1835" s="20"/>
      <c r="EQ1835" s="20"/>
      <c r="ER1835" s="20"/>
      <c r="ES1835" s="20"/>
      <c r="ET1835" s="20"/>
      <c r="EU1835" s="20"/>
      <c r="EV1835" s="20"/>
      <c r="EW1835" s="20"/>
      <c r="EX1835" s="20"/>
      <c r="EY1835" s="20"/>
      <c r="EZ1835" s="20"/>
      <c r="FA1835" s="20"/>
      <c r="FB1835" s="20"/>
      <c r="FC1835" s="20"/>
      <c r="FD1835" s="20"/>
      <c r="FE1835" s="20"/>
      <c r="FF1835" s="20"/>
      <c r="FG1835" s="20"/>
      <c r="FH1835" s="20"/>
      <c r="FI1835" s="20"/>
      <c r="FJ1835" s="20"/>
      <c r="FK1835" s="20"/>
      <c r="FL1835" s="20"/>
      <c r="FM1835" s="20"/>
      <c r="FN1835" s="20"/>
      <c r="FO1835" s="20"/>
      <c r="FP1835" s="20"/>
      <c r="FQ1835" s="20"/>
      <c r="FR1835" s="20"/>
      <c r="FS1835" s="20"/>
      <c r="FT1835" s="20"/>
      <c r="FU1835" s="20"/>
      <c r="FV1835" s="20"/>
      <c r="FW1835" s="20"/>
      <c r="FX1835" s="20"/>
      <c r="FY1835" s="20"/>
      <c r="FZ1835" s="20"/>
      <c r="GA1835" s="20"/>
      <c r="GB1835" s="20"/>
      <c r="GC1835" s="20"/>
      <c r="GD1835" s="20"/>
      <c r="GE1835" s="20"/>
      <c r="GF1835" s="20"/>
      <c r="GG1835" s="20"/>
      <c r="GH1835" s="20"/>
      <c r="GI1835" s="20"/>
      <c r="GJ1835" s="20"/>
      <c r="GK1835" s="20"/>
      <c r="GL1835" s="20"/>
      <c r="GM1835" s="20"/>
      <c r="GN1835" s="20"/>
      <c r="GO1835" s="20"/>
      <c r="GP1835" s="20"/>
      <c r="GQ1835" s="20"/>
      <c r="GR1835" s="20"/>
      <c r="GS1835" s="20"/>
      <c r="GT1835" s="20"/>
      <c r="GU1835" s="20"/>
      <c r="GV1835" s="20"/>
      <c r="GW1835" s="20"/>
      <c r="GX1835" s="20"/>
      <c r="GY1835" s="20"/>
      <c r="GZ1835" s="20"/>
      <c r="HA1835" s="20"/>
      <c r="HB1835" s="20"/>
      <c r="HC1835" s="20"/>
      <c r="HD1835" s="20"/>
      <c r="HE1835" s="20"/>
      <c r="HF1835" s="20"/>
      <c r="HG1835" s="20"/>
      <c r="HH1835" s="20"/>
      <c r="HI1835" s="20"/>
      <c r="HJ1835" s="20"/>
      <c r="HK1835" s="20"/>
      <c r="HL1835" s="20"/>
      <c r="HM1835" s="20"/>
      <c r="HN1835" s="20"/>
      <c r="HO1835" s="20"/>
      <c r="HP1835" s="20"/>
      <c r="HQ1835" s="20"/>
      <c r="HR1835" s="20"/>
      <c r="HS1835" s="20"/>
      <c r="HT1835" s="20"/>
      <c r="HU1835" s="20"/>
      <c r="HV1835" s="20"/>
      <c r="HW1835" s="20"/>
      <c r="HX1835" s="20"/>
      <c r="HY1835" s="20"/>
      <c r="HZ1835" s="20"/>
      <c r="IA1835" s="20"/>
      <c r="IB1835" s="20"/>
      <c r="IC1835" s="20"/>
      <c r="ID1835" s="20"/>
      <c r="IE1835" s="20"/>
      <c r="IF1835" s="20"/>
      <c r="IG1835" s="20"/>
      <c r="IH1835" s="20"/>
      <c r="II1835" s="20"/>
      <c r="IJ1835" s="20"/>
      <c r="IK1835" s="20"/>
      <c r="IL1835" s="20"/>
      <c r="IM1835" s="20"/>
      <c r="IN1835" s="20"/>
      <c r="IO1835" s="20"/>
    </row>
    <row r="1836" spans="1:249" ht="99">
      <c r="A1836" s="410"/>
      <c r="B1836" s="409"/>
      <c r="C1836" s="1253">
        <v>3</v>
      </c>
      <c r="D1836" s="1164" t="s">
        <v>34</v>
      </c>
      <c r="E1836" s="1164" t="s">
        <v>78</v>
      </c>
      <c r="F1836" s="1164" t="s">
        <v>25</v>
      </c>
      <c r="G1836" s="1164" t="s">
        <v>25</v>
      </c>
      <c r="H1836" s="410">
        <v>18</v>
      </c>
      <c r="I1836" s="280" t="s">
        <v>1522</v>
      </c>
      <c r="J1836" s="280" t="s">
        <v>1770</v>
      </c>
      <c r="K1836" s="417">
        <v>72</v>
      </c>
      <c r="L1836" s="1255">
        <v>832905000</v>
      </c>
      <c r="M1836" s="413">
        <v>36</v>
      </c>
      <c r="N1836" s="415">
        <v>522162954</v>
      </c>
      <c r="O1836" s="413">
        <v>12</v>
      </c>
      <c r="P1836" s="1256">
        <v>44775000</v>
      </c>
      <c r="Q1836" s="413">
        <v>3</v>
      </c>
      <c r="R1836" s="1255">
        <v>0</v>
      </c>
      <c r="S1836" s="413">
        <v>3</v>
      </c>
      <c r="T1836" s="1257">
        <v>13730000</v>
      </c>
      <c r="U1836" s="413"/>
      <c r="V1836" s="418"/>
      <c r="W1836" s="413"/>
      <c r="X1836" s="1256"/>
      <c r="Y1836" s="409">
        <f t="shared" si="532"/>
        <v>6</v>
      </c>
      <c r="Z1836" s="1258">
        <f t="shared" si="533"/>
        <v>13730000</v>
      </c>
      <c r="AA1836" s="409">
        <f t="shared" si="534"/>
        <v>42</v>
      </c>
      <c r="AB1836" s="1259">
        <f t="shared" si="535"/>
        <v>535892954</v>
      </c>
      <c r="AC1836" s="1260">
        <f t="shared" si="536"/>
        <v>58.333333333333336</v>
      </c>
      <c r="AD1836" s="1260">
        <f t="shared" si="537"/>
        <v>64.340225355832899</v>
      </c>
      <c r="AE1836" s="102"/>
      <c r="AF1836" s="201"/>
      <c r="AG1836" s="201"/>
      <c r="AH1836" s="201"/>
      <c r="AI1836" s="201"/>
      <c r="AJ1836" s="201"/>
      <c r="AK1836" s="201"/>
      <c r="AL1836" s="201"/>
      <c r="AM1836" s="201"/>
      <c r="AN1836" s="201"/>
      <c r="AO1836" s="201"/>
      <c r="AP1836" s="201"/>
      <c r="AQ1836" s="201"/>
      <c r="AR1836" s="201"/>
      <c r="AS1836" s="201"/>
      <c r="AT1836" s="201"/>
      <c r="AU1836" s="201"/>
      <c r="AV1836" s="201"/>
      <c r="AW1836" s="201"/>
      <c r="AX1836" s="201"/>
      <c r="AY1836" s="201"/>
      <c r="AZ1836" s="201"/>
      <c r="BA1836" s="201"/>
      <c r="BB1836" s="201"/>
      <c r="BC1836" s="20"/>
      <c r="BD1836" s="20"/>
      <c r="BE1836" s="20"/>
      <c r="BF1836" s="20"/>
      <c r="BG1836" s="20"/>
      <c r="BH1836" s="20"/>
      <c r="BI1836" s="20"/>
      <c r="BJ1836" s="20"/>
      <c r="BK1836" s="20"/>
      <c r="BL1836" s="20"/>
      <c r="BM1836" s="20"/>
      <c r="BN1836" s="20"/>
      <c r="BO1836" s="20"/>
      <c r="BP1836" s="20"/>
      <c r="BQ1836" s="20"/>
      <c r="BR1836" s="20"/>
      <c r="BS1836" s="20"/>
      <c r="BT1836" s="20"/>
      <c r="BU1836" s="20"/>
      <c r="BV1836" s="20"/>
      <c r="BW1836" s="20"/>
      <c r="BX1836" s="20"/>
      <c r="BY1836" s="20"/>
      <c r="BZ1836" s="20"/>
      <c r="CA1836" s="20"/>
      <c r="CB1836" s="20"/>
      <c r="CC1836" s="20"/>
      <c r="CD1836" s="20"/>
      <c r="CE1836" s="20"/>
      <c r="CF1836" s="20"/>
      <c r="CG1836" s="20"/>
      <c r="CH1836" s="20"/>
      <c r="CI1836" s="20"/>
      <c r="CJ1836" s="20"/>
      <c r="CK1836" s="20"/>
      <c r="CL1836" s="20"/>
      <c r="CM1836" s="20"/>
      <c r="CN1836" s="20"/>
      <c r="CO1836" s="20"/>
      <c r="CP1836" s="20"/>
      <c r="CQ1836" s="20"/>
      <c r="CR1836" s="20"/>
      <c r="CS1836" s="20"/>
      <c r="CT1836" s="20"/>
      <c r="CU1836" s="20"/>
      <c r="CV1836" s="20"/>
      <c r="CW1836" s="20"/>
      <c r="CX1836" s="20"/>
      <c r="CY1836" s="20"/>
      <c r="CZ1836" s="20"/>
      <c r="DA1836" s="20"/>
      <c r="DB1836" s="20"/>
      <c r="DC1836" s="20"/>
      <c r="DD1836" s="20"/>
      <c r="DE1836" s="20"/>
      <c r="DF1836" s="20"/>
      <c r="DG1836" s="20"/>
      <c r="DH1836" s="20"/>
      <c r="DI1836" s="20"/>
      <c r="DJ1836" s="20"/>
      <c r="DK1836" s="20"/>
      <c r="DL1836" s="20"/>
      <c r="DM1836" s="20"/>
      <c r="DN1836" s="20"/>
      <c r="DO1836" s="20"/>
      <c r="DP1836" s="20"/>
      <c r="DQ1836" s="20"/>
      <c r="DR1836" s="20"/>
      <c r="DS1836" s="20"/>
      <c r="DT1836" s="20"/>
      <c r="DU1836" s="20"/>
      <c r="DV1836" s="20"/>
      <c r="DW1836" s="20"/>
      <c r="DX1836" s="20"/>
      <c r="DY1836" s="20"/>
      <c r="DZ1836" s="20"/>
      <c r="EA1836" s="20"/>
      <c r="EB1836" s="20"/>
      <c r="EC1836" s="20"/>
      <c r="ED1836" s="20"/>
      <c r="EE1836" s="20"/>
      <c r="EF1836" s="20"/>
      <c r="EG1836" s="20"/>
      <c r="EH1836" s="20"/>
      <c r="EI1836" s="20"/>
      <c r="EJ1836" s="20"/>
      <c r="EK1836" s="20"/>
      <c r="EL1836" s="20"/>
      <c r="EM1836" s="20"/>
      <c r="EN1836" s="20"/>
      <c r="EO1836" s="20"/>
      <c r="EP1836" s="20"/>
      <c r="EQ1836" s="20"/>
      <c r="ER1836" s="20"/>
      <c r="ES1836" s="20"/>
      <c r="ET1836" s="20"/>
      <c r="EU1836" s="20"/>
      <c r="EV1836" s="20"/>
      <c r="EW1836" s="20"/>
      <c r="EX1836" s="20"/>
      <c r="EY1836" s="20"/>
      <c r="EZ1836" s="20"/>
      <c r="FA1836" s="20"/>
      <c r="FB1836" s="20"/>
      <c r="FC1836" s="20"/>
      <c r="FD1836" s="20"/>
      <c r="FE1836" s="20"/>
      <c r="FF1836" s="20"/>
      <c r="FG1836" s="20"/>
      <c r="FH1836" s="20"/>
      <c r="FI1836" s="20"/>
      <c r="FJ1836" s="20"/>
      <c r="FK1836" s="20"/>
      <c r="FL1836" s="20"/>
      <c r="FM1836" s="20"/>
      <c r="FN1836" s="20"/>
      <c r="FO1836" s="20"/>
      <c r="FP1836" s="20"/>
      <c r="FQ1836" s="20"/>
      <c r="FR1836" s="20"/>
      <c r="FS1836" s="20"/>
      <c r="FT1836" s="20"/>
      <c r="FU1836" s="20"/>
      <c r="FV1836" s="20"/>
      <c r="FW1836" s="20"/>
      <c r="FX1836" s="20"/>
      <c r="FY1836" s="20"/>
      <c r="FZ1836" s="20"/>
      <c r="GA1836" s="20"/>
      <c r="GB1836" s="20"/>
      <c r="GC1836" s="20"/>
      <c r="GD1836" s="20"/>
      <c r="GE1836" s="20"/>
      <c r="GF1836" s="20"/>
      <c r="GG1836" s="20"/>
      <c r="GH1836" s="20"/>
      <c r="GI1836" s="20"/>
      <c r="GJ1836" s="20"/>
      <c r="GK1836" s="20"/>
      <c r="GL1836" s="20"/>
      <c r="GM1836" s="20"/>
      <c r="GN1836" s="20"/>
      <c r="GO1836" s="20"/>
      <c r="GP1836" s="20"/>
      <c r="GQ1836" s="20"/>
      <c r="GR1836" s="20"/>
      <c r="GS1836" s="20"/>
      <c r="GT1836" s="20"/>
      <c r="GU1836" s="20"/>
      <c r="GV1836" s="20"/>
      <c r="GW1836" s="20"/>
      <c r="GX1836" s="20"/>
      <c r="GY1836" s="20"/>
      <c r="GZ1836" s="20"/>
      <c r="HA1836" s="20"/>
      <c r="HB1836" s="20"/>
      <c r="HC1836" s="20"/>
      <c r="HD1836" s="20"/>
      <c r="HE1836" s="20"/>
      <c r="HF1836" s="20"/>
      <c r="HG1836" s="20"/>
      <c r="HH1836" s="20"/>
      <c r="HI1836" s="20"/>
      <c r="HJ1836" s="20"/>
      <c r="HK1836" s="20"/>
      <c r="HL1836" s="20"/>
      <c r="HM1836" s="20"/>
      <c r="HN1836" s="20"/>
      <c r="HO1836" s="20"/>
      <c r="HP1836" s="20"/>
      <c r="HQ1836" s="20"/>
      <c r="HR1836" s="20"/>
      <c r="HS1836" s="20"/>
      <c r="HT1836" s="20"/>
      <c r="HU1836" s="20"/>
      <c r="HV1836" s="20"/>
      <c r="HW1836" s="20"/>
      <c r="HX1836" s="20"/>
      <c r="HY1836" s="20"/>
      <c r="HZ1836" s="20"/>
      <c r="IA1836" s="20"/>
      <c r="IB1836" s="20"/>
      <c r="IC1836" s="20"/>
      <c r="ID1836" s="20"/>
      <c r="IE1836" s="20"/>
      <c r="IF1836" s="20"/>
      <c r="IG1836" s="20"/>
      <c r="IH1836" s="20"/>
      <c r="II1836" s="20"/>
      <c r="IJ1836" s="20"/>
      <c r="IK1836" s="20"/>
      <c r="IL1836" s="20"/>
      <c r="IM1836" s="20"/>
      <c r="IN1836" s="20"/>
      <c r="IO1836" s="20"/>
    </row>
    <row r="1837" spans="1:249" ht="99">
      <c r="A1837" s="410"/>
      <c r="B1837" s="409"/>
      <c r="C1837" s="1253">
        <v>3</v>
      </c>
      <c r="D1837" s="1164" t="s">
        <v>34</v>
      </c>
      <c r="E1837" s="1164" t="s">
        <v>78</v>
      </c>
      <c r="F1837" s="1164" t="s">
        <v>25</v>
      </c>
      <c r="G1837" s="1164" t="s">
        <v>25</v>
      </c>
      <c r="H1837" s="410">
        <v>20</v>
      </c>
      <c r="I1837" s="280" t="s">
        <v>1523</v>
      </c>
      <c r="J1837" s="280" t="s">
        <v>1771</v>
      </c>
      <c r="K1837" s="417">
        <v>72</v>
      </c>
      <c r="L1837" s="1255">
        <v>398565000</v>
      </c>
      <c r="M1837" s="413">
        <v>36</v>
      </c>
      <c r="N1837" s="415">
        <v>207277200</v>
      </c>
      <c r="O1837" s="413">
        <v>12</v>
      </c>
      <c r="P1837" s="1256">
        <v>105600000</v>
      </c>
      <c r="Q1837" s="413">
        <v>3</v>
      </c>
      <c r="R1837" s="1255">
        <v>10025000</v>
      </c>
      <c r="S1837" s="413">
        <v>3</v>
      </c>
      <c r="T1837" s="1257">
        <v>24825000</v>
      </c>
      <c r="U1837" s="413"/>
      <c r="V1837" s="418"/>
      <c r="W1837" s="413"/>
      <c r="X1837" s="1256"/>
      <c r="Y1837" s="409">
        <f t="shared" si="532"/>
        <v>6</v>
      </c>
      <c r="Z1837" s="1258">
        <f t="shared" si="533"/>
        <v>34850000</v>
      </c>
      <c r="AA1837" s="409">
        <f t="shared" si="534"/>
        <v>42</v>
      </c>
      <c r="AB1837" s="1259">
        <f t="shared" si="535"/>
        <v>242127200</v>
      </c>
      <c r="AC1837" s="1260">
        <f t="shared" si="536"/>
        <v>58.333333333333336</v>
      </c>
      <c r="AD1837" s="1260">
        <f t="shared" si="537"/>
        <v>60.749739691141968</v>
      </c>
      <c r="AE1837" s="102"/>
      <c r="AF1837" s="201"/>
      <c r="AG1837" s="201"/>
      <c r="AH1837" s="201"/>
      <c r="AI1837" s="201"/>
      <c r="AJ1837" s="201"/>
      <c r="AK1837" s="201"/>
      <c r="AL1837" s="201"/>
      <c r="AM1837" s="201"/>
      <c r="AN1837" s="201"/>
      <c r="AO1837" s="201"/>
      <c r="AP1837" s="201"/>
      <c r="AQ1837" s="201"/>
      <c r="AR1837" s="201"/>
      <c r="AS1837" s="201"/>
      <c r="AT1837" s="201"/>
      <c r="AU1837" s="201"/>
      <c r="AV1837" s="201"/>
      <c r="AW1837" s="201"/>
      <c r="AX1837" s="201"/>
      <c r="AY1837" s="201"/>
      <c r="AZ1837" s="201"/>
      <c r="BA1837" s="201"/>
      <c r="BB1837" s="201"/>
      <c r="BC1837" s="20"/>
      <c r="BD1837" s="20"/>
      <c r="BE1837" s="20"/>
      <c r="BF1837" s="20"/>
      <c r="BG1837" s="20"/>
      <c r="BH1837" s="20"/>
      <c r="BI1837" s="20"/>
      <c r="BJ1837" s="20"/>
      <c r="BK1837" s="20"/>
      <c r="BL1837" s="20"/>
      <c r="BM1837" s="20"/>
      <c r="BN1837" s="20"/>
      <c r="BO1837" s="20"/>
      <c r="BP1837" s="20"/>
      <c r="BQ1837" s="20"/>
      <c r="BR1837" s="20"/>
      <c r="BS1837" s="20"/>
      <c r="BT1837" s="20"/>
      <c r="BU1837" s="20"/>
      <c r="BV1837" s="20"/>
      <c r="BW1837" s="20"/>
      <c r="BX1837" s="20"/>
      <c r="BY1837" s="20"/>
      <c r="BZ1837" s="20"/>
      <c r="CA1837" s="20"/>
      <c r="CB1837" s="20"/>
      <c r="CC1837" s="20"/>
      <c r="CD1837" s="20"/>
      <c r="CE1837" s="20"/>
      <c r="CF1837" s="20"/>
      <c r="CG1837" s="20"/>
      <c r="CH1837" s="20"/>
      <c r="CI1837" s="20"/>
      <c r="CJ1837" s="20"/>
      <c r="CK1837" s="20"/>
      <c r="CL1837" s="20"/>
      <c r="CM1837" s="20"/>
      <c r="CN1837" s="20"/>
      <c r="CO1837" s="20"/>
      <c r="CP1837" s="20"/>
      <c r="CQ1837" s="20"/>
      <c r="CR1837" s="20"/>
      <c r="CS1837" s="20"/>
      <c r="CT1837" s="20"/>
      <c r="CU1837" s="20"/>
      <c r="CV1837" s="20"/>
      <c r="CW1837" s="20"/>
      <c r="CX1837" s="20"/>
      <c r="CY1837" s="20"/>
      <c r="CZ1837" s="20"/>
      <c r="DA1837" s="20"/>
      <c r="DB1837" s="20"/>
      <c r="DC1837" s="20"/>
      <c r="DD1837" s="20"/>
      <c r="DE1837" s="20"/>
      <c r="DF1837" s="20"/>
      <c r="DG1837" s="20"/>
      <c r="DH1837" s="20"/>
      <c r="DI1837" s="20"/>
      <c r="DJ1837" s="20"/>
      <c r="DK1837" s="20"/>
      <c r="DL1837" s="20"/>
      <c r="DM1837" s="20"/>
      <c r="DN1837" s="20"/>
      <c r="DO1837" s="20"/>
      <c r="DP1837" s="20"/>
      <c r="DQ1837" s="20"/>
      <c r="DR1837" s="20"/>
      <c r="DS1837" s="20"/>
      <c r="DT1837" s="20"/>
      <c r="DU1837" s="20"/>
      <c r="DV1837" s="20"/>
      <c r="DW1837" s="20"/>
      <c r="DX1837" s="20"/>
      <c r="DY1837" s="20"/>
      <c r="DZ1837" s="20"/>
      <c r="EA1837" s="20"/>
      <c r="EB1837" s="20"/>
      <c r="EC1837" s="20"/>
      <c r="ED1837" s="20"/>
      <c r="EE1837" s="20"/>
      <c r="EF1837" s="20"/>
      <c r="EG1837" s="20"/>
      <c r="EH1837" s="20"/>
      <c r="EI1837" s="20"/>
      <c r="EJ1837" s="20"/>
      <c r="EK1837" s="20"/>
      <c r="EL1837" s="20"/>
      <c r="EM1837" s="20"/>
      <c r="EN1837" s="20"/>
      <c r="EO1837" s="20"/>
      <c r="EP1837" s="20"/>
      <c r="EQ1837" s="20"/>
      <c r="ER1837" s="20"/>
      <c r="ES1837" s="20"/>
      <c r="ET1837" s="20"/>
      <c r="EU1837" s="20"/>
      <c r="EV1837" s="20"/>
      <c r="EW1837" s="20"/>
      <c r="EX1837" s="20"/>
      <c r="EY1837" s="20"/>
      <c r="EZ1837" s="20"/>
      <c r="FA1837" s="20"/>
      <c r="FB1837" s="20"/>
      <c r="FC1837" s="20"/>
      <c r="FD1837" s="20"/>
      <c r="FE1837" s="20"/>
      <c r="FF1837" s="20"/>
      <c r="FG1837" s="20"/>
      <c r="FH1837" s="20"/>
      <c r="FI1837" s="20"/>
      <c r="FJ1837" s="20"/>
      <c r="FK1837" s="20"/>
      <c r="FL1837" s="20"/>
      <c r="FM1837" s="20"/>
      <c r="FN1837" s="20"/>
      <c r="FO1837" s="20"/>
      <c r="FP1837" s="20"/>
      <c r="FQ1837" s="20"/>
      <c r="FR1837" s="20"/>
      <c r="FS1837" s="20"/>
      <c r="FT1837" s="20"/>
      <c r="FU1837" s="20"/>
      <c r="FV1837" s="20"/>
      <c r="FW1837" s="20"/>
      <c r="FX1837" s="20"/>
      <c r="FY1837" s="20"/>
      <c r="FZ1837" s="20"/>
      <c r="GA1837" s="20"/>
      <c r="GB1837" s="20"/>
      <c r="GC1837" s="20"/>
      <c r="GD1837" s="20"/>
      <c r="GE1837" s="20"/>
      <c r="GF1837" s="20"/>
      <c r="GG1837" s="20"/>
      <c r="GH1837" s="20"/>
      <c r="GI1837" s="20"/>
      <c r="GJ1837" s="20"/>
      <c r="GK1837" s="20"/>
      <c r="GL1837" s="20"/>
      <c r="GM1837" s="20"/>
      <c r="GN1837" s="20"/>
      <c r="GO1837" s="20"/>
      <c r="GP1837" s="20"/>
      <c r="GQ1837" s="20"/>
      <c r="GR1837" s="20"/>
      <c r="GS1837" s="20"/>
      <c r="GT1837" s="20"/>
      <c r="GU1837" s="20"/>
      <c r="GV1837" s="20"/>
      <c r="GW1837" s="20"/>
      <c r="GX1837" s="20"/>
      <c r="GY1837" s="20"/>
      <c r="GZ1837" s="20"/>
      <c r="HA1837" s="20"/>
      <c r="HB1837" s="20"/>
      <c r="HC1837" s="20"/>
      <c r="HD1837" s="20"/>
      <c r="HE1837" s="20"/>
      <c r="HF1837" s="20"/>
      <c r="HG1837" s="20"/>
      <c r="HH1837" s="20"/>
      <c r="HI1837" s="20"/>
      <c r="HJ1837" s="20"/>
      <c r="HK1837" s="20"/>
      <c r="HL1837" s="20"/>
      <c r="HM1837" s="20"/>
      <c r="HN1837" s="20"/>
      <c r="HO1837" s="20"/>
      <c r="HP1837" s="20"/>
      <c r="HQ1837" s="20"/>
      <c r="HR1837" s="20"/>
      <c r="HS1837" s="20"/>
      <c r="HT1837" s="20"/>
      <c r="HU1837" s="20"/>
      <c r="HV1837" s="20"/>
      <c r="HW1837" s="20"/>
      <c r="HX1837" s="20"/>
      <c r="HY1837" s="20"/>
      <c r="HZ1837" s="20"/>
      <c r="IA1837" s="20"/>
      <c r="IB1837" s="20"/>
      <c r="IC1837" s="20"/>
      <c r="ID1837" s="20"/>
      <c r="IE1837" s="20"/>
      <c r="IF1837" s="20"/>
      <c r="IG1837" s="20"/>
      <c r="IH1837" s="20"/>
      <c r="II1837" s="20"/>
      <c r="IJ1837" s="20"/>
      <c r="IK1837" s="20"/>
      <c r="IL1837" s="20"/>
      <c r="IM1837" s="20"/>
      <c r="IN1837" s="20"/>
      <c r="IO1837" s="20"/>
    </row>
    <row r="1838" spans="1:249" ht="33">
      <c r="A1838" s="410"/>
      <c r="B1838" s="409"/>
      <c r="C1838" s="1253">
        <v>3</v>
      </c>
      <c r="D1838" s="1164" t="s">
        <v>34</v>
      </c>
      <c r="E1838" s="1164" t="s">
        <v>78</v>
      </c>
      <c r="F1838" s="1164" t="s">
        <v>25</v>
      </c>
      <c r="G1838" s="1164" t="s">
        <v>25</v>
      </c>
      <c r="H1838" s="410">
        <v>40</v>
      </c>
      <c r="I1838" s="6" t="s">
        <v>585</v>
      </c>
      <c r="J1838" s="280" t="s">
        <v>3267</v>
      </c>
      <c r="K1838" s="417">
        <v>9</v>
      </c>
      <c r="L1838" s="1255">
        <v>164143000</v>
      </c>
      <c r="M1838" s="413">
        <v>9</v>
      </c>
      <c r="N1838" s="415">
        <v>62040200</v>
      </c>
      <c r="O1838" s="413">
        <v>0</v>
      </c>
      <c r="P1838" s="1256">
        <v>0</v>
      </c>
      <c r="Q1838" s="413">
        <v>0</v>
      </c>
      <c r="R1838" s="1255">
        <v>0</v>
      </c>
      <c r="S1838" s="413">
        <v>3</v>
      </c>
      <c r="T1838" s="1257">
        <v>1840000</v>
      </c>
      <c r="U1838" s="413"/>
      <c r="V1838" s="418"/>
      <c r="W1838" s="413"/>
      <c r="X1838" s="1256"/>
      <c r="Y1838" s="409">
        <f t="shared" si="532"/>
        <v>3</v>
      </c>
      <c r="Z1838" s="1258">
        <f t="shared" si="533"/>
        <v>1840000</v>
      </c>
      <c r="AA1838" s="409">
        <f t="shared" si="534"/>
        <v>12</v>
      </c>
      <c r="AB1838" s="1259">
        <f t="shared" si="535"/>
        <v>63880200</v>
      </c>
      <c r="AC1838" s="1260">
        <f t="shared" si="536"/>
        <v>133.33333333333331</v>
      </c>
      <c r="AD1838" s="1260">
        <f t="shared" si="537"/>
        <v>38.917407382587129</v>
      </c>
      <c r="AE1838" s="102"/>
      <c r="AF1838" s="201"/>
      <c r="AG1838" s="201"/>
      <c r="AH1838" s="201"/>
      <c r="AI1838" s="201"/>
      <c r="AJ1838" s="201"/>
      <c r="AK1838" s="201"/>
      <c r="AL1838" s="201"/>
      <c r="AM1838" s="201"/>
      <c r="AN1838" s="201"/>
      <c r="AO1838" s="201"/>
      <c r="AP1838" s="201"/>
      <c r="AQ1838" s="201"/>
      <c r="AR1838" s="201"/>
      <c r="AS1838" s="201"/>
      <c r="AT1838" s="201"/>
      <c r="AU1838" s="201"/>
      <c r="AV1838" s="201"/>
      <c r="AW1838" s="201"/>
      <c r="AX1838" s="201"/>
      <c r="AY1838" s="201"/>
      <c r="AZ1838" s="201"/>
      <c r="BA1838" s="201"/>
      <c r="BB1838" s="201"/>
      <c r="BC1838" s="20"/>
      <c r="BD1838" s="20"/>
      <c r="BE1838" s="20"/>
      <c r="BF1838" s="20"/>
      <c r="BG1838" s="20"/>
      <c r="BH1838" s="20"/>
      <c r="BI1838" s="20"/>
      <c r="BJ1838" s="20"/>
      <c r="BK1838" s="20"/>
      <c r="BL1838" s="20"/>
      <c r="BM1838" s="20"/>
      <c r="BN1838" s="20"/>
      <c r="BO1838" s="20"/>
      <c r="BP1838" s="20"/>
      <c r="BQ1838" s="20"/>
      <c r="BR1838" s="20"/>
      <c r="BS1838" s="20"/>
      <c r="BT1838" s="20"/>
      <c r="BU1838" s="20"/>
      <c r="BV1838" s="20"/>
      <c r="BW1838" s="20"/>
      <c r="BX1838" s="20"/>
      <c r="BY1838" s="20"/>
      <c r="BZ1838" s="20"/>
      <c r="CA1838" s="20"/>
      <c r="CB1838" s="20"/>
      <c r="CC1838" s="20"/>
      <c r="CD1838" s="20"/>
      <c r="CE1838" s="20"/>
      <c r="CF1838" s="20"/>
      <c r="CG1838" s="20"/>
      <c r="CH1838" s="20"/>
      <c r="CI1838" s="20"/>
      <c r="CJ1838" s="20"/>
      <c r="CK1838" s="20"/>
      <c r="CL1838" s="20"/>
      <c r="CM1838" s="20"/>
      <c r="CN1838" s="20"/>
      <c r="CO1838" s="20"/>
      <c r="CP1838" s="20"/>
      <c r="CQ1838" s="20"/>
      <c r="CR1838" s="20"/>
      <c r="CS1838" s="20"/>
      <c r="CT1838" s="20"/>
      <c r="CU1838" s="20"/>
      <c r="CV1838" s="20"/>
      <c r="CW1838" s="20"/>
      <c r="CX1838" s="20"/>
      <c r="CY1838" s="20"/>
      <c r="CZ1838" s="20"/>
      <c r="DA1838" s="20"/>
      <c r="DB1838" s="20"/>
      <c r="DC1838" s="20"/>
      <c r="DD1838" s="20"/>
      <c r="DE1838" s="20"/>
      <c r="DF1838" s="20"/>
      <c r="DG1838" s="20"/>
      <c r="DH1838" s="20"/>
      <c r="DI1838" s="20"/>
      <c r="DJ1838" s="20"/>
      <c r="DK1838" s="20"/>
      <c r="DL1838" s="20"/>
      <c r="DM1838" s="20"/>
      <c r="DN1838" s="20"/>
      <c r="DO1838" s="20"/>
      <c r="DP1838" s="20"/>
      <c r="DQ1838" s="20"/>
      <c r="DR1838" s="20"/>
      <c r="DS1838" s="20"/>
      <c r="DT1838" s="20"/>
      <c r="DU1838" s="20"/>
      <c r="DV1838" s="20"/>
      <c r="DW1838" s="20"/>
      <c r="DX1838" s="20"/>
      <c r="DY1838" s="20"/>
      <c r="DZ1838" s="20"/>
      <c r="EA1838" s="20"/>
      <c r="EB1838" s="20"/>
      <c r="EC1838" s="20"/>
      <c r="ED1838" s="20"/>
      <c r="EE1838" s="20"/>
      <c r="EF1838" s="20"/>
      <c r="EG1838" s="20"/>
      <c r="EH1838" s="20"/>
      <c r="EI1838" s="20"/>
      <c r="EJ1838" s="20"/>
      <c r="EK1838" s="20"/>
      <c r="EL1838" s="20"/>
      <c r="EM1838" s="20"/>
      <c r="EN1838" s="20"/>
      <c r="EO1838" s="20"/>
      <c r="EP1838" s="20"/>
      <c r="EQ1838" s="20"/>
      <c r="ER1838" s="20"/>
      <c r="ES1838" s="20"/>
      <c r="ET1838" s="20"/>
      <c r="EU1838" s="20"/>
      <c r="EV1838" s="20"/>
      <c r="EW1838" s="20"/>
      <c r="EX1838" s="20"/>
      <c r="EY1838" s="20"/>
      <c r="EZ1838" s="20"/>
      <c r="FA1838" s="20"/>
      <c r="FB1838" s="20"/>
      <c r="FC1838" s="20"/>
      <c r="FD1838" s="20"/>
      <c r="FE1838" s="20"/>
      <c r="FF1838" s="20"/>
      <c r="FG1838" s="20"/>
      <c r="FH1838" s="20"/>
      <c r="FI1838" s="20"/>
      <c r="FJ1838" s="20"/>
      <c r="FK1838" s="20"/>
      <c r="FL1838" s="20"/>
      <c r="FM1838" s="20"/>
      <c r="FN1838" s="20"/>
      <c r="FO1838" s="20"/>
      <c r="FP1838" s="20"/>
      <c r="FQ1838" s="20"/>
      <c r="FR1838" s="20"/>
      <c r="FS1838" s="20"/>
      <c r="FT1838" s="20"/>
      <c r="FU1838" s="20"/>
      <c r="FV1838" s="20"/>
      <c r="FW1838" s="20"/>
      <c r="FX1838" s="20"/>
      <c r="FY1838" s="20"/>
      <c r="FZ1838" s="20"/>
      <c r="GA1838" s="20"/>
      <c r="GB1838" s="20"/>
      <c r="GC1838" s="20"/>
      <c r="GD1838" s="20"/>
      <c r="GE1838" s="20"/>
      <c r="GF1838" s="20"/>
      <c r="GG1838" s="20"/>
      <c r="GH1838" s="20"/>
      <c r="GI1838" s="20"/>
      <c r="GJ1838" s="20"/>
      <c r="GK1838" s="20"/>
      <c r="GL1838" s="20"/>
      <c r="GM1838" s="20"/>
      <c r="GN1838" s="20"/>
      <c r="GO1838" s="20"/>
      <c r="GP1838" s="20"/>
      <c r="GQ1838" s="20"/>
      <c r="GR1838" s="20"/>
      <c r="GS1838" s="20"/>
      <c r="GT1838" s="20"/>
      <c r="GU1838" s="20"/>
      <c r="GV1838" s="20"/>
      <c r="GW1838" s="20"/>
      <c r="GX1838" s="20"/>
      <c r="GY1838" s="20"/>
      <c r="GZ1838" s="20"/>
      <c r="HA1838" s="20"/>
      <c r="HB1838" s="20"/>
      <c r="HC1838" s="20"/>
      <c r="HD1838" s="20"/>
      <c r="HE1838" s="20"/>
      <c r="HF1838" s="20"/>
      <c r="HG1838" s="20"/>
      <c r="HH1838" s="20"/>
      <c r="HI1838" s="20"/>
      <c r="HJ1838" s="20"/>
      <c r="HK1838" s="20"/>
      <c r="HL1838" s="20"/>
      <c r="HM1838" s="20"/>
      <c r="HN1838" s="20"/>
      <c r="HO1838" s="20"/>
      <c r="HP1838" s="20"/>
      <c r="HQ1838" s="20"/>
      <c r="HR1838" s="20"/>
      <c r="HS1838" s="20"/>
      <c r="HT1838" s="20"/>
      <c r="HU1838" s="20"/>
      <c r="HV1838" s="20"/>
      <c r="HW1838" s="20"/>
      <c r="HX1838" s="20"/>
      <c r="HY1838" s="20"/>
      <c r="HZ1838" s="20"/>
      <c r="IA1838" s="20"/>
      <c r="IB1838" s="20"/>
      <c r="IC1838" s="20"/>
      <c r="ID1838" s="20"/>
      <c r="IE1838" s="20"/>
      <c r="IF1838" s="20"/>
      <c r="IG1838" s="20"/>
      <c r="IH1838" s="20"/>
      <c r="II1838" s="20"/>
      <c r="IJ1838" s="20"/>
      <c r="IK1838" s="20"/>
      <c r="IL1838" s="20"/>
      <c r="IM1838" s="20"/>
      <c r="IN1838" s="20"/>
      <c r="IO1838" s="20"/>
    </row>
    <row r="1839" spans="1:249" ht="66">
      <c r="A1839" s="420">
        <v>2</v>
      </c>
      <c r="B1839" s="43"/>
      <c r="C1839" s="286">
        <v>3</v>
      </c>
      <c r="D1839" s="753" t="s">
        <v>34</v>
      </c>
      <c r="E1839" s="753" t="s">
        <v>78</v>
      </c>
      <c r="F1839" s="753" t="s">
        <v>25</v>
      </c>
      <c r="G1839" s="753" t="s">
        <v>28</v>
      </c>
      <c r="H1839" s="420"/>
      <c r="I1839" s="44" t="s">
        <v>36</v>
      </c>
      <c r="J1839" s="44" t="s">
        <v>1772</v>
      </c>
      <c r="K1839" s="146">
        <v>72</v>
      </c>
      <c r="L1839" s="281">
        <f>SUM(L1840:L1844)</f>
        <v>2899457000</v>
      </c>
      <c r="M1839" s="146">
        <v>36</v>
      </c>
      <c r="N1839" s="1252">
        <f>SUM(N1840:N1844)</f>
        <v>1557325857</v>
      </c>
      <c r="O1839" s="146">
        <v>12</v>
      </c>
      <c r="P1839" s="1252">
        <f>SUM(P1840:P1844)</f>
        <v>463217000</v>
      </c>
      <c r="Q1839" s="146">
        <v>3</v>
      </c>
      <c r="R1839" s="281">
        <f>SUM(R1840:R1844)</f>
        <v>30570248</v>
      </c>
      <c r="S1839" s="286">
        <v>3</v>
      </c>
      <c r="T1839" s="1261">
        <f>SUM(T1840:T1844)</f>
        <v>251531503</v>
      </c>
      <c r="U1839" s="146">
        <v>3</v>
      </c>
      <c r="V1839" s="1261">
        <f>SUM(V1840:V1844)</f>
        <v>0</v>
      </c>
      <c r="W1839" s="146"/>
      <c r="X1839" s="1261">
        <f>SUM(X1840:X1844)</f>
        <v>0</v>
      </c>
      <c r="Y1839" s="44">
        <f t="shared" si="532"/>
        <v>9</v>
      </c>
      <c r="Z1839" s="976">
        <f t="shared" si="533"/>
        <v>282101751</v>
      </c>
      <c r="AA1839" s="44">
        <f t="shared" si="534"/>
        <v>45</v>
      </c>
      <c r="AB1839" s="976">
        <f t="shared" si="535"/>
        <v>1839427608</v>
      </c>
      <c r="AC1839" s="1262">
        <f t="shared" si="536"/>
        <v>62.5</v>
      </c>
      <c r="AD1839" s="1262">
        <f t="shared" si="537"/>
        <v>63.44041687805683</v>
      </c>
      <c r="AE1839" s="133" t="s">
        <v>1762</v>
      </c>
      <c r="AF1839" s="201"/>
      <c r="AG1839" s="201"/>
      <c r="AH1839" s="201"/>
      <c r="AI1839" s="201"/>
      <c r="AJ1839" s="201"/>
      <c r="AK1839" s="201"/>
      <c r="AL1839" s="201"/>
      <c r="AM1839" s="201"/>
      <c r="AN1839" s="201"/>
      <c r="AO1839" s="201"/>
      <c r="AP1839" s="201"/>
      <c r="AQ1839" s="201"/>
      <c r="AR1839" s="201"/>
      <c r="AS1839" s="201"/>
      <c r="AT1839" s="201"/>
      <c r="AU1839" s="201"/>
      <c r="AV1839" s="201"/>
      <c r="AW1839" s="201"/>
      <c r="AX1839" s="201"/>
      <c r="AY1839" s="201"/>
      <c r="AZ1839" s="201"/>
      <c r="BA1839" s="201"/>
      <c r="BB1839" s="201"/>
      <c r="BC1839" s="20"/>
      <c r="BD1839" s="20"/>
      <c r="BE1839" s="20"/>
      <c r="BF1839" s="20"/>
      <c r="BG1839" s="20"/>
      <c r="BH1839" s="20"/>
      <c r="BI1839" s="20"/>
      <c r="BJ1839" s="20"/>
      <c r="BK1839" s="20"/>
      <c r="BL1839" s="20"/>
      <c r="BM1839" s="20"/>
      <c r="BN1839" s="20"/>
      <c r="BO1839" s="20"/>
      <c r="BP1839" s="20"/>
      <c r="BQ1839" s="20"/>
      <c r="BR1839" s="20"/>
      <c r="BS1839" s="20"/>
      <c r="BT1839" s="20"/>
      <c r="BU1839" s="20"/>
      <c r="BV1839" s="20"/>
      <c r="BW1839" s="20"/>
      <c r="BX1839" s="20"/>
      <c r="BY1839" s="20"/>
      <c r="BZ1839" s="20"/>
      <c r="CA1839" s="20"/>
      <c r="CB1839" s="20"/>
      <c r="CC1839" s="20"/>
      <c r="CD1839" s="20"/>
      <c r="CE1839" s="20"/>
      <c r="CF1839" s="20"/>
      <c r="CG1839" s="20"/>
      <c r="CH1839" s="20"/>
      <c r="CI1839" s="20"/>
      <c r="CJ1839" s="20"/>
      <c r="CK1839" s="20"/>
      <c r="CL1839" s="20"/>
      <c r="CM1839" s="20"/>
      <c r="CN1839" s="20"/>
      <c r="CO1839" s="20"/>
      <c r="CP1839" s="20"/>
      <c r="CQ1839" s="20"/>
      <c r="CR1839" s="20"/>
      <c r="CS1839" s="20"/>
      <c r="CT1839" s="20"/>
      <c r="CU1839" s="20"/>
      <c r="CV1839" s="20"/>
      <c r="CW1839" s="20"/>
      <c r="CX1839" s="20"/>
      <c r="CY1839" s="20"/>
      <c r="CZ1839" s="20"/>
      <c r="DA1839" s="20"/>
      <c r="DB1839" s="20"/>
      <c r="DC1839" s="20"/>
      <c r="DD1839" s="20"/>
      <c r="DE1839" s="20"/>
      <c r="DF1839" s="20"/>
      <c r="DG1839" s="20"/>
      <c r="DH1839" s="20"/>
      <c r="DI1839" s="20"/>
      <c r="DJ1839" s="20"/>
      <c r="DK1839" s="20"/>
      <c r="DL1839" s="20"/>
      <c r="DM1839" s="20"/>
      <c r="DN1839" s="20"/>
      <c r="DO1839" s="20"/>
      <c r="DP1839" s="20"/>
      <c r="DQ1839" s="20"/>
      <c r="DR1839" s="20"/>
      <c r="DS1839" s="20"/>
      <c r="DT1839" s="20"/>
      <c r="DU1839" s="20"/>
      <c r="DV1839" s="20"/>
      <c r="DW1839" s="20"/>
      <c r="DX1839" s="20"/>
      <c r="DY1839" s="20"/>
      <c r="DZ1839" s="20"/>
      <c r="EA1839" s="20"/>
      <c r="EB1839" s="20"/>
      <c r="EC1839" s="20"/>
      <c r="ED1839" s="20"/>
      <c r="EE1839" s="20"/>
      <c r="EF1839" s="20"/>
      <c r="EG1839" s="20"/>
      <c r="EH1839" s="20"/>
      <c r="EI1839" s="20"/>
      <c r="EJ1839" s="20"/>
      <c r="EK1839" s="20"/>
      <c r="EL1839" s="20"/>
      <c r="EM1839" s="20"/>
      <c r="EN1839" s="20"/>
      <c r="EO1839" s="20"/>
      <c r="EP1839" s="20"/>
      <c r="EQ1839" s="20"/>
      <c r="ER1839" s="20"/>
      <c r="ES1839" s="20"/>
      <c r="ET1839" s="20"/>
      <c r="EU1839" s="20"/>
      <c r="EV1839" s="20"/>
      <c r="EW1839" s="20"/>
      <c r="EX1839" s="20"/>
      <c r="EY1839" s="20"/>
      <c r="EZ1839" s="20"/>
      <c r="FA1839" s="20"/>
      <c r="FB1839" s="20"/>
      <c r="FC1839" s="20"/>
      <c r="FD1839" s="20"/>
      <c r="FE1839" s="20"/>
      <c r="FF1839" s="20"/>
      <c r="FG1839" s="20"/>
      <c r="FH1839" s="20"/>
      <c r="FI1839" s="20"/>
      <c r="FJ1839" s="20"/>
      <c r="FK1839" s="20"/>
      <c r="FL1839" s="20"/>
      <c r="FM1839" s="20"/>
      <c r="FN1839" s="20"/>
      <c r="FO1839" s="20"/>
      <c r="FP1839" s="20"/>
      <c r="FQ1839" s="20"/>
      <c r="FR1839" s="20"/>
      <c r="FS1839" s="20"/>
      <c r="FT1839" s="20"/>
      <c r="FU1839" s="20"/>
      <c r="FV1839" s="20"/>
      <c r="FW1839" s="20"/>
      <c r="FX1839" s="20"/>
      <c r="FY1839" s="20"/>
      <c r="FZ1839" s="20"/>
      <c r="GA1839" s="20"/>
      <c r="GB1839" s="20"/>
      <c r="GC1839" s="20"/>
      <c r="GD1839" s="20"/>
      <c r="GE1839" s="20"/>
      <c r="GF1839" s="20"/>
      <c r="GG1839" s="20"/>
      <c r="GH1839" s="20"/>
      <c r="GI1839" s="20"/>
      <c r="GJ1839" s="20"/>
      <c r="GK1839" s="20"/>
      <c r="GL1839" s="20"/>
      <c r="GM1839" s="20"/>
      <c r="GN1839" s="20"/>
      <c r="GO1839" s="20"/>
      <c r="GP1839" s="20"/>
      <c r="GQ1839" s="20"/>
      <c r="GR1839" s="20"/>
      <c r="GS1839" s="20"/>
      <c r="GT1839" s="20"/>
      <c r="GU1839" s="20"/>
      <c r="GV1839" s="20"/>
      <c r="GW1839" s="20"/>
      <c r="GX1839" s="20"/>
      <c r="GY1839" s="20"/>
      <c r="GZ1839" s="20"/>
      <c r="HA1839" s="20"/>
      <c r="HB1839" s="20"/>
      <c r="HC1839" s="20"/>
      <c r="HD1839" s="20"/>
      <c r="HE1839" s="20"/>
      <c r="HF1839" s="20"/>
      <c r="HG1839" s="20"/>
      <c r="HH1839" s="20"/>
      <c r="HI1839" s="20"/>
      <c r="HJ1839" s="20"/>
      <c r="HK1839" s="20"/>
      <c r="HL1839" s="20"/>
      <c r="HM1839" s="20"/>
      <c r="HN1839" s="20"/>
      <c r="HO1839" s="20"/>
      <c r="HP1839" s="20"/>
      <c r="HQ1839" s="20"/>
      <c r="HR1839" s="20"/>
      <c r="HS1839" s="20"/>
      <c r="HT1839" s="20"/>
      <c r="HU1839" s="20"/>
      <c r="HV1839" s="20"/>
      <c r="HW1839" s="20"/>
      <c r="HX1839" s="20"/>
      <c r="HY1839" s="20"/>
      <c r="HZ1839" s="20"/>
      <c r="IA1839" s="20"/>
      <c r="IB1839" s="20"/>
      <c r="IC1839" s="20"/>
      <c r="ID1839" s="20"/>
      <c r="IE1839" s="20"/>
      <c r="IF1839" s="20"/>
      <c r="IG1839" s="20"/>
      <c r="IH1839" s="20"/>
      <c r="II1839" s="20"/>
      <c r="IJ1839" s="20"/>
      <c r="IK1839" s="20"/>
      <c r="IL1839" s="20"/>
      <c r="IM1839" s="20"/>
      <c r="IN1839" s="20"/>
      <c r="IO1839" s="20"/>
    </row>
    <row r="1840" spans="1:249" ht="82.5">
      <c r="A1840" s="410"/>
      <c r="B1840" s="409"/>
      <c r="C1840" s="1253">
        <v>3</v>
      </c>
      <c r="D1840" s="1164" t="s">
        <v>34</v>
      </c>
      <c r="E1840" s="1164" t="s">
        <v>78</v>
      </c>
      <c r="F1840" s="1164" t="s">
        <v>25</v>
      </c>
      <c r="G1840" s="1164" t="s">
        <v>28</v>
      </c>
      <c r="H1840" s="410"/>
      <c r="I1840" s="280" t="s">
        <v>234</v>
      </c>
      <c r="J1840" s="411" t="s">
        <v>1773</v>
      </c>
      <c r="K1840" s="412">
        <v>112</v>
      </c>
      <c r="L1840" s="1255">
        <v>783962000</v>
      </c>
      <c r="M1840" s="413">
        <v>84</v>
      </c>
      <c r="N1840" s="415">
        <v>535367000</v>
      </c>
      <c r="O1840" s="413">
        <v>5</v>
      </c>
      <c r="P1840" s="415">
        <v>136750000</v>
      </c>
      <c r="Q1840" s="413">
        <v>1</v>
      </c>
      <c r="R1840" s="1255">
        <v>5000000</v>
      </c>
      <c r="S1840" s="410"/>
      <c r="T1840" s="1257">
        <v>100000000</v>
      </c>
      <c r="U1840" s="413"/>
      <c r="V1840" s="418"/>
      <c r="W1840" s="413"/>
      <c r="X1840" s="1256"/>
      <c r="Y1840" s="409">
        <f t="shared" si="532"/>
        <v>1</v>
      </c>
      <c r="Z1840" s="1258">
        <f t="shared" si="533"/>
        <v>105000000</v>
      </c>
      <c r="AA1840" s="409">
        <f t="shared" si="534"/>
        <v>85</v>
      </c>
      <c r="AB1840" s="1259">
        <f t="shared" si="535"/>
        <v>640367000</v>
      </c>
      <c r="AC1840" s="1260">
        <f t="shared" si="536"/>
        <v>75.892857142857139</v>
      </c>
      <c r="AD1840" s="1260">
        <f t="shared" si="537"/>
        <v>81.683423431237728</v>
      </c>
      <c r="AE1840" s="102"/>
      <c r="AF1840" s="201"/>
      <c r="AG1840" s="201"/>
      <c r="AH1840" s="201"/>
      <c r="AI1840" s="201"/>
      <c r="AJ1840" s="201"/>
      <c r="AK1840" s="201"/>
      <c r="AL1840" s="201"/>
      <c r="AM1840" s="201"/>
      <c r="AN1840" s="201"/>
      <c r="AO1840" s="201"/>
      <c r="AP1840" s="201"/>
      <c r="AQ1840" s="201"/>
      <c r="AR1840" s="201"/>
      <c r="AS1840" s="201"/>
      <c r="AT1840" s="201"/>
      <c r="AU1840" s="201"/>
      <c r="AV1840" s="201"/>
      <c r="AW1840" s="201"/>
      <c r="AX1840" s="201"/>
      <c r="AY1840" s="201"/>
      <c r="AZ1840" s="201"/>
      <c r="BA1840" s="201"/>
      <c r="BB1840" s="201"/>
      <c r="BC1840" s="20"/>
      <c r="BD1840" s="20"/>
      <c r="BE1840" s="20"/>
      <c r="BF1840" s="20"/>
      <c r="BG1840" s="20"/>
      <c r="BH1840" s="20"/>
      <c r="BI1840" s="20"/>
      <c r="BJ1840" s="20"/>
      <c r="BK1840" s="20"/>
      <c r="BL1840" s="20"/>
      <c r="BM1840" s="20"/>
      <c r="BN1840" s="20"/>
      <c r="BO1840" s="20"/>
      <c r="BP1840" s="20"/>
      <c r="BQ1840" s="20"/>
      <c r="BR1840" s="20"/>
      <c r="BS1840" s="20"/>
      <c r="BT1840" s="20"/>
      <c r="BU1840" s="20"/>
      <c r="BV1840" s="20"/>
      <c r="BW1840" s="20"/>
      <c r="BX1840" s="20"/>
      <c r="BY1840" s="20"/>
      <c r="BZ1840" s="20"/>
      <c r="CA1840" s="20"/>
      <c r="CB1840" s="20"/>
      <c r="CC1840" s="20"/>
      <c r="CD1840" s="20"/>
      <c r="CE1840" s="20"/>
      <c r="CF1840" s="20"/>
      <c r="CG1840" s="20"/>
      <c r="CH1840" s="20"/>
      <c r="CI1840" s="20"/>
      <c r="CJ1840" s="20"/>
      <c r="CK1840" s="20"/>
      <c r="CL1840" s="20"/>
      <c r="CM1840" s="20"/>
      <c r="CN1840" s="20"/>
      <c r="CO1840" s="20"/>
      <c r="CP1840" s="20"/>
      <c r="CQ1840" s="20"/>
      <c r="CR1840" s="20"/>
      <c r="CS1840" s="20"/>
      <c r="CT1840" s="20"/>
      <c r="CU1840" s="20"/>
      <c r="CV1840" s="20"/>
      <c r="CW1840" s="20"/>
      <c r="CX1840" s="20"/>
      <c r="CY1840" s="20"/>
      <c r="CZ1840" s="20"/>
      <c r="DA1840" s="20"/>
      <c r="DB1840" s="20"/>
      <c r="DC1840" s="20"/>
      <c r="DD1840" s="20"/>
      <c r="DE1840" s="20"/>
      <c r="DF1840" s="20"/>
      <c r="DG1840" s="20"/>
      <c r="DH1840" s="20"/>
      <c r="DI1840" s="20"/>
      <c r="DJ1840" s="20"/>
      <c r="DK1840" s="20"/>
      <c r="DL1840" s="20"/>
      <c r="DM1840" s="20"/>
      <c r="DN1840" s="20"/>
      <c r="DO1840" s="20"/>
      <c r="DP1840" s="20"/>
      <c r="DQ1840" s="20"/>
      <c r="DR1840" s="20"/>
      <c r="DS1840" s="20"/>
      <c r="DT1840" s="20"/>
      <c r="DU1840" s="20"/>
      <c r="DV1840" s="20"/>
      <c r="DW1840" s="20"/>
      <c r="DX1840" s="20"/>
      <c r="DY1840" s="20"/>
      <c r="DZ1840" s="20"/>
      <c r="EA1840" s="20"/>
      <c r="EB1840" s="20"/>
      <c r="EC1840" s="20"/>
      <c r="ED1840" s="20"/>
      <c r="EE1840" s="20"/>
      <c r="EF1840" s="20"/>
      <c r="EG1840" s="20"/>
      <c r="EH1840" s="20"/>
      <c r="EI1840" s="20"/>
      <c r="EJ1840" s="20"/>
      <c r="EK1840" s="20"/>
      <c r="EL1840" s="20"/>
      <c r="EM1840" s="20"/>
      <c r="EN1840" s="20"/>
      <c r="EO1840" s="20"/>
      <c r="EP1840" s="20"/>
      <c r="EQ1840" s="20"/>
      <c r="ER1840" s="20"/>
      <c r="ES1840" s="20"/>
      <c r="ET1840" s="20"/>
      <c r="EU1840" s="20"/>
      <c r="EV1840" s="20"/>
      <c r="EW1840" s="20"/>
      <c r="EX1840" s="20"/>
      <c r="EY1840" s="20"/>
      <c r="EZ1840" s="20"/>
      <c r="FA1840" s="20"/>
      <c r="FB1840" s="20"/>
      <c r="FC1840" s="20"/>
      <c r="FD1840" s="20"/>
      <c r="FE1840" s="20"/>
      <c r="FF1840" s="20"/>
      <c r="FG1840" s="20"/>
      <c r="FH1840" s="20"/>
      <c r="FI1840" s="20"/>
      <c r="FJ1840" s="20"/>
      <c r="FK1840" s="20"/>
      <c r="FL1840" s="20"/>
      <c r="FM1840" s="20"/>
      <c r="FN1840" s="20"/>
      <c r="FO1840" s="20"/>
      <c r="FP1840" s="20"/>
      <c r="FQ1840" s="20"/>
      <c r="FR1840" s="20"/>
      <c r="FS1840" s="20"/>
      <c r="FT1840" s="20"/>
      <c r="FU1840" s="20"/>
      <c r="FV1840" s="20"/>
      <c r="FW1840" s="20"/>
      <c r="FX1840" s="20"/>
      <c r="FY1840" s="20"/>
      <c r="FZ1840" s="20"/>
      <c r="GA1840" s="20"/>
      <c r="GB1840" s="20"/>
      <c r="GC1840" s="20"/>
      <c r="GD1840" s="20"/>
      <c r="GE1840" s="20"/>
      <c r="GF1840" s="20"/>
      <c r="GG1840" s="20"/>
      <c r="GH1840" s="20"/>
      <c r="GI1840" s="20"/>
      <c r="GJ1840" s="20"/>
      <c r="GK1840" s="20"/>
      <c r="GL1840" s="20"/>
      <c r="GM1840" s="20"/>
      <c r="GN1840" s="20"/>
      <c r="GO1840" s="20"/>
      <c r="GP1840" s="20"/>
      <c r="GQ1840" s="20"/>
      <c r="GR1840" s="20"/>
      <c r="GS1840" s="20"/>
      <c r="GT1840" s="20"/>
      <c r="GU1840" s="20"/>
      <c r="GV1840" s="20"/>
      <c r="GW1840" s="20"/>
      <c r="GX1840" s="20"/>
      <c r="GY1840" s="20"/>
      <c r="GZ1840" s="20"/>
      <c r="HA1840" s="20"/>
      <c r="HB1840" s="20"/>
      <c r="HC1840" s="20"/>
      <c r="HD1840" s="20"/>
      <c r="HE1840" s="20"/>
      <c r="HF1840" s="20"/>
      <c r="HG1840" s="20"/>
      <c r="HH1840" s="20"/>
      <c r="HI1840" s="20"/>
      <c r="HJ1840" s="20"/>
      <c r="HK1840" s="20"/>
      <c r="HL1840" s="20"/>
      <c r="HM1840" s="20"/>
      <c r="HN1840" s="20"/>
      <c r="HO1840" s="20"/>
      <c r="HP1840" s="20"/>
      <c r="HQ1840" s="20"/>
      <c r="HR1840" s="20"/>
      <c r="HS1840" s="20"/>
      <c r="HT1840" s="20"/>
      <c r="HU1840" s="20"/>
      <c r="HV1840" s="20"/>
      <c r="HW1840" s="20"/>
      <c r="HX1840" s="20"/>
      <c r="HY1840" s="20"/>
      <c r="HZ1840" s="20"/>
      <c r="IA1840" s="20"/>
      <c r="IB1840" s="20"/>
      <c r="IC1840" s="20"/>
      <c r="ID1840" s="20"/>
      <c r="IE1840" s="20"/>
      <c r="IF1840" s="20"/>
      <c r="IG1840" s="20"/>
      <c r="IH1840" s="20"/>
      <c r="II1840" s="20"/>
      <c r="IJ1840" s="20"/>
      <c r="IK1840" s="20"/>
      <c r="IL1840" s="20"/>
      <c r="IM1840" s="20"/>
      <c r="IN1840" s="20"/>
      <c r="IO1840" s="20"/>
    </row>
    <row r="1841" spans="1:249" ht="82.5">
      <c r="A1841" s="410"/>
      <c r="B1841" s="409"/>
      <c r="C1841" s="1253">
        <v>3</v>
      </c>
      <c r="D1841" s="1164" t="s">
        <v>34</v>
      </c>
      <c r="E1841" s="1164" t="s">
        <v>78</v>
      </c>
      <c r="F1841" s="1164" t="s">
        <v>25</v>
      </c>
      <c r="G1841" s="1164" t="s">
        <v>28</v>
      </c>
      <c r="H1841" s="1254" t="s">
        <v>43</v>
      </c>
      <c r="I1841" s="280" t="s">
        <v>82</v>
      </c>
      <c r="J1841" s="411" t="s">
        <v>1774</v>
      </c>
      <c r="K1841" s="413">
        <v>27</v>
      </c>
      <c r="L1841" s="1255">
        <v>437880000</v>
      </c>
      <c r="M1841" s="413">
        <v>12</v>
      </c>
      <c r="N1841" s="415">
        <v>72760000</v>
      </c>
      <c r="O1841" s="413">
        <v>3</v>
      </c>
      <c r="P1841" s="415">
        <v>20250000</v>
      </c>
      <c r="Q1841" s="413">
        <v>0</v>
      </c>
      <c r="R1841" s="1255">
        <v>0</v>
      </c>
      <c r="S1841" s="410"/>
      <c r="T1841" s="1257"/>
      <c r="U1841" s="413"/>
      <c r="V1841" s="418"/>
      <c r="W1841" s="413"/>
      <c r="X1841" s="1256"/>
      <c r="Y1841" s="409">
        <f t="shared" si="532"/>
        <v>0</v>
      </c>
      <c r="Z1841" s="1258">
        <f t="shared" si="533"/>
        <v>0</v>
      </c>
      <c r="AA1841" s="409">
        <f t="shared" si="534"/>
        <v>12</v>
      </c>
      <c r="AB1841" s="1259">
        <f t="shared" si="535"/>
        <v>72760000</v>
      </c>
      <c r="AC1841" s="1260">
        <f t="shared" si="536"/>
        <v>44.444444444444443</v>
      </c>
      <c r="AD1841" s="1260">
        <f t="shared" si="537"/>
        <v>16.616424591212205</v>
      </c>
      <c r="AE1841" s="102"/>
      <c r="AF1841" s="201"/>
      <c r="AG1841" s="201"/>
      <c r="AH1841" s="201"/>
      <c r="AI1841" s="201"/>
      <c r="AJ1841" s="201"/>
      <c r="AK1841" s="201"/>
      <c r="AL1841" s="201"/>
      <c r="AM1841" s="201"/>
      <c r="AN1841" s="201"/>
      <c r="AO1841" s="201"/>
      <c r="AP1841" s="201"/>
      <c r="AQ1841" s="201"/>
      <c r="AR1841" s="201"/>
      <c r="AS1841" s="201"/>
      <c r="AT1841" s="201"/>
      <c r="AU1841" s="201"/>
      <c r="AV1841" s="201"/>
      <c r="AW1841" s="201"/>
      <c r="AX1841" s="201"/>
      <c r="AY1841" s="201"/>
      <c r="AZ1841" s="201"/>
      <c r="BA1841" s="201"/>
      <c r="BB1841" s="201"/>
      <c r="BC1841" s="20"/>
      <c r="BD1841" s="20"/>
      <c r="BE1841" s="20"/>
      <c r="BF1841" s="20"/>
      <c r="BG1841" s="20"/>
      <c r="BH1841" s="20"/>
      <c r="BI1841" s="20"/>
      <c r="BJ1841" s="20"/>
      <c r="BK1841" s="20"/>
      <c r="BL1841" s="20"/>
      <c r="BM1841" s="20"/>
      <c r="BN1841" s="20"/>
      <c r="BO1841" s="20"/>
      <c r="BP1841" s="20"/>
      <c r="BQ1841" s="20"/>
      <c r="BR1841" s="20"/>
      <c r="BS1841" s="20"/>
      <c r="BT1841" s="20"/>
      <c r="BU1841" s="20"/>
      <c r="BV1841" s="20"/>
      <c r="BW1841" s="20"/>
      <c r="BX1841" s="20"/>
      <c r="BY1841" s="20"/>
      <c r="BZ1841" s="20"/>
      <c r="CA1841" s="20"/>
      <c r="CB1841" s="20"/>
      <c r="CC1841" s="20"/>
      <c r="CD1841" s="20"/>
      <c r="CE1841" s="20"/>
      <c r="CF1841" s="20"/>
      <c r="CG1841" s="20"/>
      <c r="CH1841" s="20"/>
      <c r="CI1841" s="20"/>
      <c r="CJ1841" s="20"/>
      <c r="CK1841" s="20"/>
      <c r="CL1841" s="20"/>
      <c r="CM1841" s="20"/>
      <c r="CN1841" s="20"/>
      <c r="CO1841" s="20"/>
      <c r="CP1841" s="20"/>
      <c r="CQ1841" s="20"/>
      <c r="CR1841" s="20"/>
      <c r="CS1841" s="20"/>
      <c r="CT1841" s="20"/>
      <c r="CU1841" s="20"/>
      <c r="CV1841" s="20"/>
      <c r="CW1841" s="20"/>
      <c r="CX1841" s="20"/>
      <c r="CY1841" s="20"/>
      <c r="CZ1841" s="20"/>
      <c r="DA1841" s="20"/>
      <c r="DB1841" s="20"/>
      <c r="DC1841" s="20"/>
      <c r="DD1841" s="20"/>
      <c r="DE1841" s="20"/>
      <c r="DF1841" s="20"/>
      <c r="DG1841" s="20"/>
      <c r="DH1841" s="20"/>
      <c r="DI1841" s="20"/>
      <c r="DJ1841" s="20"/>
      <c r="DK1841" s="20"/>
      <c r="DL1841" s="20"/>
      <c r="DM1841" s="20"/>
      <c r="DN1841" s="20"/>
      <c r="DO1841" s="20"/>
      <c r="DP1841" s="20"/>
      <c r="DQ1841" s="20"/>
      <c r="DR1841" s="20"/>
      <c r="DS1841" s="20"/>
      <c r="DT1841" s="20"/>
      <c r="DU1841" s="20"/>
      <c r="DV1841" s="20"/>
      <c r="DW1841" s="20"/>
      <c r="DX1841" s="20"/>
      <c r="DY1841" s="20"/>
      <c r="DZ1841" s="20"/>
      <c r="EA1841" s="20"/>
      <c r="EB1841" s="20"/>
      <c r="EC1841" s="20"/>
      <c r="ED1841" s="20"/>
      <c r="EE1841" s="20"/>
      <c r="EF1841" s="20"/>
      <c r="EG1841" s="20"/>
      <c r="EH1841" s="20"/>
      <c r="EI1841" s="20"/>
      <c r="EJ1841" s="20"/>
      <c r="EK1841" s="20"/>
      <c r="EL1841" s="20"/>
      <c r="EM1841" s="20"/>
      <c r="EN1841" s="20"/>
      <c r="EO1841" s="20"/>
      <c r="EP1841" s="20"/>
      <c r="EQ1841" s="20"/>
      <c r="ER1841" s="20"/>
      <c r="ES1841" s="20"/>
      <c r="ET1841" s="20"/>
      <c r="EU1841" s="20"/>
      <c r="EV1841" s="20"/>
      <c r="EW1841" s="20"/>
      <c r="EX1841" s="20"/>
      <c r="EY1841" s="20"/>
      <c r="EZ1841" s="20"/>
      <c r="FA1841" s="20"/>
      <c r="FB1841" s="20"/>
      <c r="FC1841" s="20"/>
      <c r="FD1841" s="20"/>
      <c r="FE1841" s="20"/>
      <c r="FF1841" s="20"/>
      <c r="FG1841" s="20"/>
      <c r="FH1841" s="20"/>
      <c r="FI1841" s="20"/>
      <c r="FJ1841" s="20"/>
      <c r="FK1841" s="20"/>
      <c r="FL1841" s="20"/>
      <c r="FM1841" s="20"/>
      <c r="FN1841" s="20"/>
      <c r="FO1841" s="20"/>
      <c r="FP1841" s="20"/>
      <c r="FQ1841" s="20"/>
      <c r="FR1841" s="20"/>
      <c r="FS1841" s="20"/>
      <c r="FT1841" s="20"/>
      <c r="FU1841" s="20"/>
      <c r="FV1841" s="20"/>
      <c r="FW1841" s="20"/>
      <c r="FX1841" s="20"/>
      <c r="FY1841" s="20"/>
      <c r="FZ1841" s="20"/>
      <c r="GA1841" s="20"/>
      <c r="GB1841" s="20"/>
      <c r="GC1841" s="20"/>
      <c r="GD1841" s="20"/>
      <c r="GE1841" s="20"/>
      <c r="GF1841" s="20"/>
      <c r="GG1841" s="20"/>
      <c r="GH1841" s="20"/>
      <c r="GI1841" s="20"/>
      <c r="GJ1841" s="20"/>
      <c r="GK1841" s="20"/>
      <c r="GL1841" s="20"/>
      <c r="GM1841" s="20"/>
      <c r="GN1841" s="20"/>
      <c r="GO1841" s="20"/>
      <c r="GP1841" s="20"/>
      <c r="GQ1841" s="20"/>
      <c r="GR1841" s="20"/>
      <c r="GS1841" s="20"/>
      <c r="GT1841" s="20"/>
      <c r="GU1841" s="20"/>
      <c r="GV1841" s="20"/>
      <c r="GW1841" s="20"/>
      <c r="GX1841" s="20"/>
      <c r="GY1841" s="20"/>
      <c r="GZ1841" s="20"/>
      <c r="HA1841" s="20"/>
      <c r="HB1841" s="20"/>
      <c r="HC1841" s="20"/>
      <c r="HD1841" s="20"/>
      <c r="HE1841" s="20"/>
      <c r="HF1841" s="20"/>
      <c r="HG1841" s="20"/>
      <c r="HH1841" s="20"/>
      <c r="HI1841" s="20"/>
      <c r="HJ1841" s="20"/>
      <c r="HK1841" s="20"/>
      <c r="HL1841" s="20"/>
      <c r="HM1841" s="20"/>
      <c r="HN1841" s="20"/>
      <c r="HO1841" s="20"/>
      <c r="HP1841" s="20"/>
      <c r="HQ1841" s="20"/>
      <c r="HR1841" s="20"/>
      <c r="HS1841" s="20"/>
      <c r="HT1841" s="20"/>
      <c r="HU1841" s="20"/>
      <c r="HV1841" s="20"/>
      <c r="HW1841" s="20"/>
      <c r="HX1841" s="20"/>
      <c r="HY1841" s="20"/>
      <c r="HZ1841" s="20"/>
      <c r="IA1841" s="20"/>
      <c r="IB1841" s="20"/>
      <c r="IC1841" s="20"/>
      <c r="ID1841" s="20"/>
      <c r="IE1841" s="20"/>
      <c r="IF1841" s="20"/>
      <c r="IG1841" s="20"/>
      <c r="IH1841" s="20"/>
      <c r="II1841" s="20"/>
      <c r="IJ1841" s="20"/>
      <c r="IK1841" s="20"/>
      <c r="IL1841" s="20"/>
      <c r="IM1841" s="20"/>
      <c r="IN1841" s="20"/>
      <c r="IO1841" s="20"/>
    </row>
    <row r="1842" spans="1:249" ht="49.5">
      <c r="A1842" s="410"/>
      <c r="B1842" s="409"/>
      <c r="C1842" s="1253">
        <v>3</v>
      </c>
      <c r="D1842" s="1164" t="s">
        <v>34</v>
      </c>
      <c r="E1842" s="1164" t="s">
        <v>78</v>
      </c>
      <c r="F1842" s="1164" t="s">
        <v>25</v>
      </c>
      <c r="G1842" s="1164" t="s">
        <v>28</v>
      </c>
      <c r="H1842" s="410">
        <v>22</v>
      </c>
      <c r="I1842" s="280" t="s">
        <v>134</v>
      </c>
      <c r="J1842" s="411" t="s">
        <v>3061</v>
      </c>
      <c r="K1842" s="413">
        <v>72</v>
      </c>
      <c r="L1842" s="1255">
        <v>864819000</v>
      </c>
      <c r="M1842" s="413">
        <v>36</v>
      </c>
      <c r="N1842" s="415">
        <v>544935000</v>
      </c>
      <c r="O1842" s="413">
        <v>12</v>
      </c>
      <c r="P1842" s="415">
        <v>124050000</v>
      </c>
      <c r="Q1842" s="413">
        <v>3</v>
      </c>
      <c r="R1842" s="1255">
        <v>0</v>
      </c>
      <c r="S1842" s="410"/>
      <c r="T1842" s="1257">
        <v>121500000</v>
      </c>
      <c r="U1842" s="413"/>
      <c r="V1842" s="418"/>
      <c r="W1842" s="413"/>
      <c r="X1842" s="1256"/>
      <c r="Y1842" s="409">
        <f t="shared" si="532"/>
        <v>3</v>
      </c>
      <c r="Z1842" s="1258">
        <f t="shared" si="533"/>
        <v>121500000</v>
      </c>
      <c r="AA1842" s="409">
        <f t="shared" si="534"/>
        <v>39</v>
      </c>
      <c r="AB1842" s="1259">
        <f t="shared" si="535"/>
        <v>666435000</v>
      </c>
      <c r="AC1842" s="1260">
        <f t="shared" si="536"/>
        <v>54.166666666666664</v>
      </c>
      <c r="AD1842" s="1260">
        <f t="shared" si="537"/>
        <v>77.060633496720115</v>
      </c>
      <c r="AE1842" s="102"/>
      <c r="AF1842" s="201"/>
      <c r="AG1842" s="201"/>
      <c r="AH1842" s="201"/>
      <c r="AI1842" s="201"/>
      <c r="AJ1842" s="201"/>
      <c r="AK1842" s="201"/>
      <c r="AL1842" s="201"/>
      <c r="AM1842" s="201"/>
      <c r="AN1842" s="201"/>
      <c r="AO1842" s="201"/>
      <c r="AP1842" s="201"/>
      <c r="AQ1842" s="201"/>
      <c r="AR1842" s="201"/>
      <c r="AS1842" s="201"/>
      <c r="AT1842" s="201"/>
      <c r="AU1842" s="201"/>
      <c r="AV1842" s="201"/>
      <c r="AW1842" s="201"/>
      <c r="AX1842" s="201"/>
      <c r="AY1842" s="201"/>
      <c r="AZ1842" s="201"/>
      <c r="BA1842" s="201"/>
      <c r="BB1842" s="201"/>
      <c r="BC1842" s="20"/>
      <c r="BD1842" s="20"/>
      <c r="BE1842" s="20"/>
      <c r="BF1842" s="20"/>
      <c r="BG1842" s="20"/>
      <c r="BH1842" s="20"/>
      <c r="BI1842" s="20"/>
      <c r="BJ1842" s="20"/>
      <c r="BK1842" s="20"/>
      <c r="BL1842" s="20"/>
      <c r="BM1842" s="20"/>
      <c r="BN1842" s="20"/>
      <c r="BO1842" s="20"/>
      <c r="BP1842" s="20"/>
      <c r="BQ1842" s="20"/>
      <c r="BR1842" s="20"/>
      <c r="BS1842" s="20"/>
      <c r="BT1842" s="20"/>
      <c r="BU1842" s="20"/>
      <c r="BV1842" s="20"/>
      <c r="BW1842" s="20"/>
      <c r="BX1842" s="20"/>
      <c r="BY1842" s="20"/>
      <c r="BZ1842" s="20"/>
      <c r="CA1842" s="20"/>
      <c r="CB1842" s="20"/>
      <c r="CC1842" s="20"/>
      <c r="CD1842" s="20"/>
      <c r="CE1842" s="20"/>
      <c r="CF1842" s="20"/>
      <c r="CG1842" s="20"/>
      <c r="CH1842" s="20"/>
      <c r="CI1842" s="20"/>
      <c r="CJ1842" s="20"/>
      <c r="CK1842" s="20"/>
      <c r="CL1842" s="20"/>
      <c r="CM1842" s="20"/>
      <c r="CN1842" s="20"/>
      <c r="CO1842" s="20"/>
      <c r="CP1842" s="20"/>
      <c r="CQ1842" s="20"/>
      <c r="CR1842" s="20"/>
      <c r="CS1842" s="20"/>
      <c r="CT1842" s="20"/>
      <c r="CU1842" s="20"/>
      <c r="CV1842" s="20"/>
      <c r="CW1842" s="20"/>
      <c r="CX1842" s="20"/>
      <c r="CY1842" s="20"/>
      <c r="CZ1842" s="20"/>
      <c r="DA1842" s="20"/>
      <c r="DB1842" s="20"/>
      <c r="DC1842" s="20"/>
      <c r="DD1842" s="20"/>
      <c r="DE1842" s="20"/>
      <c r="DF1842" s="20"/>
      <c r="DG1842" s="20"/>
      <c r="DH1842" s="20"/>
      <c r="DI1842" s="20"/>
      <c r="DJ1842" s="20"/>
      <c r="DK1842" s="20"/>
      <c r="DL1842" s="20"/>
      <c r="DM1842" s="20"/>
      <c r="DN1842" s="20"/>
      <c r="DO1842" s="20"/>
      <c r="DP1842" s="20"/>
      <c r="DQ1842" s="20"/>
      <c r="DR1842" s="20"/>
      <c r="DS1842" s="20"/>
      <c r="DT1842" s="20"/>
      <c r="DU1842" s="20"/>
      <c r="DV1842" s="20"/>
      <c r="DW1842" s="20"/>
      <c r="DX1842" s="20"/>
      <c r="DY1842" s="20"/>
      <c r="DZ1842" s="20"/>
      <c r="EA1842" s="20"/>
      <c r="EB1842" s="20"/>
      <c r="EC1842" s="20"/>
      <c r="ED1842" s="20"/>
      <c r="EE1842" s="20"/>
      <c r="EF1842" s="20"/>
      <c r="EG1842" s="20"/>
      <c r="EH1842" s="20"/>
      <c r="EI1842" s="20"/>
      <c r="EJ1842" s="20"/>
      <c r="EK1842" s="20"/>
      <c r="EL1842" s="20"/>
      <c r="EM1842" s="20"/>
      <c r="EN1842" s="20"/>
      <c r="EO1842" s="20"/>
      <c r="EP1842" s="20"/>
      <c r="EQ1842" s="20"/>
      <c r="ER1842" s="20"/>
      <c r="ES1842" s="20"/>
      <c r="ET1842" s="20"/>
      <c r="EU1842" s="20"/>
      <c r="EV1842" s="20"/>
      <c r="EW1842" s="20"/>
      <c r="EX1842" s="20"/>
      <c r="EY1842" s="20"/>
      <c r="EZ1842" s="20"/>
      <c r="FA1842" s="20"/>
      <c r="FB1842" s="20"/>
      <c r="FC1842" s="20"/>
      <c r="FD1842" s="20"/>
      <c r="FE1842" s="20"/>
      <c r="FF1842" s="20"/>
      <c r="FG1842" s="20"/>
      <c r="FH1842" s="20"/>
      <c r="FI1842" s="20"/>
      <c r="FJ1842" s="20"/>
      <c r="FK1842" s="20"/>
      <c r="FL1842" s="20"/>
      <c r="FM1842" s="20"/>
      <c r="FN1842" s="20"/>
      <c r="FO1842" s="20"/>
      <c r="FP1842" s="20"/>
      <c r="FQ1842" s="20"/>
      <c r="FR1842" s="20"/>
      <c r="FS1842" s="20"/>
      <c r="FT1842" s="20"/>
      <c r="FU1842" s="20"/>
      <c r="FV1842" s="20"/>
      <c r="FW1842" s="20"/>
      <c r="FX1842" s="20"/>
      <c r="FY1842" s="20"/>
      <c r="FZ1842" s="20"/>
      <c r="GA1842" s="20"/>
      <c r="GB1842" s="20"/>
      <c r="GC1842" s="20"/>
      <c r="GD1842" s="20"/>
      <c r="GE1842" s="20"/>
      <c r="GF1842" s="20"/>
      <c r="GG1842" s="20"/>
      <c r="GH1842" s="20"/>
      <c r="GI1842" s="20"/>
      <c r="GJ1842" s="20"/>
      <c r="GK1842" s="20"/>
      <c r="GL1842" s="20"/>
      <c r="GM1842" s="20"/>
      <c r="GN1842" s="20"/>
      <c r="GO1842" s="20"/>
      <c r="GP1842" s="20"/>
      <c r="GQ1842" s="20"/>
      <c r="GR1842" s="20"/>
      <c r="GS1842" s="20"/>
      <c r="GT1842" s="20"/>
      <c r="GU1842" s="20"/>
      <c r="GV1842" s="20"/>
      <c r="GW1842" s="20"/>
      <c r="GX1842" s="20"/>
      <c r="GY1842" s="20"/>
      <c r="GZ1842" s="20"/>
      <c r="HA1842" s="20"/>
      <c r="HB1842" s="20"/>
      <c r="HC1842" s="20"/>
      <c r="HD1842" s="20"/>
      <c r="HE1842" s="20"/>
      <c r="HF1842" s="20"/>
      <c r="HG1842" s="20"/>
      <c r="HH1842" s="20"/>
      <c r="HI1842" s="20"/>
      <c r="HJ1842" s="20"/>
      <c r="HK1842" s="20"/>
      <c r="HL1842" s="20"/>
      <c r="HM1842" s="20"/>
      <c r="HN1842" s="20"/>
      <c r="HO1842" s="20"/>
      <c r="HP1842" s="20"/>
      <c r="HQ1842" s="20"/>
      <c r="HR1842" s="20"/>
      <c r="HS1842" s="20"/>
      <c r="HT1842" s="20"/>
      <c r="HU1842" s="20"/>
      <c r="HV1842" s="20"/>
      <c r="HW1842" s="20"/>
      <c r="HX1842" s="20"/>
      <c r="HY1842" s="20"/>
      <c r="HZ1842" s="20"/>
      <c r="IA1842" s="20"/>
      <c r="IB1842" s="20"/>
      <c r="IC1842" s="20"/>
      <c r="ID1842" s="20"/>
      <c r="IE1842" s="20"/>
      <c r="IF1842" s="20"/>
      <c r="IG1842" s="20"/>
      <c r="IH1842" s="20"/>
      <c r="II1842" s="20"/>
      <c r="IJ1842" s="20"/>
      <c r="IK1842" s="20"/>
      <c r="IL1842" s="20"/>
      <c r="IM1842" s="20"/>
      <c r="IN1842" s="20"/>
      <c r="IO1842" s="20"/>
    </row>
    <row r="1843" spans="1:249" ht="49.5">
      <c r="A1843" s="410"/>
      <c r="B1843" s="409"/>
      <c r="C1843" s="1253">
        <v>3</v>
      </c>
      <c r="D1843" s="1164" t="s">
        <v>34</v>
      </c>
      <c r="E1843" s="1164" t="s">
        <v>78</v>
      </c>
      <c r="F1843" s="1164" t="s">
        <v>25</v>
      </c>
      <c r="G1843" s="1164" t="s">
        <v>28</v>
      </c>
      <c r="H1843" s="410">
        <v>24</v>
      </c>
      <c r="I1843" s="280" t="s">
        <v>1524</v>
      </c>
      <c r="J1843" s="411" t="s">
        <v>3287</v>
      </c>
      <c r="K1843" s="417">
        <v>72</v>
      </c>
      <c r="L1843" s="1255">
        <v>595731000</v>
      </c>
      <c r="M1843" s="413">
        <v>36</v>
      </c>
      <c r="N1843" s="415">
        <v>301746876</v>
      </c>
      <c r="O1843" s="1195">
        <v>12</v>
      </c>
      <c r="P1843" s="415">
        <v>140225000</v>
      </c>
      <c r="Q1843" s="413">
        <v>3</v>
      </c>
      <c r="R1843" s="1255">
        <v>20275248</v>
      </c>
      <c r="S1843" s="410"/>
      <c r="T1843" s="1257">
        <v>30031503</v>
      </c>
      <c r="U1843" s="413"/>
      <c r="V1843" s="418"/>
      <c r="W1843" s="413"/>
      <c r="X1843" s="1256"/>
      <c r="Y1843" s="409">
        <f t="shared" si="532"/>
        <v>3</v>
      </c>
      <c r="Z1843" s="1258">
        <f t="shared" si="533"/>
        <v>50306751</v>
      </c>
      <c r="AA1843" s="409">
        <f t="shared" si="534"/>
        <v>39</v>
      </c>
      <c r="AB1843" s="1259">
        <f t="shared" si="535"/>
        <v>352053627</v>
      </c>
      <c r="AC1843" s="1260">
        <f t="shared" si="536"/>
        <v>54.166666666666664</v>
      </c>
      <c r="AD1843" s="1260">
        <f t="shared" si="537"/>
        <v>59.096073059820618</v>
      </c>
      <c r="AE1843" s="102"/>
      <c r="AF1843" s="201"/>
      <c r="AG1843" s="201"/>
      <c r="AH1843" s="201"/>
      <c r="AI1843" s="201"/>
      <c r="AJ1843" s="201"/>
      <c r="AK1843" s="201"/>
      <c r="AL1843" s="201"/>
      <c r="AM1843" s="201"/>
      <c r="AN1843" s="201"/>
      <c r="AO1843" s="201"/>
      <c r="AP1843" s="201"/>
      <c r="AQ1843" s="201"/>
      <c r="AR1843" s="201"/>
      <c r="AS1843" s="201"/>
      <c r="AT1843" s="201"/>
      <c r="AU1843" s="201"/>
      <c r="AV1843" s="201"/>
      <c r="AW1843" s="201"/>
      <c r="AX1843" s="201"/>
      <c r="AY1843" s="201"/>
      <c r="AZ1843" s="201"/>
      <c r="BA1843" s="201"/>
      <c r="BB1843" s="201"/>
      <c r="BC1843" s="20"/>
      <c r="BD1843" s="20"/>
      <c r="BE1843" s="20"/>
      <c r="BF1843" s="20"/>
      <c r="BG1843" s="20"/>
      <c r="BH1843" s="20"/>
      <c r="BI1843" s="20"/>
      <c r="BJ1843" s="20"/>
      <c r="BK1843" s="20"/>
      <c r="BL1843" s="20"/>
      <c r="BM1843" s="20"/>
      <c r="BN1843" s="20"/>
      <c r="BO1843" s="20"/>
      <c r="BP1843" s="20"/>
      <c r="BQ1843" s="20"/>
      <c r="BR1843" s="20"/>
      <c r="BS1843" s="20"/>
      <c r="BT1843" s="20"/>
      <c r="BU1843" s="20"/>
      <c r="BV1843" s="20"/>
      <c r="BW1843" s="20"/>
      <c r="BX1843" s="20"/>
      <c r="BY1843" s="20"/>
      <c r="BZ1843" s="20"/>
      <c r="CA1843" s="20"/>
      <c r="CB1843" s="20"/>
      <c r="CC1843" s="20"/>
      <c r="CD1843" s="20"/>
      <c r="CE1843" s="20"/>
      <c r="CF1843" s="20"/>
      <c r="CG1843" s="20"/>
      <c r="CH1843" s="20"/>
      <c r="CI1843" s="20"/>
      <c r="CJ1843" s="20"/>
      <c r="CK1843" s="20"/>
      <c r="CL1843" s="20"/>
      <c r="CM1843" s="20"/>
      <c r="CN1843" s="20"/>
      <c r="CO1843" s="20"/>
      <c r="CP1843" s="20"/>
      <c r="CQ1843" s="20"/>
      <c r="CR1843" s="20"/>
      <c r="CS1843" s="20"/>
      <c r="CT1843" s="20"/>
      <c r="CU1843" s="20"/>
      <c r="CV1843" s="20"/>
      <c r="CW1843" s="20"/>
      <c r="CX1843" s="20"/>
      <c r="CY1843" s="20"/>
      <c r="CZ1843" s="20"/>
      <c r="DA1843" s="20"/>
      <c r="DB1843" s="20"/>
      <c r="DC1843" s="20"/>
      <c r="DD1843" s="20"/>
      <c r="DE1843" s="20"/>
      <c r="DF1843" s="20"/>
      <c r="DG1843" s="20"/>
      <c r="DH1843" s="20"/>
      <c r="DI1843" s="20"/>
      <c r="DJ1843" s="20"/>
      <c r="DK1843" s="20"/>
      <c r="DL1843" s="20"/>
      <c r="DM1843" s="20"/>
      <c r="DN1843" s="20"/>
      <c r="DO1843" s="20"/>
      <c r="DP1843" s="20"/>
      <c r="DQ1843" s="20"/>
      <c r="DR1843" s="20"/>
      <c r="DS1843" s="20"/>
      <c r="DT1843" s="20"/>
      <c r="DU1843" s="20"/>
      <c r="DV1843" s="20"/>
      <c r="DW1843" s="20"/>
      <c r="DX1843" s="20"/>
      <c r="DY1843" s="20"/>
      <c r="DZ1843" s="20"/>
      <c r="EA1843" s="20"/>
      <c r="EB1843" s="20"/>
      <c r="EC1843" s="20"/>
      <c r="ED1843" s="20"/>
      <c r="EE1843" s="20"/>
      <c r="EF1843" s="20"/>
      <c r="EG1843" s="20"/>
      <c r="EH1843" s="20"/>
      <c r="EI1843" s="20"/>
      <c r="EJ1843" s="20"/>
      <c r="EK1843" s="20"/>
      <c r="EL1843" s="20"/>
      <c r="EM1843" s="20"/>
      <c r="EN1843" s="20"/>
      <c r="EO1843" s="20"/>
      <c r="EP1843" s="20"/>
      <c r="EQ1843" s="20"/>
      <c r="ER1843" s="20"/>
      <c r="ES1843" s="20"/>
      <c r="ET1843" s="20"/>
      <c r="EU1843" s="20"/>
      <c r="EV1843" s="20"/>
      <c r="EW1843" s="20"/>
      <c r="EX1843" s="20"/>
      <c r="EY1843" s="20"/>
      <c r="EZ1843" s="20"/>
      <c r="FA1843" s="20"/>
      <c r="FB1843" s="20"/>
      <c r="FC1843" s="20"/>
      <c r="FD1843" s="20"/>
      <c r="FE1843" s="20"/>
      <c r="FF1843" s="20"/>
      <c r="FG1843" s="20"/>
      <c r="FH1843" s="20"/>
      <c r="FI1843" s="20"/>
      <c r="FJ1843" s="20"/>
      <c r="FK1843" s="20"/>
      <c r="FL1843" s="20"/>
      <c r="FM1843" s="20"/>
      <c r="FN1843" s="20"/>
      <c r="FO1843" s="20"/>
      <c r="FP1843" s="20"/>
      <c r="FQ1843" s="20"/>
      <c r="FR1843" s="20"/>
      <c r="FS1843" s="20"/>
      <c r="FT1843" s="20"/>
      <c r="FU1843" s="20"/>
      <c r="FV1843" s="20"/>
      <c r="FW1843" s="20"/>
      <c r="FX1843" s="20"/>
      <c r="FY1843" s="20"/>
      <c r="FZ1843" s="20"/>
      <c r="GA1843" s="20"/>
      <c r="GB1843" s="20"/>
      <c r="GC1843" s="20"/>
      <c r="GD1843" s="20"/>
      <c r="GE1843" s="20"/>
      <c r="GF1843" s="20"/>
      <c r="GG1843" s="20"/>
      <c r="GH1843" s="20"/>
      <c r="GI1843" s="20"/>
      <c r="GJ1843" s="20"/>
      <c r="GK1843" s="20"/>
      <c r="GL1843" s="20"/>
      <c r="GM1843" s="20"/>
      <c r="GN1843" s="20"/>
      <c r="GO1843" s="20"/>
      <c r="GP1843" s="20"/>
      <c r="GQ1843" s="20"/>
      <c r="GR1843" s="20"/>
      <c r="GS1843" s="20"/>
      <c r="GT1843" s="20"/>
      <c r="GU1843" s="20"/>
      <c r="GV1843" s="20"/>
      <c r="GW1843" s="20"/>
      <c r="GX1843" s="20"/>
      <c r="GY1843" s="20"/>
      <c r="GZ1843" s="20"/>
      <c r="HA1843" s="20"/>
      <c r="HB1843" s="20"/>
      <c r="HC1843" s="20"/>
      <c r="HD1843" s="20"/>
      <c r="HE1843" s="20"/>
      <c r="HF1843" s="20"/>
      <c r="HG1843" s="20"/>
      <c r="HH1843" s="20"/>
      <c r="HI1843" s="20"/>
      <c r="HJ1843" s="20"/>
      <c r="HK1843" s="20"/>
      <c r="HL1843" s="20"/>
      <c r="HM1843" s="20"/>
      <c r="HN1843" s="20"/>
      <c r="HO1843" s="20"/>
      <c r="HP1843" s="20"/>
      <c r="HQ1843" s="20"/>
      <c r="HR1843" s="20"/>
      <c r="HS1843" s="20"/>
      <c r="HT1843" s="20"/>
      <c r="HU1843" s="20"/>
      <c r="HV1843" s="20"/>
      <c r="HW1843" s="20"/>
      <c r="HX1843" s="20"/>
      <c r="HY1843" s="20"/>
      <c r="HZ1843" s="20"/>
      <c r="IA1843" s="20"/>
      <c r="IB1843" s="20"/>
      <c r="IC1843" s="20"/>
      <c r="ID1843" s="20"/>
      <c r="IE1843" s="20"/>
      <c r="IF1843" s="20"/>
      <c r="IG1843" s="20"/>
      <c r="IH1843" s="20"/>
      <c r="II1843" s="20"/>
      <c r="IJ1843" s="20"/>
      <c r="IK1843" s="20"/>
      <c r="IL1843" s="20"/>
      <c r="IM1843" s="20"/>
      <c r="IN1843" s="20"/>
      <c r="IO1843" s="20"/>
    </row>
    <row r="1844" spans="1:249" ht="49.5">
      <c r="A1844" s="410"/>
      <c r="B1844" s="409"/>
      <c r="C1844" s="1253">
        <v>3</v>
      </c>
      <c r="D1844" s="1164" t="s">
        <v>34</v>
      </c>
      <c r="E1844" s="1164" t="s">
        <v>78</v>
      </c>
      <c r="F1844" s="1164" t="s">
        <v>25</v>
      </c>
      <c r="G1844" s="1164" t="s">
        <v>28</v>
      </c>
      <c r="H1844" s="410">
        <v>28</v>
      </c>
      <c r="I1844" s="280" t="s">
        <v>520</v>
      </c>
      <c r="J1844" s="411" t="s">
        <v>3288</v>
      </c>
      <c r="K1844" s="413">
        <v>72</v>
      </c>
      <c r="L1844" s="1255">
        <v>217065000</v>
      </c>
      <c r="M1844" s="413">
        <v>36</v>
      </c>
      <c r="N1844" s="415">
        <v>102516981</v>
      </c>
      <c r="O1844" s="413">
        <v>12</v>
      </c>
      <c r="P1844" s="415">
        <v>41942000</v>
      </c>
      <c r="Q1844" s="413">
        <v>3</v>
      </c>
      <c r="R1844" s="1255">
        <v>5295000</v>
      </c>
      <c r="S1844" s="410"/>
      <c r="T1844" s="1257"/>
      <c r="U1844" s="413"/>
      <c r="V1844" s="418"/>
      <c r="W1844" s="413"/>
      <c r="X1844" s="1256"/>
      <c r="Y1844" s="409">
        <f t="shared" si="532"/>
        <v>3</v>
      </c>
      <c r="Z1844" s="1258">
        <f t="shared" si="533"/>
        <v>5295000</v>
      </c>
      <c r="AA1844" s="409">
        <f t="shared" si="534"/>
        <v>39</v>
      </c>
      <c r="AB1844" s="1259">
        <f t="shared" si="535"/>
        <v>107811981</v>
      </c>
      <c r="AC1844" s="1260">
        <f t="shared" si="536"/>
        <v>54.166666666666664</v>
      </c>
      <c r="AD1844" s="1260">
        <f t="shared" si="537"/>
        <v>49.668063022596918</v>
      </c>
      <c r="AE1844" s="102"/>
      <c r="AF1844" s="201"/>
      <c r="AG1844" s="201"/>
      <c r="AH1844" s="201"/>
      <c r="AI1844" s="201"/>
      <c r="AJ1844" s="201"/>
      <c r="AK1844" s="201"/>
      <c r="AL1844" s="201"/>
      <c r="AM1844" s="201"/>
      <c r="AN1844" s="201"/>
      <c r="AO1844" s="201"/>
      <c r="AP1844" s="201"/>
      <c r="AQ1844" s="201"/>
      <c r="AR1844" s="201"/>
      <c r="AS1844" s="201"/>
      <c r="AT1844" s="201"/>
      <c r="AU1844" s="201"/>
      <c r="AV1844" s="201"/>
      <c r="AW1844" s="201"/>
      <c r="AX1844" s="201"/>
      <c r="AY1844" s="201"/>
      <c r="AZ1844" s="201"/>
      <c r="BA1844" s="201"/>
      <c r="BB1844" s="201"/>
      <c r="BC1844" s="20"/>
      <c r="BD1844" s="20"/>
      <c r="BE1844" s="20"/>
      <c r="BF1844" s="20"/>
      <c r="BG1844" s="20"/>
      <c r="BH1844" s="20"/>
      <c r="BI1844" s="20"/>
      <c r="BJ1844" s="20"/>
      <c r="BK1844" s="20"/>
      <c r="BL1844" s="20"/>
      <c r="BM1844" s="20"/>
      <c r="BN1844" s="20"/>
      <c r="BO1844" s="20"/>
      <c r="BP1844" s="20"/>
      <c r="BQ1844" s="20"/>
      <c r="BR1844" s="20"/>
      <c r="BS1844" s="20"/>
      <c r="BT1844" s="20"/>
      <c r="BU1844" s="20"/>
      <c r="BV1844" s="20"/>
      <c r="BW1844" s="20"/>
      <c r="BX1844" s="20"/>
      <c r="BY1844" s="20"/>
      <c r="BZ1844" s="20"/>
      <c r="CA1844" s="20"/>
      <c r="CB1844" s="20"/>
      <c r="CC1844" s="20"/>
      <c r="CD1844" s="20"/>
      <c r="CE1844" s="20"/>
      <c r="CF1844" s="20"/>
      <c r="CG1844" s="20"/>
      <c r="CH1844" s="20"/>
      <c r="CI1844" s="20"/>
      <c r="CJ1844" s="20"/>
      <c r="CK1844" s="20"/>
      <c r="CL1844" s="20"/>
      <c r="CM1844" s="20"/>
      <c r="CN1844" s="20"/>
      <c r="CO1844" s="20"/>
      <c r="CP1844" s="20"/>
      <c r="CQ1844" s="20"/>
      <c r="CR1844" s="20"/>
      <c r="CS1844" s="20"/>
      <c r="CT1844" s="20"/>
      <c r="CU1844" s="20"/>
      <c r="CV1844" s="20"/>
      <c r="CW1844" s="20"/>
      <c r="CX1844" s="20"/>
      <c r="CY1844" s="20"/>
      <c r="CZ1844" s="20"/>
      <c r="DA1844" s="20"/>
      <c r="DB1844" s="20"/>
      <c r="DC1844" s="20"/>
      <c r="DD1844" s="20"/>
      <c r="DE1844" s="20"/>
      <c r="DF1844" s="20"/>
      <c r="DG1844" s="20"/>
      <c r="DH1844" s="20"/>
      <c r="DI1844" s="20"/>
      <c r="DJ1844" s="20"/>
      <c r="DK1844" s="20"/>
      <c r="DL1844" s="20"/>
      <c r="DM1844" s="20"/>
      <c r="DN1844" s="20"/>
      <c r="DO1844" s="20"/>
      <c r="DP1844" s="20"/>
      <c r="DQ1844" s="20"/>
      <c r="DR1844" s="20"/>
      <c r="DS1844" s="20"/>
      <c r="DT1844" s="20"/>
      <c r="DU1844" s="20"/>
      <c r="DV1844" s="20"/>
      <c r="DW1844" s="20"/>
      <c r="DX1844" s="20"/>
      <c r="DY1844" s="20"/>
      <c r="DZ1844" s="20"/>
      <c r="EA1844" s="20"/>
      <c r="EB1844" s="20"/>
      <c r="EC1844" s="20"/>
      <c r="ED1844" s="20"/>
      <c r="EE1844" s="20"/>
      <c r="EF1844" s="20"/>
      <c r="EG1844" s="20"/>
      <c r="EH1844" s="20"/>
      <c r="EI1844" s="20"/>
      <c r="EJ1844" s="20"/>
      <c r="EK1844" s="20"/>
      <c r="EL1844" s="20"/>
      <c r="EM1844" s="20"/>
      <c r="EN1844" s="20"/>
      <c r="EO1844" s="20"/>
      <c r="EP1844" s="20"/>
      <c r="EQ1844" s="20"/>
      <c r="ER1844" s="20"/>
      <c r="ES1844" s="20"/>
      <c r="ET1844" s="20"/>
      <c r="EU1844" s="20"/>
      <c r="EV1844" s="20"/>
      <c r="EW1844" s="20"/>
      <c r="EX1844" s="20"/>
      <c r="EY1844" s="20"/>
      <c r="EZ1844" s="20"/>
      <c r="FA1844" s="20"/>
      <c r="FB1844" s="20"/>
      <c r="FC1844" s="20"/>
      <c r="FD1844" s="20"/>
      <c r="FE1844" s="20"/>
      <c r="FF1844" s="20"/>
      <c r="FG1844" s="20"/>
      <c r="FH1844" s="20"/>
      <c r="FI1844" s="20"/>
      <c r="FJ1844" s="20"/>
      <c r="FK1844" s="20"/>
      <c r="FL1844" s="20"/>
      <c r="FM1844" s="20"/>
      <c r="FN1844" s="20"/>
      <c r="FO1844" s="20"/>
      <c r="FP1844" s="20"/>
      <c r="FQ1844" s="20"/>
      <c r="FR1844" s="20"/>
      <c r="FS1844" s="20"/>
      <c r="FT1844" s="20"/>
      <c r="FU1844" s="20"/>
      <c r="FV1844" s="20"/>
      <c r="FW1844" s="20"/>
      <c r="FX1844" s="20"/>
      <c r="FY1844" s="20"/>
      <c r="FZ1844" s="20"/>
      <c r="GA1844" s="20"/>
      <c r="GB1844" s="20"/>
      <c r="GC1844" s="20"/>
      <c r="GD1844" s="20"/>
      <c r="GE1844" s="20"/>
      <c r="GF1844" s="20"/>
      <c r="GG1844" s="20"/>
      <c r="GH1844" s="20"/>
      <c r="GI1844" s="20"/>
      <c r="GJ1844" s="20"/>
      <c r="GK1844" s="20"/>
      <c r="GL1844" s="20"/>
      <c r="GM1844" s="20"/>
      <c r="GN1844" s="20"/>
      <c r="GO1844" s="20"/>
      <c r="GP1844" s="20"/>
      <c r="GQ1844" s="20"/>
      <c r="GR1844" s="20"/>
      <c r="GS1844" s="20"/>
      <c r="GT1844" s="20"/>
      <c r="GU1844" s="20"/>
      <c r="GV1844" s="20"/>
      <c r="GW1844" s="20"/>
      <c r="GX1844" s="20"/>
      <c r="GY1844" s="20"/>
      <c r="GZ1844" s="20"/>
      <c r="HA1844" s="20"/>
      <c r="HB1844" s="20"/>
      <c r="HC1844" s="20"/>
      <c r="HD1844" s="20"/>
      <c r="HE1844" s="20"/>
      <c r="HF1844" s="20"/>
      <c r="HG1844" s="20"/>
      <c r="HH1844" s="20"/>
      <c r="HI1844" s="20"/>
      <c r="HJ1844" s="20"/>
      <c r="HK1844" s="20"/>
      <c r="HL1844" s="20"/>
      <c r="HM1844" s="20"/>
      <c r="HN1844" s="20"/>
      <c r="HO1844" s="20"/>
      <c r="HP1844" s="20"/>
      <c r="HQ1844" s="20"/>
      <c r="HR1844" s="20"/>
      <c r="HS1844" s="20"/>
      <c r="HT1844" s="20"/>
      <c r="HU1844" s="20"/>
      <c r="HV1844" s="20"/>
      <c r="HW1844" s="20"/>
      <c r="HX1844" s="20"/>
      <c r="HY1844" s="20"/>
      <c r="HZ1844" s="20"/>
      <c r="IA1844" s="20"/>
      <c r="IB1844" s="20"/>
      <c r="IC1844" s="20"/>
      <c r="ID1844" s="20"/>
      <c r="IE1844" s="20"/>
      <c r="IF1844" s="20"/>
      <c r="IG1844" s="20"/>
      <c r="IH1844" s="20"/>
      <c r="II1844" s="20"/>
      <c r="IJ1844" s="20"/>
      <c r="IK1844" s="20"/>
      <c r="IL1844" s="20"/>
      <c r="IM1844" s="20"/>
      <c r="IN1844" s="20"/>
      <c r="IO1844" s="20"/>
    </row>
    <row r="1845" spans="1:249" ht="82.5">
      <c r="A1845" s="420">
        <v>3</v>
      </c>
      <c r="B1845" s="43"/>
      <c r="C1845" s="286">
        <v>3</v>
      </c>
      <c r="D1845" s="753" t="s">
        <v>34</v>
      </c>
      <c r="E1845" s="753" t="s">
        <v>78</v>
      </c>
      <c r="F1845" s="753" t="s">
        <v>25</v>
      </c>
      <c r="G1845" s="753" t="s">
        <v>38</v>
      </c>
      <c r="H1845" s="420"/>
      <c r="I1845" s="44" t="s">
        <v>583</v>
      </c>
      <c r="J1845" s="634" t="s">
        <v>1775</v>
      </c>
      <c r="K1845" s="419">
        <v>100</v>
      </c>
      <c r="L1845" s="635">
        <f>SUM(L1846:L1846)</f>
        <v>249872000</v>
      </c>
      <c r="M1845" s="419">
        <v>35</v>
      </c>
      <c r="N1845" s="1263">
        <f>SUM(N1846:N1846)</f>
        <v>99872000</v>
      </c>
      <c r="O1845" s="419">
        <v>15</v>
      </c>
      <c r="P1845" s="1263">
        <f>SUM(P1846:P1847)</f>
        <v>195325000</v>
      </c>
      <c r="Q1845" s="419">
        <v>0</v>
      </c>
      <c r="R1845" s="635">
        <f>SUM(R1846:R1846)</f>
        <v>0</v>
      </c>
      <c r="S1845" s="2568">
        <v>0</v>
      </c>
      <c r="T1845" s="2568">
        <f>SUM(T1846:T1847)</f>
        <v>86825200</v>
      </c>
      <c r="U1845" s="1083"/>
      <c r="V1845" s="2568">
        <f>SUM(V1846:V1846)</f>
        <v>0</v>
      </c>
      <c r="W1845" s="1083">
        <v>0</v>
      </c>
      <c r="X1845" s="638">
        <f>SUM(X1846:X1846)</f>
        <v>0</v>
      </c>
      <c r="Y1845" s="43">
        <f t="shared" si="532"/>
        <v>0</v>
      </c>
      <c r="Z1845" s="641">
        <f t="shared" si="533"/>
        <v>86825200</v>
      </c>
      <c r="AA1845" s="43">
        <f t="shared" si="534"/>
        <v>35</v>
      </c>
      <c r="AB1845" s="692">
        <f t="shared" si="535"/>
        <v>186697200</v>
      </c>
      <c r="AC1845" s="699">
        <f t="shared" si="536"/>
        <v>35</v>
      </c>
      <c r="AD1845" s="699">
        <f t="shared" si="537"/>
        <v>74.717135173208675</v>
      </c>
      <c r="AE1845" s="133" t="s">
        <v>1762</v>
      </c>
      <c r="AF1845" s="201"/>
      <c r="AG1845" s="201"/>
      <c r="AH1845" s="201"/>
      <c r="AI1845" s="201"/>
      <c r="AJ1845" s="201"/>
      <c r="AK1845" s="201"/>
      <c r="AL1845" s="201"/>
      <c r="AM1845" s="201"/>
      <c r="AN1845" s="201"/>
      <c r="AO1845" s="201"/>
      <c r="AP1845" s="201"/>
      <c r="AQ1845" s="201"/>
      <c r="AR1845" s="201"/>
      <c r="AS1845" s="201"/>
      <c r="AT1845" s="201"/>
      <c r="AU1845" s="201"/>
      <c r="AV1845" s="201"/>
      <c r="AW1845" s="201"/>
      <c r="AX1845" s="201"/>
      <c r="AY1845" s="201"/>
      <c r="AZ1845" s="201"/>
      <c r="BA1845" s="201"/>
      <c r="BB1845" s="201"/>
      <c r="BC1845" s="20"/>
      <c r="BD1845" s="20"/>
      <c r="BE1845" s="20"/>
      <c r="BF1845" s="20"/>
      <c r="BG1845" s="20"/>
      <c r="BH1845" s="20"/>
      <c r="BI1845" s="20"/>
      <c r="BJ1845" s="20"/>
      <c r="BK1845" s="20"/>
      <c r="BL1845" s="20"/>
      <c r="BM1845" s="20"/>
      <c r="BN1845" s="20"/>
      <c r="BO1845" s="20"/>
      <c r="BP1845" s="20"/>
      <c r="BQ1845" s="20"/>
      <c r="BR1845" s="20"/>
      <c r="BS1845" s="20"/>
      <c r="BT1845" s="20"/>
      <c r="BU1845" s="20"/>
      <c r="BV1845" s="20"/>
      <c r="BW1845" s="20"/>
      <c r="BX1845" s="20"/>
      <c r="BY1845" s="20"/>
      <c r="BZ1845" s="20"/>
      <c r="CA1845" s="20"/>
      <c r="CB1845" s="20"/>
      <c r="CC1845" s="20"/>
      <c r="CD1845" s="20"/>
      <c r="CE1845" s="20"/>
      <c r="CF1845" s="20"/>
      <c r="CG1845" s="20"/>
      <c r="CH1845" s="20"/>
      <c r="CI1845" s="20"/>
      <c r="CJ1845" s="20"/>
      <c r="CK1845" s="20"/>
      <c r="CL1845" s="20"/>
      <c r="CM1845" s="20"/>
      <c r="CN1845" s="20"/>
      <c r="CO1845" s="20"/>
      <c r="CP1845" s="20"/>
      <c r="CQ1845" s="20"/>
      <c r="CR1845" s="20"/>
      <c r="CS1845" s="20"/>
      <c r="CT1845" s="20"/>
      <c r="CU1845" s="20"/>
      <c r="CV1845" s="20"/>
      <c r="CW1845" s="20"/>
      <c r="CX1845" s="20"/>
      <c r="CY1845" s="20"/>
      <c r="CZ1845" s="20"/>
      <c r="DA1845" s="20"/>
      <c r="DB1845" s="20"/>
      <c r="DC1845" s="20"/>
      <c r="DD1845" s="20"/>
      <c r="DE1845" s="20"/>
      <c r="DF1845" s="20"/>
      <c r="DG1845" s="20"/>
      <c r="DH1845" s="20"/>
      <c r="DI1845" s="20"/>
      <c r="DJ1845" s="20"/>
      <c r="DK1845" s="20"/>
      <c r="DL1845" s="20"/>
      <c r="DM1845" s="20"/>
      <c r="DN1845" s="20"/>
      <c r="DO1845" s="20"/>
      <c r="DP1845" s="20"/>
      <c r="DQ1845" s="20"/>
      <c r="DR1845" s="20"/>
      <c r="DS1845" s="20"/>
      <c r="DT1845" s="20"/>
      <c r="DU1845" s="20"/>
      <c r="DV1845" s="20"/>
      <c r="DW1845" s="20"/>
      <c r="DX1845" s="20"/>
      <c r="DY1845" s="20"/>
      <c r="DZ1845" s="20"/>
      <c r="EA1845" s="20"/>
      <c r="EB1845" s="20"/>
      <c r="EC1845" s="20"/>
      <c r="ED1845" s="20"/>
      <c r="EE1845" s="20"/>
      <c r="EF1845" s="20"/>
      <c r="EG1845" s="20"/>
      <c r="EH1845" s="20"/>
      <c r="EI1845" s="20"/>
      <c r="EJ1845" s="20"/>
      <c r="EK1845" s="20"/>
      <c r="EL1845" s="20"/>
      <c r="EM1845" s="20"/>
      <c r="EN1845" s="20"/>
      <c r="EO1845" s="20"/>
      <c r="EP1845" s="20"/>
      <c r="EQ1845" s="20"/>
      <c r="ER1845" s="20"/>
      <c r="ES1845" s="20"/>
      <c r="ET1845" s="20"/>
      <c r="EU1845" s="20"/>
      <c r="EV1845" s="20"/>
      <c r="EW1845" s="20"/>
      <c r="EX1845" s="20"/>
      <c r="EY1845" s="20"/>
      <c r="EZ1845" s="20"/>
      <c r="FA1845" s="20"/>
      <c r="FB1845" s="20"/>
      <c r="FC1845" s="20"/>
      <c r="FD1845" s="20"/>
      <c r="FE1845" s="20"/>
      <c r="FF1845" s="20"/>
      <c r="FG1845" s="20"/>
      <c r="FH1845" s="20"/>
      <c r="FI1845" s="20"/>
      <c r="FJ1845" s="20"/>
      <c r="FK1845" s="20"/>
      <c r="FL1845" s="20"/>
      <c r="FM1845" s="20"/>
      <c r="FN1845" s="20"/>
      <c r="FO1845" s="20"/>
      <c r="FP1845" s="20"/>
      <c r="FQ1845" s="20"/>
      <c r="FR1845" s="20"/>
      <c r="FS1845" s="20"/>
      <c r="FT1845" s="20"/>
      <c r="FU1845" s="20"/>
      <c r="FV1845" s="20"/>
      <c r="FW1845" s="20"/>
      <c r="FX1845" s="20"/>
      <c r="FY1845" s="20"/>
      <c r="FZ1845" s="20"/>
      <c r="GA1845" s="20"/>
      <c r="GB1845" s="20"/>
      <c r="GC1845" s="20"/>
      <c r="GD1845" s="20"/>
      <c r="GE1845" s="20"/>
      <c r="GF1845" s="20"/>
      <c r="GG1845" s="20"/>
      <c r="GH1845" s="20"/>
      <c r="GI1845" s="20"/>
      <c r="GJ1845" s="20"/>
      <c r="GK1845" s="20"/>
      <c r="GL1845" s="20"/>
      <c r="GM1845" s="20"/>
      <c r="GN1845" s="20"/>
      <c r="GO1845" s="20"/>
      <c r="GP1845" s="20"/>
      <c r="GQ1845" s="20"/>
      <c r="GR1845" s="20"/>
      <c r="GS1845" s="20"/>
      <c r="GT1845" s="20"/>
      <c r="GU1845" s="20"/>
      <c r="GV1845" s="20"/>
      <c r="GW1845" s="20"/>
      <c r="GX1845" s="20"/>
      <c r="GY1845" s="20"/>
      <c r="GZ1845" s="20"/>
      <c r="HA1845" s="20"/>
      <c r="HB1845" s="20"/>
      <c r="HC1845" s="20"/>
      <c r="HD1845" s="20"/>
      <c r="HE1845" s="20"/>
      <c r="HF1845" s="20"/>
      <c r="HG1845" s="20"/>
      <c r="HH1845" s="20"/>
      <c r="HI1845" s="20"/>
      <c r="HJ1845" s="20"/>
      <c r="HK1845" s="20"/>
      <c r="HL1845" s="20"/>
      <c r="HM1845" s="20"/>
      <c r="HN1845" s="20"/>
      <c r="HO1845" s="20"/>
      <c r="HP1845" s="20"/>
      <c r="HQ1845" s="20"/>
      <c r="HR1845" s="20"/>
      <c r="HS1845" s="20"/>
      <c r="HT1845" s="20"/>
      <c r="HU1845" s="20"/>
      <c r="HV1845" s="20"/>
      <c r="HW1845" s="20"/>
      <c r="HX1845" s="20"/>
      <c r="HY1845" s="20"/>
      <c r="HZ1845" s="20"/>
      <c r="IA1845" s="20"/>
      <c r="IB1845" s="20"/>
      <c r="IC1845" s="20"/>
      <c r="ID1845" s="20"/>
      <c r="IE1845" s="20"/>
      <c r="IF1845" s="20"/>
      <c r="IG1845" s="20"/>
      <c r="IH1845" s="20"/>
      <c r="II1845" s="20"/>
      <c r="IJ1845" s="20"/>
      <c r="IK1845" s="20"/>
      <c r="IL1845" s="20"/>
      <c r="IM1845" s="20"/>
      <c r="IN1845" s="20"/>
      <c r="IO1845" s="20"/>
    </row>
    <row r="1846" spans="1:249" ht="66">
      <c r="A1846" s="410"/>
      <c r="B1846" s="409"/>
      <c r="C1846" s="1253">
        <v>3</v>
      </c>
      <c r="D1846" s="1164" t="s">
        <v>34</v>
      </c>
      <c r="E1846" s="1164" t="s">
        <v>78</v>
      </c>
      <c r="F1846" s="1164" t="s">
        <v>25</v>
      </c>
      <c r="G1846" s="1164" t="s">
        <v>38</v>
      </c>
      <c r="H1846" s="1254" t="s">
        <v>78</v>
      </c>
      <c r="I1846" s="280" t="s">
        <v>1776</v>
      </c>
      <c r="J1846" s="411" t="s">
        <v>1777</v>
      </c>
      <c r="K1846" s="413">
        <v>50</v>
      </c>
      <c r="L1846" s="1255">
        <v>249872000</v>
      </c>
      <c r="M1846" s="413">
        <v>17</v>
      </c>
      <c r="N1846" s="415">
        <v>99872000</v>
      </c>
      <c r="O1846" s="413">
        <v>7</v>
      </c>
      <c r="P1846" s="415">
        <v>50000000</v>
      </c>
      <c r="Q1846" s="413">
        <v>0</v>
      </c>
      <c r="R1846" s="1255">
        <v>0</v>
      </c>
      <c r="S1846" s="410"/>
      <c r="T1846" s="1257"/>
      <c r="U1846" s="413"/>
      <c r="V1846" s="418"/>
      <c r="W1846" s="413"/>
      <c r="X1846" s="1256"/>
      <c r="Y1846" s="409">
        <f t="shared" si="532"/>
        <v>0</v>
      </c>
      <c r="Z1846" s="1258">
        <f t="shared" si="533"/>
        <v>0</v>
      </c>
      <c r="AA1846" s="409">
        <f t="shared" si="534"/>
        <v>17</v>
      </c>
      <c r="AB1846" s="1259">
        <f t="shared" si="535"/>
        <v>99872000</v>
      </c>
      <c r="AC1846" s="1260">
        <f t="shared" si="536"/>
        <v>34</v>
      </c>
      <c r="AD1846" s="1260">
        <f t="shared" si="537"/>
        <v>39.969264263302811</v>
      </c>
      <c r="AE1846" s="102"/>
      <c r="AF1846" s="201"/>
      <c r="AG1846" s="201"/>
      <c r="AH1846" s="201"/>
      <c r="AI1846" s="201"/>
      <c r="AJ1846" s="201"/>
      <c r="AK1846" s="201"/>
      <c r="AL1846" s="201"/>
      <c r="AM1846" s="201"/>
      <c r="AN1846" s="201"/>
      <c r="AO1846" s="201"/>
      <c r="AP1846" s="201"/>
      <c r="AQ1846" s="201"/>
      <c r="AR1846" s="201"/>
      <c r="AS1846" s="201"/>
      <c r="AT1846" s="201"/>
      <c r="AU1846" s="201"/>
      <c r="AV1846" s="201"/>
      <c r="AW1846" s="201"/>
      <c r="AX1846" s="201"/>
      <c r="AY1846" s="201"/>
      <c r="AZ1846" s="201"/>
      <c r="BA1846" s="201"/>
      <c r="BB1846" s="201"/>
      <c r="BC1846" s="20"/>
      <c r="BD1846" s="20"/>
      <c r="BE1846" s="20"/>
      <c r="BF1846" s="20"/>
      <c r="BG1846" s="20"/>
      <c r="BH1846" s="20"/>
      <c r="BI1846" s="20"/>
      <c r="BJ1846" s="20"/>
      <c r="BK1846" s="20"/>
      <c r="BL1846" s="20"/>
      <c r="BM1846" s="20"/>
      <c r="BN1846" s="20"/>
      <c r="BO1846" s="20"/>
      <c r="BP1846" s="20"/>
      <c r="BQ1846" s="20"/>
      <c r="BR1846" s="20"/>
      <c r="BS1846" s="20"/>
      <c r="BT1846" s="20"/>
      <c r="BU1846" s="20"/>
      <c r="BV1846" s="20"/>
      <c r="BW1846" s="20"/>
      <c r="BX1846" s="20"/>
      <c r="BY1846" s="20"/>
      <c r="BZ1846" s="20"/>
      <c r="CA1846" s="20"/>
      <c r="CB1846" s="20"/>
      <c r="CC1846" s="20"/>
      <c r="CD1846" s="20"/>
      <c r="CE1846" s="20"/>
      <c r="CF1846" s="20"/>
      <c r="CG1846" s="20"/>
      <c r="CH1846" s="20"/>
      <c r="CI1846" s="20"/>
      <c r="CJ1846" s="20"/>
      <c r="CK1846" s="20"/>
      <c r="CL1846" s="20"/>
      <c r="CM1846" s="20"/>
      <c r="CN1846" s="20"/>
      <c r="CO1846" s="20"/>
      <c r="CP1846" s="20"/>
      <c r="CQ1846" s="20"/>
      <c r="CR1846" s="20"/>
      <c r="CS1846" s="20"/>
      <c r="CT1846" s="20"/>
      <c r="CU1846" s="20"/>
      <c r="CV1846" s="20"/>
      <c r="CW1846" s="20"/>
      <c r="CX1846" s="20"/>
      <c r="CY1846" s="20"/>
      <c r="CZ1846" s="20"/>
      <c r="DA1846" s="20"/>
      <c r="DB1846" s="20"/>
      <c r="DC1846" s="20"/>
      <c r="DD1846" s="20"/>
      <c r="DE1846" s="20"/>
      <c r="DF1846" s="20"/>
      <c r="DG1846" s="20"/>
      <c r="DH1846" s="20"/>
      <c r="DI1846" s="20"/>
      <c r="DJ1846" s="20"/>
      <c r="DK1846" s="20"/>
      <c r="DL1846" s="20"/>
      <c r="DM1846" s="20"/>
      <c r="DN1846" s="20"/>
      <c r="DO1846" s="20"/>
      <c r="DP1846" s="20"/>
      <c r="DQ1846" s="20"/>
      <c r="DR1846" s="20"/>
      <c r="DS1846" s="20"/>
      <c r="DT1846" s="20"/>
      <c r="DU1846" s="20"/>
      <c r="DV1846" s="20"/>
      <c r="DW1846" s="20"/>
      <c r="DX1846" s="20"/>
      <c r="DY1846" s="20"/>
      <c r="DZ1846" s="20"/>
      <c r="EA1846" s="20"/>
      <c r="EB1846" s="20"/>
      <c r="EC1846" s="20"/>
      <c r="ED1846" s="20"/>
      <c r="EE1846" s="20"/>
      <c r="EF1846" s="20"/>
      <c r="EG1846" s="20"/>
      <c r="EH1846" s="20"/>
      <c r="EI1846" s="20"/>
      <c r="EJ1846" s="20"/>
      <c r="EK1846" s="20"/>
      <c r="EL1846" s="20"/>
      <c r="EM1846" s="20"/>
      <c r="EN1846" s="20"/>
      <c r="EO1846" s="20"/>
      <c r="EP1846" s="20"/>
      <c r="EQ1846" s="20"/>
      <c r="ER1846" s="20"/>
      <c r="ES1846" s="20"/>
      <c r="ET1846" s="20"/>
      <c r="EU1846" s="20"/>
      <c r="EV1846" s="20"/>
      <c r="EW1846" s="20"/>
      <c r="EX1846" s="20"/>
      <c r="EY1846" s="20"/>
      <c r="EZ1846" s="20"/>
      <c r="FA1846" s="20"/>
      <c r="FB1846" s="20"/>
      <c r="FC1846" s="20"/>
      <c r="FD1846" s="20"/>
      <c r="FE1846" s="20"/>
      <c r="FF1846" s="20"/>
      <c r="FG1846" s="20"/>
      <c r="FH1846" s="20"/>
      <c r="FI1846" s="20"/>
      <c r="FJ1846" s="20"/>
      <c r="FK1846" s="20"/>
      <c r="FL1846" s="20"/>
      <c r="FM1846" s="20"/>
      <c r="FN1846" s="20"/>
      <c r="FO1846" s="20"/>
      <c r="FP1846" s="20"/>
      <c r="FQ1846" s="20"/>
      <c r="FR1846" s="20"/>
      <c r="FS1846" s="20"/>
      <c r="FT1846" s="20"/>
      <c r="FU1846" s="20"/>
      <c r="FV1846" s="20"/>
      <c r="FW1846" s="20"/>
      <c r="FX1846" s="20"/>
      <c r="FY1846" s="20"/>
      <c r="FZ1846" s="20"/>
      <c r="GA1846" s="20"/>
      <c r="GB1846" s="20"/>
      <c r="GC1846" s="20"/>
      <c r="GD1846" s="20"/>
      <c r="GE1846" s="20"/>
      <c r="GF1846" s="20"/>
      <c r="GG1846" s="20"/>
      <c r="GH1846" s="20"/>
      <c r="GI1846" s="20"/>
      <c r="GJ1846" s="20"/>
      <c r="GK1846" s="20"/>
      <c r="GL1846" s="20"/>
      <c r="GM1846" s="20"/>
      <c r="GN1846" s="20"/>
      <c r="GO1846" s="20"/>
      <c r="GP1846" s="20"/>
      <c r="GQ1846" s="20"/>
      <c r="GR1846" s="20"/>
      <c r="GS1846" s="20"/>
      <c r="GT1846" s="20"/>
      <c r="GU1846" s="20"/>
      <c r="GV1846" s="20"/>
      <c r="GW1846" s="20"/>
      <c r="GX1846" s="20"/>
      <c r="GY1846" s="20"/>
      <c r="GZ1846" s="20"/>
      <c r="HA1846" s="20"/>
      <c r="HB1846" s="20"/>
      <c r="HC1846" s="20"/>
      <c r="HD1846" s="20"/>
      <c r="HE1846" s="20"/>
      <c r="HF1846" s="20"/>
      <c r="HG1846" s="20"/>
      <c r="HH1846" s="20"/>
      <c r="HI1846" s="20"/>
      <c r="HJ1846" s="20"/>
      <c r="HK1846" s="20"/>
      <c r="HL1846" s="20"/>
      <c r="HM1846" s="20"/>
      <c r="HN1846" s="20"/>
      <c r="HO1846" s="20"/>
      <c r="HP1846" s="20"/>
      <c r="HQ1846" s="20"/>
      <c r="HR1846" s="20"/>
      <c r="HS1846" s="20"/>
      <c r="HT1846" s="20"/>
      <c r="HU1846" s="20"/>
      <c r="HV1846" s="20"/>
      <c r="HW1846" s="20"/>
      <c r="HX1846" s="20"/>
      <c r="HY1846" s="20"/>
      <c r="HZ1846" s="20"/>
      <c r="IA1846" s="20"/>
      <c r="IB1846" s="20"/>
      <c r="IC1846" s="20"/>
      <c r="ID1846" s="20"/>
      <c r="IE1846" s="20"/>
      <c r="IF1846" s="20"/>
      <c r="IG1846" s="20"/>
      <c r="IH1846" s="20"/>
      <c r="II1846" s="20"/>
      <c r="IJ1846" s="20"/>
      <c r="IK1846" s="20"/>
      <c r="IL1846" s="20"/>
      <c r="IM1846" s="20"/>
      <c r="IN1846" s="20"/>
      <c r="IO1846" s="20"/>
    </row>
    <row r="1847" spans="1:249" ht="99">
      <c r="A1847" s="410"/>
      <c r="B1847" s="409"/>
      <c r="C1847" s="1253">
        <v>3</v>
      </c>
      <c r="D1847" s="1164" t="s">
        <v>34</v>
      </c>
      <c r="E1847" s="1164" t="s">
        <v>78</v>
      </c>
      <c r="F1847" s="1164" t="s">
        <v>25</v>
      </c>
      <c r="G1847" s="1164" t="s">
        <v>38</v>
      </c>
      <c r="H1847" s="1254" t="s">
        <v>29</v>
      </c>
      <c r="I1847" s="280" t="s">
        <v>584</v>
      </c>
      <c r="J1847" s="280" t="s">
        <v>1778</v>
      </c>
      <c r="K1847" s="413">
        <v>150</v>
      </c>
      <c r="L1847" s="1255">
        <v>518158000</v>
      </c>
      <c r="M1847" s="413">
        <v>29</v>
      </c>
      <c r="N1847" s="415">
        <v>136642600</v>
      </c>
      <c r="O1847" s="413">
        <v>30</v>
      </c>
      <c r="P1847" s="415">
        <v>145325000</v>
      </c>
      <c r="Q1847" s="413">
        <v>30</v>
      </c>
      <c r="R1847" s="415">
        <v>44301900</v>
      </c>
      <c r="S1847" s="410"/>
      <c r="T1847" s="1257">
        <v>86825200</v>
      </c>
      <c r="U1847" s="413"/>
      <c r="V1847" s="418"/>
      <c r="W1847" s="413"/>
      <c r="X1847" s="1256"/>
      <c r="Y1847" s="409">
        <f t="shared" si="532"/>
        <v>30</v>
      </c>
      <c r="Z1847" s="414">
        <f t="shared" si="533"/>
        <v>131127100</v>
      </c>
      <c r="AA1847" s="409">
        <f t="shared" si="534"/>
        <v>59</v>
      </c>
      <c r="AB1847" s="1259">
        <f t="shared" si="535"/>
        <v>267769700</v>
      </c>
      <c r="AC1847" s="1260">
        <f t="shared" si="536"/>
        <v>39.333333333333329</v>
      </c>
      <c r="AD1847" s="1260">
        <f t="shared" si="537"/>
        <v>51.677229725296151</v>
      </c>
      <c r="AE1847" s="102"/>
      <c r="AF1847" s="201"/>
      <c r="AG1847" s="201"/>
      <c r="AH1847" s="201"/>
      <c r="AI1847" s="201"/>
      <c r="AJ1847" s="201"/>
      <c r="AK1847" s="201"/>
      <c r="AL1847" s="201"/>
      <c r="AM1847" s="201"/>
      <c r="AN1847" s="201"/>
      <c r="AO1847" s="201"/>
      <c r="AP1847" s="201"/>
      <c r="AQ1847" s="201"/>
      <c r="AR1847" s="201"/>
      <c r="AS1847" s="201"/>
      <c r="AT1847" s="201"/>
      <c r="AU1847" s="201"/>
      <c r="AV1847" s="201"/>
      <c r="AW1847" s="201"/>
      <c r="AX1847" s="201"/>
      <c r="AY1847" s="201"/>
      <c r="AZ1847" s="201"/>
      <c r="BA1847" s="201"/>
      <c r="BB1847" s="201"/>
      <c r="BC1847" s="20"/>
      <c r="BD1847" s="20"/>
      <c r="BE1847" s="20"/>
      <c r="BF1847" s="20"/>
      <c r="BG1847" s="20"/>
      <c r="BH1847" s="20"/>
      <c r="BI1847" s="20"/>
      <c r="BJ1847" s="20"/>
      <c r="BK1847" s="20"/>
      <c r="BL1847" s="20"/>
      <c r="BM1847" s="20"/>
      <c r="BN1847" s="20"/>
      <c r="BO1847" s="20"/>
      <c r="BP1847" s="20"/>
      <c r="BQ1847" s="20"/>
      <c r="BR1847" s="20"/>
      <c r="BS1847" s="20"/>
      <c r="BT1847" s="20"/>
      <c r="BU1847" s="20"/>
      <c r="BV1847" s="20"/>
      <c r="BW1847" s="20"/>
      <c r="BX1847" s="20"/>
      <c r="BY1847" s="20"/>
      <c r="BZ1847" s="20"/>
      <c r="CA1847" s="20"/>
      <c r="CB1847" s="20"/>
      <c r="CC1847" s="20"/>
      <c r="CD1847" s="20"/>
      <c r="CE1847" s="20"/>
      <c r="CF1847" s="20"/>
      <c r="CG1847" s="20"/>
      <c r="CH1847" s="20"/>
      <c r="CI1847" s="20"/>
      <c r="CJ1847" s="20"/>
      <c r="CK1847" s="20"/>
      <c r="CL1847" s="20"/>
      <c r="CM1847" s="20"/>
      <c r="CN1847" s="20"/>
      <c r="CO1847" s="20"/>
      <c r="CP1847" s="20"/>
      <c r="CQ1847" s="20"/>
      <c r="CR1847" s="20"/>
      <c r="CS1847" s="20"/>
      <c r="CT1847" s="20"/>
      <c r="CU1847" s="20"/>
      <c r="CV1847" s="20"/>
      <c r="CW1847" s="20"/>
      <c r="CX1847" s="20"/>
      <c r="CY1847" s="20"/>
      <c r="CZ1847" s="20"/>
      <c r="DA1847" s="20"/>
      <c r="DB1847" s="20"/>
      <c r="DC1847" s="20"/>
      <c r="DD1847" s="20"/>
      <c r="DE1847" s="20"/>
      <c r="DF1847" s="20"/>
      <c r="DG1847" s="20"/>
      <c r="DH1847" s="20"/>
      <c r="DI1847" s="20"/>
      <c r="DJ1847" s="20"/>
      <c r="DK1847" s="20"/>
      <c r="DL1847" s="20"/>
      <c r="DM1847" s="20"/>
      <c r="DN1847" s="20"/>
      <c r="DO1847" s="20"/>
      <c r="DP1847" s="20"/>
      <c r="DQ1847" s="20"/>
      <c r="DR1847" s="20"/>
      <c r="DS1847" s="20"/>
      <c r="DT1847" s="20"/>
      <c r="DU1847" s="20"/>
      <c r="DV1847" s="20"/>
      <c r="DW1847" s="20"/>
      <c r="DX1847" s="20"/>
      <c r="DY1847" s="20"/>
      <c r="DZ1847" s="20"/>
      <c r="EA1847" s="20"/>
      <c r="EB1847" s="20"/>
      <c r="EC1847" s="20"/>
      <c r="ED1847" s="20"/>
      <c r="EE1847" s="20"/>
      <c r="EF1847" s="20"/>
      <c r="EG1847" s="20"/>
      <c r="EH1847" s="20"/>
      <c r="EI1847" s="20"/>
      <c r="EJ1847" s="20"/>
      <c r="EK1847" s="20"/>
      <c r="EL1847" s="20"/>
      <c r="EM1847" s="20"/>
      <c r="EN1847" s="20"/>
      <c r="EO1847" s="20"/>
      <c r="EP1847" s="20"/>
      <c r="EQ1847" s="20"/>
      <c r="ER1847" s="20"/>
      <c r="ES1847" s="20"/>
      <c r="ET1847" s="20"/>
      <c r="EU1847" s="20"/>
      <c r="EV1847" s="20"/>
      <c r="EW1847" s="20"/>
      <c r="EX1847" s="20"/>
      <c r="EY1847" s="20"/>
      <c r="EZ1847" s="20"/>
      <c r="FA1847" s="20"/>
      <c r="FB1847" s="20"/>
      <c r="FC1847" s="20"/>
      <c r="FD1847" s="20"/>
      <c r="FE1847" s="20"/>
      <c r="FF1847" s="20"/>
      <c r="FG1847" s="20"/>
      <c r="FH1847" s="20"/>
      <c r="FI1847" s="20"/>
      <c r="FJ1847" s="20"/>
      <c r="FK1847" s="20"/>
      <c r="FL1847" s="20"/>
      <c r="FM1847" s="20"/>
      <c r="FN1847" s="20"/>
      <c r="FO1847" s="20"/>
      <c r="FP1847" s="20"/>
      <c r="FQ1847" s="20"/>
      <c r="FR1847" s="20"/>
      <c r="FS1847" s="20"/>
      <c r="FT1847" s="20"/>
      <c r="FU1847" s="20"/>
      <c r="FV1847" s="20"/>
      <c r="FW1847" s="20"/>
      <c r="FX1847" s="20"/>
      <c r="FY1847" s="20"/>
      <c r="FZ1847" s="20"/>
      <c r="GA1847" s="20"/>
      <c r="GB1847" s="20"/>
      <c r="GC1847" s="20"/>
      <c r="GD1847" s="20"/>
      <c r="GE1847" s="20"/>
      <c r="GF1847" s="20"/>
      <c r="GG1847" s="20"/>
      <c r="GH1847" s="20"/>
      <c r="GI1847" s="20"/>
      <c r="GJ1847" s="20"/>
      <c r="GK1847" s="20"/>
      <c r="GL1847" s="20"/>
      <c r="GM1847" s="20"/>
      <c r="GN1847" s="20"/>
      <c r="GO1847" s="20"/>
      <c r="GP1847" s="20"/>
      <c r="GQ1847" s="20"/>
      <c r="GR1847" s="20"/>
      <c r="GS1847" s="20"/>
      <c r="GT1847" s="20"/>
      <c r="GU1847" s="20"/>
      <c r="GV1847" s="20"/>
      <c r="GW1847" s="20"/>
      <c r="GX1847" s="20"/>
      <c r="GY1847" s="20"/>
      <c r="GZ1847" s="20"/>
      <c r="HA1847" s="20"/>
      <c r="HB1847" s="20"/>
      <c r="HC1847" s="20"/>
      <c r="HD1847" s="20"/>
      <c r="HE1847" s="20"/>
      <c r="HF1847" s="20"/>
      <c r="HG1847" s="20"/>
      <c r="HH1847" s="20"/>
      <c r="HI1847" s="20"/>
      <c r="HJ1847" s="20"/>
      <c r="HK1847" s="20"/>
      <c r="HL1847" s="20"/>
      <c r="HM1847" s="20"/>
      <c r="HN1847" s="20"/>
      <c r="HO1847" s="20"/>
      <c r="HP1847" s="20"/>
      <c r="HQ1847" s="20"/>
      <c r="HR1847" s="20"/>
      <c r="HS1847" s="20"/>
      <c r="HT1847" s="20"/>
      <c r="HU1847" s="20"/>
      <c r="HV1847" s="20"/>
      <c r="HW1847" s="20"/>
      <c r="HX1847" s="20"/>
      <c r="HY1847" s="20"/>
      <c r="HZ1847" s="20"/>
      <c r="IA1847" s="20"/>
      <c r="IB1847" s="20"/>
      <c r="IC1847" s="20"/>
      <c r="ID1847" s="20"/>
      <c r="IE1847" s="20"/>
      <c r="IF1847" s="20"/>
      <c r="IG1847" s="20"/>
      <c r="IH1847" s="20"/>
      <c r="II1847" s="20"/>
      <c r="IJ1847" s="20"/>
      <c r="IK1847" s="20"/>
      <c r="IL1847" s="20"/>
      <c r="IM1847" s="20"/>
      <c r="IN1847" s="20"/>
      <c r="IO1847" s="20"/>
    </row>
    <row r="1848" spans="1:249" s="1315" customFormat="1" ht="73.5" customHeight="1">
      <c r="A1848" s="420">
        <v>4</v>
      </c>
      <c r="B1848" s="43"/>
      <c r="C1848" s="594">
        <v>3</v>
      </c>
      <c r="D1848" s="753" t="s">
        <v>34</v>
      </c>
      <c r="E1848" s="753" t="s">
        <v>78</v>
      </c>
      <c r="F1848" s="753" t="s">
        <v>25</v>
      </c>
      <c r="G1848" s="753" t="s">
        <v>38</v>
      </c>
      <c r="H1848" s="633"/>
      <c r="I1848" s="44" t="s">
        <v>3212</v>
      </c>
      <c r="J1848" s="44" t="s">
        <v>3187</v>
      </c>
      <c r="K1848" s="419">
        <v>100</v>
      </c>
      <c r="L1848" s="635">
        <f>L1849</f>
        <v>165000000</v>
      </c>
      <c r="M1848" s="419">
        <v>85</v>
      </c>
      <c r="N1848" s="1263">
        <f>N1849</f>
        <v>0</v>
      </c>
      <c r="O1848" s="419">
        <v>10</v>
      </c>
      <c r="P1848" s="1263">
        <f>P1849</f>
        <v>55000000</v>
      </c>
      <c r="Q1848" s="419">
        <v>0</v>
      </c>
      <c r="R1848" s="1263">
        <f>R1849</f>
        <v>0</v>
      </c>
      <c r="S1848" s="420"/>
      <c r="T1848" s="638">
        <f>T1849</f>
        <v>0</v>
      </c>
      <c r="U1848" s="419"/>
      <c r="V1848" s="1890">
        <f>V1849</f>
        <v>0</v>
      </c>
      <c r="W1848" s="419"/>
      <c r="X1848" s="1891">
        <f>X1849</f>
        <v>0</v>
      </c>
      <c r="Y1848" s="43">
        <f t="shared" si="532"/>
        <v>0</v>
      </c>
      <c r="Z1848" s="1892">
        <f t="shared" si="533"/>
        <v>0</v>
      </c>
      <c r="AA1848" s="43">
        <f t="shared" si="534"/>
        <v>85</v>
      </c>
      <c r="AB1848" s="692">
        <f t="shared" si="535"/>
        <v>0</v>
      </c>
      <c r="AC1848" s="699">
        <f t="shared" si="536"/>
        <v>85</v>
      </c>
      <c r="AD1848" s="699">
        <f t="shared" si="537"/>
        <v>0</v>
      </c>
      <c r="AE1848" s="2558"/>
      <c r="AF1848" s="201"/>
      <c r="AG1848" s="201"/>
      <c r="AH1848" s="201"/>
      <c r="AI1848" s="201"/>
      <c r="AJ1848" s="201"/>
      <c r="AK1848" s="201"/>
      <c r="AL1848" s="201"/>
      <c r="AM1848" s="201"/>
      <c r="AN1848" s="201"/>
      <c r="AO1848" s="201"/>
      <c r="AP1848" s="201"/>
      <c r="AQ1848" s="201"/>
      <c r="AR1848" s="201"/>
      <c r="AS1848" s="201"/>
      <c r="AT1848" s="201"/>
      <c r="AU1848" s="201"/>
      <c r="AV1848" s="201"/>
      <c r="AW1848" s="201"/>
      <c r="AX1848" s="201"/>
      <c r="AY1848" s="201"/>
      <c r="AZ1848" s="201"/>
      <c r="BA1848" s="201"/>
      <c r="BB1848" s="201"/>
      <c r="BC1848" s="20"/>
      <c r="BD1848" s="20"/>
      <c r="BE1848" s="20"/>
      <c r="BF1848" s="20"/>
      <c r="BG1848" s="20"/>
      <c r="BH1848" s="20"/>
      <c r="BI1848" s="20"/>
      <c r="BJ1848" s="20"/>
      <c r="BK1848" s="20"/>
      <c r="BL1848" s="20"/>
      <c r="BM1848" s="20"/>
      <c r="BN1848" s="20"/>
      <c r="BO1848" s="20"/>
      <c r="BP1848" s="20"/>
      <c r="BQ1848" s="20"/>
      <c r="BR1848" s="20"/>
      <c r="BS1848" s="20"/>
      <c r="BT1848" s="20"/>
      <c r="BU1848" s="20"/>
      <c r="BV1848" s="20"/>
      <c r="BW1848" s="20"/>
      <c r="BX1848" s="20"/>
      <c r="BY1848" s="20"/>
      <c r="BZ1848" s="20"/>
      <c r="CA1848" s="20"/>
      <c r="CB1848" s="20"/>
      <c r="CC1848" s="20"/>
      <c r="CD1848" s="20"/>
      <c r="CE1848" s="20"/>
      <c r="CF1848" s="20"/>
      <c r="CG1848" s="20"/>
      <c r="CH1848" s="20"/>
      <c r="CI1848" s="20"/>
      <c r="CJ1848" s="20"/>
      <c r="CK1848" s="20"/>
      <c r="CL1848" s="20"/>
      <c r="CM1848" s="20"/>
      <c r="CN1848" s="20"/>
      <c r="CO1848" s="20"/>
      <c r="CP1848" s="20"/>
      <c r="CQ1848" s="20"/>
      <c r="CR1848" s="20"/>
      <c r="CS1848" s="20"/>
      <c r="CT1848" s="20"/>
      <c r="CU1848" s="20"/>
      <c r="CV1848" s="20"/>
      <c r="CW1848" s="20"/>
      <c r="CX1848" s="20"/>
      <c r="CY1848" s="20"/>
      <c r="CZ1848" s="20"/>
      <c r="DA1848" s="20"/>
      <c r="DB1848" s="20"/>
      <c r="DC1848" s="20"/>
      <c r="DD1848" s="20"/>
      <c r="DE1848" s="20"/>
      <c r="DF1848" s="20"/>
      <c r="DG1848" s="20"/>
      <c r="DH1848" s="20"/>
      <c r="DI1848" s="20"/>
      <c r="DJ1848" s="20"/>
      <c r="DK1848" s="20"/>
      <c r="DL1848" s="20"/>
      <c r="DM1848" s="20"/>
      <c r="DN1848" s="20"/>
      <c r="DO1848" s="20"/>
      <c r="DP1848" s="20"/>
      <c r="DQ1848" s="20"/>
      <c r="DR1848" s="20"/>
      <c r="DS1848" s="20"/>
      <c r="DT1848" s="20"/>
      <c r="DU1848" s="20"/>
      <c r="DV1848" s="20"/>
      <c r="DW1848" s="20"/>
      <c r="DX1848" s="20"/>
      <c r="DY1848" s="20"/>
      <c r="DZ1848" s="20"/>
      <c r="EA1848" s="20"/>
      <c r="EB1848" s="20"/>
      <c r="EC1848" s="20"/>
      <c r="ED1848" s="20"/>
      <c r="EE1848" s="20"/>
      <c r="EF1848" s="20"/>
      <c r="EG1848" s="20"/>
      <c r="EH1848" s="20"/>
      <c r="EI1848" s="20"/>
      <c r="EJ1848" s="20"/>
      <c r="EK1848" s="20"/>
      <c r="EL1848" s="20"/>
      <c r="EM1848" s="20"/>
      <c r="EN1848" s="20"/>
      <c r="EO1848" s="20"/>
      <c r="EP1848" s="20"/>
      <c r="EQ1848" s="20"/>
      <c r="ER1848" s="20"/>
      <c r="ES1848" s="20"/>
      <c r="ET1848" s="20"/>
      <c r="EU1848" s="20"/>
      <c r="EV1848" s="20"/>
      <c r="EW1848" s="20"/>
      <c r="EX1848" s="20"/>
      <c r="EY1848" s="20"/>
      <c r="EZ1848" s="20"/>
      <c r="FA1848" s="20"/>
      <c r="FB1848" s="20"/>
      <c r="FC1848" s="20"/>
      <c r="FD1848" s="20"/>
      <c r="FE1848" s="20"/>
      <c r="FF1848" s="20"/>
      <c r="FG1848" s="20"/>
      <c r="FH1848" s="20"/>
      <c r="FI1848" s="20"/>
      <c r="FJ1848" s="20"/>
      <c r="FK1848" s="20"/>
      <c r="FL1848" s="20"/>
      <c r="FM1848" s="20"/>
      <c r="FN1848" s="20"/>
      <c r="FO1848" s="20"/>
      <c r="FP1848" s="20"/>
      <c r="FQ1848" s="20"/>
      <c r="FR1848" s="20"/>
      <c r="FS1848" s="20"/>
      <c r="FT1848" s="20"/>
      <c r="FU1848" s="20"/>
      <c r="FV1848" s="20"/>
      <c r="FW1848" s="20"/>
      <c r="FX1848" s="20"/>
      <c r="FY1848" s="20"/>
      <c r="FZ1848" s="20"/>
      <c r="GA1848" s="20"/>
      <c r="GB1848" s="20"/>
      <c r="GC1848" s="20"/>
      <c r="GD1848" s="20"/>
      <c r="GE1848" s="20"/>
      <c r="GF1848" s="20"/>
      <c r="GG1848" s="20"/>
      <c r="GH1848" s="20"/>
      <c r="GI1848" s="20"/>
      <c r="GJ1848" s="20"/>
      <c r="GK1848" s="20"/>
      <c r="GL1848" s="20"/>
      <c r="GM1848" s="20"/>
      <c r="GN1848" s="20"/>
      <c r="GO1848" s="20"/>
      <c r="GP1848" s="20"/>
      <c r="GQ1848" s="20"/>
      <c r="GR1848" s="20"/>
      <c r="GS1848" s="20"/>
      <c r="GT1848" s="20"/>
      <c r="GU1848" s="20"/>
      <c r="GV1848" s="20"/>
      <c r="GW1848" s="20"/>
      <c r="GX1848" s="20"/>
      <c r="GY1848" s="20"/>
      <c r="GZ1848" s="20"/>
      <c r="HA1848" s="20"/>
      <c r="HB1848" s="20"/>
      <c r="HC1848" s="20"/>
      <c r="HD1848" s="20"/>
      <c r="HE1848" s="20"/>
      <c r="HF1848" s="20"/>
      <c r="HG1848" s="20"/>
      <c r="HH1848" s="20"/>
      <c r="HI1848" s="20"/>
      <c r="HJ1848" s="20"/>
      <c r="HK1848" s="20"/>
      <c r="HL1848" s="20"/>
      <c r="HM1848" s="20"/>
      <c r="HN1848" s="20"/>
      <c r="HO1848" s="20"/>
      <c r="HP1848" s="20"/>
      <c r="HQ1848" s="20"/>
      <c r="HR1848" s="20"/>
      <c r="HS1848" s="20"/>
      <c r="HT1848" s="20"/>
      <c r="HU1848" s="20"/>
      <c r="HV1848" s="20"/>
      <c r="HW1848" s="20"/>
      <c r="HX1848" s="20"/>
      <c r="HY1848" s="20"/>
      <c r="HZ1848" s="20"/>
      <c r="IA1848" s="20"/>
      <c r="IB1848" s="20"/>
      <c r="IC1848" s="20"/>
      <c r="ID1848" s="20"/>
      <c r="IE1848" s="20"/>
      <c r="IF1848" s="20"/>
      <c r="IG1848" s="20"/>
      <c r="IH1848" s="20"/>
      <c r="II1848" s="20"/>
      <c r="IJ1848" s="20"/>
      <c r="IK1848" s="20"/>
      <c r="IL1848" s="20"/>
      <c r="IM1848" s="20"/>
      <c r="IN1848" s="20"/>
      <c r="IO1848" s="20"/>
    </row>
    <row r="1849" spans="1:249" ht="33">
      <c r="A1849" s="410"/>
      <c r="B1849" s="409"/>
      <c r="C1849" s="1253">
        <v>3</v>
      </c>
      <c r="D1849" s="1164" t="s">
        <v>34</v>
      </c>
      <c r="E1849" s="1164" t="s">
        <v>78</v>
      </c>
      <c r="F1849" s="1164" t="s">
        <v>25</v>
      </c>
      <c r="G1849" s="1164" t="s">
        <v>38</v>
      </c>
      <c r="H1849" s="1254"/>
      <c r="I1849" s="280" t="s">
        <v>2250</v>
      </c>
      <c r="J1849" s="280" t="s">
        <v>3267</v>
      </c>
      <c r="K1849" s="413">
        <v>6</v>
      </c>
      <c r="L1849" s="1255">
        <f>3*P1849</f>
        <v>165000000</v>
      </c>
      <c r="M1849" s="413">
        <v>0</v>
      </c>
      <c r="N1849" s="415">
        <v>0</v>
      </c>
      <c r="O1849" s="413">
        <v>2</v>
      </c>
      <c r="P1849" s="415">
        <v>55000000</v>
      </c>
      <c r="Q1849" s="413">
        <v>0</v>
      </c>
      <c r="R1849" s="415">
        <v>0</v>
      </c>
      <c r="S1849" s="410"/>
      <c r="T1849" s="1257"/>
      <c r="U1849" s="413"/>
      <c r="V1849" s="418"/>
      <c r="W1849" s="413"/>
      <c r="X1849" s="1256"/>
      <c r="Y1849" s="409">
        <f t="shared" si="532"/>
        <v>0</v>
      </c>
      <c r="Z1849" s="414">
        <f t="shared" si="533"/>
        <v>0</v>
      </c>
      <c r="AA1849" s="409">
        <f t="shared" si="534"/>
        <v>0</v>
      </c>
      <c r="AB1849" s="1259">
        <f t="shared" si="535"/>
        <v>0</v>
      </c>
      <c r="AC1849" s="1260">
        <f t="shared" si="536"/>
        <v>0</v>
      </c>
      <c r="AD1849" s="1260">
        <f t="shared" si="537"/>
        <v>0</v>
      </c>
      <c r="AE1849" s="102"/>
      <c r="AF1849" s="201"/>
      <c r="AG1849" s="201"/>
      <c r="AH1849" s="201"/>
      <c r="AI1849" s="201"/>
      <c r="AJ1849" s="201"/>
      <c r="AK1849" s="201"/>
      <c r="AL1849" s="201"/>
      <c r="AM1849" s="201"/>
      <c r="AN1849" s="201"/>
      <c r="AO1849" s="201"/>
      <c r="AP1849" s="201"/>
      <c r="AQ1849" s="201"/>
      <c r="AR1849" s="201"/>
      <c r="AS1849" s="201"/>
      <c r="AT1849" s="201"/>
      <c r="AU1849" s="201"/>
      <c r="AV1849" s="201"/>
      <c r="AW1849" s="201"/>
      <c r="AX1849" s="201"/>
      <c r="AY1849" s="201"/>
      <c r="AZ1849" s="201"/>
      <c r="BA1849" s="201"/>
      <c r="BB1849" s="201"/>
      <c r="BC1849" s="20"/>
      <c r="BD1849" s="20"/>
      <c r="BE1849" s="20"/>
      <c r="BF1849" s="20"/>
      <c r="BG1849" s="20"/>
      <c r="BH1849" s="20"/>
      <c r="BI1849" s="20"/>
      <c r="BJ1849" s="20"/>
      <c r="BK1849" s="20"/>
      <c r="BL1849" s="20"/>
      <c r="BM1849" s="20"/>
      <c r="BN1849" s="20"/>
      <c r="BO1849" s="20"/>
      <c r="BP1849" s="20"/>
      <c r="BQ1849" s="20"/>
      <c r="BR1849" s="20"/>
      <c r="BS1849" s="20"/>
      <c r="BT1849" s="20"/>
      <c r="BU1849" s="20"/>
      <c r="BV1849" s="20"/>
      <c r="BW1849" s="20"/>
      <c r="BX1849" s="20"/>
      <c r="BY1849" s="20"/>
      <c r="BZ1849" s="20"/>
      <c r="CA1849" s="20"/>
      <c r="CB1849" s="20"/>
      <c r="CC1849" s="20"/>
      <c r="CD1849" s="20"/>
      <c r="CE1849" s="20"/>
      <c r="CF1849" s="20"/>
      <c r="CG1849" s="20"/>
      <c r="CH1849" s="20"/>
      <c r="CI1849" s="20"/>
      <c r="CJ1849" s="20"/>
      <c r="CK1849" s="20"/>
      <c r="CL1849" s="20"/>
      <c r="CM1849" s="20"/>
      <c r="CN1849" s="20"/>
      <c r="CO1849" s="20"/>
      <c r="CP1849" s="20"/>
      <c r="CQ1849" s="20"/>
      <c r="CR1849" s="20"/>
      <c r="CS1849" s="20"/>
      <c r="CT1849" s="20"/>
      <c r="CU1849" s="20"/>
      <c r="CV1849" s="20"/>
      <c r="CW1849" s="20"/>
      <c r="CX1849" s="20"/>
      <c r="CY1849" s="20"/>
      <c r="CZ1849" s="20"/>
      <c r="DA1849" s="20"/>
      <c r="DB1849" s="20"/>
      <c r="DC1849" s="20"/>
      <c r="DD1849" s="20"/>
      <c r="DE1849" s="20"/>
      <c r="DF1849" s="20"/>
      <c r="DG1849" s="20"/>
      <c r="DH1849" s="20"/>
      <c r="DI1849" s="20"/>
      <c r="DJ1849" s="20"/>
      <c r="DK1849" s="20"/>
      <c r="DL1849" s="20"/>
      <c r="DM1849" s="20"/>
      <c r="DN1849" s="20"/>
      <c r="DO1849" s="20"/>
      <c r="DP1849" s="20"/>
      <c r="DQ1849" s="20"/>
      <c r="DR1849" s="20"/>
      <c r="DS1849" s="20"/>
      <c r="DT1849" s="20"/>
      <c r="DU1849" s="20"/>
      <c r="DV1849" s="20"/>
      <c r="DW1849" s="20"/>
      <c r="DX1849" s="20"/>
      <c r="DY1849" s="20"/>
      <c r="DZ1849" s="20"/>
      <c r="EA1849" s="20"/>
      <c r="EB1849" s="20"/>
      <c r="EC1849" s="20"/>
      <c r="ED1849" s="20"/>
      <c r="EE1849" s="20"/>
      <c r="EF1849" s="20"/>
      <c r="EG1849" s="20"/>
      <c r="EH1849" s="20"/>
      <c r="EI1849" s="20"/>
      <c r="EJ1849" s="20"/>
      <c r="EK1849" s="20"/>
      <c r="EL1849" s="20"/>
      <c r="EM1849" s="20"/>
      <c r="EN1849" s="20"/>
      <c r="EO1849" s="20"/>
      <c r="EP1849" s="20"/>
      <c r="EQ1849" s="20"/>
      <c r="ER1849" s="20"/>
      <c r="ES1849" s="20"/>
      <c r="ET1849" s="20"/>
      <c r="EU1849" s="20"/>
      <c r="EV1849" s="20"/>
      <c r="EW1849" s="20"/>
      <c r="EX1849" s="20"/>
      <c r="EY1849" s="20"/>
      <c r="EZ1849" s="20"/>
      <c r="FA1849" s="20"/>
      <c r="FB1849" s="20"/>
      <c r="FC1849" s="20"/>
      <c r="FD1849" s="20"/>
      <c r="FE1849" s="20"/>
      <c r="FF1849" s="20"/>
      <c r="FG1849" s="20"/>
      <c r="FH1849" s="20"/>
      <c r="FI1849" s="20"/>
      <c r="FJ1849" s="20"/>
      <c r="FK1849" s="20"/>
      <c r="FL1849" s="20"/>
      <c r="FM1849" s="20"/>
      <c r="FN1849" s="20"/>
      <c r="FO1849" s="20"/>
      <c r="FP1849" s="20"/>
      <c r="FQ1849" s="20"/>
      <c r="FR1849" s="20"/>
      <c r="FS1849" s="20"/>
      <c r="FT1849" s="20"/>
      <c r="FU1849" s="20"/>
      <c r="FV1849" s="20"/>
      <c r="FW1849" s="20"/>
      <c r="FX1849" s="20"/>
      <c r="FY1849" s="20"/>
      <c r="FZ1849" s="20"/>
      <c r="GA1849" s="20"/>
      <c r="GB1849" s="20"/>
      <c r="GC1849" s="20"/>
      <c r="GD1849" s="20"/>
      <c r="GE1849" s="20"/>
      <c r="GF1849" s="20"/>
      <c r="GG1849" s="20"/>
      <c r="GH1849" s="20"/>
      <c r="GI1849" s="20"/>
      <c r="GJ1849" s="20"/>
      <c r="GK1849" s="20"/>
      <c r="GL1849" s="20"/>
      <c r="GM1849" s="20"/>
      <c r="GN1849" s="20"/>
      <c r="GO1849" s="20"/>
      <c r="GP1849" s="20"/>
      <c r="GQ1849" s="20"/>
      <c r="GR1849" s="20"/>
      <c r="GS1849" s="20"/>
      <c r="GT1849" s="20"/>
      <c r="GU1849" s="20"/>
      <c r="GV1849" s="20"/>
      <c r="GW1849" s="20"/>
      <c r="GX1849" s="20"/>
      <c r="GY1849" s="20"/>
      <c r="GZ1849" s="20"/>
      <c r="HA1849" s="20"/>
      <c r="HB1849" s="20"/>
      <c r="HC1849" s="20"/>
      <c r="HD1849" s="20"/>
      <c r="HE1849" s="20"/>
      <c r="HF1849" s="20"/>
      <c r="HG1849" s="20"/>
      <c r="HH1849" s="20"/>
      <c r="HI1849" s="20"/>
      <c r="HJ1849" s="20"/>
      <c r="HK1849" s="20"/>
      <c r="HL1849" s="20"/>
      <c r="HM1849" s="20"/>
      <c r="HN1849" s="20"/>
      <c r="HO1849" s="20"/>
      <c r="HP1849" s="20"/>
      <c r="HQ1849" s="20"/>
      <c r="HR1849" s="20"/>
      <c r="HS1849" s="20"/>
      <c r="HT1849" s="20"/>
      <c r="HU1849" s="20"/>
      <c r="HV1849" s="20"/>
      <c r="HW1849" s="20"/>
      <c r="HX1849" s="20"/>
      <c r="HY1849" s="20"/>
      <c r="HZ1849" s="20"/>
      <c r="IA1849" s="20"/>
      <c r="IB1849" s="20"/>
      <c r="IC1849" s="20"/>
      <c r="ID1849" s="20"/>
      <c r="IE1849" s="20"/>
      <c r="IF1849" s="20"/>
      <c r="IG1849" s="20"/>
      <c r="IH1849" s="20"/>
      <c r="II1849" s="20"/>
      <c r="IJ1849" s="20"/>
      <c r="IK1849" s="20"/>
      <c r="IL1849" s="20"/>
      <c r="IM1849" s="20"/>
      <c r="IN1849" s="20"/>
      <c r="IO1849" s="20"/>
    </row>
    <row r="1850" spans="1:249" ht="132">
      <c r="A1850" s="420">
        <v>5</v>
      </c>
      <c r="B1850" s="634"/>
      <c r="C1850" s="286">
        <v>3</v>
      </c>
      <c r="D1850" s="753" t="s">
        <v>34</v>
      </c>
      <c r="E1850" s="753" t="s">
        <v>78</v>
      </c>
      <c r="F1850" s="753" t="s">
        <v>25</v>
      </c>
      <c r="G1850" s="753">
        <v>31</v>
      </c>
      <c r="H1850" s="420"/>
      <c r="I1850" s="44" t="s">
        <v>1779</v>
      </c>
      <c r="J1850" s="44" t="s">
        <v>3289</v>
      </c>
      <c r="K1850" s="146">
        <v>80</v>
      </c>
      <c r="L1850" s="714">
        <f>SUM(L1851:L1867)</f>
        <v>8667074000</v>
      </c>
      <c r="M1850" s="146">
        <v>45</v>
      </c>
      <c r="N1850" s="714">
        <f>SUM(N1851:N1867)</f>
        <v>2327500499</v>
      </c>
      <c r="O1850" s="146">
        <v>15</v>
      </c>
      <c r="P1850" s="714">
        <f>SUM(P1851:P1868)</f>
        <v>827973150</v>
      </c>
      <c r="Q1850" s="146">
        <v>0</v>
      </c>
      <c r="R1850" s="714">
        <f>SUM(R1851:R1867)</f>
        <v>133707600</v>
      </c>
      <c r="S1850" s="146"/>
      <c r="T1850" s="281">
        <f>SUM(T1851:T1868)</f>
        <v>241163035</v>
      </c>
      <c r="U1850" s="146"/>
      <c r="V1850" s="281">
        <f>SUM(V1851:V1867)</f>
        <v>0</v>
      </c>
      <c r="W1850" s="146"/>
      <c r="X1850" s="281">
        <f>SUM(X1851:X1867)</f>
        <v>0</v>
      </c>
      <c r="Y1850" s="44">
        <f t="shared" si="532"/>
        <v>0</v>
      </c>
      <c r="Z1850" s="717">
        <f t="shared" si="533"/>
        <v>374870635</v>
      </c>
      <c r="AA1850" s="44">
        <f t="shared" si="534"/>
        <v>45</v>
      </c>
      <c r="AB1850" s="717">
        <f t="shared" si="535"/>
        <v>2702371134</v>
      </c>
      <c r="AC1850" s="1262">
        <f t="shared" si="536"/>
        <v>56.25</v>
      </c>
      <c r="AD1850" s="1262">
        <f t="shared" si="537"/>
        <v>31.179739944530301</v>
      </c>
      <c r="AE1850" s="133" t="s">
        <v>1762</v>
      </c>
      <c r="AF1850" s="201"/>
      <c r="AG1850" s="201"/>
      <c r="AH1850" s="201"/>
      <c r="AI1850" s="201"/>
      <c r="AJ1850" s="201"/>
      <c r="AK1850" s="201"/>
      <c r="AL1850" s="201"/>
      <c r="AM1850" s="201"/>
      <c r="AN1850" s="201"/>
      <c r="AO1850" s="201"/>
      <c r="AP1850" s="201"/>
      <c r="AQ1850" s="201"/>
      <c r="AR1850" s="201"/>
      <c r="AS1850" s="201"/>
      <c r="AT1850" s="201"/>
      <c r="AU1850" s="201"/>
      <c r="AV1850" s="201"/>
      <c r="AW1850" s="201"/>
      <c r="AX1850" s="201"/>
      <c r="AY1850" s="201"/>
      <c r="AZ1850" s="201"/>
      <c r="BA1850" s="201"/>
      <c r="BB1850" s="201"/>
      <c r="BC1850" s="20"/>
      <c r="BD1850" s="20"/>
      <c r="BE1850" s="20"/>
      <c r="BF1850" s="20"/>
      <c r="BG1850" s="20"/>
      <c r="BH1850" s="20"/>
      <c r="BI1850" s="20"/>
      <c r="BJ1850" s="20"/>
      <c r="BK1850" s="20"/>
      <c r="BL1850" s="20"/>
      <c r="BM1850" s="20"/>
      <c r="BN1850" s="20"/>
      <c r="BO1850" s="20"/>
      <c r="BP1850" s="20"/>
      <c r="BQ1850" s="20"/>
      <c r="BR1850" s="20"/>
      <c r="BS1850" s="20"/>
      <c r="BT1850" s="20"/>
      <c r="BU1850" s="20"/>
      <c r="BV1850" s="20"/>
      <c r="BW1850" s="20"/>
      <c r="BX1850" s="20"/>
      <c r="BY1850" s="20"/>
      <c r="BZ1850" s="20"/>
      <c r="CA1850" s="20"/>
      <c r="CB1850" s="20"/>
      <c r="CC1850" s="20"/>
      <c r="CD1850" s="20"/>
      <c r="CE1850" s="20"/>
      <c r="CF1850" s="20"/>
      <c r="CG1850" s="20"/>
      <c r="CH1850" s="20"/>
      <c r="CI1850" s="20"/>
      <c r="CJ1850" s="20"/>
      <c r="CK1850" s="20"/>
      <c r="CL1850" s="20"/>
      <c r="CM1850" s="20"/>
      <c r="CN1850" s="20"/>
      <c r="CO1850" s="20"/>
      <c r="CP1850" s="20"/>
      <c r="CQ1850" s="20"/>
      <c r="CR1850" s="20"/>
      <c r="CS1850" s="20"/>
      <c r="CT1850" s="20"/>
      <c r="CU1850" s="20"/>
      <c r="CV1850" s="20"/>
      <c r="CW1850" s="20"/>
      <c r="CX1850" s="20"/>
      <c r="CY1850" s="20"/>
      <c r="CZ1850" s="20"/>
      <c r="DA1850" s="20"/>
      <c r="DB1850" s="20"/>
      <c r="DC1850" s="20"/>
      <c r="DD1850" s="20"/>
      <c r="DE1850" s="20"/>
      <c r="DF1850" s="20"/>
      <c r="DG1850" s="20"/>
      <c r="DH1850" s="20"/>
      <c r="DI1850" s="20"/>
      <c r="DJ1850" s="20"/>
      <c r="DK1850" s="20"/>
      <c r="DL1850" s="20"/>
      <c r="DM1850" s="20"/>
      <c r="DN1850" s="20"/>
      <c r="DO1850" s="20"/>
      <c r="DP1850" s="20"/>
      <c r="DQ1850" s="20"/>
      <c r="DR1850" s="20"/>
      <c r="DS1850" s="20"/>
      <c r="DT1850" s="20"/>
      <c r="DU1850" s="20"/>
      <c r="DV1850" s="20"/>
      <c r="DW1850" s="20"/>
      <c r="DX1850" s="20"/>
      <c r="DY1850" s="20"/>
      <c r="DZ1850" s="20"/>
      <c r="EA1850" s="20"/>
      <c r="EB1850" s="20"/>
      <c r="EC1850" s="20"/>
      <c r="ED1850" s="20"/>
      <c r="EE1850" s="20"/>
      <c r="EF1850" s="20"/>
      <c r="EG1850" s="20"/>
      <c r="EH1850" s="20"/>
      <c r="EI1850" s="20"/>
      <c r="EJ1850" s="20"/>
      <c r="EK1850" s="20"/>
      <c r="EL1850" s="20"/>
      <c r="EM1850" s="20"/>
      <c r="EN1850" s="20"/>
      <c r="EO1850" s="20"/>
      <c r="EP1850" s="20"/>
      <c r="EQ1850" s="20"/>
      <c r="ER1850" s="20"/>
      <c r="ES1850" s="20"/>
      <c r="ET1850" s="20"/>
      <c r="EU1850" s="20"/>
      <c r="EV1850" s="20"/>
      <c r="EW1850" s="20"/>
      <c r="EX1850" s="20"/>
      <c r="EY1850" s="20"/>
      <c r="EZ1850" s="20"/>
      <c r="FA1850" s="20"/>
      <c r="FB1850" s="20"/>
      <c r="FC1850" s="20"/>
      <c r="FD1850" s="20"/>
      <c r="FE1850" s="20"/>
      <c r="FF1850" s="20"/>
      <c r="FG1850" s="20"/>
      <c r="FH1850" s="20"/>
      <c r="FI1850" s="20"/>
      <c r="FJ1850" s="20"/>
      <c r="FK1850" s="20"/>
      <c r="FL1850" s="20"/>
      <c r="FM1850" s="20"/>
      <c r="FN1850" s="20"/>
      <c r="FO1850" s="20"/>
      <c r="FP1850" s="20"/>
      <c r="FQ1850" s="20"/>
      <c r="FR1850" s="20"/>
      <c r="FS1850" s="20"/>
      <c r="FT1850" s="20"/>
      <c r="FU1850" s="20"/>
      <c r="FV1850" s="20"/>
      <c r="FW1850" s="20"/>
      <c r="FX1850" s="20"/>
      <c r="FY1850" s="20"/>
      <c r="FZ1850" s="20"/>
      <c r="GA1850" s="20"/>
      <c r="GB1850" s="20"/>
      <c r="GC1850" s="20"/>
      <c r="GD1850" s="20"/>
      <c r="GE1850" s="20"/>
      <c r="GF1850" s="20"/>
      <c r="GG1850" s="20"/>
      <c r="GH1850" s="20"/>
      <c r="GI1850" s="20"/>
      <c r="GJ1850" s="20"/>
      <c r="GK1850" s="20"/>
      <c r="GL1850" s="20"/>
      <c r="GM1850" s="20"/>
      <c r="GN1850" s="20"/>
      <c r="GO1850" s="20"/>
      <c r="GP1850" s="20"/>
      <c r="GQ1850" s="20"/>
      <c r="GR1850" s="20"/>
      <c r="GS1850" s="20"/>
      <c r="GT1850" s="20"/>
      <c r="GU1850" s="20"/>
      <c r="GV1850" s="20"/>
      <c r="GW1850" s="20"/>
      <c r="GX1850" s="20"/>
      <c r="GY1850" s="20"/>
      <c r="GZ1850" s="20"/>
      <c r="HA1850" s="20"/>
      <c r="HB1850" s="20"/>
      <c r="HC1850" s="20"/>
      <c r="HD1850" s="20"/>
      <c r="HE1850" s="20"/>
      <c r="HF1850" s="20"/>
      <c r="HG1850" s="20"/>
      <c r="HH1850" s="20"/>
      <c r="HI1850" s="20"/>
      <c r="HJ1850" s="20"/>
      <c r="HK1850" s="20"/>
      <c r="HL1850" s="20"/>
      <c r="HM1850" s="20"/>
      <c r="HN1850" s="20"/>
      <c r="HO1850" s="20"/>
      <c r="HP1850" s="20"/>
      <c r="HQ1850" s="20"/>
      <c r="HR1850" s="20"/>
      <c r="HS1850" s="20"/>
      <c r="HT1850" s="20"/>
      <c r="HU1850" s="20"/>
      <c r="HV1850" s="20"/>
      <c r="HW1850" s="20"/>
      <c r="HX1850" s="20"/>
      <c r="HY1850" s="20"/>
      <c r="HZ1850" s="20"/>
      <c r="IA1850" s="20"/>
      <c r="IB1850" s="20"/>
      <c r="IC1850" s="20"/>
      <c r="ID1850" s="20"/>
      <c r="IE1850" s="20"/>
      <c r="IF1850" s="20"/>
      <c r="IG1850" s="20"/>
      <c r="IH1850" s="20"/>
      <c r="II1850" s="20"/>
      <c r="IJ1850" s="20"/>
      <c r="IK1850" s="20"/>
      <c r="IL1850" s="20"/>
      <c r="IM1850" s="20"/>
      <c r="IN1850" s="20"/>
      <c r="IO1850" s="20"/>
    </row>
    <row r="1851" spans="1:249" ht="82.5">
      <c r="A1851" s="410"/>
      <c r="B1851" s="409"/>
      <c r="C1851" s="1253">
        <v>3</v>
      </c>
      <c r="D1851" s="1164" t="s">
        <v>34</v>
      </c>
      <c r="E1851" s="1164" t="s">
        <v>78</v>
      </c>
      <c r="F1851" s="1164" t="s">
        <v>25</v>
      </c>
      <c r="G1851" s="1164">
        <v>31</v>
      </c>
      <c r="H1851" s="1254" t="s">
        <v>28</v>
      </c>
      <c r="I1851" s="411" t="s">
        <v>1780</v>
      </c>
      <c r="J1851" s="411" t="s">
        <v>1781</v>
      </c>
      <c r="K1851" s="413">
        <v>1004</v>
      </c>
      <c r="L1851" s="1264">
        <v>770850000</v>
      </c>
      <c r="M1851" s="413">
        <v>204</v>
      </c>
      <c r="N1851" s="415">
        <v>171113600</v>
      </c>
      <c r="O1851" s="413">
        <v>200</v>
      </c>
      <c r="P1851" s="415">
        <v>63275000</v>
      </c>
      <c r="Q1851" s="413">
        <v>0</v>
      </c>
      <c r="R1851" s="415">
        <v>0</v>
      </c>
      <c r="S1851" s="410">
        <v>13</v>
      </c>
      <c r="T1851" s="1257">
        <v>35934940</v>
      </c>
      <c r="U1851" s="413"/>
      <c r="V1851" s="418"/>
      <c r="W1851" s="413"/>
      <c r="Y1851" s="409">
        <f t="shared" si="532"/>
        <v>13</v>
      </c>
      <c r="Z1851" s="414">
        <f t="shared" si="533"/>
        <v>35934940</v>
      </c>
      <c r="AA1851" s="409">
        <f t="shared" si="534"/>
        <v>217</v>
      </c>
      <c r="AB1851" s="1259">
        <f t="shared" si="535"/>
        <v>207048540</v>
      </c>
      <c r="AC1851" s="1260">
        <f t="shared" si="536"/>
        <v>21.613545816733069</v>
      </c>
      <c r="AD1851" s="1260">
        <f t="shared" si="537"/>
        <v>26.859770383343061</v>
      </c>
      <c r="AE1851" s="102"/>
      <c r="AF1851" s="201"/>
      <c r="AG1851" s="201"/>
      <c r="AH1851" s="201"/>
      <c r="AI1851" s="201"/>
      <c r="AJ1851" s="201"/>
      <c r="AK1851" s="201"/>
      <c r="AL1851" s="201"/>
      <c r="AM1851" s="201"/>
      <c r="AN1851" s="201"/>
      <c r="AO1851" s="201"/>
      <c r="AP1851" s="201"/>
      <c r="AQ1851" s="201"/>
      <c r="AR1851" s="201"/>
      <c r="AS1851" s="201"/>
      <c r="AT1851" s="201"/>
      <c r="AU1851" s="201"/>
      <c r="AV1851" s="201"/>
      <c r="AW1851" s="201"/>
      <c r="AX1851" s="201"/>
      <c r="AY1851" s="201"/>
      <c r="AZ1851" s="201"/>
      <c r="BA1851" s="201"/>
      <c r="BB1851" s="201"/>
      <c r="BC1851" s="20"/>
      <c r="BD1851" s="20"/>
      <c r="BE1851" s="20"/>
      <c r="BF1851" s="20"/>
      <c r="BG1851" s="20"/>
      <c r="BH1851" s="20"/>
      <c r="BI1851" s="20"/>
      <c r="BJ1851" s="20"/>
      <c r="BK1851" s="20"/>
      <c r="BL1851" s="20"/>
      <c r="BM1851" s="20"/>
      <c r="BN1851" s="20"/>
      <c r="BO1851" s="20"/>
      <c r="BP1851" s="20"/>
      <c r="BQ1851" s="20"/>
      <c r="BR1851" s="20"/>
      <c r="BS1851" s="20"/>
      <c r="BT1851" s="20"/>
      <c r="BU1851" s="20"/>
      <c r="BV1851" s="20"/>
      <c r="BW1851" s="20"/>
      <c r="BX1851" s="20"/>
      <c r="BY1851" s="20"/>
      <c r="BZ1851" s="20"/>
      <c r="CA1851" s="20"/>
      <c r="CB1851" s="20"/>
      <c r="CC1851" s="20"/>
      <c r="CD1851" s="20"/>
      <c r="CE1851" s="20"/>
      <c r="CF1851" s="20"/>
      <c r="CG1851" s="20"/>
      <c r="CH1851" s="20"/>
      <c r="CI1851" s="20"/>
      <c r="CJ1851" s="20"/>
      <c r="CK1851" s="20"/>
      <c r="CL1851" s="20"/>
      <c r="CM1851" s="20"/>
      <c r="CN1851" s="20"/>
      <c r="CO1851" s="20"/>
      <c r="CP1851" s="20"/>
      <c r="CQ1851" s="20"/>
      <c r="CR1851" s="20"/>
      <c r="CS1851" s="20"/>
      <c r="CT1851" s="20"/>
      <c r="CU1851" s="20"/>
      <c r="CV1851" s="20"/>
      <c r="CW1851" s="20"/>
      <c r="CX1851" s="20"/>
      <c r="CY1851" s="20"/>
      <c r="CZ1851" s="20"/>
      <c r="DA1851" s="20"/>
      <c r="DB1851" s="20"/>
      <c r="DC1851" s="20"/>
      <c r="DD1851" s="20"/>
      <c r="DE1851" s="20"/>
      <c r="DF1851" s="20"/>
      <c r="DG1851" s="20"/>
      <c r="DH1851" s="20"/>
      <c r="DI1851" s="20"/>
      <c r="DJ1851" s="20"/>
      <c r="DK1851" s="20"/>
      <c r="DL1851" s="20"/>
      <c r="DM1851" s="20"/>
      <c r="DN1851" s="20"/>
      <c r="DO1851" s="20"/>
      <c r="DP1851" s="20"/>
      <c r="DQ1851" s="20"/>
      <c r="DR1851" s="20"/>
      <c r="DS1851" s="20"/>
      <c r="DT1851" s="20"/>
      <c r="DU1851" s="20"/>
      <c r="DV1851" s="20"/>
      <c r="DW1851" s="20"/>
      <c r="DX1851" s="20"/>
      <c r="DY1851" s="20"/>
      <c r="DZ1851" s="20"/>
      <c r="EA1851" s="20"/>
      <c r="EB1851" s="20"/>
      <c r="EC1851" s="20"/>
      <c r="ED1851" s="20"/>
      <c r="EE1851" s="20"/>
      <c r="EF1851" s="20"/>
      <c r="EG1851" s="20"/>
      <c r="EH1851" s="20"/>
      <c r="EI1851" s="20"/>
      <c r="EJ1851" s="20"/>
      <c r="EK1851" s="20"/>
      <c r="EL1851" s="20"/>
      <c r="EM1851" s="20"/>
      <c r="EN1851" s="20"/>
      <c r="EO1851" s="20"/>
      <c r="EP1851" s="20"/>
      <c r="EQ1851" s="20"/>
      <c r="ER1851" s="20"/>
      <c r="ES1851" s="20"/>
      <c r="ET1851" s="20"/>
      <c r="EU1851" s="20"/>
      <c r="EV1851" s="20"/>
      <c r="EW1851" s="20"/>
      <c r="EX1851" s="20"/>
      <c r="EY1851" s="20"/>
      <c r="EZ1851" s="20"/>
      <c r="FA1851" s="20"/>
      <c r="FB1851" s="20"/>
      <c r="FC1851" s="20"/>
      <c r="FD1851" s="20"/>
      <c r="FE1851" s="20"/>
      <c r="FF1851" s="20"/>
      <c r="FG1851" s="20"/>
      <c r="FH1851" s="20"/>
      <c r="FI1851" s="20"/>
      <c r="FJ1851" s="20"/>
      <c r="FK1851" s="20"/>
      <c r="FL1851" s="20"/>
      <c r="FM1851" s="20"/>
      <c r="FN1851" s="20"/>
      <c r="FO1851" s="20"/>
      <c r="FP1851" s="20"/>
      <c r="FQ1851" s="20"/>
      <c r="FR1851" s="20"/>
      <c r="FS1851" s="20"/>
      <c r="FT1851" s="20"/>
      <c r="FU1851" s="20"/>
      <c r="FV1851" s="20"/>
      <c r="FW1851" s="20"/>
      <c r="FX1851" s="20"/>
      <c r="FY1851" s="20"/>
      <c r="FZ1851" s="20"/>
      <c r="GA1851" s="20"/>
      <c r="GB1851" s="20"/>
      <c r="GC1851" s="20"/>
      <c r="GD1851" s="20"/>
      <c r="GE1851" s="20"/>
      <c r="GF1851" s="20"/>
      <c r="GG1851" s="20"/>
      <c r="GH1851" s="20"/>
      <c r="GI1851" s="20"/>
      <c r="GJ1851" s="20"/>
      <c r="GK1851" s="20"/>
      <c r="GL1851" s="20"/>
      <c r="GM1851" s="20"/>
      <c r="GN1851" s="20"/>
      <c r="GO1851" s="20"/>
      <c r="GP1851" s="20"/>
      <c r="GQ1851" s="20"/>
      <c r="GR1851" s="20"/>
      <c r="GS1851" s="20"/>
      <c r="GT1851" s="20"/>
      <c r="GU1851" s="20"/>
      <c r="GV1851" s="20"/>
      <c r="GW1851" s="20"/>
      <c r="GX1851" s="20"/>
      <c r="GY1851" s="20"/>
      <c r="GZ1851" s="20"/>
      <c r="HA1851" s="20"/>
      <c r="HB1851" s="20"/>
      <c r="HC1851" s="20"/>
      <c r="HD1851" s="20"/>
      <c r="HE1851" s="20"/>
      <c r="HF1851" s="20"/>
      <c r="HG1851" s="20"/>
      <c r="HH1851" s="20"/>
      <c r="HI1851" s="20"/>
      <c r="HJ1851" s="20"/>
      <c r="HK1851" s="20"/>
      <c r="HL1851" s="20"/>
      <c r="HM1851" s="20"/>
      <c r="HN1851" s="20"/>
      <c r="HO1851" s="20"/>
      <c r="HP1851" s="20"/>
      <c r="HQ1851" s="20"/>
      <c r="HR1851" s="20"/>
      <c r="HS1851" s="20"/>
      <c r="HT1851" s="20"/>
      <c r="HU1851" s="20"/>
      <c r="HV1851" s="20"/>
      <c r="HW1851" s="20"/>
      <c r="HX1851" s="20"/>
      <c r="HY1851" s="20"/>
      <c r="HZ1851" s="20"/>
      <c r="IA1851" s="20"/>
      <c r="IB1851" s="20"/>
      <c r="IC1851" s="20"/>
      <c r="ID1851" s="20"/>
      <c r="IE1851" s="20"/>
      <c r="IF1851" s="20"/>
      <c r="IG1851" s="20"/>
      <c r="IH1851" s="20"/>
      <c r="II1851" s="20"/>
      <c r="IJ1851" s="20"/>
      <c r="IK1851" s="20"/>
      <c r="IL1851" s="20"/>
      <c r="IM1851" s="20"/>
      <c r="IN1851" s="20"/>
      <c r="IO1851" s="20"/>
    </row>
    <row r="1852" spans="1:249" ht="82.5">
      <c r="A1852" s="410"/>
      <c r="B1852" s="409"/>
      <c r="C1852" s="1253">
        <v>3</v>
      </c>
      <c r="D1852" s="1164" t="s">
        <v>34</v>
      </c>
      <c r="E1852" s="1164" t="s">
        <v>78</v>
      </c>
      <c r="F1852" s="1164" t="s">
        <v>25</v>
      </c>
      <c r="G1852" s="1164">
        <v>31</v>
      </c>
      <c r="H1852" s="410">
        <v>11</v>
      </c>
      <c r="I1852" s="411" t="s">
        <v>1782</v>
      </c>
      <c r="J1852" s="411" t="s">
        <v>1783</v>
      </c>
      <c r="K1852" s="1265">
        <v>390</v>
      </c>
      <c r="L1852" s="1264">
        <v>2283364000</v>
      </c>
      <c r="M1852" s="413">
        <v>173</v>
      </c>
      <c r="N1852" s="415">
        <v>839987584</v>
      </c>
      <c r="O1852" s="413">
        <v>4</v>
      </c>
      <c r="P1852" s="415">
        <v>148625000</v>
      </c>
      <c r="Q1852" s="413">
        <v>1</v>
      </c>
      <c r="R1852" s="415">
        <v>18857000</v>
      </c>
      <c r="S1852" s="410">
        <v>2</v>
      </c>
      <c r="T1852" s="1257">
        <v>7850000</v>
      </c>
      <c r="U1852" s="413"/>
      <c r="V1852" s="418"/>
      <c r="W1852" s="413"/>
      <c r="X1852" s="1284"/>
      <c r="Y1852" s="409">
        <f t="shared" si="532"/>
        <v>3</v>
      </c>
      <c r="Z1852" s="414">
        <f t="shared" si="533"/>
        <v>26707000</v>
      </c>
      <c r="AA1852" s="409">
        <f t="shared" si="534"/>
        <v>176</v>
      </c>
      <c r="AB1852" s="1259">
        <f t="shared" si="535"/>
        <v>866694584</v>
      </c>
      <c r="AC1852" s="1260">
        <f t="shared" si="536"/>
        <v>45.128205128205131</v>
      </c>
      <c r="AD1852" s="1260">
        <f t="shared" si="537"/>
        <v>37.956917250162483</v>
      </c>
      <c r="AE1852" s="102"/>
      <c r="AF1852" s="201"/>
      <c r="AG1852" s="201"/>
      <c r="AH1852" s="201"/>
      <c r="AI1852" s="201"/>
      <c r="AJ1852" s="201"/>
      <c r="AK1852" s="201"/>
      <c r="AL1852" s="201"/>
      <c r="AM1852" s="201"/>
      <c r="AN1852" s="201"/>
      <c r="AO1852" s="201"/>
      <c r="AP1852" s="201"/>
      <c r="AQ1852" s="201"/>
      <c r="AR1852" s="201"/>
      <c r="AS1852" s="201"/>
      <c r="AT1852" s="201"/>
      <c r="AU1852" s="201"/>
      <c r="AV1852" s="201"/>
      <c r="AW1852" s="201"/>
      <c r="AX1852" s="201"/>
      <c r="AY1852" s="201"/>
      <c r="AZ1852" s="201"/>
      <c r="BA1852" s="201"/>
      <c r="BB1852" s="201"/>
      <c r="BC1852" s="20"/>
      <c r="BD1852" s="20"/>
      <c r="BE1852" s="20"/>
      <c r="BF1852" s="20"/>
      <c r="BG1852" s="20"/>
      <c r="BH1852" s="20"/>
      <c r="BI1852" s="20"/>
      <c r="BJ1852" s="20"/>
      <c r="BK1852" s="20"/>
      <c r="BL1852" s="20"/>
      <c r="BM1852" s="20"/>
      <c r="BN1852" s="20"/>
      <c r="BO1852" s="20"/>
      <c r="BP1852" s="20"/>
      <c r="BQ1852" s="20"/>
      <c r="BR1852" s="20"/>
      <c r="BS1852" s="20"/>
      <c r="BT1852" s="20"/>
      <c r="BU1852" s="20"/>
      <c r="BV1852" s="20"/>
      <c r="BW1852" s="20"/>
      <c r="BX1852" s="20"/>
      <c r="BY1852" s="20"/>
      <c r="BZ1852" s="20"/>
      <c r="CA1852" s="20"/>
      <c r="CB1852" s="20"/>
      <c r="CC1852" s="20"/>
      <c r="CD1852" s="20"/>
      <c r="CE1852" s="20"/>
      <c r="CF1852" s="20"/>
      <c r="CG1852" s="20"/>
      <c r="CH1852" s="20"/>
      <c r="CI1852" s="20"/>
      <c r="CJ1852" s="20"/>
      <c r="CK1852" s="20"/>
      <c r="CL1852" s="20"/>
      <c r="CM1852" s="20"/>
      <c r="CN1852" s="20"/>
      <c r="CO1852" s="20"/>
      <c r="CP1852" s="20"/>
      <c r="CQ1852" s="20"/>
      <c r="CR1852" s="20"/>
      <c r="CS1852" s="20"/>
      <c r="CT1852" s="20"/>
      <c r="CU1852" s="20"/>
      <c r="CV1852" s="20"/>
      <c r="CW1852" s="20"/>
      <c r="CX1852" s="20"/>
      <c r="CY1852" s="20"/>
      <c r="CZ1852" s="20"/>
      <c r="DA1852" s="20"/>
      <c r="DB1852" s="20"/>
      <c r="DC1852" s="20"/>
      <c r="DD1852" s="20"/>
      <c r="DE1852" s="20"/>
      <c r="DF1852" s="20"/>
      <c r="DG1852" s="20"/>
      <c r="DH1852" s="20"/>
      <c r="DI1852" s="20"/>
      <c r="DJ1852" s="20"/>
      <c r="DK1852" s="20"/>
      <c r="DL1852" s="20"/>
      <c r="DM1852" s="20"/>
      <c r="DN1852" s="20"/>
      <c r="DO1852" s="20"/>
      <c r="DP1852" s="20"/>
      <c r="DQ1852" s="20"/>
      <c r="DR1852" s="20"/>
      <c r="DS1852" s="20"/>
      <c r="DT1852" s="20"/>
      <c r="DU1852" s="20"/>
      <c r="DV1852" s="20"/>
      <c r="DW1852" s="20"/>
      <c r="DX1852" s="20"/>
      <c r="DY1852" s="20"/>
      <c r="DZ1852" s="20"/>
      <c r="EA1852" s="20"/>
      <c r="EB1852" s="20"/>
      <c r="EC1852" s="20"/>
      <c r="ED1852" s="20"/>
      <c r="EE1852" s="20"/>
      <c r="EF1852" s="20"/>
      <c r="EG1852" s="20"/>
      <c r="EH1852" s="20"/>
      <c r="EI1852" s="20"/>
      <c r="EJ1852" s="20"/>
      <c r="EK1852" s="20"/>
      <c r="EL1852" s="20"/>
      <c r="EM1852" s="20"/>
      <c r="EN1852" s="20"/>
      <c r="EO1852" s="20"/>
      <c r="EP1852" s="20"/>
      <c r="EQ1852" s="20"/>
      <c r="ER1852" s="20"/>
      <c r="ES1852" s="20"/>
      <c r="ET1852" s="20"/>
      <c r="EU1852" s="20"/>
      <c r="EV1852" s="20"/>
      <c r="EW1852" s="20"/>
      <c r="EX1852" s="20"/>
      <c r="EY1852" s="20"/>
      <c r="EZ1852" s="20"/>
      <c r="FA1852" s="20"/>
      <c r="FB1852" s="20"/>
      <c r="FC1852" s="20"/>
      <c r="FD1852" s="20"/>
      <c r="FE1852" s="20"/>
      <c r="FF1852" s="20"/>
      <c r="FG1852" s="20"/>
      <c r="FH1852" s="20"/>
      <c r="FI1852" s="20"/>
      <c r="FJ1852" s="20"/>
      <c r="FK1852" s="20"/>
      <c r="FL1852" s="20"/>
      <c r="FM1852" s="20"/>
      <c r="FN1852" s="20"/>
      <c r="FO1852" s="20"/>
      <c r="FP1852" s="20"/>
      <c r="FQ1852" s="20"/>
      <c r="FR1852" s="20"/>
      <c r="FS1852" s="20"/>
      <c r="FT1852" s="20"/>
      <c r="FU1852" s="20"/>
      <c r="FV1852" s="20"/>
      <c r="FW1852" s="20"/>
      <c r="FX1852" s="20"/>
      <c r="FY1852" s="20"/>
      <c r="FZ1852" s="20"/>
      <c r="GA1852" s="20"/>
      <c r="GB1852" s="20"/>
      <c r="GC1852" s="20"/>
      <c r="GD1852" s="20"/>
      <c r="GE1852" s="20"/>
      <c r="GF1852" s="20"/>
      <c r="GG1852" s="20"/>
      <c r="GH1852" s="20"/>
      <c r="GI1852" s="20"/>
      <c r="GJ1852" s="20"/>
      <c r="GK1852" s="20"/>
      <c r="GL1852" s="20"/>
      <c r="GM1852" s="20"/>
      <c r="GN1852" s="20"/>
      <c r="GO1852" s="20"/>
      <c r="GP1852" s="20"/>
      <c r="GQ1852" s="20"/>
      <c r="GR1852" s="20"/>
      <c r="GS1852" s="20"/>
      <c r="GT1852" s="20"/>
      <c r="GU1852" s="20"/>
      <c r="GV1852" s="20"/>
      <c r="GW1852" s="20"/>
      <c r="GX1852" s="20"/>
      <c r="GY1852" s="20"/>
      <c r="GZ1852" s="20"/>
      <c r="HA1852" s="20"/>
      <c r="HB1852" s="20"/>
      <c r="HC1852" s="20"/>
      <c r="HD1852" s="20"/>
      <c r="HE1852" s="20"/>
      <c r="HF1852" s="20"/>
      <c r="HG1852" s="20"/>
      <c r="HH1852" s="20"/>
      <c r="HI1852" s="20"/>
      <c r="HJ1852" s="20"/>
      <c r="HK1852" s="20"/>
      <c r="HL1852" s="20"/>
      <c r="HM1852" s="20"/>
      <c r="HN1852" s="20"/>
      <c r="HO1852" s="20"/>
      <c r="HP1852" s="20"/>
      <c r="HQ1852" s="20"/>
      <c r="HR1852" s="20"/>
      <c r="HS1852" s="20"/>
      <c r="HT1852" s="20"/>
      <c r="HU1852" s="20"/>
      <c r="HV1852" s="20"/>
      <c r="HW1852" s="20"/>
      <c r="HX1852" s="20"/>
      <c r="HY1852" s="20"/>
      <c r="HZ1852" s="20"/>
      <c r="IA1852" s="20"/>
      <c r="IB1852" s="20"/>
      <c r="IC1852" s="20"/>
      <c r="ID1852" s="20"/>
      <c r="IE1852" s="20"/>
      <c r="IF1852" s="20"/>
      <c r="IG1852" s="20"/>
      <c r="IH1852" s="20"/>
      <c r="II1852" s="20"/>
      <c r="IJ1852" s="20"/>
      <c r="IK1852" s="20"/>
      <c r="IL1852" s="20"/>
      <c r="IM1852" s="20"/>
      <c r="IN1852" s="20"/>
      <c r="IO1852" s="20"/>
    </row>
    <row r="1853" spans="1:249" ht="82.5">
      <c r="A1853" s="410"/>
      <c r="B1853" s="409"/>
      <c r="C1853" s="1253">
        <v>3</v>
      </c>
      <c r="D1853" s="1164" t="s">
        <v>34</v>
      </c>
      <c r="E1853" s="1164" t="s">
        <v>78</v>
      </c>
      <c r="F1853" s="1164" t="s">
        <v>25</v>
      </c>
      <c r="G1853" s="1164">
        <v>31</v>
      </c>
      <c r="H1853" s="410">
        <v>26</v>
      </c>
      <c r="I1853" s="416" t="s">
        <v>1784</v>
      </c>
      <c r="J1853" s="411" t="s">
        <v>1785</v>
      </c>
      <c r="K1853" s="417">
        <v>137</v>
      </c>
      <c r="L1853" s="1264">
        <v>313969000</v>
      </c>
      <c r="M1853" s="413">
        <v>56</v>
      </c>
      <c r="N1853" s="415">
        <v>111369144</v>
      </c>
      <c r="O1853" s="413">
        <v>12</v>
      </c>
      <c r="P1853" s="415">
        <v>68750000</v>
      </c>
      <c r="Q1853" s="413">
        <v>7</v>
      </c>
      <c r="R1853" s="415">
        <v>30120000</v>
      </c>
      <c r="S1853" s="410">
        <v>5</v>
      </c>
      <c r="T1853" s="1257">
        <v>9200000</v>
      </c>
      <c r="U1853" s="413"/>
      <c r="V1853" s="418"/>
      <c r="W1853" s="413"/>
      <c r="X1853" s="1284"/>
      <c r="Y1853" s="409">
        <f t="shared" si="532"/>
        <v>12</v>
      </c>
      <c r="Z1853" s="414">
        <f t="shared" si="533"/>
        <v>39320000</v>
      </c>
      <c r="AA1853" s="409">
        <f t="shared" si="534"/>
        <v>68</v>
      </c>
      <c r="AB1853" s="1259">
        <f t="shared" si="535"/>
        <v>150689144</v>
      </c>
      <c r="AC1853" s="1260">
        <f t="shared" si="536"/>
        <v>49.635036496350367</v>
      </c>
      <c r="AD1853" s="1260">
        <f t="shared" si="537"/>
        <v>47.994911599552822</v>
      </c>
      <c r="AE1853" s="102"/>
      <c r="AF1853" s="201"/>
      <c r="AG1853" s="201"/>
      <c r="AH1853" s="201"/>
      <c r="AI1853" s="201"/>
      <c r="AJ1853" s="201"/>
      <c r="AK1853" s="201"/>
      <c r="AL1853" s="201"/>
      <c r="AM1853" s="201"/>
      <c r="AN1853" s="201"/>
      <c r="AO1853" s="201"/>
      <c r="AP1853" s="201"/>
      <c r="AQ1853" s="201"/>
      <c r="AR1853" s="201"/>
      <c r="AS1853" s="201"/>
      <c r="AT1853" s="201"/>
      <c r="AU1853" s="201"/>
      <c r="AV1853" s="201"/>
      <c r="AW1853" s="201"/>
      <c r="AX1853" s="201"/>
      <c r="AY1853" s="201"/>
      <c r="AZ1853" s="201"/>
      <c r="BA1853" s="201"/>
      <c r="BB1853" s="201"/>
      <c r="BC1853" s="20"/>
      <c r="BD1853" s="20"/>
      <c r="BE1853" s="20"/>
      <c r="BF1853" s="20"/>
      <c r="BG1853" s="20"/>
      <c r="BH1853" s="20"/>
      <c r="BI1853" s="20"/>
      <c r="BJ1853" s="20"/>
      <c r="BK1853" s="20"/>
      <c r="BL1853" s="20"/>
      <c r="BM1853" s="20"/>
      <c r="BN1853" s="20"/>
      <c r="BO1853" s="20"/>
      <c r="BP1853" s="20"/>
      <c r="BQ1853" s="20"/>
      <c r="BR1853" s="20"/>
      <c r="BS1853" s="20"/>
      <c r="BT1853" s="20"/>
      <c r="BU1853" s="20"/>
      <c r="BV1853" s="20"/>
      <c r="BW1853" s="20"/>
      <c r="BX1853" s="20"/>
      <c r="BY1853" s="20"/>
      <c r="BZ1853" s="20"/>
      <c r="CA1853" s="20"/>
      <c r="CB1853" s="20"/>
      <c r="CC1853" s="20"/>
      <c r="CD1853" s="20"/>
      <c r="CE1853" s="20"/>
      <c r="CF1853" s="20"/>
      <c r="CG1853" s="20"/>
      <c r="CH1853" s="20"/>
      <c r="CI1853" s="20"/>
      <c r="CJ1853" s="20"/>
      <c r="CK1853" s="20"/>
      <c r="CL1853" s="20"/>
      <c r="CM1853" s="20"/>
      <c r="CN1853" s="20"/>
      <c r="CO1853" s="20"/>
      <c r="CP1853" s="20"/>
      <c r="CQ1853" s="20"/>
      <c r="CR1853" s="20"/>
      <c r="CS1853" s="20"/>
      <c r="CT1853" s="20"/>
      <c r="CU1853" s="20"/>
      <c r="CV1853" s="20"/>
      <c r="CW1853" s="20"/>
      <c r="CX1853" s="20"/>
      <c r="CY1853" s="20"/>
      <c r="CZ1853" s="20"/>
      <c r="DA1853" s="20"/>
      <c r="DB1853" s="20"/>
      <c r="DC1853" s="20"/>
      <c r="DD1853" s="20"/>
      <c r="DE1853" s="20"/>
      <c r="DF1853" s="20"/>
      <c r="DG1853" s="20"/>
      <c r="DH1853" s="20"/>
      <c r="DI1853" s="20"/>
      <c r="DJ1853" s="20"/>
      <c r="DK1853" s="20"/>
      <c r="DL1853" s="20"/>
      <c r="DM1853" s="20"/>
      <c r="DN1853" s="20"/>
      <c r="DO1853" s="20"/>
      <c r="DP1853" s="20"/>
      <c r="DQ1853" s="20"/>
      <c r="DR1853" s="20"/>
      <c r="DS1853" s="20"/>
      <c r="DT1853" s="20"/>
      <c r="DU1853" s="20"/>
      <c r="DV1853" s="20"/>
      <c r="DW1853" s="20"/>
      <c r="DX1853" s="20"/>
      <c r="DY1853" s="20"/>
      <c r="DZ1853" s="20"/>
      <c r="EA1853" s="20"/>
      <c r="EB1853" s="20"/>
      <c r="EC1853" s="20"/>
      <c r="ED1853" s="20"/>
      <c r="EE1853" s="20"/>
      <c r="EF1853" s="20"/>
      <c r="EG1853" s="20"/>
      <c r="EH1853" s="20"/>
      <c r="EI1853" s="20"/>
      <c r="EJ1853" s="20"/>
      <c r="EK1853" s="20"/>
      <c r="EL1853" s="20"/>
      <c r="EM1853" s="20"/>
      <c r="EN1853" s="20"/>
      <c r="EO1853" s="20"/>
      <c r="EP1853" s="20"/>
      <c r="EQ1853" s="20"/>
      <c r="ER1853" s="20"/>
      <c r="ES1853" s="20"/>
      <c r="ET1853" s="20"/>
      <c r="EU1853" s="20"/>
      <c r="EV1853" s="20"/>
      <c r="EW1853" s="20"/>
      <c r="EX1853" s="20"/>
      <c r="EY1853" s="20"/>
      <c r="EZ1853" s="20"/>
      <c r="FA1853" s="20"/>
      <c r="FB1853" s="20"/>
      <c r="FC1853" s="20"/>
      <c r="FD1853" s="20"/>
      <c r="FE1853" s="20"/>
      <c r="FF1853" s="20"/>
      <c r="FG1853" s="20"/>
      <c r="FH1853" s="20"/>
      <c r="FI1853" s="20"/>
      <c r="FJ1853" s="20"/>
      <c r="FK1853" s="20"/>
      <c r="FL1853" s="20"/>
      <c r="FM1853" s="20"/>
      <c r="FN1853" s="20"/>
      <c r="FO1853" s="20"/>
      <c r="FP1853" s="20"/>
      <c r="FQ1853" s="20"/>
      <c r="FR1853" s="20"/>
      <c r="FS1853" s="20"/>
      <c r="FT1853" s="20"/>
      <c r="FU1853" s="20"/>
      <c r="FV1853" s="20"/>
      <c r="FW1853" s="20"/>
      <c r="FX1853" s="20"/>
      <c r="FY1853" s="20"/>
      <c r="FZ1853" s="20"/>
      <c r="GA1853" s="20"/>
      <c r="GB1853" s="20"/>
      <c r="GC1853" s="20"/>
      <c r="GD1853" s="20"/>
      <c r="GE1853" s="20"/>
      <c r="GF1853" s="20"/>
      <c r="GG1853" s="20"/>
      <c r="GH1853" s="20"/>
      <c r="GI1853" s="20"/>
      <c r="GJ1853" s="20"/>
      <c r="GK1853" s="20"/>
      <c r="GL1853" s="20"/>
      <c r="GM1853" s="20"/>
      <c r="GN1853" s="20"/>
      <c r="GO1853" s="20"/>
      <c r="GP1853" s="20"/>
      <c r="GQ1853" s="20"/>
      <c r="GR1853" s="20"/>
      <c r="GS1853" s="20"/>
      <c r="GT1853" s="20"/>
      <c r="GU1853" s="20"/>
      <c r="GV1853" s="20"/>
      <c r="GW1853" s="20"/>
      <c r="GX1853" s="20"/>
      <c r="GY1853" s="20"/>
      <c r="GZ1853" s="20"/>
      <c r="HA1853" s="20"/>
      <c r="HB1853" s="20"/>
      <c r="HC1853" s="20"/>
      <c r="HD1853" s="20"/>
      <c r="HE1853" s="20"/>
      <c r="HF1853" s="20"/>
      <c r="HG1853" s="20"/>
      <c r="HH1853" s="20"/>
      <c r="HI1853" s="20"/>
      <c r="HJ1853" s="20"/>
      <c r="HK1853" s="20"/>
      <c r="HL1853" s="20"/>
      <c r="HM1853" s="20"/>
      <c r="HN1853" s="20"/>
      <c r="HO1853" s="20"/>
      <c r="HP1853" s="20"/>
      <c r="HQ1853" s="20"/>
      <c r="HR1853" s="20"/>
      <c r="HS1853" s="20"/>
      <c r="HT1853" s="20"/>
      <c r="HU1853" s="20"/>
      <c r="HV1853" s="20"/>
      <c r="HW1853" s="20"/>
      <c r="HX1853" s="20"/>
      <c r="HY1853" s="20"/>
      <c r="HZ1853" s="20"/>
      <c r="IA1853" s="20"/>
      <c r="IB1853" s="20"/>
      <c r="IC1853" s="20"/>
      <c r="ID1853" s="20"/>
      <c r="IE1853" s="20"/>
      <c r="IF1853" s="20"/>
      <c r="IG1853" s="20"/>
      <c r="IH1853" s="20"/>
      <c r="II1853" s="20"/>
      <c r="IJ1853" s="20"/>
      <c r="IK1853" s="20"/>
      <c r="IL1853" s="20"/>
      <c r="IM1853" s="20"/>
      <c r="IN1853" s="20"/>
      <c r="IO1853" s="20"/>
    </row>
    <row r="1854" spans="1:249" ht="99">
      <c r="A1854" s="410"/>
      <c r="B1854" s="409"/>
      <c r="C1854" s="1253">
        <v>3</v>
      </c>
      <c r="D1854" s="1164" t="s">
        <v>34</v>
      </c>
      <c r="E1854" s="1164" t="s">
        <v>78</v>
      </c>
      <c r="F1854" s="1164" t="s">
        <v>25</v>
      </c>
      <c r="G1854" s="1164">
        <v>31</v>
      </c>
      <c r="H1854" s="410">
        <v>49</v>
      </c>
      <c r="I1854" s="411" t="s">
        <v>1786</v>
      </c>
      <c r="J1854" s="411" t="s">
        <v>1787</v>
      </c>
      <c r="K1854" s="413">
        <v>53</v>
      </c>
      <c r="L1854" s="1255">
        <v>176623000</v>
      </c>
      <c r="M1854" s="413">
        <v>5</v>
      </c>
      <c r="N1854" s="415">
        <v>31189500</v>
      </c>
      <c r="O1854" s="413">
        <v>25</v>
      </c>
      <c r="P1854" s="415">
        <v>34860000</v>
      </c>
      <c r="Q1854" s="413">
        <v>5</v>
      </c>
      <c r="R1854" s="415">
        <v>9189750</v>
      </c>
      <c r="S1854" s="410">
        <v>7</v>
      </c>
      <c r="T1854" s="1257">
        <v>5553300</v>
      </c>
      <c r="U1854" s="413"/>
      <c r="V1854" s="418"/>
      <c r="W1854" s="413"/>
      <c r="X1854" s="1284"/>
      <c r="Y1854" s="409">
        <f t="shared" si="532"/>
        <v>12</v>
      </c>
      <c r="Z1854" s="414">
        <f t="shared" si="533"/>
        <v>14743050</v>
      </c>
      <c r="AA1854" s="409">
        <f t="shared" si="534"/>
        <v>17</v>
      </c>
      <c r="AB1854" s="1259">
        <f t="shared" si="535"/>
        <v>45932550</v>
      </c>
      <c r="AC1854" s="1260">
        <f t="shared" si="536"/>
        <v>32.075471698113205</v>
      </c>
      <c r="AD1854" s="1260">
        <f t="shared" si="537"/>
        <v>26.005984498055177</v>
      </c>
      <c r="AE1854" s="102"/>
      <c r="AF1854" s="201"/>
      <c r="AG1854" s="201"/>
      <c r="AH1854" s="201"/>
      <c r="AI1854" s="201"/>
      <c r="AJ1854" s="201"/>
      <c r="AK1854" s="201"/>
      <c r="AL1854" s="201"/>
      <c r="AM1854" s="201"/>
      <c r="AN1854" s="201"/>
      <c r="AO1854" s="201"/>
      <c r="AP1854" s="201"/>
      <c r="AQ1854" s="201"/>
      <c r="AR1854" s="201"/>
      <c r="AS1854" s="201"/>
      <c r="AT1854" s="201"/>
      <c r="AU1854" s="201"/>
      <c r="AV1854" s="201"/>
      <c r="AW1854" s="201"/>
      <c r="AX1854" s="201"/>
      <c r="AY1854" s="201"/>
      <c r="AZ1854" s="201"/>
      <c r="BA1854" s="201"/>
      <c r="BB1854" s="201"/>
      <c r="BC1854" s="20"/>
      <c r="BD1854" s="20"/>
      <c r="BE1854" s="20"/>
      <c r="BF1854" s="20"/>
      <c r="BG1854" s="20"/>
      <c r="BH1854" s="20"/>
      <c r="BI1854" s="20"/>
      <c r="BJ1854" s="20"/>
      <c r="BK1854" s="20"/>
      <c r="BL1854" s="20"/>
      <c r="BM1854" s="20"/>
      <c r="BN1854" s="20"/>
      <c r="BO1854" s="20"/>
      <c r="BP1854" s="20"/>
      <c r="BQ1854" s="20"/>
      <c r="BR1854" s="20"/>
      <c r="BS1854" s="20"/>
      <c r="BT1854" s="20"/>
      <c r="BU1854" s="20"/>
      <c r="BV1854" s="20"/>
      <c r="BW1854" s="20"/>
      <c r="BX1854" s="20"/>
      <c r="BY1854" s="20"/>
      <c r="BZ1854" s="20"/>
      <c r="CA1854" s="20"/>
      <c r="CB1854" s="20"/>
      <c r="CC1854" s="20"/>
      <c r="CD1854" s="20"/>
      <c r="CE1854" s="20"/>
      <c r="CF1854" s="20"/>
      <c r="CG1854" s="20"/>
      <c r="CH1854" s="20"/>
      <c r="CI1854" s="20"/>
      <c r="CJ1854" s="20"/>
      <c r="CK1854" s="20"/>
      <c r="CL1854" s="20"/>
      <c r="CM1854" s="20"/>
      <c r="CN1854" s="20"/>
      <c r="CO1854" s="20"/>
      <c r="CP1854" s="20"/>
      <c r="CQ1854" s="20"/>
      <c r="CR1854" s="20"/>
      <c r="CS1854" s="20"/>
      <c r="CT1854" s="20"/>
      <c r="CU1854" s="20"/>
      <c r="CV1854" s="20"/>
      <c r="CW1854" s="20"/>
      <c r="CX1854" s="20"/>
      <c r="CY1854" s="20"/>
      <c r="CZ1854" s="20"/>
      <c r="DA1854" s="20"/>
      <c r="DB1854" s="20"/>
      <c r="DC1854" s="20"/>
      <c r="DD1854" s="20"/>
      <c r="DE1854" s="20"/>
      <c r="DF1854" s="20"/>
      <c r="DG1854" s="20"/>
      <c r="DH1854" s="20"/>
      <c r="DI1854" s="20"/>
      <c r="DJ1854" s="20"/>
      <c r="DK1854" s="20"/>
      <c r="DL1854" s="20"/>
      <c r="DM1854" s="20"/>
      <c r="DN1854" s="20"/>
      <c r="DO1854" s="20"/>
      <c r="DP1854" s="20"/>
      <c r="DQ1854" s="20"/>
      <c r="DR1854" s="20"/>
      <c r="DS1854" s="20"/>
      <c r="DT1854" s="20"/>
      <c r="DU1854" s="20"/>
      <c r="DV1854" s="20"/>
      <c r="DW1854" s="20"/>
      <c r="DX1854" s="20"/>
      <c r="DY1854" s="20"/>
      <c r="DZ1854" s="20"/>
      <c r="EA1854" s="20"/>
      <c r="EB1854" s="20"/>
      <c r="EC1854" s="20"/>
      <c r="ED1854" s="20"/>
      <c r="EE1854" s="20"/>
      <c r="EF1854" s="20"/>
      <c r="EG1854" s="20"/>
      <c r="EH1854" s="20"/>
      <c r="EI1854" s="20"/>
      <c r="EJ1854" s="20"/>
      <c r="EK1854" s="20"/>
      <c r="EL1854" s="20"/>
      <c r="EM1854" s="20"/>
      <c r="EN1854" s="20"/>
      <c r="EO1854" s="20"/>
      <c r="EP1854" s="20"/>
      <c r="EQ1854" s="20"/>
      <c r="ER1854" s="20"/>
      <c r="ES1854" s="20"/>
      <c r="ET1854" s="20"/>
      <c r="EU1854" s="20"/>
      <c r="EV1854" s="20"/>
      <c r="EW1854" s="20"/>
      <c r="EX1854" s="20"/>
      <c r="EY1854" s="20"/>
      <c r="EZ1854" s="20"/>
      <c r="FA1854" s="20"/>
      <c r="FB1854" s="20"/>
      <c r="FC1854" s="20"/>
      <c r="FD1854" s="20"/>
      <c r="FE1854" s="20"/>
      <c r="FF1854" s="20"/>
      <c r="FG1854" s="20"/>
      <c r="FH1854" s="20"/>
      <c r="FI1854" s="20"/>
      <c r="FJ1854" s="20"/>
      <c r="FK1854" s="20"/>
      <c r="FL1854" s="20"/>
      <c r="FM1854" s="20"/>
      <c r="FN1854" s="20"/>
      <c r="FO1854" s="20"/>
      <c r="FP1854" s="20"/>
      <c r="FQ1854" s="20"/>
      <c r="FR1854" s="20"/>
      <c r="FS1854" s="20"/>
      <c r="FT1854" s="20"/>
      <c r="FU1854" s="20"/>
      <c r="FV1854" s="20"/>
      <c r="FW1854" s="20"/>
      <c r="FX1854" s="20"/>
      <c r="FY1854" s="20"/>
      <c r="FZ1854" s="20"/>
      <c r="GA1854" s="20"/>
      <c r="GB1854" s="20"/>
      <c r="GC1854" s="20"/>
      <c r="GD1854" s="20"/>
      <c r="GE1854" s="20"/>
      <c r="GF1854" s="20"/>
      <c r="GG1854" s="20"/>
      <c r="GH1854" s="20"/>
      <c r="GI1854" s="20"/>
      <c r="GJ1854" s="20"/>
      <c r="GK1854" s="20"/>
      <c r="GL1854" s="20"/>
      <c r="GM1854" s="20"/>
      <c r="GN1854" s="20"/>
      <c r="GO1854" s="20"/>
      <c r="GP1854" s="20"/>
      <c r="GQ1854" s="20"/>
      <c r="GR1854" s="20"/>
      <c r="GS1854" s="20"/>
      <c r="GT1854" s="20"/>
      <c r="GU1854" s="20"/>
      <c r="GV1854" s="20"/>
      <c r="GW1854" s="20"/>
      <c r="GX1854" s="20"/>
      <c r="GY1854" s="20"/>
      <c r="GZ1854" s="20"/>
      <c r="HA1854" s="20"/>
      <c r="HB1854" s="20"/>
      <c r="HC1854" s="20"/>
      <c r="HD1854" s="20"/>
      <c r="HE1854" s="20"/>
      <c r="HF1854" s="20"/>
      <c r="HG1854" s="20"/>
      <c r="HH1854" s="20"/>
      <c r="HI1854" s="20"/>
      <c r="HJ1854" s="20"/>
      <c r="HK1854" s="20"/>
      <c r="HL1854" s="20"/>
      <c r="HM1854" s="20"/>
      <c r="HN1854" s="20"/>
      <c r="HO1854" s="20"/>
      <c r="HP1854" s="20"/>
      <c r="HQ1854" s="20"/>
      <c r="HR1854" s="20"/>
      <c r="HS1854" s="20"/>
      <c r="HT1854" s="20"/>
      <c r="HU1854" s="20"/>
      <c r="HV1854" s="20"/>
      <c r="HW1854" s="20"/>
      <c r="HX1854" s="20"/>
      <c r="HY1854" s="20"/>
      <c r="HZ1854" s="20"/>
      <c r="IA1854" s="20"/>
      <c r="IB1854" s="20"/>
      <c r="IC1854" s="20"/>
      <c r="ID1854" s="20"/>
      <c r="IE1854" s="20"/>
      <c r="IF1854" s="20"/>
      <c r="IG1854" s="20"/>
      <c r="IH1854" s="20"/>
      <c r="II1854" s="20"/>
      <c r="IJ1854" s="20"/>
      <c r="IK1854" s="20"/>
      <c r="IL1854" s="20"/>
      <c r="IM1854" s="20"/>
      <c r="IN1854" s="20"/>
      <c r="IO1854" s="20"/>
    </row>
    <row r="1855" spans="1:249" ht="66">
      <c r="A1855" s="410"/>
      <c r="B1855" s="409"/>
      <c r="C1855" s="1253">
        <v>3</v>
      </c>
      <c r="D1855" s="1164" t="s">
        <v>34</v>
      </c>
      <c r="E1855" s="1164" t="s">
        <v>78</v>
      </c>
      <c r="F1855" s="1164" t="s">
        <v>25</v>
      </c>
      <c r="G1855" s="1164">
        <v>31</v>
      </c>
      <c r="H1855" s="410">
        <v>35</v>
      </c>
      <c r="I1855" s="411" t="s">
        <v>1788</v>
      </c>
      <c r="J1855" s="411" t="s">
        <v>1789</v>
      </c>
      <c r="K1855" s="413">
        <v>235</v>
      </c>
      <c r="L1855" s="1255">
        <v>1131798000</v>
      </c>
      <c r="M1855" s="413">
        <v>73</v>
      </c>
      <c r="N1855" s="415">
        <v>258321000</v>
      </c>
      <c r="O1855" s="413">
        <v>100</v>
      </c>
      <c r="P1855" s="415">
        <v>96862500</v>
      </c>
      <c r="Q1855" s="413">
        <v>15</v>
      </c>
      <c r="R1855" s="415">
        <v>36869900</v>
      </c>
      <c r="S1855" s="410">
        <v>0</v>
      </c>
      <c r="T1855" s="1257">
        <v>18750000</v>
      </c>
      <c r="U1855" s="413"/>
      <c r="V1855" s="418"/>
      <c r="W1855" s="413"/>
      <c r="X1855" s="1284"/>
      <c r="Y1855" s="409">
        <f t="shared" si="532"/>
        <v>15</v>
      </c>
      <c r="Z1855" s="414">
        <f t="shared" si="533"/>
        <v>55619900</v>
      </c>
      <c r="AA1855" s="409">
        <f t="shared" si="534"/>
        <v>88</v>
      </c>
      <c r="AB1855" s="1259">
        <f t="shared" si="535"/>
        <v>313940900</v>
      </c>
      <c r="AC1855" s="1260">
        <f t="shared" si="536"/>
        <v>37.446808510638299</v>
      </c>
      <c r="AD1855" s="1260">
        <f t="shared" si="537"/>
        <v>27.738244810469716</v>
      </c>
      <c r="AE1855" s="102"/>
      <c r="AF1855" s="201"/>
      <c r="AG1855" s="201"/>
      <c r="AH1855" s="201"/>
      <c r="AI1855" s="201"/>
      <c r="AJ1855" s="201"/>
      <c r="AK1855" s="201"/>
      <c r="AL1855" s="201"/>
      <c r="AM1855" s="201"/>
      <c r="AN1855" s="201"/>
      <c r="AO1855" s="201"/>
      <c r="AP1855" s="201"/>
      <c r="AQ1855" s="201"/>
      <c r="AR1855" s="201"/>
      <c r="AS1855" s="201"/>
      <c r="AT1855" s="201"/>
      <c r="AU1855" s="201"/>
      <c r="AV1855" s="201"/>
      <c r="AW1855" s="201"/>
      <c r="AX1855" s="201"/>
      <c r="AY1855" s="201"/>
      <c r="AZ1855" s="201"/>
      <c r="BA1855" s="201"/>
      <c r="BB1855" s="201"/>
      <c r="BC1855" s="20"/>
      <c r="BD1855" s="20"/>
      <c r="BE1855" s="20"/>
      <c r="BF1855" s="20"/>
      <c r="BG1855" s="20"/>
      <c r="BH1855" s="20"/>
      <c r="BI1855" s="20"/>
      <c r="BJ1855" s="20"/>
      <c r="BK1855" s="20"/>
      <c r="BL1855" s="20"/>
      <c r="BM1855" s="20"/>
      <c r="BN1855" s="20"/>
      <c r="BO1855" s="20"/>
      <c r="BP1855" s="20"/>
      <c r="BQ1855" s="20"/>
      <c r="BR1855" s="20"/>
      <c r="BS1855" s="20"/>
      <c r="BT1855" s="20"/>
      <c r="BU1855" s="20"/>
      <c r="BV1855" s="20"/>
      <c r="BW1855" s="20"/>
      <c r="BX1855" s="20"/>
      <c r="BY1855" s="20"/>
      <c r="BZ1855" s="20"/>
      <c r="CA1855" s="20"/>
      <c r="CB1855" s="20"/>
      <c r="CC1855" s="20"/>
      <c r="CD1855" s="20"/>
      <c r="CE1855" s="20"/>
      <c r="CF1855" s="20"/>
      <c r="CG1855" s="20"/>
      <c r="CH1855" s="20"/>
      <c r="CI1855" s="20"/>
      <c r="CJ1855" s="20"/>
      <c r="CK1855" s="20"/>
      <c r="CL1855" s="20"/>
      <c r="CM1855" s="20"/>
      <c r="CN1855" s="20"/>
      <c r="CO1855" s="20"/>
      <c r="CP1855" s="20"/>
      <c r="CQ1855" s="20"/>
      <c r="CR1855" s="20"/>
      <c r="CS1855" s="20"/>
      <c r="CT1855" s="20"/>
      <c r="CU1855" s="20"/>
      <c r="CV1855" s="20"/>
      <c r="CW1855" s="20"/>
      <c r="CX1855" s="20"/>
      <c r="CY1855" s="20"/>
      <c r="CZ1855" s="20"/>
      <c r="DA1855" s="20"/>
      <c r="DB1855" s="20"/>
      <c r="DC1855" s="20"/>
      <c r="DD1855" s="20"/>
      <c r="DE1855" s="20"/>
      <c r="DF1855" s="20"/>
      <c r="DG1855" s="20"/>
      <c r="DH1855" s="20"/>
      <c r="DI1855" s="20"/>
      <c r="DJ1855" s="20"/>
      <c r="DK1855" s="20"/>
      <c r="DL1855" s="20"/>
      <c r="DM1855" s="20"/>
      <c r="DN1855" s="20"/>
      <c r="DO1855" s="20"/>
      <c r="DP1855" s="20"/>
      <c r="DQ1855" s="20"/>
      <c r="DR1855" s="20"/>
      <c r="DS1855" s="20"/>
      <c r="DT1855" s="20"/>
      <c r="DU1855" s="20"/>
      <c r="DV1855" s="20"/>
      <c r="DW1855" s="20"/>
      <c r="DX1855" s="20"/>
      <c r="DY1855" s="20"/>
      <c r="DZ1855" s="20"/>
      <c r="EA1855" s="20"/>
      <c r="EB1855" s="20"/>
      <c r="EC1855" s="20"/>
      <c r="ED1855" s="20"/>
      <c r="EE1855" s="20"/>
      <c r="EF1855" s="20"/>
      <c r="EG1855" s="20"/>
      <c r="EH1855" s="20"/>
      <c r="EI1855" s="20"/>
      <c r="EJ1855" s="20"/>
      <c r="EK1855" s="20"/>
      <c r="EL1855" s="20"/>
      <c r="EM1855" s="20"/>
      <c r="EN1855" s="20"/>
      <c r="EO1855" s="20"/>
      <c r="EP1855" s="20"/>
      <c r="EQ1855" s="20"/>
      <c r="ER1855" s="20"/>
      <c r="ES1855" s="20"/>
      <c r="ET1855" s="20"/>
      <c r="EU1855" s="20"/>
      <c r="EV1855" s="20"/>
      <c r="EW1855" s="20"/>
      <c r="EX1855" s="20"/>
      <c r="EY1855" s="20"/>
      <c r="EZ1855" s="20"/>
      <c r="FA1855" s="20"/>
      <c r="FB1855" s="20"/>
      <c r="FC1855" s="20"/>
      <c r="FD1855" s="20"/>
      <c r="FE1855" s="20"/>
      <c r="FF1855" s="20"/>
      <c r="FG1855" s="20"/>
      <c r="FH1855" s="20"/>
      <c r="FI1855" s="20"/>
      <c r="FJ1855" s="20"/>
      <c r="FK1855" s="20"/>
      <c r="FL1855" s="20"/>
      <c r="FM1855" s="20"/>
      <c r="FN1855" s="20"/>
      <c r="FO1855" s="20"/>
      <c r="FP1855" s="20"/>
      <c r="FQ1855" s="20"/>
      <c r="FR1855" s="20"/>
      <c r="FS1855" s="20"/>
      <c r="FT1855" s="20"/>
      <c r="FU1855" s="20"/>
      <c r="FV1855" s="20"/>
      <c r="FW1855" s="20"/>
      <c r="FX1855" s="20"/>
      <c r="FY1855" s="20"/>
      <c r="FZ1855" s="20"/>
      <c r="GA1855" s="20"/>
      <c r="GB1855" s="20"/>
      <c r="GC1855" s="20"/>
      <c r="GD1855" s="20"/>
      <c r="GE1855" s="20"/>
      <c r="GF1855" s="20"/>
      <c r="GG1855" s="20"/>
      <c r="GH1855" s="20"/>
      <c r="GI1855" s="20"/>
      <c r="GJ1855" s="20"/>
      <c r="GK1855" s="20"/>
      <c r="GL1855" s="20"/>
      <c r="GM1855" s="20"/>
      <c r="GN1855" s="20"/>
      <c r="GO1855" s="20"/>
      <c r="GP1855" s="20"/>
      <c r="GQ1855" s="20"/>
      <c r="GR1855" s="20"/>
      <c r="GS1855" s="20"/>
      <c r="GT1855" s="20"/>
      <c r="GU1855" s="20"/>
      <c r="GV1855" s="20"/>
      <c r="GW1855" s="20"/>
      <c r="GX1855" s="20"/>
      <c r="GY1855" s="20"/>
      <c r="GZ1855" s="20"/>
      <c r="HA1855" s="20"/>
      <c r="HB1855" s="20"/>
      <c r="HC1855" s="20"/>
      <c r="HD1855" s="20"/>
      <c r="HE1855" s="20"/>
      <c r="HF1855" s="20"/>
      <c r="HG1855" s="20"/>
      <c r="HH1855" s="20"/>
      <c r="HI1855" s="20"/>
      <c r="HJ1855" s="20"/>
      <c r="HK1855" s="20"/>
      <c r="HL1855" s="20"/>
      <c r="HM1855" s="20"/>
      <c r="HN1855" s="20"/>
      <c r="HO1855" s="20"/>
      <c r="HP1855" s="20"/>
      <c r="HQ1855" s="20"/>
      <c r="HR1855" s="20"/>
      <c r="HS1855" s="20"/>
      <c r="HT1855" s="20"/>
      <c r="HU1855" s="20"/>
      <c r="HV1855" s="20"/>
      <c r="HW1855" s="20"/>
      <c r="HX1855" s="20"/>
      <c r="HY1855" s="20"/>
      <c r="HZ1855" s="20"/>
      <c r="IA1855" s="20"/>
      <c r="IB1855" s="20"/>
      <c r="IC1855" s="20"/>
      <c r="ID1855" s="20"/>
      <c r="IE1855" s="20"/>
      <c r="IF1855" s="20"/>
      <c r="IG1855" s="20"/>
      <c r="IH1855" s="20"/>
      <c r="II1855" s="20"/>
      <c r="IJ1855" s="20"/>
      <c r="IK1855" s="20"/>
      <c r="IL1855" s="20"/>
      <c r="IM1855" s="20"/>
      <c r="IN1855" s="20"/>
      <c r="IO1855" s="20"/>
    </row>
    <row r="1856" spans="1:249" ht="82.5">
      <c r="A1856" s="410"/>
      <c r="B1856" s="409"/>
      <c r="C1856" s="1253">
        <v>3</v>
      </c>
      <c r="D1856" s="1164" t="s">
        <v>34</v>
      </c>
      <c r="E1856" s="1164" t="s">
        <v>78</v>
      </c>
      <c r="F1856" s="1164" t="s">
        <v>25</v>
      </c>
      <c r="G1856" s="1164">
        <v>31</v>
      </c>
      <c r="H1856" s="410">
        <v>25</v>
      </c>
      <c r="I1856" s="411" t="s">
        <v>1790</v>
      </c>
      <c r="J1856" s="411" t="s">
        <v>1791</v>
      </c>
      <c r="K1856" s="413">
        <v>34</v>
      </c>
      <c r="L1856" s="418">
        <v>231324000</v>
      </c>
      <c r="M1856" s="413">
        <v>10</v>
      </c>
      <c r="N1856" s="415">
        <v>76602682</v>
      </c>
      <c r="O1856" s="413">
        <v>15</v>
      </c>
      <c r="P1856" s="415">
        <v>37410000</v>
      </c>
      <c r="Q1856" s="413">
        <v>1</v>
      </c>
      <c r="R1856" s="415">
        <v>6207500</v>
      </c>
      <c r="S1856" s="410">
        <v>1</v>
      </c>
      <c r="T1856" s="1257">
        <v>10150000</v>
      </c>
      <c r="U1856" s="413"/>
      <c r="V1856" s="418"/>
      <c r="W1856" s="413"/>
      <c r="X1856" s="1284"/>
      <c r="Y1856" s="409">
        <f t="shared" si="532"/>
        <v>2</v>
      </c>
      <c r="Z1856" s="414">
        <f t="shared" si="533"/>
        <v>16357500</v>
      </c>
      <c r="AA1856" s="409">
        <f t="shared" si="534"/>
        <v>12</v>
      </c>
      <c r="AB1856" s="1259">
        <f t="shared" si="535"/>
        <v>92960182</v>
      </c>
      <c r="AC1856" s="1260">
        <f t="shared" si="536"/>
        <v>35.294117647058826</v>
      </c>
      <c r="AD1856" s="1260">
        <f t="shared" si="537"/>
        <v>40.186138057443237</v>
      </c>
      <c r="AE1856" s="102"/>
      <c r="AF1856" s="201"/>
      <c r="AG1856" s="201"/>
      <c r="AH1856" s="201"/>
      <c r="AI1856" s="201"/>
      <c r="AJ1856" s="201"/>
      <c r="AK1856" s="201"/>
      <c r="AL1856" s="201"/>
      <c r="AM1856" s="201"/>
      <c r="AN1856" s="201"/>
      <c r="AO1856" s="201"/>
      <c r="AP1856" s="201"/>
      <c r="AQ1856" s="201"/>
      <c r="AR1856" s="201"/>
      <c r="AS1856" s="201"/>
      <c r="AT1856" s="201"/>
      <c r="AU1856" s="201"/>
      <c r="AV1856" s="201"/>
      <c r="AW1856" s="201"/>
      <c r="AX1856" s="201"/>
      <c r="AY1856" s="201"/>
      <c r="AZ1856" s="201"/>
      <c r="BA1856" s="201"/>
      <c r="BB1856" s="201"/>
      <c r="BC1856" s="20"/>
      <c r="BD1856" s="20"/>
      <c r="BE1856" s="20"/>
      <c r="BF1856" s="20"/>
      <c r="BG1856" s="20"/>
      <c r="BH1856" s="20"/>
      <c r="BI1856" s="20"/>
      <c r="BJ1856" s="20"/>
      <c r="BK1856" s="20"/>
      <c r="BL1856" s="20"/>
      <c r="BM1856" s="20"/>
      <c r="BN1856" s="20"/>
      <c r="BO1856" s="20"/>
      <c r="BP1856" s="20"/>
      <c r="BQ1856" s="20"/>
      <c r="BR1856" s="20"/>
      <c r="BS1856" s="20"/>
      <c r="BT1856" s="20"/>
      <c r="BU1856" s="20"/>
      <c r="BV1856" s="20"/>
      <c r="BW1856" s="20"/>
      <c r="BX1856" s="20"/>
      <c r="BY1856" s="20"/>
      <c r="BZ1856" s="20"/>
      <c r="CA1856" s="20"/>
      <c r="CB1856" s="20"/>
      <c r="CC1856" s="20"/>
      <c r="CD1856" s="20"/>
      <c r="CE1856" s="20"/>
      <c r="CF1856" s="20"/>
      <c r="CG1856" s="20"/>
      <c r="CH1856" s="20"/>
      <c r="CI1856" s="20"/>
      <c r="CJ1856" s="20"/>
      <c r="CK1856" s="20"/>
      <c r="CL1856" s="20"/>
      <c r="CM1856" s="20"/>
      <c r="CN1856" s="20"/>
      <c r="CO1856" s="20"/>
      <c r="CP1856" s="20"/>
      <c r="CQ1856" s="20"/>
      <c r="CR1856" s="20"/>
      <c r="CS1856" s="20"/>
      <c r="CT1856" s="20"/>
      <c r="CU1856" s="20"/>
      <c r="CV1856" s="20"/>
      <c r="CW1856" s="20"/>
      <c r="CX1856" s="20"/>
      <c r="CY1856" s="20"/>
      <c r="CZ1856" s="20"/>
      <c r="DA1856" s="20"/>
      <c r="DB1856" s="20"/>
      <c r="DC1856" s="20"/>
      <c r="DD1856" s="20"/>
      <c r="DE1856" s="20"/>
      <c r="DF1856" s="20"/>
      <c r="DG1856" s="20"/>
      <c r="DH1856" s="20"/>
      <c r="DI1856" s="20"/>
      <c r="DJ1856" s="20"/>
      <c r="DK1856" s="20"/>
      <c r="DL1856" s="20"/>
      <c r="DM1856" s="20"/>
      <c r="DN1856" s="20"/>
      <c r="DO1856" s="20"/>
      <c r="DP1856" s="20"/>
      <c r="DQ1856" s="20"/>
      <c r="DR1856" s="20"/>
      <c r="DS1856" s="20"/>
      <c r="DT1856" s="20"/>
      <c r="DU1856" s="20"/>
      <c r="DV1856" s="20"/>
      <c r="DW1856" s="20"/>
      <c r="DX1856" s="20"/>
      <c r="DY1856" s="20"/>
      <c r="DZ1856" s="20"/>
      <c r="EA1856" s="20"/>
      <c r="EB1856" s="20"/>
      <c r="EC1856" s="20"/>
      <c r="ED1856" s="20"/>
      <c r="EE1856" s="20"/>
      <c r="EF1856" s="20"/>
      <c r="EG1856" s="20"/>
      <c r="EH1856" s="20"/>
      <c r="EI1856" s="20"/>
      <c r="EJ1856" s="20"/>
      <c r="EK1856" s="20"/>
      <c r="EL1856" s="20"/>
      <c r="EM1856" s="20"/>
      <c r="EN1856" s="20"/>
      <c r="EO1856" s="20"/>
      <c r="EP1856" s="20"/>
      <c r="EQ1856" s="20"/>
      <c r="ER1856" s="20"/>
      <c r="ES1856" s="20"/>
      <c r="ET1856" s="20"/>
      <c r="EU1856" s="20"/>
      <c r="EV1856" s="20"/>
      <c r="EW1856" s="20"/>
      <c r="EX1856" s="20"/>
      <c r="EY1856" s="20"/>
      <c r="EZ1856" s="20"/>
      <c r="FA1856" s="20"/>
      <c r="FB1856" s="20"/>
      <c r="FC1856" s="20"/>
      <c r="FD1856" s="20"/>
      <c r="FE1856" s="20"/>
      <c r="FF1856" s="20"/>
      <c r="FG1856" s="20"/>
      <c r="FH1856" s="20"/>
      <c r="FI1856" s="20"/>
      <c r="FJ1856" s="20"/>
      <c r="FK1856" s="20"/>
      <c r="FL1856" s="20"/>
      <c r="FM1856" s="20"/>
      <c r="FN1856" s="20"/>
      <c r="FO1856" s="20"/>
      <c r="FP1856" s="20"/>
      <c r="FQ1856" s="20"/>
      <c r="FR1856" s="20"/>
      <c r="FS1856" s="20"/>
      <c r="FT1856" s="20"/>
      <c r="FU1856" s="20"/>
      <c r="FV1856" s="20"/>
      <c r="FW1856" s="20"/>
      <c r="FX1856" s="20"/>
      <c r="FY1856" s="20"/>
      <c r="FZ1856" s="20"/>
      <c r="GA1856" s="20"/>
      <c r="GB1856" s="20"/>
      <c r="GC1856" s="20"/>
      <c r="GD1856" s="20"/>
      <c r="GE1856" s="20"/>
      <c r="GF1856" s="20"/>
      <c r="GG1856" s="20"/>
      <c r="GH1856" s="20"/>
      <c r="GI1856" s="20"/>
      <c r="GJ1856" s="20"/>
      <c r="GK1856" s="20"/>
      <c r="GL1856" s="20"/>
      <c r="GM1856" s="20"/>
      <c r="GN1856" s="20"/>
      <c r="GO1856" s="20"/>
      <c r="GP1856" s="20"/>
      <c r="GQ1856" s="20"/>
      <c r="GR1856" s="20"/>
      <c r="GS1856" s="20"/>
      <c r="GT1856" s="20"/>
      <c r="GU1856" s="20"/>
      <c r="GV1856" s="20"/>
      <c r="GW1856" s="20"/>
      <c r="GX1856" s="20"/>
      <c r="GY1856" s="20"/>
      <c r="GZ1856" s="20"/>
      <c r="HA1856" s="20"/>
      <c r="HB1856" s="20"/>
      <c r="HC1856" s="20"/>
      <c r="HD1856" s="20"/>
      <c r="HE1856" s="20"/>
      <c r="HF1856" s="20"/>
      <c r="HG1856" s="20"/>
      <c r="HH1856" s="20"/>
      <c r="HI1856" s="20"/>
      <c r="HJ1856" s="20"/>
      <c r="HK1856" s="20"/>
      <c r="HL1856" s="20"/>
      <c r="HM1856" s="20"/>
      <c r="HN1856" s="20"/>
      <c r="HO1856" s="20"/>
      <c r="HP1856" s="20"/>
      <c r="HQ1856" s="20"/>
      <c r="HR1856" s="20"/>
      <c r="HS1856" s="20"/>
      <c r="HT1856" s="20"/>
      <c r="HU1856" s="20"/>
      <c r="HV1856" s="20"/>
      <c r="HW1856" s="20"/>
      <c r="HX1856" s="20"/>
      <c r="HY1856" s="20"/>
      <c r="HZ1856" s="20"/>
      <c r="IA1856" s="20"/>
      <c r="IB1856" s="20"/>
      <c r="IC1856" s="20"/>
      <c r="ID1856" s="20"/>
      <c r="IE1856" s="20"/>
      <c r="IF1856" s="20"/>
      <c r="IG1856" s="20"/>
      <c r="IH1856" s="20"/>
      <c r="II1856" s="20"/>
      <c r="IJ1856" s="20"/>
      <c r="IK1856" s="20"/>
      <c r="IL1856" s="20"/>
      <c r="IM1856" s="20"/>
      <c r="IN1856" s="20"/>
      <c r="IO1856" s="20"/>
    </row>
    <row r="1857" spans="1:249" ht="66">
      <c r="A1857" s="410"/>
      <c r="B1857" s="409"/>
      <c r="C1857" s="1253">
        <v>3</v>
      </c>
      <c r="D1857" s="1164" t="s">
        <v>34</v>
      </c>
      <c r="E1857" s="1164" t="s">
        <v>78</v>
      </c>
      <c r="F1857" s="1164" t="s">
        <v>25</v>
      </c>
      <c r="G1857" s="1164">
        <v>31</v>
      </c>
      <c r="H1857" s="410">
        <v>16</v>
      </c>
      <c r="I1857" s="411" t="s">
        <v>1792</v>
      </c>
      <c r="J1857" s="411" t="s">
        <v>1793</v>
      </c>
      <c r="K1857" s="417">
        <v>12216</v>
      </c>
      <c r="L1857" s="1255">
        <v>518711000</v>
      </c>
      <c r="M1857" s="413">
        <v>4220</v>
      </c>
      <c r="N1857" s="415">
        <v>210269559</v>
      </c>
      <c r="O1857" s="413">
        <v>5886</v>
      </c>
      <c r="P1857" s="415">
        <v>36450000</v>
      </c>
      <c r="Q1857" s="413">
        <v>215</v>
      </c>
      <c r="R1857" s="415">
        <v>2327500</v>
      </c>
      <c r="S1857" s="410">
        <v>347</v>
      </c>
      <c r="T1857" s="1257">
        <v>7640500</v>
      </c>
      <c r="U1857" s="413"/>
      <c r="V1857" s="418"/>
      <c r="W1857" s="413"/>
      <c r="X1857" s="1284"/>
      <c r="Y1857" s="409">
        <f t="shared" si="532"/>
        <v>562</v>
      </c>
      <c r="Z1857" s="414">
        <f t="shared" si="533"/>
        <v>9968000</v>
      </c>
      <c r="AA1857" s="409">
        <f t="shared" si="534"/>
        <v>4782</v>
      </c>
      <c r="AB1857" s="1259">
        <f t="shared" si="535"/>
        <v>220237559</v>
      </c>
      <c r="AC1857" s="1260">
        <f t="shared" si="536"/>
        <v>39.145383104125735</v>
      </c>
      <c r="AD1857" s="1260">
        <f t="shared" si="537"/>
        <v>42.458625130371246</v>
      </c>
      <c r="AE1857" s="102"/>
      <c r="AF1857" s="201"/>
      <c r="AG1857" s="201"/>
      <c r="AH1857" s="201"/>
      <c r="AI1857" s="201"/>
      <c r="AJ1857" s="201"/>
      <c r="AK1857" s="201"/>
      <c r="AL1857" s="201"/>
      <c r="AM1857" s="201"/>
      <c r="AN1857" s="201"/>
      <c r="AO1857" s="201"/>
      <c r="AP1857" s="201"/>
      <c r="AQ1857" s="201"/>
      <c r="AR1857" s="201"/>
      <c r="AS1857" s="201"/>
      <c r="AT1857" s="201"/>
      <c r="AU1857" s="201"/>
      <c r="AV1857" s="201"/>
      <c r="AW1857" s="201"/>
      <c r="AX1857" s="201"/>
      <c r="AY1857" s="201"/>
      <c r="AZ1857" s="201"/>
      <c r="BA1857" s="201"/>
      <c r="BB1857" s="201"/>
      <c r="BC1857" s="20"/>
      <c r="BD1857" s="20"/>
      <c r="BE1857" s="20"/>
      <c r="BF1857" s="20"/>
      <c r="BG1857" s="20"/>
      <c r="BH1857" s="20"/>
      <c r="BI1857" s="20"/>
      <c r="BJ1857" s="20"/>
      <c r="BK1857" s="20"/>
      <c r="BL1857" s="20"/>
      <c r="BM1857" s="20"/>
      <c r="BN1857" s="20"/>
      <c r="BO1857" s="20"/>
      <c r="BP1857" s="20"/>
      <c r="BQ1857" s="20"/>
      <c r="BR1857" s="20"/>
      <c r="BS1857" s="20"/>
      <c r="BT1857" s="20"/>
      <c r="BU1857" s="20"/>
      <c r="BV1857" s="20"/>
      <c r="BW1857" s="20"/>
      <c r="BX1857" s="20"/>
      <c r="BY1857" s="20"/>
      <c r="BZ1857" s="20"/>
      <c r="CA1857" s="20"/>
      <c r="CB1857" s="20"/>
      <c r="CC1857" s="20"/>
      <c r="CD1857" s="20"/>
      <c r="CE1857" s="20"/>
      <c r="CF1857" s="20"/>
      <c r="CG1857" s="20"/>
      <c r="CH1857" s="20"/>
      <c r="CI1857" s="20"/>
      <c r="CJ1857" s="20"/>
      <c r="CK1857" s="20"/>
      <c r="CL1857" s="20"/>
      <c r="CM1857" s="20"/>
      <c r="CN1857" s="20"/>
      <c r="CO1857" s="20"/>
      <c r="CP1857" s="20"/>
      <c r="CQ1857" s="20"/>
      <c r="CR1857" s="20"/>
      <c r="CS1857" s="20"/>
      <c r="CT1857" s="20"/>
      <c r="CU1857" s="20"/>
      <c r="CV1857" s="20"/>
      <c r="CW1857" s="20"/>
      <c r="CX1857" s="20"/>
      <c r="CY1857" s="20"/>
      <c r="CZ1857" s="20"/>
      <c r="DA1857" s="20"/>
      <c r="DB1857" s="20"/>
      <c r="DC1857" s="20"/>
      <c r="DD1857" s="20"/>
      <c r="DE1857" s="20"/>
      <c r="DF1857" s="20"/>
      <c r="DG1857" s="20"/>
      <c r="DH1857" s="20"/>
      <c r="DI1857" s="20"/>
      <c r="DJ1857" s="20"/>
      <c r="DK1857" s="20"/>
      <c r="DL1857" s="20"/>
      <c r="DM1857" s="20"/>
      <c r="DN1857" s="20"/>
      <c r="DO1857" s="20"/>
      <c r="DP1857" s="20"/>
      <c r="DQ1857" s="20"/>
      <c r="DR1857" s="20"/>
      <c r="DS1857" s="20"/>
      <c r="DT1857" s="20"/>
      <c r="DU1857" s="20"/>
      <c r="DV1857" s="20"/>
      <c r="DW1857" s="20"/>
      <c r="DX1857" s="20"/>
      <c r="DY1857" s="20"/>
      <c r="DZ1857" s="20"/>
      <c r="EA1857" s="20"/>
      <c r="EB1857" s="20"/>
      <c r="EC1857" s="20"/>
      <c r="ED1857" s="20"/>
      <c r="EE1857" s="20"/>
      <c r="EF1857" s="20"/>
      <c r="EG1857" s="20"/>
      <c r="EH1857" s="20"/>
      <c r="EI1857" s="20"/>
      <c r="EJ1857" s="20"/>
      <c r="EK1857" s="20"/>
      <c r="EL1857" s="20"/>
      <c r="EM1857" s="20"/>
      <c r="EN1857" s="20"/>
      <c r="EO1857" s="20"/>
      <c r="EP1857" s="20"/>
      <c r="EQ1857" s="20"/>
      <c r="ER1857" s="20"/>
      <c r="ES1857" s="20"/>
      <c r="ET1857" s="20"/>
      <c r="EU1857" s="20"/>
      <c r="EV1857" s="20"/>
      <c r="EW1857" s="20"/>
      <c r="EX1857" s="20"/>
      <c r="EY1857" s="20"/>
      <c r="EZ1857" s="20"/>
      <c r="FA1857" s="20"/>
      <c r="FB1857" s="20"/>
      <c r="FC1857" s="20"/>
      <c r="FD1857" s="20"/>
      <c r="FE1857" s="20"/>
      <c r="FF1857" s="20"/>
      <c r="FG1857" s="20"/>
      <c r="FH1857" s="20"/>
      <c r="FI1857" s="20"/>
      <c r="FJ1857" s="20"/>
      <c r="FK1857" s="20"/>
      <c r="FL1857" s="20"/>
      <c r="FM1857" s="20"/>
      <c r="FN1857" s="20"/>
      <c r="FO1857" s="20"/>
      <c r="FP1857" s="20"/>
      <c r="FQ1857" s="20"/>
      <c r="FR1857" s="20"/>
      <c r="FS1857" s="20"/>
      <c r="FT1857" s="20"/>
      <c r="FU1857" s="20"/>
      <c r="FV1857" s="20"/>
      <c r="FW1857" s="20"/>
      <c r="FX1857" s="20"/>
      <c r="FY1857" s="20"/>
      <c r="FZ1857" s="20"/>
      <c r="GA1857" s="20"/>
      <c r="GB1857" s="20"/>
      <c r="GC1857" s="20"/>
      <c r="GD1857" s="20"/>
      <c r="GE1857" s="20"/>
      <c r="GF1857" s="20"/>
      <c r="GG1857" s="20"/>
      <c r="GH1857" s="20"/>
      <c r="GI1857" s="20"/>
      <c r="GJ1857" s="20"/>
      <c r="GK1857" s="20"/>
      <c r="GL1857" s="20"/>
      <c r="GM1857" s="20"/>
      <c r="GN1857" s="20"/>
      <c r="GO1857" s="20"/>
      <c r="GP1857" s="20"/>
      <c r="GQ1857" s="20"/>
      <c r="GR1857" s="20"/>
      <c r="GS1857" s="20"/>
      <c r="GT1857" s="20"/>
      <c r="GU1857" s="20"/>
      <c r="GV1857" s="20"/>
      <c r="GW1857" s="20"/>
      <c r="GX1857" s="20"/>
      <c r="GY1857" s="20"/>
      <c r="GZ1857" s="20"/>
      <c r="HA1857" s="20"/>
      <c r="HB1857" s="20"/>
      <c r="HC1857" s="20"/>
      <c r="HD1857" s="20"/>
      <c r="HE1857" s="20"/>
      <c r="HF1857" s="20"/>
      <c r="HG1857" s="20"/>
      <c r="HH1857" s="20"/>
      <c r="HI1857" s="20"/>
      <c r="HJ1857" s="20"/>
      <c r="HK1857" s="20"/>
      <c r="HL1857" s="20"/>
      <c r="HM1857" s="20"/>
      <c r="HN1857" s="20"/>
      <c r="HO1857" s="20"/>
      <c r="HP1857" s="20"/>
      <c r="HQ1857" s="20"/>
      <c r="HR1857" s="20"/>
      <c r="HS1857" s="20"/>
      <c r="HT1857" s="20"/>
      <c r="HU1857" s="20"/>
      <c r="HV1857" s="20"/>
      <c r="HW1857" s="20"/>
      <c r="HX1857" s="20"/>
      <c r="HY1857" s="20"/>
      <c r="HZ1857" s="20"/>
      <c r="IA1857" s="20"/>
      <c r="IB1857" s="20"/>
      <c r="IC1857" s="20"/>
      <c r="ID1857" s="20"/>
      <c r="IE1857" s="20"/>
      <c r="IF1857" s="20"/>
      <c r="IG1857" s="20"/>
      <c r="IH1857" s="20"/>
      <c r="II1857" s="20"/>
      <c r="IJ1857" s="20"/>
      <c r="IK1857" s="20"/>
      <c r="IL1857" s="20"/>
      <c r="IM1857" s="20"/>
      <c r="IN1857" s="20"/>
      <c r="IO1857" s="20"/>
    </row>
    <row r="1858" spans="1:249" ht="66">
      <c r="A1858" s="410"/>
      <c r="B1858" s="409"/>
      <c r="C1858" s="1253">
        <v>3</v>
      </c>
      <c r="D1858" s="1164" t="s">
        <v>34</v>
      </c>
      <c r="E1858" s="1164" t="s">
        <v>78</v>
      </c>
      <c r="F1858" s="1164" t="s">
        <v>25</v>
      </c>
      <c r="G1858" s="1164">
        <v>31</v>
      </c>
      <c r="H1858" s="410">
        <v>36</v>
      </c>
      <c r="I1858" s="411" t="s">
        <v>1794</v>
      </c>
      <c r="J1858" s="411" t="s">
        <v>3290</v>
      </c>
      <c r="K1858" s="413">
        <v>72</v>
      </c>
      <c r="L1858" s="1255">
        <v>210735000</v>
      </c>
      <c r="M1858" s="413">
        <v>36</v>
      </c>
      <c r="N1858" s="415">
        <v>45402090</v>
      </c>
      <c r="O1858" s="413">
        <v>12</v>
      </c>
      <c r="P1858" s="415">
        <v>16037500</v>
      </c>
      <c r="Q1858" s="413">
        <v>3</v>
      </c>
      <c r="R1858" s="415">
        <v>0</v>
      </c>
      <c r="S1858" s="410">
        <v>310</v>
      </c>
      <c r="T1858" s="1257">
        <v>7722950</v>
      </c>
      <c r="U1858" s="413"/>
      <c r="V1858" s="418"/>
      <c r="W1858" s="413"/>
      <c r="X1858" s="1284"/>
      <c r="Y1858" s="409">
        <f t="shared" si="532"/>
        <v>313</v>
      </c>
      <c r="Z1858" s="414">
        <f t="shared" si="533"/>
        <v>7722950</v>
      </c>
      <c r="AA1858" s="409">
        <f t="shared" si="534"/>
        <v>349</v>
      </c>
      <c r="AB1858" s="1259">
        <f t="shared" si="535"/>
        <v>53125040</v>
      </c>
      <c r="AC1858" s="1260">
        <f t="shared" si="536"/>
        <v>484.72222222222223</v>
      </c>
      <c r="AD1858" s="1260">
        <f t="shared" si="537"/>
        <v>25.209405177118182</v>
      </c>
      <c r="AE1858" s="102"/>
      <c r="AF1858" s="201"/>
      <c r="AG1858" s="201"/>
      <c r="AH1858" s="201"/>
      <c r="AI1858" s="201"/>
      <c r="AJ1858" s="201"/>
      <c r="AK1858" s="201"/>
      <c r="AL1858" s="201"/>
      <c r="AM1858" s="201"/>
      <c r="AN1858" s="201"/>
      <c r="AO1858" s="201"/>
      <c r="AP1858" s="201"/>
      <c r="AQ1858" s="201"/>
      <c r="AR1858" s="201"/>
      <c r="AS1858" s="201"/>
      <c r="AT1858" s="201"/>
      <c r="AU1858" s="201"/>
      <c r="AV1858" s="201"/>
      <c r="AW1858" s="201"/>
      <c r="AX1858" s="201"/>
      <c r="AY1858" s="201"/>
      <c r="AZ1858" s="201"/>
      <c r="BA1858" s="201"/>
      <c r="BB1858" s="201"/>
      <c r="BC1858" s="20"/>
      <c r="BD1858" s="20"/>
      <c r="BE1858" s="20"/>
      <c r="BF1858" s="20"/>
      <c r="BG1858" s="20"/>
      <c r="BH1858" s="20"/>
      <c r="BI1858" s="20"/>
      <c r="BJ1858" s="20"/>
      <c r="BK1858" s="20"/>
      <c r="BL1858" s="20"/>
      <c r="BM1858" s="20"/>
      <c r="BN1858" s="20"/>
      <c r="BO1858" s="20"/>
      <c r="BP1858" s="20"/>
      <c r="BQ1858" s="20"/>
      <c r="BR1858" s="20"/>
      <c r="BS1858" s="20"/>
      <c r="BT1858" s="20"/>
      <c r="BU1858" s="20"/>
      <c r="BV1858" s="20"/>
      <c r="BW1858" s="20"/>
      <c r="BX1858" s="20"/>
      <c r="BY1858" s="20"/>
      <c r="BZ1858" s="20"/>
      <c r="CA1858" s="20"/>
      <c r="CB1858" s="20"/>
      <c r="CC1858" s="20"/>
      <c r="CD1858" s="20"/>
      <c r="CE1858" s="20"/>
      <c r="CF1858" s="20"/>
      <c r="CG1858" s="20"/>
      <c r="CH1858" s="20"/>
      <c r="CI1858" s="20"/>
      <c r="CJ1858" s="20"/>
      <c r="CK1858" s="20"/>
      <c r="CL1858" s="20"/>
      <c r="CM1858" s="20"/>
      <c r="CN1858" s="20"/>
      <c r="CO1858" s="20"/>
      <c r="CP1858" s="20"/>
      <c r="CQ1858" s="20"/>
      <c r="CR1858" s="20"/>
      <c r="CS1858" s="20"/>
      <c r="CT1858" s="20"/>
      <c r="CU1858" s="20"/>
      <c r="CV1858" s="20"/>
      <c r="CW1858" s="20"/>
      <c r="CX1858" s="20"/>
      <c r="CY1858" s="20"/>
      <c r="CZ1858" s="20"/>
      <c r="DA1858" s="20"/>
      <c r="DB1858" s="20"/>
      <c r="DC1858" s="20"/>
      <c r="DD1858" s="20"/>
      <c r="DE1858" s="20"/>
      <c r="DF1858" s="20"/>
      <c r="DG1858" s="20"/>
      <c r="DH1858" s="20"/>
      <c r="DI1858" s="20"/>
      <c r="DJ1858" s="20"/>
      <c r="DK1858" s="20"/>
      <c r="DL1858" s="20"/>
      <c r="DM1858" s="20"/>
      <c r="DN1858" s="20"/>
      <c r="DO1858" s="20"/>
      <c r="DP1858" s="20"/>
      <c r="DQ1858" s="20"/>
      <c r="DR1858" s="20"/>
      <c r="DS1858" s="20"/>
      <c r="DT1858" s="20"/>
      <c r="DU1858" s="20"/>
      <c r="DV1858" s="20"/>
      <c r="DW1858" s="20"/>
      <c r="DX1858" s="20"/>
      <c r="DY1858" s="20"/>
      <c r="DZ1858" s="20"/>
      <c r="EA1858" s="20"/>
      <c r="EB1858" s="20"/>
      <c r="EC1858" s="20"/>
      <c r="ED1858" s="20"/>
      <c r="EE1858" s="20"/>
      <c r="EF1858" s="20"/>
      <c r="EG1858" s="20"/>
      <c r="EH1858" s="20"/>
      <c r="EI1858" s="20"/>
      <c r="EJ1858" s="20"/>
      <c r="EK1858" s="20"/>
      <c r="EL1858" s="20"/>
      <c r="EM1858" s="20"/>
      <c r="EN1858" s="20"/>
      <c r="EO1858" s="20"/>
      <c r="EP1858" s="20"/>
      <c r="EQ1858" s="20"/>
      <c r="ER1858" s="20"/>
      <c r="ES1858" s="20"/>
      <c r="ET1858" s="20"/>
      <c r="EU1858" s="20"/>
      <c r="EV1858" s="20"/>
      <c r="EW1858" s="20"/>
      <c r="EX1858" s="20"/>
      <c r="EY1858" s="20"/>
      <c r="EZ1858" s="20"/>
      <c r="FA1858" s="20"/>
      <c r="FB1858" s="20"/>
      <c r="FC1858" s="20"/>
      <c r="FD1858" s="20"/>
      <c r="FE1858" s="20"/>
      <c r="FF1858" s="20"/>
      <c r="FG1858" s="20"/>
      <c r="FH1858" s="20"/>
      <c r="FI1858" s="20"/>
      <c r="FJ1858" s="20"/>
      <c r="FK1858" s="20"/>
      <c r="FL1858" s="20"/>
      <c r="FM1858" s="20"/>
      <c r="FN1858" s="20"/>
      <c r="FO1858" s="20"/>
      <c r="FP1858" s="20"/>
      <c r="FQ1858" s="20"/>
      <c r="FR1858" s="20"/>
      <c r="FS1858" s="20"/>
      <c r="FT1858" s="20"/>
      <c r="FU1858" s="20"/>
      <c r="FV1858" s="20"/>
      <c r="FW1858" s="20"/>
      <c r="FX1858" s="20"/>
      <c r="FY1858" s="20"/>
      <c r="FZ1858" s="20"/>
      <c r="GA1858" s="20"/>
      <c r="GB1858" s="20"/>
      <c r="GC1858" s="20"/>
      <c r="GD1858" s="20"/>
      <c r="GE1858" s="20"/>
      <c r="GF1858" s="20"/>
      <c r="GG1858" s="20"/>
      <c r="GH1858" s="20"/>
      <c r="GI1858" s="20"/>
      <c r="GJ1858" s="20"/>
      <c r="GK1858" s="20"/>
      <c r="GL1858" s="20"/>
      <c r="GM1858" s="20"/>
      <c r="GN1858" s="20"/>
      <c r="GO1858" s="20"/>
      <c r="GP1858" s="20"/>
      <c r="GQ1858" s="20"/>
      <c r="GR1858" s="20"/>
      <c r="GS1858" s="20"/>
      <c r="GT1858" s="20"/>
      <c r="GU1858" s="20"/>
      <c r="GV1858" s="20"/>
      <c r="GW1858" s="20"/>
      <c r="GX1858" s="20"/>
      <c r="GY1858" s="20"/>
      <c r="GZ1858" s="20"/>
      <c r="HA1858" s="20"/>
      <c r="HB1858" s="20"/>
      <c r="HC1858" s="20"/>
      <c r="HD1858" s="20"/>
      <c r="HE1858" s="20"/>
      <c r="HF1858" s="20"/>
      <c r="HG1858" s="20"/>
      <c r="HH1858" s="20"/>
      <c r="HI1858" s="20"/>
      <c r="HJ1858" s="20"/>
      <c r="HK1858" s="20"/>
      <c r="HL1858" s="20"/>
      <c r="HM1858" s="20"/>
      <c r="HN1858" s="20"/>
      <c r="HO1858" s="20"/>
      <c r="HP1858" s="20"/>
      <c r="HQ1858" s="20"/>
      <c r="HR1858" s="20"/>
      <c r="HS1858" s="20"/>
      <c r="HT1858" s="20"/>
      <c r="HU1858" s="20"/>
      <c r="HV1858" s="20"/>
      <c r="HW1858" s="20"/>
      <c r="HX1858" s="20"/>
      <c r="HY1858" s="20"/>
      <c r="HZ1858" s="20"/>
      <c r="IA1858" s="20"/>
      <c r="IB1858" s="20"/>
      <c r="IC1858" s="20"/>
      <c r="ID1858" s="20"/>
      <c r="IE1858" s="20"/>
      <c r="IF1858" s="20"/>
      <c r="IG1858" s="20"/>
      <c r="IH1858" s="20"/>
      <c r="II1858" s="20"/>
      <c r="IJ1858" s="20"/>
      <c r="IK1858" s="20"/>
      <c r="IL1858" s="20"/>
      <c r="IM1858" s="20"/>
      <c r="IN1858" s="20"/>
      <c r="IO1858" s="20"/>
    </row>
    <row r="1859" spans="1:249" ht="87" customHeight="1">
      <c r="A1859" s="410"/>
      <c r="B1859" s="409"/>
      <c r="C1859" s="1253">
        <v>3</v>
      </c>
      <c r="D1859" s="1164" t="s">
        <v>34</v>
      </c>
      <c r="E1859" s="1164" t="s">
        <v>78</v>
      </c>
      <c r="F1859" s="1164" t="s">
        <v>25</v>
      </c>
      <c r="G1859" s="1164">
        <v>31</v>
      </c>
      <c r="H1859" s="410">
        <v>39</v>
      </c>
      <c r="I1859" s="411" t="s">
        <v>1795</v>
      </c>
      <c r="J1859" s="411" t="s">
        <v>3291</v>
      </c>
      <c r="K1859" s="413">
        <v>237</v>
      </c>
      <c r="L1859" s="1255">
        <v>213661000</v>
      </c>
      <c r="M1859" s="413">
        <v>57</v>
      </c>
      <c r="N1859" s="415">
        <v>44699340</v>
      </c>
      <c r="O1859" s="413">
        <v>30</v>
      </c>
      <c r="P1859" s="415">
        <v>26450000</v>
      </c>
      <c r="Q1859" s="413">
        <v>0</v>
      </c>
      <c r="R1859" s="415">
        <v>7839400</v>
      </c>
      <c r="S1859" s="410">
        <v>20</v>
      </c>
      <c r="T1859" s="1257">
        <v>7707100</v>
      </c>
      <c r="U1859" s="413"/>
      <c r="V1859" s="418"/>
      <c r="W1859" s="413"/>
      <c r="X1859" s="1284"/>
      <c r="Y1859" s="409">
        <f t="shared" si="532"/>
        <v>20</v>
      </c>
      <c r="Z1859" s="414">
        <f t="shared" si="533"/>
        <v>15546500</v>
      </c>
      <c r="AA1859" s="409">
        <f t="shared" si="534"/>
        <v>77</v>
      </c>
      <c r="AB1859" s="1259">
        <f t="shared" si="535"/>
        <v>60245840</v>
      </c>
      <c r="AC1859" s="1260">
        <f t="shared" si="536"/>
        <v>32.489451476793249</v>
      </c>
      <c r="AD1859" s="1260">
        <f t="shared" si="537"/>
        <v>28.196928779702425</v>
      </c>
      <c r="AE1859" s="102"/>
      <c r="AF1859" s="201"/>
      <c r="AG1859" s="201"/>
      <c r="AH1859" s="201"/>
      <c r="AI1859" s="201"/>
      <c r="AJ1859" s="201"/>
      <c r="AK1859" s="201"/>
      <c r="AL1859" s="201"/>
      <c r="AM1859" s="201"/>
      <c r="AN1859" s="201"/>
      <c r="AO1859" s="201"/>
      <c r="AP1859" s="201"/>
      <c r="AQ1859" s="201"/>
      <c r="AR1859" s="201"/>
      <c r="AS1859" s="201"/>
      <c r="AT1859" s="201"/>
      <c r="AU1859" s="201"/>
      <c r="AV1859" s="201"/>
      <c r="AW1859" s="201"/>
      <c r="AX1859" s="201"/>
      <c r="AY1859" s="201"/>
      <c r="AZ1859" s="201"/>
      <c r="BA1859" s="201"/>
      <c r="BB1859" s="201"/>
      <c r="BC1859" s="20"/>
      <c r="BD1859" s="20"/>
      <c r="BE1859" s="20"/>
      <c r="BF1859" s="20"/>
      <c r="BG1859" s="20"/>
      <c r="BH1859" s="20"/>
      <c r="BI1859" s="20"/>
      <c r="BJ1859" s="20"/>
      <c r="BK1859" s="20"/>
      <c r="BL1859" s="20"/>
      <c r="BM1859" s="20"/>
      <c r="BN1859" s="20"/>
      <c r="BO1859" s="20"/>
      <c r="BP1859" s="20"/>
      <c r="BQ1859" s="20"/>
      <c r="BR1859" s="20"/>
      <c r="BS1859" s="20"/>
      <c r="BT1859" s="20"/>
      <c r="BU1859" s="20"/>
      <c r="BV1859" s="20"/>
      <c r="BW1859" s="20"/>
      <c r="BX1859" s="20"/>
      <c r="BY1859" s="20"/>
      <c r="BZ1859" s="20"/>
      <c r="CA1859" s="20"/>
      <c r="CB1859" s="20"/>
      <c r="CC1859" s="20"/>
      <c r="CD1859" s="20"/>
      <c r="CE1859" s="20"/>
      <c r="CF1859" s="20"/>
      <c r="CG1859" s="20"/>
      <c r="CH1859" s="20"/>
      <c r="CI1859" s="20"/>
      <c r="CJ1859" s="20"/>
      <c r="CK1859" s="20"/>
      <c r="CL1859" s="20"/>
      <c r="CM1859" s="20"/>
      <c r="CN1859" s="20"/>
      <c r="CO1859" s="20"/>
      <c r="CP1859" s="20"/>
      <c r="CQ1859" s="20"/>
      <c r="CR1859" s="20"/>
      <c r="CS1859" s="20"/>
      <c r="CT1859" s="20"/>
      <c r="CU1859" s="20"/>
      <c r="CV1859" s="20"/>
      <c r="CW1859" s="20"/>
      <c r="CX1859" s="20"/>
      <c r="CY1859" s="20"/>
      <c r="CZ1859" s="20"/>
      <c r="DA1859" s="20"/>
      <c r="DB1859" s="20"/>
      <c r="DC1859" s="20"/>
      <c r="DD1859" s="20"/>
      <c r="DE1859" s="20"/>
      <c r="DF1859" s="20"/>
      <c r="DG1859" s="20"/>
      <c r="DH1859" s="20"/>
      <c r="DI1859" s="20"/>
      <c r="DJ1859" s="20"/>
      <c r="DK1859" s="20"/>
      <c r="DL1859" s="20"/>
      <c r="DM1859" s="20"/>
      <c r="DN1859" s="20"/>
      <c r="DO1859" s="20"/>
      <c r="DP1859" s="20"/>
      <c r="DQ1859" s="20"/>
      <c r="DR1859" s="20"/>
      <c r="DS1859" s="20"/>
      <c r="DT1859" s="20"/>
      <c r="DU1859" s="20"/>
      <c r="DV1859" s="20"/>
      <c r="DW1859" s="20"/>
      <c r="DX1859" s="20"/>
      <c r="DY1859" s="20"/>
      <c r="DZ1859" s="20"/>
      <c r="EA1859" s="20"/>
      <c r="EB1859" s="20"/>
      <c r="EC1859" s="20"/>
      <c r="ED1859" s="20"/>
      <c r="EE1859" s="20"/>
      <c r="EF1859" s="20"/>
      <c r="EG1859" s="20"/>
      <c r="EH1859" s="20"/>
      <c r="EI1859" s="20"/>
      <c r="EJ1859" s="20"/>
      <c r="EK1859" s="20"/>
      <c r="EL1859" s="20"/>
      <c r="EM1859" s="20"/>
      <c r="EN1859" s="20"/>
      <c r="EO1859" s="20"/>
      <c r="EP1859" s="20"/>
      <c r="EQ1859" s="20"/>
      <c r="ER1859" s="20"/>
      <c r="ES1859" s="20"/>
      <c r="ET1859" s="20"/>
      <c r="EU1859" s="20"/>
      <c r="EV1859" s="20"/>
      <c r="EW1859" s="20"/>
      <c r="EX1859" s="20"/>
      <c r="EY1859" s="20"/>
      <c r="EZ1859" s="20"/>
      <c r="FA1859" s="20"/>
      <c r="FB1859" s="20"/>
      <c r="FC1859" s="20"/>
      <c r="FD1859" s="20"/>
      <c r="FE1859" s="20"/>
      <c r="FF1859" s="20"/>
      <c r="FG1859" s="20"/>
      <c r="FH1859" s="20"/>
      <c r="FI1859" s="20"/>
      <c r="FJ1859" s="20"/>
      <c r="FK1859" s="20"/>
      <c r="FL1859" s="20"/>
      <c r="FM1859" s="20"/>
      <c r="FN1859" s="20"/>
      <c r="FO1859" s="20"/>
      <c r="FP1859" s="20"/>
      <c r="FQ1859" s="20"/>
      <c r="FR1859" s="20"/>
      <c r="FS1859" s="20"/>
      <c r="FT1859" s="20"/>
      <c r="FU1859" s="20"/>
      <c r="FV1859" s="20"/>
      <c r="FW1859" s="20"/>
      <c r="FX1859" s="20"/>
      <c r="FY1859" s="20"/>
      <c r="FZ1859" s="20"/>
      <c r="GA1859" s="20"/>
      <c r="GB1859" s="20"/>
      <c r="GC1859" s="20"/>
      <c r="GD1859" s="20"/>
      <c r="GE1859" s="20"/>
      <c r="GF1859" s="20"/>
      <c r="GG1859" s="20"/>
      <c r="GH1859" s="20"/>
      <c r="GI1859" s="20"/>
      <c r="GJ1859" s="20"/>
      <c r="GK1859" s="20"/>
      <c r="GL1859" s="20"/>
      <c r="GM1859" s="20"/>
      <c r="GN1859" s="20"/>
      <c r="GO1859" s="20"/>
      <c r="GP1859" s="20"/>
      <c r="GQ1859" s="20"/>
      <c r="GR1859" s="20"/>
      <c r="GS1859" s="20"/>
      <c r="GT1859" s="20"/>
      <c r="GU1859" s="20"/>
      <c r="GV1859" s="20"/>
      <c r="GW1859" s="20"/>
      <c r="GX1859" s="20"/>
      <c r="GY1859" s="20"/>
      <c r="GZ1859" s="20"/>
      <c r="HA1859" s="20"/>
      <c r="HB1859" s="20"/>
      <c r="HC1859" s="20"/>
      <c r="HD1859" s="20"/>
      <c r="HE1859" s="20"/>
      <c r="HF1859" s="20"/>
      <c r="HG1859" s="20"/>
      <c r="HH1859" s="20"/>
      <c r="HI1859" s="20"/>
      <c r="HJ1859" s="20"/>
      <c r="HK1859" s="20"/>
      <c r="HL1859" s="20"/>
      <c r="HM1859" s="20"/>
      <c r="HN1859" s="20"/>
      <c r="HO1859" s="20"/>
      <c r="HP1859" s="20"/>
      <c r="HQ1859" s="20"/>
      <c r="HR1859" s="20"/>
      <c r="HS1859" s="20"/>
      <c r="HT1859" s="20"/>
      <c r="HU1859" s="20"/>
      <c r="HV1859" s="20"/>
      <c r="HW1859" s="20"/>
      <c r="HX1859" s="20"/>
      <c r="HY1859" s="20"/>
      <c r="HZ1859" s="20"/>
      <c r="IA1859" s="20"/>
      <c r="IB1859" s="20"/>
      <c r="IC1859" s="20"/>
      <c r="ID1859" s="20"/>
      <c r="IE1859" s="20"/>
      <c r="IF1859" s="20"/>
      <c r="IG1859" s="20"/>
      <c r="IH1859" s="20"/>
      <c r="II1859" s="20"/>
      <c r="IJ1859" s="20"/>
      <c r="IK1859" s="20"/>
      <c r="IL1859" s="20"/>
      <c r="IM1859" s="20"/>
      <c r="IN1859" s="20"/>
      <c r="IO1859" s="20"/>
    </row>
    <row r="1860" spans="1:249" ht="66">
      <c r="A1860" s="410"/>
      <c r="B1860" s="409"/>
      <c r="C1860" s="1253">
        <v>3</v>
      </c>
      <c r="D1860" s="1164" t="s">
        <v>34</v>
      </c>
      <c r="E1860" s="1164" t="s">
        <v>78</v>
      </c>
      <c r="F1860" s="1164" t="s">
        <v>25</v>
      </c>
      <c r="G1860" s="1164">
        <v>31</v>
      </c>
      <c r="H1860" s="410"/>
      <c r="I1860" s="411" t="s">
        <v>1796</v>
      </c>
      <c r="J1860" s="411" t="s">
        <v>1797</v>
      </c>
      <c r="K1860" s="413">
        <v>150</v>
      </c>
      <c r="L1860" s="1255">
        <v>75000000</v>
      </c>
      <c r="M1860" s="413">
        <v>0</v>
      </c>
      <c r="N1860" s="415">
        <v>0</v>
      </c>
      <c r="O1860" s="413">
        <v>20</v>
      </c>
      <c r="P1860" s="415">
        <v>10913150</v>
      </c>
      <c r="Q1860" s="413">
        <v>0</v>
      </c>
      <c r="R1860" s="415">
        <v>0</v>
      </c>
      <c r="S1860" s="410">
        <v>10</v>
      </c>
      <c r="T1860" s="1257">
        <v>2500000</v>
      </c>
      <c r="U1860" s="413"/>
      <c r="V1860" s="418"/>
      <c r="W1860" s="413"/>
      <c r="X1860" s="1284"/>
      <c r="Y1860" s="409">
        <f t="shared" si="532"/>
        <v>10</v>
      </c>
      <c r="Z1860" s="414">
        <f t="shared" si="533"/>
        <v>2500000</v>
      </c>
      <c r="AA1860" s="409">
        <f t="shared" si="534"/>
        <v>10</v>
      </c>
      <c r="AB1860" s="1259">
        <f t="shared" si="535"/>
        <v>2500000</v>
      </c>
      <c r="AC1860" s="1260">
        <f t="shared" si="536"/>
        <v>6.666666666666667</v>
      </c>
      <c r="AD1860" s="1260">
        <f t="shared" si="537"/>
        <v>3.3333333333333335</v>
      </c>
      <c r="AE1860" s="102"/>
      <c r="AF1860" s="201"/>
      <c r="AG1860" s="201"/>
      <c r="AH1860" s="201"/>
      <c r="AI1860" s="201"/>
      <c r="AJ1860" s="201"/>
      <c r="AK1860" s="201"/>
      <c r="AL1860" s="201"/>
      <c r="AM1860" s="201"/>
      <c r="AN1860" s="201"/>
      <c r="AO1860" s="201"/>
      <c r="AP1860" s="201"/>
      <c r="AQ1860" s="201"/>
      <c r="AR1860" s="201"/>
      <c r="AS1860" s="201"/>
      <c r="AT1860" s="201"/>
      <c r="AU1860" s="201"/>
      <c r="AV1860" s="201"/>
      <c r="AW1860" s="201"/>
      <c r="AX1860" s="201"/>
      <c r="AY1860" s="201"/>
      <c r="AZ1860" s="201"/>
      <c r="BA1860" s="201"/>
      <c r="BB1860" s="201"/>
      <c r="BC1860" s="20"/>
      <c r="BD1860" s="20"/>
      <c r="BE1860" s="20"/>
      <c r="BF1860" s="20"/>
      <c r="BG1860" s="20"/>
      <c r="BH1860" s="20"/>
      <c r="BI1860" s="20"/>
      <c r="BJ1860" s="20"/>
      <c r="BK1860" s="20"/>
      <c r="BL1860" s="20"/>
      <c r="BM1860" s="20"/>
      <c r="BN1860" s="20"/>
      <c r="BO1860" s="20"/>
      <c r="BP1860" s="20"/>
      <c r="BQ1860" s="20"/>
      <c r="BR1860" s="20"/>
      <c r="BS1860" s="20"/>
      <c r="BT1860" s="20"/>
      <c r="BU1860" s="20"/>
      <c r="BV1860" s="20"/>
      <c r="BW1860" s="20"/>
      <c r="BX1860" s="20"/>
      <c r="BY1860" s="20"/>
      <c r="BZ1860" s="20"/>
      <c r="CA1860" s="20"/>
      <c r="CB1860" s="20"/>
      <c r="CC1860" s="20"/>
      <c r="CD1860" s="20"/>
      <c r="CE1860" s="20"/>
      <c r="CF1860" s="20"/>
      <c r="CG1860" s="20"/>
      <c r="CH1860" s="20"/>
      <c r="CI1860" s="20"/>
      <c r="CJ1860" s="20"/>
      <c r="CK1860" s="20"/>
      <c r="CL1860" s="20"/>
      <c r="CM1860" s="20"/>
      <c r="CN1860" s="20"/>
      <c r="CO1860" s="20"/>
      <c r="CP1860" s="20"/>
      <c r="CQ1860" s="20"/>
      <c r="CR1860" s="20"/>
      <c r="CS1860" s="20"/>
      <c r="CT1860" s="20"/>
      <c r="CU1860" s="20"/>
      <c r="CV1860" s="20"/>
      <c r="CW1860" s="20"/>
      <c r="CX1860" s="20"/>
      <c r="CY1860" s="20"/>
      <c r="CZ1860" s="20"/>
      <c r="DA1860" s="20"/>
      <c r="DB1860" s="20"/>
      <c r="DC1860" s="20"/>
      <c r="DD1860" s="20"/>
      <c r="DE1860" s="20"/>
      <c r="DF1860" s="20"/>
      <c r="DG1860" s="20"/>
      <c r="DH1860" s="20"/>
      <c r="DI1860" s="20"/>
      <c r="DJ1860" s="20"/>
      <c r="DK1860" s="20"/>
      <c r="DL1860" s="20"/>
      <c r="DM1860" s="20"/>
      <c r="DN1860" s="20"/>
      <c r="DO1860" s="20"/>
      <c r="DP1860" s="20"/>
      <c r="DQ1860" s="20"/>
      <c r="DR1860" s="20"/>
      <c r="DS1860" s="20"/>
      <c r="DT1860" s="20"/>
      <c r="DU1860" s="20"/>
      <c r="DV1860" s="20"/>
      <c r="DW1860" s="20"/>
      <c r="DX1860" s="20"/>
      <c r="DY1860" s="20"/>
      <c r="DZ1860" s="20"/>
      <c r="EA1860" s="20"/>
      <c r="EB1860" s="20"/>
      <c r="EC1860" s="20"/>
      <c r="ED1860" s="20"/>
      <c r="EE1860" s="20"/>
      <c r="EF1860" s="20"/>
      <c r="EG1860" s="20"/>
      <c r="EH1860" s="20"/>
      <c r="EI1860" s="20"/>
      <c r="EJ1860" s="20"/>
      <c r="EK1860" s="20"/>
      <c r="EL1860" s="20"/>
      <c r="EM1860" s="20"/>
      <c r="EN1860" s="20"/>
      <c r="EO1860" s="20"/>
      <c r="EP1860" s="20"/>
      <c r="EQ1860" s="20"/>
      <c r="ER1860" s="20"/>
      <c r="ES1860" s="20"/>
      <c r="ET1860" s="20"/>
      <c r="EU1860" s="20"/>
      <c r="EV1860" s="20"/>
      <c r="EW1860" s="20"/>
      <c r="EX1860" s="20"/>
      <c r="EY1860" s="20"/>
      <c r="EZ1860" s="20"/>
      <c r="FA1860" s="20"/>
      <c r="FB1860" s="20"/>
      <c r="FC1860" s="20"/>
      <c r="FD1860" s="20"/>
      <c r="FE1860" s="20"/>
      <c r="FF1860" s="20"/>
      <c r="FG1860" s="20"/>
      <c r="FH1860" s="20"/>
      <c r="FI1860" s="20"/>
      <c r="FJ1860" s="20"/>
      <c r="FK1860" s="20"/>
      <c r="FL1860" s="20"/>
      <c r="FM1860" s="20"/>
      <c r="FN1860" s="20"/>
      <c r="FO1860" s="20"/>
      <c r="FP1860" s="20"/>
      <c r="FQ1860" s="20"/>
      <c r="FR1860" s="20"/>
      <c r="FS1860" s="20"/>
      <c r="FT1860" s="20"/>
      <c r="FU1860" s="20"/>
      <c r="FV1860" s="20"/>
      <c r="FW1860" s="20"/>
      <c r="FX1860" s="20"/>
      <c r="FY1860" s="20"/>
      <c r="FZ1860" s="20"/>
      <c r="GA1860" s="20"/>
      <c r="GB1860" s="20"/>
      <c r="GC1860" s="20"/>
      <c r="GD1860" s="20"/>
      <c r="GE1860" s="20"/>
      <c r="GF1860" s="20"/>
      <c r="GG1860" s="20"/>
      <c r="GH1860" s="20"/>
      <c r="GI1860" s="20"/>
      <c r="GJ1860" s="20"/>
      <c r="GK1860" s="20"/>
      <c r="GL1860" s="20"/>
      <c r="GM1860" s="20"/>
      <c r="GN1860" s="20"/>
      <c r="GO1860" s="20"/>
      <c r="GP1860" s="20"/>
      <c r="GQ1860" s="20"/>
      <c r="GR1860" s="20"/>
      <c r="GS1860" s="20"/>
      <c r="GT1860" s="20"/>
      <c r="GU1860" s="20"/>
      <c r="GV1860" s="20"/>
      <c r="GW1860" s="20"/>
      <c r="GX1860" s="20"/>
      <c r="GY1860" s="20"/>
      <c r="GZ1860" s="20"/>
      <c r="HA1860" s="20"/>
      <c r="HB1860" s="20"/>
      <c r="HC1860" s="20"/>
      <c r="HD1860" s="20"/>
      <c r="HE1860" s="20"/>
      <c r="HF1860" s="20"/>
      <c r="HG1860" s="20"/>
      <c r="HH1860" s="20"/>
      <c r="HI1860" s="20"/>
      <c r="HJ1860" s="20"/>
      <c r="HK1860" s="20"/>
      <c r="HL1860" s="20"/>
      <c r="HM1860" s="20"/>
      <c r="HN1860" s="20"/>
      <c r="HO1860" s="20"/>
      <c r="HP1860" s="20"/>
      <c r="HQ1860" s="20"/>
      <c r="HR1860" s="20"/>
      <c r="HS1860" s="20"/>
      <c r="HT1860" s="20"/>
      <c r="HU1860" s="20"/>
      <c r="HV1860" s="20"/>
      <c r="HW1860" s="20"/>
      <c r="HX1860" s="20"/>
      <c r="HY1860" s="20"/>
      <c r="HZ1860" s="20"/>
      <c r="IA1860" s="20"/>
      <c r="IB1860" s="20"/>
      <c r="IC1860" s="20"/>
      <c r="ID1860" s="20"/>
      <c r="IE1860" s="20"/>
      <c r="IF1860" s="20"/>
      <c r="IG1860" s="20"/>
      <c r="IH1860" s="20"/>
      <c r="II1860" s="20"/>
      <c r="IJ1860" s="20"/>
      <c r="IK1860" s="20"/>
      <c r="IL1860" s="20"/>
      <c r="IM1860" s="20"/>
      <c r="IN1860" s="20"/>
      <c r="IO1860" s="20"/>
    </row>
    <row r="1861" spans="1:249" ht="33">
      <c r="A1861" s="410"/>
      <c r="B1861" s="409"/>
      <c r="C1861" s="1253">
        <v>3</v>
      </c>
      <c r="D1861" s="1164" t="s">
        <v>34</v>
      </c>
      <c r="E1861" s="1164" t="s">
        <v>78</v>
      </c>
      <c r="F1861" s="1164" t="s">
        <v>25</v>
      </c>
      <c r="G1861" s="1164">
        <v>31</v>
      </c>
      <c r="H1861" s="410"/>
      <c r="I1861" s="411" t="s">
        <v>1798</v>
      </c>
      <c r="J1861" s="411" t="s">
        <v>1799</v>
      </c>
      <c r="K1861" s="413">
        <v>600</v>
      </c>
      <c r="L1861" s="1255">
        <v>195000000</v>
      </c>
      <c r="M1861" s="413">
        <v>0</v>
      </c>
      <c r="N1861" s="415">
        <v>0</v>
      </c>
      <c r="O1861" s="413">
        <v>140</v>
      </c>
      <c r="P1861" s="415">
        <v>19435000</v>
      </c>
      <c r="Q1861" s="413">
        <v>0</v>
      </c>
      <c r="R1861" s="415">
        <v>0</v>
      </c>
      <c r="S1861" s="410">
        <v>598</v>
      </c>
      <c r="T1861" s="1257">
        <v>1210000</v>
      </c>
      <c r="U1861" s="413"/>
      <c r="V1861" s="418"/>
      <c r="W1861" s="413"/>
      <c r="X1861" s="1284"/>
      <c r="Y1861" s="409">
        <f t="shared" si="532"/>
        <v>598</v>
      </c>
      <c r="Z1861" s="414">
        <f t="shared" si="533"/>
        <v>1210000</v>
      </c>
      <c r="AA1861" s="409">
        <f t="shared" si="534"/>
        <v>598</v>
      </c>
      <c r="AB1861" s="1259">
        <f t="shared" si="535"/>
        <v>1210000</v>
      </c>
      <c r="AC1861" s="1260">
        <f t="shared" si="536"/>
        <v>99.666666666666671</v>
      </c>
      <c r="AD1861" s="1260">
        <f t="shared" si="537"/>
        <v>0.62051282051282053</v>
      </c>
      <c r="AE1861" s="102"/>
      <c r="AF1861" s="201"/>
      <c r="AG1861" s="201"/>
      <c r="AH1861" s="201"/>
      <c r="AI1861" s="201"/>
      <c r="AJ1861" s="201"/>
      <c r="AK1861" s="201"/>
      <c r="AL1861" s="201"/>
      <c r="AM1861" s="201"/>
      <c r="AN1861" s="201"/>
      <c r="AO1861" s="201"/>
      <c r="AP1861" s="201"/>
      <c r="AQ1861" s="201"/>
      <c r="AR1861" s="201"/>
      <c r="AS1861" s="201"/>
      <c r="AT1861" s="201"/>
      <c r="AU1861" s="201"/>
      <c r="AV1861" s="201"/>
      <c r="AW1861" s="201"/>
      <c r="AX1861" s="201"/>
      <c r="AY1861" s="201"/>
      <c r="AZ1861" s="201"/>
      <c r="BA1861" s="201"/>
      <c r="BB1861" s="201"/>
      <c r="BC1861" s="20"/>
      <c r="BD1861" s="20"/>
      <c r="BE1861" s="20"/>
      <c r="BF1861" s="20"/>
      <c r="BG1861" s="20"/>
      <c r="BH1861" s="20"/>
      <c r="BI1861" s="20"/>
      <c r="BJ1861" s="20"/>
      <c r="BK1861" s="20"/>
      <c r="BL1861" s="20"/>
      <c r="BM1861" s="20"/>
      <c r="BN1861" s="20"/>
      <c r="BO1861" s="20"/>
      <c r="BP1861" s="20"/>
      <c r="BQ1861" s="20"/>
      <c r="BR1861" s="20"/>
      <c r="BS1861" s="20"/>
      <c r="BT1861" s="20"/>
      <c r="BU1861" s="20"/>
      <c r="BV1861" s="20"/>
      <c r="BW1861" s="20"/>
      <c r="BX1861" s="20"/>
      <c r="BY1861" s="20"/>
      <c r="BZ1861" s="20"/>
      <c r="CA1861" s="20"/>
      <c r="CB1861" s="20"/>
      <c r="CC1861" s="20"/>
      <c r="CD1861" s="20"/>
      <c r="CE1861" s="20"/>
      <c r="CF1861" s="20"/>
      <c r="CG1861" s="20"/>
      <c r="CH1861" s="20"/>
      <c r="CI1861" s="20"/>
      <c r="CJ1861" s="20"/>
      <c r="CK1861" s="20"/>
      <c r="CL1861" s="20"/>
      <c r="CM1861" s="20"/>
      <c r="CN1861" s="20"/>
      <c r="CO1861" s="20"/>
      <c r="CP1861" s="20"/>
      <c r="CQ1861" s="20"/>
      <c r="CR1861" s="20"/>
      <c r="CS1861" s="20"/>
      <c r="CT1861" s="20"/>
      <c r="CU1861" s="20"/>
      <c r="CV1861" s="20"/>
      <c r="CW1861" s="20"/>
      <c r="CX1861" s="20"/>
      <c r="CY1861" s="20"/>
      <c r="CZ1861" s="20"/>
      <c r="DA1861" s="20"/>
      <c r="DB1861" s="20"/>
      <c r="DC1861" s="20"/>
      <c r="DD1861" s="20"/>
      <c r="DE1861" s="20"/>
      <c r="DF1861" s="20"/>
      <c r="DG1861" s="20"/>
      <c r="DH1861" s="20"/>
      <c r="DI1861" s="20"/>
      <c r="DJ1861" s="20"/>
      <c r="DK1861" s="20"/>
      <c r="DL1861" s="20"/>
      <c r="DM1861" s="20"/>
      <c r="DN1861" s="20"/>
      <c r="DO1861" s="20"/>
      <c r="DP1861" s="20"/>
      <c r="DQ1861" s="20"/>
      <c r="DR1861" s="20"/>
      <c r="DS1861" s="20"/>
      <c r="DT1861" s="20"/>
      <c r="DU1861" s="20"/>
      <c r="DV1861" s="20"/>
      <c r="DW1861" s="20"/>
      <c r="DX1861" s="20"/>
      <c r="DY1861" s="20"/>
      <c r="DZ1861" s="20"/>
      <c r="EA1861" s="20"/>
      <c r="EB1861" s="20"/>
      <c r="EC1861" s="20"/>
      <c r="ED1861" s="20"/>
      <c r="EE1861" s="20"/>
      <c r="EF1861" s="20"/>
      <c r="EG1861" s="20"/>
      <c r="EH1861" s="20"/>
      <c r="EI1861" s="20"/>
      <c r="EJ1861" s="20"/>
      <c r="EK1861" s="20"/>
      <c r="EL1861" s="20"/>
      <c r="EM1861" s="20"/>
      <c r="EN1861" s="20"/>
      <c r="EO1861" s="20"/>
      <c r="EP1861" s="20"/>
      <c r="EQ1861" s="20"/>
      <c r="ER1861" s="20"/>
      <c r="ES1861" s="20"/>
      <c r="ET1861" s="20"/>
      <c r="EU1861" s="20"/>
      <c r="EV1861" s="20"/>
      <c r="EW1861" s="20"/>
      <c r="EX1861" s="20"/>
      <c r="EY1861" s="20"/>
      <c r="EZ1861" s="20"/>
      <c r="FA1861" s="20"/>
      <c r="FB1861" s="20"/>
      <c r="FC1861" s="20"/>
      <c r="FD1861" s="20"/>
      <c r="FE1861" s="20"/>
      <c r="FF1861" s="20"/>
      <c r="FG1861" s="20"/>
      <c r="FH1861" s="20"/>
      <c r="FI1861" s="20"/>
      <c r="FJ1861" s="20"/>
      <c r="FK1861" s="20"/>
      <c r="FL1861" s="20"/>
      <c r="FM1861" s="20"/>
      <c r="FN1861" s="20"/>
      <c r="FO1861" s="20"/>
      <c r="FP1861" s="20"/>
      <c r="FQ1861" s="20"/>
      <c r="FR1861" s="20"/>
      <c r="FS1861" s="20"/>
      <c r="FT1861" s="20"/>
      <c r="FU1861" s="20"/>
      <c r="FV1861" s="20"/>
      <c r="FW1861" s="20"/>
      <c r="FX1861" s="20"/>
      <c r="FY1861" s="20"/>
      <c r="FZ1861" s="20"/>
      <c r="GA1861" s="20"/>
      <c r="GB1861" s="20"/>
      <c r="GC1861" s="20"/>
      <c r="GD1861" s="20"/>
      <c r="GE1861" s="20"/>
      <c r="GF1861" s="20"/>
      <c r="GG1861" s="20"/>
      <c r="GH1861" s="20"/>
      <c r="GI1861" s="20"/>
      <c r="GJ1861" s="20"/>
      <c r="GK1861" s="20"/>
      <c r="GL1861" s="20"/>
      <c r="GM1861" s="20"/>
      <c r="GN1861" s="20"/>
      <c r="GO1861" s="20"/>
      <c r="GP1861" s="20"/>
      <c r="GQ1861" s="20"/>
      <c r="GR1861" s="20"/>
      <c r="GS1861" s="20"/>
      <c r="GT1861" s="20"/>
      <c r="GU1861" s="20"/>
      <c r="GV1861" s="20"/>
      <c r="GW1861" s="20"/>
      <c r="GX1861" s="20"/>
      <c r="GY1861" s="20"/>
      <c r="GZ1861" s="20"/>
      <c r="HA1861" s="20"/>
      <c r="HB1861" s="20"/>
      <c r="HC1861" s="20"/>
      <c r="HD1861" s="20"/>
      <c r="HE1861" s="20"/>
      <c r="HF1861" s="20"/>
      <c r="HG1861" s="20"/>
      <c r="HH1861" s="20"/>
      <c r="HI1861" s="20"/>
      <c r="HJ1861" s="20"/>
      <c r="HK1861" s="20"/>
      <c r="HL1861" s="20"/>
      <c r="HM1861" s="20"/>
      <c r="HN1861" s="20"/>
      <c r="HO1861" s="20"/>
      <c r="HP1861" s="20"/>
      <c r="HQ1861" s="20"/>
      <c r="HR1861" s="20"/>
      <c r="HS1861" s="20"/>
      <c r="HT1861" s="20"/>
      <c r="HU1861" s="20"/>
      <c r="HV1861" s="20"/>
      <c r="HW1861" s="20"/>
      <c r="HX1861" s="20"/>
      <c r="HY1861" s="20"/>
      <c r="HZ1861" s="20"/>
      <c r="IA1861" s="20"/>
      <c r="IB1861" s="20"/>
      <c r="IC1861" s="20"/>
      <c r="ID1861" s="20"/>
      <c r="IE1861" s="20"/>
      <c r="IF1861" s="20"/>
      <c r="IG1861" s="20"/>
      <c r="IH1861" s="20"/>
      <c r="II1861" s="20"/>
      <c r="IJ1861" s="20"/>
      <c r="IK1861" s="20"/>
      <c r="IL1861" s="20"/>
      <c r="IM1861" s="20"/>
      <c r="IN1861" s="20"/>
      <c r="IO1861" s="20"/>
    </row>
    <row r="1862" spans="1:249" ht="82.5">
      <c r="A1862" s="410"/>
      <c r="B1862" s="409"/>
      <c r="C1862" s="1253">
        <v>3</v>
      </c>
      <c r="D1862" s="1164" t="s">
        <v>34</v>
      </c>
      <c r="E1862" s="1164" t="s">
        <v>78</v>
      </c>
      <c r="F1862" s="1164" t="s">
        <v>25</v>
      </c>
      <c r="G1862" s="1164">
        <v>31</v>
      </c>
      <c r="H1862" s="410">
        <v>42</v>
      </c>
      <c r="I1862" s="411" t="s">
        <v>1800</v>
      </c>
      <c r="J1862" s="411" t="s">
        <v>3292</v>
      </c>
      <c r="K1862" s="413">
        <v>800</v>
      </c>
      <c r="L1862" s="1255">
        <v>248471000</v>
      </c>
      <c r="M1862" s="413">
        <v>175</v>
      </c>
      <c r="N1862" s="415">
        <v>53471000</v>
      </c>
      <c r="O1862" s="413">
        <v>150</v>
      </c>
      <c r="P1862" s="415">
        <v>53925000</v>
      </c>
      <c r="Q1862" s="413">
        <v>0</v>
      </c>
      <c r="R1862" s="1255">
        <v>5164950</v>
      </c>
      <c r="S1862" s="410">
        <v>59</v>
      </c>
      <c r="T1862" s="1257">
        <v>27385000</v>
      </c>
      <c r="U1862" s="413"/>
      <c r="V1862" s="418"/>
      <c r="W1862" s="413"/>
      <c r="Y1862" s="409">
        <f t="shared" si="532"/>
        <v>59</v>
      </c>
      <c r="Z1862" s="414">
        <f t="shared" si="533"/>
        <v>32549950</v>
      </c>
      <c r="AA1862" s="409">
        <f t="shared" si="534"/>
        <v>234</v>
      </c>
      <c r="AB1862" s="1259">
        <f t="shared" si="535"/>
        <v>86020950</v>
      </c>
      <c r="AC1862" s="1260">
        <f t="shared" si="536"/>
        <v>29.25</v>
      </c>
      <c r="AD1862" s="1260">
        <f t="shared" si="537"/>
        <v>34.620116633329445</v>
      </c>
      <c r="AE1862" s="102"/>
      <c r="AF1862" s="201"/>
      <c r="AG1862" s="201"/>
      <c r="AH1862" s="201"/>
      <c r="AI1862" s="201"/>
      <c r="AJ1862" s="201"/>
      <c r="AK1862" s="201"/>
      <c r="AL1862" s="201"/>
      <c r="AM1862" s="201"/>
      <c r="AN1862" s="201"/>
      <c r="AO1862" s="201"/>
      <c r="AP1862" s="201"/>
      <c r="AQ1862" s="201"/>
      <c r="AR1862" s="201"/>
      <c r="AS1862" s="201"/>
      <c r="AT1862" s="201"/>
      <c r="AU1862" s="201"/>
      <c r="AV1862" s="201"/>
      <c r="AW1862" s="201"/>
      <c r="AX1862" s="201"/>
      <c r="AY1862" s="201"/>
      <c r="AZ1862" s="201"/>
      <c r="BA1862" s="201"/>
      <c r="BB1862" s="201"/>
      <c r="BC1862" s="20"/>
      <c r="BD1862" s="20"/>
      <c r="BE1862" s="20"/>
      <c r="BF1862" s="20"/>
      <c r="BG1862" s="20"/>
      <c r="BH1862" s="20"/>
      <c r="BI1862" s="20"/>
      <c r="BJ1862" s="20"/>
      <c r="BK1862" s="20"/>
      <c r="BL1862" s="20"/>
      <c r="BM1862" s="20"/>
      <c r="BN1862" s="20"/>
      <c r="BO1862" s="20"/>
      <c r="BP1862" s="20"/>
      <c r="BQ1862" s="20"/>
      <c r="BR1862" s="20"/>
      <c r="BS1862" s="20"/>
      <c r="BT1862" s="20"/>
      <c r="BU1862" s="20"/>
      <c r="BV1862" s="20"/>
      <c r="BW1862" s="20"/>
      <c r="BX1862" s="20"/>
      <c r="BY1862" s="20"/>
      <c r="BZ1862" s="20"/>
      <c r="CA1862" s="20"/>
      <c r="CB1862" s="20"/>
      <c r="CC1862" s="20"/>
      <c r="CD1862" s="20"/>
      <c r="CE1862" s="20"/>
      <c r="CF1862" s="20"/>
      <c r="CG1862" s="20"/>
      <c r="CH1862" s="20"/>
      <c r="CI1862" s="20"/>
      <c r="CJ1862" s="20"/>
      <c r="CK1862" s="20"/>
      <c r="CL1862" s="20"/>
      <c r="CM1862" s="20"/>
      <c r="CN1862" s="20"/>
      <c r="CO1862" s="20"/>
      <c r="CP1862" s="20"/>
      <c r="CQ1862" s="20"/>
      <c r="CR1862" s="20"/>
      <c r="CS1862" s="20"/>
      <c r="CT1862" s="20"/>
      <c r="CU1862" s="20"/>
      <c r="CV1862" s="20"/>
      <c r="CW1862" s="20"/>
      <c r="CX1862" s="20"/>
      <c r="CY1862" s="20"/>
      <c r="CZ1862" s="20"/>
      <c r="DA1862" s="20"/>
      <c r="DB1862" s="20"/>
      <c r="DC1862" s="20"/>
      <c r="DD1862" s="20"/>
      <c r="DE1862" s="20"/>
      <c r="DF1862" s="20"/>
      <c r="DG1862" s="20"/>
      <c r="DH1862" s="20"/>
      <c r="DI1862" s="20"/>
      <c r="DJ1862" s="20"/>
      <c r="DK1862" s="20"/>
      <c r="DL1862" s="20"/>
      <c r="DM1862" s="20"/>
      <c r="DN1862" s="20"/>
      <c r="DO1862" s="20"/>
      <c r="DP1862" s="20"/>
      <c r="DQ1862" s="20"/>
      <c r="DR1862" s="20"/>
      <c r="DS1862" s="20"/>
      <c r="DT1862" s="20"/>
      <c r="DU1862" s="20"/>
      <c r="DV1862" s="20"/>
      <c r="DW1862" s="20"/>
      <c r="DX1862" s="20"/>
      <c r="DY1862" s="20"/>
      <c r="DZ1862" s="20"/>
      <c r="EA1862" s="20"/>
      <c r="EB1862" s="20"/>
      <c r="EC1862" s="20"/>
      <c r="ED1862" s="20"/>
      <c r="EE1862" s="20"/>
      <c r="EF1862" s="20"/>
      <c r="EG1862" s="20"/>
      <c r="EH1862" s="20"/>
      <c r="EI1862" s="20"/>
      <c r="EJ1862" s="20"/>
      <c r="EK1862" s="20"/>
      <c r="EL1862" s="20"/>
      <c r="EM1862" s="20"/>
      <c r="EN1862" s="20"/>
      <c r="EO1862" s="20"/>
      <c r="EP1862" s="20"/>
      <c r="EQ1862" s="20"/>
      <c r="ER1862" s="20"/>
      <c r="ES1862" s="20"/>
      <c r="ET1862" s="20"/>
      <c r="EU1862" s="20"/>
      <c r="EV1862" s="20"/>
      <c r="EW1862" s="20"/>
      <c r="EX1862" s="20"/>
      <c r="EY1862" s="20"/>
      <c r="EZ1862" s="20"/>
      <c r="FA1862" s="20"/>
      <c r="FB1862" s="20"/>
      <c r="FC1862" s="20"/>
      <c r="FD1862" s="20"/>
      <c r="FE1862" s="20"/>
      <c r="FF1862" s="20"/>
      <c r="FG1862" s="20"/>
      <c r="FH1862" s="20"/>
      <c r="FI1862" s="20"/>
      <c r="FJ1862" s="20"/>
      <c r="FK1862" s="20"/>
      <c r="FL1862" s="20"/>
      <c r="FM1862" s="20"/>
      <c r="FN1862" s="20"/>
      <c r="FO1862" s="20"/>
      <c r="FP1862" s="20"/>
      <c r="FQ1862" s="20"/>
      <c r="FR1862" s="20"/>
      <c r="FS1862" s="20"/>
      <c r="FT1862" s="20"/>
      <c r="FU1862" s="20"/>
      <c r="FV1862" s="20"/>
      <c r="FW1862" s="20"/>
      <c r="FX1862" s="20"/>
      <c r="FY1862" s="20"/>
      <c r="FZ1862" s="20"/>
      <c r="GA1862" s="20"/>
      <c r="GB1862" s="20"/>
      <c r="GC1862" s="20"/>
      <c r="GD1862" s="20"/>
      <c r="GE1862" s="20"/>
      <c r="GF1862" s="20"/>
      <c r="GG1862" s="20"/>
      <c r="GH1862" s="20"/>
      <c r="GI1862" s="20"/>
      <c r="GJ1862" s="20"/>
      <c r="GK1862" s="20"/>
      <c r="GL1862" s="20"/>
      <c r="GM1862" s="20"/>
      <c r="GN1862" s="20"/>
      <c r="GO1862" s="20"/>
      <c r="GP1862" s="20"/>
      <c r="GQ1862" s="20"/>
      <c r="GR1862" s="20"/>
      <c r="GS1862" s="20"/>
      <c r="GT1862" s="20"/>
      <c r="GU1862" s="20"/>
      <c r="GV1862" s="20"/>
      <c r="GW1862" s="20"/>
      <c r="GX1862" s="20"/>
      <c r="GY1862" s="20"/>
      <c r="GZ1862" s="20"/>
      <c r="HA1862" s="20"/>
      <c r="HB1862" s="20"/>
      <c r="HC1862" s="20"/>
      <c r="HD1862" s="20"/>
      <c r="HE1862" s="20"/>
      <c r="HF1862" s="20"/>
      <c r="HG1862" s="20"/>
      <c r="HH1862" s="20"/>
      <c r="HI1862" s="20"/>
      <c r="HJ1862" s="20"/>
      <c r="HK1862" s="20"/>
      <c r="HL1862" s="20"/>
      <c r="HM1862" s="20"/>
      <c r="HN1862" s="20"/>
      <c r="HO1862" s="20"/>
      <c r="HP1862" s="20"/>
      <c r="HQ1862" s="20"/>
      <c r="HR1862" s="20"/>
      <c r="HS1862" s="20"/>
      <c r="HT1862" s="20"/>
      <c r="HU1862" s="20"/>
      <c r="HV1862" s="20"/>
      <c r="HW1862" s="20"/>
      <c r="HX1862" s="20"/>
      <c r="HY1862" s="20"/>
      <c r="HZ1862" s="20"/>
      <c r="IA1862" s="20"/>
      <c r="IB1862" s="20"/>
      <c r="IC1862" s="20"/>
      <c r="ID1862" s="20"/>
      <c r="IE1862" s="20"/>
      <c r="IF1862" s="20"/>
      <c r="IG1862" s="20"/>
      <c r="IH1862" s="20"/>
      <c r="II1862" s="20"/>
      <c r="IJ1862" s="20"/>
      <c r="IK1862" s="20"/>
      <c r="IL1862" s="20"/>
      <c r="IM1862" s="20"/>
      <c r="IN1862" s="20"/>
      <c r="IO1862" s="20"/>
    </row>
    <row r="1863" spans="1:249" ht="82.5">
      <c r="A1863" s="410"/>
      <c r="B1863" s="409" t="s">
        <v>1801</v>
      </c>
      <c r="C1863" s="794">
        <v>3</v>
      </c>
      <c r="D1863" s="967" t="s">
        <v>34</v>
      </c>
      <c r="E1863" s="967" t="s">
        <v>78</v>
      </c>
      <c r="F1863" s="967" t="s">
        <v>25</v>
      </c>
      <c r="G1863" s="967">
        <v>31</v>
      </c>
      <c r="H1863" s="410">
        <v>38</v>
      </c>
      <c r="I1863" s="409" t="s">
        <v>1802</v>
      </c>
      <c r="J1863" s="409" t="s">
        <v>3293</v>
      </c>
      <c r="K1863" s="413">
        <v>72</v>
      </c>
      <c r="L1863" s="1255">
        <v>324996000</v>
      </c>
      <c r="M1863" s="413">
        <v>36</v>
      </c>
      <c r="N1863" s="415">
        <v>158533000</v>
      </c>
      <c r="O1863" s="413">
        <v>12</v>
      </c>
      <c r="P1863" s="415">
        <v>32700000</v>
      </c>
      <c r="Q1863" s="413">
        <v>3</v>
      </c>
      <c r="R1863" s="1255">
        <v>0</v>
      </c>
      <c r="S1863" s="410">
        <v>700</v>
      </c>
      <c r="T1863" s="1257">
        <v>8518750</v>
      </c>
      <c r="U1863" s="413"/>
      <c r="V1863" s="418"/>
      <c r="W1863" s="413"/>
      <c r="X1863" s="1284"/>
      <c r="Y1863" s="409">
        <f t="shared" si="532"/>
        <v>703</v>
      </c>
      <c r="Z1863" s="414">
        <f t="shared" si="533"/>
        <v>8518750</v>
      </c>
      <c r="AA1863" s="409">
        <f t="shared" si="534"/>
        <v>739</v>
      </c>
      <c r="AB1863" s="1259">
        <f t="shared" si="535"/>
        <v>167051750</v>
      </c>
      <c r="AC1863" s="1266">
        <f t="shared" si="536"/>
        <v>1026.3888888888889</v>
      </c>
      <c r="AD1863" s="1260">
        <f t="shared" si="537"/>
        <v>51.401171091336508</v>
      </c>
      <c r="AE1863" s="102"/>
      <c r="AF1863" s="201"/>
      <c r="AG1863" s="201"/>
      <c r="AH1863" s="201"/>
      <c r="AI1863" s="201"/>
      <c r="AJ1863" s="201"/>
      <c r="AK1863" s="201"/>
      <c r="AL1863" s="201"/>
      <c r="AM1863" s="201"/>
      <c r="AN1863" s="201"/>
      <c r="AO1863" s="201"/>
      <c r="AP1863" s="201"/>
      <c r="AQ1863" s="201"/>
      <c r="AR1863" s="201"/>
      <c r="AS1863" s="201"/>
      <c r="AT1863" s="201"/>
      <c r="AU1863" s="201"/>
      <c r="AV1863" s="201"/>
      <c r="AW1863" s="201"/>
      <c r="AX1863" s="201"/>
      <c r="AY1863" s="201"/>
      <c r="AZ1863" s="201"/>
      <c r="BA1863" s="201"/>
      <c r="BB1863" s="201"/>
      <c r="BC1863" s="20"/>
      <c r="BD1863" s="20"/>
      <c r="BE1863" s="20"/>
      <c r="BF1863" s="20"/>
      <c r="BG1863" s="20"/>
      <c r="BH1863" s="20"/>
      <c r="BI1863" s="20"/>
      <c r="BJ1863" s="20"/>
      <c r="BK1863" s="20"/>
      <c r="BL1863" s="20"/>
      <c r="BM1863" s="20"/>
      <c r="BN1863" s="20"/>
      <c r="BO1863" s="20"/>
      <c r="BP1863" s="20"/>
      <c r="BQ1863" s="20"/>
      <c r="BR1863" s="20"/>
      <c r="BS1863" s="20"/>
      <c r="BT1863" s="20"/>
      <c r="BU1863" s="20"/>
      <c r="BV1863" s="20"/>
      <c r="BW1863" s="20"/>
      <c r="BX1863" s="20"/>
      <c r="BY1863" s="20"/>
      <c r="BZ1863" s="20"/>
      <c r="CA1863" s="20"/>
      <c r="CB1863" s="20"/>
      <c r="CC1863" s="20"/>
      <c r="CD1863" s="20"/>
      <c r="CE1863" s="20"/>
      <c r="CF1863" s="20"/>
      <c r="CG1863" s="20"/>
      <c r="CH1863" s="20"/>
      <c r="CI1863" s="20"/>
      <c r="CJ1863" s="20"/>
      <c r="CK1863" s="20"/>
      <c r="CL1863" s="20"/>
      <c r="CM1863" s="20"/>
      <c r="CN1863" s="20"/>
      <c r="CO1863" s="20"/>
      <c r="CP1863" s="20"/>
      <c r="CQ1863" s="20"/>
      <c r="CR1863" s="20"/>
      <c r="CS1863" s="20"/>
      <c r="CT1863" s="20"/>
      <c r="CU1863" s="20"/>
      <c r="CV1863" s="20"/>
      <c r="CW1863" s="20"/>
      <c r="CX1863" s="20"/>
      <c r="CY1863" s="20"/>
      <c r="CZ1863" s="20"/>
      <c r="DA1863" s="20"/>
      <c r="DB1863" s="20"/>
      <c r="DC1863" s="20"/>
      <c r="DD1863" s="20"/>
      <c r="DE1863" s="20"/>
      <c r="DF1863" s="20"/>
      <c r="DG1863" s="20"/>
      <c r="DH1863" s="20"/>
      <c r="DI1863" s="20"/>
      <c r="DJ1863" s="20"/>
      <c r="DK1863" s="20"/>
      <c r="DL1863" s="20"/>
      <c r="DM1863" s="20"/>
      <c r="DN1863" s="20"/>
      <c r="DO1863" s="20"/>
      <c r="DP1863" s="20"/>
      <c r="DQ1863" s="20"/>
      <c r="DR1863" s="20"/>
      <c r="DS1863" s="20"/>
      <c r="DT1863" s="20"/>
      <c r="DU1863" s="20"/>
      <c r="DV1863" s="20"/>
      <c r="DW1863" s="20"/>
      <c r="DX1863" s="20"/>
      <c r="DY1863" s="20"/>
      <c r="DZ1863" s="20"/>
      <c r="EA1863" s="20"/>
      <c r="EB1863" s="20"/>
      <c r="EC1863" s="20"/>
      <c r="ED1863" s="20"/>
      <c r="EE1863" s="20"/>
      <c r="EF1863" s="20"/>
      <c r="EG1863" s="20"/>
      <c r="EH1863" s="20"/>
      <c r="EI1863" s="20"/>
      <c r="EJ1863" s="20"/>
      <c r="EK1863" s="20"/>
      <c r="EL1863" s="20"/>
      <c r="EM1863" s="20"/>
      <c r="EN1863" s="20"/>
      <c r="EO1863" s="20"/>
      <c r="EP1863" s="20"/>
      <c r="EQ1863" s="20"/>
      <c r="ER1863" s="20"/>
      <c r="ES1863" s="20"/>
      <c r="ET1863" s="20"/>
      <c r="EU1863" s="20"/>
      <c r="EV1863" s="20"/>
      <c r="EW1863" s="20"/>
      <c r="EX1863" s="20"/>
      <c r="EY1863" s="20"/>
      <c r="EZ1863" s="20"/>
      <c r="FA1863" s="20"/>
      <c r="FB1863" s="20"/>
      <c r="FC1863" s="20"/>
      <c r="FD1863" s="20"/>
      <c r="FE1863" s="20"/>
      <c r="FF1863" s="20"/>
      <c r="FG1863" s="20"/>
      <c r="FH1863" s="20"/>
      <c r="FI1863" s="20"/>
      <c r="FJ1863" s="20"/>
      <c r="FK1863" s="20"/>
      <c r="FL1863" s="20"/>
      <c r="FM1863" s="20"/>
      <c r="FN1863" s="20"/>
      <c r="FO1863" s="20"/>
      <c r="FP1863" s="20"/>
      <c r="FQ1863" s="20"/>
      <c r="FR1863" s="20"/>
      <c r="FS1863" s="20"/>
      <c r="FT1863" s="20"/>
      <c r="FU1863" s="20"/>
      <c r="FV1863" s="20"/>
      <c r="FW1863" s="20"/>
      <c r="FX1863" s="20"/>
      <c r="FY1863" s="20"/>
      <c r="FZ1863" s="20"/>
      <c r="GA1863" s="20"/>
      <c r="GB1863" s="20"/>
      <c r="GC1863" s="20"/>
      <c r="GD1863" s="20"/>
      <c r="GE1863" s="20"/>
      <c r="GF1863" s="20"/>
      <c r="GG1863" s="20"/>
      <c r="GH1863" s="20"/>
      <c r="GI1863" s="20"/>
      <c r="GJ1863" s="20"/>
      <c r="GK1863" s="20"/>
      <c r="GL1863" s="20"/>
      <c r="GM1863" s="20"/>
      <c r="GN1863" s="20"/>
      <c r="GO1863" s="20"/>
      <c r="GP1863" s="20"/>
      <c r="GQ1863" s="20"/>
      <c r="GR1863" s="20"/>
      <c r="GS1863" s="20"/>
      <c r="GT1863" s="20"/>
      <c r="GU1863" s="20"/>
      <c r="GV1863" s="20"/>
      <c r="GW1863" s="20"/>
      <c r="GX1863" s="20"/>
      <c r="GY1863" s="20"/>
      <c r="GZ1863" s="20"/>
      <c r="HA1863" s="20"/>
      <c r="HB1863" s="20"/>
      <c r="HC1863" s="20"/>
      <c r="HD1863" s="20"/>
      <c r="HE1863" s="20"/>
      <c r="HF1863" s="20"/>
      <c r="HG1863" s="20"/>
      <c r="HH1863" s="20"/>
      <c r="HI1863" s="20"/>
      <c r="HJ1863" s="20"/>
      <c r="HK1863" s="20"/>
      <c r="HL1863" s="20"/>
      <c r="HM1863" s="20"/>
      <c r="HN1863" s="20"/>
      <c r="HO1863" s="20"/>
      <c r="HP1863" s="20"/>
      <c r="HQ1863" s="20"/>
      <c r="HR1863" s="20"/>
      <c r="HS1863" s="20"/>
      <c r="HT1863" s="20"/>
      <c r="HU1863" s="20"/>
      <c r="HV1863" s="20"/>
      <c r="HW1863" s="20"/>
      <c r="HX1863" s="20"/>
      <c r="HY1863" s="20"/>
      <c r="HZ1863" s="20"/>
      <c r="IA1863" s="20"/>
      <c r="IB1863" s="20"/>
      <c r="IC1863" s="20"/>
      <c r="ID1863" s="20"/>
      <c r="IE1863" s="20"/>
      <c r="IF1863" s="20"/>
      <c r="IG1863" s="20"/>
      <c r="IH1863" s="20"/>
      <c r="II1863" s="20"/>
      <c r="IJ1863" s="20"/>
      <c r="IK1863" s="20"/>
      <c r="IL1863" s="20"/>
      <c r="IM1863" s="20"/>
      <c r="IN1863" s="20"/>
      <c r="IO1863" s="20"/>
    </row>
    <row r="1864" spans="1:249" ht="66">
      <c r="A1864" s="410"/>
      <c r="B1864" s="409"/>
      <c r="C1864" s="794">
        <v>3</v>
      </c>
      <c r="D1864" s="967" t="s">
        <v>34</v>
      </c>
      <c r="E1864" s="967" t="s">
        <v>78</v>
      </c>
      <c r="F1864" s="967" t="s">
        <v>25</v>
      </c>
      <c r="G1864" s="967">
        <v>31</v>
      </c>
      <c r="H1864" s="410"/>
      <c r="I1864" s="409" t="s">
        <v>1803</v>
      </c>
      <c r="J1864" s="409" t="s">
        <v>3294</v>
      </c>
      <c r="K1864" s="413">
        <v>8100</v>
      </c>
      <c r="L1864" s="1255">
        <v>216000000</v>
      </c>
      <c r="M1864" s="413">
        <v>0</v>
      </c>
      <c r="N1864" s="415">
        <v>0</v>
      </c>
      <c r="O1864" s="413">
        <v>2700</v>
      </c>
      <c r="P1864" s="415">
        <v>62490000</v>
      </c>
      <c r="Q1864" s="413">
        <v>0</v>
      </c>
      <c r="R1864" s="1255">
        <v>0</v>
      </c>
      <c r="S1864" s="410">
        <v>2700</v>
      </c>
      <c r="T1864" s="1257">
        <v>47087750</v>
      </c>
      <c r="U1864" s="413"/>
      <c r="V1864" s="418"/>
      <c r="W1864" s="413"/>
      <c r="X1864" s="1284"/>
      <c r="Y1864" s="409">
        <f t="shared" si="532"/>
        <v>2700</v>
      </c>
      <c r="Z1864" s="414">
        <f t="shared" si="533"/>
        <v>47087750</v>
      </c>
      <c r="AA1864" s="409">
        <f t="shared" si="534"/>
        <v>2700</v>
      </c>
      <c r="AB1864" s="1259">
        <f t="shared" si="535"/>
        <v>47087750</v>
      </c>
      <c r="AC1864" s="1266">
        <f t="shared" si="536"/>
        <v>33.333333333333329</v>
      </c>
      <c r="AD1864" s="1260">
        <f t="shared" si="537"/>
        <v>21.799884259259258</v>
      </c>
      <c r="AE1864" s="102"/>
      <c r="AF1864" s="201"/>
      <c r="AG1864" s="201"/>
      <c r="AH1864" s="201"/>
      <c r="AI1864" s="201"/>
      <c r="AJ1864" s="201"/>
      <c r="AK1864" s="201"/>
      <c r="AL1864" s="201"/>
      <c r="AM1864" s="201"/>
      <c r="AN1864" s="201"/>
      <c r="AO1864" s="201"/>
      <c r="AP1864" s="201"/>
      <c r="AQ1864" s="201"/>
      <c r="AR1864" s="201"/>
      <c r="AS1864" s="201"/>
      <c r="AT1864" s="201"/>
      <c r="AU1864" s="201"/>
      <c r="AV1864" s="201"/>
      <c r="AW1864" s="201"/>
      <c r="AX1864" s="201"/>
      <c r="AY1864" s="201"/>
      <c r="AZ1864" s="201"/>
      <c r="BA1864" s="201"/>
      <c r="BB1864" s="201"/>
      <c r="BC1864" s="20"/>
      <c r="BD1864" s="20"/>
      <c r="BE1864" s="20"/>
      <c r="BF1864" s="20"/>
      <c r="BG1864" s="20"/>
      <c r="BH1864" s="20"/>
      <c r="BI1864" s="20"/>
      <c r="BJ1864" s="20"/>
      <c r="BK1864" s="20"/>
      <c r="BL1864" s="20"/>
      <c r="BM1864" s="20"/>
      <c r="BN1864" s="20"/>
      <c r="BO1864" s="20"/>
      <c r="BP1864" s="20"/>
      <c r="BQ1864" s="20"/>
      <c r="BR1864" s="20"/>
      <c r="BS1864" s="20"/>
      <c r="BT1864" s="20"/>
      <c r="BU1864" s="20"/>
      <c r="BV1864" s="20"/>
      <c r="BW1864" s="20"/>
      <c r="BX1864" s="20"/>
      <c r="BY1864" s="20"/>
      <c r="BZ1864" s="20"/>
      <c r="CA1864" s="20"/>
      <c r="CB1864" s="20"/>
      <c r="CC1864" s="20"/>
      <c r="CD1864" s="20"/>
      <c r="CE1864" s="20"/>
      <c r="CF1864" s="20"/>
      <c r="CG1864" s="20"/>
      <c r="CH1864" s="20"/>
      <c r="CI1864" s="20"/>
      <c r="CJ1864" s="20"/>
      <c r="CK1864" s="20"/>
      <c r="CL1864" s="20"/>
      <c r="CM1864" s="20"/>
      <c r="CN1864" s="20"/>
      <c r="CO1864" s="20"/>
      <c r="CP1864" s="20"/>
      <c r="CQ1864" s="20"/>
      <c r="CR1864" s="20"/>
      <c r="CS1864" s="20"/>
      <c r="CT1864" s="20"/>
      <c r="CU1864" s="20"/>
      <c r="CV1864" s="20"/>
      <c r="CW1864" s="20"/>
      <c r="CX1864" s="20"/>
      <c r="CY1864" s="20"/>
      <c r="CZ1864" s="20"/>
      <c r="DA1864" s="20"/>
      <c r="DB1864" s="20"/>
      <c r="DC1864" s="20"/>
      <c r="DD1864" s="20"/>
      <c r="DE1864" s="20"/>
      <c r="DF1864" s="20"/>
      <c r="DG1864" s="20"/>
      <c r="DH1864" s="20"/>
      <c r="DI1864" s="20"/>
      <c r="DJ1864" s="20"/>
      <c r="DK1864" s="20"/>
      <c r="DL1864" s="20"/>
      <c r="DM1864" s="20"/>
      <c r="DN1864" s="20"/>
      <c r="DO1864" s="20"/>
      <c r="DP1864" s="20"/>
      <c r="DQ1864" s="20"/>
      <c r="DR1864" s="20"/>
      <c r="DS1864" s="20"/>
      <c r="DT1864" s="20"/>
      <c r="DU1864" s="20"/>
      <c r="DV1864" s="20"/>
      <c r="DW1864" s="20"/>
      <c r="DX1864" s="20"/>
      <c r="DY1864" s="20"/>
      <c r="DZ1864" s="20"/>
      <c r="EA1864" s="20"/>
      <c r="EB1864" s="20"/>
      <c r="EC1864" s="20"/>
      <c r="ED1864" s="20"/>
      <c r="EE1864" s="20"/>
      <c r="EF1864" s="20"/>
      <c r="EG1864" s="20"/>
      <c r="EH1864" s="20"/>
      <c r="EI1864" s="20"/>
      <c r="EJ1864" s="20"/>
      <c r="EK1864" s="20"/>
      <c r="EL1864" s="20"/>
      <c r="EM1864" s="20"/>
      <c r="EN1864" s="20"/>
      <c r="EO1864" s="20"/>
      <c r="EP1864" s="20"/>
      <c r="EQ1864" s="20"/>
      <c r="ER1864" s="20"/>
      <c r="ES1864" s="20"/>
      <c r="ET1864" s="20"/>
      <c r="EU1864" s="20"/>
      <c r="EV1864" s="20"/>
      <c r="EW1864" s="20"/>
      <c r="EX1864" s="20"/>
      <c r="EY1864" s="20"/>
      <c r="EZ1864" s="20"/>
      <c r="FA1864" s="20"/>
      <c r="FB1864" s="20"/>
      <c r="FC1864" s="20"/>
      <c r="FD1864" s="20"/>
      <c r="FE1864" s="20"/>
      <c r="FF1864" s="20"/>
      <c r="FG1864" s="20"/>
      <c r="FH1864" s="20"/>
      <c r="FI1864" s="20"/>
      <c r="FJ1864" s="20"/>
      <c r="FK1864" s="20"/>
      <c r="FL1864" s="20"/>
      <c r="FM1864" s="20"/>
      <c r="FN1864" s="20"/>
      <c r="FO1864" s="20"/>
      <c r="FP1864" s="20"/>
      <c r="FQ1864" s="20"/>
      <c r="FR1864" s="20"/>
      <c r="FS1864" s="20"/>
      <c r="FT1864" s="20"/>
      <c r="FU1864" s="20"/>
      <c r="FV1864" s="20"/>
      <c r="FW1864" s="20"/>
      <c r="FX1864" s="20"/>
      <c r="FY1864" s="20"/>
      <c r="FZ1864" s="20"/>
      <c r="GA1864" s="20"/>
      <c r="GB1864" s="20"/>
      <c r="GC1864" s="20"/>
      <c r="GD1864" s="20"/>
      <c r="GE1864" s="20"/>
      <c r="GF1864" s="20"/>
      <c r="GG1864" s="20"/>
      <c r="GH1864" s="20"/>
      <c r="GI1864" s="20"/>
      <c r="GJ1864" s="20"/>
      <c r="GK1864" s="20"/>
      <c r="GL1864" s="20"/>
      <c r="GM1864" s="20"/>
      <c r="GN1864" s="20"/>
      <c r="GO1864" s="20"/>
      <c r="GP1864" s="20"/>
      <c r="GQ1864" s="20"/>
      <c r="GR1864" s="20"/>
      <c r="GS1864" s="20"/>
      <c r="GT1864" s="20"/>
      <c r="GU1864" s="20"/>
      <c r="GV1864" s="20"/>
      <c r="GW1864" s="20"/>
      <c r="GX1864" s="20"/>
      <c r="GY1864" s="20"/>
      <c r="GZ1864" s="20"/>
      <c r="HA1864" s="20"/>
      <c r="HB1864" s="20"/>
      <c r="HC1864" s="20"/>
      <c r="HD1864" s="20"/>
      <c r="HE1864" s="20"/>
      <c r="HF1864" s="20"/>
      <c r="HG1864" s="20"/>
      <c r="HH1864" s="20"/>
      <c r="HI1864" s="20"/>
      <c r="HJ1864" s="20"/>
      <c r="HK1864" s="20"/>
      <c r="HL1864" s="20"/>
      <c r="HM1864" s="20"/>
      <c r="HN1864" s="20"/>
      <c r="HO1864" s="20"/>
      <c r="HP1864" s="20"/>
      <c r="HQ1864" s="20"/>
      <c r="HR1864" s="20"/>
      <c r="HS1864" s="20"/>
      <c r="HT1864" s="20"/>
      <c r="HU1864" s="20"/>
      <c r="HV1864" s="20"/>
      <c r="HW1864" s="20"/>
      <c r="HX1864" s="20"/>
      <c r="HY1864" s="20"/>
      <c r="HZ1864" s="20"/>
      <c r="IA1864" s="20"/>
      <c r="IB1864" s="20"/>
      <c r="IC1864" s="20"/>
      <c r="ID1864" s="20"/>
      <c r="IE1864" s="20"/>
      <c r="IF1864" s="20"/>
      <c r="IG1864" s="20"/>
      <c r="IH1864" s="20"/>
      <c r="II1864" s="20"/>
      <c r="IJ1864" s="20"/>
      <c r="IK1864" s="20"/>
      <c r="IL1864" s="20"/>
      <c r="IM1864" s="20"/>
      <c r="IN1864" s="20"/>
      <c r="IO1864" s="20"/>
    </row>
    <row r="1865" spans="1:249" ht="115.5">
      <c r="A1865" s="410"/>
      <c r="B1865" s="409"/>
      <c r="C1865" s="1253">
        <v>3</v>
      </c>
      <c r="D1865" s="1164" t="s">
        <v>34</v>
      </c>
      <c r="E1865" s="1164" t="s">
        <v>78</v>
      </c>
      <c r="F1865" s="1164" t="s">
        <v>25</v>
      </c>
      <c r="G1865" s="1164">
        <v>31</v>
      </c>
      <c r="H1865" s="410">
        <v>56</v>
      </c>
      <c r="I1865" s="409" t="s">
        <v>1804</v>
      </c>
      <c r="J1865" s="409" t="s">
        <v>1805</v>
      </c>
      <c r="K1865" s="413">
        <v>8340</v>
      </c>
      <c r="L1865" s="1255">
        <v>1057125000</v>
      </c>
      <c r="M1865" s="413">
        <v>1240</v>
      </c>
      <c r="N1865" s="415">
        <v>195259000</v>
      </c>
      <c r="O1865" s="413">
        <v>1600</v>
      </c>
      <c r="P1865" s="415">
        <v>49275000</v>
      </c>
      <c r="Q1865" s="413">
        <v>0</v>
      </c>
      <c r="R1865" s="1267">
        <v>12623400</v>
      </c>
      <c r="S1865" s="410">
        <v>90</v>
      </c>
      <c r="T1865" s="1257">
        <v>8243900</v>
      </c>
      <c r="U1865" s="413"/>
      <c r="V1865" s="418"/>
      <c r="W1865" s="413"/>
      <c r="X1865" s="1284"/>
      <c r="Y1865" s="409">
        <f t="shared" si="532"/>
        <v>90</v>
      </c>
      <c r="Z1865" s="414">
        <f t="shared" si="533"/>
        <v>20867300</v>
      </c>
      <c r="AA1865" s="409">
        <f t="shared" si="534"/>
        <v>1330</v>
      </c>
      <c r="AB1865" s="1259">
        <f t="shared" si="535"/>
        <v>216126300</v>
      </c>
      <c r="AC1865" s="1266">
        <f t="shared" si="536"/>
        <v>15.947242206235012</v>
      </c>
      <c r="AD1865" s="1260">
        <f t="shared" si="537"/>
        <v>20.444725079815537</v>
      </c>
      <c r="AE1865" s="102"/>
      <c r="AF1865" s="201"/>
      <c r="AG1865" s="201"/>
      <c r="AH1865" s="201"/>
      <c r="AI1865" s="201"/>
      <c r="AJ1865" s="201"/>
      <c r="AK1865" s="201"/>
      <c r="AL1865" s="201"/>
      <c r="AM1865" s="201"/>
      <c r="AN1865" s="201"/>
      <c r="AO1865" s="201"/>
      <c r="AP1865" s="201"/>
      <c r="AQ1865" s="201"/>
      <c r="AR1865" s="201"/>
      <c r="AS1865" s="201"/>
      <c r="AT1865" s="201"/>
      <c r="AU1865" s="201"/>
      <c r="AV1865" s="201"/>
      <c r="AW1865" s="201"/>
      <c r="AX1865" s="201"/>
      <c r="AY1865" s="201"/>
      <c r="AZ1865" s="201"/>
      <c r="BA1865" s="201"/>
      <c r="BB1865" s="201"/>
      <c r="BC1865" s="20"/>
      <c r="BD1865" s="20"/>
      <c r="BE1865" s="20"/>
      <c r="BF1865" s="20"/>
      <c r="BG1865" s="20"/>
      <c r="BH1865" s="20"/>
      <c r="BI1865" s="20"/>
      <c r="BJ1865" s="20"/>
      <c r="BK1865" s="20"/>
      <c r="BL1865" s="20"/>
      <c r="BM1865" s="20"/>
      <c r="BN1865" s="20"/>
      <c r="BO1865" s="20"/>
      <c r="BP1865" s="20"/>
      <c r="BQ1865" s="20"/>
      <c r="BR1865" s="20"/>
      <c r="BS1865" s="20"/>
      <c r="BT1865" s="20"/>
      <c r="BU1865" s="20"/>
      <c r="BV1865" s="20"/>
      <c r="BW1865" s="20"/>
      <c r="BX1865" s="20"/>
      <c r="BY1865" s="20"/>
      <c r="BZ1865" s="20"/>
      <c r="CA1865" s="20"/>
      <c r="CB1865" s="20"/>
      <c r="CC1865" s="20"/>
      <c r="CD1865" s="20"/>
      <c r="CE1865" s="20"/>
      <c r="CF1865" s="20"/>
      <c r="CG1865" s="20"/>
      <c r="CH1865" s="20"/>
      <c r="CI1865" s="20"/>
      <c r="CJ1865" s="20"/>
      <c r="CK1865" s="20"/>
      <c r="CL1865" s="20"/>
      <c r="CM1865" s="20"/>
      <c r="CN1865" s="20"/>
      <c r="CO1865" s="20"/>
      <c r="CP1865" s="20"/>
      <c r="CQ1865" s="20"/>
      <c r="CR1865" s="20"/>
      <c r="CS1865" s="20"/>
      <c r="CT1865" s="20"/>
      <c r="CU1865" s="20"/>
      <c r="CV1865" s="20"/>
      <c r="CW1865" s="20"/>
      <c r="CX1865" s="20"/>
      <c r="CY1865" s="20"/>
      <c r="CZ1865" s="20"/>
      <c r="DA1865" s="20"/>
      <c r="DB1865" s="20"/>
      <c r="DC1865" s="20"/>
      <c r="DD1865" s="20"/>
      <c r="DE1865" s="20"/>
      <c r="DF1865" s="20"/>
      <c r="DG1865" s="20"/>
      <c r="DH1865" s="20"/>
      <c r="DI1865" s="20"/>
      <c r="DJ1865" s="20"/>
      <c r="DK1865" s="20"/>
      <c r="DL1865" s="20"/>
      <c r="DM1865" s="20"/>
      <c r="DN1865" s="20"/>
      <c r="DO1865" s="20"/>
      <c r="DP1865" s="20"/>
      <c r="DQ1865" s="20"/>
      <c r="DR1865" s="20"/>
      <c r="DS1865" s="20"/>
      <c r="DT1865" s="20"/>
      <c r="DU1865" s="20"/>
      <c r="DV1865" s="20"/>
      <c r="DW1865" s="20"/>
      <c r="DX1865" s="20"/>
      <c r="DY1865" s="20"/>
      <c r="DZ1865" s="20"/>
      <c r="EA1865" s="20"/>
      <c r="EB1865" s="20"/>
      <c r="EC1865" s="20"/>
      <c r="ED1865" s="20"/>
      <c r="EE1865" s="20"/>
      <c r="EF1865" s="20"/>
      <c r="EG1865" s="20"/>
      <c r="EH1865" s="20"/>
      <c r="EI1865" s="20"/>
      <c r="EJ1865" s="20"/>
      <c r="EK1865" s="20"/>
      <c r="EL1865" s="20"/>
      <c r="EM1865" s="20"/>
      <c r="EN1865" s="20"/>
      <c r="EO1865" s="20"/>
      <c r="EP1865" s="20"/>
      <c r="EQ1865" s="20"/>
      <c r="ER1865" s="20"/>
      <c r="ES1865" s="20"/>
      <c r="ET1865" s="20"/>
      <c r="EU1865" s="20"/>
      <c r="EV1865" s="20"/>
      <c r="EW1865" s="20"/>
      <c r="EX1865" s="20"/>
      <c r="EY1865" s="20"/>
      <c r="EZ1865" s="20"/>
      <c r="FA1865" s="20"/>
      <c r="FB1865" s="20"/>
      <c r="FC1865" s="20"/>
      <c r="FD1865" s="20"/>
      <c r="FE1865" s="20"/>
      <c r="FF1865" s="20"/>
      <c r="FG1865" s="20"/>
      <c r="FH1865" s="20"/>
      <c r="FI1865" s="20"/>
      <c r="FJ1865" s="20"/>
      <c r="FK1865" s="20"/>
      <c r="FL1865" s="20"/>
      <c r="FM1865" s="20"/>
      <c r="FN1865" s="20"/>
      <c r="FO1865" s="20"/>
      <c r="FP1865" s="20"/>
      <c r="FQ1865" s="20"/>
      <c r="FR1865" s="20"/>
      <c r="FS1865" s="20"/>
      <c r="FT1865" s="20"/>
      <c r="FU1865" s="20"/>
      <c r="FV1865" s="20"/>
      <c r="FW1865" s="20"/>
      <c r="FX1865" s="20"/>
      <c r="FY1865" s="20"/>
      <c r="FZ1865" s="20"/>
      <c r="GA1865" s="20"/>
      <c r="GB1865" s="20"/>
      <c r="GC1865" s="20"/>
      <c r="GD1865" s="20"/>
      <c r="GE1865" s="20"/>
      <c r="GF1865" s="20"/>
      <c r="GG1865" s="20"/>
      <c r="GH1865" s="20"/>
      <c r="GI1865" s="20"/>
      <c r="GJ1865" s="20"/>
      <c r="GK1865" s="20"/>
      <c r="GL1865" s="20"/>
      <c r="GM1865" s="20"/>
      <c r="GN1865" s="20"/>
      <c r="GO1865" s="20"/>
      <c r="GP1865" s="20"/>
      <c r="GQ1865" s="20"/>
      <c r="GR1865" s="20"/>
      <c r="GS1865" s="20"/>
      <c r="GT1865" s="20"/>
      <c r="GU1865" s="20"/>
      <c r="GV1865" s="20"/>
      <c r="GW1865" s="20"/>
      <c r="GX1865" s="20"/>
      <c r="GY1865" s="20"/>
      <c r="GZ1865" s="20"/>
      <c r="HA1865" s="20"/>
      <c r="HB1865" s="20"/>
      <c r="HC1865" s="20"/>
      <c r="HD1865" s="20"/>
      <c r="HE1865" s="20"/>
      <c r="HF1865" s="20"/>
      <c r="HG1865" s="20"/>
      <c r="HH1865" s="20"/>
      <c r="HI1865" s="20"/>
      <c r="HJ1865" s="20"/>
      <c r="HK1865" s="20"/>
      <c r="HL1865" s="20"/>
      <c r="HM1865" s="20"/>
      <c r="HN1865" s="20"/>
      <c r="HO1865" s="20"/>
      <c r="HP1865" s="20"/>
      <c r="HQ1865" s="20"/>
      <c r="HR1865" s="20"/>
      <c r="HS1865" s="20"/>
      <c r="HT1865" s="20"/>
      <c r="HU1865" s="20"/>
      <c r="HV1865" s="20"/>
      <c r="HW1865" s="20"/>
      <c r="HX1865" s="20"/>
      <c r="HY1865" s="20"/>
      <c r="HZ1865" s="20"/>
      <c r="IA1865" s="20"/>
      <c r="IB1865" s="20"/>
      <c r="IC1865" s="20"/>
      <c r="ID1865" s="20"/>
      <c r="IE1865" s="20"/>
      <c r="IF1865" s="20"/>
      <c r="IG1865" s="20"/>
      <c r="IH1865" s="20"/>
      <c r="II1865" s="20"/>
      <c r="IJ1865" s="20"/>
      <c r="IK1865" s="20"/>
      <c r="IL1865" s="20"/>
      <c r="IM1865" s="20"/>
      <c r="IN1865" s="20"/>
      <c r="IO1865" s="20"/>
    </row>
    <row r="1866" spans="1:249" ht="99">
      <c r="A1866" s="410"/>
      <c r="B1866" s="409"/>
      <c r="C1866" s="1253">
        <v>3</v>
      </c>
      <c r="D1866" s="1164" t="s">
        <v>34</v>
      </c>
      <c r="E1866" s="1164" t="s">
        <v>78</v>
      </c>
      <c r="F1866" s="1164" t="s">
        <v>25</v>
      </c>
      <c r="G1866" s="1164">
        <v>31</v>
      </c>
      <c r="H1866" s="410">
        <v>37</v>
      </c>
      <c r="I1866" s="409" t="s">
        <v>1806</v>
      </c>
      <c r="J1866" s="409" t="s">
        <v>1807</v>
      </c>
      <c r="K1866" s="413">
        <v>1257</v>
      </c>
      <c r="L1866" s="1255">
        <v>473851000</v>
      </c>
      <c r="M1866" s="413">
        <v>208</v>
      </c>
      <c r="N1866" s="415">
        <v>83148000</v>
      </c>
      <c r="O1866" s="413">
        <v>433</v>
      </c>
      <c r="P1866" s="415">
        <v>20975000</v>
      </c>
      <c r="Q1866" s="413">
        <v>119</v>
      </c>
      <c r="R1866" s="1255">
        <v>0</v>
      </c>
      <c r="S1866" s="410">
        <v>52</v>
      </c>
      <c r="T1866" s="1257">
        <v>9475000</v>
      </c>
      <c r="U1866" s="413"/>
      <c r="V1866" s="418"/>
      <c r="W1866" s="413"/>
      <c r="X1866" s="1284"/>
      <c r="Y1866" s="409">
        <f t="shared" si="532"/>
        <v>171</v>
      </c>
      <c r="Z1866" s="414">
        <f t="shared" si="533"/>
        <v>9475000</v>
      </c>
      <c r="AA1866" s="409">
        <f t="shared" si="534"/>
        <v>379</v>
      </c>
      <c r="AB1866" s="1259">
        <f t="shared" si="535"/>
        <v>92623000</v>
      </c>
      <c r="AC1866" s="1260">
        <f t="shared" si="536"/>
        <v>30.15115354017502</v>
      </c>
      <c r="AD1866" s="1260">
        <f t="shared" si="537"/>
        <v>19.546861777225331</v>
      </c>
      <c r="AE1866" s="102"/>
      <c r="AF1866" s="201"/>
      <c r="AG1866" s="201"/>
      <c r="AH1866" s="201"/>
      <c r="AI1866" s="201"/>
      <c r="AJ1866" s="201"/>
      <c r="AK1866" s="201"/>
      <c r="AL1866" s="201"/>
      <c r="AM1866" s="201"/>
      <c r="AN1866" s="201"/>
      <c r="AO1866" s="201"/>
      <c r="AP1866" s="201"/>
      <c r="AQ1866" s="201"/>
      <c r="AR1866" s="201"/>
      <c r="AS1866" s="201"/>
      <c r="AT1866" s="201"/>
      <c r="AU1866" s="201"/>
      <c r="AV1866" s="201"/>
      <c r="AW1866" s="201"/>
      <c r="AX1866" s="201"/>
      <c r="AY1866" s="201"/>
      <c r="AZ1866" s="201"/>
      <c r="BA1866" s="201"/>
      <c r="BB1866" s="201"/>
      <c r="BC1866" s="20"/>
      <c r="BD1866" s="20"/>
      <c r="BE1866" s="20"/>
      <c r="BF1866" s="20"/>
      <c r="BG1866" s="20"/>
      <c r="BH1866" s="20"/>
      <c r="BI1866" s="20"/>
      <c r="BJ1866" s="20"/>
      <c r="BK1866" s="20"/>
      <c r="BL1866" s="20"/>
      <c r="BM1866" s="20"/>
      <c r="BN1866" s="20"/>
      <c r="BO1866" s="20"/>
      <c r="BP1866" s="20"/>
      <c r="BQ1866" s="20"/>
      <c r="BR1866" s="20"/>
      <c r="BS1866" s="20"/>
      <c r="BT1866" s="20"/>
      <c r="BU1866" s="20"/>
      <c r="BV1866" s="20"/>
      <c r="BW1866" s="20"/>
      <c r="BX1866" s="20"/>
      <c r="BY1866" s="20"/>
      <c r="BZ1866" s="20"/>
      <c r="CA1866" s="20"/>
      <c r="CB1866" s="20"/>
      <c r="CC1866" s="20"/>
      <c r="CD1866" s="20"/>
      <c r="CE1866" s="20"/>
      <c r="CF1866" s="20"/>
      <c r="CG1866" s="20"/>
      <c r="CH1866" s="20"/>
      <c r="CI1866" s="20"/>
      <c r="CJ1866" s="20"/>
      <c r="CK1866" s="20"/>
      <c r="CL1866" s="20"/>
      <c r="CM1866" s="20"/>
      <c r="CN1866" s="20"/>
      <c r="CO1866" s="20"/>
      <c r="CP1866" s="20"/>
      <c r="CQ1866" s="20"/>
      <c r="CR1866" s="20"/>
      <c r="CS1866" s="20"/>
      <c r="CT1866" s="20"/>
      <c r="CU1866" s="20"/>
      <c r="CV1866" s="20"/>
      <c r="CW1866" s="20"/>
      <c r="CX1866" s="20"/>
      <c r="CY1866" s="20"/>
      <c r="CZ1866" s="20"/>
      <c r="DA1866" s="20"/>
      <c r="DB1866" s="20"/>
      <c r="DC1866" s="20"/>
      <c r="DD1866" s="20"/>
      <c r="DE1866" s="20"/>
      <c r="DF1866" s="20"/>
      <c r="DG1866" s="20"/>
      <c r="DH1866" s="20"/>
      <c r="DI1866" s="20"/>
      <c r="DJ1866" s="20"/>
      <c r="DK1866" s="20"/>
      <c r="DL1866" s="20"/>
      <c r="DM1866" s="20"/>
      <c r="DN1866" s="20"/>
      <c r="DO1866" s="20"/>
      <c r="DP1866" s="20"/>
      <c r="DQ1866" s="20"/>
      <c r="DR1866" s="20"/>
      <c r="DS1866" s="20"/>
      <c r="DT1866" s="20"/>
      <c r="DU1866" s="20"/>
      <c r="DV1866" s="20"/>
      <c r="DW1866" s="20"/>
      <c r="DX1866" s="20"/>
      <c r="DY1866" s="20"/>
      <c r="DZ1866" s="20"/>
      <c r="EA1866" s="20"/>
      <c r="EB1866" s="20"/>
      <c r="EC1866" s="20"/>
      <c r="ED1866" s="20"/>
      <c r="EE1866" s="20"/>
      <c r="EF1866" s="20"/>
      <c r="EG1866" s="20"/>
      <c r="EH1866" s="20"/>
      <c r="EI1866" s="20"/>
      <c r="EJ1866" s="20"/>
      <c r="EK1866" s="20"/>
      <c r="EL1866" s="20"/>
      <c r="EM1866" s="20"/>
      <c r="EN1866" s="20"/>
      <c r="EO1866" s="20"/>
      <c r="EP1866" s="20"/>
      <c r="EQ1866" s="20"/>
      <c r="ER1866" s="20"/>
      <c r="ES1866" s="20"/>
      <c r="ET1866" s="20"/>
      <c r="EU1866" s="20"/>
      <c r="EV1866" s="20"/>
      <c r="EW1866" s="20"/>
      <c r="EX1866" s="20"/>
      <c r="EY1866" s="20"/>
      <c r="EZ1866" s="20"/>
      <c r="FA1866" s="20"/>
      <c r="FB1866" s="20"/>
      <c r="FC1866" s="20"/>
      <c r="FD1866" s="20"/>
      <c r="FE1866" s="20"/>
      <c r="FF1866" s="20"/>
      <c r="FG1866" s="20"/>
      <c r="FH1866" s="20"/>
      <c r="FI1866" s="20"/>
      <c r="FJ1866" s="20"/>
      <c r="FK1866" s="20"/>
      <c r="FL1866" s="20"/>
      <c r="FM1866" s="20"/>
      <c r="FN1866" s="20"/>
      <c r="FO1866" s="20"/>
      <c r="FP1866" s="20"/>
      <c r="FQ1866" s="20"/>
      <c r="FR1866" s="20"/>
      <c r="FS1866" s="20"/>
      <c r="FT1866" s="20"/>
      <c r="FU1866" s="20"/>
      <c r="FV1866" s="20"/>
      <c r="FW1866" s="20"/>
      <c r="FX1866" s="20"/>
      <c r="FY1866" s="20"/>
      <c r="FZ1866" s="20"/>
      <c r="GA1866" s="20"/>
      <c r="GB1866" s="20"/>
      <c r="GC1866" s="20"/>
      <c r="GD1866" s="20"/>
      <c r="GE1866" s="20"/>
      <c r="GF1866" s="20"/>
      <c r="GG1866" s="20"/>
      <c r="GH1866" s="20"/>
      <c r="GI1866" s="20"/>
      <c r="GJ1866" s="20"/>
      <c r="GK1866" s="20"/>
      <c r="GL1866" s="20"/>
      <c r="GM1866" s="20"/>
      <c r="GN1866" s="20"/>
      <c r="GO1866" s="20"/>
      <c r="GP1866" s="20"/>
      <c r="GQ1866" s="20"/>
      <c r="GR1866" s="20"/>
      <c r="GS1866" s="20"/>
      <c r="GT1866" s="20"/>
      <c r="GU1866" s="20"/>
      <c r="GV1866" s="20"/>
      <c r="GW1866" s="20"/>
      <c r="GX1866" s="20"/>
      <c r="GY1866" s="20"/>
      <c r="GZ1866" s="20"/>
      <c r="HA1866" s="20"/>
      <c r="HB1866" s="20"/>
      <c r="HC1866" s="20"/>
      <c r="HD1866" s="20"/>
      <c r="HE1866" s="20"/>
      <c r="HF1866" s="20"/>
      <c r="HG1866" s="20"/>
      <c r="HH1866" s="20"/>
      <c r="HI1866" s="20"/>
      <c r="HJ1866" s="20"/>
      <c r="HK1866" s="20"/>
      <c r="HL1866" s="20"/>
      <c r="HM1866" s="20"/>
      <c r="HN1866" s="20"/>
      <c r="HO1866" s="20"/>
      <c r="HP1866" s="20"/>
      <c r="HQ1866" s="20"/>
      <c r="HR1866" s="20"/>
      <c r="HS1866" s="20"/>
      <c r="HT1866" s="20"/>
      <c r="HU1866" s="20"/>
      <c r="HV1866" s="20"/>
      <c r="HW1866" s="20"/>
      <c r="HX1866" s="20"/>
      <c r="HY1866" s="20"/>
      <c r="HZ1866" s="20"/>
      <c r="IA1866" s="20"/>
      <c r="IB1866" s="20"/>
      <c r="IC1866" s="20"/>
      <c r="ID1866" s="20"/>
      <c r="IE1866" s="20"/>
      <c r="IF1866" s="20"/>
      <c r="IG1866" s="20"/>
      <c r="IH1866" s="20"/>
      <c r="II1866" s="20"/>
      <c r="IJ1866" s="20"/>
      <c r="IK1866" s="20"/>
      <c r="IL1866" s="20"/>
      <c r="IM1866" s="20"/>
      <c r="IN1866" s="20"/>
      <c r="IO1866" s="20"/>
    </row>
    <row r="1867" spans="1:249" ht="82.5">
      <c r="A1867" s="410"/>
      <c r="B1867" s="409"/>
      <c r="C1867" s="1253">
        <v>3</v>
      </c>
      <c r="D1867" s="1164" t="s">
        <v>34</v>
      </c>
      <c r="E1867" s="1164" t="s">
        <v>78</v>
      </c>
      <c r="F1867" s="1164" t="s">
        <v>25</v>
      </c>
      <c r="G1867" s="1164">
        <v>31</v>
      </c>
      <c r="H1867" s="1254">
        <v>22</v>
      </c>
      <c r="I1867" s="409" t="s">
        <v>3295</v>
      </c>
      <c r="J1867" s="409" t="s">
        <v>1808</v>
      </c>
      <c r="K1867" s="413">
        <f>462+448+300+300+300+300</f>
        <v>2110</v>
      </c>
      <c r="L1867" s="1255">
        <v>225596000</v>
      </c>
      <c r="M1867" s="413">
        <v>448</v>
      </c>
      <c r="N1867" s="415">
        <v>48135000</v>
      </c>
      <c r="O1867" s="413">
        <v>200</v>
      </c>
      <c r="P1867" s="415">
        <v>22075000</v>
      </c>
      <c r="Q1867" s="1195">
        <v>0</v>
      </c>
      <c r="R1867" s="1255">
        <v>4508200</v>
      </c>
      <c r="S1867" s="410">
        <v>100</v>
      </c>
      <c r="T1867" s="1257">
        <v>3245000</v>
      </c>
      <c r="U1867" s="413"/>
      <c r="V1867" s="418"/>
      <c r="W1867" s="413"/>
      <c r="X1867" s="1284"/>
      <c r="Y1867" s="409">
        <f t="shared" si="532"/>
        <v>100</v>
      </c>
      <c r="Z1867" s="414">
        <f t="shared" si="533"/>
        <v>7753200</v>
      </c>
      <c r="AA1867" s="409">
        <f t="shared" si="534"/>
        <v>548</v>
      </c>
      <c r="AB1867" s="1259">
        <f t="shared" si="535"/>
        <v>55888200</v>
      </c>
      <c r="AC1867" s="1260">
        <f t="shared" si="536"/>
        <v>25.971563981042657</v>
      </c>
      <c r="AD1867" s="1260">
        <f t="shared" si="537"/>
        <v>24.773577545701166</v>
      </c>
      <c r="AE1867" s="102"/>
      <c r="AF1867" s="201"/>
      <c r="AG1867" s="201"/>
      <c r="AH1867" s="201"/>
      <c r="AI1867" s="201"/>
      <c r="AJ1867" s="201"/>
      <c r="AK1867" s="201"/>
      <c r="AL1867" s="201"/>
      <c r="AM1867" s="201"/>
      <c r="AN1867" s="201"/>
      <c r="AO1867" s="201"/>
      <c r="AP1867" s="201"/>
      <c r="AQ1867" s="201"/>
      <c r="AR1867" s="201"/>
      <c r="AS1867" s="201"/>
      <c r="AT1867" s="201"/>
      <c r="AU1867" s="201"/>
      <c r="AV1867" s="201"/>
      <c r="AW1867" s="201"/>
      <c r="AX1867" s="201"/>
      <c r="AY1867" s="201"/>
      <c r="AZ1867" s="201"/>
      <c r="BA1867" s="201"/>
      <c r="BB1867" s="201"/>
      <c r="BC1867" s="20"/>
      <c r="BD1867" s="20"/>
      <c r="BE1867" s="20"/>
      <c r="BF1867" s="20"/>
      <c r="BG1867" s="20"/>
      <c r="BH1867" s="20"/>
      <c r="BI1867" s="20"/>
      <c r="BJ1867" s="20"/>
      <c r="BK1867" s="20"/>
      <c r="BL1867" s="20"/>
      <c r="BM1867" s="20"/>
      <c r="BN1867" s="20"/>
      <c r="BO1867" s="20"/>
      <c r="BP1867" s="20"/>
      <c r="BQ1867" s="20"/>
      <c r="BR1867" s="20"/>
      <c r="BS1867" s="20"/>
      <c r="BT1867" s="20"/>
      <c r="BU1867" s="20"/>
      <c r="BV1867" s="20"/>
      <c r="BW1867" s="20"/>
      <c r="BX1867" s="20"/>
      <c r="BY1867" s="20"/>
      <c r="BZ1867" s="20"/>
      <c r="CA1867" s="20"/>
      <c r="CB1867" s="20"/>
      <c r="CC1867" s="20"/>
      <c r="CD1867" s="20"/>
      <c r="CE1867" s="20"/>
      <c r="CF1867" s="20"/>
      <c r="CG1867" s="20"/>
      <c r="CH1867" s="20"/>
      <c r="CI1867" s="20"/>
      <c r="CJ1867" s="20"/>
      <c r="CK1867" s="20"/>
      <c r="CL1867" s="20"/>
      <c r="CM1867" s="20"/>
      <c r="CN1867" s="20"/>
      <c r="CO1867" s="20"/>
      <c r="CP1867" s="20"/>
      <c r="CQ1867" s="20"/>
      <c r="CR1867" s="20"/>
      <c r="CS1867" s="20"/>
      <c r="CT1867" s="20"/>
      <c r="CU1867" s="20"/>
      <c r="CV1867" s="20"/>
      <c r="CW1867" s="20"/>
      <c r="CX1867" s="20"/>
      <c r="CY1867" s="20"/>
      <c r="CZ1867" s="20"/>
      <c r="DA1867" s="20"/>
      <c r="DB1867" s="20"/>
      <c r="DC1867" s="20"/>
      <c r="DD1867" s="20"/>
      <c r="DE1867" s="20"/>
      <c r="DF1867" s="20"/>
      <c r="DG1867" s="20"/>
      <c r="DH1867" s="20"/>
      <c r="DI1867" s="20"/>
      <c r="DJ1867" s="20"/>
      <c r="DK1867" s="20"/>
      <c r="DL1867" s="20"/>
      <c r="DM1867" s="20"/>
      <c r="DN1867" s="20"/>
      <c r="DO1867" s="20"/>
      <c r="DP1867" s="20"/>
      <c r="DQ1867" s="20"/>
      <c r="DR1867" s="20"/>
      <c r="DS1867" s="20"/>
      <c r="DT1867" s="20"/>
      <c r="DU1867" s="20"/>
      <c r="DV1867" s="20"/>
      <c r="DW1867" s="20"/>
      <c r="DX1867" s="20"/>
      <c r="DY1867" s="20"/>
      <c r="DZ1867" s="20"/>
      <c r="EA1867" s="20"/>
      <c r="EB1867" s="20"/>
      <c r="EC1867" s="20"/>
      <c r="ED1867" s="20"/>
      <c r="EE1867" s="20"/>
      <c r="EF1867" s="20"/>
      <c r="EG1867" s="20"/>
      <c r="EH1867" s="20"/>
      <c r="EI1867" s="20"/>
      <c r="EJ1867" s="20"/>
      <c r="EK1867" s="20"/>
      <c r="EL1867" s="20"/>
      <c r="EM1867" s="20"/>
      <c r="EN1867" s="20"/>
      <c r="EO1867" s="20"/>
      <c r="EP1867" s="20"/>
      <c r="EQ1867" s="20"/>
      <c r="ER1867" s="20"/>
      <c r="ES1867" s="20"/>
      <c r="ET1867" s="20"/>
      <c r="EU1867" s="20"/>
      <c r="EV1867" s="20"/>
      <c r="EW1867" s="20"/>
      <c r="EX1867" s="20"/>
      <c r="EY1867" s="20"/>
      <c r="EZ1867" s="20"/>
      <c r="FA1867" s="20"/>
      <c r="FB1867" s="20"/>
      <c r="FC1867" s="20"/>
      <c r="FD1867" s="20"/>
      <c r="FE1867" s="20"/>
      <c r="FF1867" s="20"/>
      <c r="FG1867" s="20"/>
      <c r="FH1867" s="20"/>
      <c r="FI1867" s="20"/>
      <c r="FJ1867" s="20"/>
      <c r="FK1867" s="20"/>
      <c r="FL1867" s="20"/>
      <c r="FM1867" s="20"/>
      <c r="FN1867" s="20"/>
      <c r="FO1867" s="20"/>
      <c r="FP1867" s="20"/>
      <c r="FQ1867" s="20"/>
      <c r="FR1867" s="20"/>
      <c r="FS1867" s="20"/>
      <c r="FT1867" s="20"/>
      <c r="FU1867" s="20"/>
      <c r="FV1867" s="20"/>
      <c r="FW1867" s="20"/>
      <c r="FX1867" s="20"/>
      <c r="FY1867" s="20"/>
      <c r="FZ1867" s="20"/>
      <c r="GA1867" s="20"/>
      <c r="GB1867" s="20"/>
      <c r="GC1867" s="20"/>
      <c r="GD1867" s="20"/>
      <c r="GE1867" s="20"/>
      <c r="GF1867" s="20"/>
      <c r="GG1867" s="20"/>
      <c r="GH1867" s="20"/>
      <c r="GI1867" s="20"/>
      <c r="GJ1867" s="20"/>
      <c r="GK1867" s="20"/>
      <c r="GL1867" s="20"/>
      <c r="GM1867" s="20"/>
      <c r="GN1867" s="20"/>
      <c r="GO1867" s="20"/>
      <c r="GP1867" s="20"/>
      <c r="GQ1867" s="20"/>
      <c r="GR1867" s="20"/>
      <c r="GS1867" s="20"/>
      <c r="GT1867" s="20"/>
      <c r="GU1867" s="20"/>
      <c r="GV1867" s="20"/>
      <c r="GW1867" s="20"/>
      <c r="GX1867" s="20"/>
      <c r="GY1867" s="20"/>
      <c r="GZ1867" s="20"/>
      <c r="HA1867" s="20"/>
      <c r="HB1867" s="20"/>
      <c r="HC1867" s="20"/>
      <c r="HD1867" s="20"/>
      <c r="HE1867" s="20"/>
      <c r="HF1867" s="20"/>
      <c r="HG1867" s="20"/>
      <c r="HH1867" s="20"/>
      <c r="HI1867" s="20"/>
      <c r="HJ1867" s="20"/>
      <c r="HK1867" s="20"/>
      <c r="HL1867" s="20"/>
      <c r="HM1867" s="20"/>
      <c r="HN1867" s="20"/>
      <c r="HO1867" s="20"/>
      <c r="HP1867" s="20"/>
      <c r="HQ1867" s="20"/>
      <c r="HR1867" s="20"/>
      <c r="HS1867" s="20"/>
      <c r="HT1867" s="20"/>
      <c r="HU1867" s="20"/>
      <c r="HV1867" s="20"/>
      <c r="HW1867" s="20"/>
      <c r="HX1867" s="20"/>
      <c r="HY1867" s="20"/>
      <c r="HZ1867" s="20"/>
      <c r="IA1867" s="20"/>
      <c r="IB1867" s="20"/>
      <c r="IC1867" s="20"/>
      <c r="ID1867" s="20"/>
      <c r="IE1867" s="20"/>
      <c r="IF1867" s="20"/>
      <c r="IG1867" s="20"/>
      <c r="IH1867" s="20"/>
      <c r="II1867" s="20"/>
      <c r="IJ1867" s="20"/>
      <c r="IK1867" s="20"/>
      <c r="IL1867" s="20"/>
      <c r="IM1867" s="20"/>
      <c r="IN1867" s="20"/>
      <c r="IO1867" s="20"/>
    </row>
    <row r="1868" spans="1:249" s="1288" customFormat="1" ht="49.5">
      <c r="A1868" s="678"/>
      <c r="B1868" s="3"/>
      <c r="C1868" s="794">
        <v>3</v>
      </c>
      <c r="D1868" s="967" t="s">
        <v>34</v>
      </c>
      <c r="E1868" s="967" t="s">
        <v>78</v>
      </c>
      <c r="F1868" s="967" t="s">
        <v>25</v>
      </c>
      <c r="G1868" s="967">
        <v>31</v>
      </c>
      <c r="H1868" s="677">
        <v>60</v>
      </c>
      <c r="I1868" s="3" t="s">
        <v>1814</v>
      </c>
      <c r="J1868" s="3" t="s">
        <v>3296</v>
      </c>
      <c r="K1868" s="412">
        <v>100</v>
      </c>
      <c r="L1868" s="679">
        <f>2*P1868</f>
        <v>54930000</v>
      </c>
      <c r="M1868" s="412">
        <v>0</v>
      </c>
      <c r="N1868" s="1893">
        <v>0</v>
      </c>
      <c r="O1868" s="412">
        <v>50</v>
      </c>
      <c r="P1868" s="1893">
        <v>27465000</v>
      </c>
      <c r="Q1868" s="1073">
        <v>0</v>
      </c>
      <c r="R1868" s="679">
        <v>0</v>
      </c>
      <c r="S1868" s="678">
        <v>50</v>
      </c>
      <c r="T1868" s="683">
        <v>22988845</v>
      </c>
      <c r="U1868" s="412"/>
      <c r="V1868" s="1894"/>
      <c r="W1868" s="412"/>
      <c r="X1868" s="1895"/>
      <c r="Y1868" s="3">
        <f t="shared" si="532"/>
        <v>50</v>
      </c>
      <c r="Z1868" s="1896">
        <f t="shared" si="533"/>
        <v>22988845</v>
      </c>
      <c r="AA1868" s="3">
        <f t="shared" si="534"/>
        <v>50</v>
      </c>
      <c r="AB1868" s="684">
        <f t="shared" si="535"/>
        <v>22988845</v>
      </c>
      <c r="AC1868" s="731">
        <f t="shared" si="536"/>
        <v>50</v>
      </c>
      <c r="AD1868" s="731">
        <f t="shared" si="537"/>
        <v>41.851165119242673</v>
      </c>
      <c r="AE1868" s="102"/>
      <c r="AF1868" s="201"/>
      <c r="AG1868" s="201"/>
      <c r="AH1868" s="201"/>
      <c r="AI1868" s="201"/>
      <c r="AJ1868" s="201"/>
      <c r="AK1868" s="201"/>
      <c r="AL1868" s="201"/>
      <c r="AM1868" s="201"/>
      <c r="AN1868" s="201"/>
      <c r="AO1868" s="201"/>
      <c r="AP1868" s="201"/>
      <c r="AQ1868" s="201"/>
      <c r="AR1868" s="201"/>
      <c r="AS1868" s="201"/>
      <c r="AT1868" s="201"/>
      <c r="AU1868" s="201"/>
      <c r="AV1868" s="201"/>
      <c r="AW1868" s="201"/>
      <c r="AX1868" s="201"/>
      <c r="AY1868" s="201"/>
      <c r="AZ1868" s="201"/>
      <c r="BA1868" s="201"/>
      <c r="BB1868" s="201"/>
      <c r="BC1868" s="20"/>
      <c r="BD1868" s="20"/>
      <c r="BE1868" s="20"/>
      <c r="BF1868" s="20"/>
      <c r="BG1868" s="20"/>
      <c r="BH1868" s="20"/>
      <c r="BI1868" s="20"/>
      <c r="BJ1868" s="20"/>
      <c r="BK1868" s="20"/>
      <c r="BL1868" s="20"/>
      <c r="BM1868" s="20"/>
      <c r="BN1868" s="20"/>
      <c r="BO1868" s="20"/>
      <c r="BP1868" s="20"/>
      <c r="BQ1868" s="20"/>
      <c r="BR1868" s="20"/>
      <c r="BS1868" s="20"/>
      <c r="BT1868" s="20"/>
      <c r="BU1868" s="20"/>
      <c r="BV1868" s="20"/>
      <c r="BW1868" s="20"/>
      <c r="BX1868" s="20"/>
      <c r="BY1868" s="20"/>
      <c r="BZ1868" s="20"/>
      <c r="CA1868" s="20"/>
      <c r="CB1868" s="20"/>
      <c r="CC1868" s="20"/>
      <c r="CD1868" s="20"/>
      <c r="CE1868" s="20"/>
      <c r="CF1868" s="20"/>
      <c r="CG1868" s="20"/>
      <c r="CH1868" s="20"/>
      <c r="CI1868" s="20"/>
      <c r="CJ1868" s="20"/>
      <c r="CK1868" s="20"/>
      <c r="CL1868" s="20"/>
      <c r="CM1868" s="20"/>
      <c r="CN1868" s="20"/>
      <c r="CO1868" s="20"/>
      <c r="CP1868" s="20"/>
      <c r="CQ1868" s="20"/>
      <c r="CR1868" s="20"/>
      <c r="CS1868" s="20"/>
      <c r="CT1868" s="20"/>
      <c r="CU1868" s="20"/>
      <c r="CV1868" s="20"/>
      <c r="CW1868" s="20"/>
      <c r="CX1868" s="20"/>
      <c r="CY1868" s="20"/>
      <c r="CZ1868" s="20"/>
      <c r="DA1868" s="20"/>
      <c r="DB1868" s="20"/>
      <c r="DC1868" s="20"/>
      <c r="DD1868" s="20"/>
      <c r="DE1868" s="20"/>
      <c r="DF1868" s="20"/>
      <c r="DG1868" s="20"/>
      <c r="DH1868" s="20"/>
      <c r="DI1868" s="20"/>
      <c r="DJ1868" s="20"/>
      <c r="DK1868" s="20"/>
      <c r="DL1868" s="20"/>
      <c r="DM1868" s="20"/>
      <c r="DN1868" s="20"/>
      <c r="DO1868" s="20"/>
      <c r="DP1868" s="20"/>
      <c r="DQ1868" s="20"/>
      <c r="DR1868" s="20"/>
      <c r="DS1868" s="20"/>
      <c r="DT1868" s="20"/>
      <c r="DU1868" s="20"/>
      <c r="DV1868" s="20"/>
      <c r="DW1868" s="20"/>
      <c r="DX1868" s="20"/>
      <c r="DY1868" s="20"/>
      <c r="DZ1868" s="20"/>
      <c r="EA1868" s="20"/>
      <c r="EB1868" s="20"/>
      <c r="EC1868" s="20"/>
      <c r="ED1868" s="20"/>
      <c r="EE1868" s="20"/>
      <c r="EF1868" s="20"/>
      <c r="EG1868" s="20"/>
      <c r="EH1868" s="20"/>
      <c r="EI1868" s="20"/>
      <c r="EJ1868" s="20"/>
      <c r="EK1868" s="20"/>
      <c r="EL1868" s="20"/>
      <c r="EM1868" s="20"/>
      <c r="EN1868" s="20"/>
      <c r="EO1868" s="20"/>
      <c r="EP1868" s="20"/>
      <c r="EQ1868" s="20"/>
      <c r="ER1868" s="20"/>
      <c r="ES1868" s="20"/>
      <c r="ET1868" s="20"/>
      <c r="EU1868" s="20"/>
      <c r="EV1868" s="20"/>
      <c r="EW1868" s="20"/>
      <c r="EX1868" s="20"/>
      <c r="EY1868" s="20"/>
      <c r="EZ1868" s="20"/>
      <c r="FA1868" s="20"/>
      <c r="FB1868" s="20"/>
      <c r="FC1868" s="20"/>
      <c r="FD1868" s="20"/>
      <c r="FE1868" s="20"/>
      <c r="FF1868" s="20"/>
      <c r="FG1868" s="20"/>
      <c r="FH1868" s="20"/>
      <c r="FI1868" s="20"/>
      <c r="FJ1868" s="20"/>
      <c r="FK1868" s="20"/>
      <c r="FL1868" s="20"/>
      <c r="FM1868" s="20"/>
      <c r="FN1868" s="20"/>
      <c r="FO1868" s="20"/>
      <c r="FP1868" s="20"/>
      <c r="FQ1868" s="20"/>
      <c r="FR1868" s="20"/>
      <c r="FS1868" s="20"/>
      <c r="FT1868" s="20"/>
      <c r="FU1868" s="20"/>
      <c r="FV1868" s="20"/>
      <c r="FW1868" s="20"/>
      <c r="FX1868" s="20"/>
      <c r="FY1868" s="20"/>
      <c r="FZ1868" s="20"/>
      <c r="GA1868" s="20"/>
      <c r="GB1868" s="20"/>
      <c r="GC1868" s="20"/>
      <c r="GD1868" s="20"/>
      <c r="GE1868" s="20"/>
      <c r="GF1868" s="20"/>
      <c r="GG1868" s="20"/>
      <c r="GH1868" s="20"/>
      <c r="GI1868" s="20"/>
      <c r="GJ1868" s="20"/>
      <c r="GK1868" s="20"/>
      <c r="GL1868" s="20"/>
      <c r="GM1868" s="20"/>
      <c r="GN1868" s="20"/>
      <c r="GO1868" s="20"/>
      <c r="GP1868" s="20"/>
      <c r="GQ1868" s="20"/>
      <c r="GR1868" s="20"/>
      <c r="GS1868" s="20"/>
      <c r="GT1868" s="20"/>
      <c r="GU1868" s="20"/>
      <c r="GV1868" s="20"/>
      <c r="GW1868" s="20"/>
      <c r="GX1868" s="20"/>
      <c r="GY1868" s="20"/>
      <c r="GZ1868" s="20"/>
      <c r="HA1868" s="20"/>
      <c r="HB1868" s="20"/>
      <c r="HC1868" s="20"/>
      <c r="HD1868" s="20"/>
      <c r="HE1868" s="20"/>
      <c r="HF1868" s="20"/>
      <c r="HG1868" s="20"/>
      <c r="HH1868" s="20"/>
      <c r="HI1868" s="20"/>
      <c r="HJ1868" s="20"/>
      <c r="HK1868" s="20"/>
      <c r="HL1868" s="20"/>
      <c r="HM1868" s="20"/>
      <c r="HN1868" s="20"/>
      <c r="HO1868" s="20"/>
      <c r="HP1868" s="20"/>
      <c r="HQ1868" s="20"/>
      <c r="HR1868" s="20"/>
      <c r="HS1868" s="20"/>
      <c r="HT1868" s="20"/>
      <c r="HU1868" s="20"/>
      <c r="HV1868" s="20"/>
      <c r="HW1868" s="20"/>
      <c r="HX1868" s="20"/>
      <c r="HY1868" s="20"/>
      <c r="HZ1868" s="20"/>
      <c r="IA1868" s="20"/>
      <c r="IB1868" s="20"/>
      <c r="IC1868" s="20"/>
      <c r="ID1868" s="20"/>
      <c r="IE1868" s="20"/>
      <c r="IF1868" s="20"/>
      <c r="IG1868" s="20"/>
      <c r="IH1868" s="20"/>
      <c r="II1868" s="20"/>
      <c r="IJ1868" s="20"/>
      <c r="IK1868" s="20"/>
      <c r="IL1868" s="20"/>
      <c r="IM1868" s="20"/>
      <c r="IN1868" s="20"/>
      <c r="IO1868" s="20"/>
    </row>
    <row r="1869" spans="1:249" ht="88.5" customHeight="1">
      <c r="A1869" s="1688">
        <v>6</v>
      </c>
      <c r="B1869" s="1691"/>
      <c r="C1869" s="1322">
        <v>3</v>
      </c>
      <c r="D1869" s="1340" t="s">
        <v>34</v>
      </c>
      <c r="E1869" s="1340" t="s">
        <v>78</v>
      </c>
      <c r="F1869" s="1340" t="s">
        <v>25</v>
      </c>
      <c r="G1869" s="1322">
        <v>29</v>
      </c>
      <c r="H1869" s="1688"/>
      <c r="I1869" s="1339" t="s">
        <v>1809</v>
      </c>
      <c r="J1869" s="44" t="s">
        <v>3297</v>
      </c>
      <c r="K1869" s="146">
        <v>100</v>
      </c>
      <c r="L1869" s="714">
        <f>SUM(L1871:L1873)</f>
        <v>8542729000</v>
      </c>
      <c r="M1869" s="146">
        <v>60</v>
      </c>
      <c r="N1869" s="714">
        <f>SUM(N1871:N1873)</f>
        <v>3960922474</v>
      </c>
      <c r="O1869" s="146">
        <v>20</v>
      </c>
      <c r="P1869" s="714">
        <f>SUM(P1871:P1873)</f>
        <v>2203169713</v>
      </c>
      <c r="Q1869" s="146">
        <v>17.43</v>
      </c>
      <c r="R1869" s="714">
        <f>SUM(R1871:R1873)</f>
        <v>83368600</v>
      </c>
      <c r="S1869" s="1268">
        <f>T1869/P1869*100</f>
        <v>36.676823861185675</v>
      </c>
      <c r="T1869" s="1269">
        <f>SUM(T1871:T1873)</f>
        <v>808052675</v>
      </c>
      <c r="U1869" s="146"/>
      <c r="V1869" s="833">
        <f>SUM(V1871:V1873)</f>
        <v>0</v>
      </c>
      <c r="W1869" s="146"/>
      <c r="X1869" s="833">
        <f>SUM(X1871:X1873)</f>
        <v>0</v>
      </c>
      <c r="Y1869" s="1262">
        <f t="shared" si="532"/>
        <v>54.106823861185674</v>
      </c>
      <c r="Z1869" s="717">
        <f t="shared" si="533"/>
        <v>891421275</v>
      </c>
      <c r="AA1869" s="1262">
        <f t="shared" si="534"/>
        <v>114.10682386118567</v>
      </c>
      <c r="AB1869" s="717">
        <f t="shared" si="535"/>
        <v>4852343749</v>
      </c>
      <c r="AC1869" s="1262">
        <f t="shared" si="536"/>
        <v>114.10682386118567</v>
      </c>
      <c r="AD1869" s="1262">
        <f t="shared" si="537"/>
        <v>56.800862452736126</v>
      </c>
      <c r="AE1869" s="1126" t="s">
        <v>1762</v>
      </c>
      <c r="AF1869" s="201"/>
      <c r="AG1869" s="201"/>
      <c r="AH1869" s="201"/>
      <c r="AI1869" s="201"/>
      <c r="AJ1869" s="201"/>
      <c r="AK1869" s="201"/>
      <c r="AL1869" s="201"/>
      <c r="AM1869" s="201"/>
      <c r="AN1869" s="201"/>
      <c r="AO1869" s="201"/>
      <c r="AP1869" s="201"/>
      <c r="AQ1869" s="201"/>
      <c r="AR1869" s="201"/>
      <c r="AS1869" s="201"/>
      <c r="AT1869" s="201"/>
      <c r="AU1869" s="201"/>
      <c r="AV1869" s="201"/>
      <c r="AW1869" s="201"/>
      <c r="AX1869" s="201"/>
      <c r="AY1869" s="201"/>
      <c r="AZ1869" s="201"/>
      <c r="BA1869" s="201"/>
      <c r="BB1869" s="201"/>
      <c r="BC1869" s="20"/>
      <c r="BD1869" s="20"/>
      <c r="BE1869" s="20"/>
      <c r="BF1869" s="20"/>
      <c r="BG1869" s="20"/>
      <c r="BH1869" s="20"/>
      <c r="BI1869" s="20"/>
      <c r="BJ1869" s="20"/>
      <c r="BK1869" s="20"/>
      <c r="BL1869" s="20"/>
      <c r="BM1869" s="20"/>
      <c r="BN1869" s="20"/>
      <c r="BO1869" s="20"/>
      <c r="BP1869" s="20"/>
      <c r="BQ1869" s="20"/>
      <c r="BR1869" s="20"/>
      <c r="BS1869" s="20"/>
      <c r="BT1869" s="20"/>
      <c r="BU1869" s="20"/>
      <c r="BV1869" s="20"/>
      <c r="BW1869" s="20"/>
      <c r="BX1869" s="20"/>
      <c r="BY1869" s="20"/>
      <c r="BZ1869" s="20"/>
      <c r="CA1869" s="20"/>
      <c r="CB1869" s="20"/>
      <c r="CC1869" s="20"/>
      <c r="CD1869" s="20"/>
      <c r="CE1869" s="20"/>
      <c r="CF1869" s="20"/>
      <c r="CG1869" s="20"/>
      <c r="CH1869" s="20"/>
      <c r="CI1869" s="20"/>
      <c r="CJ1869" s="20"/>
      <c r="CK1869" s="20"/>
      <c r="CL1869" s="20"/>
      <c r="CM1869" s="20"/>
      <c r="CN1869" s="20"/>
      <c r="CO1869" s="20"/>
      <c r="CP1869" s="20"/>
      <c r="CQ1869" s="20"/>
      <c r="CR1869" s="20"/>
      <c r="CS1869" s="20"/>
      <c r="CT1869" s="20"/>
      <c r="CU1869" s="20"/>
      <c r="CV1869" s="20"/>
      <c r="CW1869" s="20"/>
      <c r="CX1869" s="20"/>
      <c r="CY1869" s="20"/>
      <c r="CZ1869" s="20"/>
      <c r="DA1869" s="20"/>
      <c r="DB1869" s="20"/>
      <c r="DC1869" s="20"/>
      <c r="DD1869" s="20"/>
      <c r="DE1869" s="20"/>
      <c r="DF1869" s="20"/>
      <c r="DG1869" s="20"/>
      <c r="DH1869" s="20"/>
      <c r="DI1869" s="20"/>
      <c r="DJ1869" s="20"/>
      <c r="DK1869" s="20"/>
      <c r="DL1869" s="20"/>
      <c r="DM1869" s="20"/>
      <c r="DN1869" s="20"/>
      <c r="DO1869" s="20"/>
      <c r="DP1869" s="20"/>
      <c r="DQ1869" s="20"/>
      <c r="DR1869" s="20"/>
      <c r="DS1869" s="20"/>
      <c r="DT1869" s="20"/>
      <c r="DU1869" s="20"/>
      <c r="DV1869" s="20"/>
      <c r="DW1869" s="20"/>
      <c r="DX1869" s="20"/>
      <c r="DY1869" s="20"/>
      <c r="DZ1869" s="20"/>
      <c r="EA1869" s="20"/>
      <c r="EB1869" s="20"/>
      <c r="EC1869" s="20"/>
      <c r="ED1869" s="20"/>
      <c r="EE1869" s="20"/>
      <c r="EF1869" s="20"/>
      <c r="EG1869" s="20"/>
      <c r="EH1869" s="20"/>
      <c r="EI1869" s="20"/>
      <c r="EJ1869" s="20"/>
      <c r="EK1869" s="20"/>
      <c r="EL1869" s="20"/>
      <c r="EM1869" s="20"/>
      <c r="EN1869" s="20"/>
      <c r="EO1869" s="20"/>
      <c r="EP1869" s="20"/>
      <c r="EQ1869" s="20"/>
      <c r="ER1869" s="20"/>
      <c r="ES1869" s="20"/>
      <c r="ET1869" s="20"/>
      <c r="EU1869" s="20"/>
      <c r="EV1869" s="20"/>
      <c r="EW1869" s="20"/>
      <c r="EX1869" s="20"/>
      <c r="EY1869" s="20"/>
      <c r="EZ1869" s="20"/>
      <c r="FA1869" s="20"/>
      <c r="FB1869" s="20"/>
      <c r="FC1869" s="20"/>
      <c r="FD1869" s="20"/>
      <c r="FE1869" s="20"/>
      <c r="FF1869" s="20"/>
      <c r="FG1869" s="20"/>
      <c r="FH1869" s="20"/>
      <c r="FI1869" s="20"/>
      <c r="FJ1869" s="20"/>
      <c r="FK1869" s="20"/>
      <c r="FL1869" s="20"/>
      <c r="FM1869" s="20"/>
      <c r="FN1869" s="20"/>
      <c r="FO1869" s="20"/>
      <c r="FP1869" s="20"/>
      <c r="FQ1869" s="20"/>
      <c r="FR1869" s="20"/>
      <c r="FS1869" s="20"/>
      <c r="FT1869" s="20"/>
      <c r="FU1869" s="20"/>
      <c r="FV1869" s="20"/>
      <c r="FW1869" s="20"/>
      <c r="FX1869" s="20"/>
      <c r="FY1869" s="20"/>
      <c r="FZ1869" s="20"/>
      <c r="GA1869" s="20"/>
      <c r="GB1869" s="20"/>
      <c r="GC1869" s="20"/>
      <c r="GD1869" s="20"/>
      <c r="GE1869" s="20"/>
      <c r="GF1869" s="20"/>
      <c r="GG1869" s="20"/>
      <c r="GH1869" s="20"/>
      <c r="GI1869" s="20"/>
      <c r="GJ1869" s="20"/>
      <c r="GK1869" s="20"/>
      <c r="GL1869" s="20"/>
      <c r="GM1869" s="20"/>
      <c r="GN1869" s="20"/>
      <c r="GO1869" s="20"/>
      <c r="GP1869" s="20"/>
      <c r="GQ1869" s="20"/>
      <c r="GR1869" s="20"/>
      <c r="GS1869" s="20"/>
      <c r="GT1869" s="20"/>
      <c r="GU1869" s="20"/>
      <c r="GV1869" s="20"/>
      <c r="GW1869" s="20"/>
      <c r="GX1869" s="20"/>
      <c r="GY1869" s="20"/>
      <c r="GZ1869" s="20"/>
      <c r="HA1869" s="20"/>
      <c r="HB1869" s="20"/>
      <c r="HC1869" s="20"/>
      <c r="HD1869" s="20"/>
      <c r="HE1869" s="20"/>
      <c r="HF1869" s="20"/>
      <c r="HG1869" s="20"/>
      <c r="HH1869" s="20"/>
      <c r="HI1869" s="20"/>
      <c r="HJ1869" s="20"/>
      <c r="HK1869" s="20"/>
      <c r="HL1869" s="20"/>
      <c r="HM1869" s="20"/>
      <c r="HN1869" s="20"/>
      <c r="HO1869" s="20"/>
      <c r="HP1869" s="20"/>
      <c r="HQ1869" s="20"/>
      <c r="HR1869" s="20"/>
      <c r="HS1869" s="20"/>
      <c r="HT1869" s="20"/>
      <c r="HU1869" s="20"/>
      <c r="HV1869" s="20"/>
      <c r="HW1869" s="20"/>
      <c r="HX1869" s="20"/>
      <c r="HY1869" s="20"/>
      <c r="HZ1869" s="20"/>
      <c r="IA1869" s="20"/>
      <c r="IB1869" s="20"/>
      <c r="IC1869" s="20"/>
      <c r="ID1869" s="20"/>
      <c r="IE1869" s="20"/>
      <c r="IF1869" s="20"/>
      <c r="IG1869" s="20"/>
      <c r="IH1869" s="20"/>
      <c r="II1869" s="20"/>
      <c r="IJ1869" s="20"/>
      <c r="IK1869" s="20"/>
      <c r="IL1869" s="20"/>
      <c r="IM1869" s="20"/>
      <c r="IN1869" s="20"/>
      <c r="IO1869" s="20"/>
    </row>
    <row r="1870" spans="1:249" ht="73.5" customHeight="1">
      <c r="A1870" s="1692"/>
      <c r="B1870" s="1695"/>
      <c r="C1870" s="1171"/>
      <c r="D1870" s="1786"/>
      <c r="E1870" s="1786"/>
      <c r="F1870" s="1786"/>
      <c r="G1870" s="1171"/>
      <c r="H1870" s="1692"/>
      <c r="I1870" s="518"/>
      <c r="J1870" s="44" t="s">
        <v>3298</v>
      </c>
      <c r="K1870" s="146">
        <v>100</v>
      </c>
      <c r="L1870" s="714"/>
      <c r="M1870" s="146">
        <v>60</v>
      </c>
      <c r="N1870" s="714"/>
      <c r="O1870" s="146">
        <v>20</v>
      </c>
      <c r="P1870" s="714"/>
      <c r="Q1870" s="146"/>
      <c r="R1870" s="714"/>
      <c r="S1870" s="1268"/>
      <c r="T1870" s="1269"/>
      <c r="U1870" s="146"/>
      <c r="V1870" s="833"/>
      <c r="W1870" s="146"/>
      <c r="X1870" s="833"/>
      <c r="Y1870" s="1262">
        <f t="shared" si="532"/>
        <v>0</v>
      </c>
      <c r="Z1870" s="717">
        <f t="shared" si="533"/>
        <v>0</v>
      </c>
      <c r="AA1870" s="1262">
        <f t="shared" si="534"/>
        <v>60</v>
      </c>
      <c r="AB1870" s="717">
        <f t="shared" si="535"/>
        <v>0</v>
      </c>
      <c r="AC1870" s="1262">
        <f>AA1870/K1870*100</f>
        <v>60</v>
      </c>
      <c r="AD1870" s="1262"/>
      <c r="AE1870" s="1123"/>
      <c r="AF1870" s="201"/>
      <c r="AG1870" s="201"/>
      <c r="AH1870" s="201"/>
      <c r="AI1870" s="201"/>
      <c r="AJ1870" s="201"/>
      <c r="AK1870" s="201"/>
      <c r="AL1870" s="201"/>
      <c r="AM1870" s="201"/>
      <c r="AN1870" s="201"/>
      <c r="AO1870" s="201"/>
      <c r="AP1870" s="201"/>
      <c r="AQ1870" s="201"/>
      <c r="AR1870" s="201"/>
      <c r="AS1870" s="201"/>
      <c r="AT1870" s="201"/>
      <c r="AU1870" s="201"/>
      <c r="AV1870" s="201"/>
      <c r="AW1870" s="201"/>
      <c r="AX1870" s="201"/>
      <c r="AY1870" s="201"/>
      <c r="AZ1870" s="201"/>
      <c r="BA1870" s="201"/>
      <c r="BB1870" s="201"/>
      <c r="BC1870" s="20"/>
      <c r="BD1870" s="20"/>
      <c r="BE1870" s="20"/>
      <c r="BF1870" s="20"/>
      <c r="BG1870" s="20"/>
      <c r="BH1870" s="20"/>
      <c r="BI1870" s="20"/>
      <c r="BJ1870" s="20"/>
      <c r="BK1870" s="20"/>
      <c r="BL1870" s="20"/>
      <c r="BM1870" s="20"/>
      <c r="BN1870" s="20"/>
      <c r="BO1870" s="20"/>
      <c r="BP1870" s="20"/>
      <c r="BQ1870" s="20"/>
      <c r="BR1870" s="20"/>
      <c r="BS1870" s="20"/>
      <c r="BT1870" s="20"/>
      <c r="BU1870" s="20"/>
      <c r="BV1870" s="20"/>
      <c r="BW1870" s="20"/>
      <c r="BX1870" s="20"/>
      <c r="BY1870" s="20"/>
      <c r="BZ1870" s="20"/>
      <c r="CA1870" s="20"/>
      <c r="CB1870" s="20"/>
      <c r="CC1870" s="20"/>
      <c r="CD1870" s="20"/>
      <c r="CE1870" s="20"/>
      <c r="CF1870" s="20"/>
      <c r="CG1870" s="20"/>
      <c r="CH1870" s="20"/>
      <c r="CI1870" s="20"/>
      <c r="CJ1870" s="20"/>
      <c r="CK1870" s="20"/>
      <c r="CL1870" s="20"/>
      <c r="CM1870" s="20"/>
      <c r="CN1870" s="20"/>
      <c r="CO1870" s="20"/>
      <c r="CP1870" s="20"/>
      <c r="CQ1870" s="20"/>
      <c r="CR1870" s="20"/>
      <c r="CS1870" s="20"/>
      <c r="CT1870" s="20"/>
      <c r="CU1870" s="20"/>
      <c r="CV1870" s="20"/>
      <c r="CW1870" s="20"/>
      <c r="CX1870" s="20"/>
      <c r="CY1870" s="20"/>
      <c r="CZ1870" s="20"/>
      <c r="DA1870" s="20"/>
      <c r="DB1870" s="20"/>
      <c r="DC1870" s="20"/>
      <c r="DD1870" s="20"/>
      <c r="DE1870" s="20"/>
      <c r="DF1870" s="20"/>
      <c r="DG1870" s="20"/>
      <c r="DH1870" s="20"/>
      <c r="DI1870" s="20"/>
      <c r="DJ1870" s="20"/>
      <c r="DK1870" s="20"/>
      <c r="DL1870" s="20"/>
      <c r="DM1870" s="20"/>
      <c r="DN1870" s="20"/>
      <c r="DO1870" s="20"/>
      <c r="DP1870" s="20"/>
      <c r="DQ1870" s="20"/>
      <c r="DR1870" s="20"/>
      <c r="DS1870" s="20"/>
      <c r="DT1870" s="20"/>
      <c r="DU1870" s="20"/>
      <c r="DV1870" s="20"/>
      <c r="DW1870" s="20"/>
      <c r="DX1870" s="20"/>
      <c r="DY1870" s="20"/>
      <c r="DZ1870" s="20"/>
      <c r="EA1870" s="20"/>
      <c r="EB1870" s="20"/>
      <c r="EC1870" s="20"/>
      <c r="ED1870" s="20"/>
      <c r="EE1870" s="20"/>
      <c r="EF1870" s="20"/>
      <c r="EG1870" s="20"/>
      <c r="EH1870" s="20"/>
      <c r="EI1870" s="20"/>
      <c r="EJ1870" s="20"/>
      <c r="EK1870" s="20"/>
      <c r="EL1870" s="20"/>
      <c r="EM1870" s="20"/>
      <c r="EN1870" s="20"/>
      <c r="EO1870" s="20"/>
      <c r="EP1870" s="20"/>
      <c r="EQ1870" s="20"/>
      <c r="ER1870" s="20"/>
      <c r="ES1870" s="20"/>
      <c r="ET1870" s="20"/>
      <c r="EU1870" s="20"/>
      <c r="EV1870" s="20"/>
      <c r="EW1870" s="20"/>
      <c r="EX1870" s="20"/>
      <c r="EY1870" s="20"/>
      <c r="EZ1870" s="20"/>
      <c r="FA1870" s="20"/>
      <c r="FB1870" s="20"/>
      <c r="FC1870" s="20"/>
      <c r="FD1870" s="20"/>
      <c r="FE1870" s="20"/>
      <c r="FF1870" s="20"/>
      <c r="FG1870" s="20"/>
      <c r="FH1870" s="20"/>
      <c r="FI1870" s="20"/>
      <c r="FJ1870" s="20"/>
      <c r="FK1870" s="20"/>
      <c r="FL1870" s="20"/>
      <c r="FM1870" s="20"/>
      <c r="FN1870" s="20"/>
      <c r="FO1870" s="20"/>
      <c r="FP1870" s="20"/>
      <c r="FQ1870" s="20"/>
      <c r="FR1870" s="20"/>
      <c r="FS1870" s="20"/>
      <c r="FT1870" s="20"/>
      <c r="FU1870" s="20"/>
      <c r="FV1870" s="20"/>
      <c r="FW1870" s="20"/>
      <c r="FX1870" s="20"/>
      <c r="FY1870" s="20"/>
      <c r="FZ1870" s="20"/>
      <c r="GA1870" s="20"/>
      <c r="GB1870" s="20"/>
      <c r="GC1870" s="20"/>
      <c r="GD1870" s="20"/>
      <c r="GE1870" s="20"/>
      <c r="GF1870" s="20"/>
      <c r="GG1870" s="20"/>
      <c r="GH1870" s="20"/>
      <c r="GI1870" s="20"/>
      <c r="GJ1870" s="20"/>
      <c r="GK1870" s="20"/>
      <c r="GL1870" s="20"/>
      <c r="GM1870" s="20"/>
      <c r="GN1870" s="20"/>
      <c r="GO1870" s="20"/>
      <c r="GP1870" s="20"/>
      <c r="GQ1870" s="20"/>
      <c r="GR1870" s="20"/>
      <c r="GS1870" s="20"/>
      <c r="GT1870" s="20"/>
      <c r="GU1870" s="20"/>
      <c r="GV1870" s="20"/>
      <c r="GW1870" s="20"/>
      <c r="GX1870" s="20"/>
      <c r="GY1870" s="20"/>
      <c r="GZ1870" s="20"/>
      <c r="HA1870" s="20"/>
      <c r="HB1870" s="20"/>
      <c r="HC1870" s="20"/>
      <c r="HD1870" s="20"/>
      <c r="HE1870" s="20"/>
      <c r="HF1870" s="20"/>
      <c r="HG1870" s="20"/>
      <c r="HH1870" s="20"/>
      <c r="HI1870" s="20"/>
      <c r="HJ1870" s="20"/>
      <c r="HK1870" s="20"/>
      <c r="HL1870" s="20"/>
      <c r="HM1870" s="20"/>
      <c r="HN1870" s="20"/>
      <c r="HO1870" s="20"/>
      <c r="HP1870" s="20"/>
      <c r="HQ1870" s="20"/>
      <c r="HR1870" s="20"/>
      <c r="HS1870" s="20"/>
      <c r="HT1870" s="20"/>
      <c r="HU1870" s="20"/>
      <c r="HV1870" s="20"/>
      <c r="HW1870" s="20"/>
      <c r="HX1870" s="20"/>
      <c r="HY1870" s="20"/>
      <c r="HZ1870" s="20"/>
      <c r="IA1870" s="20"/>
      <c r="IB1870" s="20"/>
      <c r="IC1870" s="20"/>
      <c r="ID1870" s="20"/>
      <c r="IE1870" s="20"/>
      <c r="IF1870" s="20"/>
      <c r="IG1870" s="20"/>
      <c r="IH1870" s="20"/>
      <c r="II1870" s="20"/>
      <c r="IJ1870" s="20"/>
      <c r="IK1870" s="20"/>
      <c r="IL1870" s="20"/>
      <c r="IM1870" s="20"/>
      <c r="IN1870" s="20"/>
      <c r="IO1870" s="20"/>
    </row>
    <row r="1871" spans="1:249" ht="82.5">
      <c r="A1871" s="410"/>
      <c r="B1871" s="409"/>
      <c r="C1871" s="1253">
        <v>3</v>
      </c>
      <c r="D1871" s="1164" t="s">
        <v>34</v>
      </c>
      <c r="E1871" s="1164" t="s">
        <v>78</v>
      </c>
      <c r="F1871" s="1164" t="s">
        <v>25</v>
      </c>
      <c r="G1871" s="1253">
        <v>29</v>
      </c>
      <c r="H1871" s="1254" t="s">
        <v>56</v>
      </c>
      <c r="I1871" s="280" t="s">
        <v>1810</v>
      </c>
      <c r="J1871" s="411" t="s">
        <v>1811</v>
      </c>
      <c r="K1871" s="413">
        <f>3*M1871</f>
        <v>96</v>
      </c>
      <c r="L1871" s="1255">
        <v>3490679000</v>
      </c>
      <c r="M1871" s="413">
        <v>32</v>
      </c>
      <c r="N1871" s="415">
        <v>1743898346</v>
      </c>
      <c r="O1871" s="413">
        <v>32</v>
      </c>
      <c r="P1871" s="415">
        <v>144678667</v>
      </c>
      <c r="Q1871" s="413">
        <v>2</v>
      </c>
      <c r="R1871" s="415">
        <v>47250000</v>
      </c>
      <c r="S1871" s="410">
        <v>0</v>
      </c>
      <c r="T1871" s="1257">
        <v>24878300</v>
      </c>
      <c r="U1871" s="413"/>
      <c r="V1871" s="418"/>
      <c r="W1871" s="413"/>
      <c r="X1871" s="1256"/>
      <c r="Y1871" s="409">
        <f t="shared" si="532"/>
        <v>2</v>
      </c>
      <c r="Z1871" s="414">
        <f t="shared" si="533"/>
        <v>72128300</v>
      </c>
      <c r="AA1871" s="409">
        <f t="shared" si="534"/>
        <v>34</v>
      </c>
      <c r="AB1871" s="1259">
        <f t="shared" si="535"/>
        <v>1816026646</v>
      </c>
      <c r="AC1871" s="1260">
        <f>AA1871/K1871*100</f>
        <v>35.416666666666671</v>
      </c>
      <c r="AD1871" s="1260">
        <f>AB1871/L1871*100</f>
        <v>52.025025675520432</v>
      </c>
      <c r="AE1871" s="102"/>
      <c r="AF1871" s="201"/>
      <c r="AG1871" s="201"/>
      <c r="AH1871" s="201"/>
      <c r="AI1871" s="201"/>
      <c r="AJ1871" s="201"/>
      <c r="AK1871" s="201"/>
      <c r="AL1871" s="201"/>
      <c r="AM1871" s="201"/>
      <c r="AN1871" s="201"/>
      <c r="AO1871" s="201"/>
      <c r="AP1871" s="201"/>
      <c r="AQ1871" s="201"/>
      <c r="AR1871" s="201"/>
      <c r="AS1871" s="201"/>
      <c r="AT1871" s="201"/>
      <c r="AU1871" s="201"/>
      <c r="AV1871" s="201"/>
      <c r="AW1871" s="201"/>
      <c r="AX1871" s="201"/>
      <c r="AY1871" s="201"/>
      <c r="AZ1871" s="201"/>
      <c r="BA1871" s="201"/>
      <c r="BB1871" s="201"/>
      <c r="BC1871" s="20"/>
      <c r="BD1871" s="20"/>
      <c r="BE1871" s="20"/>
      <c r="BF1871" s="20"/>
      <c r="BG1871" s="20"/>
      <c r="BH1871" s="20"/>
      <c r="BI1871" s="20"/>
      <c r="BJ1871" s="20"/>
      <c r="BK1871" s="20"/>
      <c r="BL1871" s="20"/>
      <c r="BM1871" s="20"/>
      <c r="BN1871" s="20"/>
      <c r="BO1871" s="20"/>
      <c r="BP1871" s="20"/>
      <c r="BQ1871" s="20"/>
      <c r="BR1871" s="20"/>
      <c r="BS1871" s="20"/>
      <c r="BT1871" s="20"/>
      <c r="BU1871" s="20"/>
      <c r="BV1871" s="20"/>
      <c r="BW1871" s="20"/>
      <c r="BX1871" s="20"/>
      <c r="BY1871" s="20"/>
      <c r="BZ1871" s="20"/>
      <c r="CA1871" s="20"/>
      <c r="CB1871" s="20"/>
      <c r="CC1871" s="20"/>
      <c r="CD1871" s="20"/>
      <c r="CE1871" s="20"/>
      <c r="CF1871" s="20"/>
      <c r="CG1871" s="20"/>
      <c r="CH1871" s="20"/>
      <c r="CI1871" s="20"/>
      <c r="CJ1871" s="20"/>
      <c r="CK1871" s="20"/>
      <c r="CL1871" s="20"/>
      <c r="CM1871" s="20"/>
      <c r="CN1871" s="20"/>
      <c r="CO1871" s="20"/>
      <c r="CP1871" s="20"/>
      <c r="CQ1871" s="20"/>
      <c r="CR1871" s="20"/>
      <c r="CS1871" s="20"/>
      <c r="CT1871" s="20"/>
      <c r="CU1871" s="20"/>
      <c r="CV1871" s="20"/>
      <c r="CW1871" s="20"/>
      <c r="CX1871" s="20"/>
      <c r="CY1871" s="20"/>
      <c r="CZ1871" s="20"/>
      <c r="DA1871" s="20"/>
      <c r="DB1871" s="20"/>
      <c r="DC1871" s="20"/>
      <c r="DD1871" s="20"/>
      <c r="DE1871" s="20"/>
      <c r="DF1871" s="20"/>
      <c r="DG1871" s="20"/>
      <c r="DH1871" s="20"/>
      <c r="DI1871" s="20"/>
      <c r="DJ1871" s="20"/>
      <c r="DK1871" s="20"/>
      <c r="DL1871" s="20"/>
      <c r="DM1871" s="20"/>
      <c r="DN1871" s="20"/>
      <c r="DO1871" s="20"/>
      <c r="DP1871" s="20"/>
      <c r="DQ1871" s="20"/>
      <c r="DR1871" s="20"/>
      <c r="DS1871" s="20"/>
      <c r="DT1871" s="20"/>
      <c r="DU1871" s="20"/>
      <c r="DV1871" s="20"/>
      <c r="DW1871" s="20"/>
      <c r="DX1871" s="20"/>
      <c r="DY1871" s="20"/>
      <c r="DZ1871" s="20"/>
      <c r="EA1871" s="20"/>
      <c r="EB1871" s="20"/>
      <c r="EC1871" s="20"/>
      <c r="ED1871" s="20"/>
      <c r="EE1871" s="20"/>
      <c r="EF1871" s="20"/>
      <c r="EG1871" s="20"/>
      <c r="EH1871" s="20"/>
      <c r="EI1871" s="20"/>
      <c r="EJ1871" s="20"/>
      <c r="EK1871" s="20"/>
      <c r="EL1871" s="20"/>
      <c r="EM1871" s="20"/>
      <c r="EN1871" s="20"/>
      <c r="EO1871" s="20"/>
      <c r="EP1871" s="20"/>
      <c r="EQ1871" s="20"/>
      <c r="ER1871" s="20"/>
      <c r="ES1871" s="20"/>
      <c r="ET1871" s="20"/>
      <c r="EU1871" s="20"/>
      <c r="EV1871" s="20"/>
      <c r="EW1871" s="20"/>
      <c r="EX1871" s="20"/>
      <c r="EY1871" s="20"/>
      <c r="EZ1871" s="20"/>
      <c r="FA1871" s="20"/>
      <c r="FB1871" s="20"/>
      <c r="FC1871" s="20"/>
      <c r="FD1871" s="20"/>
      <c r="FE1871" s="20"/>
      <c r="FF1871" s="20"/>
      <c r="FG1871" s="20"/>
      <c r="FH1871" s="20"/>
      <c r="FI1871" s="20"/>
      <c r="FJ1871" s="20"/>
      <c r="FK1871" s="20"/>
      <c r="FL1871" s="20"/>
      <c r="FM1871" s="20"/>
      <c r="FN1871" s="20"/>
      <c r="FO1871" s="20"/>
      <c r="FP1871" s="20"/>
      <c r="FQ1871" s="20"/>
      <c r="FR1871" s="20"/>
      <c r="FS1871" s="20"/>
      <c r="FT1871" s="20"/>
      <c r="FU1871" s="20"/>
      <c r="FV1871" s="20"/>
      <c r="FW1871" s="20"/>
      <c r="FX1871" s="20"/>
      <c r="FY1871" s="20"/>
      <c r="FZ1871" s="20"/>
      <c r="GA1871" s="20"/>
      <c r="GB1871" s="20"/>
      <c r="GC1871" s="20"/>
      <c r="GD1871" s="20"/>
      <c r="GE1871" s="20"/>
      <c r="GF1871" s="20"/>
      <c r="GG1871" s="20"/>
      <c r="GH1871" s="20"/>
      <c r="GI1871" s="20"/>
      <c r="GJ1871" s="20"/>
      <c r="GK1871" s="20"/>
      <c r="GL1871" s="20"/>
      <c r="GM1871" s="20"/>
      <c r="GN1871" s="20"/>
      <c r="GO1871" s="20"/>
      <c r="GP1871" s="20"/>
      <c r="GQ1871" s="20"/>
      <c r="GR1871" s="20"/>
      <c r="GS1871" s="20"/>
      <c r="GT1871" s="20"/>
      <c r="GU1871" s="20"/>
      <c r="GV1871" s="20"/>
      <c r="GW1871" s="20"/>
      <c r="GX1871" s="20"/>
      <c r="GY1871" s="20"/>
      <c r="GZ1871" s="20"/>
      <c r="HA1871" s="20"/>
      <c r="HB1871" s="20"/>
      <c r="HC1871" s="20"/>
      <c r="HD1871" s="20"/>
      <c r="HE1871" s="20"/>
      <c r="HF1871" s="20"/>
      <c r="HG1871" s="20"/>
      <c r="HH1871" s="20"/>
      <c r="HI1871" s="20"/>
      <c r="HJ1871" s="20"/>
      <c r="HK1871" s="20"/>
      <c r="HL1871" s="20"/>
      <c r="HM1871" s="20"/>
      <c r="HN1871" s="20"/>
      <c r="HO1871" s="20"/>
      <c r="HP1871" s="20"/>
      <c r="HQ1871" s="20"/>
      <c r="HR1871" s="20"/>
      <c r="HS1871" s="20"/>
      <c r="HT1871" s="20"/>
      <c r="HU1871" s="20"/>
      <c r="HV1871" s="20"/>
      <c r="HW1871" s="20"/>
      <c r="HX1871" s="20"/>
      <c r="HY1871" s="20"/>
      <c r="HZ1871" s="20"/>
      <c r="IA1871" s="20"/>
      <c r="IB1871" s="20"/>
      <c r="IC1871" s="20"/>
      <c r="ID1871" s="20"/>
      <c r="IE1871" s="20"/>
      <c r="IF1871" s="20"/>
      <c r="IG1871" s="20"/>
      <c r="IH1871" s="20"/>
      <c r="II1871" s="20"/>
      <c r="IJ1871" s="20"/>
      <c r="IK1871" s="20"/>
      <c r="IL1871" s="20"/>
      <c r="IM1871" s="20"/>
      <c r="IN1871" s="20"/>
      <c r="IO1871" s="20"/>
    </row>
    <row r="1872" spans="1:249" ht="66">
      <c r="A1872" s="410"/>
      <c r="B1872" s="409"/>
      <c r="C1872" s="1253">
        <v>3</v>
      </c>
      <c r="D1872" s="1164" t="s">
        <v>34</v>
      </c>
      <c r="E1872" s="1164" t="s">
        <v>78</v>
      </c>
      <c r="F1872" s="1164" t="s">
        <v>25</v>
      </c>
      <c r="G1872" s="1253">
        <v>29</v>
      </c>
      <c r="H1872" s="1254" t="s">
        <v>30</v>
      </c>
      <c r="I1872" s="280" t="s">
        <v>1812</v>
      </c>
      <c r="J1872" s="280" t="s">
        <v>1813</v>
      </c>
      <c r="K1872" s="413">
        <v>270</v>
      </c>
      <c r="L1872" s="1255">
        <v>3346888000</v>
      </c>
      <c r="M1872" s="413">
        <v>90</v>
      </c>
      <c r="N1872" s="415">
        <v>1692323426</v>
      </c>
      <c r="O1872" s="413">
        <v>90</v>
      </c>
      <c r="P1872" s="415">
        <v>385421500</v>
      </c>
      <c r="Q1872" s="413">
        <v>0</v>
      </c>
      <c r="R1872" s="415">
        <v>0</v>
      </c>
      <c r="S1872" s="410"/>
      <c r="T1872" s="1257"/>
      <c r="U1872" s="413"/>
      <c r="V1872" s="418"/>
      <c r="W1872" s="413"/>
      <c r="X1872" s="1256"/>
      <c r="Y1872" s="409">
        <f t="shared" si="532"/>
        <v>0</v>
      </c>
      <c r="Z1872" s="414">
        <f t="shared" si="533"/>
        <v>0</v>
      </c>
      <c r="AA1872" s="409">
        <f t="shared" si="534"/>
        <v>90</v>
      </c>
      <c r="AB1872" s="1259">
        <f t="shared" si="535"/>
        <v>1692323426</v>
      </c>
      <c r="AC1872" s="1260">
        <f>AA1872/K1872*100</f>
        <v>33.333333333333329</v>
      </c>
      <c r="AD1872" s="1260">
        <f>AB1872/L1872*100</f>
        <v>50.564088968618016</v>
      </c>
      <c r="AE1872" s="102"/>
      <c r="AF1872" s="201"/>
      <c r="AG1872" s="201"/>
      <c r="AH1872" s="201"/>
      <c r="AI1872" s="201"/>
      <c r="AJ1872" s="201"/>
      <c r="AK1872" s="201"/>
      <c r="AL1872" s="201"/>
      <c r="AM1872" s="201"/>
      <c r="AN1872" s="201"/>
      <c r="AO1872" s="201"/>
      <c r="AP1872" s="201"/>
      <c r="AQ1872" s="201"/>
      <c r="AR1872" s="201"/>
      <c r="AS1872" s="201"/>
      <c r="AT1872" s="201"/>
      <c r="AU1872" s="201"/>
      <c r="AV1872" s="201"/>
      <c r="AW1872" s="201"/>
      <c r="AX1872" s="201"/>
      <c r="AY1872" s="201"/>
      <c r="AZ1872" s="201"/>
      <c r="BA1872" s="201"/>
      <c r="BB1872" s="201"/>
      <c r="BC1872" s="20"/>
      <c r="BD1872" s="20"/>
      <c r="BE1872" s="20"/>
      <c r="BF1872" s="20"/>
      <c r="BG1872" s="20"/>
      <c r="BH1872" s="20"/>
      <c r="BI1872" s="20"/>
      <c r="BJ1872" s="20"/>
      <c r="BK1872" s="20"/>
      <c r="BL1872" s="20"/>
      <c r="BM1872" s="20"/>
      <c r="BN1872" s="20"/>
      <c r="BO1872" s="20"/>
      <c r="BP1872" s="20"/>
      <c r="BQ1872" s="20"/>
      <c r="BR1872" s="20"/>
      <c r="BS1872" s="20"/>
      <c r="BT1872" s="20"/>
      <c r="BU1872" s="20"/>
      <c r="BV1872" s="20"/>
      <c r="BW1872" s="20"/>
      <c r="BX1872" s="20"/>
      <c r="BY1872" s="20"/>
      <c r="BZ1872" s="20"/>
      <c r="CA1872" s="20"/>
      <c r="CB1872" s="20"/>
      <c r="CC1872" s="20"/>
      <c r="CD1872" s="20"/>
      <c r="CE1872" s="20"/>
      <c r="CF1872" s="20"/>
      <c r="CG1872" s="20"/>
      <c r="CH1872" s="20"/>
      <c r="CI1872" s="20"/>
      <c r="CJ1872" s="20"/>
      <c r="CK1872" s="20"/>
      <c r="CL1872" s="20"/>
      <c r="CM1872" s="20"/>
      <c r="CN1872" s="20"/>
      <c r="CO1872" s="20"/>
      <c r="CP1872" s="20"/>
      <c r="CQ1872" s="20"/>
      <c r="CR1872" s="20"/>
      <c r="CS1872" s="20"/>
      <c r="CT1872" s="20"/>
      <c r="CU1872" s="20"/>
      <c r="CV1872" s="20"/>
      <c r="CW1872" s="20"/>
      <c r="CX1872" s="20"/>
      <c r="CY1872" s="20"/>
      <c r="CZ1872" s="20"/>
      <c r="DA1872" s="20"/>
      <c r="DB1872" s="20"/>
      <c r="DC1872" s="20"/>
      <c r="DD1872" s="20"/>
      <c r="DE1872" s="20"/>
      <c r="DF1872" s="20"/>
      <c r="DG1872" s="20"/>
      <c r="DH1872" s="20"/>
      <c r="DI1872" s="20"/>
      <c r="DJ1872" s="20"/>
      <c r="DK1872" s="20"/>
      <c r="DL1872" s="20"/>
      <c r="DM1872" s="20"/>
      <c r="DN1872" s="20"/>
      <c r="DO1872" s="20"/>
      <c r="DP1872" s="20"/>
      <c r="DQ1872" s="20"/>
      <c r="DR1872" s="20"/>
      <c r="DS1872" s="20"/>
      <c r="DT1872" s="20"/>
      <c r="DU1872" s="20"/>
      <c r="DV1872" s="20"/>
      <c r="DW1872" s="20"/>
      <c r="DX1872" s="20"/>
      <c r="DY1872" s="20"/>
      <c r="DZ1872" s="20"/>
      <c r="EA1872" s="20"/>
      <c r="EB1872" s="20"/>
      <c r="EC1872" s="20"/>
      <c r="ED1872" s="20"/>
      <c r="EE1872" s="20"/>
      <c r="EF1872" s="20"/>
      <c r="EG1872" s="20"/>
      <c r="EH1872" s="20"/>
      <c r="EI1872" s="20"/>
      <c r="EJ1872" s="20"/>
      <c r="EK1872" s="20"/>
      <c r="EL1872" s="20"/>
      <c r="EM1872" s="20"/>
      <c r="EN1872" s="20"/>
      <c r="EO1872" s="20"/>
      <c r="EP1872" s="20"/>
      <c r="EQ1872" s="20"/>
      <c r="ER1872" s="20"/>
      <c r="ES1872" s="20"/>
      <c r="ET1872" s="20"/>
      <c r="EU1872" s="20"/>
      <c r="EV1872" s="20"/>
      <c r="EW1872" s="20"/>
      <c r="EX1872" s="20"/>
      <c r="EY1872" s="20"/>
      <c r="EZ1872" s="20"/>
      <c r="FA1872" s="20"/>
      <c r="FB1872" s="20"/>
      <c r="FC1872" s="20"/>
      <c r="FD1872" s="20"/>
      <c r="FE1872" s="20"/>
      <c r="FF1872" s="20"/>
      <c r="FG1872" s="20"/>
      <c r="FH1872" s="20"/>
      <c r="FI1872" s="20"/>
      <c r="FJ1872" s="20"/>
      <c r="FK1872" s="20"/>
      <c r="FL1872" s="20"/>
      <c r="FM1872" s="20"/>
      <c r="FN1872" s="20"/>
      <c r="FO1872" s="20"/>
      <c r="FP1872" s="20"/>
      <c r="FQ1872" s="20"/>
      <c r="FR1872" s="20"/>
      <c r="FS1872" s="20"/>
      <c r="FT1872" s="20"/>
      <c r="FU1872" s="20"/>
      <c r="FV1872" s="20"/>
      <c r="FW1872" s="20"/>
      <c r="FX1872" s="20"/>
      <c r="FY1872" s="20"/>
      <c r="FZ1872" s="20"/>
      <c r="GA1872" s="20"/>
      <c r="GB1872" s="20"/>
      <c r="GC1872" s="20"/>
      <c r="GD1872" s="20"/>
      <c r="GE1872" s="20"/>
      <c r="GF1872" s="20"/>
      <c r="GG1872" s="20"/>
      <c r="GH1872" s="20"/>
      <c r="GI1872" s="20"/>
      <c r="GJ1872" s="20"/>
      <c r="GK1872" s="20"/>
      <c r="GL1872" s="20"/>
      <c r="GM1872" s="20"/>
      <c r="GN1872" s="20"/>
      <c r="GO1872" s="20"/>
      <c r="GP1872" s="20"/>
      <c r="GQ1872" s="20"/>
      <c r="GR1872" s="20"/>
      <c r="GS1872" s="20"/>
      <c r="GT1872" s="20"/>
      <c r="GU1872" s="20"/>
      <c r="GV1872" s="20"/>
      <c r="GW1872" s="20"/>
      <c r="GX1872" s="20"/>
      <c r="GY1872" s="20"/>
      <c r="GZ1872" s="20"/>
      <c r="HA1872" s="20"/>
      <c r="HB1872" s="20"/>
      <c r="HC1872" s="20"/>
      <c r="HD1872" s="20"/>
      <c r="HE1872" s="20"/>
      <c r="HF1872" s="20"/>
      <c r="HG1872" s="20"/>
      <c r="HH1872" s="20"/>
      <c r="HI1872" s="20"/>
      <c r="HJ1872" s="20"/>
      <c r="HK1872" s="20"/>
      <c r="HL1872" s="20"/>
      <c r="HM1872" s="20"/>
      <c r="HN1872" s="20"/>
      <c r="HO1872" s="20"/>
      <c r="HP1872" s="20"/>
      <c r="HQ1872" s="20"/>
      <c r="HR1872" s="20"/>
      <c r="HS1872" s="20"/>
      <c r="HT1872" s="20"/>
      <c r="HU1872" s="20"/>
      <c r="HV1872" s="20"/>
      <c r="HW1872" s="20"/>
      <c r="HX1872" s="20"/>
      <c r="HY1872" s="20"/>
      <c r="HZ1872" s="20"/>
      <c r="IA1872" s="20"/>
      <c r="IB1872" s="20"/>
      <c r="IC1872" s="20"/>
      <c r="ID1872" s="20"/>
      <c r="IE1872" s="20"/>
      <c r="IF1872" s="20"/>
      <c r="IG1872" s="20"/>
      <c r="IH1872" s="20"/>
      <c r="II1872" s="20"/>
      <c r="IJ1872" s="20"/>
      <c r="IK1872" s="20"/>
      <c r="IL1872" s="20"/>
      <c r="IM1872" s="20"/>
      <c r="IN1872" s="20"/>
      <c r="IO1872" s="20"/>
    </row>
    <row r="1873" spans="1:249" ht="66">
      <c r="A1873" s="410"/>
      <c r="B1873" s="409"/>
      <c r="C1873" s="1253">
        <v>3</v>
      </c>
      <c r="D1873" s="1164" t="s">
        <v>34</v>
      </c>
      <c r="E1873" s="1164" t="s">
        <v>78</v>
      </c>
      <c r="F1873" s="1164" t="s">
        <v>25</v>
      </c>
      <c r="G1873" s="1253">
        <v>29</v>
      </c>
      <c r="H1873" s="1254" t="s">
        <v>29</v>
      </c>
      <c r="I1873" s="280" t="s">
        <v>1815</v>
      </c>
      <c r="J1873" s="411" t="s">
        <v>1816</v>
      </c>
      <c r="K1873" s="413">
        <v>646</v>
      </c>
      <c r="L1873" s="1255">
        <v>1705162000</v>
      </c>
      <c r="M1873" s="413">
        <v>206</v>
      </c>
      <c r="N1873" s="415">
        <v>524700702</v>
      </c>
      <c r="O1873" s="413">
        <v>206</v>
      </c>
      <c r="P1873" s="415">
        <v>1673069546</v>
      </c>
      <c r="Q1873" s="413">
        <v>80</v>
      </c>
      <c r="R1873" s="415">
        <v>36118600</v>
      </c>
      <c r="S1873" s="410">
        <v>80</v>
      </c>
      <c r="T1873" s="1257">
        <v>783174375</v>
      </c>
      <c r="U1873" s="413"/>
      <c r="V1873" s="418"/>
      <c r="W1873" s="413"/>
      <c r="X1873" s="1256"/>
      <c r="Y1873" s="409">
        <f t="shared" si="532"/>
        <v>160</v>
      </c>
      <c r="Z1873" s="414">
        <f t="shared" si="533"/>
        <v>819292975</v>
      </c>
      <c r="AA1873" s="409">
        <f t="shared" si="534"/>
        <v>366</v>
      </c>
      <c r="AB1873" s="1259">
        <f t="shared" si="535"/>
        <v>1343993677</v>
      </c>
      <c r="AC1873" s="1260">
        <f>AA1873/K1873*100</f>
        <v>56.656346749226003</v>
      </c>
      <c r="AD1873" s="1260">
        <f>AB1873/L1873*100</f>
        <v>78.819119649628604</v>
      </c>
      <c r="AE1873" s="102"/>
      <c r="AF1873" s="201"/>
      <c r="AG1873" s="201"/>
      <c r="AH1873" s="201"/>
      <c r="AI1873" s="201"/>
      <c r="AJ1873" s="201"/>
      <c r="AK1873" s="201"/>
      <c r="AL1873" s="201"/>
      <c r="AM1873" s="201"/>
      <c r="AN1873" s="201"/>
      <c r="AO1873" s="201"/>
      <c r="AP1873" s="201"/>
      <c r="AQ1873" s="201"/>
      <c r="AR1873" s="201"/>
      <c r="AS1873" s="201"/>
      <c r="AT1873" s="201"/>
      <c r="AU1873" s="201"/>
      <c r="AV1873" s="201"/>
      <c r="AW1873" s="201"/>
      <c r="AX1873" s="201"/>
      <c r="AY1873" s="201"/>
      <c r="AZ1873" s="201"/>
      <c r="BA1873" s="201"/>
      <c r="BB1873" s="201"/>
      <c r="BC1873" s="20"/>
      <c r="BD1873" s="20"/>
      <c r="BE1873" s="20"/>
      <c r="BF1873" s="20"/>
      <c r="BG1873" s="20"/>
      <c r="BH1873" s="20"/>
      <c r="BI1873" s="20"/>
      <c r="BJ1873" s="20"/>
      <c r="BK1873" s="20"/>
      <c r="BL1873" s="20"/>
      <c r="BM1873" s="20"/>
      <c r="BN1873" s="20"/>
      <c r="BO1873" s="20"/>
      <c r="BP1873" s="20"/>
      <c r="BQ1873" s="20"/>
      <c r="BR1873" s="20"/>
      <c r="BS1873" s="20"/>
      <c r="BT1873" s="20"/>
      <c r="BU1873" s="20"/>
      <c r="BV1873" s="20"/>
      <c r="BW1873" s="20"/>
      <c r="BX1873" s="20"/>
      <c r="BY1873" s="20"/>
      <c r="BZ1873" s="20"/>
      <c r="CA1873" s="20"/>
      <c r="CB1873" s="20"/>
      <c r="CC1873" s="20"/>
      <c r="CD1873" s="20"/>
      <c r="CE1873" s="20"/>
      <c r="CF1873" s="20"/>
      <c r="CG1873" s="20"/>
      <c r="CH1873" s="20"/>
      <c r="CI1873" s="20"/>
      <c r="CJ1873" s="20"/>
      <c r="CK1873" s="20"/>
      <c r="CL1873" s="20"/>
      <c r="CM1873" s="20"/>
      <c r="CN1873" s="20"/>
      <c r="CO1873" s="20"/>
      <c r="CP1873" s="20"/>
      <c r="CQ1873" s="20"/>
      <c r="CR1873" s="20"/>
      <c r="CS1873" s="20"/>
      <c r="CT1873" s="20"/>
      <c r="CU1873" s="20"/>
      <c r="CV1873" s="20"/>
      <c r="CW1873" s="20"/>
      <c r="CX1873" s="20"/>
      <c r="CY1873" s="20"/>
      <c r="CZ1873" s="20"/>
      <c r="DA1873" s="20"/>
      <c r="DB1873" s="20"/>
      <c r="DC1873" s="20"/>
      <c r="DD1873" s="20"/>
      <c r="DE1873" s="20"/>
      <c r="DF1873" s="20"/>
      <c r="DG1873" s="20"/>
      <c r="DH1873" s="20"/>
      <c r="DI1873" s="20"/>
      <c r="DJ1873" s="20"/>
      <c r="DK1873" s="20"/>
      <c r="DL1873" s="20"/>
      <c r="DM1873" s="20"/>
      <c r="DN1873" s="20"/>
      <c r="DO1873" s="20"/>
      <c r="DP1873" s="20"/>
      <c r="DQ1873" s="20"/>
      <c r="DR1873" s="20"/>
      <c r="DS1873" s="20"/>
      <c r="DT1873" s="20"/>
      <c r="DU1873" s="20"/>
      <c r="DV1873" s="20"/>
      <c r="DW1873" s="20"/>
      <c r="DX1873" s="20"/>
      <c r="DY1873" s="20"/>
      <c r="DZ1873" s="20"/>
      <c r="EA1873" s="20"/>
      <c r="EB1873" s="20"/>
      <c r="EC1873" s="20"/>
      <c r="ED1873" s="20"/>
      <c r="EE1873" s="20"/>
      <c r="EF1873" s="20"/>
      <c r="EG1873" s="20"/>
      <c r="EH1873" s="20"/>
      <c r="EI1873" s="20"/>
      <c r="EJ1873" s="20"/>
      <c r="EK1873" s="20"/>
      <c r="EL1873" s="20"/>
      <c r="EM1873" s="20"/>
      <c r="EN1873" s="20"/>
      <c r="EO1873" s="20"/>
      <c r="EP1873" s="20"/>
      <c r="EQ1873" s="20"/>
      <c r="ER1873" s="20"/>
      <c r="ES1873" s="20"/>
      <c r="ET1873" s="20"/>
      <c r="EU1873" s="20"/>
      <c r="EV1873" s="20"/>
      <c r="EW1873" s="20"/>
      <c r="EX1873" s="20"/>
      <c r="EY1873" s="20"/>
      <c r="EZ1873" s="20"/>
      <c r="FA1873" s="20"/>
      <c r="FB1873" s="20"/>
      <c r="FC1873" s="20"/>
      <c r="FD1873" s="20"/>
      <c r="FE1873" s="20"/>
      <c r="FF1873" s="20"/>
      <c r="FG1873" s="20"/>
      <c r="FH1873" s="20"/>
      <c r="FI1873" s="20"/>
      <c r="FJ1873" s="20"/>
      <c r="FK1873" s="20"/>
      <c r="FL1873" s="20"/>
      <c r="FM1873" s="20"/>
      <c r="FN1873" s="20"/>
      <c r="FO1873" s="20"/>
      <c r="FP1873" s="20"/>
      <c r="FQ1873" s="20"/>
      <c r="FR1873" s="20"/>
      <c r="FS1873" s="20"/>
      <c r="FT1873" s="20"/>
      <c r="FU1873" s="20"/>
      <c r="FV1873" s="20"/>
      <c r="FW1873" s="20"/>
      <c r="FX1873" s="20"/>
      <c r="FY1873" s="20"/>
      <c r="FZ1873" s="20"/>
      <c r="GA1873" s="20"/>
      <c r="GB1873" s="20"/>
      <c r="GC1873" s="20"/>
      <c r="GD1873" s="20"/>
      <c r="GE1873" s="20"/>
      <c r="GF1873" s="20"/>
      <c r="GG1873" s="20"/>
      <c r="GH1873" s="20"/>
      <c r="GI1873" s="20"/>
      <c r="GJ1873" s="20"/>
      <c r="GK1873" s="20"/>
      <c r="GL1873" s="20"/>
      <c r="GM1873" s="20"/>
      <c r="GN1873" s="20"/>
      <c r="GO1873" s="20"/>
      <c r="GP1873" s="20"/>
      <c r="GQ1873" s="20"/>
      <c r="GR1873" s="20"/>
      <c r="GS1873" s="20"/>
      <c r="GT1873" s="20"/>
      <c r="GU1873" s="20"/>
      <c r="GV1873" s="20"/>
      <c r="GW1873" s="20"/>
      <c r="GX1873" s="20"/>
      <c r="GY1873" s="20"/>
      <c r="GZ1873" s="20"/>
      <c r="HA1873" s="20"/>
      <c r="HB1873" s="20"/>
      <c r="HC1873" s="20"/>
      <c r="HD1873" s="20"/>
      <c r="HE1873" s="20"/>
      <c r="HF1873" s="20"/>
      <c r="HG1873" s="20"/>
      <c r="HH1873" s="20"/>
      <c r="HI1873" s="20"/>
      <c r="HJ1873" s="20"/>
      <c r="HK1873" s="20"/>
      <c r="HL1873" s="20"/>
      <c r="HM1873" s="20"/>
      <c r="HN1873" s="20"/>
      <c r="HO1873" s="20"/>
      <c r="HP1873" s="20"/>
      <c r="HQ1873" s="20"/>
      <c r="HR1873" s="20"/>
      <c r="HS1873" s="20"/>
      <c r="HT1873" s="20"/>
      <c r="HU1873" s="20"/>
      <c r="HV1873" s="20"/>
      <c r="HW1873" s="20"/>
      <c r="HX1873" s="20"/>
      <c r="HY1873" s="20"/>
      <c r="HZ1873" s="20"/>
      <c r="IA1873" s="20"/>
      <c r="IB1873" s="20"/>
      <c r="IC1873" s="20"/>
      <c r="ID1873" s="20"/>
      <c r="IE1873" s="20"/>
      <c r="IF1873" s="20"/>
      <c r="IG1873" s="20"/>
      <c r="IH1873" s="20"/>
      <c r="II1873" s="20"/>
      <c r="IJ1873" s="20"/>
      <c r="IK1873" s="20"/>
      <c r="IL1873" s="20"/>
      <c r="IM1873" s="20"/>
      <c r="IN1873" s="20"/>
      <c r="IO1873" s="20"/>
    </row>
    <row r="1874" spans="1:249" ht="21.75" customHeight="1">
      <c r="A1874" s="2751" t="s">
        <v>63</v>
      </c>
      <c r="B1874" s="2751"/>
      <c r="C1874" s="2751"/>
      <c r="D1874" s="2751"/>
      <c r="E1874" s="2751"/>
      <c r="F1874" s="2751"/>
      <c r="G1874" s="2751"/>
      <c r="H1874" s="2751"/>
      <c r="I1874" s="2751"/>
      <c r="J1874" s="2751"/>
      <c r="K1874" s="2751"/>
      <c r="L1874" s="2751"/>
      <c r="M1874" s="2751"/>
      <c r="N1874" s="2751"/>
      <c r="O1874" s="2751"/>
      <c r="P1874" s="2751"/>
      <c r="Q1874" s="2751"/>
      <c r="R1874" s="2751"/>
      <c r="S1874" s="2751"/>
      <c r="T1874" s="2751"/>
      <c r="U1874" s="2751"/>
      <c r="V1874" s="2751"/>
      <c r="W1874" s="2751"/>
      <c r="X1874" s="2751"/>
      <c r="Y1874" s="2751"/>
      <c r="Z1874" s="2751"/>
      <c r="AA1874" s="2751"/>
      <c r="AB1874" s="2752"/>
      <c r="AC1874" s="965">
        <f>(AC1827+AC1839+AC1845+AC1848+AC1850+AC1869+AC1870)/7</f>
        <v>66.717641503978896</v>
      </c>
      <c r="AD1874" s="965">
        <f>(AD1827+AD1839+AD1845+AD1848+AD1850+AD1869)/6</f>
        <v>47.481223739728911</v>
      </c>
      <c r="AE1874" s="131"/>
      <c r="AF1874" s="201"/>
      <c r="AG1874" s="201"/>
      <c r="AH1874" s="201"/>
      <c r="AI1874" s="201"/>
      <c r="AJ1874" s="201"/>
      <c r="AK1874" s="201"/>
      <c r="AL1874" s="201"/>
      <c r="AM1874" s="201"/>
      <c r="AN1874" s="201"/>
      <c r="AO1874" s="201"/>
      <c r="AP1874" s="201"/>
      <c r="AQ1874" s="201"/>
      <c r="AR1874" s="201"/>
      <c r="AS1874" s="201"/>
      <c r="AT1874" s="201"/>
      <c r="AU1874" s="201"/>
      <c r="AV1874" s="201"/>
      <c r="AW1874" s="201"/>
      <c r="AX1874" s="201"/>
      <c r="AY1874" s="201"/>
      <c r="AZ1874" s="201"/>
      <c r="BA1874" s="201"/>
      <c r="BB1874" s="201"/>
      <c r="BC1874" s="20"/>
      <c r="BD1874" s="20"/>
      <c r="BE1874" s="20"/>
      <c r="BF1874" s="20"/>
      <c r="BG1874" s="20"/>
      <c r="BH1874" s="20"/>
      <c r="BI1874" s="20"/>
      <c r="BJ1874" s="20"/>
      <c r="BK1874" s="20"/>
      <c r="BL1874" s="20"/>
      <c r="BM1874" s="20"/>
      <c r="BN1874" s="20"/>
      <c r="BO1874" s="20"/>
      <c r="BP1874" s="20"/>
      <c r="BQ1874" s="20"/>
      <c r="BR1874" s="20"/>
      <c r="BS1874" s="20"/>
      <c r="BT1874" s="20"/>
      <c r="BU1874" s="20"/>
      <c r="BV1874" s="20"/>
      <c r="BW1874" s="20"/>
      <c r="BX1874" s="20"/>
      <c r="BY1874" s="20"/>
      <c r="BZ1874" s="20"/>
      <c r="CA1874" s="20"/>
      <c r="CB1874" s="20"/>
      <c r="CC1874" s="20"/>
      <c r="CD1874" s="20"/>
      <c r="CE1874" s="20"/>
      <c r="CF1874" s="20"/>
      <c r="CG1874" s="20"/>
      <c r="CH1874" s="20"/>
      <c r="CI1874" s="20"/>
      <c r="CJ1874" s="20"/>
      <c r="CK1874" s="20"/>
      <c r="CL1874" s="20"/>
      <c r="CM1874" s="20"/>
      <c r="CN1874" s="20"/>
      <c r="CO1874" s="20"/>
      <c r="CP1874" s="20"/>
      <c r="CQ1874" s="20"/>
      <c r="CR1874" s="20"/>
      <c r="CS1874" s="20"/>
      <c r="CT1874" s="20"/>
      <c r="CU1874" s="20"/>
      <c r="CV1874" s="20"/>
      <c r="CW1874" s="20"/>
      <c r="CX1874" s="20"/>
      <c r="CY1874" s="20"/>
      <c r="CZ1874" s="20"/>
      <c r="DA1874" s="20"/>
      <c r="DB1874" s="20"/>
      <c r="DC1874" s="20"/>
      <c r="DD1874" s="20"/>
      <c r="DE1874" s="20"/>
      <c r="DF1874" s="20"/>
      <c r="DG1874" s="20"/>
      <c r="DH1874" s="20"/>
      <c r="DI1874" s="20"/>
      <c r="DJ1874" s="20"/>
      <c r="DK1874" s="20"/>
      <c r="DL1874" s="20"/>
      <c r="DM1874" s="20"/>
      <c r="DN1874" s="20"/>
      <c r="DO1874" s="20"/>
      <c r="DP1874" s="20"/>
      <c r="DQ1874" s="20"/>
      <c r="DR1874" s="20"/>
      <c r="DS1874" s="20"/>
      <c r="DT1874" s="20"/>
      <c r="DU1874" s="20"/>
      <c r="DV1874" s="20"/>
      <c r="DW1874" s="20"/>
      <c r="DX1874" s="20"/>
      <c r="DY1874" s="20"/>
      <c r="DZ1874" s="20"/>
      <c r="EA1874" s="20"/>
      <c r="EB1874" s="20"/>
      <c r="EC1874" s="20"/>
      <c r="ED1874" s="20"/>
      <c r="EE1874" s="20"/>
      <c r="EF1874" s="20"/>
      <c r="EG1874" s="20"/>
      <c r="EH1874" s="20"/>
      <c r="EI1874" s="20"/>
      <c r="EJ1874" s="20"/>
      <c r="EK1874" s="20"/>
      <c r="EL1874" s="20"/>
      <c r="EM1874" s="20"/>
      <c r="EN1874" s="20"/>
      <c r="EO1874" s="20"/>
      <c r="EP1874" s="20"/>
      <c r="EQ1874" s="20"/>
      <c r="ER1874" s="20"/>
      <c r="ES1874" s="20"/>
      <c r="ET1874" s="20"/>
      <c r="EU1874" s="20"/>
      <c r="EV1874" s="20"/>
      <c r="EW1874" s="20"/>
      <c r="EX1874" s="20"/>
      <c r="EY1874" s="20"/>
      <c r="EZ1874" s="20"/>
      <c r="FA1874" s="20"/>
      <c r="FB1874" s="20"/>
      <c r="FC1874" s="20"/>
      <c r="FD1874" s="20"/>
      <c r="FE1874" s="20"/>
      <c r="FF1874" s="20"/>
      <c r="FG1874" s="20"/>
      <c r="FH1874" s="20"/>
      <c r="FI1874" s="20"/>
      <c r="FJ1874" s="20"/>
      <c r="FK1874" s="20"/>
      <c r="FL1874" s="20"/>
      <c r="FM1874" s="20"/>
      <c r="FN1874" s="20"/>
      <c r="FO1874" s="20"/>
      <c r="FP1874" s="20"/>
      <c r="FQ1874" s="20"/>
      <c r="FR1874" s="20"/>
      <c r="FS1874" s="20"/>
      <c r="FT1874" s="20"/>
      <c r="FU1874" s="20"/>
      <c r="FV1874" s="20"/>
      <c r="FW1874" s="20"/>
      <c r="FX1874" s="20"/>
      <c r="FY1874" s="20"/>
      <c r="FZ1874" s="20"/>
      <c r="GA1874" s="20"/>
      <c r="GB1874" s="20"/>
      <c r="GC1874" s="20"/>
      <c r="GD1874" s="20"/>
      <c r="GE1874" s="20"/>
      <c r="GF1874" s="20"/>
      <c r="GG1874" s="20"/>
      <c r="GH1874" s="20"/>
      <c r="GI1874" s="20"/>
      <c r="GJ1874" s="20"/>
      <c r="GK1874" s="20"/>
      <c r="GL1874" s="20"/>
      <c r="GM1874" s="20"/>
      <c r="GN1874" s="20"/>
      <c r="GO1874" s="20"/>
      <c r="GP1874" s="20"/>
      <c r="GQ1874" s="20"/>
      <c r="GR1874" s="20"/>
      <c r="GS1874" s="20"/>
      <c r="GT1874" s="20"/>
      <c r="GU1874" s="20"/>
      <c r="GV1874" s="20"/>
      <c r="GW1874" s="20"/>
      <c r="GX1874" s="20"/>
      <c r="GY1874" s="20"/>
      <c r="GZ1874" s="20"/>
      <c r="HA1874" s="20"/>
      <c r="HB1874" s="20"/>
      <c r="HC1874" s="20"/>
      <c r="HD1874" s="20"/>
      <c r="HE1874" s="20"/>
      <c r="HF1874" s="20"/>
      <c r="HG1874" s="20"/>
      <c r="HH1874" s="20"/>
      <c r="HI1874" s="20"/>
      <c r="HJ1874" s="20"/>
      <c r="HK1874" s="20"/>
      <c r="HL1874" s="20"/>
      <c r="HM1874" s="20"/>
      <c r="HN1874" s="20"/>
      <c r="HO1874" s="20"/>
      <c r="HP1874" s="20"/>
      <c r="HQ1874" s="20"/>
      <c r="HR1874" s="20"/>
      <c r="HS1874" s="20"/>
      <c r="HT1874" s="20"/>
      <c r="HU1874" s="20"/>
      <c r="HV1874" s="20"/>
      <c r="HW1874" s="20"/>
      <c r="HX1874" s="20"/>
      <c r="HY1874" s="20"/>
      <c r="HZ1874" s="20"/>
      <c r="IA1874" s="20"/>
      <c r="IB1874" s="20"/>
      <c r="IC1874" s="20"/>
      <c r="ID1874" s="20"/>
      <c r="IE1874" s="20"/>
      <c r="IF1874" s="20"/>
      <c r="IG1874" s="20"/>
      <c r="IH1874" s="20"/>
      <c r="II1874" s="20"/>
      <c r="IJ1874" s="20"/>
      <c r="IK1874" s="20"/>
      <c r="IL1874" s="20"/>
      <c r="IM1874" s="20"/>
      <c r="IN1874" s="20"/>
      <c r="IO1874" s="20"/>
    </row>
    <row r="1875" spans="1:249" ht="21.75" customHeight="1">
      <c r="A1875" s="2580"/>
      <c r="B1875" s="1886"/>
      <c r="C1875" s="1887"/>
      <c r="D1875" s="1887"/>
      <c r="E1875" s="1887"/>
      <c r="F1875" s="1887"/>
      <c r="G1875" s="1887"/>
      <c r="H1875" s="1887"/>
      <c r="I1875" s="1886"/>
      <c r="J1875" s="1886"/>
      <c r="K1875" s="1886"/>
      <c r="L1875" s="1886"/>
      <c r="M1875" s="1886"/>
      <c r="N1875" s="1886"/>
      <c r="O1875" s="1886"/>
      <c r="P1875" s="1886"/>
      <c r="Q1875" s="1886"/>
      <c r="R1875" s="1886"/>
      <c r="S1875" s="1886"/>
      <c r="T1875" s="1886"/>
      <c r="U1875" s="1886"/>
      <c r="V1875" s="1886"/>
      <c r="W1875" s="1886"/>
      <c r="X1875" s="1886"/>
      <c r="Y1875" s="1886"/>
      <c r="Z1875" s="1886"/>
      <c r="AA1875" s="1886"/>
      <c r="AB1875" s="1888" t="s">
        <v>64</v>
      </c>
      <c r="AC1875" s="1861" t="str">
        <f>IF(AC1874&gt;=91,"ST",IF(AC1874&gt;=76,"T",IF(AC1874&gt;=66,"S",IF(AC1874&gt;=51,"R","SR"))))</f>
        <v>S</v>
      </c>
      <c r="AD1875" s="1861" t="str">
        <f>IF(AD1874&gt;=91,"ST",IF(AD1874&gt;=76,"T",IF(AD1874&gt;=66,"S",IF(AD1874&gt;=51,"R","SR"))))</f>
        <v>SR</v>
      </c>
      <c r="AE1875" s="131"/>
      <c r="AF1875" s="201"/>
      <c r="AG1875" s="201"/>
      <c r="AH1875" s="201"/>
      <c r="AI1875" s="201"/>
      <c r="AJ1875" s="201"/>
      <c r="AK1875" s="201"/>
      <c r="AL1875" s="201"/>
      <c r="AM1875" s="201"/>
      <c r="AN1875" s="201"/>
      <c r="AO1875" s="201"/>
      <c r="AP1875" s="201"/>
      <c r="AQ1875" s="201"/>
      <c r="AR1875" s="201"/>
      <c r="AS1875" s="201"/>
      <c r="AT1875" s="201"/>
      <c r="AU1875" s="201"/>
      <c r="AV1875" s="201"/>
      <c r="AW1875" s="201"/>
      <c r="AX1875" s="201"/>
      <c r="AY1875" s="201"/>
      <c r="AZ1875" s="201"/>
      <c r="BA1875" s="201"/>
      <c r="BB1875" s="201"/>
      <c r="BC1875" s="20"/>
      <c r="BD1875" s="20"/>
      <c r="BE1875" s="20"/>
      <c r="BF1875" s="20"/>
      <c r="BG1875" s="20"/>
      <c r="BH1875" s="20"/>
      <c r="BI1875" s="20"/>
      <c r="BJ1875" s="20"/>
      <c r="BK1875" s="20"/>
      <c r="BL1875" s="20"/>
      <c r="BM1875" s="20"/>
      <c r="BN1875" s="20"/>
      <c r="BO1875" s="20"/>
      <c r="BP1875" s="20"/>
      <c r="BQ1875" s="20"/>
      <c r="BR1875" s="20"/>
      <c r="BS1875" s="20"/>
      <c r="BT1875" s="20"/>
      <c r="BU1875" s="20"/>
      <c r="BV1875" s="20"/>
      <c r="BW1875" s="20"/>
      <c r="BX1875" s="20"/>
      <c r="BY1875" s="20"/>
      <c r="BZ1875" s="20"/>
      <c r="CA1875" s="20"/>
      <c r="CB1875" s="20"/>
      <c r="CC1875" s="20"/>
      <c r="CD1875" s="20"/>
      <c r="CE1875" s="20"/>
      <c r="CF1875" s="20"/>
      <c r="CG1875" s="20"/>
      <c r="CH1875" s="20"/>
      <c r="CI1875" s="20"/>
      <c r="CJ1875" s="20"/>
      <c r="CK1875" s="20"/>
      <c r="CL1875" s="20"/>
      <c r="CM1875" s="20"/>
      <c r="CN1875" s="20"/>
      <c r="CO1875" s="20"/>
      <c r="CP1875" s="20"/>
      <c r="CQ1875" s="20"/>
      <c r="CR1875" s="20"/>
      <c r="CS1875" s="20"/>
      <c r="CT1875" s="20"/>
      <c r="CU1875" s="20"/>
      <c r="CV1875" s="20"/>
      <c r="CW1875" s="20"/>
      <c r="CX1875" s="20"/>
      <c r="CY1875" s="20"/>
      <c r="CZ1875" s="20"/>
      <c r="DA1875" s="20"/>
      <c r="DB1875" s="20"/>
      <c r="DC1875" s="20"/>
      <c r="DD1875" s="20"/>
      <c r="DE1875" s="20"/>
      <c r="DF1875" s="20"/>
      <c r="DG1875" s="20"/>
      <c r="DH1875" s="20"/>
      <c r="DI1875" s="20"/>
      <c r="DJ1875" s="20"/>
      <c r="DK1875" s="20"/>
      <c r="DL1875" s="20"/>
      <c r="DM1875" s="20"/>
      <c r="DN1875" s="20"/>
      <c r="DO1875" s="20"/>
      <c r="DP1875" s="20"/>
      <c r="DQ1875" s="20"/>
      <c r="DR1875" s="20"/>
      <c r="DS1875" s="20"/>
      <c r="DT1875" s="20"/>
      <c r="DU1875" s="20"/>
      <c r="DV1875" s="20"/>
      <c r="DW1875" s="20"/>
      <c r="DX1875" s="20"/>
      <c r="DY1875" s="20"/>
      <c r="DZ1875" s="20"/>
      <c r="EA1875" s="20"/>
      <c r="EB1875" s="20"/>
      <c r="EC1875" s="20"/>
      <c r="ED1875" s="20"/>
      <c r="EE1875" s="20"/>
      <c r="EF1875" s="20"/>
      <c r="EG1875" s="20"/>
      <c r="EH1875" s="20"/>
      <c r="EI1875" s="20"/>
      <c r="EJ1875" s="20"/>
      <c r="EK1875" s="20"/>
      <c r="EL1875" s="20"/>
      <c r="EM1875" s="20"/>
      <c r="EN1875" s="20"/>
      <c r="EO1875" s="20"/>
      <c r="EP1875" s="20"/>
      <c r="EQ1875" s="20"/>
      <c r="ER1875" s="20"/>
      <c r="ES1875" s="20"/>
      <c r="ET1875" s="20"/>
      <c r="EU1875" s="20"/>
      <c r="EV1875" s="20"/>
      <c r="EW1875" s="20"/>
      <c r="EX1875" s="20"/>
      <c r="EY1875" s="20"/>
      <c r="EZ1875" s="20"/>
      <c r="FA1875" s="20"/>
      <c r="FB1875" s="20"/>
      <c r="FC1875" s="20"/>
      <c r="FD1875" s="20"/>
      <c r="FE1875" s="20"/>
      <c r="FF1875" s="20"/>
      <c r="FG1875" s="20"/>
      <c r="FH1875" s="20"/>
      <c r="FI1875" s="20"/>
      <c r="FJ1875" s="20"/>
      <c r="FK1875" s="20"/>
      <c r="FL1875" s="20"/>
      <c r="FM1875" s="20"/>
      <c r="FN1875" s="20"/>
      <c r="FO1875" s="20"/>
      <c r="FP1875" s="20"/>
      <c r="FQ1875" s="20"/>
      <c r="FR1875" s="20"/>
      <c r="FS1875" s="20"/>
      <c r="FT1875" s="20"/>
      <c r="FU1875" s="20"/>
      <c r="FV1875" s="20"/>
      <c r="FW1875" s="20"/>
      <c r="FX1875" s="20"/>
      <c r="FY1875" s="20"/>
      <c r="FZ1875" s="20"/>
      <c r="GA1875" s="20"/>
      <c r="GB1875" s="20"/>
      <c r="GC1875" s="20"/>
      <c r="GD1875" s="20"/>
      <c r="GE1875" s="20"/>
      <c r="GF1875" s="20"/>
      <c r="GG1875" s="20"/>
      <c r="GH1875" s="20"/>
      <c r="GI1875" s="20"/>
      <c r="GJ1875" s="20"/>
      <c r="GK1875" s="20"/>
      <c r="GL1875" s="20"/>
      <c r="GM1875" s="20"/>
      <c r="GN1875" s="20"/>
      <c r="GO1875" s="20"/>
      <c r="GP1875" s="20"/>
      <c r="GQ1875" s="20"/>
      <c r="GR1875" s="20"/>
      <c r="GS1875" s="20"/>
      <c r="GT1875" s="20"/>
      <c r="GU1875" s="20"/>
      <c r="GV1875" s="20"/>
      <c r="GW1875" s="20"/>
      <c r="GX1875" s="20"/>
      <c r="GY1875" s="20"/>
      <c r="GZ1875" s="20"/>
      <c r="HA1875" s="20"/>
      <c r="HB1875" s="20"/>
      <c r="HC1875" s="20"/>
      <c r="HD1875" s="20"/>
      <c r="HE1875" s="20"/>
      <c r="HF1875" s="20"/>
      <c r="HG1875" s="20"/>
      <c r="HH1875" s="20"/>
      <c r="HI1875" s="20"/>
      <c r="HJ1875" s="20"/>
      <c r="HK1875" s="20"/>
      <c r="HL1875" s="20"/>
      <c r="HM1875" s="20"/>
      <c r="HN1875" s="20"/>
      <c r="HO1875" s="20"/>
      <c r="HP1875" s="20"/>
      <c r="HQ1875" s="20"/>
      <c r="HR1875" s="20"/>
      <c r="HS1875" s="20"/>
      <c r="HT1875" s="20"/>
      <c r="HU1875" s="20"/>
      <c r="HV1875" s="20"/>
      <c r="HW1875" s="20"/>
      <c r="HX1875" s="20"/>
      <c r="HY1875" s="20"/>
      <c r="HZ1875" s="20"/>
      <c r="IA1875" s="20"/>
      <c r="IB1875" s="20"/>
      <c r="IC1875" s="20"/>
      <c r="ID1875" s="20"/>
      <c r="IE1875" s="20"/>
      <c r="IF1875" s="20"/>
      <c r="IG1875" s="20"/>
      <c r="IH1875" s="20"/>
      <c r="II1875" s="20"/>
      <c r="IJ1875" s="20"/>
      <c r="IK1875" s="20"/>
      <c r="IL1875" s="20"/>
      <c r="IM1875" s="20"/>
      <c r="IN1875" s="20"/>
      <c r="IO1875" s="20"/>
    </row>
    <row r="1876" spans="1:249" ht="30" customHeight="1">
      <c r="A1876" s="863" t="s">
        <v>86</v>
      </c>
      <c r="B1876" s="1618"/>
      <c r="C1876" s="863"/>
      <c r="D1876" s="863"/>
      <c r="E1876" s="863"/>
      <c r="F1876" s="863"/>
      <c r="G1876" s="863"/>
      <c r="H1876" s="863"/>
      <c r="I1876" s="2746" t="s">
        <v>235</v>
      </c>
      <c r="J1876" s="2747"/>
      <c r="K1876" s="1618"/>
      <c r="L1876" s="1669">
        <f>L1877+L1879+L1882</f>
        <v>3798686239</v>
      </c>
      <c r="M1876" s="1618"/>
      <c r="N1876" s="1320">
        <f>N1877+N1879+N1882</f>
        <v>120785720</v>
      </c>
      <c r="O1876" s="1882"/>
      <c r="P1876" s="1517">
        <f>P1877+P1879+P1882</f>
        <v>494469200</v>
      </c>
      <c r="Q1876" s="1883"/>
      <c r="R1876" s="1320">
        <f>R1877+R1879+R1882</f>
        <v>21780500</v>
      </c>
      <c r="S1876" s="1618"/>
      <c r="T1876" s="1320">
        <f>T1877+T1879+T1882</f>
        <v>70451467</v>
      </c>
      <c r="U1876" s="1618"/>
      <c r="V1876" s="1680">
        <v>0</v>
      </c>
      <c r="W1876" s="1618">
        <v>0</v>
      </c>
      <c r="X1876" s="1669">
        <v>0</v>
      </c>
      <c r="Y1876" s="1866"/>
      <c r="Z1876" s="1320">
        <f>Z1877+Z1879+Z1882</f>
        <v>92231967</v>
      </c>
      <c r="AA1876" s="1618"/>
      <c r="AB1876" s="1320">
        <f>AB1877+AB1879+AB1882</f>
        <v>213017687</v>
      </c>
      <c r="AC1876" s="1618"/>
      <c r="AD1876" s="1618"/>
      <c r="AE1876" s="863"/>
      <c r="AF1876" s="201"/>
      <c r="AG1876" s="201"/>
      <c r="AH1876" s="201"/>
      <c r="AI1876" s="201"/>
      <c r="AJ1876" s="201"/>
      <c r="AK1876" s="201"/>
      <c r="AL1876" s="201"/>
      <c r="AM1876" s="201"/>
      <c r="AN1876" s="201"/>
      <c r="AO1876" s="201"/>
      <c r="AP1876" s="201"/>
      <c r="AQ1876" s="201"/>
      <c r="AR1876" s="201"/>
      <c r="AS1876" s="201"/>
      <c r="AT1876" s="201"/>
      <c r="AU1876" s="201"/>
      <c r="AV1876" s="201"/>
      <c r="AW1876" s="201"/>
      <c r="AX1876" s="201"/>
      <c r="AY1876" s="201"/>
      <c r="AZ1876" s="201"/>
      <c r="BA1876" s="201"/>
      <c r="BB1876" s="201"/>
      <c r="BC1876" s="20"/>
      <c r="BD1876" s="20"/>
      <c r="BE1876" s="20"/>
      <c r="BF1876" s="20"/>
      <c r="BG1876" s="20"/>
      <c r="BH1876" s="20"/>
      <c r="BI1876" s="20"/>
      <c r="BJ1876" s="20"/>
      <c r="BK1876" s="20"/>
      <c r="BL1876" s="20"/>
      <c r="BM1876" s="20"/>
      <c r="BN1876" s="20"/>
      <c r="BO1876" s="20"/>
      <c r="BP1876" s="20"/>
      <c r="BQ1876" s="20"/>
      <c r="BR1876" s="20"/>
      <c r="BS1876" s="20"/>
      <c r="BT1876" s="20"/>
      <c r="BU1876" s="20"/>
      <c r="BV1876" s="20"/>
      <c r="BW1876" s="20"/>
      <c r="BX1876" s="20"/>
      <c r="BY1876" s="20"/>
      <c r="BZ1876" s="20"/>
      <c r="CA1876" s="20"/>
      <c r="CB1876" s="20"/>
      <c r="CC1876" s="20"/>
      <c r="CD1876" s="20"/>
      <c r="CE1876" s="20"/>
      <c r="CF1876" s="20"/>
      <c r="CG1876" s="20"/>
      <c r="CH1876" s="20"/>
      <c r="CI1876" s="20"/>
      <c r="CJ1876" s="20"/>
      <c r="CK1876" s="20"/>
      <c r="CL1876" s="20"/>
      <c r="CM1876" s="20"/>
      <c r="CN1876" s="20"/>
      <c r="CO1876" s="20"/>
      <c r="CP1876" s="20"/>
      <c r="CQ1876" s="20"/>
      <c r="CR1876" s="20"/>
      <c r="CS1876" s="20"/>
      <c r="CT1876" s="20"/>
      <c r="CU1876" s="20"/>
      <c r="CV1876" s="20"/>
      <c r="CW1876" s="20"/>
      <c r="CX1876" s="20"/>
      <c r="CY1876" s="20"/>
      <c r="CZ1876" s="20"/>
      <c r="DA1876" s="20"/>
      <c r="DB1876" s="20"/>
      <c r="DC1876" s="20"/>
      <c r="DD1876" s="20"/>
      <c r="DE1876" s="20"/>
      <c r="DF1876" s="20"/>
      <c r="DG1876" s="20"/>
      <c r="DH1876" s="20"/>
      <c r="DI1876" s="20"/>
      <c r="DJ1876" s="20"/>
      <c r="DK1876" s="20"/>
      <c r="DL1876" s="20"/>
      <c r="DM1876" s="20"/>
      <c r="DN1876" s="20"/>
      <c r="DO1876" s="20"/>
      <c r="DP1876" s="20"/>
      <c r="DQ1876" s="20"/>
      <c r="DR1876" s="20"/>
      <c r="DS1876" s="20"/>
      <c r="DT1876" s="20"/>
      <c r="DU1876" s="20"/>
      <c r="DV1876" s="20"/>
      <c r="DW1876" s="20"/>
      <c r="DX1876" s="20"/>
      <c r="DY1876" s="20"/>
      <c r="DZ1876" s="20"/>
      <c r="EA1876" s="20"/>
      <c r="EB1876" s="20"/>
      <c r="EC1876" s="20"/>
      <c r="ED1876" s="20"/>
      <c r="EE1876" s="20"/>
      <c r="EF1876" s="20"/>
      <c r="EG1876" s="20"/>
      <c r="EH1876" s="20"/>
      <c r="EI1876" s="20"/>
      <c r="EJ1876" s="20"/>
      <c r="EK1876" s="20"/>
      <c r="EL1876" s="20"/>
      <c r="EM1876" s="20"/>
      <c r="EN1876" s="20"/>
      <c r="EO1876" s="20"/>
      <c r="EP1876" s="20"/>
      <c r="EQ1876" s="20"/>
      <c r="ER1876" s="20"/>
      <c r="ES1876" s="20"/>
      <c r="ET1876" s="20"/>
      <c r="EU1876" s="20"/>
      <c r="EV1876" s="20"/>
      <c r="EW1876" s="20"/>
      <c r="EX1876" s="20"/>
      <c r="EY1876" s="20"/>
      <c r="EZ1876" s="20"/>
      <c r="FA1876" s="20"/>
      <c r="FB1876" s="20"/>
      <c r="FC1876" s="20"/>
      <c r="FD1876" s="20"/>
      <c r="FE1876" s="20"/>
      <c r="FF1876" s="20"/>
      <c r="FG1876" s="20"/>
      <c r="FH1876" s="20"/>
      <c r="FI1876" s="20"/>
      <c r="FJ1876" s="20"/>
      <c r="FK1876" s="20"/>
      <c r="FL1876" s="20"/>
      <c r="FM1876" s="20"/>
      <c r="FN1876" s="20"/>
      <c r="FO1876" s="20"/>
      <c r="FP1876" s="20"/>
      <c r="FQ1876" s="20"/>
      <c r="FR1876" s="20"/>
      <c r="FS1876" s="20"/>
      <c r="FT1876" s="20"/>
      <c r="FU1876" s="20"/>
      <c r="FV1876" s="20"/>
      <c r="FW1876" s="20"/>
      <c r="FX1876" s="20"/>
      <c r="FY1876" s="20"/>
      <c r="FZ1876" s="20"/>
      <c r="GA1876" s="20"/>
      <c r="GB1876" s="20"/>
      <c r="GC1876" s="20"/>
      <c r="GD1876" s="20"/>
      <c r="GE1876" s="20"/>
      <c r="GF1876" s="20"/>
      <c r="GG1876" s="20"/>
      <c r="GH1876" s="20"/>
      <c r="GI1876" s="20"/>
      <c r="GJ1876" s="20"/>
      <c r="GK1876" s="20"/>
      <c r="GL1876" s="20"/>
      <c r="GM1876" s="20"/>
      <c r="GN1876" s="20"/>
      <c r="GO1876" s="20"/>
      <c r="GP1876" s="20"/>
      <c r="GQ1876" s="20"/>
      <c r="GR1876" s="20"/>
      <c r="GS1876" s="20"/>
      <c r="GT1876" s="20"/>
      <c r="GU1876" s="20"/>
      <c r="GV1876" s="20"/>
      <c r="GW1876" s="20"/>
      <c r="GX1876" s="20"/>
      <c r="GY1876" s="20"/>
      <c r="GZ1876" s="20"/>
      <c r="HA1876" s="20"/>
      <c r="HB1876" s="20"/>
      <c r="HC1876" s="20"/>
      <c r="HD1876" s="20"/>
      <c r="HE1876" s="20"/>
      <c r="HF1876" s="20"/>
      <c r="HG1876" s="20"/>
      <c r="HH1876" s="20"/>
      <c r="HI1876" s="20"/>
      <c r="HJ1876" s="20"/>
      <c r="HK1876" s="20"/>
      <c r="HL1876" s="20"/>
      <c r="HM1876" s="20"/>
      <c r="HN1876" s="20"/>
      <c r="HO1876" s="20"/>
      <c r="HP1876" s="20"/>
      <c r="HQ1876" s="20"/>
      <c r="HR1876" s="20"/>
      <c r="HS1876" s="20"/>
      <c r="HT1876" s="20"/>
      <c r="HU1876" s="20"/>
      <c r="HV1876" s="20"/>
      <c r="HW1876" s="20"/>
      <c r="HX1876" s="20"/>
      <c r="HY1876" s="20"/>
      <c r="HZ1876" s="20"/>
      <c r="IA1876" s="20"/>
      <c r="IB1876" s="20"/>
      <c r="IC1876" s="20"/>
      <c r="ID1876" s="20"/>
      <c r="IE1876" s="20"/>
      <c r="IF1876" s="20"/>
      <c r="IG1876" s="20"/>
      <c r="IH1876" s="20"/>
      <c r="II1876" s="20"/>
      <c r="IJ1876" s="20"/>
      <c r="IK1876" s="20"/>
      <c r="IL1876" s="20"/>
      <c r="IM1876" s="20"/>
      <c r="IN1876" s="20"/>
      <c r="IO1876" s="20"/>
    </row>
    <row r="1877" spans="1:249" ht="82.5">
      <c r="A1877" s="2554">
        <v>1</v>
      </c>
      <c r="B1877" s="44"/>
      <c r="C1877" s="286"/>
      <c r="D1877" s="286"/>
      <c r="E1877" s="286"/>
      <c r="F1877" s="286"/>
      <c r="G1877" s="286"/>
      <c r="H1877" s="286"/>
      <c r="I1877" s="44" t="s">
        <v>2240</v>
      </c>
      <c r="J1877" s="44" t="s">
        <v>3300</v>
      </c>
      <c r="K1877" s="146">
        <v>100</v>
      </c>
      <c r="L1877" s="147">
        <v>892976000</v>
      </c>
      <c r="M1877" s="146">
        <v>25</v>
      </c>
      <c r="N1877" s="147">
        <f>SUM(N1878)</f>
        <v>0</v>
      </c>
      <c r="O1877" s="1270">
        <v>25</v>
      </c>
      <c r="P1877" s="1271">
        <f>SUM(P1878:P1878)</f>
        <v>159072500</v>
      </c>
      <c r="Q1877" s="1272">
        <v>0</v>
      </c>
      <c r="R1877" s="147">
        <f>SUM(R1878:R1878)</f>
        <v>5338000</v>
      </c>
      <c r="S1877" s="833">
        <f>SUM(S1878)</f>
        <v>0</v>
      </c>
      <c r="T1877" s="833">
        <f t="shared" ref="T1877:X1877" si="538">SUM(T1878)</f>
        <v>53438367</v>
      </c>
      <c r="U1877" s="833">
        <f t="shared" si="538"/>
        <v>0</v>
      </c>
      <c r="V1877" s="1273">
        <f t="shared" si="538"/>
        <v>0</v>
      </c>
      <c r="W1877" s="833">
        <f t="shared" si="538"/>
        <v>0</v>
      </c>
      <c r="X1877" s="833">
        <f t="shared" si="538"/>
        <v>0</v>
      </c>
      <c r="Y1877" s="1274">
        <f t="shared" ref="Y1877:Z1883" si="539">Q1877+S1877+U1877+W1877</f>
        <v>0</v>
      </c>
      <c r="Z1877" s="147">
        <f t="shared" si="539"/>
        <v>58776367</v>
      </c>
      <c r="AA1877" s="868">
        <f t="shared" ref="AA1877:AB1883" si="540">M1877+Y1877</f>
        <v>25</v>
      </c>
      <c r="AB1877" s="833">
        <f t="shared" si="540"/>
        <v>58776367</v>
      </c>
      <c r="AC1877" s="868">
        <f t="shared" ref="AC1877:AD1883" si="541">AA1877/K1877*100</f>
        <v>25</v>
      </c>
      <c r="AD1877" s="868">
        <f t="shared" si="541"/>
        <v>6.5820768979233488</v>
      </c>
      <c r="AE1877" s="2554" t="s">
        <v>223</v>
      </c>
      <c r="AF1877" s="201"/>
      <c r="AG1877" s="201"/>
      <c r="AH1877" s="201"/>
      <c r="AI1877" s="201"/>
      <c r="AJ1877" s="201"/>
      <c r="AK1877" s="201"/>
      <c r="AL1877" s="201"/>
      <c r="AM1877" s="201"/>
      <c r="AN1877" s="201"/>
      <c r="AO1877" s="201"/>
      <c r="AP1877" s="201"/>
      <c r="AQ1877" s="201"/>
      <c r="AR1877" s="201"/>
      <c r="AS1877" s="201"/>
      <c r="AT1877" s="201"/>
      <c r="AU1877" s="201"/>
      <c r="AV1877" s="201"/>
      <c r="AW1877" s="201"/>
      <c r="AX1877" s="201"/>
      <c r="AY1877" s="201"/>
      <c r="AZ1877" s="201"/>
      <c r="BA1877" s="201"/>
      <c r="BB1877" s="201"/>
      <c r="BC1877" s="20"/>
      <c r="BD1877" s="20"/>
      <c r="BE1877" s="20"/>
      <c r="BF1877" s="20"/>
      <c r="BG1877" s="20"/>
      <c r="BH1877" s="20"/>
      <c r="BI1877" s="20"/>
      <c r="BJ1877" s="20"/>
      <c r="BK1877" s="20"/>
      <c r="BL1877" s="20"/>
      <c r="BM1877" s="20"/>
      <c r="BN1877" s="20"/>
      <c r="BO1877" s="20"/>
      <c r="BP1877" s="20"/>
      <c r="BQ1877" s="20"/>
      <c r="BR1877" s="20"/>
      <c r="BS1877" s="20"/>
      <c r="BT1877" s="20"/>
      <c r="BU1877" s="20"/>
      <c r="BV1877" s="20"/>
      <c r="BW1877" s="20"/>
      <c r="BX1877" s="20"/>
      <c r="BY1877" s="20"/>
      <c r="BZ1877" s="20"/>
      <c r="CA1877" s="20"/>
      <c r="CB1877" s="20"/>
      <c r="CC1877" s="20"/>
      <c r="CD1877" s="20"/>
      <c r="CE1877" s="20"/>
      <c r="CF1877" s="20"/>
      <c r="CG1877" s="20"/>
      <c r="CH1877" s="20"/>
      <c r="CI1877" s="20"/>
      <c r="CJ1877" s="20"/>
      <c r="CK1877" s="20"/>
      <c r="CL1877" s="20"/>
      <c r="CM1877" s="20"/>
      <c r="CN1877" s="20"/>
      <c r="CO1877" s="20"/>
      <c r="CP1877" s="20"/>
      <c r="CQ1877" s="20"/>
      <c r="CR1877" s="20"/>
      <c r="CS1877" s="20"/>
      <c r="CT1877" s="20"/>
      <c r="CU1877" s="20"/>
      <c r="CV1877" s="20"/>
      <c r="CW1877" s="20"/>
      <c r="CX1877" s="20"/>
      <c r="CY1877" s="20"/>
      <c r="CZ1877" s="20"/>
      <c r="DA1877" s="20"/>
      <c r="DB1877" s="20"/>
      <c r="DC1877" s="20"/>
      <c r="DD1877" s="20"/>
      <c r="DE1877" s="20"/>
      <c r="DF1877" s="20"/>
      <c r="DG1877" s="20"/>
      <c r="DH1877" s="20"/>
      <c r="DI1877" s="20"/>
      <c r="DJ1877" s="20"/>
      <c r="DK1877" s="20"/>
      <c r="DL1877" s="20"/>
      <c r="DM1877" s="20"/>
      <c r="DN1877" s="20"/>
      <c r="DO1877" s="20"/>
      <c r="DP1877" s="20"/>
      <c r="DQ1877" s="20"/>
      <c r="DR1877" s="20"/>
      <c r="DS1877" s="20"/>
      <c r="DT1877" s="20"/>
      <c r="DU1877" s="20"/>
      <c r="DV1877" s="20"/>
      <c r="DW1877" s="20"/>
      <c r="DX1877" s="20"/>
      <c r="DY1877" s="20"/>
      <c r="DZ1877" s="20"/>
      <c r="EA1877" s="20"/>
      <c r="EB1877" s="20"/>
      <c r="EC1877" s="20"/>
      <c r="ED1877" s="20"/>
      <c r="EE1877" s="20"/>
      <c r="EF1877" s="20"/>
      <c r="EG1877" s="20"/>
      <c r="EH1877" s="20"/>
      <c r="EI1877" s="20"/>
      <c r="EJ1877" s="20"/>
      <c r="EK1877" s="20"/>
      <c r="EL1877" s="20"/>
      <c r="EM1877" s="20"/>
      <c r="EN1877" s="20"/>
      <c r="EO1877" s="20"/>
      <c r="EP1877" s="20"/>
      <c r="EQ1877" s="20"/>
      <c r="ER1877" s="20"/>
      <c r="ES1877" s="20"/>
      <c r="ET1877" s="20"/>
      <c r="EU1877" s="20"/>
      <c r="EV1877" s="20"/>
      <c r="EW1877" s="20"/>
      <c r="EX1877" s="20"/>
      <c r="EY1877" s="20"/>
      <c r="EZ1877" s="20"/>
      <c r="FA1877" s="20"/>
      <c r="FB1877" s="20"/>
      <c r="FC1877" s="20"/>
      <c r="FD1877" s="20"/>
      <c r="FE1877" s="20"/>
      <c r="FF1877" s="20"/>
      <c r="FG1877" s="20"/>
      <c r="FH1877" s="20"/>
      <c r="FI1877" s="20"/>
      <c r="FJ1877" s="20"/>
      <c r="FK1877" s="20"/>
      <c r="FL1877" s="20"/>
      <c r="FM1877" s="20"/>
      <c r="FN1877" s="20"/>
      <c r="FO1877" s="20"/>
      <c r="FP1877" s="20"/>
      <c r="FQ1877" s="20"/>
      <c r="FR1877" s="20"/>
      <c r="FS1877" s="20"/>
      <c r="FT1877" s="20"/>
      <c r="FU1877" s="20"/>
      <c r="FV1877" s="20"/>
      <c r="FW1877" s="20"/>
      <c r="FX1877" s="20"/>
      <c r="FY1877" s="20"/>
      <c r="FZ1877" s="20"/>
      <c r="GA1877" s="20"/>
      <c r="GB1877" s="20"/>
      <c r="GC1877" s="20"/>
      <c r="GD1877" s="20"/>
      <c r="GE1877" s="20"/>
      <c r="GF1877" s="20"/>
      <c r="GG1877" s="20"/>
      <c r="GH1877" s="20"/>
      <c r="GI1877" s="20"/>
      <c r="GJ1877" s="20"/>
      <c r="GK1877" s="20"/>
      <c r="GL1877" s="20"/>
      <c r="GM1877" s="20"/>
      <c r="GN1877" s="20"/>
      <c r="GO1877" s="20"/>
      <c r="GP1877" s="20"/>
      <c r="GQ1877" s="20"/>
      <c r="GR1877" s="20"/>
      <c r="GS1877" s="20"/>
      <c r="GT1877" s="20"/>
      <c r="GU1877" s="20"/>
      <c r="GV1877" s="20"/>
      <c r="GW1877" s="20"/>
      <c r="GX1877" s="20"/>
      <c r="GY1877" s="20"/>
      <c r="GZ1877" s="20"/>
      <c r="HA1877" s="20"/>
      <c r="HB1877" s="20"/>
      <c r="HC1877" s="20"/>
      <c r="HD1877" s="20"/>
      <c r="HE1877" s="20"/>
      <c r="HF1877" s="20"/>
      <c r="HG1877" s="20"/>
      <c r="HH1877" s="20"/>
      <c r="HI1877" s="20"/>
      <c r="HJ1877" s="20"/>
      <c r="HK1877" s="20"/>
      <c r="HL1877" s="20"/>
      <c r="HM1877" s="20"/>
      <c r="HN1877" s="20"/>
      <c r="HO1877" s="20"/>
      <c r="HP1877" s="20"/>
      <c r="HQ1877" s="20"/>
      <c r="HR1877" s="20"/>
      <c r="HS1877" s="20"/>
      <c r="HT1877" s="20"/>
      <c r="HU1877" s="20"/>
      <c r="HV1877" s="20"/>
      <c r="HW1877" s="20"/>
      <c r="HX1877" s="20"/>
      <c r="HY1877" s="20"/>
      <c r="HZ1877" s="20"/>
      <c r="IA1877" s="20"/>
      <c r="IB1877" s="20"/>
      <c r="IC1877" s="20"/>
      <c r="ID1877" s="20"/>
      <c r="IE1877" s="20"/>
      <c r="IF1877" s="20"/>
      <c r="IG1877" s="20"/>
      <c r="IH1877" s="20"/>
      <c r="II1877" s="20"/>
      <c r="IJ1877" s="20"/>
      <c r="IK1877" s="20"/>
      <c r="IL1877" s="20"/>
      <c r="IM1877" s="20"/>
      <c r="IN1877" s="20"/>
      <c r="IO1877" s="20"/>
    </row>
    <row r="1878" spans="1:249" ht="49.5">
      <c r="A1878" s="794"/>
      <c r="B1878" s="6"/>
      <c r="C1878" s="794"/>
      <c r="D1878" s="794"/>
      <c r="E1878" s="794"/>
      <c r="F1878" s="794"/>
      <c r="G1878" s="794"/>
      <c r="H1878" s="794"/>
      <c r="I1878" s="6" t="s">
        <v>2241</v>
      </c>
      <c r="J1878" s="6" t="s">
        <v>3299</v>
      </c>
      <c r="K1878" s="795">
        <v>4</v>
      </c>
      <c r="L1878" s="1228">
        <f>3*P1878</f>
        <v>477217500</v>
      </c>
      <c r="M1878" s="795">
        <v>0</v>
      </c>
      <c r="N1878" s="1228">
        <v>0</v>
      </c>
      <c r="O1878" s="838">
        <v>1</v>
      </c>
      <c r="P1878" s="1275">
        <v>159072500</v>
      </c>
      <c r="Q1878" s="1276">
        <v>0</v>
      </c>
      <c r="R1878" s="1228">
        <v>5338000</v>
      </c>
      <c r="S1878" s="1212">
        <v>0</v>
      </c>
      <c r="T1878" s="1212">
        <v>53438367</v>
      </c>
      <c r="U1878" s="1212">
        <v>0</v>
      </c>
      <c r="V1878" s="1212">
        <v>0</v>
      </c>
      <c r="W1878" s="1212">
        <v>0</v>
      </c>
      <c r="X1878" s="1212">
        <v>0</v>
      </c>
      <c r="Y1878" s="1277">
        <f t="shared" si="539"/>
        <v>0</v>
      </c>
      <c r="Z1878" s="1228">
        <f t="shared" si="539"/>
        <v>58776367</v>
      </c>
      <c r="AA1878" s="1216">
        <f t="shared" si="540"/>
        <v>0</v>
      </c>
      <c r="AB1878" s="1212">
        <f t="shared" si="540"/>
        <v>58776367</v>
      </c>
      <c r="AC1878" s="1216">
        <f t="shared" si="541"/>
        <v>0</v>
      </c>
      <c r="AD1878" s="1216">
        <f t="shared" si="541"/>
        <v>12.316473515744917</v>
      </c>
      <c r="AE1878" s="794"/>
      <c r="AF1878" s="201"/>
      <c r="AG1878" s="201"/>
      <c r="AH1878" s="201"/>
      <c r="AI1878" s="201"/>
      <c r="AJ1878" s="201"/>
      <c r="AK1878" s="201"/>
      <c r="AL1878" s="201"/>
      <c r="AM1878" s="201"/>
      <c r="AN1878" s="201"/>
      <c r="AO1878" s="201"/>
      <c r="AP1878" s="201"/>
      <c r="AQ1878" s="201"/>
      <c r="AR1878" s="201"/>
      <c r="AS1878" s="201"/>
      <c r="AT1878" s="201"/>
      <c r="AU1878" s="201"/>
      <c r="AV1878" s="201"/>
      <c r="AW1878" s="201"/>
      <c r="AX1878" s="201"/>
      <c r="AY1878" s="201"/>
      <c r="AZ1878" s="201"/>
      <c r="BA1878" s="201"/>
      <c r="BB1878" s="201"/>
      <c r="BC1878" s="20"/>
      <c r="BD1878" s="20"/>
      <c r="BE1878" s="20"/>
      <c r="BF1878" s="20"/>
      <c r="BG1878" s="20"/>
      <c r="BH1878" s="20"/>
      <c r="BI1878" s="20"/>
      <c r="BJ1878" s="20"/>
      <c r="BK1878" s="20"/>
      <c r="BL1878" s="20"/>
      <c r="BM1878" s="20"/>
      <c r="BN1878" s="20"/>
      <c r="BO1878" s="20"/>
      <c r="BP1878" s="20"/>
      <c r="BQ1878" s="20"/>
      <c r="BR1878" s="20"/>
      <c r="BS1878" s="20"/>
      <c r="BT1878" s="20"/>
      <c r="BU1878" s="20"/>
      <c r="BV1878" s="20"/>
      <c r="BW1878" s="20"/>
      <c r="BX1878" s="20"/>
      <c r="BY1878" s="20"/>
      <c r="BZ1878" s="20"/>
      <c r="CA1878" s="20"/>
      <c r="CB1878" s="20"/>
      <c r="CC1878" s="20"/>
      <c r="CD1878" s="20"/>
      <c r="CE1878" s="20"/>
      <c r="CF1878" s="20"/>
      <c r="CG1878" s="20"/>
      <c r="CH1878" s="20"/>
      <c r="CI1878" s="20"/>
      <c r="CJ1878" s="20"/>
      <c r="CK1878" s="20"/>
      <c r="CL1878" s="20"/>
      <c r="CM1878" s="20"/>
      <c r="CN1878" s="20"/>
      <c r="CO1878" s="20"/>
      <c r="CP1878" s="20"/>
      <c r="CQ1878" s="20"/>
      <c r="CR1878" s="20"/>
      <c r="CS1878" s="20"/>
      <c r="CT1878" s="20"/>
      <c r="CU1878" s="20"/>
      <c r="CV1878" s="20"/>
      <c r="CW1878" s="20"/>
      <c r="CX1878" s="20"/>
      <c r="CY1878" s="20"/>
      <c r="CZ1878" s="20"/>
      <c r="DA1878" s="20"/>
      <c r="DB1878" s="20"/>
      <c r="DC1878" s="20"/>
      <c r="DD1878" s="20"/>
      <c r="DE1878" s="20"/>
      <c r="DF1878" s="20"/>
      <c r="DG1878" s="20"/>
      <c r="DH1878" s="20"/>
      <c r="DI1878" s="20"/>
      <c r="DJ1878" s="20"/>
      <c r="DK1878" s="20"/>
      <c r="DL1878" s="20"/>
      <c r="DM1878" s="20"/>
      <c r="DN1878" s="20"/>
      <c r="DO1878" s="20"/>
      <c r="DP1878" s="20"/>
      <c r="DQ1878" s="20"/>
      <c r="DR1878" s="20"/>
      <c r="DS1878" s="20"/>
      <c r="DT1878" s="20"/>
      <c r="DU1878" s="20"/>
      <c r="DV1878" s="20"/>
      <c r="DW1878" s="20"/>
      <c r="DX1878" s="20"/>
      <c r="DY1878" s="20"/>
      <c r="DZ1878" s="20"/>
      <c r="EA1878" s="20"/>
      <c r="EB1878" s="20"/>
      <c r="EC1878" s="20"/>
      <c r="ED1878" s="20"/>
      <c r="EE1878" s="20"/>
      <c r="EF1878" s="20"/>
      <c r="EG1878" s="20"/>
      <c r="EH1878" s="20"/>
      <c r="EI1878" s="20"/>
      <c r="EJ1878" s="20"/>
      <c r="EK1878" s="20"/>
      <c r="EL1878" s="20"/>
      <c r="EM1878" s="20"/>
      <c r="EN1878" s="20"/>
      <c r="EO1878" s="20"/>
      <c r="EP1878" s="20"/>
      <c r="EQ1878" s="20"/>
      <c r="ER1878" s="20"/>
      <c r="ES1878" s="20"/>
      <c r="ET1878" s="20"/>
      <c r="EU1878" s="20"/>
      <c r="EV1878" s="20"/>
      <c r="EW1878" s="20"/>
      <c r="EX1878" s="20"/>
      <c r="EY1878" s="20"/>
      <c r="EZ1878" s="20"/>
      <c r="FA1878" s="20"/>
      <c r="FB1878" s="20"/>
      <c r="FC1878" s="20"/>
      <c r="FD1878" s="20"/>
      <c r="FE1878" s="20"/>
      <c r="FF1878" s="20"/>
      <c r="FG1878" s="20"/>
      <c r="FH1878" s="20"/>
      <c r="FI1878" s="20"/>
      <c r="FJ1878" s="20"/>
      <c r="FK1878" s="20"/>
      <c r="FL1878" s="20"/>
      <c r="FM1878" s="20"/>
      <c r="FN1878" s="20"/>
      <c r="FO1878" s="20"/>
      <c r="FP1878" s="20"/>
      <c r="FQ1878" s="20"/>
      <c r="FR1878" s="20"/>
      <c r="FS1878" s="20"/>
      <c r="FT1878" s="20"/>
      <c r="FU1878" s="20"/>
      <c r="FV1878" s="20"/>
      <c r="FW1878" s="20"/>
      <c r="FX1878" s="20"/>
      <c r="FY1878" s="20"/>
      <c r="FZ1878" s="20"/>
      <c r="GA1878" s="20"/>
      <c r="GB1878" s="20"/>
      <c r="GC1878" s="20"/>
      <c r="GD1878" s="20"/>
      <c r="GE1878" s="20"/>
      <c r="GF1878" s="20"/>
      <c r="GG1878" s="20"/>
      <c r="GH1878" s="20"/>
      <c r="GI1878" s="20"/>
      <c r="GJ1878" s="20"/>
      <c r="GK1878" s="20"/>
      <c r="GL1878" s="20"/>
      <c r="GM1878" s="20"/>
      <c r="GN1878" s="20"/>
      <c r="GO1878" s="20"/>
      <c r="GP1878" s="20"/>
      <c r="GQ1878" s="20"/>
      <c r="GR1878" s="20"/>
      <c r="GS1878" s="20"/>
      <c r="GT1878" s="20"/>
      <c r="GU1878" s="20"/>
      <c r="GV1878" s="20"/>
      <c r="GW1878" s="20"/>
      <c r="GX1878" s="20"/>
      <c r="GY1878" s="20"/>
      <c r="GZ1878" s="20"/>
      <c r="HA1878" s="20"/>
      <c r="HB1878" s="20"/>
      <c r="HC1878" s="20"/>
      <c r="HD1878" s="20"/>
      <c r="HE1878" s="20"/>
      <c r="HF1878" s="20"/>
      <c r="HG1878" s="20"/>
      <c r="HH1878" s="20"/>
      <c r="HI1878" s="20"/>
      <c r="HJ1878" s="20"/>
      <c r="HK1878" s="20"/>
      <c r="HL1878" s="20"/>
      <c r="HM1878" s="20"/>
      <c r="HN1878" s="20"/>
      <c r="HO1878" s="20"/>
      <c r="HP1878" s="20"/>
      <c r="HQ1878" s="20"/>
      <c r="HR1878" s="20"/>
      <c r="HS1878" s="20"/>
      <c r="HT1878" s="20"/>
      <c r="HU1878" s="20"/>
      <c r="HV1878" s="20"/>
      <c r="HW1878" s="20"/>
      <c r="HX1878" s="20"/>
      <c r="HY1878" s="20"/>
      <c r="HZ1878" s="20"/>
      <c r="IA1878" s="20"/>
      <c r="IB1878" s="20"/>
      <c r="IC1878" s="20"/>
      <c r="ID1878" s="20"/>
      <c r="IE1878" s="20"/>
      <c r="IF1878" s="20"/>
      <c r="IG1878" s="20"/>
      <c r="IH1878" s="20"/>
      <c r="II1878" s="20"/>
      <c r="IJ1878" s="20"/>
      <c r="IK1878" s="20"/>
      <c r="IL1878" s="20"/>
      <c r="IM1878" s="20"/>
      <c r="IN1878" s="20"/>
      <c r="IO1878" s="20"/>
    </row>
    <row r="1879" spans="1:249" ht="66">
      <c r="A1879" s="2554">
        <v>2</v>
      </c>
      <c r="B1879" s="44"/>
      <c r="C1879" s="286"/>
      <c r="D1879" s="286"/>
      <c r="E1879" s="286"/>
      <c r="F1879" s="286"/>
      <c r="G1879" s="286"/>
      <c r="H1879" s="286"/>
      <c r="I1879" s="44" t="s">
        <v>2242</v>
      </c>
      <c r="J1879" s="44" t="s">
        <v>3301</v>
      </c>
      <c r="K1879" s="146">
        <v>100</v>
      </c>
      <c r="L1879" s="147">
        <v>2621632139</v>
      </c>
      <c r="M1879" s="146">
        <v>30</v>
      </c>
      <c r="N1879" s="147">
        <f>SUM(N1880:N1881)</f>
        <v>58290620</v>
      </c>
      <c r="O1879" s="1270">
        <v>45</v>
      </c>
      <c r="P1879" s="1271">
        <f>SUM(P1880:P1881)</f>
        <v>240704000</v>
      </c>
      <c r="Q1879" s="1272">
        <v>0</v>
      </c>
      <c r="R1879" s="833">
        <f>SUM(R1880:R1881)</f>
        <v>11920500</v>
      </c>
      <c r="S1879" s="833">
        <f>SUM(S1880:S1881)</f>
        <v>0</v>
      </c>
      <c r="T1879" s="833">
        <f t="shared" ref="T1879:X1879" si="542">SUM(T1880:T1881)</f>
        <v>15313100</v>
      </c>
      <c r="U1879" s="833">
        <f t="shared" si="542"/>
        <v>0</v>
      </c>
      <c r="V1879" s="1273">
        <f t="shared" si="542"/>
        <v>0</v>
      </c>
      <c r="W1879" s="833">
        <f t="shared" si="542"/>
        <v>0</v>
      </c>
      <c r="X1879" s="833">
        <f t="shared" si="542"/>
        <v>0</v>
      </c>
      <c r="Y1879" s="1278">
        <f t="shared" si="539"/>
        <v>0</v>
      </c>
      <c r="Z1879" s="147">
        <f t="shared" si="539"/>
        <v>27233600</v>
      </c>
      <c r="AA1879" s="146">
        <f t="shared" si="540"/>
        <v>30</v>
      </c>
      <c r="AB1879" s="833">
        <f t="shared" si="540"/>
        <v>85524220</v>
      </c>
      <c r="AC1879" s="868">
        <f t="shared" si="541"/>
        <v>30</v>
      </c>
      <c r="AD1879" s="868">
        <f t="shared" si="541"/>
        <v>3.2622509744110211</v>
      </c>
      <c r="AE1879" s="2554" t="s">
        <v>223</v>
      </c>
      <c r="AF1879" s="201"/>
      <c r="AG1879" s="201"/>
      <c r="AH1879" s="201"/>
      <c r="AI1879" s="201"/>
      <c r="AJ1879" s="201"/>
      <c r="AK1879" s="201"/>
      <c r="AL1879" s="201"/>
      <c r="AM1879" s="201"/>
      <c r="AN1879" s="201"/>
      <c r="AO1879" s="201"/>
      <c r="AP1879" s="201"/>
      <c r="AQ1879" s="201"/>
      <c r="AR1879" s="201"/>
      <c r="AS1879" s="201"/>
      <c r="AT1879" s="201"/>
      <c r="AU1879" s="201"/>
      <c r="AV1879" s="201"/>
      <c r="AW1879" s="201"/>
      <c r="AX1879" s="201"/>
      <c r="AY1879" s="201"/>
      <c r="AZ1879" s="201"/>
      <c r="BA1879" s="201"/>
      <c r="BB1879" s="201"/>
      <c r="BC1879" s="20"/>
      <c r="BD1879" s="20"/>
      <c r="BE1879" s="20"/>
      <c r="BF1879" s="20"/>
      <c r="BG1879" s="20"/>
      <c r="BH1879" s="20"/>
      <c r="BI1879" s="20"/>
      <c r="BJ1879" s="20"/>
      <c r="BK1879" s="20"/>
      <c r="BL1879" s="20"/>
      <c r="BM1879" s="20"/>
      <c r="BN1879" s="20"/>
      <c r="BO1879" s="20"/>
      <c r="BP1879" s="20"/>
      <c r="BQ1879" s="20"/>
      <c r="BR1879" s="20"/>
      <c r="BS1879" s="20"/>
      <c r="BT1879" s="20"/>
      <c r="BU1879" s="20"/>
      <c r="BV1879" s="20"/>
      <c r="BW1879" s="20"/>
      <c r="BX1879" s="20"/>
      <c r="BY1879" s="20"/>
      <c r="BZ1879" s="20"/>
      <c r="CA1879" s="20"/>
      <c r="CB1879" s="20"/>
      <c r="CC1879" s="20"/>
      <c r="CD1879" s="20"/>
      <c r="CE1879" s="20"/>
      <c r="CF1879" s="20"/>
      <c r="CG1879" s="20"/>
      <c r="CH1879" s="20"/>
      <c r="CI1879" s="20"/>
      <c r="CJ1879" s="20"/>
      <c r="CK1879" s="20"/>
      <c r="CL1879" s="20"/>
      <c r="CM1879" s="20"/>
      <c r="CN1879" s="20"/>
      <c r="CO1879" s="20"/>
      <c r="CP1879" s="20"/>
      <c r="CQ1879" s="20"/>
      <c r="CR1879" s="20"/>
      <c r="CS1879" s="20"/>
      <c r="CT1879" s="20"/>
      <c r="CU1879" s="20"/>
      <c r="CV1879" s="20"/>
      <c r="CW1879" s="20"/>
      <c r="CX1879" s="20"/>
      <c r="CY1879" s="20"/>
      <c r="CZ1879" s="20"/>
      <c r="DA1879" s="20"/>
      <c r="DB1879" s="20"/>
      <c r="DC1879" s="20"/>
      <c r="DD1879" s="20"/>
      <c r="DE1879" s="20"/>
      <c r="DF1879" s="20"/>
      <c r="DG1879" s="20"/>
      <c r="DH1879" s="20"/>
      <c r="DI1879" s="20"/>
      <c r="DJ1879" s="20"/>
      <c r="DK1879" s="20"/>
      <c r="DL1879" s="20"/>
      <c r="DM1879" s="20"/>
      <c r="DN1879" s="20"/>
      <c r="DO1879" s="20"/>
      <c r="DP1879" s="20"/>
      <c r="DQ1879" s="20"/>
      <c r="DR1879" s="20"/>
      <c r="DS1879" s="20"/>
      <c r="DT1879" s="20"/>
      <c r="DU1879" s="20"/>
      <c r="DV1879" s="20"/>
      <c r="DW1879" s="20"/>
      <c r="DX1879" s="20"/>
      <c r="DY1879" s="20"/>
      <c r="DZ1879" s="20"/>
      <c r="EA1879" s="20"/>
      <c r="EB1879" s="20"/>
      <c r="EC1879" s="20"/>
      <c r="ED1879" s="20"/>
      <c r="EE1879" s="20"/>
      <c r="EF1879" s="20"/>
      <c r="EG1879" s="20"/>
      <c r="EH1879" s="20"/>
      <c r="EI1879" s="20"/>
      <c r="EJ1879" s="20"/>
      <c r="EK1879" s="20"/>
      <c r="EL1879" s="20"/>
      <c r="EM1879" s="20"/>
      <c r="EN1879" s="20"/>
      <c r="EO1879" s="20"/>
      <c r="EP1879" s="20"/>
      <c r="EQ1879" s="20"/>
      <c r="ER1879" s="20"/>
      <c r="ES1879" s="20"/>
      <c r="ET1879" s="20"/>
      <c r="EU1879" s="20"/>
      <c r="EV1879" s="20"/>
      <c r="EW1879" s="20"/>
      <c r="EX1879" s="20"/>
      <c r="EY1879" s="20"/>
      <c r="EZ1879" s="20"/>
      <c r="FA1879" s="20"/>
      <c r="FB1879" s="20"/>
      <c r="FC1879" s="20"/>
      <c r="FD1879" s="20"/>
      <c r="FE1879" s="20"/>
      <c r="FF1879" s="20"/>
      <c r="FG1879" s="20"/>
      <c r="FH1879" s="20"/>
      <c r="FI1879" s="20"/>
      <c r="FJ1879" s="20"/>
      <c r="FK1879" s="20"/>
      <c r="FL1879" s="20"/>
      <c r="FM1879" s="20"/>
      <c r="FN1879" s="20"/>
      <c r="FO1879" s="20"/>
      <c r="FP1879" s="20"/>
      <c r="FQ1879" s="20"/>
      <c r="FR1879" s="20"/>
      <c r="FS1879" s="20"/>
      <c r="FT1879" s="20"/>
      <c r="FU1879" s="20"/>
      <c r="FV1879" s="20"/>
      <c r="FW1879" s="20"/>
      <c r="FX1879" s="20"/>
      <c r="FY1879" s="20"/>
      <c r="FZ1879" s="20"/>
      <c r="GA1879" s="20"/>
      <c r="GB1879" s="20"/>
      <c r="GC1879" s="20"/>
      <c r="GD1879" s="20"/>
      <c r="GE1879" s="20"/>
      <c r="GF1879" s="20"/>
      <c r="GG1879" s="20"/>
      <c r="GH1879" s="20"/>
      <c r="GI1879" s="20"/>
      <c r="GJ1879" s="20"/>
      <c r="GK1879" s="20"/>
      <c r="GL1879" s="20"/>
      <c r="GM1879" s="20"/>
      <c r="GN1879" s="20"/>
      <c r="GO1879" s="20"/>
      <c r="GP1879" s="20"/>
      <c r="GQ1879" s="20"/>
      <c r="GR1879" s="20"/>
      <c r="GS1879" s="20"/>
      <c r="GT1879" s="20"/>
      <c r="GU1879" s="20"/>
      <c r="GV1879" s="20"/>
      <c r="GW1879" s="20"/>
      <c r="GX1879" s="20"/>
      <c r="GY1879" s="20"/>
      <c r="GZ1879" s="20"/>
      <c r="HA1879" s="20"/>
      <c r="HB1879" s="20"/>
      <c r="HC1879" s="20"/>
      <c r="HD1879" s="20"/>
      <c r="HE1879" s="20"/>
      <c r="HF1879" s="20"/>
      <c r="HG1879" s="20"/>
      <c r="HH1879" s="20"/>
      <c r="HI1879" s="20"/>
      <c r="HJ1879" s="20"/>
      <c r="HK1879" s="20"/>
      <c r="HL1879" s="20"/>
      <c r="HM1879" s="20"/>
      <c r="HN1879" s="20"/>
      <c r="HO1879" s="20"/>
      <c r="HP1879" s="20"/>
      <c r="HQ1879" s="20"/>
      <c r="HR1879" s="20"/>
      <c r="HS1879" s="20"/>
      <c r="HT1879" s="20"/>
      <c r="HU1879" s="20"/>
      <c r="HV1879" s="20"/>
      <c r="HW1879" s="20"/>
      <c r="HX1879" s="20"/>
      <c r="HY1879" s="20"/>
      <c r="HZ1879" s="20"/>
      <c r="IA1879" s="20"/>
      <c r="IB1879" s="20"/>
      <c r="IC1879" s="20"/>
      <c r="ID1879" s="20"/>
      <c r="IE1879" s="20"/>
      <c r="IF1879" s="20"/>
      <c r="IG1879" s="20"/>
      <c r="IH1879" s="20"/>
      <c r="II1879" s="20"/>
      <c r="IJ1879" s="20"/>
      <c r="IK1879" s="20"/>
      <c r="IL1879" s="20"/>
      <c r="IM1879" s="20"/>
      <c r="IN1879" s="20"/>
      <c r="IO1879" s="20"/>
    </row>
    <row r="1880" spans="1:249" ht="66">
      <c r="A1880" s="794"/>
      <c r="B1880" s="6"/>
      <c r="C1880" s="794"/>
      <c r="D1880" s="794"/>
      <c r="E1880" s="794"/>
      <c r="F1880" s="794"/>
      <c r="G1880" s="794"/>
      <c r="H1880" s="794"/>
      <c r="I1880" s="407" t="s">
        <v>2243</v>
      </c>
      <c r="J1880" s="407" t="s">
        <v>3303</v>
      </c>
      <c r="K1880" s="795">
        <v>60</v>
      </c>
      <c r="L1880" s="1212">
        <v>690000000</v>
      </c>
      <c r="M1880" s="795">
        <v>24</v>
      </c>
      <c r="N1880" s="1212">
        <v>58290620</v>
      </c>
      <c r="O1880" s="838">
        <v>12</v>
      </c>
      <c r="P1880" s="1212">
        <v>59489000</v>
      </c>
      <c r="Q1880" s="1277">
        <v>3</v>
      </c>
      <c r="R1880" s="1280">
        <v>8394500</v>
      </c>
      <c r="S1880" s="1281">
        <v>0</v>
      </c>
      <c r="T1880" s="826">
        <v>13156100</v>
      </c>
      <c r="U1880" s="1281">
        <v>0</v>
      </c>
      <c r="V1880" s="1281">
        <v>0</v>
      </c>
      <c r="W1880" s="1281">
        <v>0</v>
      </c>
      <c r="X1880" s="1281">
        <v>0</v>
      </c>
      <c r="Y1880" s="1279">
        <f t="shared" si="539"/>
        <v>3</v>
      </c>
      <c r="Z1880" s="1228">
        <f t="shared" si="539"/>
        <v>21550600</v>
      </c>
      <c r="AA1880" s="795">
        <f t="shared" si="540"/>
        <v>27</v>
      </c>
      <c r="AB1880" s="1212">
        <f t="shared" si="540"/>
        <v>79841220</v>
      </c>
      <c r="AC1880" s="1236">
        <f t="shared" si="541"/>
        <v>45</v>
      </c>
      <c r="AD1880" s="1215">
        <f t="shared" si="541"/>
        <v>11.571191304347826</v>
      </c>
      <c r="AE1880" s="794"/>
      <c r="AF1880" s="201"/>
      <c r="AG1880" s="201"/>
      <c r="AH1880" s="201"/>
      <c r="AI1880" s="201"/>
      <c r="AJ1880" s="201"/>
      <c r="AK1880" s="201"/>
      <c r="AL1880" s="201"/>
      <c r="AM1880" s="201"/>
      <c r="AN1880" s="201"/>
      <c r="AO1880" s="201"/>
      <c r="AP1880" s="201"/>
      <c r="AQ1880" s="201"/>
      <c r="AR1880" s="201"/>
      <c r="AS1880" s="201"/>
      <c r="AT1880" s="201"/>
      <c r="AU1880" s="201"/>
      <c r="AV1880" s="201"/>
      <c r="AW1880" s="201"/>
      <c r="AX1880" s="201"/>
      <c r="AY1880" s="201"/>
      <c r="AZ1880" s="201"/>
      <c r="BA1880" s="201"/>
      <c r="BB1880" s="201"/>
      <c r="BC1880" s="20"/>
      <c r="BD1880" s="20"/>
      <c r="BE1880" s="20"/>
      <c r="BF1880" s="20"/>
      <c r="BG1880" s="20"/>
      <c r="BH1880" s="20"/>
      <c r="BI1880" s="20"/>
      <c r="BJ1880" s="20"/>
      <c r="BK1880" s="20"/>
      <c r="BL1880" s="20"/>
      <c r="BM1880" s="20"/>
      <c r="BN1880" s="20"/>
      <c r="BO1880" s="20"/>
      <c r="BP1880" s="20"/>
      <c r="BQ1880" s="20"/>
      <c r="BR1880" s="20"/>
      <c r="BS1880" s="20"/>
      <c r="BT1880" s="20"/>
      <c r="BU1880" s="20"/>
      <c r="BV1880" s="20"/>
      <c r="BW1880" s="20"/>
      <c r="BX1880" s="20"/>
      <c r="BY1880" s="20"/>
      <c r="BZ1880" s="20"/>
      <c r="CA1880" s="20"/>
      <c r="CB1880" s="20"/>
      <c r="CC1880" s="20"/>
      <c r="CD1880" s="20"/>
      <c r="CE1880" s="20"/>
      <c r="CF1880" s="20"/>
      <c r="CG1880" s="20"/>
      <c r="CH1880" s="20"/>
      <c r="CI1880" s="20"/>
      <c r="CJ1880" s="20"/>
      <c r="CK1880" s="20"/>
      <c r="CL1880" s="20"/>
      <c r="CM1880" s="20"/>
      <c r="CN1880" s="20"/>
      <c r="CO1880" s="20"/>
      <c r="CP1880" s="20"/>
      <c r="CQ1880" s="20"/>
      <c r="CR1880" s="20"/>
      <c r="CS1880" s="20"/>
      <c r="CT1880" s="20"/>
      <c r="CU1880" s="20"/>
      <c r="CV1880" s="20"/>
      <c r="CW1880" s="20"/>
      <c r="CX1880" s="20"/>
      <c r="CY1880" s="20"/>
      <c r="CZ1880" s="20"/>
      <c r="DA1880" s="20"/>
      <c r="DB1880" s="20"/>
      <c r="DC1880" s="20"/>
      <c r="DD1880" s="20"/>
      <c r="DE1880" s="20"/>
      <c r="DF1880" s="20"/>
      <c r="DG1880" s="20"/>
      <c r="DH1880" s="20"/>
      <c r="DI1880" s="20"/>
      <c r="DJ1880" s="20"/>
      <c r="DK1880" s="20"/>
      <c r="DL1880" s="20"/>
      <c r="DM1880" s="20"/>
      <c r="DN1880" s="20"/>
      <c r="DO1880" s="20"/>
      <c r="DP1880" s="20"/>
      <c r="DQ1880" s="20"/>
      <c r="DR1880" s="20"/>
      <c r="DS1880" s="20"/>
      <c r="DT1880" s="20"/>
      <c r="DU1880" s="20"/>
      <c r="DV1880" s="20"/>
      <c r="DW1880" s="20"/>
      <c r="DX1880" s="20"/>
      <c r="DY1880" s="20"/>
      <c r="DZ1880" s="20"/>
      <c r="EA1880" s="20"/>
      <c r="EB1880" s="20"/>
      <c r="EC1880" s="20"/>
      <c r="ED1880" s="20"/>
      <c r="EE1880" s="20"/>
      <c r="EF1880" s="20"/>
      <c r="EG1880" s="20"/>
      <c r="EH1880" s="20"/>
      <c r="EI1880" s="20"/>
      <c r="EJ1880" s="20"/>
      <c r="EK1880" s="20"/>
      <c r="EL1880" s="20"/>
      <c r="EM1880" s="20"/>
      <c r="EN1880" s="20"/>
      <c r="EO1880" s="20"/>
      <c r="EP1880" s="20"/>
      <c r="EQ1880" s="20"/>
      <c r="ER1880" s="20"/>
      <c r="ES1880" s="20"/>
      <c r="ET1880" s="20"/>
      <c r="EU1880" s="20"/>
      <c r="EV1880" s="20"/>
      <c r="EW1880" s="20"/>
      <c r="EX1880" s="20"/>
      <c r="EY1880" s="20"/>
      <c r="EZ1880" s="20"/>
      <c r="FA1880" s="20"/>
      <c r="FB1880" s="20"/>
      <c r="FC1880" s="20"/>
      <c r="FD1880" s="20"/>
      <c r="FE1880" s="20"/>
      <c r="FF1880" s="20"/>
      <c r="FG1880" s="20"/>
      <c r="FH1880" s="20"/>
      <c r="FI1880" s="20"/>
      <c r="FJ1880" s="20"/>
      <c r="FK1880" s="20"/>
      <c r="FL1880" s="20"/>
      <c r="FM1880" s="20"/>
      <c r="FN1880" s="20"/>
      <c r="FO1880" s="20"/>
      <c r="FP1880" s="20"/>
      <c r="FQ1880" s="20"/>
      <c r="FR1880" s="20"/>
      <c r="FS1880" s="20"/>
      <c r="FT1880" s="20"/>
      <c r="FU1880" s="20"/>
      <c r="FV1880" s="20"/>
      <c r="FW1880" s="20"/>
      <c r="FX1880" s="20"/>
      <c r="FY1880" s="20"/>
      <c r="FZ1880" s="20"/>
      <c r="GA1880" s="20"/>
      <c r="GB1880" s="20"/>
      <c r="GC1880" s="20"/>
      <c r="GD1880" s="20"/>
      <c r="GE1880" s="20"/>
      <c r="GF1880" s="20"/>
      <c r="GG1880" s="20"/>
      <c r="GH1880" s="20"/>
      <c r="GI1880" s="20"/>
      <c r="GJ1880" s="20"/>
      <c r="GK1880" s="20"/>
      <c r="GL1880" s="20"/>
      <c r="GM1880" s="20"/>
      <c r="GN1880" s="20"/>
      <c r="GO1880" s="20"/>
      <c r="GP1880" s="20"/>
      <c r="GQ1880" s="20"/>
      <c r="GR1880" s="20"/>
      <c r="GS1880" s="20"/>
      <c r="GT1880" s="20"/>
      <c r="GU1880" s="20"/>
      <c r="GV1880" s="20"/>
      <c r="GW1880" s="20"/>
      <c r="GX1880" s="20"/>
      <c r="GY1880" s="20"/>
      <c r="GZ1880" s="20"/>
      <c r="HA1880" s="20"/>
      <c r="HB1880" s="20"/>
      <c r="HC1880" s="20"/>
      <c r="HD1880" s="20"/>
      <c r="HE1880" s="20"/>
      <c r="HF1880" s="20"/>
      <c r="HG1880" s="20"/>
      <c r="HH1880" s="20"/>
      <c r="HI1880" s="20"/>
      <c r="HJ1880" s="20"/>
      <c r="HK1880" s="20"/>
      <c r="HL1880" s="20"/>
      <c r="HM1880" s="20"/>
      <c r="HN1880" s="20"/>
      <c r="HO1880" s="20"/>
      <c r="HP1880" s="20"/>
      <c r="HQ1880" s="20"/>
      <c r="HR1880" s="20"/>
      <c r="HS1880" s="20"/>
      <c r="HT1880" s="20"/>
      <c r="HU1880" s="20"/>
      <c r="HV1880" s="20"/>
      <c r="HW1880" s="20"/>
      <c r="HX1880" s="20"/>
      <c r="HY1880" s="20"/>
      <c r="HZ1880" s="20"/>
      <c r="IA1880" s="20"/>
      <c r="IB1880" s="20"/>
      <c r="IC1880" s="20"/>
      <c r="ID1880" s="20"/>
      <c r="IE1880" s="20"/>
      <c r="IF1880" s="20"/>
      <c r="IG1880" s="20"/>
      <c r="IH1880" s="20"/>
      <c r="II1880" s="20"/>
      <c r="IJ1880" s="20"/>
      <c r="IK1880" s="20"/>
      <c r="IL1880" s="20"/>
      <c r="IM1880" s="20"/>
      <c r="IN1880" s="20"/>
      <c r="IO1880" s="20"/>
    </row>
    <row r="1881" spans="1:249" ht="49.5">
      <c r="A1881" s="794"/>
      <c r="B1881" s="6"/>
      <c r="C1881" s="794"/>
      <c r="D1881" s="794"/>
      <c r="E1881" s="794"/>
      <c r="F1881" s="794"/>
      <c r="G1881" s="794"/>
      <c r="H1881" s="794"/>
      <c r="I1881" s="407" t="s">
        <v>2244</v>
      </c>
      <c r="J1881" s="407" t="s">
        <v>3302</v>
      </c>
      <c r="K1881" s="795">
        <v>12</v>
      </c>
      <c r="L1881" s="1212">
        <f>3*P1881</f>
        <v>543645000</v>
      </c>
      <c r="M1881" s="1212">
        <v>0</v>
      </c>
      <c r="N1881" s="1212">
        <v>0</v>
      </c>
      <c r="O1881" s="838">
        <v>4</v>
      </c>
      <c r="P1881" s="1212">
        <v>181215000</v>
      </c>
      <c r="Q1881" s="1277">
        <v>0</v>
      </c>
      <c r="R1881" s="1280">
        <v>3526000</v>
      </c>
      <c r="S1881" s="1281">
        <v>0</v>
      </c>
      <c r="T1881" s="826">
        <v>2157000</v>
      </c>
      <c r="U1881" s="1281">
        <v>0</v>
      </c>
      <c r="V1881" s="1281">
        <v>0</v>
      </c>
      <c r="W1881" s="1281">
        <v>0</v>
      </c>
      <c r="X1881" s="1281">
        <v>0</v>
      </c>
      <c r="Y1881" s="1279">
        <f t="shared" si="539"/>
        <v>0</v>
      </c>
      <c r="Z1881" s="1228">
        <f t="shared" si="539"/>
        <v>5683000</v>
      </c>
      <c r="AA1881" s="795">
        <f t="shared" si="540"/>
        <v>0</v>
      </c>
      <c r="AB1881" s="1212">
        <f t="shared" si="540"/>
        <v>5683000</v>
      </c>
      <c r="AC1881" s="1236">
        <f t="shared" si="541"/>
        <v>0</v>
      </c>
      <c r="AD1881" s="1215">
        <f t="shared" si="541"/>
        <v>1.045351286225386</v>
      </c>
      <c r="AE1881" s="794"/>
      <c r="AF1881" s="201"/>
      <c r="AG1881" s="201"/>
      <c r="AH1881" s="201"/>
      <c r="AI1881" s="201"/>
      <c r="AJ1881" s="201"/>
      <c r="AK1881" s="201"/>
      <c r="AL1881" s="201"/>
      <c r="AM1881" s="201"/>
      <c r="AN1881" s="201"/>
      <c r="AO1881" s="201"/>
      <c r="AP1881" s="201"/>
      <c r="AQ1881" s="201"/>
      <c r="AR1881" s="201"/>
      <c r="AS1881" s="201"/>
      <c r="AT1881" s="201"/>
      <c r="AU1881" s="201"/>
      <c r="AV1881" s="201"/>
      <c r="AW1881" s="201"/>
      <c r="AX1881" s="201"/>
      <c r="AY1881" s="201"/>
      <c r="AZ1881" s="201"/>
      <c r="BA1881" s="201"/>
      <c r="BB1881" s="201"/>
      <c r="BC1881" s="20"/>
      <c r="BD1881" s="20"/>
      <c r="BE1881" s="20"/>
      <c r="BF1881" s="20"/>
      <c r="BG1881" s="20"/>
      <c r="BH1881" s="20"/>
      <c r="BI1881" s="20"/>
      <c r="BJ1881" s="20"/>
      <c r="BK1881" s="20"/>
      <c r="BL1881" s="20"/>
      <c r="BM1881" s="20"/>
      <c r="BN1881" s="20"/>
      <c r="BO1881" s="20"/>
      <c r="BP1881" s="20"/>
      <c r="BQ1881" s="20"/>
      <c r="BR1881" s="20"/>
      <c r="BS1881" s="20"/>
      <c r="BT1881" s="20"/>
      <c r="BU1881" s="20"/>
      <c r="BV1881" s="20"/>
      <c r="BW1881" s="20"/>
      <c r="BX1881" s="20"/>
      <c r="BY1881" s="20"/>
      <c r="BZ1881" s="20"/>
      <c r="CA1881" s="20"/>
      <c r="CB1881" s="20"/>
      <c r="CC1881" s="20"/>
      <c r="CD1881" s="20"/>
      <c r="CE1881" s="20"/>
      <c r="CF1881" s="20"/>
      <c r="CG1881" s="20"/>
      <c r="CH1881" s="20"/>
      <c r="CI1881" s="20"/>
      <c r="CJ1881" s="20"/>
      <c r="CK1881" s="20"/>
      <c r="CL1881" s="20"/>
      <c r="CM1881" s="20"/>
      <c r="CN1881" s="20"/>
      <c r="CO1881" s="20"/>
      <c r="CP1881" s="20"/>
      <c r="CQ1881" s="20"/>
      <c r="CR1881" s="20"/>
      <c r="CS1881" s="20"/>
      <c r="CT1881" s="20"/>
      <c r="CU1881" s="20"/>
      <c r="CV1881" s="20"/>
      <c r="CW1881" s="20"/>
      <c r="CX1881" s="20"/>
      <c r="CY1881" s="20"/>
      <c r="CZ1881" s="20"/>
      <c r="DA1881" s="20"/>
      <c r="DB1881" s="20"/>
      <c r="DC1881" s="20"/>
      <c r="DD1881" s="20"/>
      <c r="DE1881" s="20"/>
      <c r="DF1881" s="20"/>
      <c r="DG1881" s="20"/>
      <c r="DH1881" s="20"/>
      <c r="DI1881" s="20"/>
      <c r="DJ1881" s="20"/>
      <c r="DK1881" s="20"/>
      <c r="DL1881" s="20"/>
      <c r="DM1881" s="20"/>
      <c r="DN1881" s="20"/>
      <c r="DO1881" s="20"/>
      <c r="DP1881" s="20"/>
      <c r="DQ1881" s="20"/>
      <c r="DR1881" s="20"/>
      <c r="DS1881" s="20"/>
      <c r="DT1881" s="20"/>
      <c r="DU1881" s="20"/>
      <c r="DV1881" s="20"/>
      <c r="DW1881" s="20"/>
      <c r="DX1881" s="20"/>
      <c r="DY1881" s="20"/>
      <c r="DZ1881" s="20"/>
      <c r="EA1881" s="20"/>
      <c r="EB1881" s="20"/>
      <c r="EC1881" s="20"/>
      <c r="ED1881" s="20"/>
      <c r="EE1881" s="20"/>
      <c r="EF1881" s="20"/>
      <c r="EG1881" s="20"/>
      <c r="EH1881" s="20"/>
      <c r="EI1881" s="20"/>
      <c r="EJ1881" s="20"/>
      <c r="EK1881" s="20"/>
      <c r="EL1881" s="20"/>
      <c r="EM1881" s="20"/>
      <c r="EN1881" s="20"/>
      <c r="EO1881" s="20"/>
      <c r="EP1881" s="20"/>
      <c r="EQ1881" s="20"/>
      <c r="ER1881" s="20"/>
      <c r="ES1881" s="20"/>
      <c r="ET1881" s="20"/>
      <c r="EU1881" s="20"/>
      <c r="EV1881" s="20"/>
      <c r="EW1881" s="20"/>
      <c r="EX1881" s="20"/>
      <c r="EY1881" s="20"/>
      <c r="EZ1881" s="20"/>
      <c r="FA1881" s="20"/>
      <c r="FB1881" s="20"/>
      <c r="FC1881" s="20"/>
      <c r="FD1881" s="20"/>
      <c r="FE1881" s="20"/>
      <c r="FF1881" s="20"/>
      <c r="FG1881" s="20"/>
      <c r="FH1881" s="20"/>
      <c r="FI1881" s="20"/>
      <c r="FJ1881" s="20"/>
      <c r="FK1881" s="20"/>
      <c r="FL1881" s="20"/>
      <c r="FM1881" s="20"/>
      <c r="FN1881" s="20"/>
      <c r="FO1881" s="20"/>
      <c r="FP1881" s="20"/>
      <c r="FQ1881" s="20"/>
      <c r="FR1881" s="20"/>
      <c r="FS1881" s="20"/>
      <c r="FT1881" s="20"/>
      <c r="FU1881" s="20"/>
      <c r="FV1881" s="20"/>
      <c r="FW1881" s="20"/>
      <c r="FX1881" s="20"/>
      <c r="FY1881" s="20"/>
      <c r="FZ1881" s="20"/>
      <c r="GA1881" s="20"/>
      <c r="GB1881" s="20"/>
      <c r="GC1881" s="20"/>
      <c r="GD1881" s="20"/>
      <c r="GE1881" s="20"/>
      <c r="GF1881" s="20"/>
      <c r="GG1881" s="20"/>
      <c r="GH1881" s="20"/>
      <c r="GI1881" s="20"/>
      <c r="GJ1881" s="20"/>
      <c r="GK1881" s="20"/>
      <c r="GL1881" s="20"/>
      <c r="GM1881" s="20"/>
      <c r="GN1881" s="20"/>
      <c r="GO1881" s="20"/>
      <c r="GP1881" s="20"/>
      <c r="GQ1881" s="20"/>
      <c r="GR1881" s="20"/>
      <c r="GS1881" s="20"/>
      <c r="GT1881" s="20"/>
      <c r="GU1881" s="20"/>
      <c r="GV1881" s="20"/>
      <c r="GW1881" s="20"/>
      <c r="GX1881" s="20"/>
      <c r="GY1881" s="20"/>
      <c r="GZ1881" s="20"/>
      <c r="HA1881" s="20"/>
      <c r="HB1881" s="20"/>
      <c r="HC1881" s="20"/>
      <c r="HD1881" s="20"/>
      <c r="HE1881" s="20"/>
      <c r="HF1881" s="20"/>
      <c r="HG1881" s="20"/>
      <c r="HH1881" s="20"/>
      <c r="HI1881" s="20"/>
      <c r="HJ1881" s="20"/>
      <c r="HK1881" s="20"/>
      <c r="HL1881" s="20"/>
      <c r="HM1881" s="20"/>
      <c r="HN1881" s="20"/>
      <c r="HO1881" s="20"/>
      <c r="HP1881" s="20"/>
      <c r="HQ1881" s="20"/>
      <c r="HR1881" s="20"/>
      <c r="HS1881" s="20"/>
      <c r="HT1881" s="20"/>
      <c r="HU1881" s="20"/>
      <c r="HV1881" s="20"/>
      <c r="HW1881" s="20"/>
      <c r="HX1881" s="20"/>
      <c r="HY1881" s="20"/>
      <c r="HZ1881" s="20"/>
      <c r="IA1881" s="20"/>
      <c r="IB1881" s="20"/>
      <c r="IC1881" s="20"/>
      <c r="ID1881" s="20"/>
      <c r="IE1881" s="20"/>
      <c r="IF1881" s="20"/>
      <c r="IG1881" s="20"/>
      <c r="IH1881" s="20"/>
      <c r="II1881" s="20"/>
      <c r="IJ1881" s="20"/>
      <c r="IK1881" s="20"/>
      <c r="IL1881" s="20"/>
      <c r="IM1881" s="20"/>
      <c r="IN1881" s="20"/>
      <c r="IO1881" s="20"/>
    </row>
    <row r="1882" spans="1:249" ht="138" customHeight="1">
      <c r="A1882" s="2554">
        <v>3</v>
      </c>
      <c r="B1882" s="44"/>
      <c r="C1882" s="286"/>
      <c r="D1882" s="286"/>
      <c r="E1882" s="286"/>
      <c r="F1882" s="286"/>
      <c r="G1882" s="286"/>
      <c r="H1882" s="286"/>
      <c r="I1882" s="46" t="s">
        <v>2245</v>
      </c>
      <c r="J1882" s="46" t="s">
        <v>3304</v>
      </c>
      <c r="K1882" s="146">
        <v>100</v>
      </c>
      <c r="L1882" s="833">
        <f>L1883</f>
        <v>284078100</v>
      </c>
      <c r="M1882" s="834">
        <v>40</v>
      </c>
      <c r="N1882" s="833">
        <f>N1883</f>
        <v>62495100</v>
      </c>
      <c r="O1882" s="1270">
        <v>20</v>
      </c>
      <c r="P1882" s="833">
        <f>P1883</f>
        <v>94692700</v>
      </c>
      <c r="Q1882" s="1274">
        <v>0</v>
      </c>
      <c r="R1882" s="1282">
        <f>R1883</f>
        <v>4522000</v>
      </c>
      <c r="S1882" s="300">
        <f>SUM(S1883)</f>
        <v>0</v>
      </c>
      <c r="T1882" s="1282">
        <f>SUM(T1883)</f>
        <v>1700000</v>
      </c>
      <c r="U1882" s="1283">
        <f t="shared" ref="U1882:W1882" si="543">SUM(U1883)</f>
        <v>0</v>
      </c>
      <c r="V1882" s="833">
        <f>V1883</f>
        <v>0</v>
      </c>
      <c r="W1882" s="833">
        <f t="shared" si="543"/>
        <v>0</v>
      </c>
      <c r="X1882" s="833">
        <f>X1883</f>
        <v>0</v>
      </c>
      <c r="Y1882" s="1278">
        <f t="shared" si="539"/>
        <v>0</v>
      </c>
      <c r="Z1882" s="147">
        <f t="shared" si="539"/>
        <v>6222000</v>
      </c>
      <c r="AA1882" s="146">
        <f t="shared" si="540"/>
        <v>40</v>
      </c>
      <c r="AB1882" s="833">
        <f t="shared" si="540"/>
        <v>68717100</v>
      </c>
      <c r="AC1882" s="868">
        <f t="shared" si="541"/>
        <v>40</v>
      </c>
      <c r="AD1882" s="868">
        <f t="shared" si="541"/>
        <v>24.189509856620415</v>
      </c>
      <c r="AE1882" s="2554" t="s">
        <v>223</v>
      </c>
      <c r="AF1882" s="201"/>
      <c r="AG1882" s="201"/>
      <c r="AH1882" s="201"/>
      <c r="AI1882" s="201"/>
      <c r="AJ1882" s="201"/>
      <c r="AK1882" s="201"/>
      <c r="AL1882" s="201"/>
      <c r="AM1882" s="201"/>
      <c r="AN1882" s="201"/>
      <c r="AO1882" s="201"/>
      <c r="AP1882" s="201"/>
      <c r="AQ1882" s="201"/>
      <c r="AR1882" s="201"/>
      <c r="AS1882" s="201"/>
      <c r="AT1882" s="201"/>
      <c r="AU1882" s="201"/>
      <c r="AV1882" s="201"/>
      <c r="AW1882" s="201"/>
      <c r="AX1882" s="201"/>
      <c r="AY1882" s="201"/>
      <c r="AZ1882" s="201"/>
      <c r="BA1882" s="201"/>
      <c r="BB1882" s="201"/>
      <c r="BC1882" s="20"/>
      <c r="BD1882" s="20"/>
      <c r="BE1882" s="20"/>
      <c r="BF1882" s="20"/>
      <c r="BG1882" s="20"/>
      <c r="BH1882" s="20"/>
      <c r="BI1882" s="20"/>
      <c r="BJ1882" s="20"/>
      <c r="BK1882" s="20"/>
      <c r="BL1882" s="20"/>
      <c r="BM1882" s="20"/>
      <c r="BN1882" s="20"/>
      <c r="BO1882" s="20"/>
      <c r="BP1882" s="20"/>
      <c r="BQ1882" s="20"/>
      <c r="BR1882" s="20"/>
      <c r="BS1882" s="20"/>
      <c r="BT1882" s="20"/>
      <c r="BU1882" s="20"/>
      <c r="BV1882" s="20"/>
      <c r="BW1882" s="20"/>
      <c r="BX1882" s="20"/>
      <c r="BY1882" s="20"/>
      <c r="BZ1882" s="20"/>
      <c r="CA1882" s="20"/>
      <c r="CB1882" s="20"/>
      <c r="CC1882" s="20"/>
      <c r="CD1882" s="20"/>
      <c r="CE1882" s="20"/>
      <c r="CF1882" s="20"/>
      <c r="CG1882" s="20"/>
      <c r="CH1882" s="20"/>
      <c r="CI1882" s="20"/>
      <c r="CJ1882" s="20"/>
      <c r="CK1882" s="20"/>
      <c r="CL1882" s="20"/>
      <c r="CM1882" s="20"/>
      <c r="CN1882" s="20"/>
      <c r="CO1882" s="20"/>
      <c r="CP1882" s="20"/>
      <c r="CQ1882" s="20"/>
      <c r="CR1882" s="20"/>
      <c r="CS1882" s="20"/>
      <c r="CT1882" s="20"/>
      <c r="CU1882" s="20"/>
      <c r="CV1882" s="20"/>
      <c r="CW1882" s="20"/>
      <c r="CX1882" s="20"/>
      <c r="CY1882" s="20"/>
      <c r="CZ1882" s="20"/>
      <c r="DA1882" s="20"/>
      <c r="DB1882" s="20"/>
      <c r="DC1882" s="20"/>
      <c r="DD1882" s="20"/>
      <c r="DE1882" s="20"/>
      <c r="DF1882" s="20"/>
      <c r="DG1882" s="20"/>
      <c r="DH1882" s="20"/>
      <c r="DI1882" s="20"/>
      <c r="DJ1882" s="20"/>
      <c r="DK1882" s="20"/>
      <c r="DL1882" s="20"/>
      <c r="DM1882" s="20"/>
      <c r="DN1882" s="20"/>
      <c r="DO1882" s="20"/>
      <c r="DP1882" s="20"/>
      <c r="DQ1882" s="20"/>
      <c r="DR1882" s="20"/>
      <c r="DS1882" s="20"/>
      <c r="DT1882" s="20"/>
      <c r="DU1882" s="20"/>
      <c r="DV1882" s="20"/>
      <c r="DW1882" s="20"/>
      <c r="DX1882" s="20"/>
      <c r="DY1882" s="20"/>
      <c r="DZ1882" s="20"/>
      <c r="EA1882" s="20"/>
      <c r="EB1882" s="20"/>
      <c r="EC1882" s="20"/>
      <c r="ED1882" s="20"/>
      <c r="EE1882" s="20"/>
      <c r="EF1882" s="20"/>
      <c r="EG1882" s="20"/>
      <c r="EH1882" s="20"/>
      <c r="EI1882" s="20"/>
      <c r="EJ1882" s="20"/>
      <c r="EK1882" s="20"/>
      <c r="EL1882" s="20"/>
      <c r="EM1882" s="20"/>
      <c r="EN1882" s="20"/>
      <c r="EO1882" s="20"/>
      <c r="EP1882" s="20"/>
      <c r="EQ1882" s="20"/>
      <c r="ER1882" s="20"/>
      <c r="ES1882" s="20"/>
      <c r="ET1882" s="20"/>
      <c r="EU1882" s="20"/>
      <c r="EV1882" s="20"/>
      <c r="EW1882" s="20"/>
      <c r="EX1882" s="20"/>
      <c r="EY1882" s="20"/>
      <c r="EZ1882" s="20"/>
      <c r="FA1882" s="20"/>
      <c r="FB1882" s="20"/>
      <c r="FC1882" s="20"/>
      <c r="FD1882" s="20"/>
      <c r="FE1882" s="20"/>
      <c r="FF1882" s="20"/>
      <c r="FG1882" s="20"/>
      <c r="FH1882" s="20"/>
      <c r="FI1882" s="20"/>
      <c r="FJ1882" s="20"/>
      <c r="FK1882" s="20"/>
      <c r="FL1882" s="20"/>
      <c r="FM1882" s="20"/>
      <c r="FN1882" s="20"/>
      <c r="FO1882" s="20"/>
      <c r="FP1882" s="20"/>
      <c r="FQ1882" s="20"/>
      <c r="FR1882" s="20"/>
      <c r="FS1882" s="20"/>
      <c r="FT1882" s="20"/>
      <c r="FU1882" s="20"/>
      <c r="FV1882" s="20"/>
      <c r="FW1882" s="20"/>
      <c r="FX1882" s="20"/>
      <c r="FY1882" s="20"/>
      <c r="FZ1882" s="20"/>
      <c r="GA1882" s="20"/>
      <c r="GB1882" s="20"/>
      <c r="GC1882" s="20"/>
      <c r="GD1882" s="20"/>
      <c r="GE1882" s="20"/>
      <c r="GF1882" s="20"/>
      <c r="GG1882" s="20"/>
      <c r="GH1882" s="20"/>
      <c r="GI1882" s="20"/>
      <c r="GJ1882" s="20"/>
      <c r="GK1882" s="20"/>
      <c r="GL1882" s="20"/>
      <c r="GM1882" s="20"/>
      <c r="GN1882" s="20"/>
      <c r="GO1882" s="20"/>
      <c r="GP1882" s="20"/>
      <c r="GQ1882" s="20"/>
      <c r="GR1882" s="20"/>
      <c r="GS1882" s="20"/>
      <c r="GT1882" s="20"/>
      <c r="GU1882" s="20"/>
      <c r="GV1882" s="20"/>
      <c r="GW1882" s="20"/>
      <c r="GX1882" s="20"/>
      <c r="GY1882" s="20"/>
      <c r="GZ1882" s="20"/>
      <c r="HA1882" s="20"/>
      <c r="HB1882" s="20"/>
      <c r="HC1882" s="20"/>
      <c r="HD1882" s="20"/>
      <c r="HE1882" s="20"/>
      <c r="HF1882" s="20"/>
      <c r="HG1882" s="20"/>
      <c r="HH1882" s="20"/>
      <c r="HI1882" s="20"/>
      <c r="HJ1882" s="20"/>
      <c r="HK1882" s="20"/>
      <c r="HL1882" s="20"/>
      <c r="HM1882" s="20"/>
      <c r="HN1882" s="20"/>
      <c r="HO1882" s="20"/>
      <c r="HP1882" s="20"/>
      <c r="HQ1882" s="20"/>
      <c r="HR1882" s="20"/>
      <c r="HS1882" s="20"/>
      <c r="HT1882" s="20"/>
      <c r="HU1882" s="20"/>
      <c r="HV1882" s="20"/>
      <c r="HW1882" s="20"/>
      <c r="HX1882" s="20"/>
      <c r="HY1882" s="20"/>
      <c r="HZ1882" s="20"/>
      <c r="IA1882" s="20"/>
      <c r="IB1882" s="20"/>
      <c r="IC1882" s="20"/>
      <c r="ID1882" s="20"/>
      <c r="IE1882" s="20"/>
      <c r="IF1882" s="20"/>
      <c r="IG1882" s="20"/>
      <c r="IH1882" s="20"/>
      <c r="II1882" s="20"/>
      <c r="IJ1882" s="20"/>
      <c r="IK1882" s="20"/>
      <c r="IL1882" s="20"/>
      <c r="IM1882" s="20"/>
      <c r="IN1882" s="20"/>
      <c r="IO1882" s="20"/>
    </row>
    <row r="1883" spans="1:249" ht="49.5">
      <c r="A1883" s="794"/>
      <c r="B1883" s="6"/>
      <c r="C1883" s="794"/>
      <c r="D1883" s="794"/>
      <c r="E1883" s="794"/>
      <c r="F1883" s="794"/>
      <c r="G1883" s="794"/>
      <c r="H1883" s="794"/>
      <c r="I1883" s="407" t="s">
        <v>2246</v>
      </c>
      <c r="J1883" s="407" t="s">
        <v>3305</v>
      </c>
      <c r="K1883" s="795">
        <v>48</v>
      </c>
      <c r="L1883" s="1212">
        <f>3*P1883</f>
        <v>284078100</v>
      </c>
      <c r="M1883" s="1212">
        <v>12</v>
      </c>
      <c r="N1883" s="1212">
        <v>62495100</v>
      </c>
      <c r="O1883" s="838">
        <v>12</v>
      </c>
      <c r="P1883" s="1212">
        <v>94692700</v>
      </c>
      <c r="Q1883" s="1277">
        <v>3</v>
      </c>
      <c r="R1883" s="1280">
        <v>4522000</v>
      </c>
      <c r="S1883" s="1281">
        <v>0</v>
      </c>
      <c r="T1883" s="1280">
        <v>1700000</v>
      </c>
      <c r="U1883" s="1225">
        <v>0</v>
      </c>
      <c r="V1883" s="1212">
        <v>0</v>
      </c>
      <c r="W1883" s="1212">
        <v>0</v>
      </c>
      <c r="X1883" s="1212">
        <v>0</v>
      </c>
      <c r="Y1883" s="1279">
        <f t="shared" si="539"/>
        <v>3</v>
      </c>
      <c r="Z1883" s="1228">
        <f t="shared" si="539"/>
        <v>6222000</v>
      </c>
      <c r="AA1883" s="795">
        <f t="shared" si="540"/>
        <v>15</v>
      </c>
      <c r="AB1883" s="1212">
        <f t="shared" si="540"/>
        <v>68717100</v>
      </c>
      <c r="AC1883" s="1236">
        <f t="shared" si="541"/>
        <v>31.25</v>
      </c>
      <c r="AD1883" s="1215">
        <f t="shared" si="541"/>
        <v>24.189509856620415</v>
      </c>
      <c r="AE1883" s="794"/>
      <c r="AF1883" s="201"/>
      <c r="AG1883" s="201"/>
      <c r="AH1883" s="201"/>
      <c r="AI1883" s="201"/>
      <c r="AJ1883" s="201"/>
      <c r="AK1883" s="201"/>
      <c r="AL1883" s="201"/>
      <c r="AM1883" s="201"/>
      <c r="AN1883" s="201"/>
      <c r="AO1883" s="201"/>
      <c r="AP1883" s="201"/>
      <c r="AQ1883" s="201"/>
      <c r="AR1883" s="201"/>
      <c r="AS1883" s="201"/>
      <c r="AT1883" s="201"/>
      <c r="AU1883" s="201"/>
      <c r="AV1883" s="201"/>
      <c r="AW1883" s="201"/>
      <c r="AX1883" s="201"/>
      <c r="AY1883" s="201"/>
      <c r="AZ1883" s="201"/>
      <c r="BA1883" s="201"/>
      <c r="BB1883" s="201"/>
      <c r="BC1883" s="20"/>
      <c r="BD1883" s="20"/>
      <c r="BE1883" s="20"/>
      <c r="BF1883" s="20"/>
      <c r="BG1883" s="20"/>
      <c r="BH1883" s="20"/>
      <c r="BI1883" s="20"/>
      <c r="BJ1883" s="20"/>
      <c r="BK1883" s="20"/>
      <c r="BL1883" s="20"/>
      <c r="BM1883" s="20"/>
      <c r="BN1883" s="20"/>
      <c r="BO1883" s="20"/>
      <c r="BP1883" s="20"/>
      <c r="BQ1883" s="20"/>
      <c r="BR1883" s="20"/>
      <c r="BS1883" s="20"/>
      <c r="BT1883" s="20"/>
      <c r="BU1883" s="20"/>
      <c r="BV1883" s="20"/>
      <c r="BW1883" s="20"/>
      <c r="BX1883" s="20"/>
      <c r="BY1883" s="20"/>
      <c r="BZ1883" s="20"/>
      <c r="CA1883" s="20"/>
      <c r="CB1883" s="20"/>
      <c r="CC1883" s="20"/>
      <c r="CD1883" s="20"/>
      <c r="CE1883" s="20"/>
      <c r="CF1883" s="20"/>
      <c r="CG1883" s="20"/>
      <c r="CH1883" s="20"/>
      <c r="CI1883" s="20"/>
      <c r="CJ1883" s="20"/>
      <c r="CK1883" s="20"/>
      <c r="CL1883" s="20"/>
      <c r="CM1883" s="20"/>
      <c r="CN1883" s="20"/>
      <c r="CO1883" s="20"/>
      <c r="CP1883" s="20"/>
      <c r="CQ1883" s="20"/>
      <c r="CR1883" s="20"/>
      <c r="CS1883" s="20"/>
      <c r="CT1883" s="20"/>
      <c r="CU1883" s="20"/>
      <c r="CV1883" s="20"/>
      <c r="CW1883" s="20"/>
      <c r="CX1883" s="20"/>
      <c r="CY1883" s="20"/>
      <c r="CZ1883" s="20"/>
      <c r="DA1883" s="20"/>
      <c r="DB1883" s="20"/>
      <c r="DC1883" s="20"/>
      <c r="DD1883" s="20"/>
      <c r="DE1883" s="20"/>
      <c r="DF1883" s="20"/>
      <c r="DG1883" s="20"/>
      <c r="DH1883" s="20"/>
      <c r="DI1883" s="20"/>
      <c r="DJ1883" s="20"/>
      <c r="DK1883" s="20"/>
      <c r="DL1883" s="20"/>
      <c r="DM1883" s="20"/>
      <c r="DN1883" s="20"/>
      <c r="DO1883" s="20"/>
      <c r="DP1883" s="20"/>
      <c r="DQ1883" s="20"/>
      <c r="DR1883" s="20"/>
      <c r="DS1883" s="20"/>
      <c r="DT1883" s="20"/>
      <c r="DU1883" s="20"/>
      <c r="DV1883" s="20"/>
      <c r="DW1883" s="20"/>
      <c r="DX1883" s="20"/>
      <c r="DY1883" s="20"/>
      <c r="DZ1883" s="20"/>
      <c r="EA1883" s="20"/>
      <c r="EB1883" s="20"/>
      <c r="EC1883" s="20"/>
      <c r="ED1883" s="20"/>
      <c r="EE1883" s="20"/>
      <c r="EF1883" s="20"/>
      <c r="EG1883" s="20"/>
      <c r="EH1883" s="20"/>
      <c r="EI1883" s="20"/>
      <c r="EJ1883" s="20"/>
      <c r="EK1883" s="20"/>
      <c r="EL1883" s="20"/>
      <c r="EM1883" s="20"/>
      <c r="EN1883" s="20"/>
      <c r="EO1883" s="20"/>
      <c r="EP1883" s="20"/>
      <c r="EQ1883" s="20"/>
      <c r="ER1883" s="20"/>
      <c r="ES1883" s="20"/>
      <c r="ET1883" s="20"/>
      <c r="EU1883" s="20"/>
      <c r="EV1883" s="20"/>
      <c r="EW1883" s="20"/>
      <c r="EX1883" s="20"/>
      <c r="EY1883" s="20"/>
      <c r="EZ1883" s="20"/>
      <c r="FA1883" s="20"/>
      <c r="FB1883" s="20"/>
      <c r="FC1883" s="20"/>
      <c r="FD1883" s="20"/>
      <c r="FE1883" s="20"/>
      <c r="FF1883" s="20"/>
      <c r="FG1883" s="20"/>
      <c r="FH1883" s="20"/>
      <c r="FI1883" s="20"/>
      <c r="FJ1883" s="20"/>
      <c r="FK1883" s="20"/>
      <c r="FL1883" s="20"/>
      <c r="FM1883" s="20"/>
      <c r="FN1883" s="20"/>
      <c r="FO1883" s="20"/>
      <c r="FP1883" s="20"/>
      <c r="FQ1883" s="20"/>
      <c r="FR1883" s="20"/>
      <c r="FS1883" s="20"/>
      <c r="FT1883" s="20"/>
      <c r="FU1883" s="20"/>
      <c r="FV1883" s="20"/>
      <c r="FW1883" s="20"/>
      <c r="FX1883" s="20"/>
      <c r="FY1883" s="20"/>
      <c r="FZ1883" s="20"/>
      <c r="GA1883" s="20"/>
      <c r="GB1883" s="20"/>
      <c r="GC1883" s="20"/>
      <c r="GD1883" s="20"/>
      <c r="GE1883" s="20"/>
      <c r="GF1883" s="20"/>
      <c r="GG1883" s="20"/>
      <c r="GH1883" s="20"/>
      <c r="GI1883" s="20"/>
      <c r="GJ1883" s="20"/>
      <c r="GK1883" s="20"/>
      <c r="GL1883" s="20"/>
      <c r="GM1883" s="20"/>
      <c r="GN1883" s="20"/>
      <c r="GO1883" s="20"/>
      <c r="GP1883" s="20"/>
      <c r="GQ1883" s="20"/>
      <c r="GR1883" s="20"/>
      <c r="GS1883" s="20"/>
      <c r="GT1883" s="20"/>
      <c r="GU1883" s="20"/>
      <c r="GV1883" s="20"/>
      <c r="GW1883" s="20"/>
      <c r="GX1883" s="20"/>
      <c r="GY1883" s="20"/>
      <c r="GZ1883" s="20"/>
      <c r="HA1883" s="20"/>
      <c r="HB1883" s="20"/>
      <c r="HC1883" s="20"/>
      <c r="HD1883" s="20"/>
      <c r="HE1883" s="20"/>
      <c r="HF1883" s="20"/>
      <c r="HG1883" s="20"/>
      <c r="HH1883" s="20"/>
      <c r="HI1883" s="20"/>
      <c r="HJ1883" s="20"/>
      <c r="HK1883" s="20"/>
      <c r="HL1883" s="20"/>
      <c r="HM1883" s="20"/>
      <c r="HN1883" s="20"/>
      <c r="HO1883" s="20"/>
      <c r="HP1883" s="20"/>
      <c r="HQ1883" s="20"/>
      <c r="HR1883" s="20"/>
      <c r="HS1883" s="20"/>
      <c r="HT1883" s="20"/>
      <c r="HU1883" s="20"/>
      <c r="HV1883" s="20"/>
      <c r="HW1883" s="20"/>
      <c r="HX1883" s="20"/>
      <c r="HY1883" s="20"/>
      <c r="HZ1883" s="20"/>
      <c r="IA1883" s="20"/>
      <c r="IB1883" s="20"/>
      <c r="IC1883" s="20"/>
      <c r="ID1883" s="20"/>
      <c r="IE1883" s="20"/>
      <c r="IF1883" s="20"/>
      <c r="IG1883" s="20"/>
      <c r="IH1883" s="20"/>
      <c r="II1883" s="20"/>
      <c r="IJ1883" s="20"/>
      <c r="IK1883" s="20"/>
      <c r="IL1883" s="20"/>
      <c r="IM1883" s="20"/>
      <c r="IN1883" s="20"/>
      <c r="IO1883" s="20"/>
    </row>
    <row r="1884" spans="1:249" ht="19.5" customHeight="1">
      <c r="A1884" s="2717" t="s">
        <v>63</v>
      </c>
      <c r="B1884" s="2717"/>
      <c r="C1884" s="2717"/>
      <c r="D1884" s="2717"/>
      <c r="E1884" s="2717"/>
      <c r="F1884" s="2717"/>
      <c r="G1884" s="2717"/>
      <c r="H1884" s="2717"/>
      <c r="I1884" s="2717"/>
      <c r="J1884" s="2717"/>
      <c r="K1884" s="2717"/>
      <c r="L1884" s="2717"/>
      <c r="M1884" s="2717"/>
      <c r="N1884" s="2717"/>
      <c r="O1884" s="2717"/>
      <c r="P1884" s="2717"/>
      <c r="Q1884" s="2717"/>
      <c r="R1884" s="2717"/>
      <c r="S1884" s="2717"/>
      <c r="T1884" s="2717"/>
      <c r="U1884" s="2717"/>
      <c r="V1884" s="2717"/>
      <c r="W1884" s="2717"/>
      <c r="X1884" s="2717"/>
      <c r="Y1884" s="2717"/>
      <c r="Z1884" s="2717"/>
      <c r="AA1884" s="2717"/>
      <c r="AB1884" s="2717"/>
      <c r="AC1884" s="785">
        <f>(AC1877+AC1879+AC1882)/3</f>
        <v>31.666666666666668</v>
      </c>
      <c r="AD1884" s="785">
        <f>(AD1877+AD1879+AD1882)/3</f>
        <v>11.344612576318262</v>
      </c>
      <c r="AE1884" s="102"/>
      <c r="AF1884" s="201"/>
      <c r="AG1884" s="201"/>
      <c r="AH1884" s="201"/>
      <c r="AI1884" s="201"/>
      <c r="AJ1884" s="201"/>
      <c r="AK1884" s="201"/>
      <c r="AL1884" s="201"/>
      <c r="AM1884" s="201"/>
      <c r="AN1884" s="201"/>
      <c r="AO1884" s="201"/>
      <c r="AP1884" s="201"/>
      <c r="AQ1884" s="201"/>
      <c r="AR1884" s="201"/>
      <c r="AS1884" s="201"/>
      <c r="AT1884" s="201"/>
      <c r="AU1884" s="201"/>
      <c r="AV1884" s="201"/>
      <c r="AW1884" s="201"/>
      <c r="AX1884" s="201"/>
      <c r="AY1884" s="201"/>
      <c r="AZ1884" s="201"/>
      <c r="BA1884" s="201"/>
      <c r="BB1884" s="201"/>
      <c r="BC1884" s="20"/>
      <c r="BD1884" s="20"/>
      <c r="BE1884" s="20"/>
      <c r="BF1884" s="20"/>
      <c r="BG1884" s="20"/>
      <c r="BH1884" s="20"/>
      <c r="BI1884" s="20"/>
      <c r="BJ1884" s="20"/>
      <c r="BK1884" s="20"/>
      <c r="BL1884" s="20"/>
      <c r="BM1884" s="20"/>
      <c r="BN1884" s="20"/>
      <c r="BO1884" s="20"/>
      <c r="BP1884" s="20"/>
      <c r="BQ1884" s="20"/>
      <c r="BR1884" s="20"/>
      <c r="BS1884" s="20"/>
      <c r="BT1884" s="20"/>
      <c r="BU1884" s="20"/>
      <c r="BV1884" s="20"/>
      <c r="BW1884" s="20"/>
      <c r="BX1884" s="20"/>
      <c r="BY1884" s="20"/>
      <c r="BZ1884" s="20"/>
      <c r="CA1884" s="20"/>
      <c r="CB1884" s="20"/>
      <c r="CC1884" s="20"/>
      <c r="CD1884" s="20"/>
      <c r="CE1884" s="20"/>
      <c r="CF1884" s="20"/>
      <c r="CG1884" s="20"/>
      <c r="CH1884" s="20"/>
      <c r="CI1884" s="20"/>
      <c r="CJ1884" s="20"/>
      <c r="CK1884" s="20"/>
      <c r="CL1884" s="20"/>
      <c r="CM1884" s="20"/>
      <c r="CN1884" s="20"/>
      <c r="CO1884" s="20"/>
      <c r="CP1884" s="20"/>
      <c r="CQ1884" s="20"/>
      <c r="CR1884" s="20"/>
      <c r="CS1884" s="20"/>
      <c r="CT1884" s="20"/>
      <c r="CU1884" s="20"/>
      <c r="CV1884" s="20"/>
      <c r="CW1884" s="20"/>
      <c r="CX1884" s="20"/>
      <c r="CY1884" s="20"/>
      <c r="CZ1884" s="20"/>
      <c r="DA1884" s="20"/>
      <c r="DB1884" s="20"/>
      <c r="DC1884" s="20"/>
      <c r="DD1884" s="20"/>
      <c r="DE1884" s="20"/>
      <c r="DF1884" s="20"/>
      <c r="DG1884" s="20"/>
      <c r="DH1884" s="20"/>
      <c r="DI1884" s="20"/>
      <c r="DJ1884" s="20"/>
      <c r="DK1884" s="20"/>
      <c r="DL1884" s="20"/>
      <c r="DM1884" s="20"/>
      <c r="DN1884" s="20"/>
      <c r="DO1884" s="20"/>
      <c r="DP1884" s="20"/>
      <c r="DQ1884" s="20"/>
      <c r="DR1884" s="20"/>
      <c r="DS1884" s="20"/>
      <c r="DT1884" s="20"/>
      <c r="DU1884" s="20"/>
      <c r="DV1884" s="20"/>
      <c r="DW1884" s="20"/>
      <c r="DX1884" s="20"/>
      <c r="DY1884" s="20"/>
      <c r="DZ1884" s="20"/>
      <c r="EA1884" s="20"/>
      <c r="EB1884" s="20"/>
      <c r="EC1884" s="20"/>
      <c r="ED1884" s="20"/>
      <c r="EE1884" s="20"/>
      <c r="EF1884" s="20"/>
      <c r="EG1884" s="20"/>
      <c r="EH1884" s="20"/>
      <c r="EI1884" s="20"/>
      <c r="EJ1884" s="20"/>
      <c r="EK1884" s="20"/>
      <c r="EL1884" s="20"/>
      <c r="EM1884" s="20"/>
      <c r="EN1884" s="20"/>
      <c r="EO1884" s="20"/>
      <c r="EP1884" s="20"/>
      <c r="EQ1884" s="20"/>
      <c r="ER1884" s="20"/>
      <c r="ES1884" s="20"/>
      <c r="ET1884" s="20"/>
      <c r="EU1884" s="20"/>
      <c r="EV1884" s="20"/>
      <c r="EW1884" s="20"/>
      <c r="EX1884" s="20"/>
      <c r="EY1884" s="20"/>
      <c r="EZ1884" s="20"/>
      <c r="FA1884" s="20"/>
      <c r="FB1884" s="20"/>
      <c r="FC1884" s="20"/>
      <c r="FD1884" s="20"/>
      <c r="FE1884" s="20"/>
      <c r="FF1884" s="20"/>
      <c r="FG1884" s="20"/>
      <c r="FH1884" s="20"/>
      <c r="FI1884" s="20"/>
      <c r="FJ1884" s="20"/>
      <c r="FK1884" s="20"/>
      <c r="FL1884" s="20"/>
      <c r="FM1884" s="20"/>
      <c r="FN1884" s="20"/>
      <c r="FO1884" s="20"/>
      <c r="FP1884" s="20"/>
      <c r="FQ1884" s="20"/>
      <c r="FR1884" s="20"/>
      <c r="FS1884" s="20"/>
      <c r="FT1884" s="20"/>
      <c r="FU1884" s="20"/>
      <c r="FV1884" s="20"/>
      <c r="FW1884" s="20"/>
      <c r="FX1884" s="20"/>
      <c r="FY1884" s="20"/>
      <c r="FZ1884" s="20"/>
      <c r="GA1884" s="20"/>
      <c r="GB1884" s="20"/>
      <c r="GC1884" s="20"/>
      <c r="GD1884" s="20"/>
      <c r="GE1884" s="20"/>
      <c r="GF1884" s="20"/>
      <c r="GG1884" s="20"/>
      <c r="GH1884" s="20"/>
      <c r="GI1884" s="20"/>
      <c r="GJ1884" s="20"/>
      <c r="GK1884" s="20"/>
      <c r="GL1884" s="20"/>
      <c r="GM1884" s="20"/>
      <c r="GN1884" s="20"/>
      <c r="GO1884" s="20"/>
      <c r="GP1884" s="20"/>
      <c r="GQ1884" s="20"/>
      <c r="GR1884" s="20"/>
      <c r="GS1884" s="20"/>
      <c r="GT1884" s="20"/>
      <c r="GU1884" s="20"/>
      <c r="GV1884" s="20"/>
      <c r="GW1884" s="20"/>
      <c r="GX1884" s="20"/>
      <c r="GY1884" s="20"/>
      <c r="GZ1884" s="20"/>
      <c r="HA1884" s="20"/>
      <c r="HB1884" s="20"/>
      <c r="HC1884" s="20"/>
      <c r="HD1884" s="20"/>
      <c r="HE1884" s="20"/>
      <c r="HF1884" s="20"/>
      <c r="HG1884" s="20"/>
      <c r="HH1884" s="20"/>
      <c r="HI1884" s="20"/>
      <c r="HJ1884" s="20"/>
      <c r="HK1884" s="20"/>
      <c r="HL1884" s="20"/>
      <c r="HM1884" s="20"/>
      <c r="HN1884" s="20"/>
      <c r="HO1884" s="20"/>
      <c r="HP1884" s="20"/>
      <c r="HQ1884" s="20"/>
      <c r="HR1884" s="20"/>
      <c r="HS1884" s="20"/>
      <c r="HT1884" s="20"/>
      <c r="HU1884" s="20"/>
      <c r="HV1884" s="20"/>
      <c r="HW1884" s="20"/>
      <c r="HX1884" s="20"/>
      <c r="HY1884" s="20"/>
      <c r="HZ1884" s="20"/>
      <c r="IA1884" s="20"/>
      <c r="IB1884" s="20"/>
      <c r="IC1884" s="20"/>
      <c r="ID1884" s="20"/>
      <c r="IE1884" s="20"/>
      <c r="IF1884" s="20"/>
      <c r="IG1884" s="20"/>
      <c r="IH1884" s="20"/>
      <c r="II1884" s="20"/>
      <c r="IJ1884" s="20"/>
      <c r="IK1884" s="20"/>
      <c r="IL1884" s="20"/>
      <c r="IM1884" s="20"/>
      <c r="IN1884" s="20"/>
      <c r="IO1884" s="20"/>
    </row>
    <row r="1885" spans="1:249" ht="19.5" customHeight="1">
      <c r="A1885" s="2717" t="s">
        <v>64</v>
      </c>
      <c r="B1885" s="2717"/>
      <c r="C1885" s="2717"/>
      <c r="D1885" s="2717"/>
      <c r="E1885" s="2717"/>
      <c r="F1885" s="2717"/>
      <c r="G1885" s="2717"/>
      <c r="H1885" s="2717"/>
      <c r="I1885" s="2717"/>
      <c r="J1885" s="2717"/>
      <c r="K1885" s="2717"/>
      <c r="L1885" s="2717"/>
      <c r="M1885" s="2717"/>
      <c r="N1885" s="2717"/>
      <c r="O1885" s="2717"/>
      <c r="P1885" s="2717"/>
      <c r="Q1885" s="2717"/>
      <c r="R1885" s="2717"/>
      <c r="S1885" s="2717"/>
      <c r="T1885" s="2717"/>
      <c r="U1885" s="2717"/>
      <c r="V1885" s="2717"/>
      <c r="W1885" s="2717"/>
      <c r="X1885" s="2717"/>
      <c r="Y1885" s="2717"/>
      <c r="Z1885" s="2717"/>
      <c r="AA1885" s="2717"/>
      <c r="AB1885" s="2717"/>
      <c r="AC1885" s="1203" t="str">
        <f>IF(AC1884&gt;=91,"ST",IF(AC1884&gt;=76,"T",IF(AC1884&gt;=66,"S",IF(AC1884&gt;=51,"R","SR"))))</f>
        <v>SR</v>
      </c>
      <c r="AD1885" s="1203" t="str">
        <f>IF(AD1884&gt;=91,"ST",IF(AD1884&gt;=76,"T",IF(AD1884&gt;=66,"S",IF(AD1884&gt;=51,"R","SR"))))</f>
        <v>SR</v>
      </c>
      <c r="AE1885" s="102"/>
      <c r="AF1885" s="201"/>
      <c r="AG1885" s="201"/>
      <c r="AH1885" s="201"/>
      <c r="AI1885" s="201"/>
      <c r="AJ1885" s="201"/>
      <c r="AK1885" s="201"/>
      <c r="AL1885" s="201"/>
      <c r="AM1885" s="201"/>
      <c r="AN1885" s="201"/>
      <c r="AO1885" s="201"/>
      <c r="AP1885" s="201"/>
      <c r="AQ1885" s="201"/>
      <c r="AR1885" s="201"/>
      <c r="AS1885" s="201"/>
      <c r="AT1885" s="201"/>
      <c r="AU1885" s="201"/>
      <c r="AV1885" s="201"/>
      <c r="AW1885" s="201"/>
      <c r="AX1885" s="201"/>
      <c r="AY1885" s="201"/>
      <c r="AZ1885" s="201"/>
      <c r="BA1885" s="201"/>
      <c r="BB1885" s="201"/>
      <c r="BC1885" s="20"/>
      <c r="BD1885" s="20"/>
      <c r="BE1885" s="20"/>
      <c r="BF1885" s="20"/>
      <c r="BG1885" s="20"/>
      <c r="BH1885" s="20"/>
      <c r="BI1885" s="20"/>
      <c r="BJ1885" s="20"/>
      <c r="BK1885" s="20"/>
      <c r="BL1885" s="20"/>
      <c r="BM1885" s="20"/>
      <c r="BN1885" s="20"/>
      <c r="BO1885" s="20"/>
      <c r="BP1885" s="20"/>
      <c r="BQ1885" s="20"/>
      <c r="BR1885" s="20"/>
      <c r="BS1885" s="20"/>
      <c r="BT1885" s="20"/>
      <c r="BU1885" s="20"/>
      <c r="BV1885" s="20"/>
      <c r="BW1885" s="20"/>
      <c r="BX1885" s="20"/>
      <c r="BY1885" s="20"/>
      <c r="BZ1885" s="20"/>
      <c r="CA1885" s="20"/>
      <c r="CB1885" s="20"/>
      <c r="CC1885" s="20"/>
      <c r="CD1885" s="20"/>
      <c r="CE1885" s="20"/>
      <c r="CF1885" s="20"/>
      <c r="CG1885" s="20"/>
      <c r="CH1885" s="20"/>
      <c r="CI1885" s="20"/>
      <c r="CJ1885" s="20"/>
      <c r="CK1885" s="20"/>
      <c r="CL1885" s="20"/>
      <c r="CM1885" s="20"/>
      <c r="CN1885" s="20"/>
      <c r="CO1885" s="20"/>
      <c r="CP1885" s="20"/>
      <c r="CQ1885" s="20"/>
      <c r="CR1885" s="20"/>
      <c r="CS1885" s="20"/>
      <c r="CT1885" s="20"/>
      <c r="CU1885" s="20"/>
      <c r="CV1885" s="20"/>
      <c r="CW1885" s="20"/>
      <c r="CX1885" s="20"/>
      <c r="CY1885" s="20"/>
      <c r="CZ1885" s="20"/>
      <c r="DA1885" s="20"/>
      <c r="DB1885" s="20"/>
      <c r="DC1885" s="20"/>
      <c r="DD1885" s="20"/>
      <c r="DE1885" s="20"/>
      <c r="DF1885" s="20"/>
      <c r="DG1885" s="20"/>
      <c r="DH1885" s="20"/>
      <c r="DI1885" s="20"/>
      <c r="DJ1885" s="20"/>
      <c r="DK1885" s="20"/>
      <c r="DL1885" s="20"/>
      <c r="DM1885" s="20"/>
      <c r="DN1885" s="20"/>
      <c r="DO1885" s="20"/>
      <c r="DP1885" s="20"/>
      <c r="DQ1885" s="20"/>
      <c r="DR1885" s="20"/>
      <c r="DS1885" s="20"/>
      <c r="DT1885" s="20"/>
      <c r="DU1885" s="20"/>
      <c r="DV1885" s="20"/>
      <c r="DW1885" s="20"/>
      <c r="DX1885" s="20"/>
      <c r="DY1885" s="20"/>
      <c r="DZ1885" s="20"/>
      <c r="EA1885" s="20"/>
      <c r="EB1885" s="20"/>
      <c r="EC1885" s="20"/>
      <c r="ED1885" s="20"/>
      <c r="EE1885" s="20"/>
      <c r="EF1885" s="20"/>
      <c r="EG1885" s="20"/>
      <c r="EH1885" s="20"/>
      <c r="EI1885" s="20"/>
      <c r="EJ1885" s="20"/>
      <c r="EK1885" s="20"/>
      <c r="EL1885" s="20"/>
      <c r="EM1885" s="20"/>
      <c r="EN1885" s="20"/>
      <c r="EO1885" s="20"/>
      <c r="EP1885" s="20"/>
      <c r="EQ1885" s="20"/>
      <c r="ER1885" s="20"/>
      <c r="ES1885" s="20"/>
      <c r="ET1885" s="20"/>
      <c r="EU1885" s="20"/>
      <c r="EV1885" s="20"/>
      <c r="EW1885" s="20"/>
      <c r="EX1885" s="20"/>
      <c r="EY1885" s="20"/>
      <c r="EZ1885" s="20"/>
      <c r="FA1885" s="20"/>
      <c r="FB1885" s="20"/>
      <c r="FC1885" s="20"/>
      <c r="FD1885" s="20"/>
      <c r="FE1885" s="20"/>
      <c r="FF1885" s="20"/>
      <c r="FG1885" s="20"/>
      <c r="FH1885" s="20"/>
      <c r="FI1885" s="20"/>
      <c r="FJ1885" s="20"/>
      <c r="FK1885" s="20"/>
      <c r="FL1885" s="20"/>
      <c r="FM1885" s="20"/>
      <c r="FN1885" s="20"/>
      <c r="FO1885" s="20"/>
      <c r="FP1885" s="20"/>
      <c r="FQ1885" s="20"/>
      <c r="FR1885" s="20"/>
      <c r="FS1885" s="20"/>
      <c r="FT1885" s="20"/>
      <c r="FU1885" s="20"/>
      <c r="FV1885" s="20"/>
      <c r="FW1885" s="20"/>
      <c r="FX1885" s="20"/>
      <c r="FY1885" s="20"/>
      <c r="FZ1885" s="20"/>
      <c r="GA1885" s="20"/>
      <c r="GB1885" s="20"/>
      <c r="GC1885" s="20"/>
      <c r="GD1885" s="20"/>
      <c r="GE1885" s="20"/>
      <c r="GF1885" s="20"/>
      <c r="GG1885" s="20"/>
      <c r="GH1885" s="20"/>
      <c r="GI1885" s="20"/>
      <c r="GJ1885" s="20"/>
      <c r="GK1885" s="20"/>
      <c r="GL1885" s="20"/>
      <c r="GM1885" s="20"/>
      <c r="GN1885" s="20"/>
      <c r="GO1885" s="20"/>
      <c r="GP1885" s="20"/>
      <c r="GQ1885" s="20"/>
      <c r="GR1885" s="20"/>
      <c r="GS1885" s="20"/>
      <c r="GT1885" s="20"/>
      <c r="GU1885" s="20"/>
      <c r="GV1885" s="20"/>
      <c r="GW1885" s="20"/>
      <c r="GX1885" s="20"/>
      <c r="GY1885" s="20"/>
      <c r="GZ1885" s="20"/>
      <c r="HA1885" s="20"/>
      <c r="HB1885" s="20"/>
      <c r="HC1885" s="20"/>
      <c r="HD1885" s="20"/>
      <c r="HE1885" s="20"/>
      <c r="HF1885" s="20"/>
      <c r="HG1885" s="20"/>
      <c r="HH1885" s="20"/>
      <c r="HI1885" s="20"/>
      <c r="HJ1885" s="20"/>
      <c r="HK1885" s="20"/>
      <c r="HL1885" s="20"/>
      <c r="HM1885" s="20"/>
      <c r="HN1885" s="20"/>
      <c r="HO1885" s="20"/>
      <c r="HP1885" s="20"/>
      <c r="HQ1885" s="20"/>
      <c r="HR1885" s="20"/>
      <c r="HS1885" s="20"/>
      <c r="HT1885" s="20"/>
      <c r="HU1885" s="20"/>
      <c r="HV1885" s="20"/>
      <c r="HW1885" s="20"/>
      <c r="HX1885" s="20"/>
      <c r="HY1885" s="20"/>
      <c r="HZ1885" s="20"/>
      <c r="IA1885" s="20"/>
      <c r="IB1885" s="20"/>
      <c r="IC1885" s="20"/>
      <c r="ID1885" s="20"/>
      <c r="IE1885" s="20"/>
      <c r="IF1885" s="20"/>
      <c r="IG1885" s="20"/>
      <c r="IH1885" s="20"/>
      <c r="II1885" s="20"/>
      <c r="IJ1885" s="20"/>
      <c r="IK1885" s="20"/>
      <c r="IL1885" s="20"/>
      <c r="IM1885" s="20"/>
      <c r="IN1885" s="20"/>
      <c r="IO1885" s="20"/>
    </row>
    <row r="1886" spans="1:249" ht="24.75" customHeight="1">
      <c r="A1886" s="477"/>
      <c r="B1886" s="906"/>
      <c r="C1886" s="477"/>
      <c r="D1886" s="477"/>
      <c r="E1886" s="477"/>
      <c r="F1886" s="477"/>
      <c r="G1886" s="477"/>
      <c r="H1886" s="477"/>
      <c r="I1886" s="2748" t="s">
        <v>3306</v>
      </c>
      <c r="J1886" s="2749"/>
      <c r="K1886" s="907"/>
      <c r="L1886" s="907"/>
      <c r="M1886" s="907"/>
      <c r="N1886" s="907"/>
      <c r="O1886" s="933"/>
      <c r="P1886" s="477"/>
      <c r="Q1886" s="934"/>
      <c r="R1886" s="906"/>
      <c r="S1886" s="906"/>
      <c r="T1886" s="906"/>
      <c r="U1886" s="906"/>
      <c r="V1886" s="935"/>
      <c r="W1886" s="906"/>
      <c r="X1886" s="906"/>
      <c r="Y1886" s="934"/>
      <c r="Z1886" s="908"/>
      <c r="AA1886" s="907"/>
      <c r="AB1886" s="908"/>
      <c r="AC1886" s="907"/>
      <c r="AD1886" s="907"/>
      <c r="AE1886" s="198"/>
      <c r="AF1886" s="861"/>
      <c r="AG1886" s="861"/>
      <c r="AH1886" s="861"/>
      <c r="AI1886" s="861"/>
      <c r="AJ1886" s="861"/>
      <c r="AK1886" s="861"/>
      <c r="AL1886" s="861"/>
      <c r="AM1886" s="861"/>
      <c r="AN1886" s="861"/>
      <c r="AO1886" s="861"/>
      <c r="AP1886" s="861"/>
      <c r="AQ1886" s="861"/>
      <c r="AR1886" s="861"/>
      <c r="AS1886" s="861"/>
      <c r="AT1886" s="861"/>
      <c r="AU1886" s="861"/>
      <c r="AV1886" s="861"/>
      <c r="AW1886" s="861"/>
      <c r="AX1886" s="861"/>
      <c r="AY1886" s="861"/>
      <c r="AZ1886" s="861"/>
      <c r="BA1886" s="861"/>
      <c r="BB1886" s="861"/>
      <c r="BC1886" s="861"/>
      <c r="BD1886" s="861"/>
      <c r="BE1886" s="861"/>
      <c r="BF1886" s="861"/>
      <c r="BG1886" s="861"/>
      <c r="BH1886" s="861"/>
      <c r="BI1886" s="861"/>
      <c r="BJ1886" s="861"/>
      <c r="BK1886" s="861"/>
      <c r="BL1886" s="861"/>
      <c r="BM1886" s="861"/>
      <c r="BN1886" s="861"/>
      <c r="BO1886" s="861"/>
      <c r="BP1886" s="861"/>
      <c r="BQ1886" s="861"/>
    </row>
    <row r="1887" spans="1:249" ht="27" customHeight="1">
      <c r="A1887" s="863" t="s">
        <v>13</v>
      </c>
      <c r="B1887" s="1618"/>
      <c r="C1887" s="863"/>
      <c r="D1887" s="863"/>
      <c r="E1887" s="863"/>
      <c r="F1887" s="863"/>
      <c r="G1887" s="863"/>
      <c r="H1887" s="863"/>
      <c r="I1887" s="2746" t="s">
        <v>2251</v>
      </c>
      <c r="J1887" s="2747"/>
      <c r="K1887" s="1898"/>
      <c r="L1887" s="1669">
        <f>L1888+L1908+L1922+L1924+L1927+L1929+L1933+L1938+L1943+L1945+L1947+L1951+L1956+L1958+L1960+L1962+L1964+L1966+L1970+L1973+L1983+L1992+L1994+L1996+L1998+L2002+L2008+L2013+L2015+L2023+L2035+L2040</f>
        <v>144899972042</v>
      </c>
      <c r="M1887" s="1898"/>
      <c r="N1887" s="1669">
        <f>N1888+N1908+N1922+N1924+N1927+N1929+N1933+N1938+N1943+N1945+N1947+N1951+N1956+N1958+N1960+N1962+N1964+N1966+N1970+N1973+N1983+N1992+N1994+N1996+N1998+N2002+N2008+N2013+N2015+N2023+N2035+N2040</f>
        <v>53917345305</v>
      </c>
      <c r="O1887" s="1898"/>
      <c r="P1887" s="1669">
        <f>P1888+P1908+P1922+P1924+P1927+P1929+P1933+P1938+P1943+P1945+P1947+P1951+P1956+P1958+P1960+P1962+P1964+P1966+P1970+P1973+P1983+P1992+P1994+P1996+P1998+P2002+P2008+P2013+P2015+P2023+P2035+P2040</f>
        <v>20126739262.509998</v>
      </c>
      <c r="Q1887" s="1898"/>
      <c r="R1887" s="1669">
        <f>R1888+R1908+R1922+R1924+R1927+R1929+R1933+R1938+R1943+R1945+R1947+R1951+R1956+R1958+R1960+R1962+R1964+R1966+R1970+R1973+R1983+R1992+R1994+R1996+R1998+R2002+R2008+R2013+R2015+R2023+R2035+R2040</f>
        <v>3388247097</v>
      </c>
      <c r="S1887" s="1618"/>
      <c r="T1887" s="1669">
        <f>T1888+T1908+T1922+T1924+T1927+T1929+T1933+T1938+T1943+T1945+T1947+T1951+T1956+T1958+T1960+T1962+T1964+T1966+T1970+T1973+T1983+T1992+T1994+T1996+T1998+T2002+T2008+T2013+T2015+T2023+T2035+T2040</f>
        <v>9687453495</v>
      </c>
      <c r="U1887" s="1618"/>
      <c r="V1887" s="1669">
        <f>V1888+V1908+V1922+V1924+V1927+V1929+V1933+V1938+V1943+V1945+V1947+V1951+V1956+V1958+V1960+V1962+V1964+V1966+V1970+V1973+V1983+V1992+V1994+V1996+V1998+V2002+V2008+V2013+V2015+V2023+V2035+V2040</f>
        <v>0</v>
      </c>
      <c r="W1887" s="1618"/>
      <c r="X1887" s="1669">
        <f>X1888+X1908+X1922+X1924+X1927+X1929+X1933+X1938+X1943+X1945+X1947+X1951+X1956+X1958+X1960+X1962+X1964+X1966+X1970+X1973+X1983+X1992+X1994+X1996+X1998+X2002+X2008+X2013+X2015+X2023+X2035+X2040</f>
        <v>0</v>
      </c>
      <c r="Y1887" s="2695">
        <f t="shared" ref="Y1887:Y1901" si="544">Q1887+S1887+U1887+W1887</f>
        <v>0</v>
      </c>
      <c r="Z1887" s="1669">
        <f>Z1888+Z1908+Z1922+Z1924+Z1927+Z1929+Z1933+Z1938+Z1943+Z1945+Z1947+Z1951+Z1956+Z1958+Z1960+Z1962+Z1964+Z1966+Z1970+Z1973+Z1983+Z1992+Z1994+Z1996+Z1998+Z2002+Z2008+Z2013+Z2015+Z2023+Z2035+Z2040</f>
        <v>13075700592</v>
      </c>
      <c r="AA1887" s="1898"/>
      <c r="AB1887" s="1669">
        <f>AB1888+AB1908+AB1922+AB1924+AB1927+AB1929+AB1933+AB1938+AB1943+AB1945+AB1947+AB1951+AB1956+AB1958+AB1960+AB1962+AB1964+AB1966+AB1970+AB1973+AB1983+AB1992+AB1994+AB1996+AB1998+AB2002+AB2008+AB2013+AB2015+AB2023+AB2035+AB2040</f>
        <v>66993045897</v>
      </c>
      <c r="AC1887" s="1669"/>
      <c r="AD1887" s="1618"/>
      <c r="AE1887" s="863"/>
      <c r="AF1887" s="201"/>
      <c r="AG1887" s="201"/>
      <c r="AH1887" s="201"/>
      <c r="AI1887" s="201"/>
      <c r="AJ1887" s="201"/>
      <c r="AK1887" s="201"/>
      <c r="AL1887" s="201"/>
      <c r="AM1887" s="201"/>
      <c r="AN1887" s="201"/>
      <c r="AO1887" s="201"/>
      <c r="AP1887" s="201"/>
      <c r="AQ1887" s="201"/>
      <c r="AR1887" s="201"/>
      <c r="AS1887" s="201"/>
      <c r="AT1887" s="201"/>
      <c r="AU1887" s="201"/>
      <c r="AV1887" s="201"/>
      <c r="AW1887" s="201"/>
      <c r="AX1887" s="201"/>
      <c r="AY1887" s="201"/>
      <c r="AZ1887" s="201"/>
      <c r="BA1887" s="201"/>
      <c r="BB1887" s="201"/>
      <c r="BC1887" s="20"/>
      <c r="BD1887" s="20"/>
      <c r="BE1887" s="20"/>
      <c r="BF1887" s="20"/>
      <c r="BG1887" s="20"/>
      <c r="BH1887" s="20"/>
      <c r="BI1887" s="20"/>
      <c r="BJ1887" s="20"/>
      <c r="BK1887" s="20"/>
      <c r="BL1887" s="20"/>
      <c r="BM1887" s="20"/>
      <c r="BN1887" s="20"/>
      <c r="BO1887" s="20"/>
      <c r="BP1887" s="20"/>
      <c r="BQ1887" s="20"/>
      <c r="BR1887" s="20"/>
      <c r="BS1887" s="20"/>
      <c r="BT1887" s="20"/>
      <c r="BU1887" s="20"/>
      <c r="BV1887" s="20"/>
      <c r="BW1887" s="20"/>
      <c r="BX1887" s="20"/>
      <c r="BY1887" s="20"/>
      <c r="BZ1887" s="20"/>
      <c r="CA1887" s="20"/>
      <c r="CB1887" s="20"/>
      <c r="CC1887" s="20"/>
      <c r="CD1887" s="20"/>
      <c r="CE1887" s="20"/>
      <c r="CF1887" s="20"/>
      <c r="CG1887" s="20"/>
      <c r="CH1887" s="20"/>
      <c r="CI1887" s="20"/>
      <c r="CJ1887" s="20"/>
      <c r="CK1887" s="20"/>
      <c r="CL1887" s="20"/>
      <c r="CM1887" s="20"/>
      <c r="CN1887" s="20"/>
      <c r="CO1887" s="20"/>
      <c r="CP1887" s="20"/>
      <c r="CQ1887" s="20"/>
      <c r="CR1887" s="20"/>
      <c r="CS1887" s="20"/>
      <c r="CT1887" s="20"/>
      <c r="CU1887" s="20"/>
      <c r="CV1887" s="20"/>
      <c r="CW1887" s="20"/>
      <c r="CX1887" s="20"/>
      <c r="CY1887" s="20"/>
      <c r="CZ1887" s="20"/>
      <c r="DA1887" s="20"/>
      <c r="DB1887" s="20"/>
      <c r="DC1887" s="20"/>
      <c r="DD1887" s="20"/>
      <c r="DE1887" s="20"/>
      <c r="DF1887" s="20"/>
      <c r="DG1887" s="20"/>
      <c r="DH1887" s="20"/>
      <c r="DI1887" s="20"/>
      <c r="DJ1887" s="20"/>
      <c r="DK1887" s="20"/>
      <c r="DL1887" s="20"/>
      <c r="DM1887" s="20"/>
      <c r="DN1887" s="20"/>
      <c r="DO1887" s="20"/>
      <c r="DP1887" s="20"/>
      <c r="DQ1887" s="20"/>
      <c r="DR1887" s="20"/>
      <c r="DS1887" s="20"/>
      <c r="DT1887" s="20"/>
      <c r="DU1887" s="20"/>
      <c r="DV1887" s="20"/>
      <c r="DW1887" s="20"/>
      <c r="DX1887" s="20"/>
      <c r="DY1887" s="20"/>
      <c r="DZ1887" s="20"/>
      <c r="EA1887" s="20"/>
      <c r="EB1887" s="20"/>
      <c r="EC1887" s="20"/>
      <c r="ED1887" s="20"/>
      <c r="EE1887" s="20"/>
      <c r="EF1887" s="20"/>
      <c r="EG1887" s="20"/>
      <c r="EH1887" s="20"/>
      <c r="EI1887" s="20"/>
      <c r="EJ1887" s="20"/>
      <c r="EK1887" s="20"/>
      <c r="EL1887" s="20"/>
      <c r="EM1887" s="20"/>
      <c r="EN1887" s="20"/>
      <c r="EO1887" s="20"/>
      <c r="EP1887" s="20"/>
      <c r="EQ1887" s="20"/>
      <c r="ER1887" s="20"/>
      <c r="ES1887" s="20"/>
      <c r="ET1887" s="20"/>
      <c r="EU1887" s="20"/>
      <c r="EV1887" s="20"/>
      <c r="EW1887" s="20"/>
      <c r="EX1887" s="20"/>
      <c r="EY1887" s="20"/>
      <c r="EZ1887" s="20"/>
      <c r="FA1887" s="20"/>
      <c r="FB1887" s="20"/>
      <c r="FC1887" s="20"/>
      <c r="FD1887" s="20"/>
      <c r="FE1887" s="20"/>
      <c r="FF1887" s="20"/>
      <c r="FG1887" s="20"/>
      <c r="FH1887" s="20"/>
      <c r="FI1887" s="20"/>
      <c r="FJ1887" s="20"/>
      <c r="FK1887" s="20"/>
      <c r="FL1887" s="20"/>
      <c r="FM1887" s="20"/>
      <c r="FN1887" s="20"/>
      <c r="FO1887" s="20"/>
      <c r="FP1887" s="20"/>
      <c r="FQ1887" s="20"/>
      <c r="FR1887" s="20"/>
      <c r="FS1887" s="20"/>
      <c r="FT1887" s="20"/>
      <c r="FU1887" s="20"/>
      <c r="FV1887" s="20"/>
      <c r="FW1887" s="20"/>
      <c r="FX1887" s="20"/>
      <c r="FY1887" s="20"/>
      <c r="FZ1887" s="20"/>
      <c r="GA1887" s="20"/>
      <c r="GB1887" s="20"/>
      <c r="GC1887" s="20"/>
      <c r="GD1887" s="20"/>
      <c r="GE1887" s="20"/>
      <c r="GF1887" s="20"/>
      <c r="GG1887" s="20"/>
      <c r="GH1887" s="20"/>
      <c r="GI1887" s="20"/>
      <c r="GJ1887" s="20"/>
      <c r="GK1887" s="20"/>
      <c r="GL1887" s="20"/>
      <c r="GM1887" s="20"/>
      <c r="GN1887" s="20"/>
      <c r="GO1887" s="20"/>
      <c r="GP1887" s="20"/>
      <c r="GQ1887" s="20"/>
      <c r="GR1887" s="20"/>
      <c r="GS1887" s="20"/>
      <c r="GT1887" s="20"/>
      <c r="GU1887" s="20"/>
      <c r="GV1887" s="20"/>
      <c r="GW1887" s="20"/>
      <c r="GX1887" s="20"/>
      <c r="GY1887" s="20"/>
      <c r="GZ1887" s="20"/>
      <c r="HA1887" s="20"/>
      <c r="HB1887" s="20"/>
      <c r="HC1887" s="20"/>
      <c r="HD1887" s="20"/>
      <c r="HE1887" s="20"/>
      <c r="HF1887" s="20"/>
      <c r="HG1887" s="20"/>
      <c r="HH1887" s="20"/>
      <c r="HI1887" s="20"/>
      <c r="HJ1887" s="20"/>
      <c r="HK1887" s="20"/>
      <c r="HL1887" s="20"/>
      <c r="HM1887" s="20"/>
      <c r="HN1887" s="20"/>
      <c r="HO1887" s="20"/>
      <c r="HP1887" s="20"/>
      <c r="HQ1887" s="20"/>
      <c r="HR1887" s="20"/>
      <c r="HS1887" s="20"/>
      <c r="HT1887" s="20"/>
      <c r="HU1887" s="20"/>
      <c r="HV1887" s="20"/>
      <c r="HW1887" s="20"/>
      <c r="HX1887" s="20"/>
      <c r="HY1887" s="20"/>
      <c r="HZ1887" s="20"/>
      <c r="IA1887" s="20"/>
      <c r="IB1887" s="20"/>
      <c r="IC1887" s="20"/>
      <c r="ID1887" s="20"/>
      <c r="IE1887" s="20"/>
      <c r="IF1887" s="20"/>
      <c r="IG1887" s="20"/>
      <c r="IH1887" s="20"/>
      <c r="II1887" s="20"/>
      <c r="IJ1887" s="20"/>
      <c r="IK1887" s="20"/>
      <c r="IL1887" s="20"/>
      <c r="IM1887" s="20"/>
      <c r="IN1887" s="20"/>
      <c r="IO1887" s="20"/>
    </row>
    <row r="1888" spans="1:249" s="22" customFormat="1" ht="82.5">
      <c r="A1888" s="2554">
        <v>1</v>
      </c>
      <c r="B1888" s="44"/>
      <c r="C1888" s="753">
        <v>4</v>
      </c>
      <c r="D1888" s="753" t="s">
        <v>34</v>
      </c>
      <c r="E1888" s="753" t="s">
        <v>25</v>
      </c>
      <c r="F1888" s="753" t="s">
        <v>25</v>
      </c>
      <c r="G1888" s="594"/>
      <c r="H1888" s="594"/>
      <c r="I1888" s="44" t="s">
        <v>26</v>
      </c>
      <c r="J1888" s="839" t="s">
        <v>3308</v>
      </c>
      <c r="K1888" s="149">
        <v>72</v>
      </c>
      <c r="L1888" s="147">
        <f>SUM(L1889:L1907)</f>
        <v>54500785932</v>
      </c>
      <c r="M1888" s="149">
        <v>36</v>
      </c>
      <c r="N1888" s="147">
        <f>SUM(N1889:N1907)</f>
        <v>20293701711</v>
      </c>
      <c r="O1888" s="149">
        <v>12</v>
      </c>
      <c r="P1888" s="1901">
        <f>SUM(P1889:P1907)</f>
        <v>5976083476</v>
      </c>
      <c r="Q1888" s="149">
        <v>3</v>
      </c>
      <c r="R1888" s="1901">
        <f>SUM(R1889:R1907)</f>
        <v>1514205347</v>
      </c>
      <c r="S1888" s="1900"/>
      <c r="T1888" s="1901">
        <f>SUM(T1889:T1907)</f>
        <v>3557015299</v>
      </c>
      <c r="U1888" s="146"/>
      <c r="V1888" s="1899">
        <f>SUM(V1889:V1907)</f>
        <v>0</v>
      </c>
      <c r="W1888" s="147"/>
      <c r="X1888" s="1899">
        <f>SUM(X1889:X1907)</f>
        <v>0</v>
      </c>
      <c r="Y1888" s="149">
        <f t="shared" si="544"/>
        <v>3</v>
      </c>
      <c r="Z1888" s="1901">
        <f t="shared" ref="Z1888:Z1933" si="545">R1888+T1888+V1888+X1888</f>
        <v>5071220646</v>
      </c>
      <c r="AA1888" s="149">
        <f t="shared" ref="AA1888:AA1932" si="546">M1888+Y1888</f>
        <v>39</v>
      </c>
      <c r="AB1888" s="1901">
        <f t="shared" ref="AB1888:AB1932" si="547">N1888+Z1888</f>
        <v>25364922357</v>
      </c>
      <c r="AC1888" s="821">
        <f t="shared" ref="AC1888:AC1933" si="548">AA1888/K1888*100</f>
        <v>54.166666666666664</v>
      </c>
      <c r="AD1888" s="821">
        <f t="shared" ref="AD1888:AD1933" si="549">AB1888/L1888*100</f>
        <v>46.5404707899947</v>
      </c>
      <c r="AE1888" s="2558" t="s">
        <v>2252</v>
      </c>
      <c r="AF1888" s="201"/>
      <c r="AG1888" s="201"/>
      <c r="AH1888" s="201"/>
      <c r="AI1888" s="201"/>
      <c r="AJ1888" s="201"/>
      <c r="AK1888" s="201"/>
      <c r="AL1888" s="201"/>
      <c r="AM1888" s="201"/>
      <c r="AN1888" s="201"/>
      <c r="AO1888" s="201"/>
      <c r="AP1888" s="201"/>
      <c r="AQ1888" s="201"/>
      <c r="AR1888" s="201"/>
      <c r="AS1888" s="201"/>
      <c r="AT1888" s="201"/>
      <c r="AU1888" s="201"/>
      <c r="AV1888" s="201"/>
      <c r="AW1888" s="201"/>
      <c r="AX1888" s="201"/>
      <c r="AY1888" s="201"/>
      <c r="AZ1888" s="201"/>
      <c r="BA1888" s="201"/>
      <c r="BB1888" s="201"/>
      <c r="BC1888" s="20"/>
      <c r="BD1888" s="20"/>
      <c r="BE1888" s="20"/>
      <c r="BF1888" s="20"/>
      <c r="BG1888" s="20"/>
      <c r="BH1888" s="20"/>
      <c r="BI1888" s="20"/>
      <c r="BJ1888" s="20"/>
      <c r="BK1888" s="20"/>
      <c r="BL1888" s="20"/>
      <c r="BM1888" s="20"/>
      <c r="BN1888" s="20"/>
      <c r="BO1888" s="20"/>
      <c r="BP1888" s="20"/>
      <c r="BQ1888" s="20"/>
      <c r="BR1888" s="20"/>
      <c r="BS1888" s="20"/>
      <c r="BT1888" s="20"/>
      <c r="BU1888" s="20"/>
      <c r="BV1888" s="20"/>
      <c r="BW1888" s="20"/>
      <c r="BX1888" s="20"/>
      <c r="BY1888" s="20"/>
      <c r="BZ1888" s="20"/>
      <c r="CA1888" s="20"/>
      <c r="CB1888" s="20"/>
      <c r="CC1888" s="20"/>
      <c r="CD1888" s="20"/>
      <c r="CE1888" s="20"/>
      <c r="CF1888" s="20"/>
      <c r="CG1888" s="20"/>
      <c r="CH1888" s="20"/>
      <c r="CI1888" s="20"/>
      <c r="CJ1888" s="20"/>
      <c r="CK1888" s="20"/>
      <c r="CL1888" s="20"/>
      <c r="CM1888" s="20"/>
      <c r="CN1888" s="20"/>
      <c r="CO1888" s="20"/>
      <c r="CP1888" s="20"/>
      <c r="CQ1888" s="20"/>
      <c r="CR1888" s="20"/>
      <c r="CS1888" s="20"/>
      <c r="CT1888" s="20"/>
      <c r="CU1888" s="20"/>
      <c r="CV1888" s="20"/>
      <c r="CW1888" s="20"/>
      <c r="CX1888" s="20"/>
      <c r="CY1888" s="20"/>
      <c r="CZ1888" s="20"/>
      <c r="DA1888" s="20"/>
      <c r="DB1888" s="20"/>
      <c r="DC1888" s="20"/>
      <c r="DD1888" s="20"/>
      <c r="DE1888" s="20"/>
      <c r="DF1888" s="20"/>
      <c r="DG1888" s="20"/>
      <c r="DH1888" s="20"/>
      <c r="DI1888" s="20"/>
      <c r="DJ1888" s="20"/>
      <c r="DK1888" s="20"/>
      <c r="DL1888" s="20"/>
      <c r="DM1888" s="20"/>
      <c r="DN1888" s="20"/>
      <c r="DO1888" s="20"/>
      <c r="DP1888" s="20"/>
      <c r="DQ1888" s="20"/>
      <c r="DR1888" s="20"/>
      <c r="DS1888" s="20"/>
      <c r="DT1888" s="20"/>
      <c r="DU1888" s="20"/>
      <c r="DV1888" s="20"/>
      <c r="DW1888" s="20"/>
      <c r="DX1888" s="20"/>
      <c r="DY1888" s="20"/>
      <c r="DZ1888" s="20"/>
      <c r="EA1888" s="20"/>
      <c r="EB1888" s="20"/>
      <c r="EC1888" s="20"/>
      <c r="ED1888" s="20"/>
      <c r="EE1888" s="20"/>
      <c r="EF1888" s="20"/>
      <c r="EG1888" s="20"/>
      <c r="EH1888" s="20"/>
      <c r="EI1888" s="20"/>
      <c r="EJ1888" s="20"/>
      <c r="EK1888" s="20"/>
      <c r="EL1888" s="20"/>
      <c r="EM1888" s="20"/>
      <c r="EN1888" s="20"/>
      <c r="EO1888" s="20"/>
      <c r="EP1888" s="20"/>
      <c r="EQ1888" s="20"/>
      <c r="ER1888" s="20"/>
      <c r="ES1888" s="20"/>
      <c r="ET1888" s="20"/>
      <c r="EU1888" s="20"/>
      <c r="EV1888" s="20"/>
      <c r="EW1888" s="20"/>
      <c r="EX1888" s="20"/>
      <c r="EY1888" s="20"/>
      <c r="EZ1888" s="20"/>
      <c r="FA1888" s="20"/>
      <c r="FB1888" s="20"/>
      <c r="FC1888" s="20"/>
      <c r="FD1888" s="20"/>
      <c r="FE1888" s="20"/>
      <c r="FF1888" s="20"/>
      <c r="FG1888" s="20"/>
      <c r="FH1888" s="20"/>
      <c r="FI1888" s="20"/>
      <c r="FJ1888" s="20"/>
      <c r="FK1888" s="20"/>
      <c r="FL1888" s="20"/>
      <c r="FM1888" s="20"/>
      <c r="FN1888" s="20"/>
      <c r="FO1888" s="20"/>
      <c r="FP1888" s="20"/>
      <c r="FQ1888" s="20"/>
      <c r="FR1888" s="20"/>
      <c r="FS1888" s="20"/>
      <c r="FT1888" s="20"/>
      <c r="FU1888" s="20"/>
      <c r="FV1888" s="20"/>
      <c r="FW1888" s="20"/>
      <c r="FX1888" s="20"/>
      <c r="FY1888" s="20"/>
      <c r="FZ1888" s="20"/>
      <c r="GA1888" s="20"/>
      <c r="GB1888" s="20"/>
      <c r="GC1888" s="20"/>
      <c r="GD1888" s="20"/>
      <c r="GE1888" s="20"/>
      <c r="GF1888" s="20"/>
      <c r="GG1888" s="20"/>
      <c r="GH1888" s="20"/>
      <c r="GI1888" s="20"/>
      <c r="GJ1888" s="20"/>
      <c r="GK1888" s="20"/>
      <c r="GL1888" s="20"/>
      <c r="GM1888" s="20"/>
      <c r="GN1888" s="20"/>
      <c r="GO1888" s="20"/>
      <c r="GP1888" s="20"/>
      <c r="GQ1888" s="20"/>
      <c r="GR1888" s="20"/>
      <c r="GS1888" s="20"/>
      <c r="GT1888" s="20"/>
      <c r="GU1888" s="20"/>
      <c r="GV1888" s="20"/>
      <c r="GW1888" s="20"/>
      <c r="GX1888" s="20"/>
      <c r="GY1888" s="20"/>
      <c r="GZ1888" s="20"/>
      <c r="HA1888" s="20"/>
      <c r="HB1888" s="20"/>
      <c r="HC1888" s="20"/>
      <c r="HD1888" s="20"/>
      <c r="HE1888" s="20"/>
      <c r="HF1888" s="20"/>
      <c r="HG1888" s="20"/>
      <c r="HH1888" s="20"/>
      <c r="HI1888" s="20"/>
      <c r="HJ1888" s="20"/>
      <c r="HK1888" s="20"/>
      <c r="HL1888" s="20"/>
      <c r="HM1888" s="20"/>
      <c r="HN1888" s="20"/>
      <c r="HO1888" s="20"/>
      <c r="HP1888" s="20"/>
      <c r="HQ1888" s="20"/>
      <c r="HR1888" s="20"/>
      <c r="HS1888" s="20"/>
      <c r="HT1888" s="20"/>
      <c r="HU1888" s="20"/>
      <c r="HV1888" s="20"/>
      <c r="HW1888" s="20"/>
      <c r="HX1888" s="20"/>
      <c r="HY1888" s="20"/>
      <c r="HZ1888" s="20"/>
      <c r="IA1888" s="20"/>
      <c r="IB1888" s="20"/>
      <c r="IC1888" s="20"/>
      <c r="ID1888" s="20"/>
      <c r="IE1888" s="20"/>
      <c r="IF1888" s="20"/>
      <c r="IG1888" s="20"/>
      <c r="IH1888" s="20"/>
      <c r="II1888" s="20"/>
      <c r="IJ1888" s="20"/>
      <c r="IK1888" s="20"/>
      <c r="IL1888" s="20"/>
      <c r="IM1888" s="20"/>
      <c r="IN1888" s="20"/>
      <c r="IO1888" s="20"/>
    </row>
    <row r="1889" spans="1:249" s="22" customFormat="1" ht="49.5">
      <c r="A1889" s="794"/>
      <c r="B1889" s="840"/>
      <c r="C1889" s="841">
        <v>4</v>
      </c>
      <c r="D1889" s="841" t="s">
        <v>34</v>
      </c>
      <c r="E1889" s="841" t="s">
        <v>25</v>
      </c>
      <c r="F1889" s="841" t="s">
        <v>25</v>
      </c>
      <c r="G1889" s="841" t="s">
        <v>25</v>
      </c>
      <c r="H1889" s="1189"/>
      <c r="I1889" s="407" t="s">
        <v>133</v>
      </c>
      <c r="J1889" s="6" t="s">
        <v>2253</v>
      </c>
      <c r="K1889" s="1902">
        <f>12*6</f>
        <v>72</v>
      </c>
      <c r="L1889" s="1212">
        <v>1073600000</v>
      </c>
      <c r="M1889" s="1903">
        <v>36</v>
      </c>
      <c r="N1889" s="1904">
        <f>156028900+161345160+148821989</f>
        <v>466196049</v>
      </c>
      <c r="O1889" s="1902">
        <v>12</v>
      </c>
      <c r="P1889" s="1905">
        <v>99151993</v>
      </c>
      <c r="Q1889" s="1903">
        <v>3</v>
      </c>
      <c r="R1889" s="1904">
        <v>18028700</v>
      </c>
      <c r="S1889" s="1228">
        <v>3</v>
      </c>
      <c r="T1889" s="1906">
        <v>44190700</v>
      </c>
      <c r="U1889" s="795"/>
      <c r="V1889" s="1906"/>
      <c r="W1889" s="795"/>
      <c r="X1889" s="1906"/>
      <c r="Y1889" s="1903">
        <f t="shared" si="544"/>
        <v>6</v>
      </c>
      <c r="Z1889" s="1906">
        <f t="shared" si="545"/>
        <v>62219400</v>
      </c>
      <c r="AA1889" s="1903">
        <f t="shared" si="546"/>
        <v>42</v>
      </c>
      <c r="AB1889" s="1906">
        <f t="shared" si="547"/>
        <v>528415449</v>
      </c>
      <c r="AC1889" s="1907">
        <f t="shared" si="548"/>
        <v>58.333333333333336</v>
      </c>
      <c r="AD1889" s="1907">
        <f t="shared" si="549"/>
        <v>49.21902468330849</v>
      </c>
      <c r="AE1889" s="102" t="s">
        <v>1979</v>
      </c>
      <c r="AF1889" s="201"/>
      <c r="AG1889" s="201"/>
      <c r="AH1889" s="201"/>
      <c r="AI1889" s="201"/>
      <c r="AJ1889" s="201"/>
      <c r="AK1889" s="201"/>
      <c r="AL1889" s="201"/>
      <c r="AM1889" s="201"/>
      <c r="AN1889" s="201"/>
      <c r="AO1889" s="201"/>
      <c r="AP1889" s="201"/>
      <c r="AQ1889" s="201"/>
      <c r="AR1889" s="201"/>
      <c r="AS1889" s="201"/>
      <c r="AT1889" s="201"/>
      <c r="AU1889" s="201"/>
      <c r="AV1889" s="201"/>
      <c r="AW1889" s="201"/>
      <c r="AX1889" s="201"/>
      <c r="AY1889" s="201"/>
      <c r="AZ1889" s="201"/>
      <c r="BA1889" s="201"/>
      <c r="BB1889" s="201"/>
      <c r="BC1889" s="20"/>
      <c r="BD1889" s="20"/>
      <c r="BE1889" s="20"/>
      <c r="BF1889" s="20"/>
      <c r="BG1889" s="20"/>
      <c r="BH1889" s="20"/>
      <c r="BI1889" s="20"/>
      <c r="BJ1889" s="20"/>
      <c r="BK1889" s="20"/>
      <c r="BL1889" s="20"/>
      <c r="BM1889" s="20"/>
      <c r="BN1889" s="20"/>
      <c r="BO1889" s="20"/>
      <c r="BP1889" s="20"/>
      <c r="BQ1889" s="20"/>
      <c r="BR1889" s="20"/>
      <c r="BS1889" s="20"/>
      <c r="BT1889" s="20"/>
      <c r="BU1889" s="20"/>
      <c r="BV1889" s="20"/>
      <c r="BW1889" s="20"/>
      <c r="BX1889" s="20"/>
      <c r="BY1889" s="20"/>
      <c r="BZ1889" s="20"/>
      <c r="CA1889" s="20"/>
      <c r="CB1889" s="20"/>
      <c r="CC1889" s="20"/>
      <c r="CD1889" s="20"/>
      <c r="CE1889" s="20"/>
      <c r="CF1889" s="20"/>
      <c r="CG1889" s="20"/>
      <c r="CH1889" s="20"/>
      <c r="CI1889" s="20"/>
      <c r="CJ1889" s="20"/>
      <c r="CK1889" s="20"/>
      <c r="CL1889" s="20"/>
      <c r="CM1889" s="20"/>
      <c r="CN1889" s="20"/>
      <c r="CO1889" s="20"/>
      <c r="CP1889" s="20"/>
      <c r="CQ1889" s="20"/>
      <c r="CR1889" s="20"/>
      <c r="CS1889" s="20"/>
      <c r="CT1889" s="20"/>
      <c r="CU1889" s="20"/>
      <c r="CV1889" s="20"/>
      <c r="CW1889" s="20"/>
      <c r="CX1889" s="20"/>
      <c r="CY1889" s="20"/>
      <c r="CZ1889" s="20"/>
      <c r="DA1889" s="20"/>
      <c r="DB1889" s="20"/>
      <c r="DC1889" s="20"/>
      <c r="DD1889" s="20"/>
      <c r="DE1889" s="20"/>
      <c r="DF1889" s="20"/>
      <c r="DG1889" s="20"/>
      <c r="DH1889" s="20"/>
      <c r="DI1889" s="20"/>
      <c r="DJ1889" s="20"/>
      <c r="DK1889" s="20"/>
      <c r="DL1889" s="20"/>
      <c r="DM1889" s="20"/>
      <c r="DN1889" s="20"/>
      <c r="DO1889" s="20"/>
      <c r="DP1889" s="20"/>
      <c r="DQ1889" s="20"/>
      <c r="DR1889" s="20"/>
      <c r="DS1889" s="20"/>
      <c r="DT1889" s="20"/>
      <c r="DU1889" s="20"/>
      <c r="DV1889" s="20"/>
      <c r="DW1889" s="20"/>
      <c r="DX1889" s="20"/>
      <c r="DY1889" s="20"/>
      <c r="DZ1889" s="20"/>
      <c r="EA1889" s="20"/>
      <c r="EB1889" s="20"/>
      <c r="EC1889" s="20"/>
      <c r="ED1889" s="20"/>
      <c r="EE1889" s="20"/>
      <c r="EF1889" s="20"/>
      <c r="EG1889" s="20"/>
      <c r="EH1889" s="20"/>
      <c r="EI1889" s="20"/>
      <c r="EJ1889" s="20"/>
      <c r="EK1889" s="20"/>
      <c r="EL1889" s="20"/>
      <c r="EM1889" s="20"/>
      <c r="EN1889" s="20"/>
      <c r="EO1889" s="20"/>
      <c r="EP1889" s="20"/>
      <c r="EQ1889" s="20"/>
      <c r="ER1889" s="20"/>
      <c r="ES1889" s="20"/>
      <c r="ET1889" s="20"/>
      <c r="EU1889" s="20"/>
      <c r="EV1889" s="20"/>
      <c r="EW1889" s="20"/>
      <c r="EX1889" s="20"/>
      <c r="EY1889" s="20"/>
      <c r="EZ1889" s="20"/>
      <c r="FA1889" s="20"/>
      <c r="FB1889" s="20"/>
      <c r="FC1889" s="20"/>
      <c r="FD1889" s="20"/>
      <c r="FE1889" s="20"/>
      <c r="FF1889" s="20"/>
      <c r="FG1889" s="20"/>
      <c r="FH1889" s="20"/>
      <c r="FI1889" s="20"/>
      <c r="FJ1889" s="20"/>
      <c r="FK1889" s="20"/>
      <c r="FL1889" s="20"/>
      <c r="FM1889" s="20"/>
      <c r="FN1889" s="20"/>
      <c r="FO1889" s="20"/>
      <c r="FP1889" s="20"/>
      <c r="FQ1889" s="20"/>
      <c r="FR1889" s="20"/>
      <c r="FS1889" s="20"/>
      <c r="FT1889" s="20"/>
      <c r="FU1889" s="20"/>
      <c r="FV1889" s="20"/>
      <c r="FW1889" s="20"/>
      <c r="FX1889" s="20"/>
      <c r="FY1889" s="20"/>
      <c r="FZ1889" s="20"/>
      <c r="GA1889" s="20"/>
      <c r="GB1889" s="20"/>
      <c r="GC1889" s="20"/>
      <c r="GD1889" s="20"/>
      <c r="GE1889" s="20"/>
      <c r="GF1889" s="20"/>
      <c r="GG1889" s="20"/>
      <c r="GH1889" s="20"/>
      <c r="GI1889" s="20"/>
      <c r="GJ1889" s="20"/>
      <c r="GK1889" s="20"/>
      <c r="GL1889" s="20"/>
      <c r="GM1889" s="20"/>
      <c r="GN1889" s="20"/>
      <c r="GO1889" s="20"/>
      <c r="GP1889" s="20"/>
      <c r="GQ1889" s="20"/>
      <c r="GR1889" s="20"/>
      <c r="GS1889" s="20"/>
      <c r="GT1889" s="20"/>
      <c r="GU1889" s="20"/>
      <c r="GV1889" s="20"/>
      <c r="GW1889" s="20"/>
      <c r="GX1889" s="20"/>
      <c r="GY1889" s="20"/>
      <c r="GZ1889" s="20"/>
      <c r="HA1889" s="20"/>
      <c r="HB1889" s="20"/>
      <c r="HC1889" s="20"/>
      <c r="HD1889" s="20"/>
      <c r="HE1889" s="20"/>
      <c r="HF1889" s="20"/>
      <c r="HG1889" s="20"/>
      <c r="HH1889" s="20"/>
      <c r="HI1889" s="20"/>
      <c r="HJ1889" s="20"/>
      <c r="HK1889" s="20"/>
      <c r="HL1889" s="20"/>
      <c r="HM1889" s="20"/>
      <c r="HN1889" s="20"/>
      <c r="HO1889" s="20"/>
      <c r="HP1889" s="20"/>
      <c r="HQ1889" s="20"/>
      <c r="HR1889" s="20"/>
      <c r="HS1889" s="20"/>
      <c r="HT1889" s="20"/>
      <c r="HU1889" s="20"/>
      <c r="HV1889" s="20"/>
      <c r="HW1889" s="20"/>
      <c r="HX1889" s="20"/>
      <c r="HY1889" s="20"/>
      <c r="HZ1889" s="20"/>
      <c r="IA1889" s="20"/>
      <c r="IB1889" s="20"/>
      <c r="IC1889" s="20"/>
      <c r="ID1889" s="20"/>
      <c r="IE1889" s="20"/>
      <c r="IF1889" s="20"/>
      <c r="IG1889" s="20"/>
      <c r="IH1889" s="20"/>
      <c r="II1889" s="20"/>
      <c r="IJ1889" s="20"/>
      <c r="IK1889" s="20"/>
      <c r="IL1889" s="20"/>
      <c r="IM1889" s="20"/>
      <c r="IN1889" s="20"/>
      <c r="IO1889" s="20"/>
    </row>
    <row r="1890" spans="1:249" s="22" customFormat="1" ht="49.5">
      <c r="A1890" s="794"/>
      <c r="B1890" s="840"/>
      <c r="C1890" s="841">
        <v>4</v>
      </c>
      <c r="D1890" s="841" t="s">
        <v>34</v>
      </c>
      <c r="E1890" s="841" t="s">
        <v>25</v>
      </c>
      <c r="F1890" s="841" t="s">
        <v>25</v>
      </c>
      <c r="G1890" s="841" t="s">
        <v>28</v>
      </c>
      <c r="H1890" s="1189"/>
      <c r="I1890" s="407" t="s">
        <v>613</v>
      </c>
      <c r="J1890" s="6" t="s">
        <v>2254</v>
      </c>
      <c r="K1890" s="1902">
        <f>12*6</f>
        <v>72</v>
      </c>
      <c r="L1890" s="1908">
        <v>5700000000</v>
      </c>
      <c r="M1890" s="1903">
        <v>36</v>
      </c>
      <c r="N1890" s="1904">
        <f>872357172+775707224+1002242500</f>
        <v>2650306896</v>
      </c>
      <c r="O1890" s="1902">
        <v>12</v>
      </c>
      <c r="P1890" s="1905">
        <v>800160000</v>
      </c>
      <c r="Q1890" s="1903">
        <v>3</v>
      </c>
      <c r="R1890" s="1904">
        <v>216460552</v>
      </c>
      <c r="S1890" s="1228">
        <v>3</v>
      </c>
      <c r="T1890" s="1906">
        <v>444778819</v>
      </c>
      <c r="U1890" s="1228"/>
      <c r="V1890" s="1906"/>
      <c r="W1890" s="795"/>
      <c r="X1890" s="1906"/>
      <c r="Y1890" s="1903">
        <f t="shared" si="544"/>
        <v>6</v>
      </c>
      <c r="Z1890" s="1906">
        <f t="shared" si="545"/>
        <v>661239371</v>
      </c>
      <c r="AA1890" s="1903">
        <f t="shared" si="546"/>
        <v>42</v>
      </c>
      <c r="AB1890" s="1906">
        <f t="shared" si="547"/>
        <v>3311546267</v>
      </c>
      <c r="AC1890" s="1907">
        <f t="shared" si="548"/>
        <v>58.333333333333336</v>
      </c>
      <c r="AD1890" s="1907">
        <f t="shared" si="549"/>
        <v>58.097302929824558</v>
      </c>
      <c r="AE1890" s="102" t="s">
        <v>1979</v>
      </c>
      <c r="AF1890" s="201"/>
      <c r="AG1890" s="201"/>
      <c r="AH1890" s="201"/>
      <c r="AI1890" s="201"/>
      <c r="AJ1890" s="201"/>
      <c r="AK1890" s="201"/>
      <c r="AL1890" s="201"/>
      <c r="AM1890" s="201"/>
      <c r="AN1890" s="201"/>
      <c r="AO1890" s="201"/>
      <c r="AP1890" s="201"/>
      <c r="AQ1890" s="201"/>
      <c r="AR1890" s="201"/>
      <c r="AS1890" s="201"/>
      <c r="AT1890" s="201"/>
      <c r="AU1890" s="201"/>
      <c r="AV1890" s="201"/>
      <c r="AW1890" s="201"/>
      <c r="AX1890" s="201"/>
      <c r="AY1890" s="201"/>
      <c r="AZ1890" s="201"/>
      <c r="BA1890" s="201"/>
      <c r="BB1890" s="201"/>
      <c r="BC1890" s="20"/>
      <c r="BD1890" s="20"/>
      <c r="BE1890" s="20"/>
      <c r="BF1890" s="20"/>
      <c r="BG1890" s="20"/>
      <c r="BH1890" s="20"/>
      <c r="BI1890" s="20"/>
      <c r="BJ1890" s="20"/>
      <c r="BK1890" s="20"/>
      <c r="BL1890" s="20"/>
      <c r="BM1890" s="20"/>
      <c r="BN1890" s="20"/>
      <c r="BO1890" s="20"/>
      <c r="BP1890" s="20"/>
      <c r="BQ1890" s="20"/>
      <c r="BR1890" s="20"/>
      <c r="BS1890" s="20"/>
      <c r="BT1890" s="20"/>
      <c r="BU1890" s="20"/>
      <c r="BV1890" s="20"/>
      <c r="BW1890" s="20"/>
      <c r="BX1890" s="20"/>
      <c r="BY1890" s="20"/>
      <c r="BZ1890" s="20"/>
      <c r="CA1890" s="20"/>
      <c r="CB1890" s="20"/>
      <c r="CC1890" s="20"/>
      <c r="CD1890" s="20"/>
      <c r="CE1890" s="20"/>
      <c r="CF1890" s="20"/>
      <c r="CG1890" s="20"/>
      <c r="CH1890" s="20"/>
      <c r="CI1890" s="20"/>
      <c r="CJ1890" s="20"/>
      <c r="CK1890" s="20"/>
      <c r="CL1890" s="20"/>
      <c r="CM1890" s="20"/>
      <c r="CN1890" s="20"/>
      <c r="CO1890" s="20"/>
      <c r="CP1890" s="20"/>
      <c r="CQ1890" s="20"/>
      <c r="CR1890" s="20"/>
      <c r="CS1890" s="20"/>
      <c r="CT1890" s="20"/>
      <c r="CU1890" s="20"/>
      <c r="CV1890" s="20"/>
      <c r="CW1890" s="20"/>
      <c r="CX1890" s="20"/>
      <c r="CY1890" s="20"/>
      <c r="CZ1890" s="20"/>
      <c r="DA1890" s="20"/>
      <c r="DB1890" s="20"/>
      <c r="DC1890" s="20"/>
      <c r="DD1890" s="20"/>
      <c r="DE1890" s="20"/>
      <c r="DF1890" s="20"/>
      <c r="DG1890" s="20"/>
      <c r="DH1890" s="20"/>
      <c r="DI1890" s="20"/>
      <c r="DJ1890" s="20"/>
      <c r="DK1890" s="20"/>
      <c r="DL1890" s="20"/>
      <c r="DM1890" s="20"/>
      <c r="DN1890" s="20"/>
      <c r="DO1890" s="20"/>
      <c r="DP1890" s="20"/>
      <c r="DQ1890" s="20"/>
      <c r="DR1890" s="20"/>
      <c r="DS1890" s="20"/>
      <c r="DT1890" s="20"/>
      <c r="DU1890" s="20"/>
      <c r="DV1890" s="20"/>
      <c r="DW1890" s="20"/>
      <c r="DX1890" s="20"/>
      <c r="DY1890" s="20"/>
      <c r="DZ1890" s="20"/>
      <c r="EA1890" s="20"/>
      <c r="EB1890" s="20"/>
      <c r="EC1890" s="20"/>
      <c r="ED1890" s="20"/>
      <c r="EE1890" s="20"/>
      <c r="EF1890" s="20"/>
      <c r="EG1890" s="20"/>
      <c r="EH1890" s="20"/>
      <c r="EI1890" s="20"/>
      <c r="EJ1890" s="20"/>
      <c r="EK1890" s="20"/>
      <c r="EL1890" s="20"/>
      <c r="EM1890" s="20"/>
      <c r="EN1890" s="20"/>
      <c r="EO1890" s="20"/>
      <c r="EP1890" s="20"/>
      <c r="EQ1890" s="20"/>
      <c r="ER1890" s="20"/>
      <c r="ES1890" s="20"/>
      <c r="ET1890" s="20"/>
      <c r="EU1890" s="20"/>
      <c r="EV1890" s="20"/>
      <c r="EW1890" s="20"/>
      <c r="EX1890" s="20"/>
      <c r="EY1890" s="20"/>
      <c r="EZ1890" s="20"/>
      <c r="FA1890" s="20"/>
      <c r="FB1890" s="20"/>
      <c r="FC1890" s="20"/>
      <c r="FD1890" s="20"/>
      <c r="FE1890" s="20"/>
      <c r="FF1890" s="20"/>
      <c r="FG1890" s="20"/>
      <c r="FH1890" s="20"/>
      <c r="FI1890" s="20"/>
      <c r="FJ1890" s="20"/>
      <c r="FK1890" s="20"/>
      <c r="FL1890" s="20"/>
      <c r="FM1890" s="20"/>
      <c r="FN1890" s="20"/>
      <c r="FO1890" s="20"/>
      <c r="FP1890" s="20"/>
      <c r="FQ1890" s="20"/>
      <c r="FR1890" s="20"/>
      <c r="FS1890" s="20"/>
      <c r="FT1890" s="20"/>
      <c r="FU1890" s="20"/>
      <c r="FV1890" s="20"/>
      <c r="FW1890" s="20"/>
      <c r="FX1890" s="20"/>
      <c r="FY1890" s="20"/>
      <c r="FZ1890" s="20"/>
      <c r="GA1890" s="20"/>
      <c r="GB1890" s="20"/>
      <c r="GC1890" s="20"/>
      <c r="GD1890" s="20"/>
      <c r="GE1890" s="20"/>
      <c r="GF1890" s="20"/>
      <c r="GG1890" s="20"/>
      <c r="GH1890" s="20"/>
      <c r="GI1890" s="20"/>
      <c r="GJ1890" s="20"/>
      <c r="GK1890" s="20"/>
      <c r="GL1890" s="20"/>
      <c r="GM1890" s="20"/>
      <c r="GN1890" s="20"/>
      <c r="GO1890" s="20"/>
      <c r="GP1890" s="20"/>
      <c r="GQ1890" s="20"/>
      <c r="GR1890" s="20"/>
      <c r="GS1890" s="20"/>
      <c r="GT1890" s="20"/>
      <c r="GU1890" s="20"/>
      <c r="GV1890" s="20"/>
      <c r="GW1890" s="20"/>
      <c r="GX1890" s="20"/>
      <c r="GY1890" s="20"/>
      <c r="GZ1890" s="20"/>
      <c r="HA1890" s="20"/>
      <c r="HB1890" s="20"/>
      <c r="HC1890" s="20"/>
      <c r="HD1890" s="20"/>
      <c r="HE1890" s="20"/>
      <c r="HF1890" s="20"/>
      <c r="HG1890" s="20"/>
      <c r="HH1890" s="20"/>
      <c r="HI1890" s="20"/>
      <c r="HJ1890" s="20"/>
      <c r="HK1890" s="20"/>
      <c r="HL1890" s="20"/>
      <c r="HM1890" s="20"/>
      <c r="HN1890" s="20"/>
      <c r="HO1890" s="20"/>
      <c r="HP1890" s="20"/>
      <c r="HQ1890" s="20"/>
      <c r="HR1890" s="20"/>
      <c r="HS1890" s="20"/>
      <c r="HT1890" s="20"/>
      <c r="HU1890" s="20"/>
      <c r="HV1890" s="20"/>
      <c r="HW1890" s="20"/>
      <c r="HX1890" s="20"/>
      <c r="HY1890" s="20"/>
      <c r="HZ1890" s="20"/>
      <c r="IA1890" s="20"/>
      <c r="IB1890" s="20"/>
      <c r="IC1890" s="20"/>
      <c r="ID1890" s="20"/>
      <c r="IE1890" s="20"/>
      <c r="IF1890" s="20"/>
      <c r="IG1890" s="20"/>
      <c r="IH1890" s="20"/>
      <c r="II1890" s="20"/>
      <c r="IJ1890" s="20"/>
      <c r="IK1890" s="20"/>
      <c r="IL1890" s="20"/>
      <c r="IM1890" s="20"/>
      <c r="IN1890" s="20"/>
      <c r="IO1890" s="20"/>
    </row>
    <row r="1891" spans="1:249" s="22" customFormat="1" ht="66">
      <c r="A1891" s="794"/>
      <c r="B1891" s="840"/>
      <c r="C1891" s="841">
        <v>4</v>
      </c>
      <c r="D1891" s="841" t="s">
        <v>34</v>
      </c>
      <c r="E1891" s="841" t="s">
        <v>25</v>
      </c>
      <c r="F1891" s="841" t="s">
        <v>25</v>
      </c>
      <c r="G1891" s="841" t="s">
        <v>39</v>
      </c>
      <c r="H1891" s="1189"/>
      <c r="I1891" s="407" t="s">
        <v>2255</v>
      </c>
      <c r="J1891" s="6" t="s">
        <v>2256</v>
      </c>
      <c r="K1891" s="1902">
        <v>72</v>
      </c>
      <c r="L1891" s="1908">
        <v>2152000000</v>
      </c>
      <c r="M1891" s="1903">
        <v>36</v>
      </c>
      <c r="N1891" s="1904">
        <f>164051000+192951200+189460400</f>
        <v>546462600</v>
      </c>
      <c r="O1891" s="1902">
        <v>12</v>
      </c>
      <c r="P1891" s="1905">
        <v>217300000</v>
      </c>
      <c r="Q1891" s="1903">
        <v>3</v>
      </c>
      <c r="R1891" s="1904">
        <v>26960000</v>
      </c>
      <c r="S1891" s="1228">
        <v>3</v>
      </c>
      <c r="T1891" s="1906">
        <v>108015000</v>
      </c>
      <c r="U1891" s="1228"/>
      <c r="V1891" s="1906"/>
      <c r="W1891" s="795"/>
      <c r="X1891" s="1906"/>
      <c r="Y1891" s="1903">
        <f t="shared" si="544"/>
        <v>6</v>
      </c>
      <c r="Z1891" s="1906">
        <f t="shared" si="545"/>
        <v>134975000</v>
      </c>
      <c r="AA1891" s="1903">
        <f t="shared" si="546"/>
        <v>42</v>
      </c>
      <c r="AB1891" s="1906">
        <f t="shared" si="547"/>
        <v>681437600</v>
      </c>
      <c r="AC1891" s="1907">
        <f t="shared" si="548"/>
        <v>58.333333333333336</v>
      </c>
      <c r="AD1891" s="1907">
        <f t="shared" si="549"/>
        <v>31.66531598513011</v>
      </c>
      <c r="AE1891" s="102" t="s">
        <v>1979</v>
      </c>
      <c r="AF1891" s="201"/>
      <c r="AG1891" s="201"/>
      <c r="AH1891" s="201"/>
      <c r="AI1891" s="201"/>
      <c r="AJ1891" s="201"/>
      <c r="AK1891" s="201"/>
      <c r="AL1891" s="201"/>
      <c r="AM1891" s="201"/>
      <c r="AN1891" s="201"/>
      <c r="AO1891" s="201"/>
      <c r="AP1891" s="201"/>
      <c r="AQ1891" s="201"/>
      <c r="AR1891" s="201"/>
      <c r="AS1891" s="201"/>
      <c r="AT1891" s="201"/>
      <c r="AU1891" s="201"/>
      <c r="AV1891" s="201"/>
      <c r="AW1891" s="201"/>
      <c r="AX1891" s="201"/>
      <c r="AY1891" s="201"/>
      <c r="AZ1891" s="201"/>
      <c r="BA1891" s="201"/>
      <c r="BB1891" s="201"/>
      <c r="BC1891" s="20"/>
      <c r="BD1891" s="20"/>
      <c r="BE1891" s="20"/>
      <c r="BF1891" s="20"/>
      <c r="BG1891" s="20"/>
      <c r="BH1891" s="20"/>
      <c r="BI1891" s="20"/>
      <c r="BJ1891" s="20"/>
      <c r="BK1891" s="20"/>
      <c r="BL1891" s="20"/>
      <c r="BM1891" s="20"/>
      <c r="BN1891" s="20"/>
      <c r="BO1891" s="20"/>
      <c r="BP1891" s="20"/>
      <c r="BQ1891" s="20"/>
      <c r="BR1891" s="20"/>
      <c r="BS1891" s="20"/>
      <c r="BT1891" s="20"/>
      <c r="BU1891" s="20"/>
      <c r="BV1891" s="20"/>
      <c r="BW1891" s="20"/>
      <c r="BX1891" s="20"/>
      <c r="BY1891" s="20"/>
      <c r="BZ1891" s="20"/>
      <c r="CA1891" s="20"/>
      <c r="CB1891" s="20"/>
      <c r="CC1891" s="20"/>
      <c r="CD1891" s="20"/>
      <c r="CE1891" s="20"/>
      <c r="CF1891" s="20"/>
      <c r="CG1891" s="20"/>
      <c r="CH1891" s="20"/>
      <c r="CI1891" s="20"/>
      <c r="CJ1891" s="20"/>
      <c r="CK1891" s="20"/>
      <c r="CL1891" s="20"/>
      <c r="CM1891" s="20"/>
      <c r="CN1891" s="20"/>
      <c r="CO1891" s="20"/>
      <c r="CP1891" s="20"/>
      <c r="CQ1891" s="20"/>
      <c r="CR1891" s="20"/>
      <c r="CS1891" s="20"/>
      <c r="CT1891" s="20"/>
      <c r="CU1891" s="20"/>
      <c r="CV1891" s="20"/>
      <c r="CW1891" s="20"/>
      <c r="CX1891" s="20"/>
      <c r="CY1891" s="20"/>
      <c r="CZ1891" s="20"/>
      <c r="DA1891" s="20"/>
      <c r="DB1891" s="20"/>
      <c r="DC1891" s="20"/>
      <c r="DD1891" s="20"/>
      <c r="DE1891" s="20"/>
      <c r="DF1891" s="20"/>
      <c r="DG1891" s="20"/>
      <c r="DH1891" s="20"/>
      <c r="DI1891" s="20"/>
      <c r="DJ1891" s="20"/>
      <c r="DK1891" s="20"/>
      <c r="DL1891" s="20"/>
      <c r="DM1891" s="20"/>
      <c r="DN1891" s="20"/>
      <c r="DO1891" s="20"/>
      <c r="DP1891" s="20"/>
      <c r="DQ1891" s="20"/>
      <c r="DR1891" s="20"/>
      <c r="DS1891" s="20"/>
      <c r="DT1891" s="20"/>
      <c r="DU1891" s="20"/>
      <c r="DV1891" s="20"/>
      <c r="DW1891" s="20"/>
      <c r="DX1891" s="20"/>
      <c r="DY1891" s="20"/>
      <c r="DZ1891" s="20"/>
      <c r="EA1891" s="20"/>
      <c r="EB1891" s="20"/>
      <c r="EC1891" s="20"/>
      <c r="ED1891" s="20"/>
      <c r="EE1891" s="20"/>
      <c r="EF1891" s="20"/>
      <c r="EG1891" s="20"/>
      <c r="EH1891" s="20"/>
      <c r="EI1891" s="20"/>
      <c r="EJ1891" s="20"/>
      <c r="EK1891" s="20"/>
      <c r="EL1891" s="20"/>
      <c r="EM1891" s="20"/>
      <c r="EN1891" s="20"/>
      <c r="EO1891" s="20"/>
      <c r="EP1891" s="20"/>
      <c r="EQ1891" s="20"/>
      <c r="ER1891" s="20"/>
      <c r="ES1891" s="20"/>
      <c r="ET1891" s="20"/>
      <c r="EU1891" s="20"/>
      <c r="EV1891" s="20"/>
      <c r="EW1891" s="20"/>
      <c r="EX1891" s="20"/>
      <c r="EY1891" s="20"/>
      <c r="EZ1891" s="20"/>
      <c r="FA1891" s="20"/>
      <c r="FB1891" s="20"/>
      <c r="FC1891" s="20"/>
      <c r="FD1891" s="20"/>
      <c r="FE1891" s="20"/>
      <c r="FF1891" s="20"/>
      <c r="FG1891" s="20"/>
      <c r="FH1891" s="20"/>
      <c r="FI1891" s="20"/>
      <c r="FJ1891" s="20"/>
      <c r="FK1891" s="20"/>
      <c r="FL1891" s="20"/>
      <c r="FM1891" s="20"/>
      <c r="FN1891" s="20"/>
      <c r="FO1891" s="20"/>
      <c r="FP1891" s="20"/>
      <c r="FQ1891" s="20"/>
      <c r="FR1891" s="20"/>
      <c r="FS1891" s="20"/>
      <c r="FT1891" s="20"/>
      <c r="FU1891" s="20"/>
      <c r="FV1891" s="20"/>
      <c r="FW1891" s="20"/>
      <c r="FX1891" s="20"/>
      <c r="FY1891" s="20"/>
      <c r="FZ1891" s="20"/>
      <c r="GA1891" s="20"/>
      <c r="GB1891" s="20"/>
      <c r="GC1891" s="20"/>
      <c r="GD1891" s="20"/>
      <c r="GE1891" s="20"/>
      <c r="GF1891" s="20"/>
      <c r="GG1891" s="20"/>
      <c r="GH1891" s="20"/>
      <c r="GI1891" s="20"/>
      <c r="GJ1891" s="20"/>
      <c r="GK1891" s="20"/>
      <c r="GL1891" s="20"/>
      <c r="GM1891" s="20"/>
      <c r="GN1891" s="20"/>
      <c r="GO1891" s="20"/>
      <c r="GP1891" s="20"/>
      <c r="GQ1891" s="20"/>
      <c r="GR1891" s="20"/>
      <c r="GS1891" s="20"/>
      <c r="GT1891" s="20"/>
      <c r="GU1891" s="20"/>
      <c r="GV1891" s="20"/>
      <c r="GW1891" s="20"/>
      <c r="GX1891" s="20"/>
      <c r="GY1891" s="20"/>
      <c r="GZ1891" s="20"/>
      <c r="HA1891" s="20"/>
      <c r="HB1891" s="20"/>
      <c r="HC1891" s="20"/>
      <c r="HD1891" s="20"/>
      <c r="HE1891" s="20"/>
      <c r="HF1891" s="20"/>
      <c r="HG1891" s="20"/>
      <c r="HH1891" s="20"/>
      <c r="HI1891" s="20"/>
      <c r="HJ1891" s="20"/>
      <c r="HK1891" s="20"/>
      <c r="HL1891" s="20"/>
      <c r="HM1891" s="20"/>
      <c r="HN1891" s="20"/>
      <c r="HO1891" s="20"/>
      <c r="HP1891" s="20"/>
      <c r="HQ1891" s="20"/>
      <c r="HR1891" s="20"/>
      <c r="HS1891" s="20"/>
      <c r="HT1891" s="20"/>
      <c r="HU1891" s="20"/>
      <c r="HV1891" s="20"/>
      <c r="HW1891" s="20"/>
      <c r="HX1891" s="20"/>
      <c r="HY1891" s="20"/>
      <c r="HZ1891" s="20"/>
      <c r="IA1891" s="20"/>
      <c r="IB1891" s="20"/>
      <c r="IC1891" s="20"/>
      <c r="ID1891" s="20"/>
      <c r="IE1891" s="20"/>
      <c r="IF1891" s="20"/>
      <c r="IG1891" s="20"/>
      <c r="IH1891" s="20"/>
      <c r="II1891" s="20"/>
      <c r="IJ1891" s="20"/>
      <c r="IK1891" s="20"/>
      <c r="IL1891" s="20"/>
      <c r="IM1891" s="20"/>
      <c r="IN1891" s="20"/>
      <c r="IO1891" s="20"/>
    </row>
    <row r="1892" spans="1:249" s="22" customFormat="1" ht="66">
      <c r="A1892" s="794"/>
      <c r="B1892" s="840"/>
      <c r="C1892" s="841">
        <v>4</v>
      </c>
      <c r="D1892" s="841" t="s">
        <v>34</v>
      </c>
      <c r="E1892" s="841" t="s">
        <v>25</v>
      </c>
      <c r="F1892" s="841" t="s">
        <v>25</v>
      </c>
      <c r="G1892" s="841" t="s">
        <v>29</v>
      </c>
      <c r="H1892" s="1189"/>
      <c r="I1892" s="6" t="s">
        <v>614</v>
      </c>
      <c r="J1892" s="6" t="s">
        <v>2257</v>
      </c>
      <c r="K1892" s="1902">
        <f>12*6</f>
        <v>72</v>
      </c>
      <c r="L1892" s="1908">
        <v>2325000000</v>
      </c>
      <c r="M1892" s="1903">
        <v>36</v>
      </c>
      <c r="N1892" s="1904">
        <f>303962099+278756100+176088142</f>
        <v>758806341</v>
      </c>
      <c r="O1892" s="1902">
        <v>12</v>
      </c>
      <c r="P1892" s="1905">
        <v>259319234</v>
      </c>
      <c r="Q1892" s="1903">
        <v>3</v>
      </c>
      <c r="R1892" s="1904">
        <v>45418950</v>
      </c>
      <c r="S1892" s="1228">
        <v>3</v>
      </c>
      <c r="T1892" s="1906">
        <v>113751100</v>
      </c>
      <c r="U1892" s="795"/>
      <c r="V1892" s="1906"/>
      <c r="W1892" s="795"/>
      <c r="X1892" s="1906"/>
      <c r="Y1892" s="1903">
        <f t="shared" si="544"/>
        <v>6</v>
      </c>
      <c r="Z1892" s="1906">
        <f t="shared" si="545"/>
        <v>159170050</v>
      </c>
      <c r="AA1892" s="1903">
        <f t="shared" si="546"/>
        <v>42</v>
      </c>
      <c r="AB1892" s="1906">
        <f t="shared" si="547"/>
        <v>917976391</v>
      </c>
      <c r="AC1892" s="1907">
        <f t="shared" si="548"/>
        <v>58.333333333333336</v>
      </c>
      <c r="AD1892" s="1907">
        <f t="shared" si="549"/>
        <v>39.482855526881721</v>
      </c>
      <c r="AE1892" s="102" t="s">
        <v>1980</v>
      </c>
      <c r="AF1892" s="201"/>
      <c r="AG1892" s="201"/>
      <c r="AH1892" s="201"/>
      <c r="AI1892" s="201"/>
      <c r="AJ1892" s="201"/>
      <c r="AK1892" s="201"/>
      <c r="AL1892" s="201"/>
      <c r="AM1892" s="201"/>
      <c r="AN1892" s="201"/>
      <c r="AO1892" s="201"/>
      <c r="AP1892" s="201"/>
      <c r="AQ1892" s="201"/>
      <c r="AR1892" s="201"/>
      <c r="AS1892" s="201"/>
      <c r="AT1892" s="201"/>
      <c r="AU1892" s="201"/>
      <c r="AV1892" s="201"/>
      <c r="AW1892" s="201"/>
      <c r="AX1892" s="201"/>
      <c r="AY1892" s="201"/>
      <c r="AZ1892" s="201"/>
      <c r="BA1892" s="201"/>
      <c r="BB1892" s="201"/>
      <c r="BC1892" s="20"/>
      <c r="BD1892" s="20"/>
      <c r="BE1892" s="20"/>
      <c r="BF1892" s="20"/>
      <c r="BG1892" s="20"/>
      <c r="BH1892" s="20"/>
      <c r="BI1892" s="20"/>
      <c r="BJ1892" s="20"/>
      <c r="BK1892" s="20"/>
      <c r="BL1892" s="20"/>
      <c r="BM1892" s="20"/>
      <c r="BN1892" s="20"/>
      <c r="BO1892" s="20"/>
      <c r="BP1892" s="20"/>
      <c r="BQ1892" s="20"/>
      <c r="BR1892" s="20"/>
      <c r="BS1892" s="20"/>
      <c r="BT1892" s="20"/>
      <c r="BU1892" s="20"/>
      <c r="BV1892" s="20"/>
      <c r="BW1892" s="20"/>
      <c r="BX1892" s="20"/>
      <c r="BY1892" s="20"/>
      <c r="BZ1892" s="20"/>
      <c r="CA1892" s="20"/>
      <c r="CB1892" s="20"/>
      <c r="CC1892" s="20"/>
      <c r="CD1892" s="20"/>
      <c r="CE1892" s="20"/>
      <c r="CF1892" s="20"/>
      <c r="CG1892" s="20"/>
      <c r="CH1892" s="20"/>
      <c r="CI1892" s="20"/>
      <c r="CJ1892" s="20"/>
      <c r="CK1892" s="20"/>
      <c r="CL1892" s="20"/>
      <c r="CM1892" s="20"/>
      <c r="CN1892" s="20"/>
      <c r="CO1892" s="20"/>
      <c r="CP1892" s="20"/>
      <c r="CQ1892" s="20"/>
      <c r="CR1892" s="20"/>
      <c r="CS1892" s="20"/>
      <c r="CT1892" s="20"/>
      <c r="CU1892" s="20"/>
      <c r="CV1892" s="20"/>
      <c r="CW1892" s="20"/>
      <c r="CX1892" s="20"/>
      <c r="CY1892" s="20"/>
      <c r="CZ1892" s="20"/>
      <c r="DA1892" s="20"/>
      <c r="DB1892" s="20"/>
      <c r="DC1892" s="20"/>
      <c r="DD1892" s="20"/>
      <c r="DE1892" s="20"/>
      <c r="DF1892" s="20"/>
      <c r="DG1892" s="20"/>
      <c r="DH1892" s="20"/>
      <c r="DI1892" s="20"/>
      <c r="DJ1892" s="20"/>
      <c r="DK1892" s="20"/>
      <c r="DL1892" s="20"/>
      <c r="DM1892" s="20"/>
      <c r="DN1892" s="20"/>
      <c r="DO1892" s="20"/>
      <c r="DP1892" s="20"/>
      <c r="DQ1892" s="20"/>
      <c r="DR1892" s="20"/>
      <c r="DS1892" s="20"/>
      <c r="DT1892" s="20"/>
      <c r="DU1892" s="20"/>
      <c r="DV1892" s="20"/>
      <c r="DW1892" s="20"/>
      <c r="DX1892" s="20"/>
      <c r="DY1892" s="20"/>
      <c r="DZ1892" s="20"/>
      <c r="EA1892" s="20"/>
      <c r="EB1892" s="20"/>
      <c r="EC1892" s="20"/>
      <c r="ED1892" s="20"/>
      <c r="EE1892" s="20"/>
      <c r="EF1892" s="20"/>
      <c r="EG1892" s="20"/>
      <c r="EH1892" s="20"/>
      <c r="EI1892" s="20"/>
      <c r="EJ1892" s="20"/>
      <c r="EK1892" s="20"/>
      <c r="EL1892" s="20"/>
      <c r="EM1892" s="20"/>
      <c r="EN1892" s="20"/>
      <c r="EO1892" s="20"/>
      <c r="EP1892" s="20"/>
      <c r="EQ1892" s="20"/>
      <c r="ER1892" s="20"/>
      <c r="ES1892" s="20"/>
      <c r="ET1892" s="20"/>
      <c r="EU1892" s="20"/>
      <c r="EV1892" s="20"/>
      <c r="EW1892" s="20"/>
      <c r="EX1892" s="20"/>
      <c r="EY1892" s="20"/>
      <c r="EZ1892" s="20"/>
      <c r="FA1892" s="20"/>
      <c r="FB1892" s="20"/>
      <c r="FC1892" s="20"/>
      <c r="FD1892" s="20"/>
      <c r="FE1892" s="20"/>
      <c r="FF1892" s="20"/>
      <c r="FG1892" s="20"/>
      <c r="FH1892" s="20"/>
      <c r="FI1892" s="20"/>
      <c r="FJ1892" s="20"/>
      <c r="FK1892" s="20"/>
      <c r="FL1892" s="20"/>
      <c r="FM1892" s="20"/>
      <c r="FN1892" s="20"/>
      <c r="FO1892" s="20"/>
      <c r="FP1892" s="20"/>
      <c r="FQ1892" s="20"/>
      <c r="FR1892" s="20"/>
      <c r="FS1892" s="20"/>
      <c r="FT1892" s="20"/>
      <c r="FU1892" s="20"/>
      <c r="FV1892" s="20"/>
      <c r="FW1892" s="20"/>
      <c r="FX1892" s="20"/>
      <c r="FY1892" s="20"/>
      <c r="FZ1892" s="20"/>
      <c r="GA1892" s="20"/>
      <c r="GB1892" s="20"/>
      <c r="GC1892" s="20"/>
      <c r="GD1892" s="20"/>
      <c r="GE1892" s="20"/>
      <c r="GF1892" s="20"/>
      <c r="GG1892" s="20"/>
      <c r="GH1892" s="20"/>
      <c r="GI1892" s="20"/>
      <c r="GJ1892" s="20"/>
      <c r="GK1892" s="20"/>
      <c r="GL1892" s="20"/>
      <c r="GM1892" s="20"/>
      <c r="GN1892" s="20"/>
      <c r="GO1892" s="20"/>
      <c r="GP1892" s="20"/>
      <c r="GQ1892" s="20"/>
      <c r="GR1892" s="20"/>
      <c r="GS1892" s="20"/>
      <c r="GT1892" s="20"/>
      <c r="GU1892" s="20"/>
      <c r="GV1892" s="20"/>
      <c r="GW1892" s="20"/>
      <c r="GX1892" s="20"/>
      <c r="GY1892" s="20"/>
      <c r="GZ1892" s="20"/>
      <c r="HA1892" s="20"/>
      <c r="HB1892" s="20"/>
      <c r="HC1892" s="20"/>
      <c r="HD1892" s="20"/>
      <c r="HE1892" s="20"/>
      <c r="HF1892" s="20"/>
      <c r="HG1892" s="20"/>
      <c r="HH1892" s="20"/>
      <c r="HI1892" s="20"/>
      <c r="HJ1892" s="20"/>
      <c r="HK1892" s="20"/>
      <c r="HL1892" s="20"/>
      <c r="HM1892" s="20"/>
      <c r="HN1892" s="20"/>
      <c r="HO1892" s="20"/>
      <c r="HP1892" s="20"/>
      <c r="HQ1892" s="20"/>
      <c r="HR1892" s="20"/>
      <c r="HS1892" s="20"/>
      <c r="HT1892" s="20"/>
      <c r="HU1892" s="20"/>
      <c r="HV1892" s="20"/>
      <c r="HW1892" s="20"/>
      <c r="HX1892" s="20"/>
      <c r="HY1892" s="20"/>
      <c r="HZ1892" s="20"/>
      <c r="IA1892" s="20"/>
      <c r="IB1892" s="20"/>
      <c r="IC1892" s="20"/>
      <c r="ID1892" s="20"/>
      <c r="IE1892" s="20"/>
      <c r="IF1892" s="20"/>
      <c r="IG1892" s="20"/>
      <c r="IH1892" s="20"/>
      <c r="II1892" s="20"/>
      <c r="IJ1892" s="20"/>
      <c r="IK1892" s="20"/>
      <c r="IL1892" s="20"/>
      <c r="IM1892" s="20"/>
      <c r="IN1892" s="20"/>
      <c r="IO1892" s="20"/>
    </row>
    <row r="1893" spans="1:249" s="22" customFormat="1" ht="66">
      <c r="A1893" s="794"/>
      <c r="B1893" s="840"/>
      <c r="C1893" s="841">
        <v>4</v>
      </c>
      <c r="D1893" s="841" t="s">
        <v>34</v>
      </c>
      <c r="E1893" s="841" t="s">
        <v>25</v>
      </c>
      <c r="F1893" s="841" t="s">
        <v>25</v>
      </c>
      <c r="G1893" s="841" t="s">
        <v>30</v>
      </c>
      <c r="H1893" s="1189"/>
      <c r="I1893" s="407" t="s">
        <v>616</v>
      </c>
      <c r="J1893" s="6" t="s">
        <v>3309</v>
      </c>
      <c r="K1893" s="1902">
        <f>12*6</f>
        <v>72</v>
      </c>
      <c r="L1893" s="1908">
        <v>2712200000</v>
      </c>
      <c r="M1893" s="1903">
        <v>36</v>
      </c>
      <c r="N1893" s="1904">
        <f>335582000+323022600+360000000</f>
        <v>1018604600</v>
      </c>
      <c r="O1893" s="1902">
        <v>12</v>
      </c>
      <c r="P1893" s="1905">
        <v>409115000</v>
      </c>
      <c r="Q1893" s="1903">
        <v>3</v>
      </c>
      <c r="R1893" s="1904">
        <v>1350000</v>
      </c>
      <c r="S1893" s="1228">
        <v>3</v>
      </c>
      <c r="T1893" s="1906">
        <v>148953685</v>
      </c>
      <c r="U1893" s="795"/>
      <c r="V1893" s="1906"/>
      <c r="W1893" s="795"/>
      <c r="X1893" s="1906"/>
      <c r="Y1893" s="1903">
        <f t="shared" si="544"/>
        <v>6</v>
      </c>
      <c r="Z1893" s="1906">
        <f t="shared" si="545"/>
        <v>150303685</v>
      </c>
      <c r="AA1893" s="1903">
        <f t="shared" si="546"/>
        <v>42</v>
      </c>
      <c r="AB1893" s="1906">
        <f t="shared" si="547"/>
        <v>1168908285</v>
      </c>
      <c r="AC1893" s="1907">
        <f t="shared" si="548"/>
        <v>58.333333333333336</v>
      </c>
      <c r="AD1893" s="1907">
        <f t="shared" si="549"/>
        <v>43.098159612122998</v>
      </c>
      <c r="AE1893" s="102" t="s">
        <v>1979</v>
      </c>
      <c r="AF1893" s="201"/>
      <c r="AG1893" s="201"/>
      <c r="AH1893" s="201"/>
      <c r="AI1893" s="201"/>
      <c r="AJ1893" s="201"/>
      <c r="AK1893" s="201"/>
      <c r="AL1893" s="201"/>
      <c r="AM1893" s="201"/>
      <c r="AN1893" s="201"/>
      <c r="AO1893" s="201"/>
      <c r="AP1893" s="201"/>
      <c r="AQ1893" s="201"/>
      <c r="AR1893" s="201"/>
      <c r="AS1893" s="201"/>
      <c r="AT1893" s="201"/>
      <c r="AU1893" s="201"/>
      <c r="AV1893" s="201"/>
      <c r="AW1893" s="201"/>
      <c r="AX1893" s="201"/>
      <c r="AY1893" s="201"/>
      <c r="AZ1893" s="201"/>
      <c r="BA1893" s="201"/>
      <c r="BB1893" s="201"/>
      <c r="BC1893" s="20"/>
      <c r="BD1893" s="20"/>
      <c r="BE1893" s="20"/>
      <c r="BF1893" s="20"/>
      <c r="BG1893" s="20"/>
      <c r="BH1893" s="20"/>
      <c r="BI1893" s="20"/>
      <c r="BJ1893" s="20"/>
      <c r="BK1893" s="20"/>
      <c r="BL1893" s="20"/>
      <c r="BM1893" s="20"/>
      <c r="BN1893" s="20"/>
      <c r="BO1893" s="20"/>
      <c r="BP1893" s="20"/>
      <c r="BQ1893" s="20"/>
      <c r="BR1893" s="20"/>
      <c r="BS1893" s="20"/>
      <c r="BT1893" s="20"/>
      <c r="BU1893" s="20"/>
      <c r="BV1893" s="20"/>
      <c r="BW1893" s="20"/>
      <c r="BX1893" s="20"/>
      <c r="BY1893" s="20"/>
      <c r="BZ1893" s="20"/>
      <c r="CA1893" s="20"/>
      <c r="CB1893" s="20"/>
      <c r="CC1893" s="20"/>
      <c r="CD1893" s="20"/>
      <c r="CE1893" s="20"/>
      <c r="CF1893" s="20"/>
      <c r="CG1893" s="20"/>
      <c r="CH1893" s="20"/>
      <c r="CI1893" s="20"/>
      <c r="CJ1893" s="20"/>
      <c r="CK1893" s="20"/>
      <c r="CL1893" s="20"/>
      <c r="CM1893" s="20"/>
      <c r="CN1893" s="20"/>
      <c r="CO1893" s="20"/>
      <c r="CP1893" s="20"/>
      <c r="CQ1893" s="20"/>
      <c r="CR1893" s="20"/>
      <c r="CS1893" s="20"/>
      <c r="CT1893" s="20"/>
      <c r="CU1893" s="20"/>
      <c r="CV1893" s="20"/>
      <c r="CW1893" s="20"/>
      <c r="CX1893" s="20"/>
      <c r="CY1893" s="20"/>
      <c r="CZ1893" s="20"/>
      <c r="DA1893" s="20"/>
      <c r="DB1893" s="20"/>
      <c r="DC1893" s="20"/>
      <c r="DD1893" s="20"/>
      <c r="DE1893" s="20"/>
      <c r="DF1893" s="20"/>
      <c r="DG1893" s="20"/>
      <c r="DH1893" s="20"/>
      <c r="DI1893" s="20"/>
      <c r="DJ1893" s="20"/>
      <c r="DK1893" s="20"/>
      <c r="DL1893" s="20"/>
      <c r="DM1893" s="20"/>
      <c r="DN1893" s="20"/>
      <c r="DO1893" s="20"/>
      <c r="DP1893" s="20"/>
      <c r="DQ1893" s="20"/>
      <c r="DR1893" s="20"/>
      <c r="DS1893" s="20"/>
      <c r="DT1893" s="20"/>
      <c r="DU1893" s="20"/>
      <c r="DV1893" s="20"/>
      <c r="DW1893" s="20"/>
      <c r="DX1893" s="20"/>
      <c r="DY1893" s="20"/>
      <c r="DZ1893" s="20"/>
      <c r="EA1893" s="20"/>
      <c r="EB1893" s="20"/>
      <c r="EC1893" s="20"/>
      <c r="ED1893" s="20"/>
      <c r="EE1893" s="20"/>
      <c r="EF1893" s="20"/>
      <c r="EG1893" s="20"/>
      <c r="EH1893" s="20"/>
      <c r="EI1893" s="20"/>
      <c r="EJ1893" s="20"/>
      <c r="EK1893" s="20"/>
      <c r="EL1893" s="20"/>
      <c r="EM1893" s="20"/>
      <c r="EN1893" s="20"/>
      <c r="EO1893" s="20"/>
      <c r="EP1893" s="20"/>
      <c r="EQ1893" s="20"/>
      <c r="ER1893" s="20"/>
      <c r="ES1893" s="20"/>
      <c r="ET1893" s="20"/>
      <c r="EU1893" s="20"/>
      <c r="EV1893" s="20"/>
      <c r="EW1893" s="20"/>
      <c r="EX1893" s="20"/>
      <c r="EY1893" s="20"/>
      <c r="EZ1893" s="20"/>
      <c r="FA1893" s="20"/>
      <c r="FB1893" s="20"/>
      <c r="FC1893" s="20"/>
      <c r="FD1893" s="20"/>
      <c r="FE1893" s="20"/>
      <c r="FF1893" s="20"/>
      <c r="FG1893" s="20"/>
      <c r="FH1893" s="20"/>
      <c r="FI1893" s="20"/>
      <c r="FJ1893" s="20"/>
      <c r="FK1893" s="20"/>
      <c r="FL1893" s="20"/>
      <c r="FM1893" s="20"/>
      <c r="FN1893" s="20"/>
      <c r="FO1893" s="20"/>
      <c r="FP1893" s="20"/>
      <c r="FQ1893" s="20"/>
      <c r="FR1893" s="20"/>
      <c r="FS1893" s="20"/>
      <c r="FT1893" s="20"/>
      <c r="FU1893" s="20"/>
      <c r="FV1893" s="20"/>
      <c r="FW1893" s="20"/>
      <c r="FX1893" s="20"/>
      <c r="FY1893" s="20"/>
      <c r="FZ1893" s="20"/>
      <c r="GA1893" s="20"/>
      <c r="GB1893" s="20"/>
      <c r="GC1893" s="20"/>
      <c r="GD1893" s="20"/>
      <c r="GE1893" s="20"/>
      <c r="GF1893" s="20"/>
      <c r="GG1893" s="20"/>
      <c r="GH1893" s="20"/>
      <c r="GI1893" s="20"/>
      <c r="GJ1893" s="20"/>
      <c r="GK1893" s="20"/>
      <c r="GL1893" s="20"/>
      <c r="GM1893" s="20"/>
      <c r="GN1893" s="20"/>
      <c r="GO1893" s="20"/>
      <c r="GP1893" s="20"/>
      <c r="GQ1893" s="20"/>
      <c r="GR1893" s="20"/>
      <c r="GS1893" s="20"/>
      <c r="GT1893" s="20"/>
      <c r="GU1893" s="20"/>
      <c r="GV1893" s="20"/>
      <c r="GW1893" s="20"/>
      <c r="GX1893" s="20"/>
      <c r="GY1893" s="20"/>
      <c r="GZ1893" s="20"/>
      <c r="HA1893" s="20"/>
      <c r="HB1893" s="20"/>
      <c r="HC1893" s="20"/>
      <c r="HD1893" s="20"/>
      <c r="HE1893" s="20"/>
      <c r="HF1893" s="20"/>
      <c r="HG1893" s="20"/>
      <c r="HH1893" s="20"/>
      <c r="HI1893" s="20"/>
      <c r="HJ1893" s="20"/>
      <c r="HK1893" s="20"/>
      <c r="HL1893" s="20"/>
      <c r="HM1893" s="20"/>
      <c r="HN1893" s="20"/>
      <c r="HO1893" s="20"/>
      <c r="HP1893" s="20"/>
      <c r="HQ1893" s="20"/>
      <c r="HR1893" s="20"/>
      <c r="HS1893" s="20"/>
      <c r="HT1893" s="20"/>
      <c r="HU1893" s="20"/>
      <c r="HV1893" s="20"/>
      <c r="HW1893" s="20"/>
      <c r="HX1893" s="20"/>
      <c r="HY1893" s="20"/>
      <c r="HZ1893" s="20"/>
      <c r="IA1893" s="20"/>
      <c r="IB1893" s="20"/>
      <c r="IC1893" s="20"/>
      <c r="ID1893" s="20"/>
      <c r="IE1893" s="20"/>
      <c r="IF1893" s="20"/>
      <c r="IG1893" s="20"/>
      <c r="IH1893" s="20"/>
      <c r="II1893" s="20"/>
      <c r="IJ1893" s="20"/>
      <c r="IK1893" s="20"/>
      <c r="IL1893" s="20"/>
      <c r="IM1893" s="20"/>
      <c r="IN1893" s="20"/>
      <c r="IO1893" s="20"/>
    </row>
    <row r="1894" spans="1:249" s="22" customFormat="1" ht="49.5">
      <c r="A1894" s="794"/>
      <c r="B1894" s="840"/>
      <c r="C1894" s="841">
        <v>4</v>
      </c>
      <c r="D1894" s="841" t="s">
        <v>34</v>
      </c>
      <c r="E1894" s="841" t="s">
        <v>25</v>
      </c>
      <c r="F1894" s="841" t="s">
        <v>25</v>
      </c>
      <c r="G1894" s="841" t="s">
        <v>43</v>
      </c>
      <c r="H1894" s="1189"/>
      <c r="I1894" s="407" t="s">
        <v>420</v>
      </c>
      <c r="J1894" s="6" t="s">
        <v>2258</v>
      </c>
      <c r="K1894" s="1909">
        <v>72</v>
      </c>
      <c r="L1894" s="1908">
        <v>723500000</v>
      </c>
      <c r="M1894" s="1903">
        <v>36</v>
      </c>
      <c r="N1894" s="1904">
        <f>87158000+74900000+81287200</f>
        <v>243345200</v>
      </c>
      <c r="O1894" s="1909">
        <v>12</v>
      </c>
      <c r="P1894" s="1905">
        <v>63475000</v>
      </c>
      <c r="Q1894" s="1903">
        <v>3</v>
      </c>
      <c r="R1894" s="1904">
        <v>7274850</v>
      </c>
      <c r="S1894" s="1228">
        <v>3</v>
      </c>
      <c r="T1894" s="1906">
        <v>30194850</v>
      </c>
      <c r="U1894" s="1228"/>
      <c r="V1894" s="1906"/>
      <c r="W1894" s="795"/>
      <c r="X1894" s="1906"/>
      <c r="Y1894" s="1903">
        <f t="shared" si="544"/>
        <v>6</v>
      </c>
      <c r="Z1894" s="1906">
        <f t="shared" si="545"/>
        <v>37469700</v>
      </c>
      <c r="AA1894" s="1903">
        <f t="shared" si="546"/>
        <v>42</v>
      </c>
      <c r="AB1894" s="1906">
        <f t="shared" si="547"/>
        <v>280814900</v>
      </c>
      <c r="AC1894" s="1907">
        <f t="shared" si="548"/>
        <v>58.333333333333336</v>
      </c>
      <c r="AD1894" s="1907">
        <f t="shared" si="549"/>
        <v>38.813393227366966</v>
      </c>
      <c r="AE1894" s="102" t="s">
        <v>1979</v>
      </c>
      <c r="AF1894" s="201"/>
      <c r="AG1894" s="201"/>
      <c r="AH1894" s="201"/>
      <c r="AI1894" s="201"/>
      <c r="AJ1894" s="201"/>
      <c r="AK1894" s="201"/>
      <c r="AL1894" s="201"/>
      <c r="AM1894" s="201"/>
      <c r="AN1894" s="201"/>
      <c r="AO1894" s="201"/>
      <c r="AP1894" s="201"/>
      <c r="AQ1894" s="201"/>
      <c r="AR1894" s="201"/>
      <c r="AS1894" s="201"/>
      <c r="AT1894" s="201"/>
      <c r="AU1894" s="201"/>
      <c r="AV1894" s="201"/>
      <c r="AW1894" s="201"/>
      <c r="AX1894" s="201"/>
      <c r="AY1894" s="201"/>
      <c r="AZ1894" s="201"/>
      <c r="BA1894" s="201"/>
      <c r="BB1894" s="201"/>
      <c r="BC1894" s="20"/>
      <c r="BD1894" s="20"/>
      <c r="BE1894" s="20"/>
      <c r="BF1894" s="20"/>
      <c r="BG1894" s="20"/>
      <c r="BH1894" s="20"/>
      <c r="BI1894" s="20"/>
      <c r="BJ1894" s="20"/>
      <c r="BK1894" s="20"/>
      <c r="BL1894" s="20"/>
      <c r="BM1894" s="20"/>
      <c r="BN1894" s="20"/>
      <c r="BO1894" s="20"/>
      <c r="BP1894" s="20"/>
      <c r="BQ1894" s="20"/>
      <c r="BR1894" s="20"/>
      <c r="BS1894" s="20"/>
      <c r="BT1894" s="20"/>
      <c r="BU1894" s="20"/>
      <c r="BV1894" s="20"/>
      <c r="BW1894" s="20"/>
      <c r="BX1894" s="20"/>
      <c r="BY1894" s="20"/>
      <c r="BZ1894" s="20"/>
      <c r="CA1894" s="20"/>
      <c r="CB1894" s="20"/>
      <c r="CC1894" s="20"/>
      <c r="CD1894" s="20"/>
      <c r="CE1894" s="20"/>
      <c r="CF1894" s="20"/>
      <c r="CG1894" s="20"/>
      <c r="CH1894" s="20"/>
      <c r="CI1894" s="20"/>
      <c r="CJ1894" s="20"/>
      <c r="CK1894" s="20"/>
      <c r="CL1894" s="20"/>
      <c r="CM1894" s="20"/>
      <c r="CN1894" s="20"/>
      <c r="CO1894" s="20"/>
      <c r="CP1894" s="20"/>
      <c r="CQ1894" s="20"/>
      <c r="CR1894" s="20"/>
      <c r="CS1894" s="20"/>
      <c r="CT1894" s="20"/>
      <c r="CU1894" s="20"/>
      <c r="CV1894" s="20"/>
      <c r="CW1894" s="20"/>
      <c r="CX1894" s="20"/>
      <c r="CY1894" s="20"/>
      <c r="CZ1894" s="20"/>
      <c r="DA1894" s="20"/>
      <c r="DB1894" s="20"/>
      <c r="DC1894" s="20"/>
      <c r="DD1894" s="20"/>
      <c r="DE1894" s="20"/>
      <c r="DF1894" s="20"/>
      <c r="DG1894" s="20"/>
      <c r="DH1894" s="20"/>
      <c r="DI1894" s="20"/>
      <c r="DJ1894" s="20"/>
      <c r="DK1894" s="20"/>
      <c r="DL1894" s="20"/>
      <c r="DM1894" s="20"/>
      <c r="DN1894" s="20"/>
      <c r="DO1894" s="20"/>
      <c r="DP1894" s="20"/>
      <c r="DQ1894" s="20"/>
      <c r="DR1894" s="20"/>
      <c r="DS1894" s="20"/>
      <c r="DT1894" s="20"/>
      <c r="DU1894" s="20"/>
      <c r="DV1894" s="20"/>
      <c r="DW1894" s="20"/>
      <c r="DX1894" s="20"/>
      <c r="DY1894" s="20"/>
      <c r="DZ1894" s="20"/>
      <c r="EA1894" s="20"/>
      <c r="EB1894" s="20"/>
      <c r="EC1894" s="20"/>
      <c r="ED1894" s="20"/>
      <c r="EE1894" s="20"/>
      <c r="EF1894" s="20"/>
      <c r="EG1894" s="20"/>
      <c r="EH1894" s="20"/>
      <c r="EI1894" s="20"/>
      <c r="EJ1894" s="20"/>
      <c r="EK1894" s="20"/>
      <c r="EL1894" s="20"/>
      <c r="EM1894" s="20"/>
      <c r="EN1894" s="20"/>
      <c r="EO1894" s="20"/>
      <c r="EP1894" s="20"/>
      <c r="EQ1894" s="20"/>
      <c r="ER1894" s="20"/>
      <c r="ES1894" s="20"/>
      <c r="ET1894" s="20"/>
      <c r="EU1894" s="20"/>
      <c r="EV1894" s="20"/>
      <c r="EW1894" s="20"/>
      <c r="EX1894" s="20"/>
      <c r="EY1894" s="20"/>
      <c r="EZ1894" s="20"/>
      <c r="FA1894" s="20"/>
      <c r="FB1894" s="20"/>
      <c r="FC1894" s="20"/>
      <c r="FD1894" s="20"/>
      <c r="FE1894" s="20"/>
      <c r="FF1894" s="20"/>
      <c r="FG1894" s="20"/>
      <c r="FH1894" s="20"/>
      <c r="FI1894" s="20"/>
      <c r="FJ1894" s="20"/>
      <c r="FK1894" s="20"/>
      <c r="FL1894" s="20"/>
      <c r="FM1894" s="20"/>
      <c r="FN1894" s="20"/>
      <c r="FO1894" s="20"/>
      <c r="FP1894" s="20"/>
      <c r="FQ1894" s="20"/>
      <c r="FR1894" s="20"/>
      <c r="FS1894" s="20"/>
      <c r="FT1894" s="20"/>
      <c r="FU1894" s="20"/>
      <c r="FV1894" s="20"/>
      <c r="FW1894" s="20"/>
      <c r="FX1894" s="20"/>
      <c r="FY1894" s="20"/>
      <c r="FZ1894" s="20"/>
      <c r="GA1894" s="20"/>
      <c r="GB1894" s="20"/>
      <c r="GC1894" s="20"/>
      <c r="GD1894" s="20"/>
      <c r="GE1894" s="20"/>
      <c r="GF1894" s="20"/>
      <c r="GG1894" s="20"/>
      <c r="GH1894" s="20"/>
      <c r="GI1894" s="20"/>
      <c r="GJ1894" s="20"/>
      <c r="GK1894" s="20"/>
      <c r="GL1894" s="20"/>
      <c r="GM1894" s="20"/>
      <c r="GN1894" s="20"/>
      <c r="GO1894" s="20"/>
      <c r="GP1894" s="20"/>
      <c r="GQ1894" s="20"/>
      <c r="GR1894" s="20"/>
      <c r="GS1894" s="20"/>
      <c r="GT1894" s="20"/>
      <c r="GU1894" s="20"/>
      <c r="GV1894" s="20"/>
      <c r="GW1894" s="20"/>
      <c r="GX1894" s="20"/>
      <c r="GY1894" s="20"/>
      <c r="GZ1894" s="20"/>
      <c r="HA1894" s="20"/>
      <c r="HB1894" s="20"/>
      <c r="HC1894" s="20"/>
      <c r="HD1894" s="20"/>
      <c r="HE1894" s="20"/>
      <c r="HF1894" s="20"/>
      <c r="HG1894" s="20"/>
      <c r="HH1894" s="20"/>
      <c r="HI1894" s="20"/>
      <c r="HJ1894" s="20"/>
      <c r="HK1894" s="20"/>
      <c r="HL1894" s="20"/>
      <c r="HM1894" s="20"/>
      <c r="HN1894" s="20"/>
      <c r="HO1894" s="20"/>
      <c r="HP1894" s="20"/>
      <c r="HQ1894" s="20"/>
      <c r="HR1894" s="20"/>
      <c r="HS1894" s="20"/>
      <c r="HT1894" s="20"/>
      <c r="HU1894" s="20"/>
      <c r="HV1894" s="20"/>
      <c r="HW1894" s="20"/>
      <c r="HX1894" s="20"/>
      <c r="HY1894" s="20"/>
      <c r="HZ1894" s="20"/>
      <c r="IA1894" s="20"/>
      <c r="IB1894" s="20"/>
      <c r="IC1894" s="20"/>
      <c r="ID1894" s="20"/>
      <c r="IE1894" s="20"/>
      <c r="IF1894" s="20"/>
      <c r="IG1894" s="20"/>
      <c r="IH1894" s="20"/>
      <c r="II1894" s="20"/>
      <c r="IJ1894" s="20"/>
      <c r="IK1894" s="20"/>
      <c r="IL1894" s="20"/>
      <c r="IM1894" s="20"/>
      <c r="IN1894" s="20"/>
      <c r="IO1894" s="20"/>
    </row>
    <row r="1895" spans="1:249" s="22" customFormat="1" ht="32.25" customHeight="1">
      <c r="A1895" s="794"/>
      <c r="B1895" s="840"/>
      <c r="C1895" s="841">
        <v>4</v>
      </c>
      <c r="D1895" s="841" t="s">
        <v>34</v>
      </c>
      <c r="E1895" s="841" t="s">
        <v>25</v>
      </c>
      <c r="F1895" s="841" t="s">
        <v>25</v>
      </c>
      <c r="G1895" s="841">
        <v>10</v>
      </c>
      <c r="H1895" s="1189"/>
      <c r="I1895" s="407" t="s">
        <v>32</v>
      </c>
      <c r="J1895" s="6" t="s">
        <v>3310</v>
      </c>
      <c r="K1895" s="1902">
        <v>36</v>
      </c>
      <c r="L1895" s="1908">
        <f>217973992+210000000+280000000</f>
        <v>707973992</v>
      </c>
      <c r="M1895" s="207">
        <v>0</v>
      </c>
      <c r="N1895" s="1904">
        <v>0</v>
      </c>
      <c r="O1895" s="1902">
        <v>12</v>
      </c>
      <c r="P1895" s="1905">
        <v>217973992</v>
      </c>
      <c r="Q1895" s="1903">
        <v>3</v>
      </c>
      <c r="R1895" s="1904">
        <v>116510905</v>
      </c>
      <c r="S1895" s="1228">
        <v>3</v>
      </c>
      <c r="T1895" s="1906">
        <v>124310905</v>
      </c>
      <c r="U1895" s="795"/>
      <c r="V1895" s="1906"/>
      <c r="W1895" s="795"/>
      <c r="X1895" s="1906"/>
      <c r="Y1895" s="1903">
        <f t="shared" si="544"/>
        <v>6</v>
      </c>
      <c r="Z1895" s="1906">
        <f t="shared" si="545"/>
        <v>240821810</v>
      </c>
      <c r="AA1895" s="1903">
        <f t="shared" si="546"/>
        <v>6</v>
      </c>
      <c r="AB1895" s="1906">
        <f t="shared" si="547"/>
        <v>240821810</v>
      </c>
      <c r="AC1895" s="1907">
        <f t="shared" si="548"/>
        <v>16.666666666666664</v>
      </c>
      <c r="AD1895" s="1907">
        <f t="shared" si="549"/>
        <v>34.015629489395145</v>
      </c>
      <c r="AE1895" s="102" t="s">
        <v>1980</v>
      </c>
      <c r="AF1895" s="201"/>
      <c r="AG1895" s="201"/>
      <c r="AH1895" s="201"/>
      <c r="AI1895" s="201"/>
      <c r="AJ1895" s="201"/>
      <c r="AK1895" s="201"/>
      <c r="AL1895" s="201"/>
      <c r="AM1895" s="201"/>
      <c r="AN1895" s="201"/>
      <c r="AO1895" s="201"/>
      <c r="AP1895" s="201"/>
      <c r="AQ1895" s="201"/>
      <c r="AR1895" s="201"/>
      <c r="AS1895" s="201"/>
      <c r="AT1895" s="201"/>
      <c r="AU1895" s="201"/>
      <c r="AV1895" s="201"/>
      <c r="AW1895" s="201"/>
      <c r="AX1895" s="201"/>
      <c r="AY1895" s="201"/>
      <c r="AZ1895" s="201"/>
      <c r="BA1895" s="201"/>
      <c r="BB1895" s="201"/>
      <c r="BC1895" s="20"/>
      <c r="BD1895" s="20"/>
      <c r="BE1895" s="20"/>
      <c r="BF1895" s="20"/>
      <c r="BG1895" s="20"/>
      <c r="BH1895" s="20"/>
      <c r="BI1895" s="20"/>
      <c r="BJ1895" s="20"/>
      <c r="BK1895" s="20"/>
      <c r="BL1895" s="20"/>
      <c r="BM1895" s="20"/>
      <c r="BN1895" s="20"/>
      <c r="BO1895" s="20"/>
      <c r="BP1895" s="20"/>
      <c r="BQ1895" s="20"/>
      <c r="BR1895" s="20"/>
      <c r="BS1895" s="20"/>
      <c r="BT1895" s="20"/>
      <c r="BU1895" s="20"/>
      <c r="BV1895" s="20"/>
      <c r="BW1895" s="20"/>
      <c r="BX1895" s="20"/>
      <c r="BY1895" s="20"/>
      <c r="BZ1895" s="20"/>
      <c r="CA1895" s="20"/>
      <c r="CB1895" s="20"/>
      <c r="CC1895" s="20"/>
      <c r="CD1895" s="20"/>
      <c r="CE1895" s="20"/>
      <c r="CF1895" s="20"/>
      <c r="CG1895" s="20"/>
      <c r="CH1895" s="20"/>
      <c r="CI1895" s="20"/>
      <c r="CJ1895" s="20"/>
      <c r="CK1895" s="20"/>
      <c r="CL1895" s="20"/>
      <c r="CM1895" s="20"/>
      <c r="CN1895" s="20"/>
      <c r="CO1895" s="20"/>
      <c r="CP1895" s="20"/>
      <c r="CQ1895" s="20"/>
      <c r="CR1895" s="20"/>
      <c r="CS1895" s="20"/>
      <c r="CT1895" s="20"/>
      <c r="CU1895" s="20"/>
      <c r="CV1895" s="20"/>
      <c r="CW1895" s="20"/>
      <c r="CX1895" s="20"/>
      <c r="CY1895" s="20"/>
      <c r="CZ1895" s="20"/>
      <c r="DA1895" s="20"/>
      <c r="DB1895" s="20"/>
      <c r="DC1895" s="20"/>
      <c r="DD1895" s="20"/>
      <c r="DE1895" s="20"/>
      <c r="DF1895" s="20"/>
      <c r="DG1895" s="20"/>
      <c r="DH1895" s="20"/>
      <c r="DI1895" s="20"/>
      <c r="DJ1895" s="20"/>
      <c r="DK1895" s="20"/>
      <c r="DL1895" s="20"/>
      <c r="DM1895" s="20"/>
      <c r="DN1895" s="20"/>
      <c r="DO1895" s="20"/>
      <c r="DP1895" s="20"/>
      <c r="DQ1895" s="20"/>
      <c r="DR1895" s="20"/>
      <c r="DS1895" s="20"/>
      <c r="DT1895" s="20"/>
      <c r="DU1895" s="20"/>
      <c r="DV1895" s="20"/>
      <c r="DW1895" s="20"/>
      <c r="DX1895" s="20"/>
      <c r="DY1895" s="20"/>
      <c r="DZ1895" s="20"/>
      <c r="EA1895" s="20"/>
      <c r="EB1895" s="20"/>
      <c r="EC1895" s="20"/>
      <c r="ED1895" s="20"/>
      <c r="EE1895" s="20"/>
      <c r="EF1895" s="20"/>
      <c r="EG1895" s="20"/>
      <c r="EH1895" s="20"/>
      <c r="EI1895" s="20"/>
      <c r="EJ1895" s="20"/>
      <c r="EK1895" s="20"/>
      <c r="EL1895" s="20"/>
      <c r="EM1895" s="20"/>
      <c r="EN1895" s="20"/>
      <c r="EO1895" s="20"/>
      <c r="EP1895" s="20"/>
      <c r="EQ1895" s="20"/>
      <c r="ER1895" s="20"/>
      <c r="ES1895" s="20"/>
      <c r="ET1895" s="20"/>
      <c r="EU1895" s="20"/>
      <c r="EV1895" s="20"/>
      <c r="EW1895" s="20"/>
      <c r="EX1895" s="20"/>
      <c r="EY1895" s="20"/>
      <c r="EZ1895" s="20"/>
      <c r="FA1895" s="20"/>
      <c r="FB1895" s="20"/>
      <c r="FC1895" s="20"/>
      <c r="FD1895" s="20"/>
      <c r="FE1895" s="20"/>
      <c r="FF1895" s="20"/>
      <c r="FG1895" s="20"/>
      <c r="FH1895" s="20"/>
      <c r="FI1895" s="20"/>
      <c r="FJ1895" s="20"/>
      <c r="FK1895" s="20"/>
      <c r="FL1895" s="20"/>
      <c r="FM1895" s="20"/>
      <c r="FN1895" s="20"/>
      <c r="FO1895" s="20"/>
      <c r="FP1895" s="20"/>
      <c r="FQ1895" s="20"/>
      <c r="FR1895" s="20"/>
      <c r="FS1895" s="20"/>
      <c r="FT1895" s="20"/>
      <c r="FU1895" s="20"/>
      <c r="FV1895" s="20"/>
      <c r="FW1895" s="20"/>
      <c r="FX1895" s="20"/>
      <c r="FY1895" s="20"/>
      <c r="FZ1895" s="20"/>
      <c r="GA1895" s="20"/>
      <c r="GB1895" s="20"/>
      <c r="GC1895" s="20"/>
      <c r="GD1895" s="20"/>
      <c r="GE1895" s="20"/>
      <c r="GF1895" s="20"/>
      <c r="GG1895" s="20"/>
      <c r="GH1895" s="20"/>
      <c r="GI1895" s="20"/>
      <c r="GJ1895" s="20"/>
      <c r="GK1895" s="20"/>
      <c r="GL1895" s="20"/>
      <c r="GM1895" s="20"/>
      <c r="GN1895" s="20"/>
      <c r="GO1895" s="20"/>
      <c r="GP1895" s="20"/>
      <c r="GQ1895" s="20"/>
      <c r="GR1895" s="20"/>
      <c r="GS1895" s="20"/>
      <c r="GT1895" s="20"/>
      <c r="GU1895" s="20"/>
      <c r="GV1895" s="20"/>
      <c r="GW1895" s="20"/>
      <c r="GX1895" s="20"/>
      <c r="GY1895" s="20"/>
      <c r="GZ1895" s="20"/>
      <c r="HA1895" s="20"/>
      <c r="HB1895" s="20"/>
      <c r="HC1895" s="20"/>
      <c r="HD1895" s="20"/>
      <c r="HE1895" s="20"/>
      <c r="HF1895" s="20"/>
      <c r="HG1895" s="20"/>
      <c r="HH1895" s="20"/>
      <c r="HI1895" s="20"/>
      <c r="HJ1895" s="20"/>
      <c r="HK1895" s="20"/>
      <c r="HL1895" s="20"/>
      <c r="HM1895" s="20"/>
      <c r="HN1895" s="20"/>
      <c r="HO1895" s="20"/>
      <c r="HP1895" s="20"/>
      <c r="HQ1895" s="20"/>
      <c r="HR1895" s="20"/>
      <c r="HS1895" s="20"/>
      <c r="HT1895" s="20"/>
      <c r="HU1895" s="20"/>
      <c r="HV1895" s="20"/>
      <c r="HW1895" s="20"/>
      <c r="HX1895" s="20"/>
      <c r="HY1895" s="20"/>
      <c r="HZ1895" s="20"/>
      <c r="IA1895" s="20"/>
      <c r="IB1895" s="20"/>
      <c r="IC1895" s="20"/>
      <c r="ID1895" s="20"/>
      <c r="IE1895" s="20"/>
      <c r="IF1895" s="20"/>
      <c r="IG1895" s="20"/>
      <c r="IH1895" s="20"/>
      <c r="II1895" s="20"/>
      <c r="IJ1895" s="20"/>
      <c r="IK1895" s="20"/>
      <c r="IL1895" s="20"/>
      <c r="IM1895" s="20"/>
      <c r="IN1895" s="20"/>
      <c r="IO1895" s="20"/>
    </row>
    <row r="1896" spans="1:249" s="22" customFormat="1" ht="66">
      <c r="A1896" s="794"/>
      <c r="B1896" s="840"/>
      <c r="C1896" s="841">
        <v>4</v>
      </c>
      <c r="D1896" s="841" t="s">
        <v>34</v>
      </c>
      <c r="E1896" s="841" t="s">
        <v>25</v>
      </c>
      <c r="F1896" s="841" t="s">
        <v>25</v>
      </c>
      <c r="G1896" s="841">
        <v>11</v>
      </c>
      <c r="H1896" s="1189"/>
      <c r="I1896" s="407" t="s">
        <v>617</v>
      </c>
      <c r="J1896" s="6" t="s">
        <v>3311</v>
      </c>
      <c r="K1896" s="1902">
        <v>36</v>
      </c>
      <c r="L1896" s="1908">
        <f>137463500+150000000+260000000</f>
        <v>547463500</v>
      </c>
      <c r="M1896" s="207">
        <v>0</v>
      </c>
      <c r="N1896" s="1904">
        <v>0</v>
      </c>
      <c r="O1896" s="1902">
        <v>12</v>
      </c>
      <c r="P1896" s="1905">
        <v>137463500</v>
      </c>
      <c r="Q1896" s="1903">
        <v>3</v>
      </c>
      <c r="R1896" s="1904">
        <v>66935000</v>
      </c>
      <c r="S1896" s="1228">
        <v>3</v>
      </c>
      <c r="T1896" s="1906">
        <v>66935000</v>
      </c>
      <c r="U1896" s="795"/>
      <c r="V1896" s="1906"/>
      <c r="W1896" s="795"/>
      <c r="X1896" s="1906"/>
      <c r="Y1896" s="1903">
        <f t="shared" si="544"/>
        <v>6</v>
      </c>
      <c r="Z1896" s="1906">
        <f t="shared" si="545"/>
        <v>133870000</v>
      </c>
      <c r="AA1896" s="1903">
        <f t="shared" si="546"/>
        <v>6</v>
      </c>
      <c r="AB1896" s="1906">
        <f t="shared" si="547"/>
        <v>133870000</v>
      </c>
      <c r="AC1896" s="1907">
        <f t="shared" si="548"/>
        <v>16.666666666666664</v>
      </c>
      <c r="AD1896" s="1907">
        <f t="shared" si="549"/>
        <v>24.452771737293901</v>
      </c>
      <c r="AE1896" s="102" t="s">
        <v>1980</v>
      </c>
      <c r="AF1896" s="201"/>
      <c r="AG1896" s="201"/>
      <c r="AH1896" s="201"/>
      <c r="AI1896" s="201"/>
      <c r="AJ1896" s="201"/>
      <c r="AK1896" s="201"/>
      <c r="AL1896" s="201"/>
      <c r="AM1896" s="201"/>
      <c r="AN1896" s="201"/>
      <c r="AO1896" s="201"/>
      <c r="AP1896" s="201"/>
      <c r="AQ1896" s="201"/>
      <c r="AR1896" s="201"/>
      <c r="AS1896" s="201"/>
      <c r="AT1896" s="201"/>
      <c r="AU1896" s="201"/>
      <c r="AV1896" s="201"/>
      <c r="AW1896" s="201"/>
      <c r="AX1896" s="201"/>
      <c r="AY1896" s="201"/>
      <c r="AZ1896" s="201"/>
      <c r="BA1896" s="201"/>
      <c r="BB1896" s="201"/>
      <c r="BC1896" s="20"/>
      <c r="BD1896" s="20"/>
      <c r="BE1896" s="20"/>
      <c r="BF1896" s="20"/>
      <c r="BG1896" s="20"/>
      <c r="BH1896" s="20"/>
      <c r="BI1896" s="20"/>
      <c r="BJ1896" s="20"/>
      <c r="BK1896" s="20"/>
      <c r="BL1896" s="20"/>
      <c r="BM1896" s="20"/>
      <c r="BN1896" s="20"/>
      <c r="BO1896" s="20"/>
      <c r="BP1896" s="20"/>
      <c r="BQ1896" s="20"/>
      <c r="BR1896" s="20"/>
      <c r="BS1896" s="20"/>
      <c r="BT1896" s="20"/>
      <c r="BU1896" s="20"/>
      <c r="BV1896" s="20"/>
      <c r="BW1896" s="20"/>
      <c r="BX1896" s="20"/>
      <c r="BY1896" s="20"/>
      <c r="BZ1896" s="20"/>
      <c r="CA1896" s="20"/>
      <c r="CB1896" s="20"/>
      <c r="CC1896" s="20"/>
      <c r="CD1896" s="20"/>
      <c r="CE1896" s="20"/>
      <c r="CF1896" s="20"/>
      <c r="CG1896" s="20"/>
      <c r="CH1896" s="20"/>
      <c r="CI1896" s="20"/>
      <c r="CJ1896" s="20"/>
      <c r="CK1896" s="20"/>
      <c r="CL1896" s="20"/>
      <c r="CM1896" s="20"/>
      <c r="CN1896" s="20"/>
      <c r="CO1896" s="20"/>
      <c r="CP1896" s="20"/>
      <c r="CQ1896" s="20"/>
      <c r="CR1896" s="20"/>
      <c r="CS1896" s="20"/>
      <c r="CT1896" s="20"/>
      <c r="CU1896" s="20"/>
      <c r="CV1896" s="20"/>
      <c r="CW1896" s="20"/>
      <c r="CX1896" s="20"/>
      <c r="CY1896" s="20"/>
      <c r="CZ1896" s="20"/>
      <c r="DA1896" s="20"/>
      <c r="DB1896" s="20"/>
      <c r="DC1896" s="20"/>
      <c r="DD1896" s="20"/>
      <c r="DE1896" s="20"/>
      <c r="DF1896" s="20"/>
      <c r="DG1896" s="20"/>
      <c r="DH1896" s="20"/>
      <c r="DI1896" s="20"/>
      <c r="DJ1896" s="20"/>
      <c r="DK1896" s="20"/>
      <c r="DL1896" s="20"/>
      <c r="DM1896" s="20"/>
      <c r="DN1896" s="20"/>
      <c r="DO1896" s="20"/>
      <c r="DP1896" s="20"/>
      <c r="DQ1896" s="20"/>
      <c r="DR1896" s="20"/>
      <c r="DS1896" s="20"/>
      <c r="DT1896" s="20"/>
      <c r="DU1896" s="20"/>
      <c r="DV1896" s="20"/>
      <c r="DW1896" s="20"/>
      <c r="DX1896" s="20"/>
      <c r="DY1896" s="20"/>
      <c r="DZ1896" s="20"/>
      <c r="EA1896" s="20"/>
      <c r="EB1896" s="20"/>
      <c r="EC1896" s="20"/>
      <c r="ED1896" s="20"/>
      <c r="EE1896" s="20"/>
      <c r="EF1896" s="20"/>
      <c r="EG1896" s="20"/>
      <c r="EH1896" s="20"/>
      <c r="EI1896" s="20"/>
      <c r="EJ1896" s="20"/>
      <c r="EK1896" s="20"/>
      <c r="EL1896" s="20"/>
      <c r="EM1896" s="20"/>
      <c r="EN1896" s="20"/>
      <c r="EO1896" s="20"/>
      <c r="EP1896" s="20"/>
      <c r="EQ1896" s="20"/>
      <c r="ER1896" s="20"/>
      <c r="ES1896" s="20"/>
      <c r="ET1896" s="20"/>
      <c r="EU1896" s="20"/>
      <c r="EV1896" s="20"/>
      <c r="EW1896" s="20"/>
      <c r="EX1896" s="20"/>
      <c r="EY1896" s="20"/>
      <c r="EZ1896" s="20"/>
      <c r="FA1896" s="20"/>
      <c r="FB1896" s="20"/>
      <c r="FC1896" s="20"/>
      <c r="FD1896" s="20"/>
      <c r="FE1896" s="20"/>
      <c r="FF1896" s="20"/>
      <c r="FG1896" s="20"/>
      <c r="FH1896" s="20"/>
      <c r="FI1896" s="20"/>
      <c r="FJ1896" s="20"/>
      <c r="FK1896" s="20"/>
      <c r="FL1896" s="20"/>
      <c r="FM1896" s="20"/>
      <c r="FN1896" s="20"/>
      <c r="FO1896" s="20"/>
      <c r="FP1896" s="20"/>
      <c r="FQ1896" s="20"/>
      <c r="FR1896" s="20"/>
      <c r="FS1896" s="20"/>
      <c r="FT1896" s="20"/>
      <c r="FU1896" s="20"/>
      <c r="FV1896" s="20"/>
      <c r="FW1896" s="20"/>
      <c r="FX1896" s="20"/>
      <c r="FY1896" s="20"/>
      <c r="FZ1896" s="20"/>
      <c r="GA1896" s="20"/>
      <c r="GB1896" s="20"/>
      <c r="GC1896" s="20"/>
      <c r="GD1896" s="20"/>
      <c r="GE1896" s="20"/>
      <c r="GF1896" s="20"/>
      <c r="GG1896" s="20"/>
      <c r="GH1896" s="20"/>
      <c r="GI1896" s="20"/>
      <c r="GJ1896" s="20"/>
      <c r="GK1896" s="20"/>
      <c r="GL1896" s="20"/>
      <c r="GM1896" s="20"/>
      <c r="GN1896" s="20"/>
      <c r="GO1896" s="20"/>
      <c r="GP1896" s="20"/>
      <c r="GQ1896" s="20"/>
      <c r="GR1896" s="20"/>
      <c r="GS1896" s="20"/>
      <c r="GT1896" s="20"/>
      <c r="GU1896" s="20"/>
      <c r="GV1896" s="20"/>
      <c r="GW1896" s="20"/>
      <c r="GX1896" s="20"/>
      <c r="GY1896" s="20"/>
      <c r="GZ1896" s="20"/>
      <c r="HA1896" s="20"/>
      <c r="HB1896" s="20"/>
      <c r="HC1896" s="20"/>
      <c r="HD1896" s="20"/>
      <c r="HE1896" s="20"/>
      <c r="HF1896" s="20"/>
      <c r="HG1896" s="20"/>
      <c r="HH1896" s="20"/>
      <c r="HI1896" s="20"/>
      <c r="HJ1896" s="20"/>
      <c r="HK1896" s="20"/>
      <c r="HL1896" s="20"/>
      <c r="HM1896" s="20"/>
      <c r="HN1896" s="20"/>
      <c r="HO1896" s="20"/>
      <c r="HP1896" s="20"/>
      <c r="HQ1896" s="20"/>
      <c r="HR1896" s="20"/>
      <c r="HS1896" s="20"/>
      <c r="HT1896" s="20"/>
      <c r="HU1896" s="20"/>
      <c r="HV1896" s="20"/>
      <c r="HW1896" s="20"/>
      <c r="HX1896" s="20"/>
      <c r="HY1896" s="20"/>
      <c r="HZ1896" s="20"/>
      <c r="IA1896" s="20"/>
      <c r="IB1896" s="20"/>
      <c r="IC1896" s="20"/>
      <c r="ID1896" s="20"/>
      <c r="IE1896" s="20"/>
      <c r="IF1896" s="20"/>
      <c r="IG1896" s="20"/>
      <c r="IH1896" s="20"/>
      <c r="II1896" s="20"/>
      <c r="IJ1896" s="20"/>
      <c r="IK1896" s="20"/>
      <c r="IL1896" s="20"/>
      <c r="IM1896" s="20"/>
      <c r="IN1896" s="20"/>
      <c r="IO1896" s="20"/>
    </row>
    <row r="1897" spans="1:249" s="22" customFormat="1" ht="82.5">
      <c r="A1897" s="794"/>
      <c r="B1897" s="840"/>
      <c r="C1897" s="841">
        <v>4</v>
      </c>
      <c r="D1897" s="841" t="s">
        <v>34</v>
      </c>
      <c r="E1897" s="841" t="s">
        <v>25</v>
      </c>
      <c r="F1897" s="841" t="s">
        <v>25</v>
      </c>
      <c r="G1897" s="841" t="s">
        <v>52</v>
      </c>
      <c r="H1897" s="1189"/>
      <c r="I1897" s="407" t="s">
        <v>2259</v>
      </c>
      <c r="J1897" s="6" t="s">
        <v>3312</v>
      </c>
      <c r="K1897" s="1902">
        <v>72</v>
      </c>
      <c r="L1897" s="1908">
        <v>425800000</v>
      </c>
      <c r="M1897" s="1903">
        <v>36</v>
      </c>
      <c r="N1897" s="1904">
        <f>62968900+34143800+76092000</f>
        <v>173204700</v>
      </c>
      <c r="O1897" s="1902">
        <v>12</v>
      </c>
      <c r="P1897" s="1905">
        <v>71024000</v>
      </c>
      <c r="Q1897" s="1903">
        <v>3</v>
      </c>
      <c r="R1897" s="1904">
        <v>14778000</v>
      </c>
      <c r="S1897" s="1228">
        <v>3</v>
      </c>
      <c r="T1897" s="1906">
        <v>43263000</v>
      </c>
      <c r="U1897" s="795"/>
      <c r="V1897" s="1906"/>
      <c r="W1897" s="795"/>
      <c r="X1897" s="1906"/>
      <c r="Y1897" s="1903">
        <f t="shared" si="544"/>
        <v>6</v>
      </c>
      <c r="Z1897" s="1906">
        <f t="shared" si="545"/>
        <v>58041000</v>
      </c>
      <c r="AA1897" s="1903">
        <f t="shared" si="546"/>
        <v>42</v>
      </c>
      <c r="AB1897" s="1906">
        <f t="shared" si="547"/>
        <v>231245700</v>
      </c>
      <c r="AC1897" s="1907">
        <f t="shared" si="548"/>
        <v>58.333333333333336</v>
      </c>
      <c r="AD1897" s="1907">
        <f t="shared" si="549"/>
        <v>54.308525129168629</v>
      </c>
      <c r="AE1897" s="102" t="s">
        <v>1979</v>
      </c>
      <c r="AF1897" s="201"/>
      <c r="AG1897" s="201"/>
      <c r="AH1897" s="201"/>
      <c r="AI1897" s="201"/>
      <c r="AJ1897" s="201"/>
      <c r="AK1897" s="201"/>
      <c r="AL1897" s="201"/>
      <c r="AM1897" s="201"/>
      <c r="AN1897" s="201"/>
      <c r="AO1897" s="201"/>
      <c r="AP1897" s="201"/>
      <c r="AQ1897" s="201"/>
      <c r="AR1897" s="201"/>
      <c r="AS1897" s="201"/>
      <c r="AT1897" s="201"/>
      <c r="AU1897" s="201"/>
      <c r="AV1897" s="201"/>
      <c r="AW1897" s="201"/>
      <c r="AX1897" s="201"/>
      <c r="AY1897" s="201"/>
      <c r="AZ1897" s="201"/>
      <c r="BA1897" s="201"/>
      <c r="BB1897" s="201"/>
      <c r="BC1897" s="20"/>
      <c r="BD1897" s="20"/>
      <c r="BE1897" s="20"/>
      <c r="BF1897" s="20"/>
      <c r="BG1897" s="20"/>
      <c r="BH1897" s="20"/>
      <c r="BI1897" s="20"/>
      <c r="BJ1897" s="20"/>
      <c r="BK1897" s="20"/>
      <c r="BL1897" s="20"/>
      <c r="BM1897" s="20"/>
      <c r="BN1897" s="20"/>
      <c r="BO1897" s="20"/>
      <c r="BP1897" s="20"/>
      <c r="BQ1897" s="20"/>
      <c r="BR1897" s="20"/>
      <c r="BS1897" s="20"/>
      <c r="BT1897" s="20"/>
      <c r="BU1897" s="20"/>
      <c r="BV1897" s="20"/>
      <c r="BW1897" s="20"/>
      <c r="BX1897" s="20"/>
      <c r="BY1897" s="20"/>
      <c r="BZ1897" s="20"/>
      <c r="CA1897" s="20"/>
      <c r="CB1897" s="20"/>
      <c r="CC1897" s="20"/>
      <c r="CD1897" s="20"/>
      <c r="CE1897" s="20"/>
      <c r="CF1897" s="20"/>
      <c r="CG1897" s="20"/>
      <c r="CH1897" s="20"/>
      <c r="CI1897" s="20"/>
      <c r="CJ1897" s="20"/>
      <c r="CK1897" s="20"/>
      <c r="CL1897" s="20"/>
      <c r="CM1897" s="20"/>
      <c r="CN1897" s="20"/>
      <c r="CO1897" s="20"/>
      <c r="CP1897" s="20"/>
      <c r="CQ1897" s="20"/>
      <c r="CR1897" s="20"/>
      <c r="CS1897" s="20"/>
      <c r="CT1897" s="20"/>
      <c r="CU1897" s="20"/>
      <c r="CV1897" s="20"/>
      <c r="CW1897" s="20"/>
      <c r="CX1897" s="20"/>
      <c r="CY1897" s="20"/>
      <c r="CZ1897" s="20"/>
      <c r="DA1897" s="20"/>
      <c r="DB1897" s="20"/>
      <c r="DC1897" s="20"/>
      <c r="DD1897" s="20"/>
      <c r="DE1897" s="20"/>
      <c r="DF1897" s="20"/>
      <c r="DG1897" s="20"/>
      <c r="DH1897" s="20"/>
      <c r="DI1897" s="20"/>
      <c r="DJ1897" s="20"/>
      <c r="DK1897" s="20"/>
      <c r="DL1897" s="20"/>
      <c r="DM1897" s="20"/>
      <c r="DN1897" s="20"/>
      <c r="DO1897" s="20"/>
      <c r="DP1897" s="20"/>
      <c r="DQ1897" s="20"/>
      <c r="DR1897" s="20"/>
      <c r="DS1897" s="20"/>
      <c r="DT1897" s="20"/>
      <c r="DU1897" s="20"/>
      <c r="DV1897" s="20"/>
      <c r="DW1897" s="20"/>
      <c r="DX1897" s="20"/>
      <c r="DY1897" s="20"/>
      <c r="DZ1897" s="20"/>
      <c r="EA1897" s="20"/>
      <c r="EB1897" s="20"/>
      <c r="EC1897" s="20"/>
      <c r="ED1897" s="20"/>
      <c r="EE1897" s="20"/>
      <c r="EF1897" s="20"/>
      <c r="EG1897" s="20"/>
      <c r="EH1897" s="20"/>
      <c r="EI1897" s="20"/>
      <c r="EJ1897" s="20"/>
      <c r="EK1897" s="20"/>
      <c r="EL1897" s="20"/>
      <c r="EM1897" s="20"/>
      <c r="EN1897" s="20"/>
      <c r="EO1897" s="20"/>
      <c r="EP1897" s="20"/>
      <c r="EQ1897" s="20"/>
      <c r="ER1897" s="20"/>
      <c r="ES1897" s="20"/>
      <c r="ET1897" s="20"/>
      <c r="EU1897" s="20"/>
      <c r="EV1897" s="20"/>
      <c r="EW1897" s="20"/>
      <c r="EX1897" s="20"/>
      <c r="EY1897" s="20"/>
      <c r="EZ1897" s="20"/>
      <c r="FA1897" s="20"/>
      <c r="FB1897" s="20"/>
      <c r="FC1897" s="20"/>
      <c r="FD1897" s="20"/>
      <c r="FE1897" s="20"/>
      <c r="FF1897" s="20"/>
      <c r="FG1897" s="20"/>
      <c r="FH1897" s="20"/>
      <c r="FI1897" s="20"/>
      <c r="FJ1897" s="20"/>
      <c r="FK1897" s="20"/>
      <c r="FL1897" s="20"/>
      <c r="FM1897" s="20"/>
      <c r="FN1897" s="20"/>
      <c r="FO1897" s="20"/>
      <c r="FP1897" s="20"/>
      <c r="FQ1897" s="20"/>
      <c r="FR1897" s="20"/>
      <c r="FS1897" s="20"/>
      <c r="FT1897" s="20"/>
      <c r="FU1897" s="20"/>
      <c r="FV1897" s="20"/>
      <c r="FW1897" s="20"/>
      <c r="FX1897" s="20"/>
      <c r="FY1897" s="20"/>
      <c r="FZ1897" s="20"/>
      <c r="GA1897" s="20"/>
      <c r="GB1897" s="20"/>
      <c r="GC1897" s="20"/>
      <c r="GD1897" s="20"/>
      <c r="GE1897" s="20"/>
      <c r="GF1897" s="20"/>
      <c r="GG1897" s="20"/>
      <c r="GH1897" s="20"/>
      <c r="GI1897" s="20"/>
      <c r="GJ1897" s="20"/>
      <c r="GK1897" s="20"/>
      <c r="GL1897" s="20"/>
      <c r="GM1897" s="20"/>
      <c r="GN1897" s="20"/>
      <c r="GO1897" s="20"/>
      <c r="GP1897" s="20"/>
      <c r="GQ1897" s="20"/>
      <c r="GR1897" s="20"/>
      <c r="GS1897" s="20"/>
      <c r="GT1897" s="20"/>
      <c r="GU1897" s="20"/>
      <c r="GV1897" s="20"/>
      <c r="GW1897" s="20"/>
      <c r="GX1897" s="20"/>
      <c r="GY1897" s="20"/>
      <c r="GZ1897" s="20"/>
      <c r="HA1897" s="20"/>
      <c r="HB1897" s="20"/>
      <c r="HC1897" s="20"/>
      <c r="HD1897" s="20"/>
      <c r="HE1897" s="20"/>
      <c r="HF1897" s="20"/>
      <c r="HG1897" s="20"/>
      <c r="HH1897" s="20"/>
      <c r="HI1897" s="20"/>
      <c r="HJ1897" s="20"/>
      <c r="HK1897" s="20"/>
      <c r="HL1897" s="20"/>
      <c r="HM1897" s="20"/>
      <c r="HN1897" s="20"/>
      <c r="HO1897" s="20"/>
      <c r="HP1897" s="20"/>
      <c r="HQ1897" s="20"/>
      <c r="HR1897" s="20"/>
      <c r="HS1897" s="20"/>
      <c r="HT1897" s="20"/>
      <c r="HU1897" s="20"/>
      <c r="HV1897" s="20"/>
      <c r="HW1897" s="20"/>
      <c r="HX1897" s="20"/>
      <c r="HY1897" s="20"/>
      <c r="HZ1897" s="20"/>
      <c r="IA1897" s="20"/>
      <c r="IB1897" s="20"/>
      <c r="IC1897" s="20"/>
      <c r="ID1897" s="20"/>
      <c r="IE1897" s="20"/>
      <c r="IF1897" s="20"/>
      <c r="IG1897" s="20"/>
      <c r="IH1897" s="20"/>
      <c r="II1897" s="20"/>
      <c r="IJ1897" s="20"/>
      <c r="IK1897" s="20"/>
      <c r="IL1897" s="20"/>
      <c r="IM1897" s="20"/>
      <c r="IN1897" s="20"/>
      <c r="IO1897" s="20"/>
    </row>
    <row r="1898" spans="1:249" s="22" customFormat="1" ht="82.5">
      <c r="A1898" s="794"/>
      <c r="B1898" s="840"/>
      <c r="C1898" s="841">
        <v>4</v>
      </c>
      <c r="D1898" s="841" t="s">
        <v>34</v>
      </c>
      <c r="E1898" s="841" t="s">
        <v>25</v>
      </c>
      <c r="F1898" s="841" t="s">
        <v>25</v>
      </c>
      <c r="G1898" s="841" t="s">
        <v>57</v>
      </c>
      <c r="H1898" s="1189"/>
      <c r="I1898" s="407" t="s">
        <v>33</v>
      </c>
      <c r="J1898" s="6" t="s">
        <v>3313</v>
      </c>
      <c r="K1898" s="1902">
        <v>18</v>
      </c>
      <c r="L1898" s="1908">
        <v>355700000</v>
      </c>
      <c r="M1898" s="1903">
        <v>9</v>
      </c>
      <c r="N1898" s="1904">
        <f>56986500+43705750+59336200</f>
        <v>160028450</v>
      </c>
      <c r="O1898" s="1902">
        <v>3</v>
      </c>
      <c r="P1898" s="1905">
        <v>45319318</v>
      </c>
      <c r="Q1898" s="1903">
        <v>0</v>
      </c>
      <c r="R1898" s="1904">
        <v>6055000</v>
      </c>
      <c r="S1898" s="1228">
        <v>3</v>
      </c>
      <c r="T1898" s="1906">
        <v>27894000</v>
      </c>
      <c r="U1898" s="1228"/>
      <c r="V1898" s="1906"/>
      <c r="W1898" s="795"/>
      <c r="X1898" s="1906"/>
      <c r="Y1898" s="1903">
        <f t="shared" si="544"/>
        <v>3</v>
      </c>
      <c r="Z1898" s="1906">
        <f t="shared" si="545"/>
        <v>33949000</v>
      </c>
      <c r="AA1898" s="1903">
        <f t="shared" si="546"/>
        <v>12</v>
      </c>
      <c r="AB1898" s="1906">
        <f t="shared" si="547"/>
        <v>193977450</v>
      </c>
      <c r="AC1898" s="1907">
        <f t="shared" si="548"/>
        <v>66.666666666666657</v>
      </c>
      <c r="AD1898" s="1907">
        <f t="shared" si="549"/>
        <v>54.53400337362946</v>
      </c>
      <c r="AE1898" s="102" t="s">
        <v>1979</v>
      </c>
      <c r="AF1898" s="201"/>
      <c r="AG1898" s="201"/>
      <c r="AH1898" s="201"/>
      <c r="AI1898" s="201"/>
      <c r="AJ1898" s="201"/>
      <c r="AK1898" s="201"/>
      <c r="AL1898" s="201"/>
      <c r="AM1898" s="201"/>
      <c r="AN1898" s="201"/>
      <c r="AO1898" s="201"/>
      <c r="AP1898" s="201"/>
      <c r="AQ1898" s="201"/>
      <c r="AR1898" s="201"/>
      <c r="AS1898" s="201"/>
      <c r="AT1898" s="201"/>
      <c r="AU1898" s="201"/>
      <c r="AV1898" s="201"/>
      <c r="AW1898" s="201"/>
      <c r="AX1898" s="201"/>
      <c r="AY1898" s="201"/>
      <c r="AZ1898" s="201"/>
      <c r="BA1898" s="201"/>
      <c r="BB1898" s="201"/>
      <c r="BC1898" s="20"/>
      <c r="BD1898" s="20"/>
      <c r="BE1898" s="20"/>
      <c r="BF1898" s="20"/>
      <c r="BG1898" s="20"/>
      <c r="BH1898" s="20"/>
      <c r="BI1898" s="20"/>
      <c r="BJ1898" s="20"/>
      <c r="BK1898" s="20"/>
      <c r="BL1898" s="20"/>
      <c r="BM1898" s="20"/>
      <c r="BN1898" s="20"/>
      <c r="BO1898" s="20"/>
      <c r="BP1898" s="20"/>
      <c r="BQ1898" s="20"/>
      <c r="BR1898" s="20"/>
      <c r="BS1898" s="20"/>
      <c r="BT1898" s="20"/>
      <c r="BU1898" s="20"/>
      <c r="BV1898" s="20"/>
      <c r="BW1898" s="20"/>
      <c r="BX1898" s="20"/>
      <c r="BY1898" s="20"/>
      <c r="BZ1898" s="20"/>
      <c r="CA1898" s="20"/>
      <c r="CB1898" s="20"/>
      <c r="CC1898" s="20"/>
      <c r="CD1898" s="20"/>
      <c r="CE1898" s="20"/>
      <c r="CF1898" s="20"/>
      <c r="CG1898" s="20"/>
      <c r="CH1898" s="20"/>
      <c r="CI1898" s="20"/>
      <c r="CJ1898" s="20"/>
      <c r="CK1898" s="20"/>
      <c r="CL1898" s="20"/>
      <c r="CM1898" s="20"/>
      <c r="CN1898" s="20"/>
      <c r="CO1898" s="20"/>
      <c r="CP1898" s="20"/>
      <c r="CQ1898" s="20"/>
      <c r="CR1898" s="20"/>
      <c r="CS1898" s="20"/>
      <c r="CT1898" s="20"/>
      <c r="CU1898" s="20"/>
      <c r="CV1898" s="20"/>
      <c r="CW1898" s="20"/>
      <c r="CX1898" s="20"/>
      <c r="CY1898" s="20"/>
      <c r="CZ1898" s="20"/>
      <c r="DA1898" s="20"/>
      <c r="DB1898" s="20"/>
      <c r="DC1898" s="20"/>
      <c r="DD1898" s="20"/>
      <c r="DE1898" s="20"/>
      <c r="DF1898" s="20"/>
      <c r="DG1898" s="20"/>
      <c r="DH1898" s="20"/>
      <c r="DI1898" s="20"/>
      <c r="DJ1898" s="20"/>
      <c r="DK1898" s="20"/>
      <c r="DL1898" s="20"/>
      <c r="DM1898" s="20"/>
      <c r="DN1898" s="20"/>
      <c r="DO1898" s="20"/>
      <c r="DP1898" s="20"/>
      <c r="DQ1898" s="20"/>
      <c r="DR1898" s="20"/>
      <c r="DS1898" s="20"/>
      <c r="DT1898" s="20"/>
      <c r="DU1898" s="20"/>
      <c r="DV1898" s="20"/>
      <c r="DW1898" s="20"/>
      <c r="DX1898" s="20"/>
      <c r="DY1898" s="20"/>
      <c r="DZ1898" s="20"/>
      <c r="EA1898" s="20"/>
      <c r="EB1898" s="20"/>
      <c r="EC1898" s="20"/>
      <c r="ED1898" s="20"/>
      <c r="EE1898" s="20"/>
      <c r="EF1898" s="20"/>
      <c r="EG1898" s="20"/>
      <c r="EH1898" s="20"/>
      <c r="EI1898" s="20"/>
      <c r="EJ1898" s="20"/>
      <c r="EK1898" s="20"/>
      <c r="EL1898" s="20"/>
      <c r="EM1898" s="20"/>
      <c r="EN1898" s="20"/>
      <c r="EO1898" s="20"/>
      <c r="EP1898" s="20"/>
      <c r="EQ1898" s="20"/>
      <c r="ER1898" s="20"/>
      <c r="ES1898" s="20"/>
      <c r="ET1898" s="20"/>
      <c r="EU1898" s="20"/>
      <c r="EV1898" s="20"/>
      <c r="EW1898" s="20"/>
      <c r="EX1898" s="20"/>
      <c r="EY1898" s="20"/>
      <c r="EZ1898" s="20"/>
      <c r="FA1898" s="20"/>
      <c r="FB1898" s="20"/>
      <c r="FC1898" s="20"/>
      <c r="FD1898" s="20"/>
      <c r="FE1898" s="20"/>
      <c r="FF1898" s="20"/>
      <c r="FG1898" s="20"/>
      <c r="FH1898" s="20"/>
      <c r="FI1898" s="20"/>
      <c r="FJ1898" s="20"/>
      <c r="FK1898" s="20"/>
      <c r="FL1898" s="20"/>
      <c r="FM1898" s="20"/>
      <c r="FN1898" s="20"/>
      <c r="FO1898" s="20"/>
      <c r="FP1898" s="20"/>
      <c r="FQ1898" s="20"/>
      <c r="FR1898" s="20"/>
      <c r="FS1898" s="20"/>
      <c r="FT1898" s="20"/>
      <c r="FU1898" s="20"/>
      <c r="FV1898" s="20"/>
      <c r="FW1898" s="20"/>
      <c r="FX1898" s="20"/>
      <c r="FY1898" s="20"/>
      <c r="FZ1898" s="20"/>
      <c r="GA1898" s="20"/>
      <c r="GB1898" s="20"/>
      <c r="GC1898" s="20"/>
      <c r="GD1898" s="20"/>
      <c r="GE1898" s="20"/>
      <c r="GF1898" s="20"/>
      <c r="GG1898" s="20"/>
      <c r="GH1898" s="20"/>
      <c r="GI1898" s="20"/>
      <c r="GJ1898" s="20"/>
      <c r="GK1898" s="20"/>
      <c r="GL1898" s="20"/>
      <c r="GM1898" s="20"/>
      <c r="GN1898" s="20"/>
      <c r="GO1898" s="20"/>
      <c r="GP1898" s="20"/>
      <c r="GQ1898" s="20"/>
      <c r="GR1898" s="20"/>
      <c r="GS1898" s="20"/>
      <c r="GT1898" s="20"/>
      <c r="GU1898" s="20"/>
      <c r="GV1898" s="20"/>
      <c r="GW1898" s="20"/>
      <c r="GX1898" s="20"/>
      <c r="GY1898" s="20"/>
      <c r="GZ1898" s="20"/>
      <c r="HA1898" s="20"/>
      <c r="HB1898" s="20"/>
      <c r="HC1898" s="20"/>
      <c r="HD1898" s="20"/>
      <c r="HE1898" s="20"/>
      <c r="HF1898" s="20"/>
      <c r="HG1898" s="20"/>
      <c r="HH1898" s="20"/>
      <c r="HI1898" s="20"/>
      <c r="HJ1898" s="20"/>
      <c r="HK1898" s="20"/>
      <c r="HL1898" s="20"/>
      <c r="HM1898" s="20"/>
      <c r="HN1898" s="20"/>
      <c r="HO1898" s="20"/>
      <c r="HP1898" s="20"/>
      <c r="HQ1898" s="20"/>
      <c r="HR1898" s="20"/>
      <c r="HS1898" s="20"/>
      <c r="HT1898" s="20"/>
      <c r="HU1898" s="20"/>
      <c r="HV1898" s="20"/>
      <c r="HW1898" s="20"/>
      <c r="HX1898" s="20"/>
      <c r="HY1898" s="20"/>
      <c r="HZ1898" s="20"/>
      <c r="IA1898" s="20"/>
      <c r="IB1898" s="20"/>
      <c r="IC1898" s="20"/>
      <c r="ID1898" s="20"/>
      <c r="IE1898" s="20"/>
      <c r="IF1898" s="20"/>
      <c r="IG1898" s="20"/>
      <c r="IH1898" s="20"/>
      <c r="II1898" s="20"/>
      <c r="IJ1898" s="20"/>
      <c r="IK1898" s="20"/>
      <c r="IL1898" s="20"/>
      <c r="IM1898" s="20"/>
      <c r="IN1898" s="20"/>
      <c r="IO1898" s="20"/>
    </row>
    <row r="1899" spans="1:249" s="22" customFormat="1" ht="66">
      <c r="A1899" s="794"/>
      <c r="B1899" s="840"/>
      <c r="C1899" s="841">
        <v>4</v>
      </c>
      <c r="D1899" s="841" t="s">
        <v>34</v>
      </c>
      <c r="E1899" s="841" t="s">
        <v>25</v>
      </c>
      <c r="F1899" s="841" t="s">
        <v>25</v>
      </c>
      <c r="G1899" s="841" t="s">
        <v>74</v>
      </c>
      <c r="H1899" s="1189"/>
      <c r="I1899" s="407" t="s">
        <v>620</v>
      </c>
      <c r="J1899" s="6" t="s">
        <v>3314</v>
      </c>
      <c r="K1899" s="1902">
        <f>12*6</f>
        <v>72</v>
      </c>
      <c r="L1899" s="1908">
        <v>10172548440</v>
      </c>
      <c r="M1899" s="1903">
        <v>36</v>
      </c>
      <c r="N1899" s="1904">
        <f>2300031394+567872366+2339173550</f>
        <v>5207077310</v>
      </c>
      <c r="O1899" s="1902">
        <v>12</v>
      </c>
      <c r="P1899" s="1905">
        <v>1753900000</v>
      </c>
      <c r="Q1899" s="1903">
        <v>3</v>
      </c>
      <c r="R1899" s="1904">
        <v>551565540</v>
      </c>
      <c r="S1899" s="1228">
        <v>3</v>
      </c>
      <c r="T1899" s="1906">
        <v>1438004440</v>
      </c>
      <c r="U1899" s="795"/>
      <c r="V1899" s="1906"/>
      <c r="W1899" s="795"/>
      <c r="X1899" s="1906"/>
      <c r="Y1899" s="1903">
        <f t="shared" si="544"/>
        <v>6</v>
      </c>
      <c r="Z1899" s="1906">
        <f t="shared" si="545"/>
        <v>1989569980</v>
      </c>
      <c r="AA1899" s="1903">
        <f t="shared" si="546"/>
        <v>42</v>
      </c>
      <c r="AB1899" s="1906">
        <f t="shared" si="547"/>
        <v>7196647290</v>
      </c>
      <c r="AC1899" s="1907">
        <f t="shared" si="548"/>
        <v>58.333333333333336</v>
      </c>
      <c r="AD1899" s="1907">
        <f t="shared" si="549"/>
        <v>70.745765748351658</v>
      </c>
      <c r="AE1899" s="102" t="s">
        <v>1979</v>
      </c>
      <c r="AF1899" s="201"/>
      <c r="AG1899" s="201"/>
      <c r="AH1899" s="201"/>
      <c r="AI1899" s="201"/>
      <c r="AJ1899" s="201"/>
      <c r="AK1899" s="201"/>
      <c r="AL1899" s="201"/>
      <c r="AM1899" s="201"/>
      <c r="AN1899" s="201"/>
      <c r="AO1899" s="201"/>
      <c r="AP1899" s="201"/>
      <c r="AQ1899" s="201"/>
      <c r="AR1899" s="201"/>
      <c r="AS1899" s="201"/>
      <c r="AT1899" s="201"/>
      <c r="AU1899" s="201"/>
      <c r="AV1899" s="201"/>
      <c r="AW1899" s="201"/>
      <c r="AX1899" s="201"/>
      <c r="AY1899" s="201"/>
      <c r="AZ1899" s="201"/>
      <c r="BA1899" s="201"/>
      <c r="BB1899" s="201"/>
      <c r="BC1899" s="20"/>
      <c r="BD1899" s="20"/>
      <c r="BE1899" s="20"/>
      <c r="BF1899" s="20"/>
      <c r="BG1899" s="20"/>
      <c r="BH1899" s="20"/>
      <c r="BI1899" s="20"/>
      <c r="BJ1899" s="20"/>
      <c r="BK1899" s="20"/>
      <c r="BL1899" s="20"/>
      <c r="BM1899" s="20"/>
      <c r="BN1899" s="20"/>
      <c r="BO1899" s="20"/>
      <c r="BP1899" s="20"/>
      <c r="BQ1899" s="20"/>
      <c r="BR1899" s="20"/>
      <c r="BS1899" s="20"/>
      <c r="BT1899" s="20"/>
      <c r="BU1899" s="20"/>
      <c r="BV1899" s="20"/>
      <c r="BW1899" s="20"/>
      <c r="BX1899" s="20"/>
      <c r="BY1899" s="20"/>
      <c r="BZ1899" s="20"/>
      <c r="CA1899" s="20"/>
      <c r="CB1899" s="20"/>
      <c r="CC1899" s="20"/>
      <c r="CD1899" s="20"/>
      <c r="CE1899" s="20"/>
      <c r="CF1899" s="20"/>
      <c r="CG1899" s="20"/>
      <c r="CH1899" s="20"/>
      <c r="CI1899" s="20"/>
      <c r="CJ1899" s="20"/>
      <c r="CK1899" s="20"/>
      <c r="CL1899" s="20"/>
      <c r="CM1899" s="20"/>
      <c r="CN1899" s="20"/>
      <c r="CO1899" s="20"/>
      <c r="CP1899" s="20"/>
      <c r="CQ1899" s="20"/>
      <c r="CR1899" s="20"/>
      <c r="CS1899" s="20"/>
      <c r="CT1899" s="20"/>
      <c r="CU1899" s="20"/>
      <c r="CV1899" s="20"/>
      <c r="CW1899" s="20"/>
      <c r="CX1899" s="20"/>
      <c r="CY1899" s="20"/>
      <c r="CZ1899" s="20"/>
      <c r="DA1899" s="20"/>
      <c r="DB1899" s="20"/>
      <c r="DC1899" s="20"/>
      <c r="DD1899" s="20"/>
      <c r="DE1899" s="20"/>
      <c r="DF1899" s="20"/>
      <c r="DG1899" s="20"/>
      <c r="DH1899" s="20"/>
      <c r="DI1899" s="20"/>
      <c r="DJ1899" s="20"/>
      <c r="DK1899" s="20"/>
      <c r="DL1899" s="20"/>
      <c r="DM1899" s="20"/>
      <c r="DN1899" s="20"/>
      <c r="DO1899" s="20"/>
      <c r="DP1899" s="20"/>
      <c r="DQ1899" s="20"/>
      <c r="DR1899" s="20"/>
      <c r="DS1899" s="20"/>
      <c r="DT1899" s="20"/>
      <c r="DU1899" s="20"/>
      <c r="DV1899" s="20"/>
      <c r="DW1899" s="20"/>
      <c r="DX1899" s="20"/>
      <c r="DY1899" s="20"/>
      <c r="DZ1899" s="20"/>
      <c r="EA1899" s="20"/>
      <c r="EB1899" s="20"/>
      <c r="EC1899" s="20"/>
      <c r="ED1899" s="20"/>
      <c r="EE1899" s="20"/>
      <c r="EF1899" s="20"/>
      <c r="EG1899" s="20"/>
      <c r="EH1899" s="20"/>
      <c r="EI1899" s="20"/>
      <c r="EJ1899" s="20"/>
      <c r="EK1899" s="20"/>
      <c r="EL1899" s="20"/>
      <c r="EM1899" s="20"/>
      <c r="EN1899" s="20"/>
      <c r="EO1899" s="20"/>
      <c r="EP1899" s="20"/>
      <c r="EQ1899" s="20"/>
      <c r="ER1899" s="20"/>
      <c r="ES1899" s="20"/>
      <c r="ET1899" s="20"/>
      <c r="EU1899" s="20"/>
      <c r="EV1899" s="20"/>
      <c r="EW1899" s="20"/>
      <c r="EX1899" s="20"/>
      <c r="EY1899" s="20"/>
      <c r="EZ1899" s="20"/>
      <c r="FA1899" s="20"/>
      <c r="FB1899" s="20"/>
      <c r="FC1899" s="20"/>
      <c r="FD1899" s="20"/>
      <c r="FE1899" s="20"/>
      <c r="FF1899" s="20"/>
      <c r="FG1899" s="20"/>
      <c r="FH1899" s="20"/>
      <c r="FI1899" s="20"/>
      <c r="FJ1899" s="20"/>
      <c r="FK1899" s="20"/>
      <c r="FL1899" s="20"/>
      <c r="FM1899" s="20"/>
      <c r="FN1899" s="20"/>
      <c r="FO1899" s="20"/>
      <c r="FP1899" s="20"/>
      <c r="FQ1899" s="20"/>
      <c r="FR1899" s="20"/>
      <c r="FS1899" s="20"/>
      <c r="FT1899" s="20"/>
      <c r="FU1899" s="20"/>
      <c r="FV1899" s="20"/>
      <c r="FW1899" s="20"/>
      <c r="FX1899" s="20"/>
      <c r="FY1899" s="20"/>
      <c r="FZ1899" s="20"/>
      <c r="GA1899" s="20"/>
      <c r="GB1899" s="20"/>
      <c r="GC1899" s="20"/>
      <c r="GD1899" s="20"/>
      <c r="GE1899" s="20"/>
      <c r="GF1899" s="20"/>
      <c r="GG1899" s="20"/>
      <c r="GH1899" s="20"/>
      <c r="GI1899" s="20"/>
      <c r="GJ1899" s="20"/>
      <c r="GK1899" s="20"/>
      <c r="GL1899" s="20"/>
      <c r="GM1899" s="20"/>
      <c r="GN1899" s="20"/>
      <c r="GO1899" s="20"/>
      <c r="GP1899" s="20"/>
      <c r="GQ1899" s="20"/>
      <c r="GR1899" s="20"/>
      <c r="GS1899" s="20"/>
      <c r="GT1899" s="20"/>
      <c r="GU1899" s="20"/>
      <c r="GV1899" s="20"/>
      <c r="GW1899" s="20"/>
      <c r="GX1899" s="20"/>
      <c r="GY1899" s="20"/>
      <c r="GZ1899" s="20"/>
      <c r="HA1899" s="20"/>
      <c r="HB1899" s="20"/>
      <c r="HC1899" s="20"/>
      <c r="HD1899" s="20"/>
      <c r="HE1899" s="20"/>
      <c r="HF1899" s="20"/>
      <c r="HG1899" s="20"/>
      <c r="HH1899" s="20"/>
      <c r="HI1899" s="20"/>
      <c r="HJ1899" s="20"/>
      <c r="HK1899" s="20"/>
      <c r="HL1899" s="20"/>
      <c r="HM1899" s="20"/>
      <c r="HN1899" s="20"/>
      <c r="HO1899" s="20"/>
      <c r="HP1899" s="20"/>
      <c r="HQ1899" s="20"/>
      <c r="HR1899" s="20"/>
      <c r="HS1899" s="20"/>
      <c r="HT1899" s="20"/>
      <c r="HU1899" s="20"/>
      <c r="HV1899" s="20"/>
      <c r="HW1899" s="20"/>
      <c r="HX1899" s="20"/>
      <c r="HY1899" s="20"/>
      <c r="HZ1899" s="20"/>
      <c r="IA1899" s="20"/>
      <c r="IB1899" s="20"/>
      <c r="IC1899" s="20"/>
      <c r="ID1899" s="20"/>
      <c r="IE1899" s="20"/>
      <c r="IF1899" s="20"/>
      <c r="IG1899" s="20"/>
      <c r="IH1899" s="20"/>
      <c r="II1899" s="20"/>
      <c r="IJ1899" s="20"/>
      <c r="IK1899" s="20"/>
      <c r="IL1899" s="20"/>
      <c r="IM1899" s="20"/>
      <c r="IN1899" s="20"/>
      <c r="IO1899" s="20"/>
    </row>
    <row r="1900" spans="1:249" s="22" customFormat="1" ht="82.5">
      <c r="A1900" s="794"/>
      <c r="B1900" s="840"/>
      <c r="C1900" s="841">
        <v>4</v>
      </c>
      <c r="D1900" s="841" t="s">
        <v>34</v>
      </c>
      <c r="E1900" s="841" t="s">
        <v>25</v>
      </c>
      <c r="F1900" s="841" t="s">
        <v>25</v>
      </c>
      <c r="G1900" s="841" t="s">
        <v>44</v>
      </c>
      <c r="H1900" s="1189"/>
      <c r="I1900" s="407" t="s">
        <v>621</v>
      </c>
      <c r="J1900" s="6" t="s">
        <v>2260</v>
      </c>
      <c r="K1900" s="1902">
        <f>12*6</f>
        <v>72</v>
      </c>
      <c r="L1900" s="1908">
        <v>3850000000</v>
      </c>
      <c r="M1900" s="1903">
        <v>36</v>
      </c>
      <c r="N1900" s="1904">
        <f>680649474+505627301+213762600</f>
        <v>1400039375</v>
      </c>
      <c r="O1900" s="1902">
        <v>12</v>
      </c>
      <c r="P1900" s="1905">
        <v>403025000</v>
      </c>
      <c r="Q1900" s="1903">
        <v>3</v>
      </c>
      <c r="R1900" s="1904">
        <v>38921750</v>
      </c>
      <c r="S1900" s="1228">
        <v>3</v>
      </c>
      <c r="T1900" s="1906">
        <v>103947450</v>
      </c>
      <c r="U1900" s="795"/>
      <c r="V1900" s="1906"/>
      <c r="W1900" s="795"/>
      <c r="X1900" s="1906"/>
      <c r="Y1900" s="1903">
        <f t="shared" si="544"/>
        <v>6</v>
      </c>
      <c r="Z1900" s="1906">
        <f t="shared" si="545"/>
        <v>142869200</v>
      </c>
      <c r="AA1900" s="1903">
        <f t="shared" si="546"/>
        <v>42</v>
      </c>
      <c r="AB1900" s="1906">
        <f t="shared" si="547"/>
        <v>1542908575</v>
      </c>
      <c r="AC1900" s="1907">
        <f t="shared" si="548"/>
        <v>58.333333333333336</v>
      </c>
      <c r="AD1900" s="1907">
        <f t="shared" si="549"/>
        <v>40.075547402597401</v>
      </c>
      <c r="AE1900" s="102" t="s">
        <v>1980</v>
      </c>
      <c r="AF1900" s="201"/>
      <c r="AG1900" s="201"/>
      <c r="AH1900" s="201"/>
      <c r="AI1900" s="201"/>
      <c r="AJ1900" s="201"/>
      <c r="AK1900" s="201"/>
      <c r="AL1900" s="201"/>
      <c r="AM1900" s="201"/>
      <c r="AN1900" s="201"/>
      <c r="AO1900" s="201"/>
      <c r="AP1900" s="201"/>
      <c r="AQ1900" s="201"/>
      <c r="AR1900" s="201"/>
      <c r="AS1900" s="201"/>
      <c r="AT1900" s="201"/>
      <c r="AU1900" s="201"/>
      <c r="AV1900" s="201"/>
      <c r="AW1900" s="201"/>
      <c r="AX1900" s="201"/>
      <c r="AY1900" s="201"/>
      <c r="AZ1900" s="201"/>
      <c r="BA1900" s="201"/>
      <c r="BB1900" s="201"/>
      <c r="BC1900" s="20"/>
      <c r="BD1900" s="20"/>
      <c r="BE1900" s="20"/>
      <c r="BF1900" s="20"/>
      <c r="BG1900" s="20"/>
      <c r="BH1900" s="20"/>
      <c r="BI1900" s="20"/>
      <c r="BJ1900" s="20"/>
      <c r="BK1900" s="20"/>
      <c r="BL1900" s="20"/>
      <c r="BM1900" s="20"/>
      <c r="BN1900" s="20"/>
      <c r="BO1900" s="20"/>
      <c r="BP1900" s="20"/>
      <c r="BQ1900" s="20"/>
      <c r="BR1900" s="20"/>
      <c r="BS1900" s="20"/>
      <c r="BT1900" s="20"/>
      <c r="BU1900" s="20"/>
      <c r="BV1900" s="20"/>
      <c r="BW1900" s="20"/>
      <c r="BX1900" s="20"/>
      <c r="BY1900" s="20"/>
      <c r="BZ1900" s="20"/>
      <c r="CA1900" s="20"/>
      <c r="CB1900" s="20"/>
      <c r="CC1900" s="20"/>
      <c r="CD1900" s="20"/>
      <c r="CE1900" s="20"/>
      <c r="CF1900" s="20"/>
      <c r="CG1900" s="20"/>
      <c r="CH1900" s="20"/>
      <c r="CI1900" s="20"/>
      <c r="CJ1900" s="20"/>
      <c r="CK1900" s="20"/>
      <c r="CL1900" s="20"/>
      <c r="CM1900" s="20"/>
      <c r="CN1900" s="20"/>
      <c r="CO1900" s="20"/>
      <c r="CP1900" s="20"/>
      <c r="CQ1900" s="20"/>
      <c r="CR1900" s="20"/>
      <c r="CS1900" s="20"/>
      <c r="CT1900" s="20"/>
      <c r="CU1900" s="20"/>
      <c r="CV1900" s="20"/>
      <c r="CW1900" s="20"/>
      <c r="CX1900" s="20"/>
      <c r="CY1900" s="20"/>
      <c r="CZ1900" s="20"/>
      <c r="DA1900" s="20"/>
      <c r="DB1900" s="20"/>
      <c r="DC1900" s="20"/>
      <c r="DD1900" s="20"/>
      <c r="DE1900" s="20"/>
      <c r="DF1900" s="20"/>
      <c r="DG1900" s="20"/>
      <c r="DH1900" s="20"/>
      <c r="DI1900" s="20"/>
      <c r="DJ1900" s="20"/>
      <c r="DK1900" s="20"/>
      <c r="DL1900" s="20"/>
      <c r="DM1900" s="20"/>
      <c r="DN1900" s="20"/>
      <c r="DO1900" s="20"/>
      <c r="DP1900" s="20"/>
      <c r="DQ1900" s="20"/>
      <c r="DR1900" s="20"/>
      <c r="DS1900" s="20"/>
      <c r="DT1900" s="20"/>
      <c r="DU1900" s="20"/>
      <c r="DV1900" s="20"/>
      <c r="DW1900" s="20"/>
      <c r="DX1900" s="20"/>
      <c r="DY1900" s="20"/>
      <c r="DZ1900" s="20"/>
      <c r="EA1900" s="20"/>
      <c r="EB1900" s="20"/>
      <c r="EC1900" s="20"/>
      <c r="ED1900" s="20"/>
      <c r="EE1900" s="20"/>
      <c r="EF1900" s="20"/>
      <c r="EG1900" s="20"/>
      <c r="EH1900" s="20"/>
      <c r="EI1900" s="20"/>
      <c r="EJ1900" s="20"/>
      <c r="EK1900" s="20"/>
      <c r="EL1900" s="20"/>
      <c r="EM1900" s="20"/>
      <c r="EN1900" s="20"/>
      <c r="EO1900" s="20"/>
      <c r="EP1900" s="20"/>
      <c r="EQ1900" s="20"/>
      <c r="ER1900" s="20"/>
      <c r="ES1900" s="20"/>
      <c r="ET1900" s="20"/>
      <c r="EU1900" s="20"/>
      <c r="EV1900" s="20"/>
      <c r="EW1900" s="20"/>
      <c r="EX1900" s="20"/>
      <c r="EY1900" s="20"/>
      <c r="EZ1900" s="20"/>
      <c r="FA1900" s="20"/>
      <c r="FB1900" s="20"/>
      <c r="FC1900" s="20"/>
      <c r="FD1900" s="20"/>
      <c r="FE1900" s="20"/>
      <c r="FF1900" s="20"/>
      <c r="FG1900" s="20"/>
      <c r="FH1900" s="20"/>
      <c r="FI1900" s="20"/>
      <c r="FJ1900" s="20"/>
      <c r="FK1900" s="20"/>
      <c r="FL1900" s="20"/>
      <c r="FM1900" s="20"/>
      <c r="FN1900" s="20"/>
      <c r="FO1900" s="20"/>
      <c r="FP1900" s="20"/>
      <c r="FQ1900" s="20"/>
      <c r="FR1900" s="20"/>
      <c r="FS1900" s="20"/>
      <c r="FT1900" s="20"/>
      <c r="FU1900" s="20"/>
      <c r="FV1900" s="20"/>
      <c r="FW1900" s="20"/>
      <c r="FX1900" s="20"/>
      <c r="FY1900" s="20"/>
      <c r="FZ1900" s="20"/>
      <c r="GA1900" s="20"/>
      <c r="GB1900" s="20"/>
      <c r="GC1900" s="20"/>
      <c r="GD1900" s="20"/>
      <c r="GE1900" s="20"/>
      <c r="GF1900" s="20"/>
      <c r="GG1900" s="20"/>
      <c r="GH1900" s="20"/>
      <c r="GI1900" s="20"/>
      <c r="GJ1900" s="20"/>
      <c r="GK1900" s="20"/>
      <c r="GL1900" s="20"/>
      <c r="GM1900" s="20"/>
      <c r="GN1900" s="20"/>
      <c r="GO1900" s="20"/>
      <c r="GP1900" s="20"/>
      <c r="GQ1900" s="20"/>
      <c r="GR1900" s="20"/>
      <c r="GS1900" s="20"/>
      <c r="GT1900" s="20"/>
      <c r="GU1900" s="20"/>
      <c r="GV1900" s="20"/>
      <c r="GW1900" s="20"/>
      <c r="GX1900" s="20"/>
      <c r="GY1900" s="20"/>
      <c r="GZ1900" s="20"/>
      <c r="HA1900" s="20"/>
      <c r="HB1900" s="20"/>
      <c r="HC1900" s="20"/>
      <c r="HD1900" s="20"/>
      <c r="HE1900" s="20"/>
      <c r="HF1900" s="20"/>
      <c r="HG1900" s="20"/>
      <c r="HH1900" s="20"/>
      <c r="HI1900" s="20"/>
      <c r="HJ1900" s="20"/>
      <c r="HK1900" s="20"/>
      <c r="HL1900" s="20"/>
      <c r="HM1900" s="20"/>
      <c r="HN1900" s="20"/>
      <c r="HO1900" s="20"/>
      <c r="HP1900" s="20"/>
      <c r="HQ1900" s="20"/>
      <c r="HR1900" s="20"/>
      <c r="HS1900" s="20"/>
      <c r="HT1900" s="20"/>
      <c r="HU1900" s="20"/>
      <c r="HV1900" s="20"/>
      <c r="HW1900" s="20"/>
      <c r="HX1900" s="20"/>
      <c r="HY1900" s="20"/>
      <c r="HZ1900" s="20"/>
      <c r="IA1900" s="20"/>
      <c r="IB1900" s="20"/>
      <c r="IC1900" s="20"/>
      <c r="ID1900" s="20"/>
      <c r="IE1900" s="20"/>
      <c r="IF1900" s="20"/>
      <c r="IG1900" s="20"/>
      <c r="IH1900" s="20"/>
      <c r="II1900" s="20"/>
      <c r="IJ1900" s="20"/>
      <c r="IK1900" s="20"/>
      <c r="IL1900" s="20"/>
      <c r="IM1900" s="20"/>
      <c r="IN1900" s="20"/>
      <c r="IO1900" s="20"/>
    </row>
    <row r="1901" spans="1:249" s="22" customFormat="1" ht="82.5">
      <c r="A1901" s="794"/>
      <c r="B1901" s="840"/>
      <c r="C1901" s="841">
        <v>4</v>
      </c>
      <c r="D1901" s="841" t="s">
        <v>34</v>
      </c>
      <c r="E1901" s="841" t="s">
        <v>25</v>
      </c>
      <c r="F1901" s="841" t="s">
        <v>25</v>
      </c>
      <c r="G1901" s="841">
        <v>19</v>
      </c>
      <c r="H1901" s="1189"/>
      <c r="I1901" s="407" t="s">
        <v>81</v>
      </c>
      <c r="J1901" s="6" t="s">
        <v>2261</v>
      </c>
      <c r="K1901" s="1902">
        <f>12*6</f>
        <v>72</v>
      </c>
      <c r="L1901" s="1908">
        <v>550000000</v>
      </c>
      <c r="M1901" s="1903">
        <v>36</v>
      </c>
      <c r="N1901" s="1904">
        <f>75275250+63109500+98381000</f>
        <v>236765750</v>
      </c>
      <c r="O1901" s="1902">
        <v>12</v>
      </c>
      <c r="P1901" s="1905">
        <v>74600000</v>
      </c>
      <c r="Q1901" s="1903">
        <v>3</v>
      </c>
      <c r="R1901" s="1904">
        <v>27175000</v>
      </c>
      <c r="S1901" s="1228">
        <v>3</v>
      </c>
      <c r="T1901" s="1906">
        <v>61875000</v>
      </c>
      <c r="U1901" s="795"/>
      <c r="V1901" s="1906"/>
      <c r="W1901" s="795"/>
      <c r="X1901" s="1906"/>
      <c r="Y1901" s="1903">
        <f t="shared" si="544"/>
        <v>6</v>
      </c>
      <c r="Z1901" s="1906">
        <f t="shared" si="545"/>
        <v>89050000</v>
      </c>
      <c r="AA1901" s="1903">
        <f t="shared" si="546"/>
        <v>42</v>
      </c>
      <c r="AB1901" s="1906">
        <f t="shared" si="547"/>
        <v>325815750</v>
      </c>
      <c r="AC1901" s="1907">
        <f t="shared" si="548"/>
        <v>58.333333333333336</v>
      </c>
      <c r="AD1901" s="1907">
        <f t="shared" si="549"/>
        <v>59.23922727272727</v>
      </c>
      <c r="AE1901" s="102" t="s">
        <v>1979</v>
      </c>
      <c r="AF1901" s="201"/>
      <c r="AG1901" s="201"/>
      <c r="AH1901" s="201"/>
      <c r="AI1901" s="201"/>
      <c r="AJ1901" s="201"/>
      <c r="AK1901" s="201"/>
      <c r="AL1901" s="201"/>
      <c r="AM1901" s="201"/>
      <c r="AN1901" s="201"/>
      <c r="AO1901" s="201"/>
      <c r="AP1901" s="201"/>
      <c r="AQ1901" s="201"/>
      <c r="AR1901" s="201"/>
      <c r="AS1901" s="201"/>
      <c r="AT1901" s="201"/>
      <c r="AU1901" s="201"/>
      <c r="AV1901" s="201"/>
      <c r="AW1901" s="201"/>
      <c r="AX1901" s="201"/>
      <c r="AY1901" s="201"/>
      <c r="AZ1901" s="201"/>
      <c r="BA1901" s="201"/>
      <c r="BB1901" s="201"/>
      <c r="BC1901" s="20"/>
      <c r="BD1901" s="20"/>
      <c r="BE1901" s="20"/>
      <c r="BF1901" s="20"/>
      <c r="BG1901" s="20"/>
      <c r="BH1901" s="20"/>
      <c r="BI1901" s="20"/>
      <c r="BJ1901" s="20"/>
      <c r="BK1901" s="20"/>
      <c r="BL1901" s="20"/>
      <c r="BM1901" s="20"/>
      <c r="BN1901" s="20"/>
      <c r="BO1901" s="20"/>
      <c r="BP1901" s="20"/>
      <c r="BQ1901" s="20"/>
      <c r="BR1901" s="20"/>
      <c r="BS1901" s="20"/>
      <c r="BT1901" s="20"/>
      <c r="BU1901" s="20"/>
      <c r="BV1901" s="20"/>
      <c r="BW1901" s="20"/>
      <c r="BX1901" s="20"/>
      <c r="BY1901" s="20"/>
      <c r="BZ1901" s="20"/>
      <c r="CA1901" s="20"/>
      <c r="CB1901" s="20"/>
      <c r="CC1901" s="20"/>
      <c r="CD1901" s="20"/>
      <c r="CE1901" s="20"/>
      <c r="CF1901" s="20"/>
      <c r="CG1901" s="20"/>
      <c r="CH1901" s="20"/>
      <c r="CI1901" s="20"/>
      <c r="CJ1901" s="20"/>
      <c r="CK1901" s="20"/>
      <c r="CL1901" s="20"/>
      <c r="CM1901" s="20"/>
      <c r="CN1901" s="20"/>
      <c r="CO1901" s="20"/>
      <c r="CP1901" s="20"/>
      <c r="CQ1901" s="20"/>
      <c r="CR1901" s="20"/>
      <c r="CS1901" s="20"/>
      <c r="CT1901" s="20"/>
      <c r="CU1901" s="20"/>
      <c r="CV1901" s="20"/>
      <c r="CW1901" s="20"/>
      <c r="CX1901" s="20"/>
      <c r="CY1901" s="20"/>
      <c r="CZ1901" s="20"/>
      <c r="DA1901" s="20"/>
      <c r="DB1901" s="20"/>
      <c r="DC1901" s="20"/>
      <c r="DD1901" s="20"/>
      <c r="DE1901" s="20"/>
      <c r="DF1901" s="20"/>
      <c r="DG1901" s="20"/>
      <c r="DH1901" s="20"/>
      <c r="DI1901" s="20"/>
      <c r="DJ1901" s="20"/>
      <c r="DK1901" s="20"/>
      <c r="DL1901" s="20"/>
      <c r="DM1901" s="20"/>
      <c r="DN1901" s="20"/>
      <c r="DO1901" s="20"/>
      <c r="DP1901" s="20"/>
      <c r="DQ1901" s="20"/>
      <c r="DR1901" s="20"/>
      <c r="DS1901" s="20"/>
      <c r="DT1901" s="20"/>
      <c r="DU1901" s="20"/>
      <c r="DV1901" s="20"/>
      <c r="DW1901" s="20"/>
      <c r="DX1901" s="20"/>
      <c r="DY1901" s="20"/>
      <c r="DZ1901" s="20"/>
      <c r="EA1901" s="20"/>
      <c r="EB1901" s="20"/>
      <c r="EC1901" s="20"/>
      <c r="ED1901" s="20"/>
      <c r="EE1901" s="20"/>
      <c r="EF1901" s="20"/>
      <c r="EG1901" s="20"/>
      <c r="EH1901" s="20"/>
      <c r="EI1901" s="20"/>
      <c r="EJ1901" s="20"/>
      <c r="EK1901" s="20"/>
      <c r="EL1901" s="20"/>
      <c r="EM1901" s="20"/>
      <c r="EN1901" s="20"/>
      <c r="EO1901" s="20"/>
      <c r="EP1901" s="20"/>
      <c r="EQ1901" s="20"/>
      <c r="ER1901" s="20"/>
      <c r="ES1901" s="20"/>
      <c r="ET1901" s="20"/>
      <c r="EU1901" s="20"/>
      <c r="EV1901" s="20"/>
      <c r="EW1901" s="20"/>
      <c r="EX1901" s="20"/>
      <c r="EY1901" s="20"/>
      <c r="EZ1901" s="20"/>
      <c r="FA1901" s="20"/>
      <c r="FB1901" s="20"/>
      <c r="FC1901" s="20"/>
      <c r="FD1901" s="20"/>
      <c r="FE1901" s="20"/>
      <c r="FF1901" s="20"/>
      <c r="FG1901" s="20"/>
      <c r="FH1901" s="20"/>
      <c r="FI1901" s="20"/>
      <c r="FJ1901" s="20"/>
      <c r="FK1901" s="20"/>
      <c r="FL1901" s="20"/>
      <c r="FM1901" s="20"/>
      <c r="FN1901" s="20"/>
      <c r="FO1901" s="20"/>
      <c r="FP1901" s="20"/>
      <c r="FQ1901" s="20"/>
      <c r="FR1901" s="20"/>
      <c r="FS1901" s="20"/>
      <c r="FT1901" s="20"/>
      <c r="FU1901" s="20"/>
      <c r="FV1901" s="20"/>
      <c r="FW1901" s="20"/>
      <c r="FX1901" s="20"/>
      <c r="FY1901" s="20"/>
      <c r="FZ1901" s="20"/>
      <c r="GA1901" s="20"/>
      <c r="GB1901" s="20"/>
      <c r="GC1901" s="20"/>
      <c r="GD1901" s="20"/>
      <c r="GE1901" s="20"/>
      <c r="GF1901" s="20"/>
      <c r="GG1901" s="20"/>
      <c r="GH1901" s="20"/>
      <c r="GI1901" s="20"/>
      <c r="GJ1901" s="20"/>
      <c r="GK1901" s="20"/>
      <c r="GL1901" s="20"/>
      <c r="GM1901" s="20"/>
      <c r="GN1901" s="20"/>
      <c r="GO1901" s="20"/>
      <c r="GP1901" s="20"/>
      <c r="GQ1901" s="20"/>
      <c r="GR1901" s="20"/>
      <c r="GS1901" s="20"/>
      <c r="GT1901" s="20"/>
      <c r="GU1901" s="20"/>
      <c r="GV1901" s="20"/>
      <c r="GW1901" s="20"/>
      <c r="GX1901" s="20"/>
      <c r="GY1901" s="20"/>
      <c r="GZ1901" s="20"/>
      <c r="HA1901" s="20"/>
      <c r="HB1901" s="20"/>
      <c r="HC1901" s="20"/>
      <c r="HD1901" s="20"/>
      <c r="HE1901" s="20"/>
      <c r="HF1901" s="20"/>
      <c r="HG1901" s="20"/>
      <c r="HH1901" s="20"/>
      <c r="HI1901" s="20"/>
      <c r="HJ1901" s="20"/>
      <c r="HK1901" s="20"/>
      <c r="HL1901" s="20"/>
      <c r="HM1901" s="20"/>
      <c r="HN1901" s="20"/>
      <c r="HO1901" s="20"/>
      <c r="HP1901" s="20"/>
      <c r="HQ1901" s="20"/>
      <c r="HR1901" s="20"/>
      <c r="HS1901" s="20"/>
      <c r="HT1901" s="20"/>
      <c r="HU1901" s="20"/>
      <c r="HV1901" s="20"/>
      <c r="HW1901" s="20"/>
      <c r="HX1901" s="20"/>
      <c r="HY1901" s="20"/>
      <c r="HZ1901" s="20"/>
      <c r="IA1901" s="20"/>
      <c r="IB1901" s="20"/>
      <c r="IC1901" s="20"/>
      <c r="ID1901" s="20"/>
      <c r="IE1901" s="20"/>
      <c r="IF1901" s="20"/>
      <c r="IG1901" s="20"/>
      <c r="IH1901" s="20"/>
      <c r="II1901" s="20"/>
      <c r="IJ1901" s="20"/>
      <c r="IK1901" s="20"/>
      <c r="IL1901" s="20"/>
      <c r="IM1901" s="20"/>
      <c r="IN1901" s="20"/>
      <c r="IO1901" s="20"/>
    </row>
    <row r="1902" spans="1:249" s="22" customFormat="1" ht="33">
      <c r="A1902" s="794"/>
      <c r="B1902" s="840"/>
      <c r="C1902" s="841">
        <v>4</v>
      </c>
      <c r="D1902" s="841" t="s">
        <v>34</v>
      </c>
      <c r="E1902" s="841" t="s">
        <v>25</v>
      </c>
      <c r="F1902" s="841" t="s">
        <v>25</v>
      </c>
      <c r="G1902" s="841">
        <v>24</v>
      </c>
      <c r="H1902" s="1189"/>
      <c r="I1902" s="6" t="s">
        <v>2262</v>
      </c>
      <c r="J1902" s="6" t="s">
        <v>3315</v>
      </c>
      <c r="K1902" s="1902">
        <v>72</v>
      </c>
      <c r="L1902" s="1212">
        <v>960000000</v>
      </c>
      <c r="M1902" s="1903">
        <v>36</v>
      </c>
      <c r="N1902" s="1904">
        <f>174885200+181153522</f>
        <v>356038722</v>
      </c>
      <c r="O1902" s="1902">
        <v>12</v>
      </c>
      <c r="P1902" s="1905">
        <v>186050000</v>
      </c>
      <c r="Q1902" s="1903">
        <v>3</v>
      </c>
      <c r="R1902" s="1904">
        <v>27500000</v>
      </c>
      <c r="S1902" s="1228">
        <v>3</v>
      </c>
      <c r="T1902" s="1906">
        <v>96250000</v>
      </c>
      <c r="U1902" s="795"/>
      <c r="V1902" s="1906"/>
      <c r="W1902" s="795"/>
      <c r="X1902" s="1906"/>
      <c r="Y1902" s="1903">
        <v>13</v>
      </c>
      <c r="Z1902" s="1906">
        <f t="shared" si="545"/>
        <v>123750000</v>
      </c>
      <c r="AA1902" s="1903">
        <f t="shared" si="546"/>
        <v>49</v>
      </c>
      <c r="AB1902" s="1906">
        <f t="shared" si="547"/>
        <v>479788722</v>
      </c>
      <c r="AC1902" s="1907">
        <f t="shared" si="548"/>
        <v>68.055555555555557</v>
      </c>
      <c r="AD1902" s="1907">
        <f t="shared" si="549"/>
        <v>49.977991875000001</v>
      </c>
      <c r="AE1902" s="102" t="s">
        <v>1980</v>
      </c>
      <c r="AF1902" s="201"/>
      <c r="AG1902" s="201"/>
      <c r="AH1902" s="201"/>
      <c r="AI1902" s="201"/>
      <c r="AJ1902" s="201"/>
      <c r="AK1902" s="201"/>
      <c r="AL1902" s="201"/>
      <c r="AM1902" s="201"/>
      <c r="AN1902" s="201"/>
      <c r="AO1902" s="201"/>
      <c r="AP1902" s="201"/>
      <c r="AQ1902" s="201"/>
      <c r="AR1902" s="201"/>
      <c r="AS1902" s="201"/>
      <c r="AT1902" s="201"/>
      <c r="AU1902" s="201"/>
      <c r="AV1902" s="201"/>
      <c r="AW1902" s="201"/>
      <c r="AX1902" s="201"/>
      <c r="AY1902" s="201"/>
      <c r="AZ1902" s="201"/>
      <c r="BA1902" s="201"/>
      <c r="BB1902" s="201"/>
      <c r="BC1902" s="20"/>
      <c r="BD1902" s="20"/>
      <c r="BE1902" s="20"/>
      <c r="BF1902" s="20"/>
      <c r="BG1902" s="20"/>
      <c r="BH1902" s="20"/>
      <c r="BI1902" s="20"/>
      <c r="BJ1902" s="20"/>
      <c r="BK1902" s="20"/>
      <c r="BL1902" s="20"/>
      <c r="BM1902" s="20"/>
      <c r="BN1902" s="20"/>
      <c r="BO1902" s="20"/>
      <c r="BP1902" s="20"/>
      <c r="BQ1902" s="20"/>
      <c r="BR1902" s="20"/>
      <c r="BS1902" s="20"/>
      <c r="BT1902" s="20"/>
      <c r="BU1902" s="20"/>
      <c r="BV1902" s="20"/>
      <c r="BW1902" s="20"/>
      <c r="BX1902" s="20"/>
      <c r="BY1902" s="20"/>
      <c r="BZ1902" s="20"/>
      <c r="CA1902" s="20"/>
      <c r="CB1902" s="20"/>
      <c r="CC1902" s="20"/>
      <c r="CD1902" s="20"/>
      <c r="CE1902" s="20"/>
      <c r="CF1902" s="20"/>
      <c r="CG1902" s="20"/>
      <c r="CH1902" s="20"/>
      <c r="CI1902" s="20"/>
      <c r="CJ1902" s="20"/>
      <c r="CK1902" s="20"/>
      <c r="CL1902" s="20"/>
      <c r="CM1902" s="20"/>
      <c r="CN1902" s="20"/>
      <c r="CO1902" s="20"/>
      <c r="CP1902" s="20"/>
      <c r="CQ1902" s="20"/>
      <c r="CR1902" s="20"/>
      <c r="CS1902" s="20"/>
      <c r="CT1902" s="20"/>
      <c r="CU1902" s="20"/>
      <c r="CV1902" s="20"/>
      <c r="CW1902" s="20"/>
      <c r="CX1902" s="20"/>
      <c r="CY1902" s="20"/>
      <c r="CZ1902" s="20"/>
      <c r="DA1902" s="20"/>
      <c r="DB1902" s="20"/>
      <c r="DC1902" s="20"/>
      <c r="DD1902" s="20"/>
      <c r="DE1902" s="20"/>
      <c r="DF1902" s="20"/>
      <c r="DG1902" s="20"/>
      <c r="DH1902" s="20"/>
      <c r="DI1902" s="20"/>
      <c r="DJ1902" s="20"/>
      <c r="DK1902" s="20"/>
      <c r="DL1902" s="20"/>
      <c r="DM1902" s="20"/>
      <c r="DN1902" s="20"/>
      <c r="DO1902" s="20"/>
      <c r="DP1902" s="20"/>
      <c r="DQ1902" s="20"/>
      <c r="DR1902" s="20"/>
      <c r="DS1902" s="20"/>
      <c r="DT1902" s="20"/>
      <c r="DU1902" s="20"/>
      <c r="DV1902" s="20"/>
      <c r="DW1902" s="20"/>
      <c r="DX1902" s="20"/>
      <c r="DY1902" s="20"/>
      <c r="DZ1902" s="20"/>
      <c r="EA1902" s="20"/>
      <c r="EB1902" s="20"/>
      <c r="EC1902" s="20"/>
      <c r="ED1902" s="20"/>
      <c r="EE1902" s="20"/>
      <c r="EF1902" s="20"/>
      <c r="EG1902" s="20"/>
      <c r="EH1902" s="20"/>
      <c r="EI1902" s="20"/>
      <c r="EJ1902" s="20"/>
      <c r="EK1902" s="20"/>
      <c r="EL1902" s="20"/>
      <c r="EM1902" s="20"/>
      <c r="EN1902" s="20"/>
      <c r="EO1902" s="20"/>
      <c r="EP1902" s="20"/>
      <c r="EQ1902" s="20"/>
      <c r="ER1902" s="20"/>
      <c r="ES1902" s="20"/>
      <c r="ET1902" s="20"/>
      <c r="EU1902" s="20"/>
      <c r="EV1902" s="20"/>
      <c r="EW1902" s="20"/>
      <c r="EX1902" s="20"/>
      <c r="EY1902" s="20"/>
      <c r="EZ1902" s="20"/>
      <c r="FA1902" s="20"/>
      <c r="FB1902" s="20"/>
      <c r="FC1902" s="20"/>
      <c r="FD1902" s="20"/>
      <c r="FE1902" s="20"/>
      <c r="FF1902" s="20"/>
      <c r="FG1902" s="20"/>
      <c r="FH1902" s="20"/>
      <c r="FI1902" s="20"/>
      <c r="FJ1902" s="20"/>
      <c r="FK1902" s="20"/>
      <c r="FL1902" s="20"/>
      <c r="FM1902" s="20"/>
      <c r="FN1902" s="20"/>
      <c r="FO1902" s="20"/>
      <c r="FP1902" s="20"/>
      <c r="FQ1902" s="20"/>
      <c r="FR1902" s="20"/>
      <c r="FS1902" s="20"/>
      <c r="FT1902" s="20"/>
      <c r="FU1902" s="20"/>
      <c r="FV1902" s="20"/>
      <c r="FW1902" s="20"/>
      <c r="FX1902" s="20"/>
      <c r="FY1902" s="20"/>
      <c r="FZ1902" s="20"/>
      <c r="GA1902" s="20"/>
      <c r="GB1902" s="20"/>
      <c r="GC1902" s="20"/>
      <c r="GD1902" s="20"/>
      <c r="GE1902" s="20"/>
      <c r="GF1902" s="20"/>
      <c r="GG1902" s="20"/>
      <c r="GH1902" s="20"/>
      <c r="GI1902" s="20"/>
      <c r="GJ1902" s="20"/>
      <c r="GK1902" s="20"/>
      <c r="GL1902" s="20"/>
      <c r="GM1902" s="20"/>
      <c r="GN1902" s="20"/>
      <c r="GO1902" s="20"/>
      <c r="GP1902" s="20"/>
      <c r="GQ1902" s="20"/>
      <c r="GR1902" s="20"/>
      <c r="GS1902" s="20"/>
      <c r="GT1902" s="20"/>
      <c r="GU1902" s="20"/>
      <c r="GV1902" s="20"/>
      <c r="GW1902" s="20"/>
      <c r="GX1902" s="20"/>
      <c r="GY1902" s="20"/>
      <c r="GZ1902" s="20"/>
      <c r="HA1902" s="20"/>
      <c r="HB1902" s="20"/>
      <c r="HC1902" s="20"/>
      <c r="HD1902" s="20"/>
      <c r="HE1902" s="20"/>
      <c r="HF1902" s="20"/>
      <c r="HG1902" s="20"/>
      <c r="HH1902" s="20"/>
      <c r="HI1902" s="20"/>
      <c r="HJ1902" s="20"/>
      <c r="HK1902" s="20"/>
      <c r="HL1902" s="20"/>
      <c r="HM1902" s="20"/>
      <c r="HN1902" s="20"/>
      <c r="HO1902" s="20"/>
      <c r="HP1902" s="20"/>
      <c r="HQ1902" s="20"/>
      <c r="HR1902" s="20"/>
      <c r="HS1902" s="20"/>
      <c r="HT1902" s="20"/>
      <c r="HU1902" s="20"/>
      <c r="HV1902" s="20"/>
      <c r="HW1902" s="20"/>
      <c r="HX1902" s="20"/>
      <c r="HY1902" s="20"/>
      <c r="HZ1902" s="20"/>
      <c r="IA1902" s="20"/>
      <c r="IB1902" s="20"/>
      <c r="IC1902" s="20"/>
      <c r="ID1902" s="20"/>
      <c r="IE1902" s="20"/>
      <c r="IF1902" s="20"/>
      <c r="IG1902" s="20"/>
      <c r="IH1902" s="20"/>
      <c r="II1902" s="20"/>
      <c r="IJ1902" s="20"/>
      <c r="IK1902" s="20"/>
      <c r="IL1902" s="20"/>
      <c r="IM1902" s="20"/>
      <c r="IN1902" s="20"/>
      <c r="IO1902" s="20"/>
    </row>
    <row r="1903" spans="1:249" s="22" customFormat="1" ht="82.5">
      <c r="A1903" s="794"/>
      <c r="B1903" s="840"/>
      <c r="C1903" s="841">
        <v>4</v>
      </c>
      <c r="D1903" s="841" t="s">
        <v>34</v>
      </c>
      <c r="E1903" s="841" t="s">
        <v>25</v>
      </c>
      <c r="F1903" s="841" t="s">
        <v>25</v>
      </c>
      <c r="G1903" s="841">
        <v>25</v>
      </c>
      <c r="H1903" s="1189"/>
      <c r="I1903" s="6" t="s">
        <v>3316</v>
      </c>
      <c r="J1903" s="6" t="s">
        <v>3317</v>
      </c>
      <c r="K1903" s="1902">
        <f>12*6</f>
        <v>72</v>
      </c>
      <c r="L1903" s="1908">
        <v>600000000</v>
      </c>
      <c r="M1903" s="1903">
        <f>24+12</f>
        <v>36</v>
      </c>
      <c r="N1903" s="1904">
        <f>95998500+67814100+85000000</f>
        <v>248812600</v>
      </c>
      <c r="O1903" s="1902">
        <v>12</v>
      </c>
      <c r="P1903" s="1904">
        <v>78936000</v>
      </c>
      <c r="Q1903" s="1903">
        <v>3</v>
      </c>
      <c r="R1903" s="1904">
        <v>16687000</v>
      </c>
      <c r="S1903" s="795">
        <v>3</v>
      </c>
      <c r="T1903" s="207">
        <v>67082000</v>
      </c>
      <c r="U1903" s="795"/>
      <c r="V1903" s="1906"/>
      <c r="W1903" s="795"/>
      <c r="X1903" s="1906"/>
      <c r="Y1903" s="1903">
        <f t="shared" ref="Y1903:Y1928" si="550">Q1903+S1903+U1903+W1903</f>
        <v>6</v>
      </c>
      <c r="Z1903" s="1906">
        <f t="shared" si="545"/>
        <v>83769000</v>
      </c>
      <c r="AA1903" s="1903">
        <f t="shared" si="546"/>
        <v>42</v>
      </c>
      <c r="AB1903" s="1906">
        <f t="shared" si="547"/>
        <v>332581600</v>
      </c>
      <c r="AC1903" s="1907">
        <f t="shared" si="548"/>
        <v>58.333333333333336</v>
      </c>
      <c r="AD1903" s="1907">
        <f t="shared" si="549"/>
        <v>55.430266666666675</v>
      </c>
      <c r="AE1903" s="102" t="s">
        <v>1979</v>
      </c>
      <c r="AF1903" s="201"/>
      <c r="AG1903" s="201"/>
      <c r="AH1903" s="201"/>
      <c r="AI1903" s="201"/>
      <c r="AJ1903" s="201"/>
      <c r="AK1903" s="201"/>
      <c r="AL1903" s="201"/>
      <c r="AM1903" s="201"/>
      <c r="AN1903" s="201"/>
      <c r="AO1903" s="201"/>
      <c r="AP1903" s="201"/>
      <c r="AQ1903" s="201"/>
      <c r="AR1903" s="201"/>
      <c r="AS1903" s="201"/>
      <c r="AT1903" s="201"/>
      <c r="AU1903" s="201"/>
      <c r="AV1903" s="201"/>
      <c r="AW1903" s="201"/>
      <c r="AX1903" s="201"/>
      <c r="AY1903" s="201"/>
      <c r="AZ1903" s="201"/>
      <c r="BA1903" s="201"/>
      <c r="BB1903" s="201"/>
      <c r="BC1903" s="20"/>
      <c r="BD1903" s="20"/>
      <c r="BE1903" s="20"/>
      <c r="BF1903" s="20"/>
      <c r="BG1903" s="20"/>
      <c r="BH1903" s="20"/>
      <c r="BI1903" s="20"/>
      <c r="BJ1903" s="20"/>
      <c r="BK1903" s="20"/>
      <c r="BL1903" s="20"/>
      <c r="BM1903" s="20"/>
      <c r="BN1903" s="20"/>
      <c r="BO1903" s="20"/>
      <c r="BP1903" s="20"/>
      <c r="BQ1903" s="20"/>
      <c r="BR1903" s="20"/>
      <c r="BS1903" s="20"/>
      <c r="BT1903" s="20"/>
      <c r="BU1903" s="20"/>
      <c r="BV1903" s="20"/>
      <c r="BW1903" s="20"/>
      <c r="BX1903" s="20"/>
      <c r="BY1903" s="20"/>
      <c r="BZ1903" s="20"/>
      <c r="CA1903" s="20"/>
      <c r="CB1903" s="20"/>
      <c r="CC1903" s="20"/>
      <c r="CD1903" s="20"/>
      <c r="CE1903" s="20"/>
      <c r="CF1903" s="20"/>
      <c r="CG1903" s="20"/>
      <c r="CH1903" s="20"/>
      <c r="CI1903" s="20"/>
      <c r="CJ1903" s="20"/>
      <c r="CK1903" s="20"/>
      <c r="CL1903" s="20"/>
      <c r="CM1903" s="20"/>
      <c r="CN1903" s="20"/>
      <c r="CO1903" s="20"/>
      <c r="CP1903" s="20"/>
      <c r="CQ1903" s="20"/>
      <c r="CR1903" s="20"/>
      <c r="CS1903" s="20"/>
      <c r="CT1903" s="20"/>
      <c r="CU1903" s="20"/>
      <c r="CV1903" s="20"/>
      <c r="CW1903" s="20"/>
      <c r="CX1903" s="20"/>
      <c r="CY1903" s="20"/>
      <c r="CZ1903" s="20"/>
      <c r="DA1903" s="20"/>
      <c r="DB1903" s="20"/>
      <c r="DC1903" s="20"/>
      <c r="DD1903" s="20"/>
      <c r="DE1903" s="20"/>
      <c r="DF1903" s="20"/>
      <c r="DG1903" s="20"/>
      <c r="DH1903" s="20"/>
      <c r="DI1903" s="20"/>
      <c r="DJ1903" s="20"/>
      <c r="DK1903" s="20"/>
      <c r="DL1903" s="20"/>
      <c r="DM1903" s="20"/>
      <c r="DN1903" s="20"/>
      <c r="DO1903" s="20"/>
      <c r="DP1903" s="20"/>
      <c r="DQ1903" s="20"/>
      <c r="DR1903" s="20"/>
      <c r="DS1903" s="20"/>
      <c r="DT1903" s="20"/>
      <c r="DU1903" s="20"/>
      <c r="DV1903" s="20"/>
      <c r="DW1903" s="20"/>
      <c r="DX1903" s="20"/>
      <c r="DY1903" s="20"/>
      <c r="DZ1903" s="20"/>
      <c r="EA1903" s="20"/>
      <c r="EB1903" s="20"/>
      <c r="EC1903" s="20"/>
      <c r="ED1903" s="20"/>
      <c r="EE1903" s="20"/>
      <c r="EF1903" s="20"/>
      <c r="EG1903" s="20"/>
      <c r="EH1903" s="20"/>
      <c r="EI1903" s="20"/>
      <c r="EJ1903" s="20"/>
      <c r="EK1903" s="20"/>
      <c r="EL1903" s="20"/>
      <c r="EM1903" s="20"/>
      <c r="EN1903" s="20"/>
      <c r="EO1903" s="20"/>
      <c r="EP1903" s="20"/>
      <c r="EQ1903" s="20"/>
      <c r="ER1903" s="20"/>
      <c r="ES1903" s="20"/>
      <c r="ET1903" s="20"/>
      <c r="EU1903" s="20"/>
      <c r="EV1903" s="20"/>
      <c r="EW1903" s="20"/>
      <c r="EX1903" s="20"/>
      <c r="EY1903" s="20"/>
      <c r="EZ1903" s="20"/>
      <c r="FA1903" s="20"/>
      <c r="FB1903" s="20"/>
      <c r="FC1903" s="20"/>
      <c r="FD1903" s="20"/>
      <c r="FE1903" s="20"/>
      <c r="FF1903" s="20"/>
      <c r="FG1903" s="20"/>
      <c r="FH1903" s="20"/>
      <c r="FI1903" s="20"/>
      <c r="FJ1903" s="20"/>
      <c r="FK1903" s="20"/>
      <c r="FL1903" s="20"/>
      <c r="FM1903" s="20"/>
      <c r="FN1903" s="20"/>
      <c r="FO1903" s="20"/>
      <c r="FP1903" s="20"/>
      <c r="FQ1903" s="20"/>
      <c r="FR1903" s="20"/>
      <c r="FS1903" s="20"/>
      <c r="FT1903" s="20"/>
      <c r="FU1903" s="20"/>
      <c r="FV1903" s="20"/>
      <c r="FW1903" s="20"/>
      <c r="FX1903" s="20"/>
      <c r="FY1903" s="20"/>
      <c r="FZ1903" s="20"/>
      <c r="GA1903" s="20"/>
      <c r="GB1903" s="20"/>
      <c r="GC1903" s="20"/>
      <c r="GD1903" s="20"/>
      <c r="GE1903" s="20"/>
      <c r="GF1903" s="20"/>
      <c r="GG1903" s="20"/>
      <c r="GH1903" s="20"/>
      <c r="GI1903" s="20"/>
      <c r="GJ1903" s="20"/>
      <c r="GK1903" s="20"/>
      <c r="GL1903" s="20"/>
      <c r="GM1903" s="20"/>
      <c r="GN1903" s="20"/>
      <c r="GO1903" s="20"/>
      <c r="GP1903" s="20"/>
      <c r="GQ1903" s="20"/>
      <c r="GR1903" s="20"/>
      <c r="GS1903" s="20"/>
      <c r="GT1903" s="20"/>
      <c r="GU1903" s="20"/>
      <c r="GV1903" s="20"/>
      <c r="GW1903" s="20"/>
      <c r="GX1903" s="20"/>
      <c r="GY1903" s="20"/>
      <c r="GZ1903" s="20"/>
      <c r="HA1903" s="20"/>
      <c r="HB1903" s="20"/>
      <c r="HC1903" s="20"/>
      <c r="HD1903" s="20"/>
      <c r="HE1903" s="20"/>
      <c r="HF1903" s="20"/>
      <c r="HG1903" s="20"/>
      <c r="HH1903" s="20"/>
      <c r="HI1903" s="20"/>
      <c r="HJ1903" s="20"/>
      <c r="HK1903" s="20"/>
      <c r="HL1903" s="20"/>
      <c r="HM1903" s="20"/>
      <c r="HN1903" s="20"/>
      <c r="HO1903" s="20"/>
      <c r="HP1903" s="20"/>
      <c r="HQ1903" s="20"/>
      <c r="HR1903" s="20"/>
      <c r="HS1903" s="20"/>
      <c r="HT1903" s="20"/>
      <c r="HU1903" s="20"/>
      <c r="HV1903" s="20"/>
      <c r="HW1903" s="20"/>
      <c r="HX1903" s="20"/>
      <c r="HY1903" s="20"/>
      <c r="HZ1903" s="20"/>
      <c r="IA1903" s="20"/>
      <c r="IB1903" s="20"/>
      <c r="IC1903" s="20"/>
      <c r="ID1903" s="20"/>
      <c r="IE1903" s="20"/>
      <c r="IF1903" s="20"/>
      <c r="IG1903" s="20"/>
      <c r="IH1903" s="20"/>
      <c r="II1903" s="20"/>
      <c r="IJ1903" s="20"/>
      <c r="IK1903" s="20"/>
      <c r="IL1903" s="20"/>
      <c r="IM1903" s="20"/>
      <c r="IN1903" s="20"/>
      <c r="IO1903" s="20"/>
    </row>
    <row r="1904" spans="1:249" s="22" customFormat="1" ht="49.5">
      <c r="A1904" s="794"/>
      <c r="B1904" s="840"/>
      <c r="C1904" s="841">
        <v>4</v>
      </c>
      <c r="D1904" s="841" t="s">
        <v>34</v>
      </c>
      <c r="E1904" s="841" t="s">
        <v>25</v>
      </c>
      <c r="F1904" s="841" t="s">
        <v>25</v>
      </c>
      <c r="G1904" s="841">
        <v>28</v>
      </c>
      <c r="H1904" s="841"/>
      <c r="I1904" s="6" t="s">
        <v>621</v>
      </c>
      <c r="J1904" s="6" t="s">
        <v>3318</v>
      </c>
      <c r="K1904" s="1902">
        <v>72</v>
      </c>
      <c r="L1904" s="1908">
        <v>11500000000</v>
      </c>
      <c r="M1904" s="1903">
        <f>24+12</f>
        <v>36</v>
      </c>
      <c r="N1904" s="1904">
        <f>1616906826+1520028662+1247600000</f>
        <v>4384535488</v>
      </c>
      <c r="O1904" s="1902">
        <v>12</v>
      </c>
      <c r="P1904" s="1904">
        <v>1059200000</v>
      </c>
      <c r="Q1904" s="1903">
        <v>3</v>
      </c>
      <c r="R1904" s="1904">
        <v>320406900</v>
      </c>
      <c r="S1904" s="795">
        <v>3</v>
      </c>
      <c r="T1904" s="207">
        <v>587191800</v>
      </c>
      <c r="U1904" s="795"/>
      <c r="V1904" s="1906"/>
      <c r="W1904" s="795"/>
      <c r="X1904" s="1906"/>
      <c r="Y1904" s="1903">
        <f t="shared" si="550"/>
        <v>6</v>
      </c>
      <c r="Z1904" s="1906">
        <f t="shared" si="545"/>
        <v>907598700</v>
      </c>
      <c r="AA1904" s="1903">
        <f t="shared" si="546"/>
        <v>42</v>
      </c>
      <c r="AB1904" s="1906">
        <f t="shared" si="547"/>
        <v>5292134188</v>
      </c>
      <c r="AC1904" s="1907">
        <f t="shared" si="548"/>
        <v>58.333333333333336</v>
      </c>
      <c r="AD1904" s="1907">
        <f t="shared" si="549"/>
        <v>46.018558156521735</v>
      </c>
      <c r="AE1904" s="102" t="s">
        <v>1979</v>
      </c>
      <c r="AF1904" s="201"/>
      <c r="AG1904" s="201"/>
      <c r="AH1904" s="201"/>
      <c r="AI1904" s="201"/>
      <c r="AJ1904" s="201"/>
      <c r="AK1904" s="201"/>
      <c r="AL1904" s="201"/>
      <c r="AM1904" s="201"/>
      <c r="AN1904" s="201"/>
      <c r="AO1904" s="201"/>
      <c r="AP1904" s="201"/>
      <c r="AQ1904" s="201"/>
      <c r="AR1904" s="201"/>
      <c r="AS1904" s="201"/>
      <c r="AT1904" s="201"/>
      <c r="AU1904" s="201"/>
      <c r="AV1904" s="201"/>
      <c r="AW1904" s="201"/>
      <c r="AX1904" s="201"/>
      <c r="AY1904" s="201"/>
      <c r="AZ1904" s="201"/>
      <c r="BA1904" s="201"/>
      <c r="BB1904" s="201"/>
      <c r="BC1904" s="20"/>
      <c r="BD1904" s="20"/>
      <c r="BE1904" s="20"/>
      <c r="BF1904" s="20"/>
      <c r="BG1904" s="20"/>
      <c r="BH1904" s="20"/>
      <c r="BI1904" s="20"/>
      <c r="BJ1904" s="20"/>
      <c r="BK1904" s="20"/>
      <c r="BL1904" s="20"/>
      <c r="BM1904" s="20"/>
      <c r="BN1904" s="20"/>
      <c r="BO1904" s="20"/>
      <c r="BP1904" s="20"/>
      <c r="BQ1904" s="20"/>
      <c r="BR1904" s="20"/>
      <c r="BS1904" s="20"/>
      <c r="BT1904" s="20"/>
      <c r="BU1904" s="20"/>
      <c r="BV1904" s="20"/>
      <c r="BW1904" s="20"/>
      <c r="BX1904" s="20"/>
      <c r="BY1904" s="20"/>
      <c r="BZ1904" s="20"/>
      <c r="CA1904" s="20"/>
      <c r="CB1904" s="20"/>
      <c r="CC1904" s="20"/>
      <c r="CD1904" s="20"/>
      <c r="CE1904" s="20"/>
      <c r="CF1904" s="20"/>
      <c r="CG1904" s="20"/>
      <c r="CH1904" s="20"/>
      <c r="CI1904" s="20"/>
      <c r="CJ1904" s="20"/>
      <c r="CK1904" s="20"/>
      <c r="CL1904" s="20"/>
      <c r="CM1904" s="20"/>
      <c r="CN1904" s="20"/>
      <c r="CO1904" s="20"/>
      <c r="CP1904" s="20"/>
      <c r="CQ1904" s="20"/>
      <c r="CR1904" s="20"/>
      <c r="CS1904" s="20"/>
      <c r="CT1904" s="20"/>
      <c r="CU1904" s="20"/>
      <c r="CV1904" s="20"/>
      <c r="CW1904" s="20"/>
      <c r="CX1904" s="20"/>
      <c r="CY1904" s="20"/>
      <c r="CZ1904" s="20"/>
      <c r="DA1904" s="20"/>
      <c r="DB1904" s="20"/>
      <c r="DC1904" s="20"/>
      <c r="DD1904" s="20"/>
      <c r="DE1904" s="20"/>
      <c r="DF1904" s="20"/>
      <c r="DG1904" s="20"/>
      <c r="DH1904" s="20"/>
      <c r="DI1904" s="20"/>
      <c r="DJ1904" s="20"/>
      <c r="DK1904" s="20"/>
      <c r="DL1904" s="20"/>
      <c r="DM1904" s="20"/>
      <c r="DN1904" s="20"/>
      <c r="DO1904" s="20"/>
      <c r="DP1904" s="20"/>
      <c r="DQ1904" s="20"/>
      <c r="DR1904" s="20"/>
      <c r="DS1904" s="20"/>
      <c r="DT1904" s="20"/>
      <c r="DU1904" s="20"/>
      <c r="DV1904" s="20"/>
      <c r="DW1904" s="20"/>
      <c r="DX1904" s="20"/>
      <c r="DY1904" s="20"/>
      <c r="DZ1904" s="20"/>
      <c r="EA1904" s="20"/>
      <c r="EB1904" s="20"/>
      <c r="EC1904" s="20"/>
      <c r="ED1904" s="20"/>
      <c r="EE1904" s="20"/>
      <c r="EF1904" s="20"/>
      <c r="EG1904" s="20"/>
      <c r="EH1904" s="20"/>
      <c r="EI1904" s="20"/>
      <c r="EJ1904" s="20"/>
      <c r="EK1904" s="20"/>
      <c r="EL1904" s="20"/>
      <c r="EM1904" s="20"/>
      <c r="EN1904" s="20"/>
      <c r="EO1904" s="20"/>
      <c r="EP1904" s="20"/>
      <c r="EQ1904" s="20"/>
      <c r="ER1904" s="20"/>
      <c r="ES1904" s="20"/>
      <c r="ET1904" s="20"/>
      <c r="EU1904" s="20"/>
      <c r="EV1904" s="20"/>
      <c r="EW1904" s="20"/>
      <c r="EX1904" s="20"/>
      <c r="EY1904" s="20"/>
      <c r="EZ1904" s="20"/>
      <c r="FA1904" s="20"/>
      <c r="FB1904" s="20"/>
      <c r="FC1904" s="20"/>
      <c r="FD1904" s="20"/>
      <c r="FE1904" s="20"/>
      <c r="FF1904" s="20"/>
      <c r="FG1904" s="20"/>
      <c r="FH1904" s="20"/>
      <c r="FI1904" s="20"/>
      <c r="FJ1904" s="20"/>
      <c r="FK1904" s="20"/>
      <c r="FL1904" s="20"/>
      <c r="FM1904" s="20"/>
      <c r="FN1904" s="20"/>
      <c r="FO1904" s="20"/>
      <c r="FP1904" s="20"/>
      <c r="FQ1904" s="20"/>
      <c r="FR1904" s="20"/>
      <c r="FS1904" s="20"/>
      <c r="FT1904" s="20"/>
      <c r="FU1904" s="20"/>
      <c r="FV1904" s="20"/>
      <c r="FW1904" s="20"/>
      <c r="FX1904" s="20"/>
      <c r="FY1904" s="20"/>
      <c r="FZ1904" s="20"/>
      <c r="GA1904" s="20"/>
      <c r="GB1904" s="20"/>
      <c r="GC1904" s="20"/>
      <c r="GD1904" s="20"/>
      <c r="GE1904" s="20"/>
      <c r="GF1904" s="20"/>
      <c r="GG1904" s="20"/>
      <c r="GH1904" s="20"/>
      <c r="GI1904" s="20"/>
      <c r="GJ1904" s="20"/>
      <c r="GK1904" s="20"/>
      <c r="GL1904" s="20"/>
      <c r="GM1904" s="20"/>
      <c r="GN1904" s="20"/>
      <c r="GO1904" s="20"/>
      <c r="GP1904" s="20"/>
      <c r="GQ1904" s="20"/>
      <c r="GR1904" s="20"/>
      <c r="GS1904" s="20"/>
      <c r="GT1904" s="20"/>
      <c r="GU1904" s="20"/>
      <c r="GV1904" s="20"/>
      <c r="GW1904" s="20"/>
      <c r="GX1904" s="20"/>
      <c r="GY1904" s="20"/>
      <c r="GZ1904" s="20"/>
      <c r="HA1904" s="20"/>
      <c r="HB1904" s="20"/>
      <c r="HC1904" s="20"/>
      <c r="HD1904" s="20"/>
      <c r="HE1904" s="20"/>
      <c r="HF1904" s="20"/>
      <c r="HG1904" s="20"/>
      <c r="HH1904" s="20"/>
      <c r="HI1904" s="20"/>
      <c r="HJ1904" s="20"/>
      <c r="HK1904" s="20"/>
      <c r="HL1904" s="20"/>
      <c r="HM1904" s="20"/>
      <c r="HN1904" s="20"/>
      <c r="HO1904" s="20"/>
      <c r="HP1904" s="20"/>
      <c r="HQ1904" s="20"/>
      <c r="HR1904" s="20"/>
      <c r="HS1904" s="20"/>
      <c r="HT1904" s="20"/>
      <c r="HU1904" s="20"/>
      <c r="HV1904" s="20"/>
      <c r="HW1904" s="20"/>
      <c r="HX1904" s="20"/>
      <c r="HY1904" s="20"/>
      <c r="HZ1904" s="20"/>
      <c r="IA1904" s="20"/>
      <c r="IB1904" s="20"/>
      <c r="IC1904" s="20"/>
      <c r="ID1904" s="20"/>
      <c r="IE1904" s="20"/>
      <c r="IF1904" s="20"/>
      <c r="IG1904" s="20"/>
      <c r="IH1904" s="20"/>
      <c r="II1904" s="20"/>
      <c r="IJ1904" s="20"/>
      <c r="IK1904" s="20"/>
      <c r="IL1904" s="20"/>
      <c r="IM1904" s="20"/>
      <c r="IN1904" s="20"/>
      <c r="IO1904" s="20"/>
    </row>
    <row r="1905" spans="1:249" s="22" customFormat="1" ht="82.5">
      <c r="A1905" s="794"/>
      <c r="B1905" s="840"/>
      <c r="C1905" s="841">
        <v>4</v>
      </c>
      <c r="D1905" s="841" t="s">
        <v>34</v>
      </c>
      <c r="E1905" s="841" t="s">
        <v>25</v>
      </c>
      <c r="F1905" s="841" t="s">
        <v>25</v>
      </c>
      <c r="G1905" s="841">
        <v>30</v>
      </c>
      <c r="H1905" s="1189"/>
      <c r="I1905" s="6" t="s">
        <v>577</v>
      </c>
      <c r="J1905" s="6" t="s">
        <v>2263</v>
      </c>
      <c r="K1905" s="1902">
        <f>6*6</f>
        <v>36</v>
      </c>
      <c r="L1905" s="1212">
        <v>1225000000</v>
      </c>
      <c r="M1905" s="1903">
        <v>18</v>
      </c>
      <c r="N1905" s="1904">
        <f>103022892+175571258+94267595</f>
        <v>372861745</v>
      </c>
      <c r="O1905" s="1902">
        <v>6</v>
      </c>
      <c r="P1905" s="1905">
        <v>100070439</v>
      </c>
      <c r="Q1905" s="1903">
        <v>1</v>
      </c>
      <c r="R1905" s="1904">
        <v>12177200</v>
      </c>
      <c r="S1905" s="1228">
        <v>1</v>
      </c>
      <c r="T1905" s="1906">
        <v>50377550</v>
      </c>
      <c r="U1905" s="795"/>
      <c r="V1905" s="1906"/>
      <c r="W1905" s="795"/>
      <c r="X1905" s="1906"/>
      <c r="Y1905" s="1903">
        <f t="shared" si="550"/>
        <v>2</v>
      </c>
      <c r="Z1905" s="1906">
        <f t="shared" si="545"/>
        <v>62554750</v>
      </c>
      <c r="AA1905" s="1903">
        <f t="shared" si="546"/>
        <v>20</v>
      </c>
      <c r="AB1905" s="1906">
        <f t="shared" si="547"/>
        <v>435416495</v>
      </c>
      <c r="AC1905" s="1907">
        <f t="shared" si="548"/>
        <v>55.555555555555557</v>
      </c>
      <c r="AD1905" s="1907">
        <f t="shared" si="549"/>
        <v>35.54420367346939</v>
      </c>
      <c r="AE1905" s="102" t="s">
        <v>1980</v>
      </c>
      <c r="AF1905" s="201"/>
      <c r="AG1905" s="201"/>
      <c r="AH1905" s="201"/>
      <c r="AI1905" s="201"/>
      <c r="AJ1905" s="201"/>
      <c r="AK1905" s="201"/>
      <c r="AL1905" s="201"/>
      <c r="AM1905" s="201"/>
      <c r="AN1905" s="201"/>
      <c r="AO1905" s="201"/>
      <c r="AP1905" s="201"/>
      <c r="AQ1905" s="201"/>
      <c r="AR1905" s="201"/>
      <c r="AS1905" s="201"/>
      <c r="AT1905" s="201"/>
      <c r="AU1905" s="201"/>
      <c r="AV1905" s="201"/>
      <c r="AW1905" s="201"/>
      <c r="AX1905" s="201"/>
      <c r="AY1905" s="201"/>
      <c r="AZ1905" s="201"/>
      <c r="BA1905" s="201"/>
      <c r="BB1905" s="201"/>
      <c r="BC1905" s="20"/>
      <c r="BD1905" s="20"/>
      <c r="BE1905" s="20"/>
      <c r="BF1905" s="20"/>
      <c r="BG1905" s="20"/>
      <c r="BH1905" s="20"/>
      <c r="BI1905" s="20"/>
      <c r="BJ1905" s="20"/>
      <c r="BK1905" s="20"/>
      <c r="BL1905" s="20"/>
      <c r="BM1905" s="20"/>
      <c r="BN1905" s="20"/>
      <c r="BO1905" s="20"/>
      <c r="BP1905" s="20"/>
      <c r="BQ1905" s="20"/>
      <c r="BR1905" s="20"/>
      <c r="BS1905" s="20"/>
      <c r="BT1905" s="20"/>
      <c r="BU1905" s="20"/>
      <c r="BV1905" s="20"/>
      <c r="BW1905" s="20"/>
      <c r="BX1905" s="20"/>
      <c r="BY1905" s="20"/>
      <c r="BZ1905" s="20"/>
      <c r="CA1905" s="20"/>
      <c r="CB1905" s="20"/>
      <c r="CC1905" s="20"/>
      <c r="CD1905" s="20"/>
      <c r="CE1905" s="20"/>
      <c r="CF1905" s="20"/>
      <c r="CG1905" s="20"/>
      <c r="CH1905" s="20"/>
      <c r="CI1905" s="20"/>
      <c r="CJ1905" s="20"/>
      <c r="CK1905" s="20"/>
      <c r="CL1905" s="20"/>
      <c r="CM1905" s="20"/>
      <c r="CN1905" s="20"/>
      <c r="CO1905" s="20"/>
      <c r="CP1905" s="20"/>
      <c r="CQ1905" s="20"/>
      <c r="CR1905" s="20"/>
      <c r="CS1905" s="20"/>
      <c r="CT1905" s="20"/>
      <c r="CU1905" s="20"/>
      <c r="CV1905" s="20"/>
      <c r="CW1905" s="20"/>
      <c r="CX1905" s="20"/>
      <c r="CY1905" s="20"/>
      <c r="CZ1905" s="20"/>
      <c r="DA1905" s="20"/>
      <c r="DB1905" s="20"/>
      <c r="DC1905" s="20"/>
      <c r="DD1905" s="20"/>
      <c r="DE1905" s="20"/>
      <c r="DF1905" s="20"/>
      <c r="DG1905" s="20"/>
      <c r="DH1905" s="20"/>
      <c r="DI1905" s="20"/>
      <c r="DJ1905" s="20"/>
      <c r="DK1905" s="20"/>
      <c r="DL1905" s="20"/>
      <c r="DM1905" s="20"/>
      <c r="DN1905" s="20"/>
      <c r="DO1905" s="20"/>
      <c r="DP1905" s="20"/>
      <c r="DQ1905" s="20"/>
      <c r="DR1905" s="20"/>
      <c r="DS1905" s="20"/>
      <c r="DT1905" s="20"/>
      <c r="DU1905" s="20"/>
      <c r="DV1905" s="20"/>
      <c r="DW1905" s="20"/>
      <c r="DX1905" s="20"/>
      <c r="DY1905" s="20"/>
      <c r="DZ1905" s="20"/>
      <c r="EA1905" s="20"/>
      <c r="EB1905" s="20"/>
      <c r="EC1905" s="20"/>
      <c r="ED1905" s="20"/>
      <c r="EE1905" s="20"/>
      <c r="EF1905" s="20"/>
      <c r="EG1905" s="20"/>
      <c r="EH1905" s="20"/>
      <c r="EI1905" s="20"/>
      <c r="EJ1905" s="20"/>
      <c r="EK1905" s="20"/>
      <c r="EL1905" s="20"/>
      <c r="EM1905" s="20"/>
      <c r="EN1905" s="20"/>
      <c r="EO1905" s="20"/>
      <c r="EP1905" s="20"/>
      <c r="EQ1905" s="20"/>
      <c r="ER1905" s="20"/>
      <c r="ES1905" s="20"/>
      <c r="ET1905" s="20"/>
      <c r="EU1905" s="20"/>
      <c r="EV1905" s="20"/>
      <c r="EW1905" s="20"/>
      <c r="EX1905" s="20"/>
      <c r="EY1905" s="20"/>
      <c r="EZ1905" s="20"/>
      <c r="FA1905" s="20"/>
      <c r="FB1905" s="20"/>
      <c r="FC1905" s="20"/>
      <c r="FD1905" s="20"/>
      <c r="FE1905" s="20"/>
      <c r="FF1905" s="20"/>
      <c r="FG1905" s="20"/>
      <c r="FH1905" s="20"/>
      <c r="FI1905" s="20"/>
      <c r="FJ1905" s="20"/>
      <c r="FK1905" s="20"/>
      <c r="FL1905" s="20"/>
      <c r="FM1905" s="20"/>
      <c r="FN1905" s="20"/>
      <c r="FO1905" s="20"/>
      <c r="FP1905" s="20"/>
      <c r="FQ1905" s="20"/>
      <c r="FR1905" s="20"/>
      <c r="FS1905" s="20"/>
      <c r="FT1905" s="20"/>
      <c r="FU1905" s="20"/>
      <c r="FV1905" s="20"/>
      <c r="FW1905" s="20"/>
      <c r="FX1905" s="20"/>
      <c r="FY1905" s="20"/>
      <c r="FZ1905" s="20"/>
      <c r="GA1905" s="20"/>
      <c r="GB1905" s="20"/>
      <c r="GC1905" s="20"/>
      <c r="GD1905" s="20"/>
      <c r="GE1905" s="20"/>
      <c r="GF1905" s="20"/>
      <c r="GG1905" s="20"/>
      <c r="GH1905" s="20"/>
      <c r="GI1905" s="20"/>
      <c r="GJ1905" s="20"/>
      <c r="GK1905" s="20"/>
      <c r="GL1905" s="20"/>
      <c r="GM1905" s="20"/>
      <c r="GN1905" s="20"/>
      <c r="GO1905" s="20"/>
      <c r="GP1905" s="20"/>
      <c r="GQ1905" s="20"/>
      <c r="GR1905" s="20"/>
      <c r="GS1905" s="20"/>
      <c r="GT1905" s="20"/>
      <c r="GU1905" s="20"/>
      <c r="GV1905" s="20"/>
      <c r="GW1905" s="20"/>
      <c r="GX1905" s="20"/>
      <c r="GY1905" s="20"/>
      <c r="GZ1905" s="20"/>
      <c r="HA1905" s="20"/>
      <c r="HB1905" s="20"/>
      <c r="HC1905" s="20"/>
      <c r="HD1905" s="20"/>
      <c r="HE1905" s="20"/>
      <c r="HF1905" s="20"/>
      <c r="HG1905" s="20"/>
      <c r="HH1905" s="20"/>
      <c r="HI1905" s="20"/>
      <c r="HJ1905" s="20"/>
      <c r="HK1905" s="20"/>
      <c r="HL1905" s="20"/>
      <c r="HM1905" s="20"/>
      <c r="HN1905" s="20"/>
      <c r="HO1905" s="20"/>
      <c r="HP1905" s="20"/>
      <c r="HQ1905" s="20"/>
      <c r="HR1905" s="20"/>
      <c r="HS1905" s="20"/>
      <c r="HT1905" s="20"/>
      <c r="HU1905" s="20"/>
      <c r="HV1905" s="20"/>
      <c r="HW1905" s="20"/>
      <c r="HX1905" s="20"/>
      <c r="HY1905" s="20"/>
      <c r="HZ1905" s="20"/>
      <c r="IA1905" s="20"/>
      <c r="IB1905" s="20"/>
      <c r="IC1905" s="20"/>
      <c r="ID1905" s="20"/>
      <c r="IE1905" s="20"/>
      <c r="IF1905" s="20"/>
      <c r="IG1905" s="20"/>
      <c r="IH1905" s="20"/>
      <c r="II1905" s="20"/>
      <c r="IJ1905" s="20"/>
      <c r="IK1905" s="20"/>
      <c r="IL1905" s="20"/>
      <c r="IM1905" s="20"/>
      <c r="IN1905" s="20"/>
      <c r="IO1905" s="20"/>
    </row>
    <row r="1906" spans="1:249" s="22" customFormat="1" ht="49.5">
      <c r="A1906" s="794"/>
      <c r="B1906" s="840"/>
      <c r="C1906" s="841">
        <v>4</v>
      </c>
      <c r="D1906" s="841" t="s">
        <v>34</v>
      </c>
      <c r="E1906" s="841" t="s">
        <v>25</v>
      </c>
      <c r="F1906" s="841" t="s">
        <v>25</v>
      </c>
      <c r="G1906" s="841" t="s">
        <v>2264</v>
      </c>
      <c r="H1906" s="1189"/>
      <c r="I1906" s="6" t="s">
        <v>2265</v>
      </c>
      <c r="J1906" s="6" t="s">
        <v>2266</v>
      </c>
      <c r="K1906" s="1902">
        <f>7*5</f>
        <v>35</v>
      </c>
      <c r="L1906" s="1212">
        <v>1120000000</v>
      </c>
      <c r="M1906" s="1903">
        <v>21</v>
      </c>
      <c r="N1906" s="1904">
        <f>183523758+122686373</f>
        <v>306210131</v>
      </c>
      <c r="O1906" s="1902"/>
      <c r="P1906" s="1905">
        <v>0</v>
      </c>
      <c r="Q1906" s="1903"/>
      <c r="R1906" s="1904"/>
      <c r="S1906" s="1228"/>
      <c r="T1906" s="1906"/>
      <c r="U1906" s="795"/>
      <c r="V1906" s="1906"/>
      <c r="W1906" s="795"/>
      <c r="X1906" s="1906"/>
      <c r="Y1906" s="1903">
        <f t="shared" si="550"/>
        <v>0</v>
      </c>
      <c r="Z1906" s="1906">
        <f t="shared" si="545"/>
        <v>0</v>
      </c>
      <c r="AA1906" s="1903">
        <f t="shared" si="546"/>
        <v>21</v>
      </c>
      <c r="AB1906" s="1906">
        <f t="shared" si="547"/>
        <v>306210131</v>
      </c>
      <c r="AC1906" s="1907">
        <f t="shared" si="548"/>
        <v>60</v>
      </c>
      <c r="AD1906" s="1907">
        <f t="shared" si="549"/>
        <v>27.340190267857146</v>
      </c>
      <c r="AE1906" s="102" t="s">
        <v>1980</v>
      </c>
      <c r="AF1906" s="201"/>
      <c r="AG1906" s="201"/>
      <c r="AH1906" s="201"/>
      <c r="AI1906" s="201"/>
      <c r="AJ1906" s="201"/>
      <c r="AK1906" s="201"/>
      <c r="AL1906" s="201"/>
      <c r="AM1906" s="201"/>
      <c r="AN1906" s="201"/>
      <c r="AO1906" s="201"/>
      <c r="AP1906" s="201"/>
      <c r="AQ1906" s="201"/>
      <c r="AR1906" s="201"/>
      <c r="AS1906" s="201"/>
      <c r="AT1906" s="201"/>
      <c r="AU1906" s="201"/>
      <c r="AV1906" s="201"/>
      <c r="AW1906" s="201"/>
      <c r="AX1906" s="201"/>
      <c r="AY1906" s="201"/>
      <c r="AZ1906" s="201"/>
      <c r="BA1906" s="201"/>
      <c r="BB1906" s="201"/>
      <c r="BC1906" s="20"/>
      <c r="BD1906" s="20"/>
      <c r="BE1906" s="20"/>
      <c r="BF1906" s="20"/>
      <c r="BG1906" s="20"/>
      <c r="BH1906" s="20"/>
      <c r="BI1906" s="20"/>
      <c r="BJ1906" s="20"/>
      <c r="BK1906" s="20"/>
      <c r="BL1906" s="20"/>
      <c r="BM1906" s="20"/>
      <c r="BN1906" s="20"/>
      <c r="BO1906" s="20"/>
      <c r="BP1906" s="20"/>
      <c r="BQ1906" s="20"/>
      <c r="BR1906" s="20"/>
      <c r="BS1906" s="20"/>
      <c r="BT1906" s="20"/>
      <c r="BU1906" s="20"/>
      <c r="BV1906" s="20"/>
      <c r="BW1906" s="20"/>
      <c r="BX1906" s="20"/>
      <c r="BY1906" s="20"/>
      <c r="BZ1906" s="20"/>
      <c r="CA1906" s="20"/>
      <c r="CB1906" s="20"/>
      <c r="CC1906" s="20"/>
      <c r="CD1906" s="20"/>
      <c r="CE1906" s="20"/>
      <c r="CF1906" s="20"/>
      <c r="CG1906" s="20"/>
      <c r="CH1906" s="20"/>
      <c r="CI1906" s="20"/>
      <c r="CJ1906" s="20"/>
      <c r="CK1906" s="20"/>
      <c r="CL1906" s="20"/>
      <c r="CM1906" s="20"/>
      <c r="CN1906" s="20"/>
      <c r="CO1906" s="20"/>
      <c r="CP1906" s="20"/>
      <c r="CQ1906" s="20"/>
      <c r="CR1906" s="20"/>
      <c r="CS1906" s="20"/>
      <c r="CT1906" s="20"/>
      <c r="CU1906" s="20"/>
      <c r="CV1906" s="20"/>
      <c r="CW1906" s="20"/>
      <c r="CX1906" s="20"/>
      <c r="CY1906" s="20"/>
      <c r="CZ1906" s="20"/>
      <c r="DA1906" s="20"/>
      <c r="DB1906" s="20"/>
      <c r="DC1906" s="20"/>
      <c r="DD1906" s="20"/>
      <c r="DE1906" s="20"/>
      <c r="DF1906" s="20"/>
      <c r="DG1906" s="20"/>
      <c r="DH1906" s="20"/>
      <c r="DI1906" s="20"/>
      <c r="DJ1906" s="20"/>
      <c r="DK1906" s="20"/>
      <c r="DL1906" s="20"/>
      <c r="DM1906" s="20"/>
      <c r="DN1906" s="20"/>
      <c r="DO1906" s="20"/>
      <c r="DP1906" s="20"/>
      <c r="DQ1906" s="20"/>
      <c r="DR1906" s="20"/>
      <c r="DS1906" s="20"/>
      <c r="DT1906" s="20"/>
      <c r="DU1906" s="20"/>
      <c r="DV1906" s="20"/>
      <c r="DW1906" s="20"/>
      <c r="DX1906" s="20"/>
      <c r="DY1906" s="20"/>
      <c r="DZ1906" s="20"/>
      <c r="EA1906" s="20"/>
      <c r="EB1906" s="20"/>
      <c r="EC1906" s="20"/>
      <c r="ED1906" s="20"/>
      <c r="EE1906" s="20"/>
      <c r="EF1906" s="20"/>
      <c r="EG1906" s="20"/>
      <c r="EH1906" s="20"/>
      <c r="EI1906" s="20"/>
      <c r="EJ1906" s="20"/>
      <c r="EK1906" s="20"/>
      <c r="EL1906" s="20"/>
      <c r="EM1906" s="20"/>
      <c r="EN1906" s="20"/>
      <c r="EO1906" s="20"/>
      <c r="EP1906" s="20"/>
      <c r="EQ1906" s="20"/>
      <c r="ER1906" s="20"/>
      <c r="ES1906" s="20"/>
      <c r="ET1906" s="20"/>
      <c r="EU1906" s="20"/>
      <c r="EV1906" s="20"/>
      <c r="EW1906" s="20"/>
      <c r="EX1906" s="20"/>
      <c r="EY1906" s="20"/>
      <c r="EZ1906" s="20"/>
      <c r="FA1906" s="20"/>
      <c r="FB1906" s="20"/>
      <c r="FC1906" s="20"/>
      <c r="FD1906" s="20"/>
      <c r="FE1906" s="20"/>
      <c r="FF1906" s="20"/>
      <c r="FG1906" s="20"/>
      <c r="FH1906" s="20"/>
      <c r="FI1906" s="20"/>
      <c r="FJ1906" s="20"/>
      <c r="FK1906" s="20"/>
      <c r="FL1906" s="20"/>
      <c r="FM1906" s="20"/>
      <c r="FN1906" s="20"/>
      <c r="FO1906" s="20"/>
      <c r="FP1906" s="20"/>
      <c r="FQ1906" s="20"/>
      <c r="FR1906" s="20"/>
      <c r="FS1906" s="20"/>
      <c r="FT1906" s="20"/>
      <c r="FU1906" s="20"/>
      <c r="FV1906" s="20"/>
      <c r="FW1906" s="20"/>
      <c r="FX1906" s="20"/>
      <c r="FY1906" s="20"/>
      <c r="FZ1906" s="20"/>
      <c r="GA1906" s="20"/>
      <c r="GB1906" s="20"/>
      <c r="GC1906" s="20"/>
      <c r="GD1906" s="20"/>
      <c r="GE1906" s="20"/>
      <c r="GF1906" s="20"/>
      <c r="GG1906" s="20"/>
      <c r="GH1906" s="20"/>
      <c r="GI1906" s="20"/>
      <c r="GJ1906" s="20"/>
      <c r="GK1906" s="20"/>
      <c r="GL1906" s="20"/>
      <c r="GM1906" s="20"/>
      <c r="GN1906" s="20"/>
      <c r="GO1906" s="20"/>
      <c r="GP1906" s="20"/>
      <c r="GQ1906" s="20"/>
      <c r="GR1906" s="20"/>
      <c r="GS1906" s="20"/>
      <c r="GT1906" s="20"/>
      <c r="GU1906" s="20"/>
      <c r="GV1906" s="20"/>
      <c r="GW1906" s="20"/>
      <c r="GX1906" s="20"/>
      <c r="GY1906" s="20"/>
      <c r="GZ1906" s="20"/>
      <c r="HA1906" s="20"/>
      <c r="HB1906" s="20"/>
      <c r="HC1906" s="20"/>
      <c r="HD1906" s="20"/>
      <c r="HE1906" s="20"/>
      <c r="HF1906" s="20"/>
      <c r="HG1906" s="20"/>
      <c r="HH1906" s="20"/>
      <c r="HI1906" s="20"/>
      <c r="HJ1906" s="20"/>
      <c r="HK1906" s="20"/>
      <c r="HL1906" s="20"/>
      <c r="HM1906" s="20"/>
      <c r="HN1906" s="20"/>
      <c r="HO1906" s="20"/>
      <c r="HP1906" s="20"/>
      <c r="HQ1906" s="20"/>
      <c r="HR1906" s="20"/>
      <c r="HS1906" s="20"/>
      <c r="HT1906" s="20"/>
      <c r="HU1906" s="20"/>
      <c r="HV1906" s="20"/>
      <c r="HW1906" s="20"/>
      <c r="HX1906" s="20"/>
      <c r="HY1906" s="20"/>
      <c r="HZ1906" s="20"/>
      <c r="IA1906" s="20"/>
      <c r="IB1906" s="20"/>
      <c r="IC1906" s="20"/>
      <c r="ID1906" s="20"/>
      <c r="IE1906" s="20"/>
      <c r="IF1906" s="20"/>
      <c r="IG1906" s="20"/>
      <c r="IH1906" s="20"/>
      <c r="II1906" s="20"/>
      <c r="IJ1906" s="20"/>
      <c r="IK1906" s="20"/>
      <c r="IL1906" s="20"/>
      <c r="IM1906" s="20"/>
      <c r="IN1906" s="20"/>
      <c r="IO1906" s="20"/>
    </row>
    <row r="1907" spans="1:249" s="22" customFormat="1" ht="49.5">
      <c r="A1907" s="794"/>
      <c r="B1907" s="840"/>
      <c r="C1907" s="841">
        <v>4</v>
      </c>
      <c r="D1907" s="841" t="s">
        <v>34</v>
      </c>
      <c r="E1907" s="841" t="s">
        <v>25</v>
      </c>
      <c r="F1907" s="841" t="s">
        <v>25</v>
      </c>
      <c r="G1907" s="841" t="s">
        <v>1817</v>
      </c>
      <c r="H1907" s="1189"/>
      <c r="I1907" s="6" t="s">
        <v>2267</v>
      </c>
      <c r="J1907" s="6" t="s">
        <v>3319</v>
      </c>
      <c r="K1907" s="1902">
        <v>18</v>
      </c>
      <c r="L1907" s="1908">
        <v>7800000000</v>
      </c>
      <c r="M1907" s="1903">
        <v>18</v>
      </c>
      <c r="N1907" s="1904">
        <f>383033754+1381372000</f>
        <v>1764405754</v>
      </c>
      <c r="O1907" s="1902"/>
      <c r="P1907" s="1910">
        <v>0</v>
      </c>
      <c r="Q1907" s="1903"/>
      <c r="R1907" s="1904"/>
      <c r="S1907" s="1228"/>
      <c r="T1907" s="207"/>
      <c r="U1907" s="1911"/>
      <c r="V1907" s="1912"/>
      <c r="W1907" s="1911"/>
      <c r="X1907" s="1912"/>
      <c r="Y1907" s="1903">
        <f t="shared" si="550"/>
        <v>0</v>
      </c>
      <c r="Z1907" s="1906">
        <f t="shared" si="545"/>
        <v>0</v>
      </c>
      <c r="AA1907" s="1903">
        <f t="shared" si="546"/>
        <v>18</v>
      </c>
      <c r="AB1907" s="1906">
        <f t="shared" si="547"/>
        <v>1764405754</v>
      </c>
      <c r="AC1907" s="1907">
        <f t="shared" si="548"/>
        <v>100</v>
      </c>
      <c r="AD1907" s="1907">
        <f t="shared" si="549"/>
        <v>22.620586589743592</v>
      </c>
      <c r="AE1907" s="102" t="s">
        <v>1980</v>
      </c>
      <c r="AF1907" s="201"/>
      <c r="AG1907" s="201"/>
      <c r="AH1907" s="201"/>
      <c r="AI1907" s="201"/>
      <c r="AJ1907" s="201"/>
      <c r="AK1907" s="201"/>
      <c r="AL1907" s="201"/>
      <c r="AM1907" s="201"/>
      <c r="AN1907" s="201"/>
      <c r="AO1907" s="201"/>
      <c r="AP1907" s="201"/>
      <c r="AQ1907" s="201"/>
      <c r="AR1907" s="201"/>
      <c r="AS1907" s="201"/>
      <c r="AT1907" s="201"/>
      <c r="AU1907" s="201"/>
      <c r="AV1907" s="201"/>
      <c r="AW1907" s="201"/>
      <c r="AX1907" s="201"/>
      <c r="AY1907" s="201"/>
      <c r="AZ1907" s="201"/>
      <c r="BA1907" s="201"/>
      <c r="BB1907" s="201"/>
      <c r="BC1907" s="20"/>
      <c r="BD1907" s="20"/>
      <c r="BE1907" s="20"/>
      <c r="BF1907" s="20"/>
      <c r="BG1907" s="20"/>
      <c r="BH1907" s="20"/>
      <c r="BI1907" s="20"/>
      <c r="BJ1907" s="20"/>
      <c r="BK1907" s="20"/>
      <c r="BL1907" s="20"/>
      <c r="BM1907" s="20"/>
      <c r="BN1907" s="20"/>
      <c r="BO1907" s="20"/>
      <c r="BP1907" s="20"/>
      <c r="BQ1907" s="20"/>
      <c r="BR1907" s="20"/>
      <c r="BS1907" s="20"/>
      <c r="BT1907" s="20"/>
      <c r="BU1907" s="20"/>
      <c r="BV1907" s="20"/>
      <c r="BW1907" s="20"/>
      <c r="BX1907" s="20"/>
      <c r="BY1907" s="20"/>
      <c r="BZ1907" s="20"/>
      <c r="CA1907" s="20"/>
      <c r="CB1907" s="20"/>
      <c r="CC1907" s="20"/>
      <c r="CD1907" s="20"/>
      <c r="CE1907" s="20"/>
      <c r="CF1907" s="20"/>
      <c r="CG1907" s="20"/>
      <c r="CH1907" s="20"/>
      <c r="CI1907" s="20"/>
      <c r="CJ1907" s="20"/>
      <c r="CK1907" s="20"/>
      <c r="CL1907" s="20"/>
      <c r="CM1907" s="20"/>
      <c r="CN1907" s="20"/>
      <c r="CO1907" s="20"/>
      <c r="CP1907" s="20"/>
      <c r="CQ1907" s="20"/>
      <c r="CR1907" s="20"/>
      <c r="CS1907" s="20"/>
      <c r="CT1907" s="20"/>
      <c r="CU1907" s="20"/>
      <c r="CV1907" s="20"/>
      <c r="CW1907" s="20"/>
      <c r="CX1907" s="20"/>
      <c r="CY1907" s="20"/>
      <c r="CZ1907" s="20"/>
      <c r="DA1907" s="20"/>
      <c r="DB1907" s="20"/>
      <c r="DC1907" s="20"/>
      <c r="DD1907" s="20"/>
      <c r="DE1907" s="20"/>
      <c r="DF1907" s="20"/>
      <c r="DG1907" s="20"/>
      <c r="DH1907" s="20"/>
      <c r="DI1907" s="20"/>
      <c r="DJ1907" s="20"/>
      <c r="DK1907" s="20"/>
      <c r="DL1907" s="20"/>
      <c r="DM1907" s="20"/>
      <c r="DN1907" s="20"/>
      <c r="DO1907" s="20"/>
      <c r="DP1907" s="20"/>
      <c r="DQ1907" s="20"/>
      <c r="DR1907" s="20"/>
      <c r="DS1907" s="20"/>
      <c r="DT1907" s="20"/>
      <c r="DU1907" s="20"/>
      <c r="DV1907" s="20"/>
      <c r="DW1907" s="20"/>
      <c r="DX1907" s="20"/>
      <c r="DY1907" s="20"/>
      <c r="DZ1907" s="20"/>
      <c r="EA1907" s="20"/>
      <c r="EB1907" s="20"/>
      <c r="EC1907" s="20"/>
      <c r="ED1907" s="20"/>
      <c r="EE1907" s="20"/>
      <c r="EF1907" s="20"/>
      <c r="EG1907" s="20"/>
      <c r="EH1907" s="20"/>
      <c r="EI1907" s="20"/>
      <c r="EJ1907" s="20"/>
      <c r="EK1907" s="20"/>
      <c r="EL1907" s="20"/>
      <c r="EM1907" s="20"/>
      <c r="EN1907" s="20"/>
      <c r="EO1907" s="20"/>
      <c r="EP1907" s="20"/>
      <c r="EQ1907" s="20"/>
      <c r="ER1907" s="20"/>
      <c r="ES1907" s="20"/>
      <c r="ET1907" s="20"/>
      <c r="EU1907" s="20"/>
      <c r="EV1907" s="20"/>
      <c r="EW1907" s="20"/>
      <c r="EX1907" s="20"/>
      <c r="EY1907" s="20"/>
      <c r="EZ1907" s="20"/>
      <c r="FA1907" s="20"/>
      <c r="FB1907" s="20"/>
      <c r="FC1907" s="20"/>
      <c r="FD1907" s="20"/>
      <c r="FE1907" s="20"/>
      <c r="FF1907" s="20"/>
      <c r="FG1907" s="20"/>
      <c r="FH1907" s="20"/>
      <c r="FI1907" s="20"/>
      <c r="FJ1907" s="20"/>
      <c r="FK1907" s="20"/>
      <c r="FL1907" s="20"/>
      <c r="FM1907" s="20"/>
      <c r="FN1907" s="20"/>
      <c r="FO1907" s="20"/>
      <c r="FP1907" s="20"/>
      <c r="FQ1907" s="20"/>
      <c r="FR1907" s="20"/>
      <c r="FS1907" s="20"/>
      <c r="FT1907" s="20"/>
      <c r="FU1907" s="20"/>
      <c r="FV1907" s="20"/>
      <c r="FW1907" s="20"/>
      <c r="FX1907" s="20"/>
      <c r="FY1907" s="20"/>
      <c r="FZ1907" s="20"/>
      <c r="GA1907" s="20"/>
      <c r="GB1907" s="20"/>
      <c r="GC1907" s="20"/>
      <c r="GD1907" s="20"/>
      <c r="GE1907" s="20"/>
      <c r="GF1907" s="20"/>
      <c r="GG1907" s="20"/>
      <c r="GH1907" s="20"/>
      <c r="GI1907" s="20"/>
      <c r="GJ1907" s="20"/>
      <c r="GK1907" s="20"/>
      <c r="GL1907" s="20"/>
      <c r="GM1907" s="20"/>
      <c r="GN1907" s="20"/>
      <c r="GO1907" s="20"/>
      <c r="GP1907" s="20"/>
      <c r="GQ1907" s="20"/>
      <c r="GR1907" s="20"/>
      <c r="GS1907" s="20"/>
      <c r="GT1907" s="20"/>
      <c r="GU1907" s="20"/>
      <c r="GV1907" s="20"/>
      <c r="GW1907" s="20"/>
      <c r="GX1907" s="20"/>
      <c r="GY1907" s="20"/>
      <c r="GZ1907" s="20"/>
      <c r="HA1907" s="20"/>
      <c r="HB1907" s="20"/>
      <c r="HC1907" s="20"/>
      <c r="HD1907" s="20"/>
      <c r="HE1907" s="20"/>
      <c r="HF1907" s="20"/>
      <c r="HG1907" s="20"/>
      <c r="HH1907" s="20"/>
      <c r="HI1907" s="20"/>
      <c r="HJ1907" s="20"/>
      <c r="HK1907" s="20"/>
      <c r="HL1907" s="20"/>
      <c r="HM1907" s="20"/>
      <c r="HN1907" s="20"/>
      <c r="HO1907" s="20"/>
      <c r="HP1907" s="20"/>
      <c r="HQ1907" s="20"/>
      <c r="HR1907" s="20"/>
      <c r="HS1907" s="20"/>
      <c r="HT1907" s="20"/>
      <c r="HU1907" s="20"/>
      <c r="HV1907" s="20"/>
      <c r="HW1907" s="20"/>
      <c r="HX1907" s="20"/>
      <c r="HY1907" s="20"/>
      <c r="HZ1907" s="20"/>
      <c r="IA1907" s="20"/>
      <c r="IB1907" s="20"/>
      <c r="IC1907" s="20"/>
      <c r="ID1907" s="20"/>
      <c r="IE1907" s="20"/>
      <c r="IF1907" s="20"/>
      <c r="IG1907" s="20"/>
      <c r="IH1907" s="20"/>
      <c r="II1907" s="20"/>
      <c r="IJ1907" s="20"/>
      <c r="IK1907" s="20"/>
      <c r="IL1907" s="20"/>
      <c r="IM1907" s="20"/>
      <c r="IN1907" s="20"/>
      <c r="IO1907" s="20"/>
    </row>
    <row r="1908" spans="1:249" s="22" customFormat="1" ht="66">
      <c r="A1908" s="288">
        <v>2</v>
      </c>
      <c r="B1908" s="287"/>
      <c r="C1908" s="1155">
        <v>4</v>
      </c>
      <c r="D1908" s="1155" t="s">
        <v>34</v>
      </c>
      <c r="E1908" s="1155" t="s">
        <v>25</v>
      </c>
      <c r="F1908" s="1155" t="s">
        <v>28</v>
      </c>
      <c r="G1908" s="288"/>
      <c r="H1908" s="288"/>
      <c r="I1908" s="287" t="s">
        <v>36</v>
      </c>
      <c r="J1908" s="842" t="s">
        <v>3320</v>
      </c>
      <c r="K1908" s="1913">
        <v>72</v>
      </c>
      <c r="L1908" s="1914">
        <f>SUM(L1909:L1921)</f>
        <v>31092900000</v>
      </c>
      <c r="M1908" s="1913">
        <v>36</v>
      </c>
      <c r="N1908" s="1914">
        <f>SUM(N1909:N1921)</f>
        <v>12224267947</v>
      </c>
      <c r="O1908" s="1913">
        <v>12</v>
      </c>
      <c r="P1908" s="1915">
        <f>SUM(P1909:P1921)</f>
        <v>5507285750</v>
      </c>
      <c r="Q1908" s="1913">
        <v>3</v>
      </c>
      <c r="R1908" s="1915">
        <f t="shared" ref="R1908:X1908" si="551">SUM(R1909:R1921)</f>
        <v>1048748731</v>
      </c>
      <c r="S1908" s="1915">
        <f t="shared" si="551"/>
        <v>24</v>
      </c>
      <c r="T1908" s="1916">
        <f t="shared" si="551"/>
        <v>3111406227</v>
      </c>
      <c r="U1908" s="1915">
        <f t="shared" si="551"/>
        <v>0</v>
      </c>
      <c r="V1908" s="1915">
        <f t="shared" si="551"/>
        <v>0</v>
      </c>
      <c r="W1908" s="1915">
        <f t="shared" si="551"/>
        <v>0</v>
      </c>
      <c r="X1908" s="1915">
        <f t="shared" si="551"/>
        <v>0</v>
      </c>
      <c r="Y1908" s="1913">
        <f t="shared" si="550"/>
        <v>27</v>
      </c>
      <c r="Z1908" s="1916">
        <f t="shared" si="545"/>
        <v>4160154958</v>
      </c>
      <c r="AA1908" s="1917">
        <f t="shared" si="546"/>
        <v>63</v>
      </c>
      <c r="AB1908" s="1916">
        <f t="shared" si="547"/>
        <v>16384422905</v>
      </c>
      <c r="AC1908" s="1918">
        <f t="shared" si="548"/>
        <v>87.5</v>
      </c>
      <c r="AD1908" s="1918">
        <f t="shared" si="549"/>
        <v>52.695061911240181</v>
      </c>
      <c r="AE1908" s="234" t="s">
        <v>2252</v>
      </c>
      <c r="AF1908" s="201"/>
      <c r="AG1908" s="201"/>
      <c r="AH1908" s="201"/>
      <c r="AI1908" s="201"/>
      <c r="AJ1908" s="201"/>
      <c r="AK1908" s="201"/>
      <c r="AL1908" s="201"/>
      <c r="AM1908" s="201"/>
      <c r="AN1908" s="201"/>
      <c r="AO1908" s="201"/>
      <c r="AP1908" s="201"/>
      <c r="AQ1908" s="201"/>
      <c r="AR1908" s="201"/>
      <c r="AS1908" s="201"/>
      <c r="AT1908" s="201"/>
      <c r="AU1908" s="201"/>
      <c r="AV1908" s="201"/>
      <c r="AW1908" s="201"/>
      <c r="AX1908" s="201"/>
      <c r="AY1908" s="201"/>
      <c r="AZ1908" s="201"/>
      <c r="BA1908" s="201"/>
      <c r="BB1908" s="201"/>
      <c r="BC1908" s="20"/>
      <c r="BD1908" s="20"/>
      <c r="BE1908" s="20"/>
      <c r="BF1908" s="20"/>
      <c r="BG1908" s="20"/>
      <c r="BH1908" s="20"/>
      <c r="BI1908" s="20"/>
      <c r="BJ1908" s="20"/>
      <c r="BK1908" s="20"/>
      <c r="BL1908" s="20"/>
      <c r="BM1908" s="20"/>
      <c r="BN1908" s="20"/>
      <c r="BO1908" s="20"/>
      <c r="BP1908" s="20"/>
      <c r="BQ1908" s="20"/>
      <c r="BR1908" s="20"/>
      <c r="BS1908" s="20"/>
      <c r="BT1908" s="20"/>
      <c r="BU1908" s="20"/>
      <c r="BV1908" s="20"/>
      <c r="BW1908" s="20"/>
      <c r="BX1908" s="20"/>
      <c r="BY1908" s="20"/>
      <c r="BZ1908" s="20"/>
      <c r="CA1908" s="20"/>
      <c r="CB1908" s="20"/>
      <c r="CC1908" s="20"/>
      <c r="CD1908" s="20"/>
      <c r="CE1908" s="20"/>
      <c r="CF1908" s="20"/>
      <c r="CG1908" s="20"/>
      <c r="CH1908" s="20"/>
      <c r="CI1908" s="20"/>
      <c r="CJ1908" s="20"/>
      <c r="CK1908" s="20"/>
      <c r="CL1908" s="20"/>
      <c r="CM1908" s="20"/>
      <c r="CN1908" s="20"/>
      <c r="CO1908" s="20"/>
      <c r="CP1908" s="20"/>
      <c r="CQ1908" s="20"/>
      <c r="CR1908" s="20"/>
      <c r="CS1908" s="20"/>
      <c r="CT1908" s="20"/>
      <c r="CU1908" s="20"/>
      <c r="CV1908" s="20"/>
      <c r="CW1908" s="20"/>
      <c r="CX1908" s="20"/>
      <c r="CY1908" s="20"/>
      <c r="CZ1908" s="20"/>
      <c r="DA1908" s="20"/>
      <c r="DB1908" s="20"/>
      <c r="DC1908" s="20"/>
      <c r="DD1908" s="20"/>
      <c r="DE1908" s="20"/>
      <c r="DF1908" s="20"/>
      <c r="DG1908" s="20"/>
      <c r="DH1908" s="20"/>
      <c r="DI1908" s="20"/>
      <c r="DJ1908" s="20"/>
      <c r="DK1908" s="20"/>
      <c r="DL1908" s="20"/>
      <c r="DM1908" s="20"/>
      <c r="DN1908" s="20"/>
      <c r="DO1908" s="20"/>
      <c r="DP1908" s="20"/>
      <c r="DQ1908" s="20"/>
      <c r="DR1908" s="20"/>
      <c r="DS1908" s="20"/>
      <c r="DT1908" s="20"/>
      <c r="DU1908" s="20"/>
      <c r="DV1908" s="20"/>
      <c r="DW1908" s="20"/>
      <c r="DX1908" s="20"/>
      <c r="DY1908" s="20"/>
      <c r="DZ1908" s="20"/>
      <c r="EA1908" s="20"/>
      <c r="EB1908" s="20"/>
      <c r="EC1908" s="20"/>
      <c r="ED1908" s="20"/>
      <c r="EE1908" s="20"/>
      <c r="EF1908" s="20"/>
      <c r="EG1908" s="20"/>
      <c r="EH1908" s="20"/>
      <c r="EI1908" s="20"/>
      <c r="EJ1908" s="20"/>
      <c r="EK1908" s="20"/>
      <c r="EL1908" s="20"/>
      <c r="EM1908" s="20"/>
      <c r="EN1908" s="20"/>
      <c r="EO1908" s="20"/>
      <c r="EP1908" s="20"/>
      <c r="EQ1908" s="20"/>
      <c r="ER1908" s="20"/>
      <c r="ES1908" s="20"/>
      <c r="ET1908" s="20"/>
      <c r="EU1908" s="20"/>
      <c r="EV1908" s="20"/>
      <c r="EW1908" s="20"/>
      <c r="EX1908" s="20"/>
      <c r="EY1908" s="20"/>
      <c r="EZ1908" s="20"/>
      <c r="FA1908" s="20"/>
      <c r="FB1908" s="20"/>
      <c r="FC1908" s="20"/>
      <c r="FD1908" s="20"/>
      <c r="FE1908" s="20"/>
      <c r="FF1908" s="20"/>
      <c r="FG1908" s="20"/>
      <c r="FH1908" s="20"/>
      <c r="FI1908" s="20"/>
      <c r="FJ1908" s="20"/>
      <c r="FK1908" s="20"/>
      <c r="FL1908" s="20"/>
      <c r="FM1908" s="20"/>
      <c r="FN1908" s="20"/>
      <c r="FO1908" s="20"/>
      <c r="FP1908" s="20"/>
      <c r="FQ1908" s="20"/>
      <c r="FR1908" s="20"/>
      <c r="FS1908" s="20"/>
      <c r="FT1908" s="20"/>
      <c r="FU1908" s="20"/>
      <c r="FV1908" s="20"/>
      <c r="FW1908" s="20"/>
      <c r="FX1908" s="20"/>
      <c r="FY1908" s="20"/>
      <c r="FZ1908" s="20"/>
      <c r="GA1908" s="20"/>
      <c r="GB1908" s="20"/>
      <c r="GC1908" s="20"/>
      <c r="GD1908" s="20"/>
      <c r="GE1908" s="20"/>
      <c r="GF1908" s="20"/>
      <c r="GG1908" s="20"/>
      <c r="GH1908" s="20"/>
      <c r="GI1908" s="20"/>
      <c r="GJ1908" s="20"/>
      <c r="GK1908" s="20"/>
      <c r="GL1908" s="20"/>
      <c r="GM1908" s="20"/>
      <c r="GN1908" s="20"/>
      <c r="GO1908" s="20"/>
      <c r="GP1908" s="20"/>
      <c r="GQ1908" s="20"/>
      <c r="GR1908" s="20"/>
      <c r="GS1908" s="20"/>
      <c r="GT1908" s="20"/>
      <c r="GU1908" s="20"/>
      <c r="GV1908" s="20"/>
      <c r="GW1908" s="20"/>
      <c r="GX1908" s="20"/>
      <c r="GY1908" s="20"/>
      <c r="GZ1908" s="20"/>
      <c r="HA1908" s="20"/>
      <c r="HB1908" s="20"/>
      <c r="HC1908" s="20"/>
      <c r="HD1908" s="20"/>
      <c r="HE1908" s="20"/>
      <c r="HF1908" s="20"/>
      <c r="HG1908" s="20"/>
      <c r="HH1908" s="20"/>
      <c r="HI1908" s="20"/>
      <c r="HJ1908" s="20"/>
      <c r="HK1908" s="20"/>
      <c r="HL1908" s="20"/>
      <c r="HM1908" s="20"/>
      <c r="HN1908" s="20"/>
      <c r="HO1908" s="20"/>
      <c r="HP1908" s="20"/>
      <c r="HQ1908" s="20"/>
      <c r="HR1908" s="20"/>
      <c r="HS1908" s="20"/>
      <c r="HT1908" s="20"/>
      <c r="HU1908" s="20"/>
      <c r="HV1908" s="20"/>
      <c r="HW1908" s="20"/>
      <c r="HX1908" s="20"/>
      <c r="HY1908" s="20"/>
      <c r="HZ1908" s="20"/>
      <c r="IA1908" s="20"/>
      <c r="IB1908" s="20"/>
      <c r="IC1908" s="20"/>
      <c r="ID1908" s="20"/>
      <c r="IE1908" s="20"/>
      <c r="IF1908" s="20"/>
      <c r="IG1908" s="20"/>
      <c r="IH1908" s="20"/>
      <c r="II1908" s="20"/>
      <c r="IJ1908" s="20"/>
      <c r="IK1908" s="20"/>
      <c r="IL1908" s="20"/>
      <c r="IM1908" s="20"/>
      <c r="IN1908" s="20"/>
      <c r="IO1908" s="20"/>
    </row>
    <row r="1909" spans="1:249" s="22" customFormat="1" ht="49.5">
      <c r="A1909" s="794"/>
      <c r="B1909" s="840"/>
      <c r="C1909" s="841">
        <v>4</v>
      </c>
      <c r="D1909" s="841" t="s">
        <v>34</v>
      </c>
      <c r="E1909" s="841" t="s">
        <v>25</v>
      </c>
      <c r="F1909" s="841" t="s">
        <v>28</v>
      </c>
      <c r="G1909" s="841" t="s">
        <v>38</v>
      </c>
      <c r="H1909" s="1189"/>
      <c r="I1909" s="407" t="s">
        <v>2283</v>
      </c>
      <c r="J1909" s="843" t="s">
        <v>1818</v>
      </c>
      <c r="K1909" s="1902">
        <v>72</v>
      </c>
      <c r="L1909" s="1908">
        <v>340000000</v>
      </c>
      <c r="M1909" s="1903">
        <v>36</v>
      </c>
      <c r="N1909" s="1904">
        <f>31590000+36500000</f>
        <v>68090000</v>
      </c>
      <c r="O1909" s="1902">
        <v>0</v>
      </c>
      <c r="P1909" s="1905">
        <v>0</v>
      </c>
      <c r="Q1909" s="1903"/>
      <c r="R1909" s="795"/>
      <c r="S1909" s="1228"/>
      <c r="T1909" s="795">
        <v>445441400</v>
      </c>
      <c r="U1909" s="795"/>
      <c r="V1909" s="1919"/>
      <c r="W1909" s="795"/>
      <c r="X1909" s="1919"/>
      <c r="Y1909" s="1903">
        <f t="shared" si="550"/>
        <v>0</v>
      </c>
      <c r="Z1909" s="1906">
        <f t="shared" si="545"/>
        <v>445441400</v>
      </c>
      <c r="AA1909" s="1903">
        <f t="shared" si="546"/>
        <v>36</v>
      </c>
      <c r="AB1909" s="1906">
        <f t="shared" si="547"/>
        <v>513531400</v>
      </c>
      <c r="AC1909" s="1907">
        <f t="shared" si="548"/>
        <v>50</v>
      </c>
      <c r="AD1909" s="1907">
        <f t="shared" si="549"/>
        <v>151.03864705882353</v>
      </c>
      <c r="AE1909" s="102" t="s">
        <v>1979</v>
      </c>
      <c r="AF1909" s="201"/>
      <c r="AG1909" s="201"/>
      <c r="AH1909" s="201"/>
      <c r="AI1909" s="201"/>
      <c r="AJ1909" s="201"/>
      <c r="AK1909" s="201"/>
      <c r="AL1909" s="201"/>
      <c r="AM1909" s="201"/>
      <c r="AN1909" s="201"/>
      <c r="AO1909" s="201"/>
      <c r="AP1909" s="201"/>
      <c r="AQ1909" s="201"/>
      <c r="AR1909" s="201"/>
      <c r="AS1909" s="201"/>
      <c r="AT1909" s="201"/>
      <c r="AU1909" s="201"/>
      <c r="AV1909" s="201"/>
      <c r="AW1909" s="201"/>
      <c r="AX1909" s="201"/>
      <c r="AY1909" s="201"/>
      <c r="AZ1909" s="201"/>
      <c r="BA1909" s="201"/>
      <c r="BB1909" s="201"/>
      <c r="BC1909" s="20"/>
      <c r="BD1909" s="20"/>
      <c r="BE1909" s="20"/>
      <c r="BF1909" s="20"/>
      <c r="BG1909" s="20"/>
      <c r="BH1909" s="20"/>
      <c r="BI1909" s="20"/>
      <c r="BJ1909" s="20"/>
      <c r="BK1909" s="20"/>
      <c r="BL1909" s="20"/>
      <c r="BM1909" s="20"/>
      <c r="BN1909" s="20"/>
      <c r="BO1909" s="20"/>
      <c r="BP1909" s="20"/>
      <c r="BQ1909" s="20"/>
      <c r="BR1909" s="20"/>
      <c r="BS1909" s="20"/>
      <c r="BT1909" s="20"/>
      <c r="BU1909" s="20"/>
      <c r="BV1909" s="20"/>
      <c r="BW1909" s="20"/>
      <c r="BX1909" s="20"/>
      <c r="BY1909" s="20"/>
      <c r="BZ1909" s="20"/>
      <c r="CA1909" s="20"/>
      <c r="CB1909" s="20"/>
      <c r="CC1909" s="20"/>
      <c r="CD1909" s="20"/>
      <c r="CE1909" s="20"/>
      <c r="CF1909" s="20"/>
      <c r="CG1909" s="20"/>
      <c r="CH1909" s="20"/>
      <c r="CI1909" s="20"/>
      <c r="CJ1909" s="20"/>
      <c r="CK1909" s="20"/>
      <c r="CL1909" s="20"/>
      <c r="CM1909" s="20"/>
      <c r="CN1909" s="20"/>
      <c r="CO1909" s="20"/>
      <c r="CP1909" s="20"/>
      <c r="CQ1909" s="20"/>
      <c r="CR1909" s="20"/>
      <c r="CS1909" s="20"/>
      <c r="CT1909" s="20"/>
      <c r="CU1909" s="20"/>
      <c r="CV1909" s="20"/>
      <c r="CW1909" s="20"/>
      <c r="CX1909" s="20"/>
      <c r="CY1909" s="20"/>
      <c r="CZ1909" s="20"/>
      <c r="DA1909" s="20"/>
      <c r="DB1909" s="20"/>
      <c r="DC1909" s="20"/>
      <c r="DD1909" s="20"/>
      <c r="DE1909" s="20"/>
      <c r="DF1909" s="20"/>
      <c r="DG1909" s="20"/>
      <c r="DH1909" s="20"/>
      <c r="DI1909" s="20"/>
      <c r="DJ1909" s="20"/>
      <c r="DK1909" s="20"/>
      <c r="DL1909" s="20"/>
      <c r="DM1909" s="20"/>
      <c r="DN1909" s="20"/>
      <c r="DO1909" s="20"/>
      <c r="DP1909" s="20"/>
      <c r="DQ1909" s="20"/>
      <c r="DR1909" s="20"/>
      <c r="DS1909" s="20"/>
      <c r="DT1909" s="20"/>
      <c r="DU1909" s="20"/>
      <c r="DV1909" s="20"/>
      <c r="DW1909" s="20"/>
      <c r="DX1909" s="20"/>
      <c r="DY1909" s="20"/>
      <c r="DZ1909" s="20"/>
      <c r="EA1909" s="20"/>
      <c r="EB1909" s="20"/>
      <c r="EC1909" s="20"/>
      <c r="ED1909" s="20"/>
      <c r="EE1909" s="20"/>
      <c r="EF1909" s="20"/>
      <c r="EG1909" s="20"/>
      <c r="EH1909" s="20"/>
      <c r="EI1909" s="20"/>
      <c r="EJ1909" s="20"/>
      <c r="EK1909" s="20"/>
      <c r="EL1909" s="20"/>
      <c r="EM1909" s="20"/>
      <c r="EN1909" s="20"/>
      <c r="EO1909" s="20"/>
      <c r="EP1909" s="20"/>
      <c r="EQ1909" s="20"/>
      <c r="ER1909" s="20"/>
      <c r="ES1909" s="20"/>
      <c r="ET1909" s="20"/>
      <c r="EU1909" s="20"/>
      <c r="EV1909" s="20"/>
      <c r="EW1909" s="20"/>
      <c r="EX1909" s="20"/>
      <c r="EY1909" s="20"/>
      <c r="EZ1909" s="20"/>
      <c r="FA1909" s="20"/>
      <c r="FB1909" s="20"/>
      <c r="FC1909" s="20"/>
      <c r="FD1909" s="20"/>
      <c r="FE1909" s="20"/>
      <c r="FF1909" s="20"/>
      <c r="FG1909" s="20"/>
      <c r="FH1909" s="20"/>
      <c r="FI1909" s="20"/>
      <c r="FJ1909" s="20"/>
      <c r="FK1909" s="20"/>
      <c r="FL1909" s="20"/>
      <c r="FM1909" s="20"/>
      <c r="FN1909" s="20"/>
      <c r="FO1909" s="20"/>
      <c r="FP1909" s="20"/>
      <c r="FQ1909" s="20"/>
      <c r="FR1909" s="20"/>
      <c r="FS1909" s="20"/>
      <c r="FT1909" s="20"/>
      <c r="FU1909" s="20"/>
      <c r="FV1909" s="20"/>
      <c r="FW1909" s="20"/>
      <c r="FX1909" s="20"/>
      <c r="FY1909" s="20"/>
      <c r="FZ1909" s="20"/>
      <c r="GA1909" s="20"/>
      <c r="GB1909" s="20"/>
      <c r="GC1909" s="20"/>
      <c r="GD1909" s="20"/>
      <c r="GE1909" s="20"/>
      <c r="GF1909" s="20"/>
      <c r="GG1909" s="20"/>
      <c r="GH1909" s="20"/>
      <c r="GI1909" s="20"/>
      <c r="GJ1909" s="20"/>
      <c r="GK1909" s="20"/>
      <c r="GL1909" s="20"/>
      <c r="GM1909" s="20"/>
      <c r="GN1909" s="20"/>
      <c r="GO1909" s="20"/>
      <c r="GP1909" s="20"/>
      <c r="GQ1909" s="20"/>
      <c r="GR1909" s="20"/>
      <c r="GS1909" s="20"/>
      <c r="GT1909" s="20"/>
      <c r="GU1909" s="20"/>
      <c r="GV1909" s="20"/>
      <c r="GW1909" s="20"/>
      <c r="GX1909" s="20"/>
      <c r="GY1909" s="20"/>
      <c r="GZ1909" s="20"/>
      <c r="HA1909" s="20"/>
      <c r="HB1909" s="20"/>
      <c r="HC1909" s="20"/>
      <c r="HD1909" s="20"/>
      <c r="HE1909" s="20"/>
      <c r="HF1909" s="20"/>
      <c r="HG1909" s="20"/>
      <c r="HH1909" s="20"/>
      <c r="HI1909" s="20"/>
      <c r="HJ1909" s="20"/>
      <c r="HK1909" s="20"/>
      <c r="HL1909" s="20"/>
      <c r="HM1909" s="20"/>
      <c r="HN1909" s="20"/>
      <c r="HO1909" s="20"/>
      <c r="HP1909" s="20"/>
      <c r="HQ1909" s="20"/>
      <c r="HR1909" s="20"/>
      <c r="HS1909" s="20"/>
      <c r="HT1909" s="20"/>
      <c r="HU1909" s="20"/>
      <c r="HV1909" s="20"/>
      <c r="HW1909" s="20"/>
      <c r="HX1909" s="20"/>
      <c r="HY1909" s="20"/>
      <c r="HZ1909" s="20"/>
      <c r="IA1909" s="20"/>
      <c r="IB1909" s="20"/>
      <c r="IC1909" s="20"/>
      <c r="ID1909" s="20"/>
      <c r="IE1909" s="20"/>
      <c r="IF1909" s="20"/>
      <c r="IG1909" s="20"/>
      <c r="IH1909" s="20"/>
      <c r="II1909" s="20"/>
      <c r="IJ1909" s="20"/>
      <c r="IK1909" s="20"/>
      <c r="IL1909" s="20"/>
      <c r="IM1909" s="20"/>
      <c r="IN1909" s="20"/>
      <c r="IO1909" s="20"/>
    </row>
    <row r="1910" spans="1:249" s="22" customFormat="1" ht="49.5">
      <c r="A1910" s="794"/>
      <c r="B1910" s="840"/>
      <c r="C1910" s="841">
        <v>4</v>
      </c>
      <c r="D1910" s="841" t="s">
        <v>34</v>
      </c>
      <c r="E1910" s="841" t="s">
        <v>25</v>
      </c>
      <c r="F1910" s="841" t="s">
        <v>28</v>
      </c>
      <c r="G1910" s="841" t="s">
        <v>56</v>
      </c>
      <c r="H1910" s="1189"/>
      <c r="I1910" s="6" t="s">
        <v>3321</v>
      </c>
      <c r="J1910" s="6" t="s">
        <v>3325</v>
      </c>
      <c r="K1910" s="1902">
        <v>72</v>
      </c>
      <c r="L1910" s="1908">
        <v>3690000000</v>
      </c>
      <c r="M1910" s="1903">
        <v>36</v>
      </c>
      <c r="N1910" s="1905">
        <v>893308900</v>
      </c>
      <c r="O1910" s="1902">
        <v>3</v>
      </c>
      <c r="P1910" s="1905">
        <v>987928750</v>
      </c>
      <c r="Q1910" s="1903">
        <v>3</v>
      </c>
      <c r="R1910" s="1904">
        <v>215147200</v>
      </c>
      <c r="S1910" s="1228">
        <v>3</v>
      </c>
      <c r="T1910" s="1906">
        <v>17450000</v>
      </c>
      <c r="U1910" s="1228"/>
      <c r="V1910" s="1906"/>
      <c r="W1910" s="795"/>
      <c r="X1910" s="1906"/>
      <c r="Y1910" s="1903">
        <f t="shared" si="550"/>
        <v>6</v>
      </c>
      <c r="Z1910" s="1906">
        <f t="shared" si="545"/>
        <v>232597200</v>
      </c>
      <c r="AA1910" s="1903">
        <f t="shared" si="546"/>
        <v>42</v>
      </c>
      <c r="AB1910" s="1906">
        <f t="shared" si="547"/>
        <v>1125906100</v>
      </c>
      <c r="AC1910" s="1907">
        <f t="shared" si="548"/>
        <v>58.333333333333336</v>
      </c>
      <c r="AD1910" s="1907">
        <f t="shared" si="549"/>
        <v>30.512360433604336</v>
      </c>
      <c r="AE1910" s="102" t="s">
        <v>1979</v>
      </c>
      <c r="AF1910" s="201"/>
      <c r="AG1910" s="201"/>
      <c r="AH1910" s="201"/>
      <c r="AI1910" s="201"/>
      <c r="AJ1910" s="201"/>
      <c r="AK1910" s="201"/>
      <c r="AL1910" s="201"/>
      <c r="AM1910" s="201"/>
      <c r="AN1910" s="201"/>
      <c r="AO1910" s="201"/>
      <c r="AP1910" s="201"/>
      <c r="AQ1910" s="201"/>
      <c r="AR1910" s="201"/>
      <c r="AS1910" s="201"/>
      <c r="AT1910" s="201"/>
      <c r="AU1910" s="201"/>
      <c r="AV1910" s="201"/>
      <c r="AW1910" s="201"/>
      <c r="AX1910" s="201"/>
      <c r="AY1910" s="201"/>
      <c r="AZ1910" s="201"/>
      <c r="BA1910" s="201"/>
      <c r="BB1910" s="201"/>
      <c r="BC1910" s="20"/>
      <c r="BD1910" s="20"/>
      <c r="BE1910" s="20"/>
      <c r="BF1910" s="20"/>
      <c r="BG1910" s="20"/>
      <c r="BH1910" s="20"/>
      <c r="BI1910" s="20"/>
      <c r="BJ1910" s="20"/>
      <c r="BK1910" s="20"/>
      <c r="BL1910" s="20"/>
      <c r="BM1910" s="20"/>
      <c r="BN1910" s="20"/>
      <c r="BO1910" s="20"/>
      <c r="BP1910" s="20"/>
      <c r="BQ1910" s="20"/>
      <c r="BR1910" s="20"/>
      <c r="BS1910" s="20"/>
      <c r="BT1910" s="20"/>
      <c r="BU1910" s="20"/>
      <c r="BV1910" s="20"/>
      <c r="BW1910" s="20"/>
      <c r="BX1910" s="20"/>
      <c r="BY1910" s="20"/>
      <c r="BZ1910" s="20"/>
      <c r="CA1910" s="20"/>
      <c r="CB1910" s="20"/>
      <c r="CC1910" s="20"/>
      <c r="CD1910" s="20"/>
      <c r="CE1910" s="20"/>
      <c r="CF1910" s="20"/>
      <c r="CG1910" s="20"/>
      <c r="CH1910" s="20"/>
      <c r="CI1910" s="20"/>
      <c r="CJ1910" s="20"/>
      <c r="CK1910" s="20"/>
      <c r="CL1910" s="20"/>
      <c r="CM1910" s="20"/>
      <c r="CN1910" s="20"/>
      <c r="CO1910" s="20"/>
      <c r="CP1910" s="20"/>
      <c r="CQ1910" s="20"/>
      <c r="CR1910" s="20"/>
      <c r="CS1910" s="20"/>
      <c r="CT1910" s="20"/>
      <c r="CU1910" s="20"/>
      <c r="CV1910" s="20"/>
      <c r="CW1910" s="20"/>
      <c r="CX1910" s="20"/>
      <c r="CY1910" s="20"/>
      <c r="CZ1910" s="20"/>
      <c r="DA1910" s="20"/>
      <c r="DB1910" s="20"/>
      <c r="DC1910" s="20"/>
      <c r="DD1910" s="20"/>
      <c r="DE1910" s="20"/>
      <c r="DF1910" s="20"/>
      <c r="DG1910" s="20"/>
      <c r="DH1910" s="20"/>
      <c r="DI1910" s="20"/>
      <c r="DJ1910" s="20"/>
      <c r="DK1910" s="20"/>
      <c r="DL1910" s="20"/>
      <c r="DM1910" s="20"/>
      <c r="DN1910" s="20"/>
      <c r="DO1910" s="20"/>
      <c r="DP1910" s="20"/>
      <c r="DQ1910" s="20"/>
      <c r="DR1910" s="20"/>
      <c r="DS1910" s="20"/>
      <c r="DT1910" s="20"/>
      <c r="DU1910" s="20"/>
      <c r="DV1910" s="20"/>
      <c r="DW1910" s="20"/>
      <c r="DX1910" s="20"/>
      <c r="DY1910" s="20"/>
      <c r="DZ1910" s="20"/>
      <c r="EA1910" s="20"/>
      <c r="EB1910" s="20"/>
      <c r="EC1910" s="20"/>
      <c r="ED1910" s="20"/>
      <c r="EE1910" s="20"/>
      <c r="EF1910" s="20"/>
      <c r="EG1910" s="20"/>
      <c r="EH1910" s="20"/>
      <c r="EI1910" s="20"/>
      <c r="EJ1910" s="20"/>
      <c r="EK1910" s="20"/>
      <c r="EL1910" s="20"/>
      <c r="EM1910" s="20"/>
      <c r="EN1910" s="20"/>
      <c r="EO1910" s="20"/>
      <c r="EP1910" s="20"/>
      <c r="EQ1910" s="20"/>
      <c r="ER1910" s="20"/>
      <c r="ES1910" s="20"/>
      <c r="ET1910" s="20"/>
      <c r="EU1910" s="20"/>
      <c r="EV1910" s="20"/>
      <c r="EW1910" s="20"/>
      <c r="EX1910" s="20"/>
      <c r="EY1910" s="20"/>
      <c r="EZ1910" s="20"/>
      <c r="FA1910" s="20"/>
      <c r="FB1910" s="20"/>
      <c r="FC1910" s="20"/>
      <c r="FD1910" s="20"/>
      <c r="FE1910" s="20"/>
      <c r="FF1910" s="20"/>
      <c r="FG1910" s="20"/>
      <c r="FH1910" s="20"/>
      <c r="FI1910" s="20"/>
      <c r="FJ1910" s="20"/>
      <c r="FK1910" s="20"/>
      <c r="FL1910" s="20"/>
      <c r="FM1910" s="20"/>
      <c r="FN1910" s="20"/>
      <c r="FO1910" s="20"/>
      <c r="FP1910" s="20"/>
      <c r="FQ1910" s="20"/>
      <c r="FR1910" s="20"/>
      <c r="FS1910" s="20"/>
      <c r="FT1910" s="20"/>
      <c r="FU1910" s="20"/>
      <c r="FV1910" s="20"/>
      <c r="FW1910" s="20"/>
      <c r="FX1910" s="20"/>
      <c r="FY1910" s="20"/>
      <c r="FZ1910" s="20"/>
      <c r="GA1910" s="20"/>
      <c r="GB1910" s="20"/>
      <c r="GC1910" s="20"/>
      <c r="GD1910" s="20"/>
      <c r="GE1910" s="20"/>
      <c r="GF1910" s="20"/>
      <c r="GG1910" s="20"/>
      <c r="GH1910" s="20"/>
      <c r="GI1910" s="20"/>
      <c r="GJ1910" s="20"/>
      <c r="GK1910" s="20"/>
      <c r="GL1910" s="20"/>
      <c r="GM1910" s="20"/>
      <c r="GN1910" s="20"/>
      <c r="GO1910" s="20"/>
      <c r="GP1910" s="20"/>
      <c r="GQ1910" s="20"/>
      <c r="GR1910" s="20"/>
      <c r="GS1910" s="20"/>
      <c r="GT1910" s="20"/>
      <c r="GU1910" s="20"/>
      <c r="GV1910" s="20"/>
      <c r="GW1910" s="20"/>
      <c r="GX1910" s="20"/>
      <c r="GY1910" s="20"/>
      <c r="GZ1910" s="20"/>
      <c r="HA1910" s="20"/>
      <c r="HB1910" s="20"/>
      <c r="HC1910" s="20"/>
      <c r="HD1910" s="20"/>
      <c r="HE1910" s="20"/>
      <c r="HF1910" s="20"/>
      <c r="HG1910" s="20"/>
      <c r="HH1910" s="20"/>
      <c r="HI1910" s="20"/>
      <c r="HJ1910" s="20"/>
      <c r="HK1910" s="20"/>
      <c r="HL1910" s="20"/>
      <c r="HM1910" s="20"/>
      <c r="HN1910" s="20"/>
      <c r="HO1910" s="20"/>
      <c r="HP1910" s="20"/>
      <c r="HQ1910" s="20"/>
      <c r="HR1910" s="20"/>
      <c r="HS1910" s="20"/>
      <c r="HT1910" s="20"/>
      <c r="HU1910" s="20"/>
      <c r="HV1910" s="20"/>
      <c r="HW1910" s="20"/>
      <c r="HX1910" s="20"/>
      <c r="HY1910" s="20"/>
      <c r="HZ1910" s="20"/>
      <c r="IA1910" s="20"/>
      <c r="IB1910" s="20"/>
      <c r="IC1910" s="20"/>
      <c r="ID1910" s="20"/>
      <c r="IE1910" s="20"/>
      <c r="IF1910" s="20"/>
      <c r="IG1910" s="20"/>
      <c r="IH1910" s="20"/>
      <c r="II1910" s="20"/>
      <c r="IJ1910" s="20"/>
      <c r="IK1910" s="20"/>
      <c r="IL1910" s="20"/>
      <c r="IM1910" s="20"/>
      <c r="IN1910" s="20"/>
      <c r="IO1910" s="20"/>
    </row>
    <row r="1911" spans="1:249" s="22" customFormat="1" ht="49.5">
      <c r="A1911" s="794"/>
      <c r="B1911" s="840"/>
      <c r="C1911" s="841">
        <v>4</v>
      </c>
      <c r="D1911" s="841" t="s">
        <v>34</v>
      </c>
      <c r="E1911" s="841" t="s">
        <v>25</v>
      </c>
      <c r="F1911" s="841" t="s">
        <v>28</v>
      </c>
      <c r="G1911" s="841" t="s">
        <v>30</v>
      </c>
      <c r="H1911" s="1189"/>
      <c r="I1911" s="407" t="s">
        <v>1819</v>
      </c>
      <c r="J1911" s="843" t="s">
        <v>3322</v>
      </c>
      <c r="K1911" s="1902">
        <v>72</v>
      </c>
      <c r="L1911" s="1908">
        <v>492500000</v>
      </c>
      <c r="M1911" s="1903">
        <v>36</v>
      </c>
      <c r="N1911" s="1904">
        <f>58543000+60118000+22500000</f>
        <v>141161000</v>
      </c>
      <c r="O1911" s="1902">
        <v>3</v>
      </c>
      <c r="P1911" s="1905">
        <v>94280000</v>
      </c>
      <c r="Q1911" s="1903">
        <v>3</v>
      </c>
      <c r="R1911" s="1904">
        <v>17450000</v>
      </c>
      <c r="S1911" s="1903">
        <v>3</v>
      </c>
      <c r="T1911" s="795">
        <v>24043000</v>
      </c>
      <c r="U1911" s="795"/>
      <c r="V1911" s="795"/>
      <c r="W1911" s="795"/>
      <c r="X1911" s="1919"/>
      <c r="Y1911" s="1903">
        <f t="shared" si="550"/>
        <v>6</v>
      </c>
      <c r="Z1911" s="1906">
        <f t="shared" si="545"/>
        <v>41493000</v>
      </c>
      <c r="AA1911" s="1903">
        <f t="shared" si="546"/>
        <v>42</v>
      </c>
      <c r="AB1911" s="1906">
        <f t="shared" si="547"/>
        <v>182654000</v>
      </c>
      <c r="AC1911" s="1907">
        <f t="shared" si="548"/>
        <v>58.333333333333336</v>
      </c>
      <c r="AD1911" s="1907">
        <f t="shared" si="549"/>
        <v>37.087106598984768</v>
      </c>
      <c r="AE1911" s="102" t="s">
        <v>1979</v>
      </c>
      <c r="AF1911" s="201"/>
      <c r="AG1911" s="201"/>
      <c r="AH1911" s="201"/>
      <c r="AI1911" s="201"/>
      <c r="AJ1911" s="201"/>
      <c r="AK1911" s="201"/>
      <c r="AL1911" s="201"/>
      <c r="AM1911" s="201"/>
      <c r="AN1911" s="201"/>
      <c r="AO1911" s="201"/>
      <c r="AP1911" s="201"/>
      <c r="AQ1911" s="201"/>
      <c r="AR1911" s="201"/>
      <c r="AS1911" s="201"/>
      <c r="AT1911" s="201"/>
      <c r="AU1911" s="201"/>
      <c r="AV1911" s="201"/>
      <c r="AW1911" s="201"/>
      <c r="AX1911" s="201"/>
      <c r="AY1911" s="201"/>
      <c r="AZ1911" s="201"/>
      <c r="BA1911" s="201"/>
      <c r="BB1911" s="201"/>
      <c r="BC1911" s="20"/>
      <c r="BD1911" s="20"/>
      <c r="BE1911" s="20"/>
      <c r="BF1911" s="20"/>
      <c r="BG1911" s="20"/>
      <c r="BH1911" s="20"/>
      <c r="BI1911" s="20"/>
      <c r="BJ1911" s="20"/>
      <c r="BK1911" s="20"/>
      <c r="BL1911" s="20"/>
      <c r="BM1911" s="20"/>
      <c r="BN1911" s="20"/>
      <c r="BO1911" s="20"/>
      <c r="BP1911" s="20"/>
      <c r="BQ1911" s="20"/>
      <c r="BR1911" s="20"/>
      <c r="BS1911" s="20"/>
      <c r="BT1911" s="20"/>
      <c r="BU1911" s="20"/>
      <c r="BV1911" s="20"/>
      <c r="BW1911" s="20"/>
      <c r="BX1911" s="20"/>
      <c r="BY1911" s="20"/>
      <c r="BZ1911" s="20"/>
      <c r="CA1911" s="20"/>
      <c r="CB1911" s="20"/>
      <c r="CC1911" s="20"/>
      <c r="CD1911" s="20"/>
      <c r="CE1911" s="20"/>
      <c r="CF1911" s="20"/>
      <c r="CG1911" s="20"/>
      <c r="CH1911" s="20"/>
      <c r="CI1911" s="20"/>
      <c r="CJ1911" s="20"/>
      <c r="CK1911" s="20"/>
      <c r="CL1911" s="20"/>
      <c r="CM1911" s="20"/>
      <c r="CN1911" s="20"/>
      <c r="CO1911" s="20"/>
      <c r="CP1911" s="20"/>
      <c r="CQ1911" s="20"/>
      <c r="CR1911" s="20"/>
      <c r="CS1911" s="20"/>
      <c r="CT1911" s="20"/>
      <c r="CU1911" s="20"/>
      <c r="CV1911" s="20"/>
      <c r="CW1911" s="20"/>
      <c r="CX1911" s="20"/>
      <c r="CY1911" s="20"/>
      <c r="CZ1911" s="20"/>
      <c r="DA1911" s="20"/>
      <c r="DB1911" s="20"/>
      <c r="DC1911" s="20"/>
      <c r="DD1911" s="20"/>
      <c r="DE1911" s="20"/>
      <c r="DF1911" s="20"/>
      <c r="DG1911" s="20"/>
      <c r="DH1911" s="20"/>
      <c r="DI1911" s="20"/>
      <c r="DJ1911" s="20"/>
      <c r="DK1911" s="20"/>
      <c r="DL1911" s="20"/>
      <c r="DM1911" s="20"/>
      <c r="DN1911" s="20"/>
      <c r="DO1911" s="20"/>
      <c r="DP1911" s="20"/>
      <c r="DQ1911" s="20"/>
      <c r="DR1911" s="20"/>
      <c r="DS1911" s="20"/>
      <c r="DT1911" s="20"/>
      <c r="DU1911" s="20"/>
      <c r="DV1911" s="20"/>
      <c r="DW1911" s="20"/>
      <c r="DX1911" s="20"/>
      <c r="DY1911" s="20"/>
      <c r="DZ1911" s="20"/>
      <c r="EA1911" s="20"/>
      <c r="EB1911" s="20"/>
      <c r="EC1911" s="20"/>
      <c r="ED1911" s="20"/>
      <c r="EE1911" s="20"/>
      <c r="EF1911" s="20"/>
      <c r="EG1911" s="20"/>
      <c r="EH1911" s="20"/>
      <c r="EI1911" s="20"/>
      <c r="EJ1911" s="20"/>
      <c r="EK1911" s="20"/>
      <c r="EL1911" s="20"/>
      <c r="EM1911" s="20"/>
      <c r="EN1911" s="20"/>
      <c r="EO1911" s="20"/>
      <c r="EP1911" s="20"/>
      <c r="EQ1911" s="20"/>
      <c r="ER1911" s="20"/>
      <c r="ES1911" s="20"/>
      <c r="ET1911" s="20"/>
      <c r="EU1911" s="20"/>
      <c r="EV1911" s="20"/>
      <c r="EW1911" s="20"/>
      <c r="EX1911" s="20"/>
      <c r="EY1911" s="20"/>
      <c r="EZ1911" s="20"/>
      <c r="FA1911" s="20"/>
      <c r="FB1911" s="20"/>
      <c r="FC1911" s="20"/>
      <c r="FD1911" s="20"/>
      <c r="FE1911" s="20"/>
      <c r="FF1911" s="20"/>
      <c r="FG1911" s="20"/>
      <c r="FH1911" s="20"/>
      <c r="FI1911" s="20"/>
      <c r="FJ1911" s="20"/>
      <c r="FK1911" s="20"/>
      <c r="FL1911" s="20"/>
      <c r="FM1911" s="20"/>
      <c r="FN1911" s="20"/>
      <c r="FO1911" s="20"/>
      <c r="FP1911" s="20"/>
      <c r="FQ1911" s="20"/>
      <c r="FR1911" s="20"/>
      <c r="FS1911" s="20"/>
      <c r="FT1911" s="20"/>
      <c r="FU1911" s="20"/>
      <c r="FV1911" s="20"/>
      <c r="FW1911" s="20"/>
      <c r="FX1911" s="20"/>
      <c r="FY1911" s="20"/>
      <c r="FZ1911" s="20"/>
      <c r="GA1911" s="20"/>
      <c r="GB1911" s="20"/>
      <c r="GC1911" s="20"/>
      <c r="GD1911" s="20"/>
      <c r="GE1911" s="20"/>
      <c r="GF1911" s="20"/>
      <c r="GG1911" s="20"/>
      <c r="GH1911" s="20"/>
      <c r="GI1911" s="20"/>
      <c r="GJ1911" s="20"/>
      <c r="GK1911" s="20"/>
      <c r="GL1911" s="20"/>
      <c r="GM1911" s="20"/>
      <c r="GN1911" s="20"/>
      <c r="GO1911" s="20"/>
      <c r="GP1911" s="20"/>
      <c r="GQ1911" s="20"/>
      <c r="GR1911" s="20"/>
      <c r="GS1911" s="20"/>
      <c r="GT1911" s="20"/>
      <c r="GU1911" s="20"/>
      <c r="GV1911" s="20"/>
      <c r="GW1911" s="20"/>
      <c r="GX1911" s="20"/>
      <c r="GY1911" s="20"/>
      <c r="GZ1911" s="20"/>
      <c r="HA1911" s="20"/>
      <c r="HB1911" s="20"/>
      <c r="HC1911" s="20"/>
      <c r="HD1911" s="20"/>
      <c r="HE1911" s="20"/>
      <c r="HF1911" s="20"/>
      <c r="HG1911" s="20"/>
      <c r="HH1911" s="20"/>
      <c r="HI1911" s="20"/>
      <c r="HJ1911" s="20"/>
      <c r="HK1911" s="20"/>
      <c r="HL1911" s="20"/>
      <c r="HM1911" s="20"/>
      <c r="HN1911" s="20"/>
      <c r="HO1911" s="20"/>
      <c r="HP1911" s="20"/>
      <c r="HQ1911" s="20"/>
      <c r="HR1911" s="20"/>
      <c r="HS1911" s="20"/>
      <c r="HT1911" s="20"/>
      <c r="HU1911" s="20"/>
      <c r="HV1911" s="20"/>
      <c r="HW1911" s="20"/>
      <c r="HX1911" s="20"/>
      <c r="HY1911" s="20"/>
      <c r="HZ1911" s="20"/>
      <c r="IA1911" s="20"/>
      <c r="IB1911" s="20"/>
      <c r="IC1911" s="20"/>
      <c r="ID1911" s="20"/>
      <c r="IE1911" s="20"/>
      <c r="IF1911" s="20"/>
      <c r="IG1911" s="20"/>
      <c r="IH1911" s="20"/>
      <c r="II1911" s="20"/>
      <c r="IJ1911" s="20"/>
      <c r="IK1911" s="20"/>
      <c r="IL1911" s="20"/>
      <c r="IM1911" s="20"/>
      <c r="IN1911" s="20"/>
      <c r="IO1911" s="20"/>
    </row>
    <row r="1912" spans="1:249" s="22" customFormat="1" ht="33">
      <c r="A1912" s="794"/>
      <c r="B1912" s="840"/>
      <c r="C1912" s="841">
        <v>4</v>
      </c>
      <c r="D1912" s="841" t="s">
        <v>34</v>
      </c>
      <c r="E1912" s="841" t="s">
        <v>25</v>
      </c>
      <c r="F1912" s="841" t="s">
        <v>28</v>
      </c>
      <c r="G1912" s="841" t="s">
        <v>43</v>
      </c>
      <c r="H1912" s="1189"/>
      <c r="I1912" s="407" t="s">
        <v>82</v>
      </c>
      <c r="J1912" s="843" t="s">
        <v>3323</v>
      </c>
      <c r="K1912" s="1902">
        <v>72</v>
      </c>
      <c r="L1912" s="1908">
        <v>3400000000</v>
      </c>
      <c r="M1912" s="1903">
        <v>36</v>
      </c>
      <c r="N1912" s="1904">
        <f>595832100+493469000+297386421</f>
        <v>1386687521</v>
      </c>
      <c r="O1912" s="1902">
        <v>3</v>
      </c>
      <c r="P1912" s="1905">
        <v>278650000</v>
      </c>
      <c r="Q1912" s="1903">
        <v>3</v>
      </c>
      <c r="R1912" s="1904">
        <v>15500000</v>
      </c>
      <c r="S1912" s="1228"/>
      <c r="T1912" s="1906">
        <v>0</v>
      </c>
      <c r="U1912" s="1228"/>
      <c r="V1912" s="1906"/>
      <c r="W1912" s="795"/>
      <c r="X1912" s="1906"/>
      <c r="Y1912" s="1903">
        <f t="shared" si="550"/>
        <v>3</v>
      </c>
      <c r="Z1912" s="1906">
        <f t="shared" si="545"/>
        <v>15500000</v>
      </c>
      <c r="AA1912" s="1903">
        <f t="shared" si="546"/>
        <v>39</v>
      </c>
      <c r="AB1912" s="1906">
        <f t="shared" si="547"/>
        <v>1402187521</v>
      </c>
      <c r="AC1912" s="1907">
        <f t="shared" si="548"/>
        <v>54.166666666666664</v>
      </c>
      <c r="AD1912" s="1907">
        <f t="shared" si="549"/>
        <v>41.240809441176467</v>
      </c>
      <c r="AE1912" s="102" t="s">
        <v>1979</v>
      </c>
      <c r="AF1912" s="201"/>
      <c r="AG1912" s="201"/>
      <c r="AH1912" s="201"/>
      <c r="AI1912" s="201"/>
      <c r="AJ1912" s="201"/>
      <c r="AK1912" s="201"/>
      <c r="AL1912" s="201"/>
      <c r="AM1912" s="201"/>
      <c r="AN1912" s="201"/>
      <c r="AO1912" s="201"/>
      <c r="AP1912" s="201"/>
      <c r="AQ1912" s="201"/>
      <c r="AR1912" s="201"/>
      <c r="AS1912" s="201"/>
      <c r="AT1912" s="201"/>
      <c r="AU1912" s="201"/>
      <c r="AV1912" s="201"/>
      <c r="AW1912" s="201"/>
      <c r="AX1912" s="201"/>
      <c r="AY1912" s="201"/>
      <c r="AZ1912" s="201"/>
      <c r="BA1912" s="201"/>
      <c r="BB1912" s="201"/>
      <c r="BC1912" s="20"/>
      <c r="BD1912" s="20"/>
      <c r="BE1912" s="20"/>
      <c r="BF1912" s="20"/>
      <c r="BG1912" s="20"/>
      <c r="BH1912" s="20"/>
      <c r="BI1912" s="20"/>
      <c r="BJ1912" s="20"/>
      <c r="BK1912" s="20"/>
      <c r="BL1912" s="20"/>
      <c r="BM1912" s="20"/>
      <c r="BN1912" s="20"/>
      <c r="BO1912" s="20"/>
      <c r="BP1912" s="20"/>
      <c r="BQ1912" s="20"/>
      <c r="BR1912" s="20"/>
      <c r="BS1912" s="20"/>
      <c r="BT1912" s="20"/>
      <c r="BU1912" s="20"/>
      <c r="BV1912" s="20"/>
      <c r="BW1912" s="20"/>
      <c r="BX1912" s="20"/>
      <c r="BY1912" s="20"/>
      <c r="BZ1912" s="20"/>
      <c r="CA1912" s="20"/>
      <c r="CB1912" s="20"/>
      <c r="CC1912" s="20"/>
      <c r="CD1912" s="20"/>
      <c r="CE1912" s="20"/>
      <c r="CF1912" s="20"/>
      <c r="CG1912" s="20"/>
      <c r="CH1912" s="20"/>
      <c r="CI1912" s="20"/>
      <c r="CJ1912" s="20"/>
      <c r="CK1912" s="20"/>
      <c r="CL1912" s="20"/>
      <c r="CM1912" s="20"/>
      <c r="CN1912" s="20"/>
      <c r="CO1912" s="20"/>
      <c r="CP1912" s="20"/>
      <c r="CQ1912" s="20"/>
      <c r="CR1912" s="20"/>
      <c r="CS1912" s="20"/>
      <c r="CT1912" s="20"/>
      <c r="CU1912" s="20"/>
      <c r="CV1912" s="20"/>
      <c r="CW1912" s="20"/>
      <c r="CX1912" s="20"/>
      <c r="CY1912" s="20"/>
      <c r="CZ1912" s="20"/>
      <c r="DA1912" s="20"/>
      <c r="DB1912" s="20"/>
      <c r="DC1912" s="20"/>
      <c r="DD1912" s="20"/>
      <c r="DE1912" s="20"/>
      <c r="DF1912" s="20"/>
      <c r="DG1912" s="20"/>
      <c r="DH1912" s="20"/>
      <c r="DI1912" s="20"/>
      <c r="DJ1912" s="20"/>
      <c r="DK1912" s="20"/>
      <c r="DL1912" s="20"/>
      <c r="DM1912" s="20"/>
      <c r="DN1912" s="20"/>
      <c r="DO1912" s="20"/>
      <c r="DP1912" s="20"/>
      <c r="DQ1912" s="20"/>
      <c r="DR1912" s="20"/>
      <c r="DS1912" s="20"/>
      <c r="DT1912" s="20"/>
      <c r="DU1912" s="20"/>
      <c r="DV1912" s="20"/>
      <c r="DW1912" s="20"/>
      <c r="DX1912" s="20"/>
      <c r="DY1912" s="20"/>
      <c r="DZ1912" s="20"/>
      <c r="EA1912" s="20"/>
      <c r="EB1912" s="20"/>
      <c r="EC1912" s="20"/>
      <c r="ED1912" s="20"/>
      <c r="EE1912" s="20"/>
      <c r="EF1912" s="20"/>
      <c r="EG1912" s="20"/>
      <c r="EH1912" s="20"/>
      <c r="EI1912" s="20"/>
      <c r="EJ1912" s="20"/>
      <c r="EK1912" s="20"/>
      <c r="EL1912" s="20"/>
      <c r="EM1912" s="20"/>
      <c r="EN1912" s="20"/>
      <c r="EO1912" s="20"/>
      <c r="EP1912" s="20"/>
      <c r="EQ1912" s="20"/>
      <c r="ER1912" s="20"/>
      <c r="ES1912" s="20"/>
      <c r="ET1912" s="20"/>
      <c r="EU1912" s="20"/>
      <c r="EV1912" s="20"/>
      <c r="EW1912" s="20"/>
      <c r="EX1912" s="20"/>
      <c r="EY1912" s="20"/>
      <c r="EZ1912" s="20"/>
      <c r="FA1912" s="20"/>
      <c r="FB1912" s="20"/>
      <c r="FC1912" s="20"/>
      <c r="FD1912" s="20"/>
      <c r="FE1912" s="20"/>
      <c r="FF1912" s="20"/>
      <c r="FG1912" s="20"/>
      <c r="FH1912" s="20"/>
      <c r="FI1912" s="20"/>
      <c r="FJ1912" s="20"/>
      <c r="FK1912" s="20"/>
      <c r="FL1912" s="20"/>
      <c r="FM1912" s="20"/>
      <c r="FN1912" s="20"/>
      <c r="FO1912" s="20"/>
      <c r="FP1912" s="20"/>
      <c r="FQ1912" s="20"/>
      <c r="FR1912" s="20"/>
      <c r="FS1912" s="20"/>
      <c r="FT1912" s="20"/>
      <c r="FU1912" s="20"/>
      <c r="FV1912" s="20"/>
      <c r="FW1912" s="20"/>
      <c r="FX1912" s="20"/>
      <c r="FY1912" s="20"/>
      <c r="FZ1912" s="20"/>
      <c r="GA1912" s="20"/>
      <c r="GB1912" s="20"/>
      <c r="GC1912" s="20"/>
      <c r="GD1912" s="20"/>
      <c r="GE1912" s="20"/>
      <c r="GF1912" s="20"/>
      <c r="GG1912" s="20"/>
      <c r="GH1912" s="20"/>
      <c r="GI1912" s="20"/>
      <c r="GJ1912" s="20"/>
      <c r="GK1912" s="20"/>
      <c r="GL1912" s="20"/>
      <c r="GM1912" s="20"/>
      <c r="GN1912" s="20"/>
      <c r="GO1912" s="20"/>
      <c r="GP1912" s="20"/>
      <c r="GQ1912" s="20"/>
      <c r="GR1912" s="20"/>
      <c r="GS1912" s="20"/>
      <c r="GT1912" s="20"/>
      <c r="GU1912" s="20"/>
      <c r="GV1912" s="20"/>
      <c r="GW1912" s="20"/>
      <c r="GX1912" s="20"/>
      <c r="GY1912" s="20"/>
      <c r="GZ1912" s="20"/>
      <c r="HA1912" s="20"/>
      <c r="HB1912" s="20"/>
      <c r="HC1912" s="20"/>
      <c r="HD1912" s="20"/>
      <c r="HE1912" s="20"/>
      <c r="HF1912" s="20"/>
      <c r="HG1912" s="20"/>
      <c r="HH1912" s="20"/>
      <c r="HI1912" s="20"/>
      <c r="HJ1912" s="20"/>
      <c r="HK1912" s="20"/>
      <c r="HL1912" s="20"/>
      <c r="HM1912" s="20"/>
      <c r="HN1912" s="20"/>
      <c r="HO1912" s="20"/>
      <c r="HP1912" s="20"/>
      <c r="HQ1912" s="20"/>
      <c r="HR1912" s="20"/>
      <c r="HS1912" s="20"/>
      <c r="HT1912" s="20"/>
      <c r="HU1912" s="20"/>
      <c r="HV1912" s="20"/>
      <c r="HW1912" s="20"/>
      <c r="HX1912" s="20"/>
      <c r="HY1912" s="20"/>
      <c r="HZ1912" s="20"/>
      <c r="IA1912" s="20"/>
      <c r="IB1912" s="20"/>
      <c r="IC1912" s="20"/>
      <c r="ID1912" s="20"/>
      <c r="IE1912" s="20"/>
      <c r="IF1912" s="20"/>
      <c r="IG1912" s="20"/>
      <c r="IH1912" s="20"/>
      <c r="II1912" s="20"/>
      <c r="IJ1912" s="20"/>
      <c r="IK1912" s="20"/>
      <c r="IL1912" s="20"/>
      <c r="IM1912" s="20"/>
      <c r="IN1912" s="20"/>
      <c r="IO1912" s="20"/>
    </row>
    <row r="1913" spans="1:249" s="22" customFormat="1" ht="29.25" customHeight="1">
      <c r="A1913" s="794"/>
      <c r="B1913" s="840"/>
      <c r="C1913" s="841">
        <v>4</v>
      </c>
      <c r="D1913" s="841" t="s">
        <v>34</v>
      </c>
      <c r="E1913" s="841" t="s">
        <v>25</v>
      </c>
      <c r="F1913" s="841" t="s">
        <v>28</v>
      </c>
      <c r="G1913" s="841" t="s">
        <v>31</v>
      </c>
      <c r="H1913" s="1189"/>
      <c r="I1913" s="407" t="s">
        <v>580</v>
      </c>
      <c r="J1913" s="843" t="s">
        <v>3324</v>
      </c>
      <c r="K1913" s="1902">
        <v>72</v>
      </c>
      <c r="L1913" s="1908">
        <v>1156000000</v>
      </c>
      <c r="M1913" s="1903">
        <v>36</v>
      </c>
      <c r="N1913" s="1904">
        <f>138650000+250050000+137450000</f>
        <v>526150000</v>
      </c>
      <c r="O1913" s="1902">
        <v>3</v>
      </c>
      <c r="P1913" s="1905">
        <v>129750000</v>
      </c>
      <c r="Q1913" s="1903">
        <v>0</v>
      </c>
      <c r="R1913" s="1904">
        <v>0</v>
      </c>
      <c r="S1913" s="1228"/>
      <c r="T1913" s="1906"/>
      <c r="U1913" s="1228"/>
      <c r="V1913" s="1906"/>
      <c r="W1913" s="795"/>
      <c r="X1913" s="1906"/>
      <c r="Y1913" s="1903">
        <f t="shared" si="550"/>
        <v>0</v>
      </c>
      <c r="Z1913" s="1906">
        <f t="shared" si="545"/>
        <v>0</v>
      </c>
      <c r="AA1913" s="1903">
        <f t="shared" si="546"/>
        <v>36</v>
      </c>
      <c r="AB1913" s="1906">
        <f t="shared" si="547"/>
        <v>526150000</v>
      </c>
      <c r="AC1913" s="1907">
        <f t="shared" si="548"/>
        <v>50</v>
      </c>
      <c r="AD1913" s="1907">
        <f t="shared" si="549"/>
        <v>45.514705882352942</v>
      </c>
      <c r="AE1913" s="102" t="s">
        <v>1979</v>
      </c>
      <c r="AF1913" s="201"/>
      <c r="AG1913" s="201"/>
      <c r="AH1913" s="201"/>
      <c r="AI1913" s="201"/>
      <c r="AJ1913" s="201"/>
      <c r="AK1913" s="201"/>
      <c r="AL1913" s="201"/>
      <c r="AM1913" s="201"/>
      <c r="AN1913" s="201"/>
      <c r="AO1913" s="201"/>
      <c r="AP1913" s="201"/>
      <c r="AQ1913" s="201"/>
      <c r="AR1913" s="201"/>
      <c r="AS1913" s="201"/>
      <c r="AT1913" s="201"/>
      <c r="AU1913" s="201"/>
      <c r="AV1913" s="201"/>
      <c r="AW1913" s="201"/>
      <c r="AX1913" s="201"/>
      <c r="AY1913" s="201"/>
      <c r="AZ1913" s="201"/>
      <c r="BA1913" s="201"/>
      <c r="BB1913" s="201"/>
      <c r="BC1913" s="20"/>
      <c r="BD1913" s="20"/>
      <c r="BE1913" s="20"/>
      <c r="BF1913" s="20"/>
      <c r="BG1913" s="20"/>
      <c r="BH1913" s="20"/>
      <c r="BI1913" s="20"/>
      <c r="BJ1913" s="20"/>
      <c r="BK1913" s="20"/>
      <c r="BL1913" s="20"/>
      <c r="BM1913" s="20"/>
      <c r="BN1913" s="20"/>
      <c r="BO1913" s="20"/>
      <c r="BP1913" s="20"/>
      <c r="BQ1913" s="20"/>
      <c r="BR1913" s="20"/>
      <c r="BS1913" s="20"/>
      <c r="BT1913" s="20"/>
      <c r="BU1913" s="20"/>
      <c r="BV1913" s="20"/>
      <c r="BW1913" s="20"/>
      <c r="BX1913" s="20"/>
      <c r="BY1913" s="20"/>
      <c r="BZ1913" s="20"/>
      <c r="CA1913" s="20"/>
      <c r="CB1913" s="20"/>
      <c r="CC1913" s="20"/>
      <c r="CD1913" s="20"/>
      <c r="CE1913" s="20"/>
      <c r="CF1913" s="20"/>
      <c r="CG1913" s="20"/>
      <c r="CH1913" s="20"/>
      <c r="CI1913" s="20"/>
      <c r="CJ1913" s="20"/>
      <c r="CK1913" s="20"/>
      <c r="CL1913" s="20"/>
      <c r="CM1913" s="20"/>
      <c r="CN1913" s="20"/>
      <c r="CO1913" s="20"/>
      <c r="CP1913" s="20"/>
      <c r="CQ1913" s="20"/>
      <c r="CR1913" s="20"/>
      <c r="CS1913" s="20"/>
      <c r="CT1913" s="20"/>
      <c r="CU1913" s="20"/>
      <c r="CV1913" s="20"/>
      <c r="CW1913" s="20"/>
      <c r="CX1913" s="20"/>
      <c r="CY1913" s="20"/>
      <c r="CZ1913" s="20"/>
      <c r="DA1913" s="20"/>
      <c r="DB1913" s="20"/>
      <c r="DC1913" s="20"/>
      <c r="DD1913" s="20"/>
      <c r="DE1913" s="20"/>
      <c r="DF1913" s="20"/>
      <c r="DG1913" s="20"/>
      <c r="DH1913" s="20"/>
      <c r="DI1913" s="20"/>
      <c r="DJ1913" s="20"/>
      <c r="DK1913" s="20"/>
      <c r="DL1913" s="20"/>
      <c r="DM1913" s="20"/>
      <c r="DN1913" s="20"/>
      <c r="DO1913" s="20"/>
      <c r="DP1913" s="20"/>
      <c r="DQ1913" s="20"/>
      <c r="DR1913" s="20"/>
      <c r="DS1913" s="20"/>
      <c r="DT1913" s="20"/>
      <c r="DU1913" s="20"/>
      <c r="DV1913" s="20"/>
      <c r="DW1913" s="20"/>
      <c r="DX1913" s="20"/>
      <c r="DY1913" s="20"/>
      <c r="DZ1913" s="20"/>
      <c r="EA1913" s="20"/>
      <c r="EB1913" s="20"/>
      <c r="EC1913" s="20"/>
      <c r="ED1913" s="20"/>
      <c r="EE1913" s="20"/>
      <c r="EF1913" s="20"/>
      <c r="EG1913" s="20"/>
      <c r="EH1913" s="20"/>
      <c r="EI1913" s="20"/>
      <c r="EJ1913" s="20"/>
      <c r="EK1913" s="20"/>
      <c r="EL1913" s="20"/>
      <c r="EM1913" s="20"/>
      <c r="EN1913" s="20"/>
      <c r="EO1913" s="20"/>
      <c r="EP1913" s="20"/>
      <c r="EQ1913" s="20"/>
      <c r="ER1913" s="20"/>
      <c r="ES1913" s="20"/>
      <c r="ET1913" s="20"/>
      <c r="EU1913" s="20"/>
      <c r="EV1913" s="20"/>
      <c r="EW1913" s="20"/>
      <c r="EX1913" s="20"/>
      <c r="EY1913" s="20"/>
      <c r="EZ1913" s="20"/>
      <c r="FA1913" s="20"/>
      <c r="FB1913" s="20"/>
      <c r="FC1913" s="20"/>
      <c r="FD1913" s="20"/>
      <c r="FE1913" s="20"/>
      <c r="FF1913" s="20"/>
      <c r="FG1913" s="20"/>
      <c r="FH1913" s="20"/>
      <c r="FI1913" s="20"/>
      <c r="FJ1913" s="20"/>
      <c r="FK1913" s="20"/>
      <c r="FL1913" s="20"/>
      <c r="FM1913" s="20"/>
      <c r="FN1913" s="20"/>
      <c r="FO1913" s="20"/>
      <c r="FP1913" s="20"/>
      <c r="FQ1913" s="20"/>
      <c r="FR1913" s="20"/>
      <c r="FS1913" s="20"/>
      <c r="FT1913" s="20"/>
      <c r="FU1913" s="20"/>
      <c r="FV1913" s="20"/>
      <c r="FW1913" s="20"/>
      <c r="FX1913" s="20"/>
      <c r="FY1913" s="20"/>
      <c r="FZ1913" s="20"/>
      <c r="GA1913" s="20"/>
      <c r="GB1913" s="20"/>
      <c r="GC1913" s="20"/>
      <c r="GD1913" s="20"/>
      <c r="GE1913" s="20"/>
      <c r="GF1913" s="20"/>
      <c r="GG1913" s="20"/>
      <c r="GH1913" s="20"/>
      <c r="GI1913" s="20"/>
      <c r="GJ1913" s="20"/>
      <c r="GK1913" s="20"/>
      <c r="GL1913" s="20"/>
      <c r="GM1913" s="20"/>
      <c r="GN1913" s="20"/>
      <c r="GO1913" s="20"/>
      <c r="GP1913" s="20"/>
      <c r="GQ1913" s="20"/>
      <c r="GR1913" s="20"/>
      <c r="GS1913" s="20"/>
      <c r="GT1913" s="20"/>
      <c r="GU1913" s="20"/>
      <c r="GV1913" s="20"/>
      <c r="GW1913" s="20"/>
      <c r="GX1913" s="20"/>
      <c r="GY1913" s="20"/>
      <c r="GZ1913" s="20"/>
      <c r="HA1913" s="20"/>
      <c r="HB1913" s="20"/>
      <c r="HC1913" s="20"/>
      <c r="HD1913" s="20"/>
      <c r="HE1913" s="20"/>
      <c r="HF1913" s="20"/>
      <c r="HG1913" s="20"/>
      <c r="HH1913" s="20"/>
      <c r="HI1913" s="20"/>
      <c r="HJ1913" s="20"/>
      <c r="HK1913" s="20"/>
      <c r="HL1913" s="20"/>
      <c r="HM1913" s="20"/>
      <c r="HN1913" s="20"/>
      <c r="HO1913" s="20"/>
      <c r="HP1913" s="20"/>
      <c r="HQ1913" s="20"/>
      <c r="HR1913" s="20"/>
      <c r="HS1913" s="20"/>
      <c r="HT1913" s="20"/>
      <c r="HU1913" s="20"/>
      <c r="HV1913" s="20"/>
      <c r="HW1913" s="20"/>
      <c r="HX1913" s="20"/>
      <c r="HY1913" s="20"/>
      <c r="HZ1913" s="20"/>
      <c r="IA1913" s="20"/>
      <c r="IB1913" s="20"/>
      <c r="IC1913" s="20"/>
      <c r="ID1913" s="20"/>
      <c r="IE1913" s="20"/>
      <c r="IF1913" s="20"/>
      <c r="IG1913" s="20"/>
      <c r="IH1913" s="20"/>
      <c r="II1913" s="20"/>
      <c r="IJ1913" s="20"/>
      <c r="IK1913" s="20"/>
      <c r="IL1913" s="20"/>
      <c r="IM1913" s="20"/>
      <c r="IN1913" s="20"/>
      <c r="IO1913" s="20"/>
    </row>
    <row r="1914" spans="1:249" s="22" customFormat="1" ht="66">
      <c r="A1914" s="794"/>
      <c r="B1914" s="840"/>
      <c r="C1914" s="841">
        <v>4</v>
      </c>
      <c r="D1914" s="841" t="s">
        <v>34</v>
      </c>
      <c r="E1914" s="841" t="s">
        <v>25</v>
      </c>
      <c r="F1914" s="841" t="s">
        <v>28</v>
      </c>
      <c r="G1914" s="841" t="s">
        <v>44</v>
      </c>
      <c r="H1914" s="1189"/>
      <c r="I1914" s="407" t="s">
        <v>1820</v>
      </c>
      <c r="J1914" s="843" t="s">
        <v>3326</v>
      </c>
      <c r="K1914" s="1902">
        <v>72</v>
      </c>
      <c r="L1914" s="1908">
        <v>1290000000</v>
      </c>
      <c r="M1914" s="1903">
        <v>36</v>
      </c>
      <c r="N1914" s="1904">
        <f>216867245+237600000</f>
        <v>454467245</v>
      </c>
      <c r="O1914" s="1909">
        <v>0</v>
      </c>
      <c r="P1914" s="1905">
        <v>0</v>
      </c>
      <c r="Q1914" s="1903">
        <v>0</v>
      </c>
      <c r="R1914" s="1904"/>
      <c r="S1914" s="1228">
        <v>3</v>
      </c>
      <c r="T1914" s="1906">
        <v>610130175</v>
      </c>
      <c r="U1914" s="1228"/>
      <c r="V1914" s="1906"/>
      <c r="W1914" s="795"/>
      <c r="X1914" s="1906"/>
      <c r="Y1914" s="1903">
        <f t="shared" si="550"/>
        <v>3</v>
      </c>
      <c r="Z1914" s="1906">
        <f t="shared" si="545"/>
        <v>610130175</v>
      </c>
      <c r="AA1914" s="1903">
        <f t="shared" si="546"/>
        <v>39</v>
      </c>
      <c r="AB1914" s="1906">
        <f t="shared" si="547"/>
        <v>1064597420</v>
      </c>
      <c r="AC1914" s="1907">
        <f t="shared" si="548"/>
        <v>54.166666666666664</v>
      </c>
      <c r="AD1914" s="1907">
        <f t="shared" si="549"/>
        <v>82.526931782945738</v>
      </c>
      <c r="AE1914" s="102" t="s">
        <v>1979</v>
      </c>
      <c r="AF1914" s="201"/>
      <c r="AG1914" s="201"/>
      <c r="AH1914" s="201"/>
      <c r="AI1914" s="201"/>
      <c r="AJ1914" s="201"/>
      <c r="AK1914" s="201"/>
      <c r="AL1914" s="201"/>
      <c r="AM1914" s="201"/>
      <c r="AN1914" s="201"/>
      <c r="AO1914" s="201"/>
      <c r="AP1914" s="201"/>
      <c r="AQ1914" s="201"/>
      <c r="AR1914" s="201"/>
      <c r="AS1914" s="201"/>
      <c r="AT1914" s="201"/>
      <c r="AU1914" s="201"/>
      <c r="AV1914" s="201"/>
      <c r="AW1914" s="201"/>
      <c r="AX1914" s="201"/>
      <c r="AY1914" s="201"/>
      <c r="AZ1914" s="201"/>
      <c r="BA1914" s="201"/>
      <c r="BB1914" s="201"/>
      <c r="BC1914" s="20"/>
      <c r="BD1914" s="20"/>
      <c r="BE1914" s="20"/>
      <c r="BF1914" s="20"/>
      <c r="BG1914" s="20"/>
      <c r="BH1914" s="20"/>
      <c r="BI1914" s="20"/>
      <c r="BJ1914" s="20"/>
      <c r="BK1914" s="20"/>
      <c r="BL1914" s="20"/>
      <c r="BM1914" s="20"/>
      <c r="BN1914" s="20"/>
      <c r="BO1914" s="20"/>
      <c r="BP1914" s="20"/>
      <c r="BQ1914" s="20"/>
      <c r="BR1914" s="20"/>
      <c r="BS1914" s="20"/>
      <c r="BT1914" s="20"/>
      <c r="BU1914" s="20"/>
      <c r="BV1914" s="20"/>
      <c r="BW1914" s="20"/>
      <c r="BX1914" s="20"/>
      <c r="BY1914" s="20"/>
      <c r="BZ1914" s="20"/>
      <c r="CA1914" s="20"/>
      <c r="CB1914" s="20"/>
      <c r="CC1914" s="20"/>
      <c r="CD1914" s="20"/>
      <c r="CE1914" s="20"/>
      <c r="CF1914" s="20"/>
      <c r="CG1914" s="20"/>
      <c r="CH1914" s="20"/>
      <c r="CI1914" s="20"/>
      <c r="CJ1914" s="20"/>
      <c r="CK1914" s="20"/>
      <c r="CL1914" s="20"/>
      <c r="CM1914" s="20"/>
      <c r="CN1914" s="20"/>
      <c r="CO1914" s="20"/>
      <c r="CP1914" s="20"/>
      <c r="CQ1914" s="20"/>
      <c r="CR1914" s="20"/>
      <c r="CS1914" s="20"/>
      <c r="CT1914" s="20"/>
      <c r="CU1914" s="20"/>
      <c r="CV1914" s="20"/>
      <c r="CW1914" s="20"/>
      <c r="CX1914" s="20"/>
      <c r="CY1914" s="20"/>
      <c r="CZ1914" s="20"/>
      <c r="DA1914" s="20"/>
      <c r="DB1914" s="20"/>
      <c r="DC1914" s="20"/>
      <c r="DD1914" s="20"/>
      <c r="DE1914" s="20"/>
      <c r="DF1914" s="20"/>
      <c r="DG1914" s="20"/>
      <c r="DH1914" s="20"/>
      <c r="DI1914" s="20"/>
      <c r="DJ1914" s="20"/>
      <c r="DK1914" s="20"/>
      <c r="DL1914" s="20"/>
      <c r="DM1914" s="20"/>
      <c r="DN1914" s="20"/>
      <c r="DO1914" s="20"/>
      <c r="DP1914" s="20"/>
      <c r="DQ1914" s="20"/>
      <c r="DR1914" s="20"/>
      <c r="DS1914" s="20"/>
      <c r="DT1914" s="20"/>
      <c r="DU1914" s="20"/>
      <c r="DV1914" s="20"/>
      <c r="DW1914" s="20"/>
      <c r="DX1914" s="20"/>
      <c r="DY1914" s="20"/>
      <c r="DZ1914" s="20"/>
      <c r="EA1914" s="20"/>
      <c r="EB1914" s="20"/>
      <c r="EC1914" s="20"/>
      <c r="ED1914" s="20"/>
      <c r="EE1914" s="20"/>
      <c r="EF1914" s="20"/>
      <c r="EG1914" s="20"/>
      <c r="EH1914" s="20"/>
      <c r="EI1914" s="20"/>
      <c r="EJ1914" s="20"/>
      <c r="EK1914" s="20"/>
      <c r="EL1914" s="20"/>
      <c r="EM1914" s="20"/>
      <c r="EN1914" s="20"/>
      <c r="EO1914" s="20"/>
      <c r="EP1914" s="20"/>
      <c r="EQ1914" s="20"/>
      <c r="ER1914" s="20"/>
      <c r="ES1914" s="20"/>
      <c r="ET1914" s="20"/>
      <c r="EU1914" s="20"/>
      <c r="EV1914" s="20"/>
      <c r="EW1914" s="20"/>
      <c r="EX1914" s="20"/>
      <c r="EY1914" s="20"/>
      <c r="EZ1914" s="20"/>
      <c r="FA1914" s="20"/>
      <c r="FB1914" s="20"/>
      <c r="FC1914" s="20"/>
      <c r="FD1914" s="20"/>
      <c r="FE1914" s="20"/>
      <c r="FF1914" s="20"/>
      <c r="FG1914" s="20"/>
      <c r="FH1914" s="20"/>
      <c r="FI1914" s="20"/>
      <c r="FJ1914" s="20"/>
      <c r="FK1914" s="20"/>
      <c r="FL1914" s="20"/>
      <c r="FM1914" s="20"/>
      <c r="FN1914" s="20"/>
      <c r="FO1914" s="20"/>
      <c r="FP1914" s="20"/>
      <c r="FQ1914" s="20"/>
      <c r="FR1914" s="20"/>
      <c r="FS1914" s="20"/>
      <c r="FT1914" s="20"/>
      <c r="FU1914" s="20"/>
      <c r="FV1914" s="20"/>
      <c r="FW1914" s="20"/>
      <c r="FX1914" s="20"/>
      <c r="FY1914" s="20"/>
      <c r="FZ1914" s="20"/>
      <c r="GA1914" s="20"/>
      <c r="GB1914" s="20"/>
      <c r="GC1914" s="20"/>
      <c r="GD1914" s="20"/>
      <c r="GE1914" s="20"/>
      <c r="GF1914" s="20"/>
      <c r="GG1914" s="20"/>
      <c r="GH1914" s="20"/>
      <c r="GI1914" s="20"/>
      <c r="GJ1914" s="20"/>
      <c r="GK1914" s="20"/>
      <c r="GL1914" s="20"/>
      <c r="GM1914" s="20"/>
      <c r="GN1914" s="20"/>
      <c r="GO1914" s="20"/>
      <c r="GP1914" s="20"/>
      <c r="GQ1914" s="20"/>
      <c r="GR1914" s="20"/>
      <c r="GS1914" s="20"/>
      <c r="GT1914" s="20"/>
      <c r="GU1914" s="20"/>
      <c r="GV1914" s="20"/>
      <c r="GW1914" s="20"/>
      <c r="GX1914" s="20"/>
      <c r="GY1914" s="20"/>
      <c r="GZ1914" s="20"/>
      <c r="HA1914" s="20"/>
      <c r="HB1914" s="20"/>
      <c r="HC1914" s="20"/>
      <c r="HD1914" s="20"/>
      <c r="HE1914" s="20"/>
      <c r="HF1914" s="20"/>
      <c r="HG1914" s="20"/>
      <c r="HH1914" s="20"/>
      <c r="HI1914" s="20"/>
      <c r="HJ1914" s="20"/>
      <c r="HK1914" s="20"/>
      <c r="HL1914" s="20"/>
      <c r="HM1914" s="20"/>
      <c r="HN1914" s="20"/>
      <c r="HO1914" s="20"/>
      <c r="HP1914" s="20"/>
      <c r="HQ1914" s="20"/>
      <c r="HR1914" s="20"/>
      <c r="HS1914" s="20"/>
      <c r="HT1914" s="20"/>
      <c r="HU1914" s="20"/>
      <c r="HV1914" s="20"/>
      <c r="HW1914" s="20"/>
      <c r="HX1914" s="20"/>
      <c r="HY1914" s="20"/>
      <c r="HZ1914" s="20"/>
      <c r="IA1914" s="20"/>
      <c r="IB1914" s="20"/>
      <c r="IC1914" s="20"/>
      <c r="ID1914" s="20"/>
      <c r="IE1914" s="20"/>
      <c r="IF1914" s="20"/>
      <c r="IG1914" s="20"/>
      <c r="IH1914" s="20"/>
      <c r="II1914" s="20"/>
      <c r="IJ1914" s="20"/>
      <c r="IK1914" s="20"/>
      <c r="IL1914" s="20"/>
      <c r="IM1914" s="20"/>
      <c r="IN1914" s="20"/>
      <c r="IO1914" s="20"/>
    </row>
    <row r="1915" spans="1:249" s="22" customFormat="1" ht="49.5">
      <c r="A1915" s="794"/>
      <c r="B1915" s="840"/>
      <c r="C1915" s="841">
        <v>4</v>
      </c>
      <c r="D1915" s="841" t="s">
        <v>34</v>
      </c>
      <c r="E1915" s="841" t="s">
        <v>25</v>
      </c>
      <c r="F1915" s="841" t="s">
        <v>28</v>
      </c>
      <c r="G1915" s="841" t="s">
        <v>54</v>
      </c>
      <c r="H1915" s="1189"/>
      <c r="I1915" s="6" t="s">
        <v>1725</v>
      </c>
      <c r="J1915" s="6" t="s">
        <v>3327</v>
      </c>
      <c r="K1915" s="1902">
        <v>72</v>
      </c>
      <c r="L1915" s="1908">
        <v>3350000000</v>
      </c>
      <c r="M1915" s="1903">
        <v>36</v>
      </c>
      <c r="N1915" s="1905">
        <v>1003340000</v>
      </c>
      <c r="O1915" s="1909">
        <v>12</v>
      </c>
      <c r="P1915" s="1905">
        <v>647500000</v>
      </c>
      <c r="Q1915" s="1903">
        <v>3</v>
      </c>
      <c r="R1915" s="1904">
        <v>131765875</v>
      </c>
      <c r="S1915" s="1228">
        <v>3</v>
      </c>
      <c r="T1915" s="1906">
        <v>268000000</v>
      </c>
      <c r="U1915" s="1228"/>
      <c r="V1915" s="1906"/>
      <c r="W1915" s="795"/>
      <c r="X1915" s="1906"/>
      <c r="Y1915" s="1903">
        <f t="shared" si="550"/>
        <v>6</v>
      </c>
      <c r="Z1915" s="1906">
        <f t="shared" si="545"/>
        <v>399765875</v>
      </c>
      <c r="AA1915" s="1903">
        <f t="shared" si="546"/>
        <v>42</v>
      </c>
      <c r="AB1915" s="1906">
        <f t="shared" si="547"/>
        <v>1403105875</v>
      </c>
      <c r="AC1915" s="1907">
        <f t="shared" si="548"/>
        <v>58.333333333333336</v>
      </c>
      <c r="AD1915" s="1907">
        <f t="shared" si="549"/>
        <v>41.883757462686567</v>
      </c>
      <c r="AE1915" s="102" t="s">
        <v>1979</v>
      </c>
      <c r="AF1915" s="201"/>
      <c r="AG1915" s="201"/>
      <c r="AH1915" s="201"/>
      <c r="AI1915" s="201"/>
      <c r="AJ1915" s="201"/>
      <c r="AK1915" s="201"/>
      <c r="AL1915" s="201"/>
      <c r="AM1915" s="201"/>
      <c r="AN1915" s="201"/>
      <c r="AO1915" s="201"/>
      <c r="AP1915" s="201"/>
      <c r="AQ1915" s="201"/>
      <c r="AR1915" s="201"/>
      <c r="AS1915" s="201"/>
      <c r="AT1915" s="201"/>
      <c r="AU1915" s="201"/>
      <c r="AV1915" s="201"/>
      <c r="AW1915" s="201"/>
      <c r="AX1915" s="201"/>
      <c r="AY1915" s="201"/>
      <c r="AZ1915" s="201"/>
      <c r="BA1915" s="201"/>
      <c r="BB1915" s="201"/>
      <c r="BC1915" s="20"/>
      <c r="BD1915" s="20"/>
      <c r="BE1915" s="20"/>
      <c r="BF1915" s="20"/>
      <c r="BG1915" s="20"/>
      <c r="BH1915" s="20"/>
      <c r="BI1915" s="20"/>
      <c r="BJ1915" s="20"/>
      <c r="BK1915" s="20"/>
      <c r="BL1915" s="20"/>
      <c r="BM1915" s="20"/>
      <c r="BN1915" s="20"/>
      <c r="BO1915" s="20"/>
      <c r="BP1915" s="20"/>
      <c r="BQ1915" s="20"/>
      <c r="BR1915" s="20"/>
      <c r="BS1915" s="20"/>
      <c r="BT1915" s="20"/>
      <c r="BU1915" s="20"/>
      <c r="BV1915" s="20"/>
      <c r="BW1915" s="20"/>
      <c r="BX1915" s="20"/>
      <c r="BY1915" s="20"/>
      <c r="BZ1915" s="20"/>
      <c r="CA1915" s="20"/>
      <c r="CB1915" s="20"/>
      <c r="CC1915" s="20"/>
      <c r="CD1915" s="20"/>
      <c r="CE1915" s="20"/>
      <c r="CF1915" s="20"/>
      <c r="CG1915" s="20"/>
      <c r="CH1915" s="20"/>
      <c r="CI1915" s="20"/>
      <c r="CJ1915" s="20"/>
      <c r="CK1915" s="20"/>
      <c r="CL1915" s="20"/>
      <c r="CM1915" s="20"/>
      <c r="CN1915" s="20"/>
      <c r="CO1915" s="20"/>
      <c r="CP1915" s="20"/>
      <c r="CQ1915" s="20"/>
      <c r="CR1915" s="20"/>
      <c r="CS1915" s="20"/>
      <c r="CT1915" s="20"/>
      <c r="CU1915" s="20"/>
      <c r="CV1915" s="20"/>
      <c r="CW1915" s="20"/>
      <c r="CX1915" s="20"/>
      <c r="CY1915" s="20"/>
      <c r="CZ1915" s="20"/>
      <c r="DA1915" s="20"/>
      <c r="DB1915" s="20"/>
      <c r="DC1915" s="20"/>
      <c r="DD1915" s="20"/>
      <c r="DE1915" s="20"/>
      <c r="DF1915" s="20"/>
      <c r="DG1915" s="20"/>
      <c r="DH1915" s="20"/>
      <c r="DI1915" s="20"/>
      <c r="DJ1915" s="20"/>
      <c r="DK1915" s="20"/>
      <c r="DL1915" s="20"/>
      <c r="DM1915" s="20"/>
      <c r="DN1915" s="20"/>
      <c r="DO1915" s="20"/>
      <c r="DP1915" s="20"/>
      <c r="DQ1915" s="20"/>
      <c r="DR1915" s="20"/>
      <c r="DS1915" s="20"/>
      <c r="DT1915" s="20"/>
      <c r="DU1915" s="20"/>
      <c r="DV1915" s="20"/>
      <c r="DW1915" s="20"/>
      <c r="DX1915" s="20"/>
      <c r="DY1915" s="20"/>
      <c r="DZ1915" s="20"/>
      <c r="EA1915" s="20"/>
      <c r="EB1915" s="20"/>
      <c r="EC1915" s="20"/>
      <c r="ED1915" s="20"/>
      <c r="EE1915" s="20"/>
      <c r="EF1915" s="20"/>
      <c r="EG1915" s="20"/>
      <c r="EH1915" s="20"/>
      <c r="EI1915" s="20"/>
      <c r="EJ1915" s="20"/>
      <c r="EK1915" s="20"/>
      <c r="EL1915" s="20"/>
      <c r="EM1915" s="20"/>
      <c r="EN1915" s="20"/>
      <c r="EO1915" s="20"/>
      <c r="EP1915" s="20"/>
      <c r="EQ1915" s="20"/>
      <c r="ER1915" s="20"/>
      <c r="ES1915" s="20"/>
      <c r="ET1915" s="20"/>
      <c r="EU1915" s="20"/>
      <c r="EV1915" s="20"/>
      <c r="EW1915" s="20"/>
      <c r="EX1915" s="20"/>
      <c r="EY1915" s="20"/>
      <c r="EZ1915" s="20"/>
      <c r="FA1915" s="20"/>
      <c r="FB1915" s="20"/>
      <c r="FC1915" s="20"/>
      <c r="FD1915" s="20"/>
      <c r="FE1915" s="20"/>
      <c r="FF1915" s="20"/>
      <c r="FG1915" s="20"/>
      <c r="FH1915" s="20"/>
      <c r="FI1915" s="20"/>
      <c r="FJ1915" s="20"/>
      <c r="FK1915" s="20"/>
      <c r="FL1915" s="20"/>
      <c r="FM1915" s="20"/>
      <c r="FN1915" s="20"/>
      <c r="FO1915" s="20"/>
      <c r="FP1915" s="20"/>
      <c r="FQ1915" s="20"/>
      <c r="FR1915" s="20"/>
      <c r="FS1915" s="20"/>
      <c r="FT1915" s="20"/>
      <c r="FU1915" s="20"/>
      <c r="FV1915" s="20"/>
      <c r="FW1915" s="20"/>
      <c r="FX1915" s="20"/>
      <c r="FY1915" s="20"/>
      <c r="FZ1915" s="20"/>
      <c r="GA1915" s="20"/>
      <c r="GB1915" s="20"/>
      <c r="GC1915" s="20"/>
      <c r="GD1915" s="20"/>
      <c r="GE1915" s="20"/>
      <c r="GF1915" s="20"/>
      <c r="GG1915" s="20"/>
      <c r="GH1915" s="20"/>
      <c r="GI1915" s="20"/>
      <c r="GJ1915" s="20"/>
      <c r="GK1915" s="20"/>
      <c r="GL1915" s="20"/>
      <c r="GM1915" s="20"/>
      <c r="GN1915" s="20"/>
      <c r="GO1915" s="20"/>
      <c r="GP1915" s="20"/>
      <c r="GQ1915" s="20"/>
      <c r="GR1915" s="20"/>
      <c r="GS1915" s="20"/>
      <c r="GT1915" s="20"/>
      <c r="GU1915" s="20"/>
      <c r="GV1915" s="20"/>
      <c r="GW1915" s="20"/>
      <c r="GX1915" s="20"/>
      <c r="GY1915" s="20"/>
      <c r="GZ1915" s="20"/>
      <c r="HA1915" s="20"/>
      <c r="HB1915" s="20"/>
      <c r="HC1915" s="20"/>
      <c r="HD1915" s="20"/>
      <c r="HE1915" s="20"/>
      <c r="HF1915" s="20"/>
      <c r="HG1915" s="20"/>
      <c r="HH1915" s="20"/>
      <c r="HI1915" s="20"/>
      <c r="HJ1915" s="20"/>
      <c r="HK1915" s="20"/>
      <c r="HL1915" s="20"/>
      <c r="HM1915" s="20"/>
      <c r="HN1915" s="20"/>
      <c r="HO1915" s="20"/>
      <c r="HP1915" s="20"/>
      <c r="HQ1915" s="20"/>
      <c r="HR1915" s="20"/>
      <c r="HS1915" s="20"/>
      <c r="HT1915" s="20"/>
      <c r="HU1915" s="20"/>
      <c r="HV1915" s="20"/>
      <c r="HW1915" s="20"/>
      <c r="HX1915" s="20"/>
      <c r="HY1915" s="20"/>
      <c r="HZ1915" s="20"/>
      <c r="IA1915" s="20"/>
      <c r="IB1915" s="20"/>
      <c r="IC1915" s="20"/>
      <c r="ID1915" s="20"/>
      <c r="IE1915" s="20"/>
      <c r="IF1915" s="20"/>
      <c r="IG1915" s="20"/>
      <c r="IH1915" s="20"/>
      <c r="II1915" s="20"/>
      <c r="IJ1915" s="20"/>
      <c r="IK1915" s="20"/>
      <c r="IL1915" s="20"/>
      <c r="IM1915" s="20"/>
      <c r="IN1915" s="20"/>
      <c r="IO1915" s="20"/>
    </row>
    <row r="1916" spans="1:249" s="22" customFormat="1" ht="33">
      <c r="A1916" s="794"/>
      <c r="B1916" s="840"/>
      <c r="C1916" s="841">
        <v>4</v>
      </c>
      <c r="D1916" s="841" t="s">
        <v>34</v>
      </c>
      <c r="E1916" s="841" t="s">
        <v>25</v>
      </c>
      <c r="F1916" s="841" t="s">
        <v>28</v>
      </c>
      <c r="G1916" s="841" t="s">
        <v>35</v>
      </c>
      <c r="H1916" s="1189"/>
      <c r="I1916" s="407" t="s">
        <v>708</v>
      </c>
      <c r="J1916" s="843" t="s">
        <v>3328</v>
      </c>
      <c r="K1916" s="1902">
        <v>72</v>
      </c>
      <c r="L1916" s="1908">
        <v>3592000000</v>
      </c>
      <c r="M1916" s="1903">
        <v>36</v>
      </c>
      <c r="N1916" s="1904">
        <f>627689500+324034000+479969840</f>
        <v>1431693340</v>
      </c>
      <c r="O1916" s="1902">
        <v>12</v>
      </c>
      <c r="P1916" s="1905">
        <v>487400000</v>
      </c>
      <c r="Q1916" s="1903">
        <v>3</v>
      </c>
      <c r="R1916" s="1904">
        <v>77000000</v>
      </c>
      <c r="S1916" s="1228">
        <v>3</v>
      </c>
      <c r="T1916" s="1906">
        <v>380310000</v>
      </c>
      <c r="U1916" s="1228"/>
      <c r="V1916" s="1906"/>
      <c r="W1916" s="795"/>
      <c r="X1916" s="1906"/>
      <c r="Y1916" s="1903">
        <f t="shared" si="550"/>
        <v>6</v>
      </c>
      <c r="Z1916" s="1906">
        <f t="shared" si="545"/>
        <v>457310000</v>
      </c>
      <c r="AA1916" s="1903">
        <f t="shared" si="546"/>
        <v>42</v>
      </c>
      <c r="AB1916" s="1906">
        <f t="shared" si="547"/>
        <v>1889003340</v>
      </c>
      <c r="AC1916" s="1907">
        <f t="shared" si="548"/>
        <v>58.333333333333336</v>
      </c>
      <c r="AD1916" s="1907">
        <f t="shared" si="549"/>
        <v>52.589179844097998</v>
      </c>
      <c r="AE1916" s="102" t="s">
        <v>1979</v>
      </c>
      <c r="AF1916" s="201"/>
      <c r="AG1916" s="201"/>
      <c r="AH1916" s="201"/>
      <c r="AI1916" s="201"/>
      <c r="AJ1916" s="201"/>
      <c r="AK1916" s="201"/>
      <c r="AL1916" s="201"/>
      <c r="AM1916" s="201"/>
      <c r="AN1916" s="201"/>
      <c r="AO1916" s="201"/>
      <c r="AP1916" s="201"/>
      <c r="AQ1916" s="201"/>
      <c r="AR1916" s="201"/>
      <c r="AS1916" s="201"/>
      <c r="AT1916" s="201"/>
      <c r="AU1916" s="201"/>
      <c r="AV1916" s="201"/>
      <c r="AW1916" s="201"/>
      <c r="AX1916" s="201"/>
      <c r="AY1916" s="201"/>
      <c r="AZ1916" s="201"/>
      <c r="BA1916" s="201"/>
      <c r="BB1916" s="201"/>
      <c r="BC1916" s="20"/>
      <c r="BD1916" s="20"/>
      <c r="BE1916" s="20"/>
      <c r="BF1916" s="20"/>
      <c r="BG1916" s="20"/>
      <c r="BH1916" s="20"/>
      <c r="BI1916" s="20"/>
      <c r="BJ1916" s="20"/>
      <c r="BK1916" s="20"/>
      <c r="BL1916" s="20"/>
      <c r="BM1916" s="20"/>
      <c r="BN1916" s="20"/>
      <c r="BO1916" s="20"/>
      <c r="BP1916" s="20"/>
      <c r="BQ1916" s="20"/>
      <c r="BR1916" s="20"/>
      <c r="BS1916" s="20"/>
      <c r="BT1916" s="20"/>
      <c r="BU1916" s="20"/>
      <c r="BV1916" s="20"/>
      <c r="BW1916" s="20"/>
      <c r="BX1916" s="20"/>
      <c r="BY1916" s="20"/>
      <c r="BZ1916" s="20"/>
      <c r="CA1916" s="20"/>
      <c r="CB1916" s="20"/>
      <c r="CC1916" s="20"/>
      <c r="CD1916" s="20"/>
      <c r="CE1916" s="20"/>
      <c r="CF1916" s="20"/>
      <c r="CG1916" s="20"/>
      <c r="CH1916" s="20"/>
      <c r="CI1916" s="20"/>
      <c r="CJ1916" s="20"/>
      <c r="CK1916" s="20"/>
      <c r="CL1916" s="20"/>
      <c r="CM1916" s="20"/>
      <c r="CN1916" s="20"/>
      <c r="CO1916" s="20"/>
      <c r="CP1916" s="20"/>
      <c r="CQ1916" s="20"/>
      <c r="CR1916" s="20"/>
      <c r="CS1916" s="20"/>
      <c r="CT1916" s="20"/>
      <c r="CU1916" s="20"/>
      <c r="CV1916" s="20"/>
      <c r="CW1916" s="20"/>
      <c r="CX1916" s="20"/>
      <c r="CY1916" s="20"/>
      <c r="CZ1916" s="20"/>
      <c r="DA1916" s="20"/>
      <c r="DB1916" s="20"/>
      <c r="DC1916" s="20"/>
      <c r="DD1916" s="20"/>
      <c r="DE1916" s="20"/>
      <c r="DF1916" s="20"/>
      <c r="DG1916" s="20"/>
      <c r="DH1916" s="20"/>
      <c r="DI1916" s="20"/>
      <c r="DJ1916" s="20"/>
      <c r="DK1916" s="20"/>
      <c r="DL1916" s="20"/>
      <c r="DM1916" s="20"/>
      <c r="DN1916" s="20"/>
      <c r="DO1916" s="20"/>
      <c r="DP1916" s="20"/>
      <c r="DQ1916" s="20"/>
      <c r="DR1916" s="20"/>
      <c r="DS1916" s="20"/>
      <c r="DT1916" s="20"/>
      <c r="DU1916" s="20"/>
      <c r="DV1916" s="20"/>
      <c r="DW1916" s="20"/>
      <c r="DX1916" s="20"/>
      <c r="DY1916" s="20"/>
      <c r="DZ1916" s="20"/>
      <c r="EA1916" s="20"/>
      <c r="EB1916" s="20"/>
      <c r="EC1916" s="20"/>
      <c r="ED1916" s="20"/>
      <c r="EE1916" s="20"/>
      <c r="EF1916" s="20"/>
      <c r="EG1916" s="20"/>
      <c r="EH1916" s="20"/>
      <c r="EI1916" s="20"/>
      <c r="EJ1916" s="20"/>
      <c r="EK1916" s="20"/>
      <c r="EL1916" s="20"/>
      <c r="EM1916" s="20"/>
      <c r="EN1916" s="20"/>
      <c r="EO1916" s="20"/>
      <c r="EP1916" s="20"/>
      <c r="EQ1916" s="20"/>
      <c r="ER1916" s="20"/>
      <c r="ES1916" s="20"/>
      <c r="ET1916" s="20"/>
      <c r="EU1916" s="20"/>
      <c r="EV1916" s="20"/>
      <c r="EW1916" s="20"/>
      <c r="EX1916" s="20"/>
      <c r="EY1916" s="20"/>
      <c r="EZ1916" s="20"/>
      <c r="FA1916" s="20"/>
      <c r="FB1916" s="20"/>
      <c r="FC1916" s="20"/>
      <c r="FD1916" s="20"/>
      <c r="FE1916" s="20"/>
      <c r="FF1916" s="20"/>
      <c r="FG1916" s="20"/>
      <c r="FH1916" s="20"/>
      <c r="FI1916" s="20"/>
      <c r="FJ1916" s="20"/>
      <c r="FK1916" s="20"/>
      <c r="FL1916" s="20"/>
      <c r="FM1916" s="20"/>
      <c r="FN1916" s="20"/>
      <c r="FO1916" s="20"/>
      <c r="FP1916" s="20"/>
      <c r="FQ1916" s="20"/>
      <c r="FR1916" s="20"/>
      <c r="FS1916" s="20"/>
      <c r="FT1916" s="20"/>
      <c r="FU1916" s="20"/>
      <c r="FV1916" s="20"/>
      <c r="FW1916" s="20"/>
      <c r="FX1916" s="20"/>
      <c r="FY1916" s="20"/>
      <c r="FZ1916" s="20"/>
      <c r="GA1916" s="20"/>
      <c r="GB1916" s="20"/>
      <c r="GC1916" s="20"/>
      <c r="GD1916" s="20"/>
      <c r="GE1916" s="20"/>
      <c r="GF1916" s="20"/>
      <c r="GG1916" s="20"/>
      <c r="GH1916" s="20"/>
      <c r="GI1916" s="20"/>
      <c r="GJ1916" s="20"/>
      <c r="GK1916" s="20"/>
      <c r="GL1916" s="20"/>
      <c r="GM1916" s="20"/>
      <c r="GN1916" s="20"/>
      <c r="GO1916" s="20"/>
      <c r="GP1916" s="20"/>
      <c r="GQ1916" s="20"/>
      <c r="GR1916" s="20"/>
      <c r="GS1916" s="20"/>
      <c r="GT1916" s="20"/>
      <c r="GU1916" s="20"/>
      <c r="GV1916" s="20"/>
      <c r="GW1916" s="20"/>
      <c r="GX1916" s="20"/>
      <c r="GY1916" s="20"/>
      <c r="GZ1916" s="20"/>
      <c r="HA1916" s="20"/>
      <c r="HB1916" s="20"/>
      <c r="HC1916" s="20"/>
      <c r="HD1916" s="20"/>
      <c r="HE1916" s="20"/>
      <c r="HF1916" s="20"/>
      <c r="HG1916" s="20"/>
      <c r="HH1916" s="20"/>
      <c r="HI1916" s="20"/>
      <c r="HJ1916" s="20"/>
      <c r="HK1916" s="20"/>
      <c r="HL1916" s="20"/>
      <c r="HM1916" s="20"/>
      <c r="HN1916" s="20"/>
      <c r="HO1916" s="20"/>
      <c r="HP1916" s="20"/>
      <c r="HQ1916" s="20"/>
      <c r="HR1916" s="20"/>
      <c r="HS1916" s="20"/>
      <c r="HT1916" s="20"/>
      <c r="HU1916" s="20"/>
      <c r="HV1916" s="20"/>
      <c r="HW1916" s="20"/>
      <c r="HX1916" s="20"/>
      <c r="HY1916" s="20"/>
      <c r="HZ1916" s="20"/>
      <c r="IA1916" s="20"/>
      <c r="IB1916" s="20"/>
      <c r="IC1916" s="20"/>
      <c r="ID1916" s="20"/>
      <c r="IE1916" s="20"/>
      <c r="IF1916" s="20"/>
      <c r="IG1916" s="20"/>
      <c r="IH1916" s="20"/>
      <c r="II1916" s="20"/>
      <c r="IJ1916" s="20"/>
      <c r="IK1916" s="20"/>
      <c r="IL1916" s="20"/>
      <c r="IM1916" s="20"/>
      <c r="IN1916" s="20"/>
      <c r="IO1916" s="20"/>
    </row>
    <row r="1917" spans="1:249" s="22" customFormat="1" ht="49.5">
      <c r="A1917" s="794"/>
      <c r="B1917" s="840"/>
      <c r="C1917" s="841">
        <v>4</v>
      </c>
      <c r="D1917" s="841" t="s">
        <v>34</v>
      </c>
      <c r="E1917" s="841" t="s">
        <v>25</v>
      </c>
      <c r="F1917" s="841" t="s">
        <v>28</v>
      </c>
      <c r="G1917" s="841" t="s">
        <v>61</v>
      </c>
      <c r="H1917" s="1189"/>
      <c r="I1917" s="407" t="s">
        <v>1821</v>
      </c>
      <c r="J1917" s="843" t="s">
        <v>243</v>
      </c>
      <c r="K1917" s="1902">
        <v>72</v>
      </c>
      <c r="L1917" s="1908">
        <v>5323000000</v>
      </c>
      <c r="M1917" s="1903">
        <v>36</v>
      </c>
      <c r="N1917" s="1904">
        <f>752801185+980667793+668398170</f>
        <v>2401867148</v>
      </c>
      <c r="O1917" s="1902">
        <v>12</v>
      </c>
      <c r="P1917" s="1905">
        <v>691800000</v>
      </c>
      <c r="Q1917" s="1903">
        <v>3</v>
      </c>
      <c r="R1917" s="1904">
        <v>73032500</v>
      </c>
      <c r="S1917" s="1228"/>
      <c r="T1917" s="1906">
        <v>452806656</v>
      </c>
      <c r="U1917" s="1228"/>
      <c r="V1917" s="1906"/>
      <c r="W1917" s="795"/>
      <c r="X1917" s="1906"/>
      <c r="Y1917" s="1903">
        <f t="shared" si="550"/>
        <v>3</v>
      </c>
      <c r="Z1917" s="1906">
        <f t="shared" si="545"/>
        <v>525839156</v>
      </c>
      <c r="AA1917" s="1903">
        <f t="shared" si="546"/>
        <v>39</v>
      </c>
      <c r="AB1917" s="1906">
        <f t="shared" si="547"/>
        <v>2927706304</v>
      </c>
      <c r="AC1917" s="1907">
        <f t="shared" si="548"/>
        <v>54.166666666666664</v>
      </c>
      <c r="AD1917" s="1907">
        <f t="shared" si="549"/>
        <v>55.001057749389439</v>
      </c>
      <c r="AE1917" s="102" t="s">
        <v>1979</v>
      </c>
      <c r="AF1917" s="201"/>
      <c r="AG1917" s="201"/>
      <c r="AH1917" s="201"/>
      <c r="AI1917" s="201"/>
      <c r="AJ1917" s="201"/>
      <c r="AK1917" s="201"/>
      <c r="AL1917" s="201"/>
      <c r="AM1917" s="201"/>
      <c r="AN1917" s="201"/>
      <c r="AO1917" s="201"/>
      <c r="AP1917" s="201"/>
      <c r="AQ1917" s="201"/>
      <c r="AR1917" s="201"/>
      <c r="AS1917" s="201"/>
      <c r="AT1917" s="201"/>
      <c r="AU1917" s="201"/>
      <c r="AV1917" s="201"/>
      <c r="AW1917" s="201"/>
      <c r="AX1917" s="201"/>
      <c r="AY1917" s="201"/>
      <c r="AZ1917" s="201"/>
      <c r="BA1917" s="201"/>
      <c r="BB1917" s="201"/>
      <c r="BC1917" s="20"/>
      <c r="BD1917" s="20"/>
      <c r="BE1917" s="20"/>
      <c r="BF1917" s="20"/>
      <c r="BG1917" s="20"/>
      <c r="BH1917" s="20"/>
      <c r="BI1917" s="20"/>
      <c r="BJ1917" s="20"/>
      <c r="BK1917" s="20"/>
      <c r="BL1917" s="20"/>
      <c r="BM1917" s="20"/>
      <c r="BN1917" s="20"/>
      <c r="BO1917" s="20"/>
      <c r="BP1917" s="20"/>
      <c r="BQ1917" s="20"/>
      <c r="BR1917" s="20"/>
      <c r="BS1917" s="20"/>
      <c r="BT1917" s="20"/>
      <c r="BU1917" s="20"/>
      <c r="BV1917" s="20"/>
      <c r="BW1917" s="20"/>
      <c r="BX1917" s="20"/>
      <c r="BY1917" s="20"/>
      <c r="BZ1917" s="20"/>
      <c r="CA1917" s="20"/>
      <c r="CB1917" s="20"/>
      <c r="CC1917" s="20"/>
      <c r="CD1917" s="20"/>
      <c r="CE1917" s="20"/>
      <c r="CF1917" s="20"/>
      <c r="CG1917" s="20"/>
      <c r="CH1917" s="20"/>
      <c r="CI1917" s="20"/>
      <c r="CJ1917" s="20"/>
      <c r="CK1917" s="20"/>
      <c r="CL1917" s="20"/>
      <c r="CM1917" s="20"/>
      <c r="CN1917" s="20"/>
      <c r="CO1917" s="20"/>
      <c r="CP1917" s="20"/>
      <c r="CQ1917" s="20"/>
      <c r="CR1917" s="20"/>
      <c r="CS1917" s="20"/>
      <c r="CT1917" s="20"/>
      <c r="CU1917" s="20"/>
      <c r="CV1917" s="20"/>
      <c r="CW1917" s="20"/>
      <c r="CX1917" s="20"/>
      <c r="CY1917" s="20"/>
      <c r="CZ1917" s="20"/>
      <c r="DA1917" s="20"/>
      <c r="DB1917" s="20"/>
      <c r="DC1917" s="20"/>
      <c r="DD1917" s="20"/>
      <c r="DE1917" s="20"/>
      <c r="DF1917" s="20"/>
      <c r="DG1917" s="20"/>
      <c r="DH1917" s="20"/>
      <c r="DI1917" s="20"/>
      <c r="DJ1917" s="20"/>
      <c r="DK1917" s="20"/>
      <c r="DL1917" s="20"/>
      <c r="DM1917" s="20"/>
      <c r="DN1917" s="20"/>
      <c r="DO1917" s="20"/>
      <c r="DP1917" s="20"/>
      <c r="DQ1917" s="20"/>
      <c r="DR1917" s="20"/>
      <c r="DS1917" s="20"/>
      <c r="DT1917" s="20"/>
      <c r="DU1917" s="20"/>
      <c r="DV1917" s="20"/>
      <c r="DW1917" s="20"/>
      <c r="DX1917" s="20"/>
      <c r="DY1917" s="20"/>
      <c r="DZ1917" s="20"/>
      <c r="EA1917" s="20"/>
      <c r="EB1917" s="20"/>
      <c r="EC1917" s="20"/>
      <c r="ED1917" s="20"/>
      <c r="EE1917" s="20"/>
      <c r="EF1917" s="20"/>
      <c r="EG1917" s="20"/>
      <c r="EH1917" s="20"/>
      <c r="EI1917" s="20"/>
      <c r="EJ1917" s="20"/>
      <c r="EK1917" s="20"/>
      <c r="EL1917" s="20"/>
      <c r="EM1917" s="20"/>
      <c r="EN1917" s="20"/>
      <c r="EO1917" s="20"/>
      <c r="EP1917" s="20"/>
      <c r="EQ1917" s="20"/>
      <c r="ER1917" s="20"/>
      <c r="ES1917" s="20"/>
      <c r="ET1917" s="20"/>
      <c r="EU1917" s="20"/>
      <c r="EV1917" s="20"/>
      <c r="EW1917" s="20"/>
      <c r="EX1917" s="20"/>
      <c r="EY1917" s="20"/>
      <c r="EZ1917" s="20"/>
      <c r="FA1917" s="20"/>
      <c r="FB1917" s="20"/>
      <c r="FC1917" s="20"/>
      <c r="FD1917" s="20"/>
      <c r="FE1917" s="20"/>
      <c r="FF1917" s="20"/>
      <c r="FG1917" s="20"/>
      <c r="FH1917" s="20"/>
      <c r="FI1917" s="20"/>
      <c r="FJ1917" s="20"/>
      <c r="FK1917" s="20"/>
      <c r="FL1917" s="20"/>
      <c r="FM1917" s="20"/>
      <c r="FN1917" s="20"/>
      <c r="FO1917" s="20"/>
      <c r="FP1917" s="20"/>
      <c r="FQ1917" s="20"/>
      <c r="FR1917" s="20"/>
      <c r="FS1917" s="20"/>
      <c r="FT1917" s="20"/>
      <c r="FU1917" s="20"/>
      <c r="FV1917" s="20"/>
      <c r="FW1917" s="20"/>
      <c r="FX1917" s="20"/>
      <c r="FY1917" s="20"/>
      <c r="FZ1917" s="20"/>
      <c r="GA1917" s="20"/>
      <c r="GB1917" s="20"/>
      <c r="GC1917" s="20"/>
      <c r="GD1917" s="20"/>
      <c r="GE1917" s="20"/>
      <c r="GF1917" s="20"/>
      <c r="GG1917" s="20"/>
      <c r="GH1917" s="20"/>
      <c r="GI1917" s="20"/>
      <c r="GJ1917" s="20"/>
      <c r="GK1917" s="20"/>
      <c r="GL1917" s="20"/>
      <c r="GM1917" s="20"/>
      <c r="GN1917" s="20"/>
      <c r="GO1917" s="20"/>
      <c r="GP1917" s="20"/>
      <c r="GQ1917" s="20"/>
      <c r="GR1917" s="20"/>
      <c r="GS1917" s="20"/>
      <c r="GT1917" s="20"/>
      <c r="GU1917" s="20"/>
      <c r="GV1917" s="20"/>
      <c r="GW1917" s="20"/>
      <c r="GX1917" s="20"/>
      <c r="GY1917" s="20"/>
      <c r="GZ1917" s="20"/>
      <c r="HA1917" s="20"/>
      <c r="HB1917" s="20"/>
      <c r="HC1917" s="20"/>
      <c r="HD1917" s="20"/>
      <c r="HE1917" s="20"/>
      <c r="HF1917" s="20"/>
      <c r="HG1917" s="20"/>
      <c r="HH1917" s="20"/>
      <c r="HI1917" s="20"/>
      <c r="HJ1917" s="20"/>
      <c r="HK1917" s="20"/>
      <c r="HL1917" s="20"/>
      <c r="HM1917" s="20"/>
      <c r="HN1917" s="20"/>
      <c r="HO1917" s="20"/>
      <c r="HP1917" s="20"/>
      <c r="HQ1917" s="20"/>
      <c r="HR1917" s="20"/>
      <c r="HS1917" s="20"/>
      <c r="HT1917" s="20"/>
      <c r="HU1917" s="20"/>
      <c r="HV1917" s="20"/>
      <c r="HW1917" s="20"/>
      <c r="HX1917" s="20"/>
      <c r="HY1917" s="20"/>
      <c r="HZ1917" s="20"/>
      <c r="IA1917" s="20"/>
      <c r="IB1917" s="20"/>
      <c r="IC1917" s="20"/>
      <c r="ID1917" s="20"/>
      <c r="IE1917" s="20"/>
      <c r="IF1917" s="20"/>
      <c r="IG1917" s="20"/>
      <c r="IH1917" s="20"/>
      <c r="II1917" s="20"/>
      <c r="IJ1917" s="20"/>
      <c r="IK1917" s="20"/>
      <c r="IL1917" s="20"/>
      <c r="IM1917" s="20"/>
      <c r="IN1917" s="20"/>
      <c r="IO1917" s="20"/>
    </row>
    <row r="1918" spans="1:249" s="22" customFormat="1" ht="49.5">
      <c r="A1918" s="794"/>
      <c r="B1918" s="840"/>
      <c r="C1918" s="841">
        <v>4</v>
      </c>
      <c r="D1918" s="841" t="s">
        <v>34</v>
      </c>
      <c r="E1918" s="841" t="s">
        <v>25</v>
      </c>
      <c r="F1918" s="841" t="s">
        <v>28</v>
      </c>
      <c r="G1918" s="841" t="s">
        <v>48</v>
      </c>
      <c r="H1918" s="1189"/>
      <c r="I1918" s="6" t="s">
        <v>1822</v>
      </c>
      <c r="J1918" s="6" t="s">
        <v>3329</v>
      </c>
      <c r="K1918" s="1902">
        <v>72</v>
      </c>
      <c r="L1918" s="1908">
        <f>3*N1918</f>
        <v>1837500000</v>
      </c>
      <c r="M1918" s="1903">
        <v>36</v>
      </c>
      <c r="N1918" s="1905">
        <v>612500000</v>
      </c>
      <c r="O1918" s="1902">
        <v>12</v>
      </c>
      <c r="P1918" s="1905">
        <v>625575000</v>
      </c>
      <c r="Q1918" s="1903">
        <v>3</v>
      </c>
      <c r="R1918" s="1904">
        <v>225630988</v>
      </c>
      <c r="S1918" s="1228">
        <v>3</v>
      </c>
      <c r="T1918" s="1906">
        <v>583842746</v>
      </c>
      <c r="U1918" s="795"/>
      <c r="V1918" s="1906"/>
      <c r="W1918" s="795"/>
      <c r="X1918" s="1906"/>
      <c r="Y1918" s="1903">
        <f t="shared" si="550"/>
        <v>6</v>
      </c>
      <c r="Z1918" s="1906">
        <f t="shared" si="545"/>
        <v>809473734</v>
      </c>
      <c r="AA1918" s="1903">
        <f t="shared" si="546"/>
        <v>42</v>
      </c>
      <c r="AB1918" s="1906">
        <f t="shared" si="547"/>
        <v>1421973734</v>
      </c>
      <c r="AC1918" s="1907">
        <f t="shared" si="548"/>
        <v>58.333333333333336</v>
      </c>
      <c r="AD1918" s="1907">
        <f t="shared" si="549"/>
        <v>77.386325659863942</v>
      </c>
      <c r="AE1918" s="102" t="s">
        <v>1979</v>
      </c>
      <c r="AF1918" s="201"/>
      <c r="AG1918" s="201"/>
      <c r="AH1918" s="201"/>
      <c r="AI1918" s="201"/>
      <c r="AJ1918" s="201"/>
      <c r="AK1918" s="201"/>
      <c r="AL1918" s="201"/>
      <c r="AM1918" s="201"/>
      <c r="AN1918" s="201"/>
      <c r="AO1918" s="201"/>
      <c r="AP1918" s="201"/>
      <c r="AQ1918" s="201"/>
      <c r="AR1918" s="201"/>
      <c r="AS1918" s="201"/>
      <c r="AT1918" s="201"/>
      <c r="AU1918" s="201"/>
      <c r="AV1918" s="201"/>
      <c r="AW1918" s="201"/>
      <c r="AX1918" s="201"/>
      <c r="AY1918" s="201"/>
      <c r="AZ1918" s="201"/>
      <c r="BA1918" s="201"/>
      <c r="BB1918" s="201"/>
      <c r="BC1918" s="20"/>
      <c r="BD1918" s="20"/>
      <c r="BE1918" s="20"/>
      <c r="BF1918" s="20"/>
      <c r="BG1918" s="20"/>
      <c r="BH1918" s="20"/>
      <c r="BI1918" s="20"/>
      <c r="BJ1918" s="20"/>
      <c r="BK1918" s="20"/>
      <c r="BL1918" s="20"/>
      <c r="BM1918" s="20"/>
      <c r="BN1918" s="20"/>
      <c r="BO1918" s="20"/>
      <c r="BP1918" s="20"/>
      <c r="BQ1918" s="20"/>
      <c r="BR1918" s="20"/>
      <c r="BS1918" s="20"/>
      <c r="BT1918" s="20"/>
      <c r="BU1918" s="20"/>
      <c r="BV1918" s="20"/>
      <c r="BW1918" s="20"/>
      <c r="BX1918" s="20"/>
      <c r="BY1918" s="20"/>
      <c r="BZ1918" s="20"/>
      <c r="CA1918" s="20"/>
      <c r="CB1918" s="20"/>
      <c r="CC1918" s="20"/>
      <c r="CD1918" s="20"/>
      <c r="CE1918" s="20"/>
      <c r="CF1918" s="20"/>
      <c r="CG1918" s="20"/>
      <c r="CH1918" s="20"/>
      <c r="CI1918" s="20"/>
      <c r="CJ1918" s="20"/>
      <c r="CK1918" s="20"/>
      <c r="CL1918" s="20"/>
      <c r="CM1918" s="20"/>
      <c r="CN1918" s="20"/>
      <c r="CO1918" s="20"/>
      <c r="CP1918" s="20"/>
      <c r="CQ1918" s="20"/>
      <c r="CR1918" s="20"/>
      <c r="CS1918" s="20"/>
      <c r="CT1918" s="20"/>
      <c r="CU1918" s="20"/>
      <c r="CV1918" s="20"/>
      <c r="CW1918" s="20"/>
      <c r="CX1918" s="20"/>
      <c r="CY1918" s="20"/>
      <c r="CZ1918" s="20"/>
      <c r="DA1918" s="20"/>
      <c r="DB1918" s="20"/>
      <c r="DC1918" s="20"/>
      <c r="DD1918" s="20"/>
      <c r="DE1918" s="20"/>
      <c r="DF1918" s="20"/>
      <c r="DG1918" s="20"/>
      <c r="DH1918" s="20"/>
      <c r="DI1918" s="20"/>
      <c r="DJ1918" s="20"/>
      <c r="DK1918" s="20"/>
      <c r="DL1918" s="20"/>
      <c r="DM1918" s="20"/>
      <c r="DN1918" s="20"/>
      <c r="DO1918" s="20"/>
      <c r="DP1918" s="20"/>
      <c r="DQ1918" s="20"/>
      <c r="DR1918" s="20"/>
      <c r="DS1918" s="20"/>
      <c r="DT1918" s="20"/>
      <c r="DU1918" s="20"/>
      <c r="DV1918" s="20"/>
      <c r="DW1918" s="20"/>
      <c r="DX1918" s="20"/>
      <c r="DY1918" s="20"/>
      <c r="DZ1918" s="20"/>
      <c r="EA1918" s="20"/>
      <c r="EB1918" s="20"/>
      <c r="EC1918" s="20"/>
      <c r="ED1918" s="20"/>
      <c r="EE1918" s="20"/>
      <c r="EF1918" s="20"/>
      <c r="EG1918" s="20"/>
      <c r="EH1918" s="20"/>
      <c r="EI1918" s="20"/>
      <c r="EJ1918" s="20"/>
      <c r="EK1918" s="20"/>
      <c r="EL1918" s="20"/>
      <c r="EM1918" s="20"/>
      <c r="EN1918" s="20"/>
      <c r="EO1918" s="20"/>
      <c r="EP1918" s="20"/>
      <c r="EQ1918" s="20"/>
      <c r="ER1918" s="20"/>
      <c r="ES1918" s="20"/>
      <c r="ET1918" s="20"/>
      <c r="EU1918" s="20"/>
      <c r="EV1918" s="20"/>
      <c r="EW1918" s="20"/>
      <c r="EX1918" s="20"/>
      <c r="EY1918" s="20"/>
      <c r="EZ1918" s="20"/>
      <c r="FA1918" s="20"/>
      <c r="FB1918" s="20"/>
      <c r="FC1918" s="20"/>
      <c r="FD1918" s="20"/>
      <c r="FE1918" s="20"/>
      <c r="FF1918" s="20"/>
      <c r="FG1918" s="20"/>
      <c r="FH1918" s="20"/>
      <c r="FI1918" s="20"/>
      <c r="FJ1918" s="20"/>
      <c r="FK1918" s="20"/>
      <c r="FL1918" s="20"/>
      <c r="FM1918" s="20"/>
      <c r="FN1918" s="20"/>
      <c r="FO1918" s="20"/>
      <c r="FP1918" s="20"/>
      <c r="FQ1918" s="20"/>
      <c r="FR1918" s="20"/>
      <c r="FS1918" s="20"/>
      <c r="FT1918" s="20"/>
      <c r="FU1918" s="20"/>
      <c r="FV1918" s="20"/>
      <c r="FW1918" s="20"/>
      <c r="FX1918" s="20"/>
      <c r="FY1918" s="20"/>
      <c r="FZ1918" s="20"/>
      <c r="GA1918" s="20"/>
      <c r="GB1918" s="20"/>
      <c r="GC1918" s="20"/>
      <c r="GD1918" s="20"/>
      <c r="GE1918" s="20"/>
      <c r="GF1918" s="20"/>
      <c r="GG1918" s="20"/>
      <c r="GH1918" s="20"/>
      <c r="GI1918" s="20"/>
      <c r="GJ1918" s="20"/>
      <c r="GK1918" s="20"/>
      <c r="GL1918" s="20"/>
      <c r="GM1918" s="20"/>
      <c r="GN1918" s="20"/>
      <c r="GO1918" s="20"/>
      <c r="GP1918" s="20"/>
      <c r="GQ1918" s="20"/>
      <c r="GR1918" s="20"/>
      <c r="GS1918" s="20"/>
      <c r="GT1918" s="20"/>
      <c r="GU1918" s="20"/>
      <c r="GV1918" s="20"/>
      <c r="GW1918" s="20"/>
      <c r="GX1918" s="20"/>
      <c r="GY1918" s="20"/>
      <c r="GZ1918" s="20"/>
      <c r="HA1918" s="20"/>
      <c r="HB1918" s="20"/>
      <c r="HC1918" s="20"/>
      <c r="HD1918" s="20"/>
      <c r="HE1918" s="20"/>
      <c r="HF1918" s="20"/>
      <c r="HG1918" s="20"/>
      <c r="HH1918" s="20"/>
      <c r="HI1918" s="20"/>
      <c r="HJ1918" s="20"/>
      <c r="HK1918" s="20"/>
      <c r="HL1918" s="20"/>
      <c r="HM1918" s="20"/>
      <c r="HN1918" s="20"/>
      <c r="HO1918" s="20"/>
      <c r="HP1918" s="20"/>
      <c r="HQ1918" s="20"/>
      <c r="HR1918" s="20"/>
      <c r="HS1918" s="20"/>
      <c r="HT1918" s="20"/>
      <c r="HU1918" s="20"/>
      <c r="HV1918" s="20"/>
      <c r="HW1918" s="20"/>
      <c r="HX1918" s="20"/>
      <c r="HY1918" s="20"/>
      <c r="HZ1918" s="20"/>
      <c r="IA1918" s="20"/>
      <c r="IB1918" s="20"/>
      <c r="IC1918" s="20"/>
      <c r="ID1918" s="20"/>
      <c r="IE1918" s="20"/>
      <c r="IF1918" s="20"/>
      <c r="IG1918" s="20"/>
      <c r="IH1918" s="20"/>
      <c r="II1918" s="20"/>
      <c r="IJ1918" s="20"/>
      <c r="IK1918" s="20"/>
      <c r="IL1918" s="20"/>
      <c r="IM1918" s="20"/>
      <c r="IN1918" s="20"/>
      <c r="IO1918" s="20"/>
    </row>
    <row r="1919" spans="1:249" s="22" customFormat="1" ht="49.5">
      <c r="A1919" s="794"/>
      <c r="B1919" s="840"/>
      <c r="C1919" s="841">
        <v>4</v>
      </c>
      <c r="D1919" s="841" t="s">
        <v>34</v>
      </c>
      <c r="E1919" s="841" t="s">
        <v>25</v>
      </c>
      <c r="F1919" s="841" t="s">
        <v>28</v>
      </c>
      <c r="G1919" s="841" t="s">
        <v>84</v>
      </c>
      <c r="H1919" s="1189"/>
      <c r="I1919" s="6" t="s">
        <v>1823</v>
      </c>
      <c r="J1919" s="6" t="s">
        <v>3330</v>
      </c>
      <c r="K1919" s="1902">
        <v>72</v>
      </c>
      <c r="L1919" s="1908">
        <v>5479900000</v>
      </c>
      <c r="M1919" s="1903">
        <v>36</v>
      </c>
      <c r="N1919" s="1904">
        <f>808732934+721416274+1322895835</f>
        <v>2853045043</v>
      </c>
      <c r="O1919" s="1909">
        <v>12</v>
      </c>
      <c r="P1919" s="1905">
        <v>1157977000</v>
      </c>
      <c r="Q1919" s="1903">
        <v>3</v>
      </c>
      <c r="R1919" s="1904">
        <v>221946168</v>
      </c>
      <c r="S1919" s="1228">
        <v>3</v>
      </c>
      <c r="T1919" s="1906">
        <v>325182250</v>
      </c>
      <c r="U1919" s="795"/>
      <c r="V1919" s="1906"/>
      <c r="W1919" s="795"/>
      <c r="X1919" s="1906"/>
      <c r="Y1919" s="1903">
        <f t="shared" si="550"/>
        <v>6</v>
      </c>
      <c r="Z1919" s="1906">
        <f t="shared" si="545"/>
        <v>547128418</v>
      </c>
      <c r="AA1919" s="1903">
        <f t="shared" si="546"/>
        <v>42</v>
      </c>
      <c r="AB1919" s="1906">
        <f t="shared" si="547"/>
        <v>3400173461</v>
      </c>
      <c r="AC1919" s="1907">
        <f t="shared" si="548"/>
        <v>58.333333333333336</v>
      </c>
      <c r="AD1919" s="1907">
        <f t="shared" si="549"/>
        <v>62.048093231628307</v>
      </c>
      <c r="AE1919" s="102" t="s">
        <v>1979</v>
      </c>
      <c r="AF1919" s="201"/>
      <c r="AG1919" s="201"/>
      <c r="AH1919" s="201"/>
      <c r="AI1919" s="201"/>
      <c r="AJ1919" s="201"/>
      <c r="AK1919" s="201"/>
      <c r="AL1919" s="201"/>
      <c r="AM1919" s="201"/>
      <c r="AN1919" s="201"/>
      <c r="AO1919" s="201"/>
      <c r="AP1919" s="201"/>
      <c r="AQ1919" s="201"/>
      <c r="AR1919" s="201"/>
      <c r="AS1919" s="201"/>
      <c r="AT1919" s="201"/>
      <c r="AU1919" s="201"/>
      <c r="AV1919" s="201"/>
      <c r="AW1919" s="201"/>
      <c r="AX1919" s="201"/>
      <c r="AY1919" s="201"/>
      <c r="AZ1919" s="201"/>
      <c r="BA1919" s="201"/>
      <c r="BB1919" s="201"/>
      <c r="BC1919" s="20"/>
      <c r="BD1919" s="20"/>
      <c r="BE1919" s="20"/>
      <c r="BF1919" s="20"/>
      <c r="BG1919" s="20"/>
      <c r="BH1919" s="20"/>
      <c r="BI1919" s="20"/>
      <c r="BJ1919" s="20"/>
      <c r="BK1919" s="20"/>
      <c r="BL1919" s="20"/>
      <c r="BM1919" s="20"/>
      <c r="BN1919" s="20"/>
      <c r="BO1919" s="20"/>
      <c r="BP1919" s="20"/>
      <c r="BQ1919" s="20"/>
      <c r="BR1919" s="20"/>
      <c r="BS1919" s="20"/>
      <c r="BT1919" s="20"/>
      <c r="BU1919" s="20"/>
      <c r="BV1919" s="20"/>
      <c r="BW1919" s="20"/>
      <c r="BX1919" s="20"/>
      <c r="BY1919" s="20"/>
      <c r="BZ1919" s="20"/>
      <c r="CA1919" s="20"/>
      <c r="CB1919" s="20"/>
      <c r="CC1919" s="20"/>
      <c r="CD1919" s="20"/>
      <c r="CE1919" s="20"/>
      <c r="CF1919" s="20"/>
      <c r="CG1919" s="20"/>
      <c r="CH1919" s="20"/>
      <c r="CI1919" s="20"/>
      <c r="CJ1919" s="20"/>
      <c r="CK1919" s="20"/>
      <c r="CL1919" s="20"/>
      <c r="CM1919" s="20"/>
      <c r="CN1919" s="20"/>
      <c r="CO1919" s="20"/>
      <c r="CP1919" s="20"/>
      <c r="CQ1919" s="20"/>
      <c r="CR1919" s="20"/>
      <c r="CS1919" s="20"/>
      <c r="CT1919" s="20"/>
      <c r="CU1919" s="20"/>
      <c r="CV1919" s="20"/>
      <c r="CW1919" s="20"/>
      <c r="CX1919" s="20"/>
      <c r="CY1919" s="20"/>
      <c r="CZ1919" s="20"/>
      <c r="DA1919" s="20"/>
      <c r="DB1919" s="20"/>
      <c r="DC1919" s="20"/>
      <c r="DD1919" s="20"/>
      <c r="DE1919" s="20"/>
      <c r="DF1919" s="20"/>
      <c r="DG1919" s="20"/>
      <c r="DH1919" s="20"/>
      <c r="DI1919" s="20"/>
      <c r="DJ1919" s="20"/>
      <c r="DK1919" s="20"/>
      <c r="DL1919" s="20"/>
      <c r="DM1919" s="20"/>
      <c r="DN1919" s="20"/>
      <c r="DO1919" s="20"/>
      <c r="DP1919" s="20"/>
      <c r="DQ1919" s="20"/>
      <c r="DR1919" s="20"/>
      <c r="DS1919" s="20"/>
      <c r="DT1919" s="20"/>
      <c r="DU1919" s="20"/>
      <c r="DV1919" s="20"/>
      <c r="DW1919" s="20"/>
      <c r="DX1919" s="20"/>
      <c r="DY1919" s="20"/>
      <c r="DZ1919" s="20"/>
      <c r="EA1919" s="20"/>
      <c r="EB1919" s="20"/>
      <c r="EC1919" s="20"/>
      <c r="ED1919" s="20"/>
      <c r="EE1919" s="20"/>
      <c r="EF1919" s="20"/>
      <c r="EG1919" s="20"/>
      <c r="EH1919" s="20"/>
      <c r="EI1919" s="20"/>
      <c r="EJ1919" s="20"/>
      <c r="EK1919" s="20"/>
      <c r="EL1919" s="20"/>
      <c r="EM1919" s="20"/>
      <c r="EN1919" s="20"/>
      <c r="EO1919" s="20"/>
      <c r="EP1919" s="20"/>
      <c r="EQ1919" s="20"/>
      <c r="ER1919" s="20"/>
      <c r="ES1919" s="20"/>
      <c r="ET1919" s="20"/>
      <c r="EU1919" s="20"/>
      <c r="EV1919" s="20"/>
      <c r="EW1919" s="20"/>
      <c r="EX1919" s="20"/>
      <c r="EY1919" s="20"/>
      <c r="EZ1919" s="20"/>
      <c r="FA1919" s="20"/>
      <c r="FB1919" s="20"/>
      <c r="FC1919" s="20"/>
      <c r="FD1919" s="20"/>
      <c r="FE1919" s="20"/>
      <c r="FF1919" s="20"/>
      <c r="FG1919" s="20"/>
      <c r="FH1919" s="20"/>
      <c r="FI1919" s="20"/>
      <c r="FJ1919" s="20"/>
      <c r="FK1919" s="20"/>
      <c r="FL1919" s="20"/>
      <c r="FM1919" s="20"/>
      <c r="FN1919" s="20"/>
      <c r="FO1919" s="20"/>
      <c r="FP1919" s="20"/>
      <c r="FQ1919" s="20"/>
      <c r="FR1919" s="20"/>
      <c r="FS1919" s="20"/>
      <c r="FT1919" s="20"/>
      <c r="FU1919" s="20"/>
      <c r="FV1919" s="20"/>
      <c r="FW1919" s="20"/>
      <c r="FX1919" s="20"/>
      <c r="FY1919" s="20"/>
      <c r="FZ1919" s="20"/>
      <c r="GA1919" s="20"/>
      <c r="GB1919" s="20"/>
      <c r="GC1919" s="20"/>
      <c r="GD1919" s="20"/>
      <c r="GE1919" s="20"/>
      <c r="GF1919" s="20"/>
      <c r="GG1919" s="20"/>
      <c r="GH1919" s="20"/>
      <c r="GI1919" s="20"/>
      <c r="GJ1919" s="20"/>
      <c r="GK1919" s="20"/>
      <c r="GL1919" s="20"/>
      <c r="GM1919" s="20"/>
      <c r="GN1919" s="20"/>
      <c r="GO1919" s="20"/>
      <c r="GP1919" s="20"/>
      <c r="GQ1919" s="20"/>
      <c r="GR1919" s="20"/>
      <c r="GS1919" s="20"/>
      <c r="GT1919" s="20"/>
      <c r="GU1919" s="20"/>
      <c r="GV1919" s="20"/>
      <c r="GW1919" s="20"/>
      <c r="GX1919" s="20"/>
      <c r="GY1919" s="20"/>
      <c r="GZ1919" s="20"/>
      <c r="HA1919" s="20"/>
      <c r="HB1919" s="20"/>
      <c r="HC1919" s="20"/>
      <c r="HD1919" s="20"/>
      <c r="HE1919" s="20"/>
      <c r="HF1919" s="20"/>
      <c r="HG1919" s="20"/>
      <c r="HH1919" s="20"/>
      <c r="HI1919" s="20"/>
      <c r="HJ1919" s="20"/>
      <c r="HK1919" s="20"/>
      <c r="HL1919" s="20"/>
      <c r="HM1919" s="20"/>
      <c r="HN1919" s="20"/>
      <c r="HO1919" s="20"/>
      <c r="HP1919" s="20"/>
      <c r="HQ1919" s="20"/>
      <c r="HR1919" s="20"/>
      <c r="HS1919" s="20"/>
      <c r="HT1919" s="20"/>
      <c r="HU1919" s="20"/>
      <c r="HV1919" s="20"/>
      <c r="HW1919" s="20"/>
      <c r="HX1919" s="20"/>
      <c r="HY1919" s="20"/>
      <c r="HZ1919" s="20"/>
      <c r="IA1919" s="20"/>
      <c r="IB1919" s="20"/>
      <c r="IC1919" s="20"/>
      <c r="ID1919" s="20"/>
      <c r="IE1919" s="20"/>
      <c r="IF1919" s="20"/>
      <c r="IG1919" s="20"/>
      <c r="IH1919" s="20"/>
      <c r="II1919" s="20"/>
      <c r="IJ1919" s="20"/>
      <c r="IK1919" s="20"/>
      <c r="IL1919" s="20"/>
      <c r="IM1919" s="20"/>
      <c r="IN1919" s="20"/>
      <c r="IO1919" s="20"/>
    </row>
    <row r="1920" spans="1:249" s="22" customFormat="1" ht="66">
      <c r="A1920" s="794"/>
      <c r="B1920" s="840"/>
      <c r="C1920" s="841">
        <v>4</v>
      </c>
      <c r="D1920" s="841" t="s">
        <v>34</v>
      </c>
      <c r="E1920" s="841" t="s">
        <v>25</v>
      </c>
      <c r="F1920" s="841" t="s">
        <v>28</v>
      </c>
      <c r="G1920" s="841" t="s">
        <v>474</v>
      </c>
      <c r="H1920" s="1189"/>
      <c r="I1920" s="6" t="s">
        <v>1824</v>
      </c>
      <c r="J1920" s="6" t="s">
        <v>3331</v>
      </c>
      <c r="K1920" s="1902">
        <v>72</v>
      </c>
      <c r="L1920" s="1908">
        <v>880000000</v>
      </c>
      <c r="M1920" s="1903">
        <v>36</v>
      </c>
      <c r="N1920" s="1904">
        <f>199031500+223170250</f>
        <v>422201750</v>
      </c>
      <c r="O1920" s="1909">
        <v>12</v>
      </c>
      <c r="P1920" s="1905">
        <v>394425000</v>
      </c>
      <c r="Q1920" s="1903">
        <v>3</v>
      </c>
      <c r="R1920" s="1904">
        <v>71276000</v>
      </c>
      <c r="S1920" s="1228">
        <v>3</v>
      </c>
      <c r="T1920" s="1906">
        <v>4200000</v>
      </c>
      <c r="U1920" s="795"/>
      <c r="V1920" s="1906"/>
      <c r="W1920" s="795"/>
      <c r="X1920" s="1906"/>
      <c r="Y1920" s="1903">
        <f t="shared" si="550"/>
        <v>6</v>
      </c>
      <c r="Z1920" s="1906">
        <f t="shared" si="545"/>
        <v>75476000</v>
      </c>
      <c r="AA1920" s="1903">
        <f t="shared" si="546"/>
        <v>42</v>
      </c>
      <c r="AB1920" s="1906">
        <f t="shared" si="547"/>
        <v>497677750</v>
      </c>
      <c r="AC1920" s="1907">
        <f t="shared" si="548"/>
        <v>58.333333333333336</v>
      </c>
      <c r="AD1920" s="1907">
        <f t="shared" si="549"/>
        <v>56.554289772727273</v>
      </c>
      <c r="AE1920" s="102" t="s">
        <v>1979</v>
      </c>
      <c r="AF1920" s="201"/>
      <c r="AG1920" s="201"/>
      <c r="AH1920" s="201"/>
      <c r="AI1920" s="201"/>
      <c r="AJ1920" s="201"/>
      <c r="AK1920" s="201"/>
      <c r="AL1920" s="201"/>
      <c r="AM1920" s="201"/>
      <c r="AN1920" s="201"/>
      <c r="AO1920" s="201"/>
      <c r="AP1920" s="201"/>
      <c r="AQ1920" s="201"/>
      <c r="AR1920" s="201"/>
      <c r="AS1920" s="201"/>
      <c r="AT1920" s="201"/>
      <c r="AU1920" s="201"/>
      <c r="AV1920" s="201"/>
      <c r="AW1920" s="201"/>
      <c r="AX1920" s="201"/>
      <c r="AY1920" s="201"/>
      <c r="AZ1920" s="201"/>
      <c r="BA1920" s="201"/>
      <c r="BB1920" s="201"/>
      <c r="BC1920" s="20"/>
      <c r="BD1920" s="20"/>
      <c r="BE1920" s="20"/>
      <c r="BF1920" s="20"/>
      <c r="BG1920" s="20"/>
      <c r="BH1920" s="20"/>
      <c r="BI1920" s="20"/>
      <c r="BJ1920" s="20"/>
      <c r="BK1920" s="20"/>
      <c r="BL1920" s="20"/>
      <c r="BM1920" s="20"/>
      <c r="BN1920" s="20"/>
      <c r="BO1920" s="20"/>
      <c r="BP1920" s="20"/>
      <c r="BQ1920" s="20"/>
      <c r="BR1920" s="20"/>
      <c r="BS1920" s="20"/>
      <c r="BT1920" s="20"/>
      <c r="BU1920" s="20"/>
      <c r="BV1920" s="20"/>
      <c r="BW1920" s="20"/>
      <c r="BX1920" s="20"/>
      <c r="BY1920" s="20"/>
      <c r="BZ1920" s="20"/>
      <c r="CA1920" s="20"/>
      <c r="CB1920" s="20"/>
      <c r="CC1920" s="20"/>
      <c r="CD1920" s="20"/>
      <c r="CE1920" s="20"/>
      <c r="CF1920" s="20"/>
      <c r="CG1920" s="20"/>
      <c r="CH1920" s="20"/>
      <c r="CI1920" s="20"/>
      <c r="CJ1920" s="20"/>
      <c r="CK1920" s="20"/>
      <c r="CL1920" s="20"/>
      <c r="CM1920" s="20"/>
      <c r="CN1920" s="20"/>
      <c r="CO1920" s="20"/>
      <c r="CP1920" s="20"/>
      <c r="CQ1920" s="20"/>
      <c r="CR1920" s="20"/>
      <c r="CS1920" s="20"/>
      <c r="CT1920" s="20"/>
      <c r="CU1920" s="20"/>
      <c r="CV1920" s="20"/>
      <c r="CW1920" s="20"/>
      <c r="CX1920" s="20"/>
      <c r="CY1920" s="20"/>
      <c r="CZ1920" s="20"/>
      <c r="DA1920" s="20"/>
      <c r="DB1920" s="20"/>
      <c r="DC1920" s="20"/>
      <c r="DD1920" s="20"/>
      <c r="DE1920" s="20"/>
      <c r="DF1920" s="20"/>
      <c r="DG1920" s="20"/>
      <c r="DH1920" s="20"/>
      <c r="DI1920" s="20"/>
      <c r="DJ1920" s="20"/>
      <c r="DK1920" s="20"/>
      <c r="DL1920" s="20"/>
      <c r="DM1920" s="20"/>
      <c r="DN1920" s="20"/>
      <c r="DO1920" s="20"/>
      <c r="DP1920" s="20"/>
      <c r="DQ1920" s="20"/>
      <c r="DR1920" s="20"/>
      <c r="DS1920" s="20"/>
      <c r="DT1920" s="20"/>
      <c r="DU1920" s="20"/>
      <c r="DV1920" s="20"/>
      <c r="DW1920" s="20"/>
      <c r="DX1920" s="20"/>
      <c r="DY1920" s="20"/>
      <c r="DZ1920" s="20"/>
      <c r="EA1920" s="20"/>
      <c r="EB1920" s="20"/>
      <c r="EC1920" s="20"/>
      <c r="ED1920" s="20"/>
      <c r="EE1920" s="20"/>
      <c r="EF1920" s="20"/>
      <c r="EG1920" s="20"/>
      <c r="EH1920" s="20"/>
      <c r="EI1920" s="20"/>
      <c r="EJ1920" s="20"/>
      <c r="EK1920" s="20"/>
      <c r="EL1920" s="20"/>
      <c r="EM1920" s="20"/>
      <c r="EN1920" s="20"/>
      <c r="EO1920" s="20"/>
      <c r="EP1920" s="20"/>
      <c r="EQ1920" s="20"/>
      <c r="ER1920" s="20"/>
      <c r="ES1920" s="20"/>
      <c r="ET1920" s="20"/>
      <c r="EU1920" s="20"/>
      <c r="EV1920" s="20"/>
      <c r="EW1920" s="20"/>
      <c r="EX1920" s="20"/>
      <c r="EY1920" s="20"/>
      <c r="EZ1920" s="20"/>
      <c r="FA1920" s="20"/>
      <c r="FB1920" s="20"/>
      <c r="FC1920" s="20"/>
      <c r="FD1920" s="20"/>
      <c r="FE1920" s="20"/>
      <c r="FF1920" s="20"/>
      <c r="FG1920" s="20"/>
      <c r="FH1920" s="20"/>
      <c r="FI1920" s="20"/>
      <c r="FJ1920" s="20"/>
      <c r="FK1920" s="20"/>
      <c r="FL1920" s="20"/>
      <c r="FM1920" s="20"/>
      <c r="FN1920" s="20"/>
      <c r="FO1920" s="20"/>
      <c r="FP1920" s="20"/>
      <c r="FQ1920" s="20"/>
      <c r="FR1920" s="20"/>
      <c r="FS1920" s="20"/>
      <c r="FT1920" s="20"/>
      <c r="FU1920" s="20"/>
      <c r="FV1920" s="20"/>
      <c r="FW1920" s="20"/>
      <c r="FX1920" s="20"/>
      <c r="FY1920" s="20"/>
      <c r="FZ1920" s="20"/>
      <c r="GA1920" s="20"/>
      <c r="GB1920" s="20"/>
      <c r="GC1920" s="20"/>
      <c r="GD1920" s="20"/>
      <c r="GE1920" s="20"/>
      <c r="GF1920" s="20"/>
      <c r="GG1920" s="20"/>
      <c r="GH1920" s="20"/>
      <c r="GI1920" s="20"/>
      <c r="GJ1920" s="20"/>
      <c r="GK1920" s="20"/>
      <c r="GL1920" s="20"/>
      <c r="GM1920" s="20"/>
      <c r="GN1920" s="20"/>
      <c r="GO1920" s="20"/>
      <c r="GP1920" s="20"/>
      <c r="GQ1920" s="20"/>
      <c r="GR1920" s="20"/>
      <c r="GS1920" s="20"/>
      <c r="GT1920" s="20"/>
      <c r="GU1920" s="20"/>
      <c r="GV1920" s="20"/>
      <c r="GW1920" s="20"/>
      <c r="GX1920" s="20"/>
      <c r="GY1920" s="20"/>
      <c r="GZ1920" s="20"/>
      <c r="HA1920" s="20"/>
      <c r="HB1920" s="20"/>
      <c r="HC1920" s="20"/>
      <c r="HD1920" s="20"/>
      <c r="HE1920" s="20"/>
      <c r="HF1920" s="20"/>
      <c r="HG1920" s="20"/>
      <c r="HH1920" s="20"/>
      <c r="HI1920" s="20"/>
      <c r="HJ1920" s="20"/>
      <c r="HK1920" s="20"/>
      <c r="HL1920" s="20"/>
      <c r="HM1920" s="20"/>
      <c r="HN1920" s="20"/>
      <c r="HO1920" s="20"/>
      <c r="HP1920" s="20"/>
      <c r="HQ1920" s="20"/>
      <c r="HR1920" s="20"/>
      <c r="HS1920" s="20"/>
      <c r="HT1920" s="20"/>
      <c r="HU1920" s="20"/>
      <c r="HV1920" s="20"/>
      <c r="HW1920" s="20"/>
      <c r="HX1920" s="20"/>
      <c r="HY1920" s="20"/>
      <c r="HZ1920" s="20"/>
      <c r="IA1920" s="20"/>
      <c r="IB1920" s="20"/>
      <c r="IC1920" s="20"/>
      <c r="ID1920" s="20"/>
      <c r="IE1920" s="20"/>
      <c r="IF1920" s="20"/>
      <c r="IG1920" s="20"/>
      <c r="IH1920" s="20"/>
      <c r="II1920" s="20"/>
      <c r="IJ1920" s="20"/>
      <c r="IK1920" s="20"/>
      <c r="IL1920" s="20"/>
      <c r="IM1920" s="20"/>
      <c r="IN1920" s="20"/>
      <c r="IO1920" s="20"/>
    </row>
    <row r="1921" spans="1:249" s="22" customFormat="1" ht="33">
      <c r="A1921" s="794"/>
      <c r="B1921" s="840"/>
      <c r="C1921" s="841">
        <v>4</v>
      </c>
      <c r="D1921" s="841" t="s">
        <v>34</v>
      </c>
      <c r="E1921" s="841" t="s">
        <v>25</v>
      </c>
      <c r="F1921" s="841" t="s">
        <v>28</v>
      </c>
      <c r="G1921" s="841" t="s">
        <v>51</v>
      </c>
      <c r="H1921" s="1189"/>
      <c r="I1921" s="6" t="s">
        <v>1825</v>
      </c>
      <c r="J1921" s="6" t="s">
        <v>3332</v>
      </c>
      <c r="K1921" s="1902">
        <v>72</v>
      </c>
      <c r="L1921" s="1908">
        <v>262000000</v>
      </c>
      <c r="M1921" s="1903">
        <v>36</v>
      </c>
      <c r="N1921" s="1904">
        <f>15956000+1800000+12000000</f>
        <v>29756000</v>
      </c>
      <c r="O1921" s="1909">
        <v>100</v>
      </c>
      <c r="P1921" s="1905">
        <v>12000000</v>
      </c>
      <c r="Q1921" s="1903"/>
      <c r="R1921" s="1904">
        <v>0</v>
      </c>
      <c r="S1921" s="1228"/>
      <c r="T1921" s="1906"/>
      <c r="U1921" s="1228"/>
      <c r="V1921" s="1906"/>
      <c r="W1921" s="795"/>
      <c r="X1921" s="1906"/>
      <c r="Y1921" s="1903">
        <f t="shared" si="550"/>
        <v>0</v>
      </c>
      <c r="Z1921" s="1906">
        <f t="shared" si="545"/>
        <v>0</v>
      </c>
      <c r="AA1921" s="1903">
        <f t="shared" si="546"/>
        <v>36</v>
      </c>
      <c r="AB1921" s="1906">
        <f t="shared" si="547"/>
        <v>29756000</v>
      </c>
      <c r="AC1921" s="1907">
        <f t="shared" si="548"/>
        <v>50</v>
      </c>
      <c r="AD1921" s="1907">
        <f t="shared" si="549"/>
        <v>11.357251908396947</v>
      </c>
      <c r="AE1921" s="102" t="s">
        <v>1979</v>
      </c>
      <c r="AF1921" s="201"/>
      <c r="AG1921" s="201"/>
      <c r="AH1921" s="201"/>
      <c r="AI1921" s="201"/>
      <c r="AJ1921" s="201"/>
      <c r="AK1921" s="201"/>
      <c r="AL1921" s="201"/>
      <c r="AM1921" s="201"/>
      <c r="AN1921" s="201"/>
      <c r="AO1921" s="201"/>
      <c r="AP1921" s="201"/>
      <c r="AQ1921" s="201"/>
      <c r="AR1921" s="201"/>
      <c r="AS1921" s="201"/>
      <c r="AT1921" s="201"/>
      <c r="AU1921" s="201"/>
      <c r="AV1921" s="201"/>
      <c r="AW1921" s="201"/>
      <c r="AX1921" s="201"/>
      <c r="AY1921" s="201"/>
      <c r="AZ1921" s="201"/>
      <c r="BA1921" s="201"/>
      <c r="BB1921" s="201"/>
      <c r="BC1921" s="20"/>
      <c r="BD1921" s="20"/>
      <c r="BE1921" s="20"/>
      <c r="BF1921" s="20"/>
      <c r="BG1921" s="20"/>
      <c r="BH1921" s="20"/>
      <c r="BI1921" s="20"/>
      <c r="BJ1921" s="20"/>
      <c r="BK1921" s="20"/>
      <c r="BL1921" s="20"/>
      <c r="BM1921" s="20"/>
      <c r="BN1921" s="20"/>
      <c r="BO1921" s="20"/>
      <c r="BP1921" s="20"/>
      <c r="BQ1921" s="20"/>
      <c r="BR1921" s="20"/>
      <c r="BS1921" s="20"/>
      <c r="BT1921" s="20"/>
      <c r="BU1921" s="20"/>
      <c r="BV1921" s="20"/>
      <c r="BW1921" s="20"/>
      <c r="BX1921" s="20"/>
      <c r="BY1921" s="20"/>
      <c r="BZ1921" s="20"/>
      <c r="CA1921" s="20"/>
      <c r="CB1921" s="20"/>
      <c r="CC1921" s="20"/>
      <c r="CD1921" s="20"/>
      <c r="CE1921" s="20"/>
      <c r="CF1921" s="20"/>
      <c r="CG1921" s="20"/>
      <c r="CH1921" s="20"/>
      <c r="CI1921" s="20"/>
      <c r="CJ1921" s="20"/>
      <c r="CK1921" s="20"/>
      <c r="CL1921" s="20"/>
      <c r="CM1921" s="20"/>
      <c r="CN1921" s="20"/>
      <c r="CO1921" s="20"/>
      <c r="CP1921" s="20"/>
      <c r="CQ1921" s="20"/>
      <c r="CR1921" s="20"/>
      <c r="CS1921" s="20"/>
      <c r="CT1921" s="20"/>
      <c r="CU1921" s="20"/>
      <c r="CV1921" s="20"/>
      <c r="CW1921" s="20"/>
      <c r="CX1921" s="20"/>
      <c r="CY1921" s="20"/>
      <c r="CZ1921" s="20"/>
      <c r="DA1921" s="20"/>
      <c r="DB1921" s="20"/>
      <c r="DC1921" s="20"/>
      <c r="DD1921" s="20"/>
      <c r="DE1921" s="20"/>
      <c r="DF1921" s="20"/>
      <c r="DG1921" s="20"/>
      <c r="DH1921" s="20"/>
      <c r="DI1921" s="20"/>
      <c r="DJ1921" s="20"/>
      <c r="DK1921" s="20"/>
      <c r="DL1921" s="20"/>
      <c r="DM1921" s="20"/>
      <c r="DN1921" s="20"/>
      <c r="DO1921" s="20"/>
      <c r="DP1921" s="20"/>
      <c r="DQ1921" s="20"/>
      <c r="DR1921" s="20"/>
      <c r="DS1921" s="20"/>
      <c r="DT1921" s="20"/>
      <c r="DU1921" s="20"/>
      <c r="DV1921" s="20"/>
      <c r="DW1921" s="20"/>
      <c r="DX1921" s="20"/>
      <c r="DY1921" s="20"/>
      <c r="DZ1921" s="20"/>
      <c r="EA1921" s="20"/>
      <c r="EB1921" s="20"/>
      <c r="EC1921" s="20"/>
      <c r="ED1921" s="20"/>
      <c r="EE1921" s="20"/>
      <c r="EF1921" s="20"/>
      <c r="EG1921" s="20"/>
      <c r="EH1921" s="20"/>
      <c r="EI1921" s="20"/>
      <c r="EJ1921" s="20"/>
      <c r="EK1921" s="20"/>
      <c r="EL1921" s="20"/>
      <c r="EM1921" s="20"/>
      <c r="EN1921" s="20"/>
      <c r="EO1921" s="20"/>
      <c r="EP1921" s="20"/>
      <c r="EQ1921" s="20"/>
      <c r="ER1921" s="20"/>
      <c r="ES1921" s="20"/>
      <c r="ET1921" s="20"/>
      <c r="EU1921" s="20"/>
      <c r="EV1921" s="20"/>
      <c r="EW1921" s="20"/>
      <c r="EX1921" s="20"/>
      <c r="EY1921" s="20"/>
      <c r="EZ1921" s="20"/>
      <c r="FA1921" s="20"/>
      <c r="FB1921" s="20"/>
      <c r="FC1921" s="20"/>
      <c r="FD1921" s="20"/>
      <c r="FE1921" s="20"/>
      <c r="FF1921" s="20"/>
      <c r="FG1921" s="20"/>
      <c r="FH1921" s="20"/>
      <c r="FI1921" s="20"/>
      <c r="FJ1921" s="20"/>
      <c r="FK1921" s="20"/>
      <c r="FL1921" s="20"/>
      <c r="FM1921" s="20"/>
      <c r="FN1921" s="20"/>
      <c r="FO1921" s="20"/>
      <c r="FP1921" s="20"/>
      <c r="FQ1921" s="20"/>
      <c r="FR1921" s="20"/>
      <c r="FS1921" s="20"/>
      <c r="FT1921" s="20"/>
      <c r="FU1921" s="20"/>
      <c r="FV1921" s="20"/>
      <c r="FW1921" s="20"/>
      <c r="FX1921" s="20"/>
      <c r="FY1921" s="20"/>
      <c r="FZ1921" s="20"/>
      <c r="GA1921" s="20"/>
      <c r="GB1921" s="20"/>
      <c r="GC1921" s="20"/>
      <c r="GD1921" s="20"/>
      <c r="GE1921" s="20"/>
      <c r="GF1921" s="20"/>
      <c r="GG1921" s="20"/>
      <c r="GH1921" s="20"/>
      <c r="GI1921" s="20"/>
      <c r="GJ1921" s="20"/>
      <c r="GK1921" s="20"/>
      <c r="GL1921" s="20"/>
      <c r="GM1921" s="20"/>
      <c r="GN1921" s="20"/>
      <c r="GO1921" s="20"/>
      <c r="GP1921" s="20"/>
      <c r="GQ1921" s="20"/>
      <c r="GR1921" s="20"/>
      <c r="GS1921" s="20"/>
      <c r="GT1921" s="20"/>
      <c r="GU1921" s="20"/>
      <c r="GV1921" s="20"/>
      <c r="GW1921" s="20"/>
      <c r="GX1921" s="20"/>
      <c r="GY1921" s="20"/>
      <c r="GZ1921" s="20"/>
      <c r="HA1921" s="20"/>
      <c r="HB1921" s="20"/>
      <c r="HC1921" s="20"/>
      <c r="HD1921" s="20"/>
      <c r="HE1921" s="20"/>
      <c r="HF1921" s="20"/>
      <c r="HG1921" s="20"/>
      <c r="HH1921" s="20"/>
      <c r="HI1921" s="20"/>
      <c r="HJ1921" s="20"/>
      <c r="HK1921" s="20"/>
      <c r="HL1921" s="20"/>
      <c r="HM1921" s="20"/>
      <c r="HN1921" s="20"/>
      <c r="HO1921" s="20"/>
      <c r="HP1921" s="20"/>
      <c r="HQ1921" s="20"/>
      <c r="HR1921" s="20"/>
      <c r="HS1921" s="20"/>
      <c r="HT1921" s="20"/>
      <c r="HU1921" s="20"/>
      <c r="HV1921" s="20"/>
      <c r="HW1921" s="20"/>
      <c r="HX1921" s="20"/>
      <c r="HY1921" s="20"/>
      <c r="HZ1921" s="20"/>
      <c r="IA1921" s="20"/>
      <c r="IB1921" s="20"/>
      <c r="IC1921" s="20"/>
      <c r="ID1921" s="20"/>
      <c r="IE1921" s="20"/>
      <c r="IF1921" s="20"/>
      <c r="IG1921" s="20"/>
      <c r="IH1921" s="20"/>
      <c r="II1921" s="20"/>
      <c r="IJ1921" s="20"/>
      <c r="IK1921" s="20"/>
      <c r="IL1921" s="20"/>
      <c r="IM1921" s="20"/>
      <c r="IN1921" s="20"/>
      <c r="IO1921" s="20"/>
    </row>
    <row r="1922" spans="1:249" s="22" customFormat="1" ht="49.5">
      <c r="A1922" s="753">
        <v>3</v>
      </c>
      <c r="B1922" s="44"/>
      <c r="C1922" s="753">
        <v>4</v>
      </c>
      <c r="D1922" s="753" t="s">
        <v>34</v>
      </c>
      <c r="E1922" s="753" t="s">
        <v>25</v>
      </c>
      <c r="F1922" s="753" t="s">
        <v>39</v>
      </c>
      <c r="G1922" s="753"/>
      <c r="H1922" s="594"/>
      <c r="I1922" s="44" t="s">
        <v>1826</v>
      </c>
      <c r="J1922" s="44" t="s">
        <v>3333</v>
      </c>
      <c r="K1922" s="149">
        <v>100</v>
      </c>
      <c r="L1922" s="1770">
        <f>L1923</f>
        <v>1679000000</v>
      </c>
      <c r="M1922" s="149">
        <v>85</v>
      </c>
      <c r="N1922" s="1901">
        <f>N1923</f>
        <v>834151858</v>
      </c>
      <c r="O1922" s="149">
        <v>10</v>
      </c>
      <c r="P1922" s="1901">
        <f>P1923</f>
        <v>274925000</v>
      </c>
      <c r="Q1922" s="149">
        <v>0</v>
      </c>
      <c r="R1922" s="1901">
        <f t="shared" ref="R1922:X1922" si="552">R1923</f>
        <v>67879382</v>
      </c>
      <c r="S1922" s="1901">
        <f t="shared" si="552"/>
        <v>1</v>
      </c>
      <c r="T1922" s="1901">
        <f t="shared" si="552"/>
        <v>202301496</v>
      </c>
      <c r="U1922" s="1901">
        <f t="shared" si="552"/>
        <v>0</v>
      </c>
      <c r="V1922" s="1901">
        <f t="shared" si="552"/>
        <v>0</v>
      </c>
      <c r="W1922" s="1901">
        <f t="shared" si="552"/>
        <v>0</v>
      </c>
      <c r="X1922" s="1901">
        <f t="shared" si="552"/>
        <v>0</v>
      </c>
      <c r="Y1922" s="149">
        <f t="shared" si="550"/>
        <v>1</v>
      </c>
      <c r="Z1922" s="1901">
        <f t="shared" si="545"/>
        <v>270180878</v>
      </c>
      <c r="AA1922" s="149">
        <f t="shared" si="546"/>
        <v>86</v>
      </c>
      <c r="AB1922" s="1901">
        <f t="shared" si="547"/>
        <v>1104332736</v>
      </c>
      <c r="AC1922" s="821">
        <f t="shared" si="548"/>
        <v>86</v>
      </c>
      <c r="AD1922" s="821">
        <f t="shared" si="549"/>
        <v>65.773242167957108</v>
      </c>
      <c r="AE1922" s="2558" t="s">
        <v>2252</v>
      </c>
      <c r="AF1922" s="201"/>
      <c r="AG1922" s="201"/>
      <c r="AH1922" s="201"/>
      <c r="AI1922" s="201"/>
      <c r="AJ1922" s="201"/>
      <c r="AK1922" s="201"/>
      <c r="AL1922" s="201"/>
      <c r="AM1922" s="201"/>
      <c r="AN1922" s="201"/>
      <c r="AO1922" s="201"/>
      <c r="AP1922" s="201"/>
      <c r="AQ1922" s="201"/>
      <c r="AR1922" s="201"/>
      <c r="AS1922" s="201"/>
      <c r="AT1922" s="201"/>
      <c r="AU1922" s="201"/>
      <c r="AV1922" s="201"/>
      <c r="AW1922" s="201"/>
      <c r="AX1922" s="201"/>
      <c r="AY1922" s="201"/>
      <c r="AZ1922" s="201"/>
      <c r="BA1922" s="201"/>
      <c r="BB1922" s="201"/>
      <c r="BC1922" s="20"/>
      <c r="BD1922" s="20"/>
      <c r="BE1922" s="20"/>
      <c r="BF1922" s="20"/>
      <c r="BG1922" s="20"/>
      <c r="BH1922" s="20"/>
      <c r="BI1922" s="20"/>
      <c r="BJ1922" s="20"/>
      <c r="BK1922" s="20"/>
      <c r="BL1922" s="20"/>
      <c r="BM1922" s="20"/>
      <c r="BN1922" s="20"/>
      <c r="BO1922" s="20"/>
      <c r="BP1922" s="20"/>
      <c r="BQ1922" s="20"/>
      <c r="BR1922" s="20"/>
      <c r="BS1922" s="20"/>
      <c r="BT1922" s="20"/>
      <c r="BU1922" s="20"/>
      <c r="BV1922" s="20"/>
      <c r="BW1922" s="20"/>
      <c r="BX1922" s="20"/>
      <c r="BY1922" s="20"/>
      <c r="BZ1922" s="20"/>
      <c r="CA1922" s="20"/>
      <c r="CB1922" s="20"/>
      <c r="CC1922" s="20"/>
      <c r="CD1922" s="20"/>
      <c r="CE1922" s="20"/>
      <c r="CF1922" s="20"/>
      <c r="CG1922" s="20"/>
      <c r="CH1922" s="20"/>
      <c r="CI1922" s="20"/>
      <c r="CJ1922" s="20"/>
      <c r="CK1922" s="20"/>
      <c r="CL1922" s="20"/>
      <c r="CM1922" s="20"/>
      <c r="CN1922" s="20"/>
      <c r="CO1922" s="20"/>
      <c r="CP1922" s="20"/>
      <c r="CQ1922" s="20"/>
      <c r="CR1922" s="20"/>
      <c r="CS1922" s="20"/>
      <c r="CT1922" s="20"/>
      <c r="CU1922" s="20"/>
      <c r="CV1922" s="20"/>
      <c r="CW1922" s="20"/>
      <c r="CX1922" s="20"/>
      <c r="CY1922" s="20"/>
      <c r="CZ1922" s="20"/>
      <c r="DA1922" s="20"/>
      <c r="DB1922" s="20"/>
      <c r="DC1922" s="20"/>
      <c r="DD1922" s="20"/>
      <c r="DE1922" s="20"/>
      <c r="DF1922" s="20"/>
      <c r="DG1922" s="20"/>
      <c r="DH1922" s="20"/>
      <c r="DI1922" s="20"/>
      <c r="DJ1922" s="20"/>
      <c r="DK1922" s="20"/>
      <c r="DL1922" s="20"/>
      <c r="DM1922" s="20"/>
      <c r="DN1922" s="20"/>
      <c r="DO1922" s="20"/>
      <c r="DP1922" s="20"/>
      <c r="DQ1922" s="20"/>
      <c r="DR1922" s="20"/>
      <c r="DS1922" s="20"/>
      <c r="DT1922" s="20"/>
      <c r="DU1922" s="20"/>
      <c r="DV1922" s="20"/>
      <c r="DW1922" s="20"/>
      <c r="DX1922" s="20"/>
      <c r="DY1922" s="20"/>
      <c r="DZ1922" s="20"/>
      <c r="EA1922" s="20"/>
      <c r="EB1922" s="20"/>
      <c r="EC1922" s="20"/>
      <c r="ED1922" s="20"/>
      <c r="EE1922" s="20"/>
      <c r="EF1922" s="20"/>
      <c r="EG1922" s="20"/>
      <c r="EH1922" s="20"/>
      <c r="EI1922" s="20"/>
      <c r="EJ1922" s="20"/>
      <c r="EK1922" s="20"/>
      <c r="EL1922" s="20"/>
      <c r="EM1922" s="20"/>
      <c r="EN1922" s="20"/>
      <c r="EO1922" s="20"/>
      <c r="EP1922" s="20"/>
      <c r="EQ1922" s="20"/>
      <c r="ER1922" s="20"/>
      <c r="ES1922" s="20"/>
      <c r="ET1922" s="20"/>
      <c r="EU1922" s="20"/>
      <c r="EV1922" s="20"/>
      <c r="EW1922" s="20"/>
      <c r="EX1922" s="20"/>
      <c r="EY1922" s="20"/>
      <c r="EZ1922" s="20"/>
      <c r="FA1922" s="20"/>
      <c r="FB1922" s="20"/>
      <c r="FC1922" s="20"/>
      <c r="FD1922" s="20"/>
      <c r="FE1922" s="20"/>
      <c r="FF1922" s="20"/>
      <c r="FG1922" s="20"/>
      <c r="FH1922" s="20"/>
      <c r="FI1922" s="20"/>
      <c r="FJ1922" s="20"/>
      <c r="FK1922" s="20"/>
      <c r="FL1922" s="20"/>
      <c r="FM1922" s="20"/>
      <c r="FN1922" s="20"/>
      <c r="FO1922" s="20"/>
      <c r="FP1922" s="20"/>
      <c r="FQ1922" s="20"/>
      <c r="FR1922" s="20"/>
      <c r="FS1922" s="20"/>
      <c r="FT1922" s="20"/>
      <c r="FU1922" s="20"/>
      <c r="FV1922" s="20"/>
      <c r="FW1922" s="20"/>
      <c r="FX1922" s="20"/>
      <c r="FY1922" s="20"/>
      <c r="FZ1922" s="20"/>
      <c r="GA1922" s="20"/>
      <c r="GB1922" s="20"/>
      <c r="GC1922" s="20"/>
      <c r="GD1922" s="20"/>
      <c r="GE1922" s="20"/>
      <c r="GF1922" s="20"/>
      <c r="GG1922" s="20"/>
      <c r="GH1922" s="20"/>
      <c r="GI1922" s="20"/>
      <c r="GJ1922" s="20"/>
      <c r="GK1922" s="20"/>
      <c r="GL1922" s="20"/>
      <c r="GM1922" s="20"/>
      <c r="GN1922" s="20"/>
      <c r="GO1922" s="20"/>
      <c r="GP1922" s="20"/>
      <c r="GQ1922" s="20"/>
      <c r="GR1922" s="20"/>
      <c r="GS1922" s="20"/>
      <c r="GT1922" s="20"/>
      <c r="GU1922" s="20"/>
      <c r="GV1922" s="20"/>
      <c r="GW1922" s="20"/>
      <c r="GX1922" s="20"/>
      <c r="GY1922" s="20"/>
      <c r="GZ1922" s="20"/>
      <c r="HA1922" s="20"/>
      <c r="HB1922" s="20"/>
      <c r="HC1922" s="20"/>
      <c r="HD1922" s="20"/>
      <c r="HE1922" s="20"/>
      <c r="HF1922" s="20"/>
      <c r="HG1922" s="20"/>
      <c r="HH1922" s="20"/>
      <c r="HI1922" s="20"/>
      <c r="HJ1922" s="20"/>
      <c r="HK1922" s="20"/>
      <c r="HL1922" s="20"/>
      <c r="HM1922" s="20"/>
      <c r="HN1922" s="20"/>
      <c r="HO1922" s="20"/>
      <c r="HP1922" s="20"/>
      <c r="HQ1922" s="20"/>
      <c r="HR1922" s="20"/>
      <c r="HS1922" s="20"/>
      <c r="HT1922" s="20"/>
      <c r="HU1922" s="20"/>
      <c r="HV1922" s="20"/>
      <c r="HW1922" s="20"/>
      <c r="HX1922" s="20"/>
      <c r="HY1922" s="20"/>
      <c r="HZ1922" s="20"/>
      <c r="IA1922" s="20"/>
      <c r="IB1922" s="20"/>
      <c r="IC1922" s="20"/>
      <c r="ID1922" s="20"/>
      <c r="IE1922" s="20"/>
      <c r="IF1922" s="20"/>
      <c r="IG1922" s="20"/>
      <c r="IH1922" s="20"/>
      <c r="II1922" s="20"/>
      <c r="IJ1922" s="20"/>
      <c r="IK1922" s="20"/>
      <c r="IL1922" s="20"/>
      <c r="IM1922" s="20"/>
      <c r="IN1922" s="20"/>
      <c r="IO1922" s="20"/>
    </row>
    <row r="1923" spans="1:249" s="22" customFormat="1" ht="66">
      <c r="A1923" s="794"/>
      <c r="B1923" s="840"/>
      <c r="C1923" s="841">
        <v>4</v>
      </c>
      <c r="D1923" s="841" t="s">
        <v>34</v>
      </c>
      <c r="E1923" s="841" t="s">
        <v>25</v>
      </c>
      <c r="F1923" s="841" t="s">
        <v>39</v>
      </c>
      <c r="G1923" s="841" t="s">
        <v>56</v>
      </c>
      <c r="H1923" s="841"/>
      <c r="I1923" s="6" t="s">
        <v>1827</v>
      </c>
      <c r="J1923" s="6" t="s">
        <v>3334</v>
      </c>
      <c r="K1923" s="1902">
        <v>5</v>
      </c>
      <c r="L1923" s="1908">
        <v>1679000000</v>
      </c>
      <c r="M1923" s="1903">
        <v>2</v>
      </c>
      <c r="N1923" s="1904">
        <f>290902290+266749568+276500000</f>
        <v>834151858</v>
      </c>
      <c r="O1923" s="1902">
        <v>1</v>
      </c>
      <c r="P1923" s="1904">
        <v>274925000</v>
      </c>
      <c r="Q1923" s="1903">
        <v>0</v>
      </c>
      <c r="R1923" s="1904">
        <v>67879382</v>
      </c>
      <c r="S1923" s="795">
        <v>1</v>
      </c>
      <c r="T1923" s="2683">
        <v>202301496</v>
      </c>
      <c r="U1923" s="795"/>
      <c r="V1923" s="1906"/>
      <c r="W1923" s="795"/>
      <c r="X1923" s="1906"/>
      <c r="Y1923" s="1903">
        <f t="shared" si="550"/>
        <v>1</v>
      </c>
      <c r="Z1923" s="1906">
        <f t="shared" si="545"/>
        <v>270180878</v>
      </c>
      <c r="AA1923" s="1903">
        <f t="shared" si="546"/>
        <v>3</v>
      </c>
      <c r="AB1923" s="1906">
        <f t="shared" si="547"/>
        <v>1104332736</v>
      </c>
      <c r="AC1923" s="1907">
        <f t="shared" si="548"/>
        <v>60</v>
      </c>
      <c r="AD1923" s="1907">
        <f t="shared" si="549"/>
        <v>65.773242167957108</v>
      </c>
      <c r="AE1923" s="102" t="s">
        <v>1979</v>
      </c>
      <c r="AF1923" s="201"/>
      <c r="AG1923" s="201"/>
      <c r="AH1923" s="201"/>
      <c r="AI1923" s="201"/>
      <c r="AJ1923" s="201"/>
      <c r="AK1923" s="201"/>
      <c r="AL1923" s="201"/>
      <c r="AM1923" s="201"/>
      <c r="AN1923" s="201"/>
      <c r="AO1923" s="201"/>
      <c r="AP1923" s="201"/>
      <c r="AQ1923" s="201"/>
      <c r="AR1923" s="201"/>
      <c r="AS1923" s="201"/>
      <c r="AT1923" s="201"/>
      <c r="AU1923" s="201"/>
      <c r="AV1923" s="201"/>
      <c r="AW1923" s="201"/>
      <c r="AX1923" s="201"/>
      <c r="AY1923" s="201"/>
      <c r="AZ1923" s="201"/>
      <c r="BA1923" s="201"/>
      <c r="BB1923" s="201"/>
      <c r="BC1923" s="20"/>
      <c r="BD1923" s="20"/>
      <c r="BE1923" s="20"/>
      <c r="BF1923" s="20"/>
      <c r="BG1923" s="20"/>
      <c r="BH1923" s="20"/>
      <c r="BI1923" s="20"/>
      <c r="BJ1923" s="20"/>
      <c r="BK1923" s="20"/>
      <c r="BL1923" s="20"/>
      <c r="BM1923" s="20"/>
      <c r="BN1923" s="20"/>
      <c r="BO1923" s="20"/>
      <c r="BP1923" s="20"/>
      <c r="BQ1923" s="20"/>
      <c r="BR1923" s="20"/>
      <c r="BS1923" s="20"/>
      <c r="BT1923" s="20"/>
      <c r="BU1923" s="20"/>
      <c r="BV1923" s="20"/>
      <c r="BW1923" s="20"/>
      <c r="BX1923" s="20"/>
      <c r="BY1923" s="20"/>
      <c r="BZ1923" s="20"/>
      <c r="CA1923" s="20"/>
      <c r="CB1923" s="20"/>
      <c r="CC1923" s="20"/>
      <c r="CD1923" s="20"/>
      <c r="CE1923" s="20"/>
      <c r="CF1923" s="20"/>
      <c r="CG1923" s="20"/>
      <c r="CH1923" s="20"/>
      <c r="CI1923" s="20"/>
      <c r="CJ1923" s="20"/>
      <c r="CK1923" s="20"/>
      <c r="CL1923" s="20"/>
      <c r="CM1923" s="20"/>
      <c r="CN1923" s="20"/>
      <c r="CO1923" s="20"/>
      <c r="CP1923" s="20"/>
      <c r="CQ1923" s="20"/>
      <c r="CR1923" s="20"/>
      <c r="CS1923" s="20"/>
      <c r="CT1923" s="20"/>
      <c r="CU1923" s="20"/>
      <c r="CV1923" s="20"/>
      <c r="CW1923" s="20"/>
      <c r="CX1923" s="20"/>
      <c r="CY1923" s="20"/>
      <c r="CZ1923" s="20"/>
      <c r="DA1923" s="20"/>
      <c r="DB1923" s="20"/>
      <c r="DC1923" s="20"/>
      <c r="DD1923" s="20"/>
      <c r="DE1923" s="20"/>
      <c r="DF1923" s="20"/>
      <c r="DG1923" s="20"/>
      <c r="DH1923" s="20"/>
      <c r="DI1923" s="20"/>
      <c r="DJ1923" s="20"/>
      <c r="DK1923" s="20"/>
      <c r="DL1923" s="20"/>
      <c r="DM1923" s="20"/>
      <c r="DN1923" s="20"/>
      <c r="DO1923" s="20"/>
      <c r="DP1923" s="20"/>
      <c r="DQ1923" s="20"/>
      <c r="DR1923" s="20"/>
      <c r="DS1923" s="20"/>
      <c r="DT1923" s="20"/>
      <c r="DU1923" s="20"/>
      <c r="DV1923" s="20"/>
      <c r="DW1923" s="20"/>
      <c r="DX1923" s="20"/>
      <c r="DY1923" s="20"/>
      <c r="DZ1923" s="20"/>
      <c r="EA1923" s="20"/>
      <c r="EB1923" s="20"/>
      <c r="EC1923" s="20"/>
      <c r="ED1923" s="20"/>
      <c r="EE1923" s="20"/>
      <c r="EF1923" s="20"/>
      <c r="EG1923" s="20"/>
      <c r="EH1923" s="20"/>
      <c r="EI1923" s="20"/>
      <c r="EJ1923" s="20"/>
      <c r="EK1923" s="20"/>
      <c r="EL1923" s="20"/>
      <c r="EM1923" s="20"/>
      <c r="EN1923" s="20"/>
      <c r="EO1923" s="20"/>
      <c r="EP1923" s="20"/>
      <c r="EQ1923" s="20"/>
      <c r="ER1923" s="20"/>
      <c r="ES1923" s="20"/>
      <c r="ET1923" s="20"/>
      <c r="EU1923" s="20"/>
      <c r="EV1923" s="20"/>
      <c r="EW1923" s="20"/>
      <c r="EX1923" s="20"/>
      <c r="EY1923" s="20"/>
      <c r="EZ1923" s="20"/>
      <c r="FA1923" s="20"/>
      <c r="FB1923" s="20"/>
      <c r="FC1923" s="20"/>
      <c r="FD1923" s="20"/>
      <c r="FE1923" s="20"/>
      <c r="FF1923" s="20"/>
      <c r="FG1923" s="20"/>
      <c r="FH1923" s="20"/>
      <c r="FI1923" s="20"/>
      <c r="FJ1923" s="20"/>
      <c r="FK1923" s="20"/>
      <c r="FL1923" s="20"/>
      <c r="FM1923" s="20"/>
      <c r="FN1923" s="20"/>
      <c r="FO1923" s="20"/>
      <c r="FP1923" s="20"/>
      <c r="FQ1923" s="20"/>
      <c r="FR1923" s="20"/>
      <c r="FS1923" s="20"/>
      <c r="FT1923" s="20"/>
      <c r="FU1923" s="20"/>
      <c r="FV1923" s="20"/>
      <c r="FW1923" s="20"/>
      <c r="FX1923" s="20"/>
      <c r="FY1923" s="20"/>
      <c r="FZ1923" s="20"/>
      <c r="GA1923" s="20"/>
      <c r="GB1923" s="20"/>
      <c r="GC1923" s="20"/>
      <c r="GD1923" s="20"/>
      <c r="GE1923" s="20"/>
      <c r="GF1923" s="20"/>
      <c r="GG1923" s="20"/>
      <c r="GH1923" s="20"/>
      <c r="GI1923" s="20"/>
      <c r="GJ1923" s="20"/>
      <c r="GK1923" s="20"/>
      <c r="GL1923" s="20"/>
      <c r="GM1923" s="20"/>
      <c r="GN1923" s="20"/>
      <c r="GO1923" s="20"/>
      <c r="GP1923" s="20"/>
      <c r="GQ1923" s="20"/>
      <c r="GR1923" s="20"/>
      <c r="GS1923" s="20"/>
      <c r="GT1923" s="20"/>
      <c r="GU1923" s="20"/>
      <c r="GV1923" s="20"/>
      <c r="GW1923" s="20"/>
      <c r="GX1923" s="20"/>
      <c r="GY1923" s="20"/>
      <c r="GZ1923" s="20"/>
      <c r="HA1923" s="20"/>
      <c r="HB1923" s="20"/>
      <c r="HC1923" s="20"/>
      <c r="HD1923" s="20"/>
      <c r="HE1923" s="20"/>
      <c r="HF1923" s="20"/>
      <c r="HG1923" s="20"/>
      <c r="HH1923" s="20"/>
      <c r="HI1923" s="20"/>
      <c r="HJ1923" s="20"/>
      <c r="HK1923" s="20"/>
      <c r="HL1923" s="20"/>
      <c r="HM1923" s="20"/>
      <c r="HN1923" s="20"/>
      <c r="HO1923" s="20"/>
      <c r="HP1923" s="20"/>
      <c r="HQ1923" s="20"/>
      <c r="HR1923" s="20"/>
      <c r="HS1923" s="20"/>
      <c r="HT1923" s="20"/>
      <c r="HU1923" s="20"/>
      <c r="HV1923" s="20"/>
      <c r="HW1923" s="20"/>
      <c r="HX1923" s="20"/>
      <c r="HY1923" s="20"/>
      <c r="HZ1923" s="20"/>
      <c r="IA1923" s="20"/>
      <c r="IB1923" s="20"/>
      <c r="IC1923" s="20"/>
      <c r="ID1923" s="20"/>
      <c r="IE1923" s="20"/>
      <c r="IF1923" s="20"/>
      <c r="IG1923" s="20"/>
      <c r="IH1923" s="20"/>
      <c r="II1923" s="20"/>
      <c r="IJ1923" s="20"/>
      <c r="IK1923" s="20"/>
      <c r="IL1923" s="20"/>
      <c r="IM1923" s="20"/>
      <c r="IN1923" s="20"/>
      <c r="IO1923" s="20"/>
    </row>
    <row r="1924" spans="1:249" s="22" customFormat="1" ht="49.5">
      <c r="A1924" s="753">
        <v>4</v>
      </c>
      <c r="B1924" s="44"/>
      <c r="C1924" s="753">
        <v>4</v>
      </c>
      <c r="D1924" s="753" t="s">
        <v>34</v>
      </c>
      <c r="E1924" s="753" t="s">
        <v>25</v>
      </c>
      <c r="F1924" s="753" t="s">
        <v>38</v>
      </c>
      <c r="G1924" s="753"/>
      <c r="H1924" s="594"/>
      <c r="I1924" s="44" t="s">
        <v>1828</v>
      </c>
      <c r="J1924" s="44" t="s">
        <v>3135</v>
      </c>
      <c r="K1924" s="149">
        <v>100</v>
      </c>
      <c r="L1924" s="1901">
        <f>SUM(L1925:L1926)</f>
        <v>641200000</v>
      </c>
      <c r="M1924" s="149">
        <v>75</v>
      </c>
      <c r="N1924" s="1901">
        <f>SUM(N1925:N1926)</f>
        <v>184334196</v>
      </c>
      <c r="O1924" s="149">
        <v>15</v>
      </c>
      <c r="P1924" s="1901">
        <f>SUM(P1925:P1926)</f>
        <v>113615000</v>
      </c>
      <c r="Q1924" s="149">
        <v>3</v>
      </c>
      <c r="R1924" s="1901">
        <f t="shared" ref="R1924:X1924" si="553">SUM(R1925:R1926)</f>
        <v>9380950</v>
      </c>
      <c r="S1924" s="1901">
        <f t="shared" si="553"/>
        <v>3</v>
      </c>
      <c r="T1924" s="1901">
        <f t="shared" si="553"/>
        <v>16032450</v>
      </c>
      <c r="U1924" s="1901">
        <f t="shared" si="553"/>
        <v>0</v>
      </c>
      <c r="V1924" s="1901">
        <f t="shared" si="553"/>
        <v>0</v>
      </c>
      <c r="W1924" s="1901">
        <f t="shared" si="553"/>
        <v>0</v>
      </c>
      <c r="X1924" s="1901">
        <f t="shared" si="553"/>
        <v>0</v>
      </c>
      <c r="Y1924" s="149">
        <f t="shared" si="550"/>
        <v>6</v>
      </c>
      <c r="Z1924" s="1901">
        <f t="shared" si="545"/>
        <v>25413400</v>
      </c>
      <c r="AA1924" s="149">
        <f t="shared" si="546"/>
        <v>81</v>
      </c>
      <c r="AB1924" s="1901">
        <f t="shared" si="547"/>
        <v>209747596</v>
      </c>
      <c r="AC1924" s="821">
        <f t="shared" si="548"/>
        <v>81</v>
      </c>
      <c r="AD1924" s="821">
        <f t="shared" si="549"/>
        <v>32.711727386150969</v>
      </c>
      <c r="AE1924" s="2558" t="s">
        <v>2252</v>
      </c>
      <c r="AF1924" s="201"/>
      <c r="AG1924" s="201"/>
      <c r="AH1924" s="201"/>
      <c r="AI1924" s="201"/>
      <c r="AJ1924" s="201"/>
      <c r="AK1924" s="201"/>
      <c r="AL1924" s="201"/>
      <c r="AM1924" s="201"/>
      <c r="AN1924" s="201"/>
      <c r="AO1924" s="201"/>
      <c r="AP1924" s="201"/>
      <c r="AQ1924" s="201"/>
      <c r="AR1924" s="201"/>
      <c r="AS1924" s="201"/>
      <c r="AT1924" s="201"/>
      <c r="AU1924" s="201"/>
      <c r="AV1924" s="201"/>
      <c r="AW1924" s="201"/>
      <c r="AX1924" s="201"/>
      <c r="AY1924" s="201"/>
      <c r="AZ1924" s="201"/>
      <c r="BA1924" s="201"/>
      <c r="BB1924" s="201"/>
      <c r="BC1924" s="20"/>
      <c r="BD1924" s="20"/>
      <c r="BE1924" s="20"/>
      <c r="BF1924" s="20"/>
      <c r="BG1924" s="20"/>
      <c r="BH1924" s="20"/>
      <c r="BI1924" s="20"/>
      <c r="BJ1924" s="20"/>
      <c r="BK1924" s="20"/>
      <c r="BL1924" s="20"/>
      <c r="BM1924" s="20"/>
      <c r="BN1924" s="20"/>
      <c r="BO1924" s="20"/>
      <c r="BP1924" s="20"/>
      <c r="BQ1924" s="20"/>
      <c r="BR1924" s="20"/>
      <c r="BS1924" s="20"/>
      <c r="BT1924" s="20"/>
      <c r="BU1924" s="20"/>
      <c r="BV1924" s="20"/>
      <c r="BW1924" s="20"/>
      <c r="BX1924" s="20"/>
      <c r="BY1924" s="20"/>
      <c r="BZ1924" s="20"/>
      <c r="CA1924" s="20"/>
      <c r="CB1924" s="20"/>
      <c r="CC1924" s="20"/>
      <c r="CD1924" s="20"/>
      <c r="CE1924" s="20"/>
      <c r="CF1924" s="20"/>
      <c r="CG1924" s="20"/>
      <c r="CH1924" s="20"/>
      <c r="CI1924" s="20"/>
      <c r="CJ1924" s="20"/>
      <c r="CK1924" s="20"/>
      <c r="CL1924" s="20"/>
      <c r="CM1924" s="20"/>
      <c r="CN1924" s="20"/>
      <c r="CO1924" s="20"/>
      <c r="CP1924" s="20"/>
      <c r="CQ1924" s="20"/>
      <c r="CR1924" s="20"/>
      <c r="CS1924" s="20"/>
      <c r="CT1924" s="20"/>
      <c r="CU1924" s="20"/>
      <c r="CV1924" s="20"/>
      <c r="CW1924" s="20"/>
      <c r="CX1924" s="20"/>
      <c r="CY1924" s="20"/>
      <c r="CZ1924" s="20"/>
      <c r="DA1924" s="20"/>
      <c r="DB1924" s="20"/>
      <c r="DC1924" s="20"/>
      <c r="DD1924" s="20"/>
      <c r="DE1924" s="20"/>
      <c r="DF1924" s="20"/>
      <c r="DG1924" s="20"/>
      <c r="DH1924" s="20"/>
      <c r="DI1924" s="20"/>
      <c r="DJ1924" s="20"/>
      <c r="DK1924" s="20"/>
      <c r="DL1924" s="20"/>
      <c r="DM1924" s="20"/>
      <c r="DN1924" s="20"/>
      <c r="DO1924" s="20"/>
      <c r="DP1924" s="20"/>
      <c r="DQ1924" s="20"/>
      <c r="DR1924" s="20"/>
      <c r="DS1924" s="20"/>
      <c r="DT1924" s="20"/>
      <c r="DU1924" s="20"/>
      <c r="DV1924" s="20"/>
      <c r="DW1924" s="20"/>
      <c r="DX1924" s="20"/>
      <c r="DY1924" s="20"/>
      <c r="DZ1924" s="20"/>
      <c r="EA1924" s="20"/>
      <c r="EB1924" s="20"/>
      <c r="EC1924" s="20"/>
      <c r="ED1924" s="20"/>
      <c r="EE1924" s="20"/>
      <c r="EF1924" s="20"/>
      <c r="EG1924" s="20"/>
      <c r="EH1924" s="20"/>
      <c r="EI1924" s="20"/>
      <c r="EJ1924" s="20"/>
      <c r="EK1924" s="20"/>
      <c r="EL1924" s="20"/>
      <c r="EM1924" s="20"/>
      <c r="EN1924" s="20"/>
      <c r="EO1924" s="20"/>
      <c r="EP1924" s="20"/>
      <c r="EQ1924" s="20"/>
      <c r="ER1924" s="20"/>
      <c r="ES1924" s="20"/>
      <c r="ET1924" s="20"/>
      <c r="EU1924" s="20"/>
      <c r="EV1924" s="20"/>
      <c r="EW1924" s="20"/>
      <c r="EX1924" s="20"/>
      <c r="EY1924" s="20"/>
      <c r="EZ1924" s="20"/>
      <c r="FA1924" s="20"/>
      <c r="FB1924" s="20"/>
      <c r="FC1924" s="20"/>
      <c r="FD1924" s="20"/>
      <c r="FE1924" s="20"/>
      <c r="FF1924" s="20"/>
      <c r="FG1924" s="20"/>
      <c r="FH1924" s="20"/>
      <c r="FI1924" s="20"/>
      <c r="FJ1924" s="20"/>
      <c r="FK1924" s="20"/>
      <c r="FL1924" s="20"/>
      <c r="FM1924" s="20"/>
      <c r="FN1924" s="20"/>
      <c r="FO1924" s="20"/>
      <c r="FP1924" s="20"/>
      <c r="FQ1924" s="20"/>
      <c r="FR1924" s="20"/>
      <c r="FS1924" s="20"/>
      <c r="FT1924" s="20"/>
      <c r="FU1924" s="20"/>
      <c r="FV1924" s="20"/>
      <c r="FW1924" s="20"/>
      <c r="FX1924" s="20"/>
      <c r="FY1924" s="20"/>
      <c r="FZ1924" s="20"/>
      <c r="GA1924" s="20"/>
      <c r="GB1924" s="20"/>
      <c r="GC1924" s="20"/>
      <c r="GD1924" s="20"/>
      <c r="GE1924" s="20"/>
      <c r="GF1924" s="20"/>
      <c r="GG1924" s="20"/>
      <c r="GH1924" s="20"/>
      <c r="GI1924" s="20"/>
      <c r="GJ1924" s="20"/>
      <c r="GK1924" s="20"/>
      <c r="GL1924" s="20"/>
      <c r="GM1924" s="20"/>
      <c r="GN1924" s="20"/>
      <c r="GO1924" s="20"/>
      <c r="GP1924" s="20"/>
      <c r="GQ1924" s="20"/>
      <c r="GR1924" s="20"/>
      <c r="GS1924" s="20"/>
      <c r="GT1924" s="20"/>
      <c r="GU1924" s="20"/>
      <c r="GV1924" s="20"/>
      <c r="GW1924" s="20"/>
      <c r="GX1924" s="20"/>
      <c r="GY1924" s="20"/>
      <c r="GZ1924" s="20"/>
      <c r="HA1924" s="20"/>
      <c r="HB1924" s="20"/>
      <c r="HC1924" s="20"/>
      <c r="HD1924" s="20"/>
      <c r="HE1924" s="20"/>
      <c r="HF1924" s="20"/>
      <c r="HG1924" s="20"/>
      <c r="HH1924" s="20"/>
      <c r="HI1924" s="20"/>
      <c r="HJ1924" s="20"/>
      <c r="HK1924" s="20"/>
      <c r="HL1924" s="20"/>
      <c r="HM1924" s="20"/>
      <c r="HN1924" s="20"/>
      <c r="HO1924" s="20"/>
      <c r="HP1924" s="20"/>
      <c r="HQ1924" s="20"/>
      <c r="HR1924" s="20"/>
      <c r="HS1924" s="20"/>
      <c r="HT1924" s="20"/>
      <c r="HU1924" s="20"/>
      <c r="HV1924" s="20"/>
      <c r="HW1924" s="20"/>
      <c r="HX1924" s="20"/>
      <c r="HY1924" s="20"/>
      <c r="HZ1924" s="20"/>
      <c r="IA1924" s="20"/>
      <c r="IB1924" s="20"/>
      <c r="IC1924" s="20"/>
      <c r="ID1924" s="20"/>
      <c r="IE1924" s="20"/>
      <c r="IF1924" s="20"/>
      <c r="IG1924" s="20"/>
      <c r="IH1924" s="20"/>
      <c r="II1924" s="20"/>
      <c r="IJ1924" s="20"/>
      <c r="IK1924" s="20"/>
      <c r="IL1924" s="20"/>
      <c r="IM1924" s="20"/>
      <c r="IN1924" s="20"/>
      <c r="IO1924" s="20"/>
    </row>
    <row r="1925" spans="1:249" s="22" customFormat="1" ht="49.5">
      <c r="A1925" s="794"/>
      <c r="B1925" s="840"/>
      <c r="C1925" s="841">
        <v>4</v>
      </c>
      <c r="D1925" s="841" t="s">
        <v>34</v>
      </c>
      <c r="E1925" s="841" t="s">
        <v>25</v>
      </c>
      <c r="F1925" s="841" t="s">
        <v>38</v>
      </c>
      <c r="G1925" s="841" t="s">
        <v>25</v>
      </c>
      <c r="H1925" s="841"/>
      <c r="I1925" s="6" t="s">
        <v>628</v>
      </c>
      <c r="J1925" s="6" t="s">
        <v>3335</v>
      </c>
      <c r="K1925" s="1920">
        <f>15*3</f>
        <v>45</v>
      </c>
      <c r="L1925" s="1908">
        <f>76000000+200000+250000000</f>
        <v>326200000</v>
      </c>
      <c r="M1925" s="1903">
        <v>0</v>
      </c>
      <c r="N1925" s="1904">
        <v>0</v>
      </c>
      <c r="O1925" s="1902">
        <v>15</v>
      </c>
      <c r="P1925" s="1904">
        <v>76000000</v>
      </c>
      <c r="Q1925" s="1903">
        <v>0</v>
      </c>
      <c r="R1925" s="1904">
        <v>0</v>
      </c>
      <c r="S1925" s="795">
        <v>0</v>
      </c>
      <c r="T1925" s="207">
        <v>0</v>
      </c>
      <c r="U1925" s="795"/>
      <c r="V1925" s="1906"/>
      <c r="W1925" s="795"/>
      <c r="X1925" s="1906"/>
      <c r="Y1925" s="1903">
        <f t="shared" si="550"/>
        <v>0</v>
      </c>
      <c r="Z1925" s="1906">
        <f t="shared" si="545"/>
        <v>0</v>
      </c>
      <c r="AA1925" s="1903">
        <f t="shared" si="546"/>
        <v>0</v>
      </c>
      <c r="AB1925" s="1906">
        <f t="shared" si="547"/>
        <v>0</v>
      </c>
      <c r="AC1925" s="1907">
        <f t="shared" si="548"/>
        <v>0</v>
      </c>
      <c r="AD1925" s="1907">
        <f t="shared" si="549"/>
        <v>0</v>
      </c>
      <c r="AE1925" s="102"/>
      <c r="AF1925" s="201"/>
      <c r="AG1925" s="201"/>
      <c r="AH1925" s="201"/>
      <c r="AI1925" s="201"/>
      <c r="AJ1925" s="201"/>
      <c r="AK1925" s="201"/>
      <c r="AL1925" s="201"/>
      <c r="AM1925" s="201"/>
      <c r="AN1925" s="201"/>
      <c r="AO1925" s="201"/>
      <c r="AP1925" s="201"/>
      <c r="AQ1925" s="201"/>
      <c r="AR1925" s="201"/>
      <c r="AS1925" s="201"/>
      <c r="AT1925" s="201"/>
      <c r="AU1925" s="201"/>
      <c r="AV1925" s="201"/>
      <c r="AW1925" s="201"/>
      <c r="AX1925" s="201"/>
      <c r="AY1925" s="201"/>
      <c r="AZ1925" s="201"/>
      <c r="BA1925" s="201"/>
      <c r="BB1925" s="201"/>
      <c r="BC1925" s="20"/>
      <c r="BD1925" s="20"/>
      <c r="BE1925" s="20"/>
      <c r="BF1925" s="20"/>
      <c r="BG1925" s="20"/>
      <c r="BH1925" s="20"/>
      <c r="BI1925" s="20"/>
      <c r="BJ1925" s="20"/>
      <c r="BK1925" s="20"/>
      <c r="BL1925" s="20"/>
      <c r="BM1925" s="20"/>
      <c r="BN1925" s="20"/>
      <c r="BO1925" s="20"/>
      <c r="BP1925" s="20"/>
      <c r="BQ1925" s="20"/>
      <c r="BR1925" s="20"/>
      <c r="BS1925" s="20"/>
      <c r="BT1925" s="20"/>
      <c r="BU1925" s="20"/>
      <c r="BV1925" s="20"/>
      <c r="BW1925" s="20"/>
      <c r="BX1925" s="20"/>
      <c r="BY1925" s="20"/>
      <c r="BZ1925" s="20"/>
      <c r="CA1925" s="20"/>
      <c r="CB1925" s="20"/>
      <c r="CC1925" s="20"/>
      <c r="CD1925" s="20"/>
      <c r="CE1925" s="20"/>
      <c r="CF1925" s="20"/>
      <c r="CG1925" s="20"/>
      <c r="CH1925" s="20"/>
      <c r="CI1925" s="20"/>
      <c r="CJ1925" s="20"/>
      <c r="CK1925" s="20"/>
      <c r="CL1925" s="20"/>
      <c r="CM1925" s="20"/>
      <c r="CN1925" s="20"/>
      <c r="CO1925" s="20"/>
      <c r="CP1925" s="20"/>
      <c r="CQ1925" s="20"/>
      <c r="CR1925" s="20"/>
      <c r="CS1925" s="20"/>
      <c r="CT1925" s="20"/>
      <c r="CU1925" s="20"/>
      <c r="CV1925" s="20"/>
      <c r="CW1925" s="20"/>
      <c r="CX1925" s="20"/>
      <c r="CY1925" s="20"/>
      <c r="CZ1925" s="20"/>
      <c r="DA1925" s="20"/>
      <c r="DB1925" s="20"/>
      <c r="DC1925" s="20"/>
      <c r="DD1925" s="20"/>
      <c r="DE1925" s="20"/>
      <c r="DF1925" s="20"/>
      <c r="DG1925" s="20"/>
      <c r="DH1925" s="20"/>
      <c r="DI1925" s="20"/>
      <c r="DJ1925" s="20"/>
      <c r="DK1925" s="20"/>
      <c r="DL1925" s="20"/>
      <c r="DM1925" s="20"/>
      <c r="DN1925" s="20"/>
      <c r="DO1925" s="20"/>
      <c r="DP1925" s="20"/>
      <c r="DQ1925" s="20"/>
      <c r="DR1925" s="20"/>
      <c r="DS1925" s="20"/>
      <c r="DT1925" s="20"/>
      <c r="DU1925" s="20"/>
      <c r="DV1925" s="20"/>
      <c r="DW1925" s="20"/>
      <c r="DX1925" s="20"/>
      <c r="DY1925" s="20"/>
      <c r="DZ1925" s="20"/>
      <c r="EA1925" s="20"/>
      <c r="EB1925" s="20"/>
      <c r="EC1925" s="20"/>
      <c r="ED1925" s="20"/>
      <c r="EE1925" s="20"/>
      <c r="EF1925" s="20"/>
      <c r="EG1925" s="20"/>
      <c r="EH1925" s="20"/>
      <c r="EI1925" s="20"/>
      <c r="EJ1925" s="20"/>
      <c r="EK1925" s="20"/>
      <c r="EL1925" s="20"/>
      <c r="EM1925" s="20"/>
      <c r="EN1925" s="20"/>
      <c r="EO1925" s="20"/>
      <c r="EP1925" s="20"/>
      <c r="EQ1925" s="20"/>
      <c r="ER1925" s="20"/>
      <c r="ES1925" s="20"/>
      <c r="ET1925" s="20"/>
      <c r="EU1925" s="20"/>
      <c r="EV1925" s="20"/>
      <c r="EW1925" s="20"/>
      <c r="EX1925" s="20"/>
      <c r="EY1925" s="20"/>
      <c r="EZ1925" s="20"/>
      <c r="FA1925" s="20"/>
      <c r="FB1925" s="20"/>
      <c r="FC1925" s="20"/>
      <c r="FD1925" s="20"/>
      <c r="FE1925" s="20"/>
      <c r="FF1925" s="20"/>
      <c r="FG1925" s="20"/>
      <c r="FH1925" s="20"/>
      <c r="FI1925" s="20"/>
      <c r="FJ1925" s="20"/>
      <c r="FK1925" s="20"/>
      <c r="FL1925" s="20"/>
      <c r="FM1925" s="20"/>
      <c r="FN1925" s="20"/>
      <c r="FO1925" s="20"/>
      <c r="FP1925" s="20"/>
      <c r="FQ1925" s="20"/>
      <c r="FR1925" s="20"/>
      <c r="FS1925" s="20"/>
      <c r="FT1925" s="20"/>
      <c r="FU1925" s="20"/>
      <c r="FV1925" s="20"/>
      <c r="FW1925" s="20"/>
      <c r="FX1925" s="20"/>
      <c r="FY1925" s="20"/>
      <c r="FZ1925" s="20"/>
      <c r="GA1925" s="20"/>
      <c r="GB1925" s="20"/>
      <c r="GC1925" s="20"/>
      <c r="GD1925" s="20"/>
      <c r="GE1925" s="20"/>
      <c r="GF1925" s="20"/>
      <c r="GG1925" s="20"/>
      <c r="GH1925" s="20"/>
      <c r="GI1925" s="20"/>
      <c r="GJ1925" s="20"/>
      <c r="GK1925" s="20"/>
      <c r="GL1925" s="20"/>
      <c r="GM1925" s="20"/>
      <c r="GN1925" s="20"/>
      <c r="GO1925" s="20"/>
      <c r="GP1925" s="20"/>
      <c r="GQ1925" s="20"/>
      <c r="GR1925" s="20"/>
      <c r="GS1925" s="20"/>
      <c r="GT1925" s="20"/>
      <c r="GU1925" s="20"/>
      <c r="GV1925" s="20"/>
      <c r="GW1925" s="20"/>
      <c r="GX1925" s="20"/>
      <c r="GY1925" s="20"/>
      <c r="GZ1925" s="20"/>
      <c r="HA1925" s="20"/>
      <c r="HB1925" s="20"/>
      <c r="HC1925" s="20"/>
      <c r="HD1925" s="20"/>
      <c r="HE1925" s="20"/>
      <c r="HF1925" s="20"/>
      <c r="HG1925" s="20"/>
      <c r="HH1925" s="20"/>
      <c r="HI1925" s="20"/>
      <c r="HJ1925" s="20"/>
      <c r="HK1925" s="20"/>
      <c r="HL1925" s="20"/>
      <c r="HM1925" s="20"/>
      <c r="HN1925" s="20"/>
      <c r="HO1925" s="20"/>
      <c r="HP1925" s="20"/>
      <c r="HQ1925" s="20"/>
      <c r="HR1925" s="20"/>
      <c r="HS1925" s="20"/>
      <c r="HT1925" s="20"/>
      <c r="HU1925" s="20"/>
      <c r="HV1925" s="20"/>
      <c r="HW1925" s="20"/>
      <c r="HX1925" s="20"/>
      <c r="HY1925" s="20"/>
      <c r="HZ1925" s="20"/>
      <c r="IA1925" s="20"/>
      <c r="IB1925" s="20"/>
      <c r="IC1925" s="20"/>
      <c r="ID1925" s="20"/>
      <c r="IE1925" s="20"/>
      <c r="IF1925" s="20"/>
      <c r="IG1925" s="20"/>
      <c r="IH1925" s="20"/>
      <c r="II1925" s="20"/>
      <c r="IJ1925" s="20"/>
      <c r="IK1925" s="20"/>
      <c r="IL1925" s="20"/>
      <c r="IM1925" s="20"/>
      <c r="IN1925" s="20"/>
      <c r="IO1925" s="20"/>
    </row>
    <row r="1926" spans="1:249" s="22" customFormat="1" ht="82.5">
      <c r="A1926" s="794"/>
      <c r="B1926" s="840"/>
      <c r="C1926" s="841">
        <v>4</v>
      </c>
      <c r="D1926" s="841" t="s">
        <v>34</v>
      </c>
      <c r="E1926" s="841" t="s">
        <v>25</v>
      </c>
      <c r="F1926" s="841" t="s">
        <v>38</v>
      </c>
      <c r="G1926" s="841">
        <v>19</v>
      </c>
      <c r="H1926" s="841"/>
      <c r="I1926" s="407" t="s">
        <v>1829</v>
      </c>
      <c r="J1926" s="6" t="s">
        <v>3336</v>
      </c>
      <c r="K1926" s="1909">
        <v>72</v>
      </c>
      <c r="L1926" s="1908">
        <v>315000000</v>
      </c>
      <c r="M1926" s="1903">
        <v>36</v>
      </c>
      <c r="N1926" s="1904">
        <f>59911444+81383050+43039702</f>
        <v>184334196</v>
      </c>
      <c r="O1926" s="1909">
        <v>12</v>
      </c>
      <c r="P1926" s="1904">
        <v>37615000</v>
      </c>
      <c r="Q1926" s="1903">
        <v>3</v>
      </c>
      <c r="R1926" s="1904">
        <v>9380950</v>
      </c>
      <c r="S1926" s="795">
        <v>3</v>
      </c>
      <c r="T1926" s="207">
        <v>16032450</v>
      </c>
      <c r="U1926" s="795"/>
      <c r="V1926" s="1906"/>
      <c r="W1926" s="795"/>
      <c r="X1926" s="1906"/>
      <c r="Y1926" s="1903">
        <f t="shared" si="550"/>
        <v>6</v>
      </c>
      <c r="Z1926" s="1906">
        <f t="shared" si="545"/>
        <v>25413400</v>
      </c>
      <c r="AA1926" s="1903">
        <f t="shared" si="546"/>
        <v>42</v>
      </c>
      <c r="AB1926" s="1906">
        <f t="shared" si="547"/>
        <v>209747596</v>
      </c>
      <c r="AC1926" s="1907">
        <f t="shared" si="548"/>
        <v>58.333333333333336</v>
      </c>
      <c r="AD1926" s="1907">
        <f t="shared" si="549"/>
        <v>66.586538412698417</v>
      </c>
      <c r="AE1926" s="102" t="s">
        <v>1981</v>
      </c>
      <c r="AF1926" s="201"/>
      <c r="AG1926" s="201"/>
      <c r="AH1926" s="201"/>
      <c r="AI1926" s="201"/>
      <c r="AJ1926" s="201"/>
      <c r="AK1926" s="201"/>
      <c r="AL1926" s="201"/>
      <c r="AM1926" s="201"/>
      <c r="AN1926" s="201"/>
      <c r="AO1926" s="201"/>
      <c r="AP1926" s="201"/>
      <c r="AQ1926" s="201"/>
      <c r="AR1926" s="201"/>
      <c r="AS1926" s="201"/>
      <c r="AT1926" s="201"/>
      <c r="AU1926" s="201"/>
      <c r="AV1926" s="201"/>
      <c r="AW1926" s="201"/>
      <c r="AX1926" s="201"/>
      <c r="AY1926" s="201"/>
      <c r="AZ1926" s="201"/>
      <c r="BA1926" s="201"/>
      <c r="BB1926" s="201"/>
      <c r="BC1926" s="20"/>
      <c r="BD1926" s="20"/>
      <c r="BE1926" s="20"/>
      <c r="BF1926" s="20"/>
      <c r="BG1926" s="20"/>
      <c r="BH1926" s="20"/>
      <c r="BI1926" s="20"/>
      <c r="BJ1926" s="20"/>
      <c r="BK1926" s="20"/>
      <c r="BL1926" s="20"/>
      <c r="BM1926" s="20"/>
      <c r="BN1926" s="20"/>
      <c r="BO1926" s="20"/>
      <c r="BP1926" s="20"/>
      <c r="BQ1926" s="20"/>
      <c r="BR1926" s="20"/>
      <c r="BS1926" s="20"/>
      <c r="BT1926" s="20"/>
      <c r="BU1926" s="20"/>
      <c r="BV1926" s="20"/>
      <c r="BW1926" s="20"/>
      <c r="BX1926" s="20"/>
      <c r="BY1926" s="20"/>
      <c r="BZ1926" s="20"/>
      <c r="CA1926" s="20"/>
      <c r="CB1926" s="20"/>
      <c r="CC1926" s="20"/>
      <c r="CD1926" s="20"/>
      <c r="CE1926" s="20"/>
      <c r="CF1926" s="20"/>
      <c r="CG1926" s="20"/>
      <c r="CH1926" s="20"/>
      <c r="CI1926" s="20"/>
      <c r="CJ1926" s="20"/>
      <c r="CK1926" s="20"/>
      <c r="CL1926" s="20"/>
      <c r="CM1926" s="20"/>
      <c r="CN1926" s="20"/>
      <c r="CO1926" s="20"/>
      <c r="CP1926" s="20"/>
      <c r="CQ1926" s="20"/>
      <c r="CR1926" s="20"/>
      <c r="CS1926" s="20"/>
      <c r="CT1926" s="20"/>
      <c r="CU1926" s="20"/>
      <c r="CV1926" s="20"/>
      <c r="CW1926" s="20"/>
      <c r="CX1926" s="20"/>
      <c r="CY1926" s="20"/>
      <c r="CZ1926" s="20"/>
      <c r="DA1926" s="20"/>
      <c r="DB1926" s="20"/>
      <c r="DC1926" s="20"/>
      <c r="DD1926" s="20"/>
      <c r="DE1926" s="20"/>
      <c r="DF1926" s="20"/>
      <c r="DG1926" s="20"/>
      <c r="DH1926" s="20"/>
      <c r="DI1926" s="20"/>
      <c r="DJ1926" s="20"/>
      <c r="DK1926" s="20"/>
      <c r="DL1926" s="20"/>
      <c r="DM1926" s="20"/>
      <c r="DN1926" s="20"/>
      <c r="DO1926" s="20"/>
      <c r="DP1926" s="20"/>
      <c r="DQ1926" s="20"/>
      <c r="DR1926" s="20"/>
      <c r="DS1926" s="20"/>
      <c r="DT1926" s="20"/>
      <c r="DU1926" s="20"/>
      <c r="DV1926" s="20"/>
      <c r="DW1926" s="20"/>
      <c r="DX1926" s="20"/>
      <c r="DY1926" s="20"/>
      <c r="DZ1926" s="20"/>
      <c r="EA1926" s="20"/>
      <c r="EB1926" s="20"/>
      <c r="EC1926" s="20"/>
      <c r="ED1926" s="20"/>
      <c r="EE1926" s="20"/>
      <c r="EF1926" s="20"/>
      <c r="EG1926" s="20"/>
      <c r="EH1926" s="20"/>
      <c r="EI1926" s="20"/>
      <c r="EJ1926" s="20"/>
      <c r="EK1926" s="20"/>
      <c r="EL1926" s="20"/>
      <c r="EM1926" s="20"/>
      <c r="EN1926" s="20"/>
      <c r="EO1926" s="20"/>
      <c r="EP1926" s="20"/>
      <c r="EQ1926" s="20"/>
      <c r="ER1926" s="20"/>
      <c r="ES1926" s="20"/>
      <c r="ET1926" s="20"/>
      <c r="EU1926" s="20"/>
      <c r="EV1926" s="20"/>
      <c r="EW1926" s="20"/>
      <c r="EX1926" s="20"/>
      <c r="EY1926" s="20"/>
      <c r="EZ1926" s="20"/>
      <c r="FA1926" s="20"/>
      <c r="FB1926" s="20"/>
      <c r="FC1926" s="20"/>
      <c r="FD1926" s="20"/>
      <c r="FE1926" s="20"/>
      <c r="FF1926" s="20"/>
      <c r="FG1926" s="20"/>
      <c r="FH1926" s="20"/>
      <c r="FI1926" s="20"/>
      <c r="FJ1926" s="20"/>
      <c r="FK1926" s="20"/>
      <c r="FL1926" s="20"/>
      <c r="FM1926" s="20"/>
      <c r="FN1926" s="20"/>
      <c r="FO1926" s="20"/>
      <c r="FP1926" s="20"/>
      <c r="FQ1926" s="20"/>
      <c r="FR1926" s="20"/>
      <c r="FS1926" s="20"/>
      <c r="FT1926" s="20"/>
      <c r="FU1926" s="20"/>
      <c r="FV1926" s="20"/>
      <c r="FW1926" s="20"/>
      <c r="FX1926" s="20"/>
      <c r="FY1926" s="20"/>
      <c r="FZ1926" s="20"/>
      <c r="GA1926" s="20"/>
      <c r="GB1926" s="20"/>
      <c r="GC1926" s="20"/>
      <c r="GD1926" s="20"/>
      <c r="GE1926" s="20"/>
      <c r="GF1926" s="20"/>
      <c r="GG1926" s="20"/>
      <c r="GH1926" s="20"/>
      <c r="GI1926" s="20"/>
      <c r="GJ1926" s="20"/>
      <c r="GK1926" s="20"/>
      <c r="GL1926" s="20"/>
      <c r="GM1926" s="20"/>
      <c r="GN1926" s="20"/>
      <c r="GO1926" s="20"/>
      <c r="GP1926" s="20"/>
      <c r="GQ1926" s="20"/>
      <c r="GR1926" s="20"/>
      <c r="GS1926" s="20"/>
      <c r="GT1926" s="20"/>
      <c r="GU1926" s="20"/>
      <c r="GV1926" s="20"/>
      <c r="GW1926" s="20"/>
      <c r="GX1926" s="20"/>
      <c r="GY1926" s="20"/>
      <c r="GZ1926" s="20"/>
      <c r="HA1926" s="20"/>
      <c r="HB1926" s="20"/>
      <c r="HC1926" s="20"/>
      <c r="HD1926" s="20"/>
      <c r="HE1926" s="20"/>
      <c r="HF1926" s="20"/>
      <c r="HG1926" s="20"/>
      <c r="HH1926" s="20"/>
      <c r="HI1926" s="20"/>
      <c r="HJ1926" s="20"/>
      <c r="HK1926" s="20"/>
      <c r="HL1926" s="20"/>
      <c r="HM1926" s="20"/>
      <c r="HN1926" s="20"/>
      <c r="HO1926" s="20"/>
      <c r="HP1926" s="20"/>
      <c r="HQ1926" s="20"/>
      <c r="HR1926" s="20"/>
      <c r="HS1926" s="20"/>
      <c r="HT1926" s="20"/>
      <c r="HU1926" s="20"/>
      <c r="HV1926" s="20"/>
      <c r="HW1926" s="20"/>
      <c r="HX1926" s="20"/>
      <c r="HY1926" s="20"/>
      <c r="HZ1926" s="20"/>
      <c r="IA1926" s="20"/>
      <c r="IB1926" s="20"/>
      <c r="IC1926" s="20"/>
      <c r="ID1926" s="20"/>
      <c r="IE1926" s="20"/>
      <c r="IF1926" s="20"/>
      <c r="IG1926" s="20"/>
      <c r="IH1926" s="20"/>
      <c r="II1926" s="20"/>
      <c r="IJ1926" s="20"/>
      <c r="IK1926" s="20"/>
      <c r="IL1926" s="20"/>
      <c r="IM1926" s="20"/>
      <c r="IN1926" s="20"/>
      <c r="IO1926" s="20"/>
    </row>
    <row r="1927" spans="1:249" s="22" customFormat="1" ht="82.5">
      <c r="A1927" s="753">
        <v>5</v>
      </c>
      <c r="B1927" s="44"/>
      <c r="C1927" s="753">
        <v>4</v>
      </c>
      <c r="D1927" s="753" t="s">
        <v>34</v>
      </c>
      <c r="E1927" s="753" t="s">
        <v>25</v>
      </c>
      <c r="F1927" s="753">
        <v>21</v>
      </c>
      <c r="G1927" s="753"/>
      <c r="H1927" s="594"/>
      <c r="I1927" s="44" t="s">
        <v>1830</v>
      </c>
      <c r="J1927" s="44" t="s">
        <v>3337</v>
      </c>
      <c r="K1927" s="149">
        <v>97.85</v>
      </c>
      <c r="L1927" s="1901">
        <f t="shared" ref="L1927:N1927" si="554">SUM(L1928)</f>
        <v>558376890</v>
      </c>
      <c r="M1927" s="149">
        <v>43.01</v>
      </c>
      <c r="N1927" s="1901">
        <f t="shared" si="554"/>
        <v>186125630</v>
      </c>
      <c r="O1927" s="149">
        <f>69.89-M1927</f>
        <v>26.880000000000003</v>
      </c>
      <c r="P1927" s="1901">
        <f>SUM(P1928)</f>
        <v>32988000</v>
      </c>
      <c r="Q1927" s="149">
        <f t="shared" ref="Q1927:X1927" si="555">SUM(Q1928)</f>
        <v>1</v>
      </c>
      <c r="R1927" s="1901">
        <f t="shared" si="555"/>
        <v>3257000</v>
      </c>
      <c r="S1927" s="1901">
        <f t="shared" si="555"/>
        <v>1</v>
      </c>
      <c r="T1927" s="1901">
        <f t="shared" si="555"/>
        <v>11325450</v>
      </c>
      <c r="U1927" s="1901">
        <f t="shared" si="555"/>
        <v>0</v>
      </c>
      <c r="V1927" s="1901">
        <f t="shared" si="555"/>
        <v>0</v>
      </c>
      <c r="W1927" s="1901">
        <f t="shared" si="555"/>
        <v>0</v>
      </c>
      <c r="X1927" s="1901">
        <f t="shared" si="555"/>
        <v>0</v>
      </c>
      <c r="Y1927" s="149">
        <f t="shared" si="550"/>
        <v>2</v>
      </c>
      <c r="Z1927" s="1901">
        <f t="shared" si="545"/>
        <v>14582450</v>
      </c>
      <c r="AA1927" s="149">
        <f t="shared" si="546"/>
        <v>45.01</v>
      </c>
      <c r="AB1927" s="1901">
        <f t="shared" si="547"/>
        <v>200708080</v>
      </c>
      <c r="AC1927" s="821">
        <f t="shared" si="548"/>
        <v>45.99897802759326</v>
      </c>
      <c r="AD1927" s="821">
        <f t="shared" si="549"/>
        <v>35.944911688590835</v>
      </c>
      <c r="AE1927" s="2558" t="s">
        <v>2252</v>
      </c>
      <c r="AF1927" s="201"/>
      <c r="AG1927" s="201"/>
      <c r="AH1927" s="201"/>
      <c r="AI1927" s="201"/>
      <c r="AJ1927" s="201"/>
      <c r="AK1927" s="201"/>
      <c r="AL1927" s="201"/>
      <c r="AM1927" s="201"/>
      <c r="AN1927" s="201"/>
      <c r="AO1927" s="201"/>
      <c r="AP1927" s="201"/>
      <c r="AQ1927" s="201"/>
      <c r="AR1927" s="201"/>
      <c r="AS1927" s="201"/>
      <c r="AT1927" s="201"/>
      <c r="AU1927" s="201"/>
      <c r="AV1927" s="201"/>
      <c r="AW1927" s="201"/>
      <c r="AX1927" s="201"/>
      <c r="AY1927" s="201"/>
      <c r="AZ1927" s="201"/>
      <c r="BA1927" s="201"/>
      <c r="BB1927" s="201"/>
      <c r="BC1927" s="20"/>
      <c r="BD1927" s="20"/>
      <c r="BE1927" s="20"/>
      <c r="BF1927" s="20"/>
      <c r="BG1927" s="20"/>
      <c r="BH1927" s="20"/>
      <c r="BI1927" s="20"/>
      <c r="BJ1927" s="20"/>
      <c r="BK1927" s="20"/>
      <c r="BL1927" s="20"/>
      <c r="BM1927" s="20"/>
      <c r="BN1927" s="20"/>
      <c r="BO1927" s="20"/>
      <c r="BP1927" s="20"/>
      <c r="BQ1927" s="20"/>
      <c r="BR1927" s="20"/>
      <c r="BS1927" s="20"/>
      <c r="BT1927" s="20"/>
      <c r="BU1927" s="20"/>
      <c r="BV1927" s="20"/>
      <c r="BW1927" s="20"/>
      <c r="BX1927" s="20"/>
      <c r="BY1927" s="20"/>
      <c r="BZ1927" s="20"/>
      <c r="CA1927" s="20"/>
      <c r="CB1927" s="20"/>
      <c r="CC1927" s="20"/>
      <c r="CD1927" s="20"/>
      <c r="CE1927" s="20"/>
      <c r="CF1927" s="20"/>
      <c r="CG1927" s="20"/>
      <c r="CH1927" s="20"/>
      <c r="CI1927" s="20"/>
      <c r="CJ1927" s="20"/>
      <c r="CK1927" s="20"/>
      <c r="CL1927" s="20"/>
      <c r="CM1927" s="20"/>
      <c r="CN1927" s="20"/>
      <c r="CO1927" s="20"/>
      <c r="CP1927" s="20"/>
      <c r="CQ1927" s="20"/>
      <c r="CR1927" s="20"/>
      <c r="CS1927" s="20"/>
      <c r="CT1927" s="20"/>
      <c r="CU1927" s="20"/>
      <c r="CV1927" s="20"/>
      <c r="CW1927" s="20"/>
      <c r="CX1927" s="20"/>
      <c r="CY1927" s="20"/>
      <c r="CZ1927" s="20"/>
      <c r="DA1927" s="20"/>
      <c r="DB1927" s="20"/>
      <c r="DC1927" s="20"/>
      <c r="DD1927" s="20"/>
      <c r="DE1927" s="20"/>
      <c r="DF1927" s="20"/>
      <c r="DG1927" s="20"/>
      <c r="DH1927" s="20"/>
      <c r="DI1927" s="20"/>
      <c r="DJ1927" s="20"/>
      <c r="DK1927" s="20"/>
      <c r="DL1927" s="20"/>
      <c r="DM1927" s="20"/>
      <c r="DN1927" s="20"/>
      <c r="DO1927" s="20"/>
      <c r="DP1927" s="20"/>
      <c r="DQ1927" s="20"/>
      <c r="DR1927" s="20"/>
      <c r="DS1927" s="20"/>
      <c r="DT1927" s="20"/>
      <c r="DU1927" s="20"/>
      <c r="DV1927" s="20"/>
      <c r="DW1927" s="20"/>
      <c r="DX1927" s="20"/>
      <c r="DY1927" s="20"/>
      <c r="DZ1927" s="20"/>
      <c r="EA1927" s="20"/>
      <c r="EB1927" s="20"/>
      <c r="EC1927" s="20"/>
      <c r="ED1927" s="20"/>
      <c r="EE1927" s="20"/>
      <c r="EF1927" s="20"/>
      <c r="EG1927" s="20"/>
      <c r="EH1927" s="20"/>
      <c r="EI1927" s="20"/>
      <c r="EJ1927" s="20"/>
      <c r="EK1927" s="20"/>
      <c r="EL1927" s="20"/>
      <c r="EM1927" s="20"/>
      <c r="EN1927" s="20"/>
      <c r="EO1927" s="20"/>
      <c r="EP1927" s="20"/>
      <c r="EQ1927" s="20"/>
      <c r="ER1927" s="20"/>
      <c r="ES1927" s="20"/>
      <c r="ET1927" s="20"/>
      <c r="EU1927" s="20"/>
      <c r="EV1927" s="20"/>
      <c r="EW1927" s="20"/>
      <c r="EX1927" s="20"/>
      <c r="EY1927" s="20"/>
      <c r="EZ1927" s="20"/>
      <c r="FA1927" s="20"/>
      <c r="FB1927" s="20"/>
      <c r="FC1927" s="20"/>
      <c r="FD1927" s="20"/>
      <c r="FE1927" s="20"/>
      <c r="FF1927" s="20"/>
      <c r="FG1927" s="20"/>
      <c r="FH1927" s="20"/>
      <c r="FI1927" s="20"/>
      <c r="FJ1927" s="20"/>
      <c r="FK1927" s="20"/>
      <c r="FL1927" s="20"/>
      <c r="FM1927" s="20"/>
      <c r="FN1927" s="20"/>
      <c r="FO1927" s="20"/>
      <c r="FP1927" s="20"/>
      <c r="FQ1927" s="20"/>
      <c r="FR1927" s="20"/>
      <c r="FS1927" s="20"/>
      <c r="FT1927" s="20"/>
      <c r="FU1927" s="20"/>
      <c r="FV1927" s="20"/>
      <c r="FW1927" s="20"/>
      <c r="FX1927" s="20"/>
      <c r="FY1927" s="20"/>
      <c r="FZ1927" s="20"/>
      <c r="GA1927" s="20"/>
      <c r="GB1927" s="20"/>
      <c r="GC1927" s="20"/>
      <c r="GD1927" s="20"/>
      <c r="GE1927" s="20"/>
      <c r="GF1927" s="20"/>
      <c r="GG1927" s="20"/>
      <c r="GH1927" s="20"/>
      <c r="GI1927" s="20"/>
      <c r="GJ1927" s="20"/>
      <c r="GK1927" s="20"/>
      <c r="GL1927" s="20"/>
      <c r="GM1927" s="20"/>
      <c r="GN1927" s="20"/>
      <c r="GO1927" s="20"/>
      <c r="GP1927" s="20"/>
      <c r="GQ1927" s="20"/>
      <c r="GR1927" s="20"/>
      <c r="GS1927" s="20"/>
      <c r="GT1927" s="20"/>
      <c r="GU1927" s="20"/>
      <c r="GV1927" s="20"/>
      <c r="GW1927" s="20"/>
      <c r="GX1927" s="20"/>
      <c r="GY1927" s="20"/>
      <c r="GZ1927" s="20"/>
      <c r="HA1927" s="20"/>
      <c r="HB1927" s="20"/>
      <c r="HC1927" s="20"/>
      <c r="HD1927" s="20"/>
      <c r="HE1927" s="20"/>
      <c r="HF1927" s="20"/>
      <c r="HG1927" s="20"/>
      <c r="HH1927" s="20"/>
      <c r="HI1927" s="20"/>
      <c r="HJ1927" s="20"/>
      <c r="HK1927" s="20"/>
      <c r="HL1927" s="20"/>
      <c r="HM1927" s="20"/>
      <c r="HN1927" s="20"/>
      <c r="HO1927" s="20"/>
      <c r="HP1927" s="20"/>
      <c r="HQ1927" s="20"/>
      <c r="HR1927" s="20"/>
      <c r="HS1927" s="20"/>
      <c r="HT1927" s="20"/>
      <c r="HU1927" s="20"/>
      <c r="HV1927" s="20"/>
      <c r="HW1927" s="20"/>
      <c r="HX1927" s="20"/>
      <c r="HY1927" s="20"/>
      <c r="HZ1927" s="20"/>
      <c r="IA1927" s="20"/>
      <c r="IB1927" s="20"/>
      <c r="IC1927" s="20"/>
      <c r="ID1927" s="20"/>
      <c r="IE1927" s="20"/>
      <c r="IF1927" s="20"/>
      <c r="IG1927" s="20"/>
      <c r="IH1927" s="20"/>
      <c r="II1927" s="20"/>
      <c r="IJ1927" s="20"/>
      <c r="IK1927" s="20"/>
      <c r="IL1927" s="20"/>
      <c r="IM1927" s="20"/>
      <c r="IN1927" s="20"/>
      <c r="IO1927" s="20"/>
    </row>
    <row r="1928" spans="1:249" s="22" customFormat="1" ht="43.5" customHeight="1">
      <c r="A1928" s="794"/>
      <c r="B1928" s="840"/>
      <c r="C1928" s="841">
        <v>4</v>
      </c>
      <c r="D1928" s="841" t="s">
        <v>34</v>
      </c>
      <c r="E1928" s="841" t="s">
        <v>25</v>
      </c>
      <c r="F1928" s="841">
        <v>21</v>
      </c>
      <c r="G1928" s="841" t="s">
        <v>56</v>
      </c>
      <c r="H1928" s="841"/>
      <c r="I1928" s="6" t="s">
        <v>1831</v>
      </c>
      <c r="J1928" s="6" t="s">
        <v>1832</v>
      </c>
      <c r="K1928" s="1902">
        <v>20</v>
      </c>
      <c r="L1928" s="1908">
        <f>3*N1928</f>
        <v>558376890</v>
      </c>
      <c r="M1928" s="1903">
        <v>8</v>
      </c>
      <c r="N1928" s="1904">
        <f>89386100+96739530</f>
        <v>186125630</v>
      </c>
      <c r="O1928" s="1902">
        <v>4</v>
      </c>
      <c r="P1928" s="1905">
        <v>32988000</v>
      </c>
      <c r="Q1928" s="1903">
        <v>1</v>
      </c>
      <c r="R1928" s="1904">
        <v>3257000</v>
      </c>
      <c r="S1928" s="795">
        <v>1</v>
      </c>
      <c r="T1928" s="2682">
        <v>11325450</v>
      </c>
      <c r="U1928" s="795"/>
      <c r="V1928" s="1906"/>
      <c r="W1928" s="795"/>
      <c r="X1928" s="1906"/>
      <c r="Y1928" s="1903">
        <f t="shared" si="550"/>
        <v>2</v>
      </c>
      <c r="Z1928" s="1906">
        <f t="shared" si="545"/>
        <v>14582450</v>
      </c>
      <c r="AA1928" s="1903">
        <f t="shared" si="546"/>
        <v>10</v>
      </c>
      <c r="AB1928" s="1906">
        <f t="shared" si="547"/>
        <v>200708080</v>
      </c>
      <c r="AC1928" s="1907">
        <f t="shared" si="548"/>
        <v>50</v>
      </c>
      <c r="AD1928" s="1907">
        <f t="shared" si="549"/>
        <v>35.944911688590835</v>
      </c>
      <c r="AE1928" s="102" t="s">
        <v>1982</v>
      </c>
      <c r="AF1928" s="201"/>
      <c r="AG1928" s="201"/>
      <c r="AH1928" s="201"/>
      <c r="AI1928" s="201"/>
      <c r="AJ1928" s="201"/>
      <c r="AK1928" s="201"/>
      <c r="AL1928" s="201"/>
      <c r="AM1928" s="201"/>
      <c r="AN1928" s="201"/>
      <c r="AO1928" s="201"/>
      <c r="AP1928" s="201"/>
      <c r="AQ1928" s="201"/>
      <c r="AR1928" s="201"/>
      <c r="AS1928" s="201"/>
      <c r="AT1928" s="201"/>
      <c r="AU1928" s="201"/>
      <c r="AV1928" s="201"/>
      <c r="AW1928" s="201"/>
      <c r="AX1928" s="201"/>
      <c r="AY1928" s="201"/>
      <c r="AZ1928" s="201"/>
      <c r="BA1928" s="201"/>
      <c r="BB1928" s="201"/>
      <c r="BC1928" s="20"/>
      <c r="BD1928" s="20"/>
      <c r="BE1928" s="20"/>
      <c r="BF1928" s="20"/>
      <c r="BG1928" s="20"/>
      <c r="BH1928" s="20"/>
      <c r="BI1928" s="20"/>
      <c r="BJ1928" s="20"/>
      <c r="BK1928" s="20"/>
      <c r="BL1928" s="20"/>
      <c r="BM1928" s="20"/>
      <c r="BN1928" s="20"/>
      <c r="BO1928" s="20"/>
      <c r="BP1928" s="20"/>
      <c r="BQ1928" s="20"/>
      <c r="BR1928" s="20"/>
      <c r="BS1928" s="20"/>
      <c r="BT1928" s="20"/>
      <c r="BU1928" s="20"/>
      <c r="BV1928" s="20"/>
      <c r="BW1928" s="20"/>
      <c r="BX1928" s="20"/>
      <c r="BY1928" s="20"/>
      <c r="BZ1928" s="20"/>
      <c r="CA1928" s="20"/>
      <c r="CB1928" s="20"/>
      <c r="CC1928" s="20"/>
      <c r="CD1928" s="20"/>
      <c r="CE1928" s="20"/>
      <c r="CF1928" s="20"/>
      <c r="CG1928" s="20"/>
      <c r="CH1928" s="20"/>
      <c r="CI1928" s="20"/>
      <c r="CJ1928" s="20"/>
      <c r="CK1928" s="20"/>
      <c r="CL1928" s="20"/>
      <c r="CM1928" s="20"/>
      <c r="CN1928" s="20"/>
      <c r="CO1928" s="20"/>
      <c r="CP1928" s="20"/>
      <c r="CQ1928" s="20"/>
      <c r="CR1928" s="20"/>
      <c r="CS1928" s="20"/>
      <c r="CT1928" s="20"/>
      <c r="CU1928" s="20"/>
      <c r="CV1928" s="20"/>
      <c r="CW1928" s="20"/>
      <c r="CX1928" s="20"/>
      <c r="CY1928" s="20"/>
      <c r="CZ1928" s="20"/>
      <c r="DA1928" s="20"/>
      <c r="DB1928" s="20"/>
      <c r="DC1928" s="20"/>
      <c r="DD1928" s="20"/>
      <c r="DE1928" s="20"/>
      <c r="DF1928" s="20"/>
      <c r="DG1928" s="20"/>
      <c r="DH1928" s="20"/>
      <c r="DI1928" s="20"/>
      <c r="DJ1928" s="20"/>
      <c r="DK1928" s="20"/>
      <c r="DL1928" s="20"/>
      <c r="DM1928" s="20"/>
      <c r="DN1928" s="20"/>
      <c r="DO1928" s="20"/>
      <c r="DP1928" s="20"/>
      <c r="DQ1928" s="20"/>
      <c r="DR1928" s="20"/>
      <c r="DS1928" s="20"/>
      <c r="DT1928" s="20"/>
      <c r="DU1928" s="20"/>
      <c r="DV1928" s="20"/>
      <c r="DW1928" s="20"/>
      <c r="DX1928" s="20"/>
      <c r="DY1928" s="20"/>
      <c r="DZ1928" s="20"/>
      <c r="EA1928" s="20"/>
      <c r="EB1928" s="20"/>
      <c r="EC1928" s="20"/>
      <c r="ED1928" s="20"/>
      <c r="EE1928" s="20"/>
      <c r="EF1928" s="20"/>
      <c r="EG1928" s="20"/>
      <c r="EH1928" s="20"/>
      <c r="EI1928" s="20"/>
      <c r="EJ1928" s="20"/>
      <c r="EK1928" s="20"/>
      <c r="EL1928" s="20"/>
      <c r="EM1928" s="20"/>
      <c r="EN1928" s="20"/>
      <c r="EO1928" s="20"/>
      <c r="EP1928" s="20"/>
      <c r="EQ1928" s="20"/>
      <c r="ER1928" s="20"/>
      <c r="ES1928" s="20"/>
      <c r="ET1928" s="20"/>
      <c r="EU1928" s="20"/>
      <c r="EV1928" s="20"/>
      <c r="EW1928" s="20"/>
      <c r="EX1928" s="20"/>
      <c r="EY1928" s="20"/>
      <c r="EZ1928" s="20"/>
      <c r="FA1928" s="20"/>
      <c r="FB1928" s="20"/>
      <c r="FC1928" s="20"/>
      <c r="FD1928" s="20"/>
      <c r="FE1928" s="20"/>
      <c r="FF1928" s="20"/>
      <c r="FG1928" s="20"/>
      <c r="FH1928" s="20"/>
      <c r="FI1928" s="20"/>
      <c r="FJ1928" s="20"/>
      <c r="FK1928" s="20"/>
      <c r="FL1928" s="20"/>
      <c r="FM1928" s="20"/>
      <c r="FN1928" s="20"/>
      <c r="FO1928" s="20"/>
      <c r="FP1928" s="20"/>
      <c r="FQ1928" s="20"/>
      <c r="FR1928" s="20"/>
      <c r="FS1928" s="20"/>
      <c r="FT1928" s="20"/>
      <c r="FU1928" s="20"/>
      <c r="FV1928" s="20"/>
      <c r="FW1928" s="20"/>
      <c r="FX1928" s="20"/>
      <c r="FY1928" s="20"/>
      <c r="FZ1928" s="20"/>
      <c r="GA1928" s="20"/>
      <c r="GB1928" s="20"/>
      <c r="GC1928" s="20"/>
      <c r="GD1928" s="20"/>
      <c r="GE1928" s="20"/>
      <c r="GF1928" s="20"/>
      <c r="GG1928" s="20"/>
      <c r="GH1928" s="20"/>
      <c r="GI1928" s="20"/>
      <c r="GJ1928" s="20"/>
      <c r="GK1928" s="20"/>
      <c r="GL1928" s="20"/>
      <c r="GM1928" s="20"/>
      <c r="GN1928" s="20"/>
      <c r="GO1928" s="20"/>
      <c r="GP1928" s="20"/>
      <c r="GQ1928" s="20"/>
      <c r="GR1928" s="20"/>
      <c r="GS1928" s="20"/>
      <c r="GT1928" s="20"/>
      <c r="GU1928" s="20"/>
      <c r="GV1928" s="20"/>
      <c r="GW1928" s="20"/>
      <c r="GX1928" s="20"/>
      <c r="GY1928" s="20"/>
      <c r="GZ1928" s="20"/>
      <c r="HA1928" s="20"/>
      <c r="HB1928" s="20"/>
      <c r="HC1928" s="20"/>
      <c r="HD1928" s="20"/>
      <c r="HE1928" s="20"/>
      <c r="HF1928" s="20"/>
      <c r="HG1928" s="20"/>
      <c r="HH1928" s="20"/>
      <c r="HI1928" s="20"/>
      <c r="HJ1928" s="20"/>
      <c r="HK1928" s="20"/>
      <c r="HL1928" s="20"/>
      <c r="HM1928" s="20"/>
      <c r="HN1928" s="20"/>
      <c r="HO1928" s="20"/>
      <c r="HP1928" s="20"/>
      <c r="HQ1928" s="20"/>
      <c r="HR1928" s="20"/>
      <c r="HS1928" s="20"/>
      <c r="HT1928" s="20"/>
      <c r="HU1928" s="20"/>
      <c r="HV1928" s="20"/>
      <c r="HW1928" s="20"/>
      <c r="HX1928" s="20"/>
      <c r="HY1928" s="20"/>
      <c r="HZ1928" s="20"/>
      <c r="IA1928" s="20"/>
      <c r="IB1928" s="20"/>
      <c r="IC1928" s="20"/>
      <c r="ID1928" s="20"/>
      <c r="IE1928" s="20"/>
      <c r="IF1928" s="20"/>
      <c r="IG1928" s="20"/>
      <c r="IH1928" s="20"/>
      <c r="II1928" s="20"/>
      <c r="IJ1928" s="20"/>
      <c r="IK1928" s="20"/>
      <c r="IL1928" s="20"/>
      <c r="IM1928" s="20"/>
      <c r="IN1928" s="20"/>
      <c r="IO1928" s="20"/>
    </row>
    <row r="1929" spans="1:249" s="22" customFormat="1" ht="49.5">
      <c r="A1929" s="2554">
        <v>6</v>
      </c>
      <c r="B1929" s="44"/>
      <c r="C1929" s="753">
        <v>4</v>
      </c>
      <c r="D1929" s="753" t="s">
        <v>34</v>
      </c>
      <c r="E1929" s="753" t="s">
        <v>25</v>
      </c>
      <c r="F1929" s="753" t="s">
        <v>45</v>
      </c>
      <c r="G1929" s="753"/>
      <c r="H1929" s="594"/>
      <c r="I1929" s="44" t="s">
        <v>1833</v>
      </c>
      <c r="J1929" s="46" t="s">
        <v>2784</v>
      </c>
      <c r="K1929" s="149">
        <v>99</v>
      </c>
      <c r="L1929" s="1175">
        <f>SUM(L1930:L1932)</f>
        <v>1077014494</v>
      </c>
      <c r="M1929" s="149">
        <v>90</v>
      </c>
      <c r="N1929" s="1175">
        <f>SUM(N1930:N1932)</f>
        <v>338507247</v>
      </c>
      <c r="O1929" s="149">
        <v>9</v>
      </c>
      <c r="P1929" s="1175">
        <f>SUM(P1930:P1932)</f>
        <v>221730000</v>
      </c>
      <c r="Q1929" s="149">
        <v>0</v>
      </c>
      <c r="R1929" s="1175">
        <f t="shared" ref="R1929:X1929" si="556">SUM(R1930:R1932)</f>
        <v>6190600</v>
      </c>
      <c r="S1929" s="1175">
        <f t="shared" si="556"/>
        <v>3</v>
      </c>
      <c r="T1929" s="1175">
        <f t="shared" si="556"/>
        <v>82527150</v>
      </c>
      <c r="U1929" s="1175">
        <f t="shared" si="556"/>
        <v>0</v>
      </c>
      <c r="V1929" s="1175">
        <f t="shared" si="556"/>
        <v>0</v>
      </c>
      <c r="W1929" s="1175">
        <f t="shared" si="556"/>
        <v>0</v>
      </c>
      <c r="X1929" s="1175">
        <f t="shared" si="556"/>
        <v>0</v>
      </c>
      <c r="Y1929" s="149">
        <f>Q1929+S1929</f>
        <v>3</v>
      </c>
      <c r="Z1929" s="1901">
        <f t="shared" si="545"/>
        <v>88717750</v>
      </c>
      <c r="AA1929" s="149">
        <f t="shared" si="546"/>
        <v>93</v>
      </c>
      <c r="AB1929" s="1901">
        <f t="shared" si="547"/>
        <v>427224997</v>
      </c>
      <c r="AC1929" s="821">
        <f t="shared" si="548"/>
        <v>93.939393939393938</v>
      </c>
      <c r="AD1929" s="821">
        <f t="shared" si="549"/>
        <v>39.667525310016863</v>
      </c>
      <c r="AE1929" s="2558" t="s">
        <v>2252</v>
      </c>
      <c r="AF1929" s="201"/>
      <c r="AG1929" s="201"/>
      <c r="AH1929" s="201"/>
      <c r="AI1929" s="201"/>
      <c r="AJ1929" s="201"/>
      <c r="AK1929" s="201"/>
      <c r="AL1929" s="201"/>
      <c r="AM1929" s="201"/>
      <c r="AN1929" s="201"/>
      <c r="AO1929" s="201"/>
      <c r="AP1929" s="201"/>
      <c r="AQ1929" s="201"/>
      <c r="AR1929" s="201"/>
      <c r="AS1929" s="201"/>
      <c r="AT1929" s="201"/>
      <c r="AU1929" s="201"/>
      <c r="AV1929" s="201"/>
      <c r="AW1929" s="201"/>
      <c r="AX1929" s="201"/>
      <c r="AY1929" s="201"/>
      <c r="AZ1929" s="201"/>
      <c r="BA1929" s="201"/>
      <c r="BB1929" s="201"/>
      <c r="BC1929" s="20"/>
      <c r="BD1929" s="20"/>
      <c r="BE1929" s="20"/>
      <c r="BF1929" s="20"/>
      <c r="BG1929" s="20"/>
      <c r="BH1929" s="20"/>
      <c r="BI1929" s="20"/>
      <c r="BJ1929" s="20"/>
      <c r="BK1929" s="20"/>
      <c r="BL1929" s="20"/>
      <c r="BM1929" s="20"/>
      <c r="BN1929" s="20"/>
      <c r="BO1929" s="20"/>
      <c r="BP1929" s="20"/>
      <c r="BQ1929" s="20"/>
      <c r="BR1929" s="20"/>
      <c r="BS1929" s="20"/>
      <c r="BT1929" s="20"/>
      <c r="BU1929" s="20"/>
      <c r="BV1929" s="20"/>
      <c r="BW1929" s="20"/>
      <c r="BX1929" s="20"/>
      <c r="BY1929" s="20"/>
      <c r="BZ1929" s="20"/>
      <c r="CA1929" s="20"/>
      <c r="CB1929" s="20"/>
      <c r="CC1929" s="20"/>
      <c r="CD1929" s="20"/>
      <c r="CE1929" s="20"/>
      <c r="CF1929" s="20"/>
      <c r="CG1929" s="20"/>
      <c r="CH1929" s="20"/>
      <c r="CI1929" s="20"/>
      <c r="CJ1929" s="20"/>
      <c r="CK1929" s="20"/>
      <c r="CL1929" s="20"/>
      <c r="CM1929" s="20"/>
      <c r="CN1929" s="20"/>
      <c r="CO1929" s="20"/>
      <c r="CP1929" s="20"/>
      <c r="CQ1929" s="20"/>
      <c r="CR1929" s="20"/>
      <c r="CS1929" s="20"/>
      <c r="CT1929" s="20"/>
      <c r="CU1929" s="20"/>
      <c r="CV1929" s="20"/>
      <c r="CW1929" s="20"/>
      <c r="CX1929" s="20"/>
      <c r="CY1929" s="20"/>
      <c r="CZ1929" s="20"/>
      <c r="DA1929" s="20"/>
      <c r="DB1929" s="20"/>
      <c r="DC1929" s="20"/>
      <c r="DD1929" s="20"/>
      <c r="DE1929" s="20"/>
      <c r="DF1929" s="20"/>
      <c r="DG1929" s="20"/>
      <c r="DH1929" s="20"/>
      <c r="DI1929" s="20"/>
      <c r="DJ1929" s="20"/>
      <c r="DK1929" s="20"/>
      <c r="DL1929" s="20"/>
      <c r="DM1929" s="20"/>
      <c r="DN1929" s="20"/>
      <c r="DO1929" s="20"/>
      <c r="DP1929" s="20"/>
      <c r="DQ1929" s="20"/>
      <c r="DR1929" s="20"/>
      <c r="DS1929" s="20"/>
      <c r="DT1929" s="20"/>
      <c r="DU1929" s="20"/>
      <c r="DV1929" s="20"/>
      <c r="DW1929" s="20"/>
      <c r="DX1929" s="20"/>
      <c r="DY1929" s="20"/>
      <c r="DZ1929" s="20"/>
      <c r="EA1929" s="20"/>
      <c r="EB1929" s="20"/>
      <c r="EC1929" s="20"/>
      <c r="ED1929" s="20"/>
      <c r="EE1929" s="20"/>
      <c r="EF1929" s="20"/>
      <c r="EG1929" s="20"/>
      <c r="EH1929" s="20"/>
      <c r="EI1929" s="20"/>
      <c r="EJ1929" s="20"/>
      <c r="EK1929" s="20"/>
      <c r="EL1929" s="20"/>
      <c r="EM1929" s="20"/>
      <c r="EN1929" s="20"/>
      <c r="EO1929" s="20"/>
      <c r="EP1929" s="20"/>
      <c r="EQ1929" s="20"/>
      <c r="ER1929" s="20"/>
      <c r="ES1929" s="20"/>
      <c r="ET1929" s="20"/>
      <c r="EU1929" s="20"/>
      <c r="EV1929" s="20"/>
      <c r="EW1929" s="20"/>
      <c r="EX1929" s="20"/>
      <c r="EY1929" s="20"/>
      <c r="EZ1929" s="20"/>
      <c r="FA1929" s="20"/>
      <c r="FB1929" s="20"/>
      <c r="FC1929" s="20"/>
      <c r="FD1929" s="20"/>
      <c r="FE1929" s="20"/>
      <c r="FF1929" s="20"/>
      <c r="FG1929" s="20"/>
      <c r="FH1929" s="20"/>
      <c r="FI1929" s="20"/>
      <c r="FJ1929" s="20"/>
      <c r="FK1929" s="20"/>
      <c r="FL1929" s="20"/>
      <c r="FM1929" s="20"/>
      <c r="FN1929" s="20"/>
      <c r="FO1929" s="20"/>
      <c r="FP1929" s="20"/>
      <c r="FQ1929" s="20"/>
      <c r="FR1929" s="20"/>
      <c r="FS1929" s="20"/>
      <c r="FT1929" s="20"/>
      <c r="FU1929" s="20"/>
      <c r="FV1929" s="20"/>
      <c r="FW1929" s="20"/>
      <c r="FX1929" s="20"/>
      <c r="FY1929" s="20"/>
      <c r="FZ1929" s="20"/>
      <c r="GA1929" s="20"/>
      <c r="GB1929" s="20"/>
      <c r="GC1929" s="20"/>
      <c r="GD1929" s="20"/>
      <c r="GE1929" s="20"/>
      <c r="GF1929" s="20"/>
      <c r="GG1929" s="20"/>
      <c r="GH1929" s="20"/>
      <c r="GI1929" s="20"/>
      <c r="GJ1929" s="20"/>
      <c r="GK1929" s="20"/>
      <c r="GL1929" s="20"/>
      <c r="GM1929" s="20"/>
      <c r="GN1929" s="20"/>
      <c r="GO1929" s="20"/>
      <c r="GP1929" s="20"/>
      <c r="GQ1929" s="20"/>
      <c r="GR1929" s="20"/>
      <c r="GS1929" s="20"/>
      <c r="GT1929" s="20"/>
      <c r="GU1929" s="20"/>
      <c r="GV1929" s="20"/>
      <c r="GW1929" s="20"/>
      <c r="GX1929" s="20"/>
      <c r="GY1929" s="20"/>
      <c r="GZ1929" s="20"/>
      <c r="HA1929" s="20"/>
      <c r="HB1929" s="20"/>
      <c r="HC1929" s="20"/>
      <c r="HD1929" s="20"/>
      <c r="HE1929" s="20"/>
      <c r="HF1929" s="20"/>
      <c r="HG1929" s="20"/>
      <c r="HH1929" s="20"/>
      <c r="HI1929" s="20"/>
      <c r="HJ1929" s="20"/>
      <c r="HK1929" s="20"/>
      <c r="HL1929" s="20"/>
      <c r="HM1929" s="20"/>
      <c r="HN1929" s="20"/>
      <c r="HO1929" s="20"/>
      <c r="HP1929" s="20"/>
      <c r="HQ1929" s="20"/>
      <c r="HR1929" s="20"/>
      <c r="HS1929" s="20"/>
      <c r="HT1929" s="20"/>
      <c r="HU1929" s="20"/>
      <c r="HV1929" s="20"/>
      <c r="HW1929" s="20"/>
      <c r="HX1929" s="20"/>
      <c r="HY1929" s="20"/>
      <c r="HZ1929" s="20"/>
      <c r="IA1929" s="20"/>
      <c r="IB1929" s="20"/>
      <c r="IC1929" s="20"/>
      <c r="ID1929" s="20"/>
      <c r="IE1929" s="20"/>
      <c r="IF1929" s="20"/>
      <c r="IG1929" s="20"/>
      <c r="IH1929" s="20"/>
      <c r="II1929" s="20"/>
      <c r="IJ1929" s="20"/>
      <c r="IK1929" s="20"/>
      <c r="IL1929" s="20"/>
      <c r="IM1929" s="20"/>
      <c r="IN1929" s="20"/>
      <c r="IO1929" s="20"/>
    </row>
    <row r="1930" spans="1:249" s="22" customFormat="1" ht="49.5">
      <c r="A1930" s="794"/>
      <c r="B1930" s="840"/>
      <c r="C1930" s="841">
        <v>4</v>
      </c>
      <c r="D1930" s="841" t="s">
        <v>34</v>
      </c>
      <c r="E1930" s="841" t="s">
        <v>25</v>
      </c>
      <c r="F1930" s="841" t="s">
        <v>45</v>
      </c>
      <c r="G1930" s="841" t="s">
        <v>29</v>
      </c>
      <c r="H1930" s="841"/>
      <c r="I1930" s="407" t="s">
        <v>1834</v>
      </c>
      <c r="J1930" s="407" t="s">
        <v>1835</v>
      </c>
      <c r="K1930" s="1902">
        <v>30</v>
      </c>
      <c r="L1930" s="1908">
        <f>2*N1930</f>
        <v>408628210</v>
      </c>
      <c r="M1930" s="1903">
        <v>15</v>
      </c>
      <c r="N1930" s="1904">
        <f>81853300+28419000+94041805</f>
        <v>204314105</v>
      </c>
      <c r="O1930" s="1902">
        <v>5</v>
      </c>
      <c r="P1930" s="1905">
        <v>60805000</v>
      </c>
      <c r="Q1930" s="1903">
        <v>1</v>
      </c>
      <c r="R1930" s="1904">
        <v>1926600</v>
      </c>
      <c r="S1930" s="795">
        <v>1</v>
      </c>
      <c r="T1930" s="207">
        <v>3661300</v>
      </c>
      <c r="U1930" s="1906"/>
      <c r="V1930" s="1906"/>
      <c r="W1930" s="795"/>
      <c r="X1930" s="1906"/>
      <c r="Y1930" s="1903">
        <v>5</v>
      </c>
      <c r="Z1930" s="1906">
        <f t="shared" si="545"/>
        <v>5587900</v>
      </c>
      <c r="AA1930" s="1903">
        <f t="shared" si="546"/>
        <v>20</v>
      </c>
      <c r="AB1930" s="1906">
        <f t="shared" si="547"/>
        <v>209902005</v>
      </c>
      <c r="AC1930" s="1907">
        <f t="shared" si="548"/>
        <v>66.666666666666657</v>
      </c>
      <c r="AD1930" s="1907">
        <f t="shared" si="549"/>
        <v>51.36747778622528</v>
      </c>
      <c r="AE1930" s="102" t="s">
        <v>1983</v>
      </c>
      <c r="AF1930" s="201"/>
      <c r="AG1930" s="201"/>
      <c r="AH1930" s="201"/>
      <c r="AI1930" s="201"/>
      <c r="AJ1930" s="201"/>
      <c r="AK1930" s="201"/>
      <c r="AL1930" s="201"/>
      <c r="AM1930" s="201"/>
      <c r="AN1930" s="201"/>
      <c r="AO1930" s="201"/>
      <c r="AP1930" s="201"/>
      <c r="AQ1930" s="201"/>
      <c r="AR1930" s="201"/>
      <c r="AS1930" s="201"/>
      <c r="AT1930" s="201"/>
      <c r="AU1930" s="201"/>
      <c r="AV1930" s="201"/>
      <c r="AW1930" s="201"/>
      <c r="AX1930" s="201"/>
      <c r="AY1930" s="201"/>
      <c r="AZ1930" s="201"/>
      <c r="BA1930" s="201"/>
      <c r="BB1930" s="201"/>
      <c r="BC1930" s="20"/>
      <c r="BD1930" s="20"/>
      <c r="BE1930" s="20"/>
      <c r="BF1930" s="20"/>
      <c r="BG1930" s="20"/>
      <c r="BH1930" s="20"/>
      <c r="BI1930" s="20"/>
      <c r="BJ1930" s="20"/>
      <c r="BK1930" s="20"/>
      <c r="BL1930" s="20"/>
      <c r="BM1930" s="20"/>
      <c r="BN1930" s="20"/>
      <c r="BO1930" s="20"/>
      <c r="BP1930" s="20"/>
      <c r="BQ1930" s="20"/>
      <c r="BR1930" s="20"/>
      <c r="BS1930" s="20"/>
      <c r="BT1930" s="20"/>
      <c r="BU1930" s="20"/>
      <c r="BV1930" s="20"/>
      <c r="BW1930" s="20"/>
      <c r="BX1930" s="20"/>
      <c r="BY1930" s="20"/>
      <c r="BZ1930" s="20"/>
      <c r="CA1930" s="20"/>
      <c r="CB1930" s="20"/>
      <c r="CC1930" s="20"/>
      <c r="CD1930" s="20"/>
      <c r="CE1930" s="20"/>
      <c r="CF1930" s="20"/>
      <c r="CG1930" s="20"/>
      <c r="CH1930" s="20"/>
      <c r="CI1930" s="20"/>
      <c r="CJ1930" s="20"/>
      <c r="CK1930" s="20"/>
      <c r="CL1930" s="20"/>
      <c r="CM1930" s="20"/>
      <c r="CN1930" s="20"/>
      <c r="CO1930" s="20"/>
      <c r="CP1930" s="20"/>
      <c r="CQ1930" s="20"/>
      <c r="CR1930" s="20"/>
      <c r="CS1930" s="20"/>
      <c r="CT1930" s="20"/>
      <c r="CU1930" s="20"/>
      <c r="CV1930" s="20"/>
      <c r="CW1930" s="20"/>
      <c r="CX1930" s="20"/>
      <c r="CY1930" s="20"/>
      <c r="CZ1930" s="20"/>
      <c r="DA1930" s="20"/>
      <c r="DB1930" s="20"/>
      <c r="DC1930" s="20"/>
      <c r="DD1930" s="20"/>
      <c r="DE1930" s="20"/>
      <c r="DF1930" s="20"/>
      <c r="DG1930" s="20"/>
      <c r="DH1930" s="20"/>
      <c r="DI1930" s="20"/>
      <c r="DJ1930" s="20"/>
      <c r="DK1930" s="20"/>
      <c r="DL1930" s="20"/>
      <c r="DM1930" s="20"/>
      <c r="DN1930" s="20"/>
      <c r="DO1930" s="20"/>
      <c r="DP1930" s="20"/>
      <c r="DQ1930" s="20"/>
      <c r="DR1930" s="20"/>
      <c r="DS1930" s="20"/>
      <c r="DT1930" s="20"/>
      <c r="DU1930" s="20"/>
      <c r="DV1930" s="20"/>
      <c r="DW1930" s="20"/>
      <c r="DX1930" s="20"/>
      <c r="DY1930" s="20"/>
      <c r="DZ1930" s="20"/>
      <c r="EA1930" s="20"/>
      <c r="EB1930" s="20"/>
      <c r="EC1930" s="20"/>
      <c r="ED1930" s="20"/>
      <c r="EE1930" s="20"/>
      <c r="EF1930" s="20"/>
      <c r="EG1930" s="20"/>
      <c r="EH1930" s="20"/>
      <c r="EI1930" s="20"/>
      <c r="EJ1930" s="20"/>
      <c r="EK1930" s="20"/>
      <c r="EL1930" s="20"/>
      <c r="EM1930" s="20"/>
      <c r="EN1930" s="20"/>
      <c r="EO1930" s="20"/>
      <c r="EP1930" s="20"/>
      <c r="EQ1930" s="20"/>
      <c r="ER1930" s="20"/>
      <c r="ES1930" s="20"/>
      <c r="ET1930" s="20"/>
      <c r="EU1930" s="20"/>
      <c r="EV1930" s="20"/>
      <c r="EW1930" s="20"/>
      <c r="EX1930" s="20"/>
      <c r="EY1930" s="20"/>
      <c r="EZ1930" s="20"/>
      <c r="FA1930" s="20"/>
      <c r="FB1930" s="20"/>
      <c r="FC1930" s="20"/>
      <c r="FD1930" s="20"/>
      <c r="FE1930" s="20"/>
      <c r="FF1930" s="20"/>
      <c r="FG1930" s="20"/>
      <c r="FH1930" s="20"/>
      <c r="FI1930" s="20"/>
      <c r="FJ1930" s="20"/>
      <c r="FK1930" s="20"/>
      <c r="FL1930" s="20"/>
      <c r="FM1930" s="20"/>
      <c r="FN1930" s="20"/>
      <c r="FO1930" s="20"/>
      <c r="FP1930" s="20"/>
      <c r="FQ1930" s="20"/>
      <c r="FR1930" s="20"/>
      <c r="FS1930" s="20"/>
      <c r="FT1930" s="20"/>
      <c r="FU1930" s="20"/>
      <c r="FV1930" s="20"/>
      <c r="FW1930" s="20"/>
      <c r="FX1930" s="20"/>
      <c r="FY1930" s="20"/>
      <c r="FZ1930" s="20"/>
      <c r="GA1930" s="20"/>
      <c r="GB1930" s="20"/>
      <c r="GC1930" s="20"/>
      <c r="GD1930" s="20"/>
      <c r="GE1930" s="20"/>
      <c r="GF1930" s="20"/>
      <c r="GG1930" s="20"/>
      <c r="GH1930" s="20"/>
      <c r="GI1930" s="20"/>
      <c r="GJ1930" s="20"/>
      <c r="GK1930" s="20"/>
      <c r="GL1930" s="20"/>
      <c r="GM1930" s="20"/>
      <c r="GN1930" s="20"/>
      <c r="GO1930" s="20"/>
      <c r="GP1930" s="20"/>
      <c r="GQ1930" s="20"/>
      <c r="GR1930" s="20"/>
      <c r="GS1930" s="20"/>
      <c r="GT1930" s="20"/>
      <c r="GU1930" s="20"/>
      <c r="GV1930" s="20"/>
      <c r="GW1930" s="20"/>
      <c r="GX1930" s="20"/>
      <c r="GY1930" s="20"/>
      <c r="GZ1930" s="20"/>
      <c r="HA1930" s="20"/>
      <c r="HB1930" s="20"/>
      <c r="HC1930" s="20"/>
      <c r="HD1930" s="20"/>
      <c r="HE1930" s="20"/>
      <c r="HF1930" s="20"/>
      <c r="HG1930" s="20"/>
      <c r="HH1930" s="20"/>
      <c r="HI1930" s="20"/>
      <c r="HJ1930" s="20"/>
      <c r="HK1930" s="20"/>
      <c r="HL1930" s="20"/>
      <c r="HM1930" s="20"/>
      <c r="HN1930" s="20"/>
      <c r="HO1930" s="20"/>
      <c r="HP1930" s="20"/>
      <c r="HQ1930" s="20"/>
      <c r="HR1930" s="20"/>
      <c r="HS1930" s="20"/>
      <c r="HT1930" s="20"/>
      <c r="HU1930" s="20"/>
      <c r="HV1930" s="20"/>
      <c r="HW1930" s="20"/>
      <c r="HX1930" s="20"/>
      <c r="HY1930" s="20"/>
      <c r="HZ1930" s="20"/>
      <c r="IA1930" s="20"/>
      <c r="IB1930" s="20"/>
      <c r="IC1930" s="20"/>
      <c r="ID1930" s="20"/>
      <c r="IE1930" s="20"/>
      <c r="IF1930" s="20"/>
      <c r="IG1930" s="20"/>
      <c r="IH1930" s="20"/>
      <c r="II1930" s="20"/>
      <c r="IJ1930" s="20"/>
      <c r="IK1930" s="20"/>
      <c r="IL1930" s="20"/>
      <c r="IM1930" s="20"/>
      <c r="IN1930" s="20"/>
      <c r="IO1930" s="20"/>
    </row>
    <row r="1931" spans="1:249" s="22" customFormat="1" ht="49.5">
      <c r="A1931" s="794"/>
      <c r="B1931" s="840"/>
      <c r="C1931" s="841">
        <v>4</v>
      </c>
      <c r="D1931" s="841" t="s">
        <v>34</v>
      </c>
      <c r="E1931" s="841" t="s">
        <v>25</v>
      </c>
      <c r="F1931" s="841" t="s">
        <v>45</v>
      </c>
      <c r="G1931" s="841" t="s">
        <v>43</v>
      </c>
      <c r="H1931" s="841"/>
      <c r="I1931" s="407" t="s">
        <v>1836</v>
      </c>
      <c r="J1931" s="6" t="s">
        <v>3338</v>
      </c>
      <c r="K1931" s="1902">
        <v>72</v>
      </c>
      <c r="L1931" s="1908">
        <f>2*N1931</f>
        <v>268386284</v>
      </c>
      <c r="M1931" s="1903">
        <v>36</v>
      </c>
      <c r="N1931" s="1904">
        <f>57757150+76435992</f>
        <v>134193142</v>
      </c>
      <c r="O1931" s="1902">
        <v>12</v>
      </c>
      <c r="P1931" s="1904">
        <v>60925000</v>
      </c>
      <c r="Q1931" s="1903">
        <v>3</v>
      </c>
      <c r="R1931" s="1904">
        <v>4015600</v>
      </c>
      <c r="S1931" s="795">
        <v>1</v>
      </c>
      <c r="T1931" s="207">
        <v>33490500</v>
      </c>
      <c r="U1931" s="1906"/>
      <c r="V1931" s="1906"/>
      <c r="W1931" s="795"/>
      <c r="X1931" s="1906"/>
      <c r="Y1931" s="1903">
        <f>Q1931+S1931+U1931+W1931</f>
        <v>4</v>
      </c>
      <c r="Z1931" s="1906">
        <f t="shared" si="545"/>
        <v>37506100</v>
      </c>
      <c r="AA1931" s="1903">
        <f t="shared" si="546"/>
        <v>40</v>
      </c>
      <c r="AB1931" s="1906">
        <f t="shared" si="547"/>
        <v>171699242</v>
      </c>
      <c r="AC1931" s="1907">
        <f t="shared" si="548"/>
        <v>55.555555555555557</v>
      </c>
      <c r="AD1931" s="1907">
        <f t="shared" si="549"/>
        <v>63.974670926178923</v>
      </c>
      <c r="AE1931" s="102" t="s">
        <v>1983</v>
      </c>
      <c r="AF1931" s="201"/>
      <c r="AG1931" s="201"/>
      <c r="AH1931" s="201"/>
      <c r="AI1931" s="201"/>
      <c r="AJ1931" s="201"/>
      <c r="AK1931" s="201"/>
      <c r="AL1931" s="201"/>
      <c r="AM1931" s="201"/>
      <c r="AN1931" s="201"/>
      <c r="AO1931" s="201"/>
      <c r="AP1931" s="201"/>
      <c r="AQ1931" s="201"/>
      <c r="AR1931" s="201"/>
      <c r="AS1931" s="201"/>
      <c r="AT1931" s="201"/>
      <c r="AU1931" s="201"/>
      <c r="AV1931" s="201"/>
      <c r="AW1931" s="201"/>
      <c r="AX1931" s="201"/>
      <c r="AY1931" s="201"/>
      <c r="AZ1931" s="201"/>
      <c r="BA1931" s="201"/>
      <c r="BB1931" s="201"/>
      <c r="BC1931" s="20"/>
      <c r="BD1931" s="20"/>
      <c r="BE1931" s="20"/>
      <c r="BF1931" s="20"/>
      <c r="BG1931" s="20"/>
      <c r="BH1931" s="20"/>
      <c r="BI1931" s="20"/>
      <c r="BJ1931" s="20"/>
      <c r="BK1931" s="20"/>
      <c r="BL1931" s="20"/>
      <c r="BM1931" s="20"/>
      <c r="BN1931" s="20"/>
      <c r="BO1931" s="20"/>
      <c r="BP1931" s="20"/>
      <c r="BQ1931" s="20"/>
      <c r="BR1931" s="20"/>
      <c r="BS1931" s="20"/>
      <c r="BT1931" s="20"/>
      <c r="BU1931" s="20"/>
      <c r="BV1931" s="20"/>
      <c r="BW1931" s="20"/>
      <c r="BX1931" s="20"/>
      <c r="BY1931" s="20"/>
      <c r="BZ1931" s="20"/>
      <c r="CA1931" s="20"/>
      <c r="CB1931" s="20"/>
      <c r="CC1931" s="20"/>
      <c r="CD1931" s="20"/>
      <c r="CE1931" s="20"/>
      <c r="CF1931" s="20"/>
      <c r="CG1931" s="20"/>
      <c r="CH1931" s="20"/>
      <c r="CI1931" s="20"/>
      <c r="CJ1931" s="20"/>
      <c r="CK1931" s="20"/>
      <c r="CL1931" s="20"/>
      <c r="CM1931" s="20"/>
      <c r="CN1931" s="20"/>
      <c r="CO1931" s="20"/>
      <c r="CP1931" s="20"/>
      <c r="CQ1931" s="20"/>
      <c r="CR1931" s="20"/>
      <c r="CS1931" s="20"/>
      <c r="CT1931" s="20"/>
      <c r="CU1931" s="20"/>
      <c r="CV1931" s="20"/>
      <c r="CW1931" s="20"/>
      <c r="CX1931" s="20"/>
      <c r="CY1931" s="20"/>
      <c r="CZ1931" s="20"/>
      <c r="DA1931" s="20"/>
      <c r="DB1931" s="20"/>
      <c r="DC1931" s="20"/>
      <c r="DD1931" s="20"/>
      <c r="DE1931" s="20"/>
      <c r="DF1931" s="20"/>
      <c r="DG1931" s="20"/>
      <c r="DH1931" s="20"/>
      <c r="DI1931" s="20"/>
      <c r="DJ1931" s="20"/>
      <c r="DK1931" s="20"/>
      <c r="DL1931" s="20"/>
      <c r="DM1931" s="20"/>
      <c r="DN1931" s="20"/>
      <c r="DO1931" s="20"/>
      <c r="DP1931" s="20"/>
      <c r="DQ1931" s="20"/>
      <c r="DR1931" s="20"/>
      <c r="DS1931" s="20"/>
      <c r="DT1931" s="20"/>
      <c r="DU1931" s="20"/>
      <c r="DV1931" s="20"/>
      <c r="DW1931" s="20"/>
      <c r="DX1931" s="20"/>
      <c r="DY1931" s="20"/>
      <c r="DZ1931" s="20"/>
      <c r="EA1931" s="20"/>
      <c r="EB1931" s="20"/>
      <c r="EC1931" s="20"/>
      <c r="ED1931" s="20"/>
      <c r="EE1931" s="20"/>
      <c r="EF1931" s="20"/>
      <c r="EG1931" s="20"/>
      <c r="EH1931" s="20"/>
      <c r="EI1931" s="20"/>
      <c r="EJ1931" s="20"/>
      <c r="EK1931" s="20"/>
      <c r="EL1931" s="20"/>
      <c r="EM1931" s="20"/>
      <c r="EN1931" s="20"/>
      <c r="EO1931" s="20"/>
      <c r="EP1931" s="20"/>
      <c r="EQ1931" s="20"/>
      <c r="ER1931" s="20"/>
      <c r="ES1931" s="20"/>
      <c r="ET1931" s="20"/>
      <c r="EU1931" s="20"/>
      <c r="EV1931" s="20"/>
      <c r="EW1931" s="20"/>
      <c r="EX1931" s="20"/>
      <c r="EY1931" s="20"/>
      <c r="EZ1931" s="20"/>
      <c r="FA1931" s="20"/>
      <c r="FB1931" s="20"/>
      <c r="FC1931" s="20"/>
      <c r="FD1931" s="20"/>
      <c r="FE1931" s="20"/>
      <c r="FF1931" s="20"/>
      <c r="FG1931" s="20"/>
      <c r="FH1931" s="20"/>
      <c r="FI1931" s="20"/>
      <c r="FJ1931" s="20"/>
      <c r="FK1931" s="20"/>
      <c r="FL1931" s="20"/>
      <c r="FM1931" s="20"/>
      <c r="FN1931" s="20"/>
      <c r="FO1931" s="20"/>
      <c r="FP1931" s="20"/>
      <c r="FQ1931" s="20"/>
      <c r="FR1931" s="20"/>
      <c r="FS1931" s="20"/>
      <c r="FT1931" s="20"/>
      <c r="FU1931" s="20"/>
      <c r="FV1931" s="20"/>
      <c r="FW1931" s="20"/>
      <c r="FX1931" s="20"/>
      <c r="FY1931" s="20"/>
      <c r="FZ1931" s="20"/>
      <c r="GA1931" s="20"/>
      <c r="GB1931" s="20"/>
      <c r="GC1931" s="20"/>
      <c r="GD1931" s="20"/>
      <c r="GE1931" s="20"/>
      <c r="GF1931" s="20"/>
      <c r="GG1931" s="20"/>
      <c r="GH1931" s="20"/>
      <c r="GI1931" s="20"/>
      <c r="GJ1931" s="20"/>
      <c r="GK1931" s="20"/>
      <c r="GL1931" s="20"/>
      <c r="GM1931" s="20"/>
      <c r="GN1931" s="20"/>
      <c r="GO1931" s="20"/>
      <c r="GP1931" s="20"/>
      <c r="GQ1931" s="20"/>
      <c r="GR1931" s="20"/>
      <c r="GS1931" s="20"/>
      <c r="GT1931" s="20"/>
      <c r="GU1931" s="20"/>
      <c r="GV1931" s="20"/>
      <c r="GW1931" s="20"/>
      <c r="GX1931" s="20"/>
      <c r="GY1931" s="20"/>
      <c r="GZ1931" s="20"/>
      <c r="HA1931" s="20"/>
      <c r="HB1931" s="20"/>
      <c r="HC1931" s="20"/>
      <c r="HD1931" s="20"/>
      <c r="HE1931" s="20"/>
      <c r="HF1931" s="20"/>
      <c r="HG1931" s="20"/>
      <c r="HH1931" s="20"/>
      <c r="HI1931" s="20"/>
      <c r="HJ1931" s="20"/>
      <c r="HK1931" s="20"/>
      <c r="HL1931" s="20"/>
      <c r="HM1931" s="20"/>
      <c r="HN1931" s="20"/>
      <c r="HO1931" s="20"/>
      <c r="HP1931" s="20"/>
      <c r="HQ1931" s="20"/>
      <c r="HR1931" s="20"/>
      <c r="HS1931" s="20"/>
      <c r="HT1931" s="20"/>
      <c r="HU1931" s="20"/>
      <c r="HV1931" s="20"/>
      <c r="HW1931" s="20"/>
      <c r="HX1931" s="20"/>
      <c r="HY1931" s="20"/>
      <c r="HZ1931" s="20"/>
      <c r="IA1931" s="20"/>
      <c r="IB1931" s="20"/>
      <c r="IC1931" s="20"/>
      <c r="ID1931" s="20"/>
      <c r="IE1931" s="20"/>
      <c r="IF1931" s="20"/>
      <c r="IG1931" s="20"/>
      <c r="IH1931" s="20"/>
      <c r="II1931" s="20"/>
      <c r="IJ1931" s="20"/>
      <c r="IK1931" s="20"/>
      <c r="IL1931" s="20"/>
      <c r="IM1931" s="20"/>
      <c r="IN1931" s="20"/>
      <c r="IO1931" s="20"/>
    </row>
    <row r="1932" spans="1:249" s="22" customFormat="1" ht="49.5">
      <c r="A1932" s="794"/>
      <c r="B1932" s="840"/>
      <c r="C1932" s="841">
        <v>4</v>
      </c>
      <c r="D1932" s="841" t="s">
        <v>34</v>
      </c>
      <c r="E1932" s="841" t="s">
        <v>25</v>
      </c>
      <c r="F1932" s="841">
        <v>15</v>
      </c>
      <c r="G1932" s="841">
        <v>20</v>
      </c>
      <c r="H1932" s="841"/>
      <c r="I1932" s="407" t="s">
        <v>1837</v>
      </c>
      <c r="J1932" s="6" t="s">
        <v>3339</v>
      </c>
      <c r="K1932" s="1902">
        <v>48</v>
      </c>
      <c r="L1932" s="1908">
        <v>400000000</v>
      </c>
      <c r="M1932" s="1903">
        <v>0</v>
      </c>
      <c r="N1932" s="1904">
        <v>0</v>
      </c>
      <c r="O1932" s="1902">
        <v>12</v>
      </c>
      <c r="P1932" s="1904">
        <v>100000000</v>
      </c>
      <c r="Q1932" s="1903">
        <v>3</v>
      </c>
      <c r="R1932" s="1904">
        <v>248400</v>
      </c>
      <c r="S1932" s="795">
        <v>1</v>
      </c>
      <c r="T1932" s="207">
        <v>45375350</v>
      </c>
      <c r="U1932" s="1906"/>
      <c r="V1932" s="1906"/>
      <c r="W1932" s="795"/>
      <c r="X1932" s="1906"/>
      <c r="Y1932" s="1903">
        <f>Q1932+S1932+U1932+W1932</f>
        <v>4</v>
      </c>
      <c r="Z1932" s="1906">
        <f t="shared" si="545"/>
        <v>45623750</v>
      </c>
      <c r="AA1932" s="1903">
        <f t="shared" si="546"/>
        <v>4</v>
      </c>
      <c r="AB1932" s="1906">
        <f t="shared" si="547"/>
        <v>45623750</v>
      </c>
      <c r="AC1932" s="1907">
        <f t="shared" si="548"/>
        <v>8.3333333333333321</v>
      </c>
      <c r="AD1932" s="1907">
        <f t="shared" si="549"/>
        <v>11.4059375</v>
      </c>
      <c r="AE1932" s="102" t="s">
        <v>1983</v>
      </c>
      <c r="AF1932" s="201"/>
      <c r="AG1932" s="201"/>
      <c r="AH1932" s="201"/>
      <c r="AI1932" s="201"/>
      <c r="AJ1932" s="201"/>
      <c r="AK1932" s="201"/>
      <c r="AL1932" s="201"/>
      <c r="AM1932" s="201"/>
      <c r="AN1932" s="201"/>
      <c r="AO1932" s="201"/>
      <c r="AP1932" s="201"/>
      <c r="AQ1932" s="201"/>
      <c r="AR1932" s="201"/>
      <c r="AS1932" s="201"/>
      <c r="AT1932" s="201"/>
      <c r="AU1932" s="201"/>
      <c r="AV1932" s="201"/>
      <c r="AW1932" s="201"/>
      <c r="AX1932" s="201"/>
      <c r="AY1932" s="201"/>
      <c r="AZ1932" s="201"/>
      <c r="BA1932" s="201"/>
      <c r="BB1932" s="201"/>
      <c r="BC1932" s="20"/>
      <c r="BD1932" s="20"/>
      <c r="BE1932" s="20"/>
      <c r="BF1932" s="20"/>
      <c r="BG1932" s="20"/>
      <c r="BH1932" s="20"/>
      <c r="BI1932" s="20"/>
      <c r="BJ1932" s="20"/>
      <c r="BK1932" s="20"/>
      <c r="BL1932" s="20"/>
      <c r="BM1932" s="20"/>
      <c r="BN1932" s="20"/>
      <c r="BO1932" s="20"/>
      <c r="BP1932" s="20"/>
      <c r="BQ1932" s="20"/>
      <c r="BR1932" s="20"/>
      <c r="BS1932" s="20"/>
      <c r="BT1932" s="20"/>
      <c r="BU1932" s="20"/>
      <c r="BV1932" s="20"/>
      <c r="BW1932" s="20"/>
      <c r="BX1932" s="20"/>
      <c r="BY1932" s="20"/>
      <c r="BZ1932" s="20"/>
      <c r="CA1932" s="20"/>
      <c r="CB1932" s="20"/>
      <c r="CC1932" s="20"/>
      <c r="CD1932" s="20"/>
      <c r="CE1932" s="20"/>
      <c r="CF1932" s="20"/>
      <c r="CG1932" s="20"/>
      <c r="CH1932" s="20"/>
      <c r="CI1932" s="20"/>
      <c r="CJ1932" s="20"/>
      <c r="CK1932" s="20"/>
      <c r="CL1932" s="20"/>
      <c r="CM1932" s="20"/>
      <c r="CN1932" s="20"/>
      <c r="CO1932" s="20"/>
      <c r="CP1932" s="20"/>
      <c r="CQ1932" s="20"/>
      <c r="CR1932" s="20"/>
      <c r="CS1932" s="20"/>
      <c r="CT1932" s="20"/>
      <c r="CU1932" s="20"/>
      <c r="CV1932" s="20"/>
      <c r="CW1932" s="20"/>
      <c r="CX1932" s="20"/>
      <c r="CY1932" s="20"/>
      <c r="CZ1932" s="20"/>
      <c r="DA1932" s="20"/>
      <c r="DB1932" s="20"/>
      <c r="DC1932" s="20"/>
      <c r="DD1932" s="20"/>
      <c r="DE1932" s="20"/>
      <c r="DF1932" s="20"/>
      <c r="DG1932" s="20"/>
      <c r="DH1932" s="20"/>
      <c r="DI1932" s="20"/>
      <c r="DJ1932" s="20"/>
      <c r="DK1932" s="20"/>
      <c r="DL1932" s="20"/>
      <c r="DM1932" s="20"/>
      <c r="DN1932" s="20"/>
      <c r="DO1932" s="20"/>
      <c r="DP1932" s="20"/>
      <c r="DQ1932" s="20"/>
      <c r="DR1932" s="20"/>
      <c r="DS1932" s="20"/>
      <c r="DT1932" s="20"/>
      <c r="DU1932" s="20"/>
      <c r="DV1932" s="20"/>
      <c r="DW1932" s="20"/>
      <c r="DX1932" s="20"/>
      <c r="DY1932" s="20"/>
      <c r="DZ1932" s="20"/>
      <c r="EA1932" s="20"/>
      <c r="EB1932" s="20"/>
      <c r="EC1932" s="20"/>
      <c r="ED1932" s="20"/>
      <c r="EE1932" s="20"/>
      <c r="EF1932" s="20"/>
      <c r="EG1932" s="20"/>
      <c r="EH1932" s="20"/>
      <c r="EI1932" s="20"/>
      <c r="EJ1932" s="20"/>
      <c r="EK1932" s="20"/>
      <c r="EL1932" s="20"/>
      <c r="EM1932" s="20"/>
      <c r="EN1932" s="20"/>
      <c r="EO1932" s="20"/>
      <c r="EP1932" s="20"/>
      <c r="EQ1932" s="20"/>
      <c r="ER1932" s="20"/>
      <c r="ES1932" s="20"/>
      <c r="ET1932" s="20"/>
      <c r="EU1932" s="20"/>
      <c r="EV1932" s="20"/>
      <c r="EW1932" s="20"/>
      <c r="EX1932" s="20"/>
      <c r="EY1932" s="20"/>
      <c r="EZ1932" s="20"/>
      <c r="FA1932" s="20"/>
      <c r="FB1932" s="20"/>
      <c r="FC1932" s="20"/>
      <c r="FD1932" s="20"/>
      <c r="FE1932" s="20"/>
      <c r="FF1932" s="20"/>
      <c r="FG1932" s="20"/>
      <c r="FH1932" s="20"/>
      <c r="FI1932" s="20"/>
      <c r="FJ1932" s="20"/>
      <c r="FK1932" s="20"/>
      <c r="FL1932" s="20"/>
      <c r="FM1932" s="20"/>
      <c r="FN1932" s="20"/>
      <c r="FO1932" s="20"/>
      <c r="FP1932" s="20"/>
      <c r="FQ1932" s="20"/>
      <c r="FR1932" s="20"/>
      <c r="FS1932" s="20"/>
      <c r="FT1932" s="20"/>
      <c r="FU1932" s="20"/>
      <c r="FV1932" s="20"/>
      <c r="FW1932" s="20"/>
      <c r="FX1932" s="20"/>
      <c r="FY1932" s="20"/>
      <c r="FZ1932" s="20"/>
      <c r="GA1932" s="20"/>
      <c r="GB1932" s="20"/>
      <c r="GC1932" s="20"/>
      <c r="GD1932" s="20"/>
      <c r="GE1932" s="20"/>
      <c r="GF1932" s="20"/>
      <c r="GG1932" s="20"/>
      <c r="GH1932" s="20"/>
      <c r="GI1932" s="20"/>
      <c r="GJ1932" s="20"/>
      <c r="GK1932" s="20"/>
      <c r="GL1932" s="20"/>
      <c r="GM1932" s="20"/>
      <c r="GN1932" s="20"/>
      <c r="GO1932" s="20"/>
      <c r="GP1932" s="20"/>
      <c r="GQ1932" s="20"/>
      <c r="GR1932" s="20"/>
      <c r="GS1932" s="20"/>
      <c r="GT1932" s="20"/>
      <c r="GU1932" s="20"/>
      <c r="GV1932" s="20"/>
      <c r="GW1932" s="20"/>
      <c r="GX1932" s="20"/>
      <c r="GY1932" s="20"/>
      <c r="GZ1932" s="20"/>
      <c r="HA1932" s="20"/>
      <c r="HB1932" s="20"/>
      <c r="HC1932" s="20"/>
      <c r="HD1932" s="20"/>
      <c r="HE1932" s="20"/>
      <c r="HF1932" s="20"/>
      <c r="HG1932" s="20"/>
      <c r="HH1932" s="20"/>
      <c r="HI1932" s="20"/>
      <c r="HJ1932" s="20"/>
      <c r="HK1932" s="20"/>
      <c r="HL1932" s="20"/>
      <c r="HM1932" s="20"/>
      <c r="HN1932" s="20"/>
      <c r="HO1932" s="20"/>
      <c r="HP1932" s="20"/>
      <c r="HQ1932" s="20"/>
      <c r="HR1932" s="20"/>
      <c r="HS1932" s="20"/>
      <c r="HT1932" s="20"/>
      <c r="HU1932" s="20"/>
      <c r="HV1932" s="20"/>
      <c r="HW1932" s="20"/>
      <c r="HX1932" s="20"/>
      <c r="HY1932" s="20"/>
      <c r="HZ1932" s="20"/>
      <c r="IA1932" s="20"/>
      <c r="IB1932" s="20"/>
      <c r="IC1932" s="20"/>
      <c r="ID1932" s="20"/>
      <c r="IE1932" s="20"/>
      <c r="IF1932" s="20"/>
      <c r="IG1932" s="20"/>
      <c r="IH1932" s="20"/>
      <c r="II1932" s="20"/>
      <c r="IJ1932" s="20"/>
      <c r="IK1932" s="20"/>
      <c r="IL1932" s="20"/>
      <c r="IM1932" s="20"/>
      <c r="IN1932" s="20"/>
      <c r="IO1932" s="20"/>
    </row>
    <row r="1933" spans="1:249" s="22" customFormat="1" ht="66">
      <c r="A1933" s="1322">
        <v>7</v>
      </c>
      <c r="B1933" s="1339"/>
      <c r="C1933" s="1340">
        <v>4</v>
      </c>
      <c r="D1933" s="1340" t="s">
        <v>34</v>
      </c>
      <c r="E1933" s="1340" t="s">
        <v>25</v>
      </c>
      <c r="F1933" s="1340">
        <v>16</v>
      </c>
      <c r="G1933" s="1340"/>
      <c r="H1933" s="1322"/>
      <c r="I1933" s="1339" t="s">
        <v>236</v>
      </c>
      <c r="J1933" s="44" t="s">
        <v>3340</v>
      </c>
      <c r="K1933" s="149">
        <v>3</v>
      </c>
      <c r="L1933" s="1175">
        <f>SUM(L1934:L1937)</f>
        <v>721284354</v>
      </c>
      <c r="M1933" s="149">
        <v>3</v>
      </c>
      <c r="N1933" s="1175">
        <f>SUM(N1934:N1937)</f>
        <v>429970824</v>
      </c>
      <c r="O1933" s="1921">
        <v>3</v>
      </c>
      <c r="P1933" s="1175">
        <f>SUM(P1934:P1937)</f>
        <v>110244654</v>
      </c>
      <c r="Q1933" s="149">
        <v>0</v>
      </c>
      <c r="R1933" s="1175">
        <f t="shared" ref="R1933:X1933" si="557">SUM(R1934:R1937)</f>
        <v>28680250</v>
      </c>
      <c r="S1933" s="1175">
        <f t="shared" si="557"/>
        <v>1</v>
      </c>
      <c r="T1933" s="1252">
        <f t="shared" si="557"/>
        <v>1099400</v>
      </c>
      <c r="U1933" s="1175">
        <f t="shared" si="557"/>
        <v>0</v>
      </c>
      <c r="V1933" s="1175">
        <f t="shared" si="557"/>
        <v>0</v>
      </c>
      <c r="W1933" s="1175">
        <f t="shared" si="557"/>
        <v>0</v>
      </c>
      <c r="X1933" s="1175">
        <f t="shared" si="557"/>
        <v>0</v>
      </c>
      <c r="Y1933" s="149">
        <v>3</v>
      </c>
      <c r="Z1933" s="1901">
        <f t="shared" si="545"/>
        <v>29779650</v>
      </c>
      <c r="AA1933" s="149">
        <v>3</v>
      </c>
      <c r="AB1933" s="1901">
        <f t="shared" ref="AB1933:AB1966" si="558">N1933+Z1933</f>
        <v>459750474</v>
      </c>
      <c r="AC1933" s="821">
        <f t="shared" si="548"/>
        <v>100</v>
      </c>
      <c r="AD1933" s="821">
        <f t="shared" si="549"/>
        <v>63.740530548095045</v>
      </c>
      <c r="AE1933" s="2539" t="s">
        <v>2252</v>
      </c>
      <c r="AF1933" s="201"/>
      <c r="AG1933" s="201"/>
      <c r="AH1933" s="201"/>
      <c r="AI1933" s="201"/>
      <c r="AJ1933" s="201"/>
      <c r="AK1933" s="201"/>
      <c r="AL1933" s="201"/>
      <c r="AM1933" s="201"/>
      <c r="AN1933" s="201"/>
      <c r="AO1933" s="201"/>
      <c r="AP1933" s="201"/>
      <c r="AQ1933" s="201"/>
      <c r="AR1933" s="201"/>
      <c r="AS1933" s="201"/>
      <c r="AT1933" s="201"/>
      <c r="AU1933" s="201"/>
      <c r="AV1933" s="201"/>
      <c r="AW1933" s="201"/>
      <c r="AX1933" s="201"/>
      <c r="AY1933" s="201"/>
      <c r="AZ1933" s="201"/>
      <c r="BA1933" s="201"/>
      <c r="BB1933" s="201"/>
      <c r="BC1933" s="20"/>
      <c r="BD1933" s="20"/>
      <c r="BE1933" s="20"/>
      <c r="BF1933" s="20"/>
      <c r="BG1933" s="20"/>
      <c r="BH1933" s="20"/>
      <c r="BI1933" s="20"/>
      <c r="BJ1933" s="20"/>
      <c r="BK1933" s="20"/>
      <c r="BL1933" s="20"/>
      <c r="BM1933" s="20"/>
      <c r="BN1933" s="20"/>
      <c r="BO1933" s="20"/>
      <c r="BP1933" s="20"/>
      <c r="BQ1933" s="20"/>
      <c r="BR1933" s="20"/>
      <c r="BS1933" s="20"/>
      <c r="BT1933" s="20"/>
      <c r="BU1933" s="20"/>
      <c r="BV1933" s="20"/>
      <c r="BW1933" s="20"/>
      <c r="BX1933" s="20"/>
      <c r="BY1933" s="20"/>
      <c r="BZ1933" s="20"/>
      <c r="CA1933" s="20"/>
      <c r="CB1933" s="20"/>
      <c r="CC1933" s="20"/>
      <c r="CD1933" s="20"/>
      <c r="CE1933" s="20"/>
      <c r="CF1933" s="20"/>
      <c r="CG1933" s="20"/>
      <c r="CH1933" s="20"/>
      <c r="CI1933" s="20"/>
      <c r="CJ1933" s="20"/>
      <c r="CK1933" s="20"/>
      <c r="CL1933" s="20"/>
      <c r="CM1933" s="20"/>
      <c r="CN1933" s="20"/>
      <c r="CO1933" s="20"/>
      <c r="CP1933" s="20"/>
      <c r="CQ1933" s="20"/>
      <c r="CR1933" s="20"/>
      <c r="CS1933" s="20"/>
      <c r="CT1933" s="20"/>
      <c r="CU1933" s="20"/>
      <c r="CV1933" s="20"/>
      <c r="CW1933" s="20"/>
      <c r="CX1933" s="20"/>
      <c r="CY1933" s="20"/>
      <c r="CZ1933" s="20"/>
      <c r="DA1933" s="20"/>
      <c r="DB1933" s="20"/>
      <c r="DC1933" s="20"/>
      <c r="DD1933" s="20"/>
      <c r="DE1933" s="20"/>
      <c r="DF1933" s="20"/>
      <c r="DG1933" s="20"/>
      <c r="DH1933" s="20"/>
      <c r="DI1933" s="20"/>
      <c r="DJ1933" s="20"/>
      <c r="DK1933" s="20"/>
      <c r="DL1933" s="20"/>
      <c r="DM1933" s="20"/>
      <c r="DN1933" s="20"/>
      <c r="DO1933" s="20"/>
      <c r="DP1933" s="20"/>
      <c r="DQ1933" s="20"/>
      <c r="DR1933" s="20"/>
      <c r="DS1933" s="20"/>
      <c r="DT1933" s="20"/>
      <c r="DU1933" s="20"/>
      <c r="DV1933" s="20"/>
      <c r="DW1933" s="20"/>
      <c r="DX1933" s="20"/>
      <c r="DY1933" s="20"/>
      <c r="DZ1933" s="20"/>
      <c r="EA1933" s="20"/>
      <c r="EB1933" s="20"/>
      <c r="EC1933" s="20"/>
      <c r="ED1933" s="20"/>
      <c r="EE1933" s="20"/>
      <c r="EF1933" s="20"/>
      <c r="EG1933" s="20"/>
      <c r="EH1933" s="20"/>
      <c r="EI1933" s="20"/>
      <c r="EJ1933" s="20"/>
      <c r="EK1933" s="20"/>
      <c r="EL1933" s="20"/>
      <c r="EM1933" s="20"/>
      <c r="EN1933" s="20"/>
      <c r="EO1933" s="20"/>
      <c r="EP1933" s="20"/>
      <c r="EQ1933" s="20"/>
      <c r="ER1933" s="20"/>
      <c r="ES1933" s="20"/>
      <c r="ET1933" s="20"/>
      <c r="EU1933" s="20"/>
      <c r="EV1933" s="20"/>
      <c r="EW1933" s="20"/>
      <c r="EX1933" s="20"/>
      <c r="EY1933" s="20"/>
      <c r="EZ1933" s="20"/>
      <c r="FA1933" s="20"/>
      <c r="FB1933" s="20"/>
      <c r="FC1933" s="20"/>
      <c r="FD1933" s="20"/>
      <c r="FE1933" s="20"/>
      <c r="FF1933" s="20"/>
      <c r="FG1933" s="20"/>
      <c r="FH1933" s="20"/>
      <c r="FI1933" s="20"/>
      <c r="FJ1933" s="20"/>
      <c r="FK1933" s="20"/>
      <c r="FL1933" s="20"/>
      <c r="FM1933" s="20"/>
      <c r="FN1933" s="20"/>
      <c r="FO1933" s="20"/>
      <c r="FP1933" s="20"/>
      <c r="FQ1933" s="20"/>
      <c r="FR1933" s="20"/>
      <c r="FS1933" s="20"/>
      <c r="FT1933" s="20"/>
      <c r="FU1933" s="20"/>
      <c r="FV1933" s="20"/>
      <c r="FW1933" s="20"/>
      <c r="FX1933" s="20"/>
      <c r="FY1933" s="20"/>
      <c r="FZ1933" s="20"/>
      <c r="GA1933" s="20"/>
      <c r="GB1933" s="20"/>
      <c r="GC1933" s="20"/>
      <c r="GD1933" s="20"/>
      <c r="GE1933" s="20"/>
      <c r="GF1933" s="20"/>
      <c r="GG1933" s="20"/>
      <c r="GH1933" s="20"/>
      <c r="GI1933" s="20"/>
      <c r="GJ1933" s="20"/>
      <c r="GK1933" s="20"/>
      <c r="GL1933" s="20"/>
      <c r="GM1933" s="20"/>
      <c r="GN1933" s="20"/>
      <c r="GO1933" s="20"/>
      <c r="GP1933" s="20"/>
      <c r="GQ1933" s="20"/>
      <c r="GR1933" s="20"/>
      <c r="GS1933" s="20"/>
      <c r="GT1933" s="20"/>
      <c r="GU1933" s="20"/>
      <c r="GV1933" s="20"/>
      <c r="GW1933" s="20"/>
      <c r="GX1933" s="20"/>
      <c r="GY1933" s="20"/>
      <c r="GZ1933" s="20"/>
      <c r="HA1933" s="20"/>
      <c r="HB1933" s="20"/>
      <c r="HC1933" s="20"/>
      <c r="HD1933" s="20"/>
      <c r="HE1933" s="20"/>
      <c r="HF1933" s="20"/>
      <c r="HG1933" s="20"/>
      <c r="HH1933" s="20"/>
      <c r="HI1933" s="20"/>
      <c r="HJ1933" s="20"/>
      <c r="HK1933" s="20"/>
      <c r="HL1933" s="20"/>
      <c r="HM1933" s="20"/>
      <c r="HN1933" s="20"/>
      <c r="HO1933" s="20"/>
      <c r="HP1933" s="20"/>
      <c r="HQ1933" s="20"/>
      <c r="HR1933" s="20"/>
      <c r="HS1933" s="20"/>
      <c r="HT1933" s="20"/>
      <c r="HU1933" s="20"/>
      <c r="HV1933" s="20"/>
      <c r="HW1933" s="20"/>
      <c r="HX1933" s="20"/>
      <c r="HY1933" s="20"/>
      <c r="HZ1933" s="20"/>
      <c r="IA1933" s="20"/>
      <c r="IB1933" s="20"/>
      <c r="IC1933" s="20"/>
      <c r="ID1933" s="20"/>
      <c r="IE1933" s="20"/>
      <c r="IF1933" s="20"/>
      <c r="IG1933" s="20"/>
      <c r="IH1933" s="20"/>
      <c r="II1933" s="20"/>
      <c r="IJ1933" s="20"/>
      <c r="IK1933" s="20"/>
      <c r="IL1933" s="20"/>
      <c r="IM1933" s="20"/>
      <c r="IN1933" s="20"/>
      <c r="IO1933" s="20"/>
    </row>
    <row r="1934" spans="1:249" s="22" customFormat="1" ht="83.25" customHeight="1">
      <c r="A1934" s="1121"/>
      <c r="B1934" s="518"/>
      <c r="C1934" s="1786"/>
      <c r="D1934" s="1786"/>
      <c r="E1934" s="1786"/>
      <c r="F1934" s="1786"/>
      <c r="G1934" s="1171"/>
      <c r="H1934" s="1171"/>
      <c r="I1934" s="518"/>
      <c r="J1934" s="46" t="s">
        <v>3341</v>
      </c>
      <c r="K1934" s="149">
        <v>5</v>
      </c>
      <c r="L1934" s="146"/>
      <c r="M1934" s="149">
        <v>5</v>
      </c>
      <c r="N1934" s="1901"/>
      <c r="O1934" s="149">
        <v>5</v>
      </c>
      <c r="P1934" s="1175"/>
      <c r="Q1934" s="149">
        <v>0</v>
      </c>
      <c r="R1934" s="1901"/>
      <c r="S1934" s="146"/>
      <c r="T1934" s="146"/>
      <c r="U1934" s="146"/>
      <c r="V1934" s="146"/>
      <c r="W1934" s="146"/>
      <c r="X1934" s="146"/>
      <c r="Y1934" s="149">
        <v>5</v>
      </c>
      <c r="Z1934" s="1901">
        <f>R1934+T1934</f>
        <v>0</v>
      </c>
      <c r="AA1934" s="149">
        <v>5</v>
      </c>
      <c r="AB1934" s="1901">
        <f t="shared" si="558"/>
        <v>0</v>
      </c>
      <c r="AC1934" s="821">
        <f t="shared" ref="AC1934:AC1957" si="559">AA1934/K1934*100</f>
        <v>100</v>
      </c>
      <c r="AD1934" s="821"/>
      <c r="AE1934" s="2540"/>
      <c r="AF1934" s="201"/>
      <c r="AG1934" s="201"/>
      <c r="AH1934" s="201"/>
      <c r="AI1934" s="201"/>
      <c r="AJ1934" s="201"/>
      <c r="AK1934" s="201"/>
      <c r="AL1934" s="201"/>
      <c r="AM1934" s="201"/>
      <c r="AN1934" s="201"/>
      <c r="AO1934" s="201"/>
      <c r="AP1934" s="201"/>
      <c r="AQ1934" s="201"/>
      <c r="AR1934" s="201"/>
      <c r="AS1934" s="201"/>
      <c r="AT1934" s="201"/>
      <c r="AU1934" s="201"/>
      <c r="AV1934" s="201"/>
      <c r="AW1934" s="201"/>
      <c r="AX1934" s="201"/>
      <c r="AY1934" s="201"/>
      <c r="AZ1934" s="201"/>
      <c r="BA1934" s="201"/>
      <c r="BB1934" s="201"/>
      <c r="BC1934" s="20"/>
      <c r="BD1934" s="20"/>
      <c r="BE1934" s="20"/>
      <c r="BF1934" s="20"/>
      <c r="BG1934" s="20"/>
      <c r="BH1934" s="20"/>
      <c r="BI1934" s="20"/>
      <c r="BJ1934" s="20"/>
      <c r="BK1934" s="20"/>
      <c r="BL1934" s="20"/>
      <c r="BM1934" s="20"/>
      <c r="BN1934" s="20"/>
      <c r="BO1934" s="20"/>
      <c r="BP1934" s="20"/>
      <c r="BQ1934" s="20"/>
      <c r="BR1934" s="20"/>
      <c r="BS1934" s="20"/>
      <c r="BT1934" s="20"/>
      <c r="BU1934" s="20"/>
      <c r="BV1934" s="20"/>
      <c r="BW1934" s="20"/>
      <c r="BX1934" s="20"/>
      <c r="BY1934" s="20"/>
      <c r="BZ1934" s="20"/>
      <c r="CA1934" s="20"/>
      <c r="CB1934" s="20"/>
      <c r="CC1934" s="20"/>
      <c r="CD1934" s="20"/>
      <c r="CE1934" s="20"/>
      <c r="CF1934" s="20"/>
      <c r="CG1934" s="20"/>
      <c r="CH1934" s="20"/>
      <c r="CI1934" s="20"/>
      <c r="CJ1934" s="20"/>
      <c r="CK1934" s="20"/>
      <c r="CL1934" s="20"/>
      <c r="CM1934" s="20"/>
      <c r="CN1934" s="20"/>
      <c r="CO1934" s="20"/>
      <c r="CP1934" s="20"/>
      <c r="CQ1934" s="20"/>
      <c r="CR1934" s="20"/>
      <c r="CS1934" s="20"/>
      <c r="CT1934" s="20"/>
      <c r="CU1934" s="20"/>
      <c r="CV1934" s="20"/>
      <c r="CW1934" s="20"/>
      <c r="CX1934" s="20"/>
      <c r="CY1934" s="20"/>
      <c r="CZ1934" s="20"/>
      <c r="DA1934" s="20"/>
      <c r="DB1934" s="20"/>
      <c r="DC1934" s="20"/>
      <c r="DD1934" s="20"/>
      <c r="DE1934" s="20"/>
      <c r="DF1934" s="20"/>
      <c r="DG1934" s="20"/>
      <c r="DH1934" s="20"/>
      <c r="DI1934" s="20"/>
      <c r="DJ1934" s="20"/>
      <c r="DK1934" s="20"/>
      <c r="DL1934" s="20"/>
      <c r="DM1934" s="20"/>
      <c r="DN1934" s="20"/>
      <c r="DO1934" s="20"/>
      <c r="DP1934" s="20"/>
      <c r="DQ1934" s="20"/>
      <c r="DR1934" s="20"/>
      <c r="DS1934" s="20"/>
      <c r="DT1934" s="20"/>
      <c r="DU1934" s="20"/>
      <c r="DV1934" s="20"/>
      <c r="DW1934" s="20"/>
      <c r="DX1934" s="20"/>
      <c r="DY1934" s="20"/>
      <c r="DZ1934" s="20"/>
      <c r="EA1934" s="20"/>
      <c r="EB1934" s="20"/>
      <c r="EC1934" s="20"/>
      <c r="ED1934" s="20"/>
      <c r="EE1934" s="20"/>
      <c r="EF1934" s="20"/>
      <c r="EG1934" s="20"/>
      <c r="EH1934" s="20"/>
      <c r="EI1934" s="20"/>
      <c r="EJ1934" s="20"/>
      <c r="EK1934" s="20"/>
      <c r="EL1934" s="20"/>
      <c r="EM1934" s="20"/>
      <c r="EN1934" s="20"/>
      <c r="EO1934" s="20"/>
      <c r="EP1934" s="20"/>
      <c r="EQ1934" s="20"/>
      <c r="ER1934" s="20"/>
      <c r="ES1934" s="20"/>
      <c r="ET1934" s="20"/>
      <c r="EU1934" s="20"/>
      <c r="EV1934" s="20"/>
      <c r="EW1934" s="20"/>
      <c r="EX1934" s="20"/>
      <c r="EY1934" s="20"/>
      <c r="EZ1934" s="20"/>
      <c r="FA1934" s="20"/>
      <c r="FB1934" s="20"/>
      <c r="FC1934" s="20"/>
      <c r="FD1934" s="20"/>
      <c r="FE1934" s="20"/>
      <c r="FF1934" s="20"/>
      <c r="FG1934" s="20"/>
      <c r="FH1934" s="20"/>
      <c r="FI1934" s="20"/>
      <c r="FJ1934" s="20"/>
      <c r="FK1934" s="20"/>
      <c r="FL1934" s="20"/>
      <c r="FM1934" s="20"/>
      <c r="FN1934" s="20"/>
      <c r="FO1934" s="20"/>
      <c r="FP1934" s="20"/>
      <c r="FQ1934" s="20"/>
      <c r="FR1934" s="20"/>
      <c r="FS1934" s="20"/>
      <c r="FT1934" s="20"/>
      <c r="FU1934" s="20"/>
      <c r="FV1934" s="20"/>
      <c r="FW1934" s="20"/>
      <c r="FX1934" s="20"/>
      <c r="FY1934" s="20"/>
      <c r="FZ1934" s="20"/>
      <c r="GA1934" s="20"/>
      <c r="GB1934" s="20"/>
      <c r="GC1934" s="20"/>
      <c r="GD1934" s="20"/>
      <c r="GE1934" s="20"/>
      <c r="GF1934" s="20"/>
      <c r="GG1934" s="20"/>
      <c r="GH1934" s="20"/>
      <c r="GI1934" s="20"/>
      <c r="GJ1934" s="20"/>
      <c r="GK1934" s="20"/>
      <c r="GL1934" s="20"/>
      <c r="GM1934" s="20"/>
      <c r="GN1934" s="20"/>
      <c r="GO1934" s="20"/>
      <c r="GP1934" s="20"/>
      <c r="GQ1934" s="20"/>
      <c r="GR1934" s="20"/>
      <c r="GS1934" s="20"/>
      <c r="GT1934" s="20"/>
      <c r="GU1934" s="20"/>
      <c r="GV1934" s="20"/>
      <c r="GW1934" s="20"/>
      <c r="GX1934" s="20"/>
      <c r="GY1934" s="20"/>
      <c r="GZ1934" s="20"/>
      <c r="HA1934" s="20"/>
      <c r="HB1934" s="20"/>
      <c r="HC1934" s="20"/>
      <c r="HD1934" s="20"/>
      <c r="HE1934" s="20"/>
      <c r="HF1934" s="20"/>
      <c r="HG1934" s="20"/>
      <c r="HH1934" s="20"/>
      <c r="HI1934" s="20"/>
      <c r="HJ1934" s="20"/>
      <c r="HK1934" s="20"/>
      <c r="HL1934" s="20"/>
      <c r="HM1934" s="20"/>
      <c r="HN1934" s="20"/>
      <c r="HO1934" s="20"/>
      <c r="HP1934" s="20"/>
      <c r="HQ1934" s="20"/>
      <c r="HR1934" s="20"/>
      <c r="HS1934" s="20"/>
      <c r="HT1934" s="20"/>
      <c r="HU1934" s="20"/>
      <c r="HV1934" s="20"/>
      <c r="HW1934" s="20"/>
      <c r="HX1934" s="20"/>
      <c r="HY1934" s="20"/>
      <c r="HZ1934" s="20"/>
      <c r="IA1934" s="20"/>
      <c r="IB1934" s="20"/>
      <c r="IC1934" s="20"/>
      <c r="ID1934" s="20"/>
      <c r="IE1934" s="20"/>
      <c r="IF1934" s="20"/>
      <c r="IG1934" s="20"/>
      <c r="IH1934" s="20"/>
      <c r="II1934" s="20"/>
      <c r="IJ1934" s="20"/>
      <c r="IK1934" s="20"/>
      <c r="IL1934" s="20"/>
      <c r="IM1934" s="20"/>
      <c r="IN1934" s="20"/>
      <c r="IO1934" s="20"/>
    </row>
    <row r="1935" spans="1:249" s="22" customFormat="1" ht="33">
      <c r="A1935" s="794"/>
      <c r="B1935" s="840"/>
      <c r="C1935" s="841">
        <v>4</v>
      </c>
      <c r="D1935" s="841" t="s">
        <v>34</v>
      </c>
      <c r="E1935" s="841" t="s">
        <v>25</v>
      </c>
      <c r="F1935" s="841">
        <v>16</v>
      </c>
      <c r="G1935" s="841" t="s">
        <v>56</v>
      </c>
      <c r="H1935" s="841"/>
      <c r="I1935" s="407" t="s">
        <v>1838</v>
      </c>
      <c r="J1935" s="6" t="s">
        <v>1839</v>
      </c>
      <c r="K1935" s="1903">
        <v>55</v>
      </c>
      <c r="L1935" s="1908">
        <f>N1935</f>
        <v>390550392</v>
      </c>
      <c r="M1935" s="1922">
        <f>35+20</f>
        <v>55</v>
      </c>
      <c r="N1935" s="1904">
        <f>119809198+163944350+106796844</f>
        <v>390550392</v>
      </c>
      <c r="O1935" s="1902"/>
      <c r="P1935" s="1905">
        <v>0</v>
      </c>
      <c r="Q1935" s="1903"/>
      <c r="R1935" s="1904"/>
      <c r="S1935" s="795"/>
      <c r="T1935" s="207"/>
      <c r="U1935" s="795"/>
      <c r="V1935" s="1906"/>
      <c r="W1935" s="795"/>
      <c r="X1935" s="1906"/>
      <c r="Y1935" s="1903">
        <f t="shared" ref="Y1935:Z1937" si="560">Q1935+S1935+U1935+W1935</f>
        <v>0</v>
      </c>
      <c r="Z1935" s="1906">
        <f t="shared" si="560"/>
        <v>0</v>
      </c>
      <c r="AA1935" s="1903">
        <f t="shared" ref="AA1935:AA1957" si="561">M1935+Y1935</f>
        <v>55</v>
      </c>
      <c r="AB1935" s="1906">
        <f t="shared" si="558"/>
        <v>390550392</v>
      </c>
      <c r="AC1935" s="1907">
        <f t="shared" si="559"/>
        <v>100</v>
      </c>
      <c r="AD1935" s="1907">
        <f t="shared" ref="AD1935:AD1966" si="562">AB1935/L1935*100</f>
        <v>100</v>
      </c>
      <c r="AE1935" s="102" t="s">
        <v>1983</v>
      </c>
      <c r="AF1935" s="201"/>
      <c r="AG1935" s="201"/>
      <c r="AH1935" s="201"/>
      <c r="AI1935" s="201"/>
      <c r="AJ1935" s="201"/>
      <c r="AK1935" s="201"/>
      <c r="AL1935" s="201"/>
      <c r="AM1935" s="201"/>
      <c r="AN1935" s="201"/>
      <c r="AO1935" s="201"/>
      <c r="AP1935" s="201"/>
      <c r="AQ1935" s="201"/>
      <c r="AR1935" s="201"/>
      <c r="AS1935" s="201"/>
      <c r="AT1935" s="201"/>
      <c r="AU1935" s="201"/>
      <c r="AV1935" s="201"/>
      <c r="AW1935" s="201"/>
      <c r="AX1935" s="201"/>
      <c r="AY1935" s="201"/>
      <c r="AZ1935" s="201"/>
      <c r="BA1935" s="201"/>
      <c r="BB1935" s="201"/>
      <c r="BC1935" s="20"/>
      <c r="BD1935" s="20"/>
      <c r="BE1935" s="20"/>
      <c r="BF1935" s="20"/>
      <c r="BG1935" s="20"/>
      <c r="BH1935" s="20"/>
      <c r="BI1935" s="20"/>
      <c r="BJ1935" s="20"/>
      <c r="BK1935" s="20"/>
      <c r="BL1935" s="20"/>
      <c r="BM1935" s="20"/>
      <c r="BN1935" s="20"/>
      <c r="BO1935" s="20"/>
      <c r="BP1935" s="20"/>
      <c r="BQ1935" s="20"/>
      <c r="BR1935" s="20"/>
      <c r="BS1935" s="20"/>
      <c r="BT1935" s="20"/>
      <c r="BU1935" s="20"/>
      <c r="BV1935" s="20"/>
      <c r="BW1935" s="20"/>
      <c r="BX1935" s="20"/>
      <c r="BY1935" s="20"/>
      <c r="BZ1935" s="20"/>
      <c r="CA1935" s="20"/>
      <c r="CB1935" s="20"/>
      <c r="CC1935" s="20"/>
      <c r="CD1935" s="20"/>
      <c r="CE1935" s="20"/>
      <c r="CF1935" s="20"/>
      <c r="CG1935" s="20"/>
      <c r="CH1935" s="20"/>
      <c r="CI1935" s="20"/>
      <c r="CJ1935" s="20"/>
      <c r="CK1935" s="20"/>
      <c r="CL1935" s="20"/>
      <c r="CM1935" s="20"/>
      <c r="CN1935" s="20"/>
      <c r="CO1935" s="20"/>
      <c r="CP1935" s="20"/>
      <c r="CQ1935" s="20"/>
      <c r="CR1935" s="20"/>
      <c r="CS1935" s="20"/>
      <c r="CT1935" s="20"/>
      <c r="CU1935" s="20"/>
      <c r="CV1935" s="20"/>
      <c r="CW1935" s="20"/>
      <c r="CX1935" s="20"/>
      <c r="CY1935" s="20"/>
      <c r="CZ1935" s="20"/>
      <c r="DA1935" s="20"/>
      <c r="DB1935" s="20"/>
      <c r="DC1935" s="20"/>
      <c r="DD1935" s="20"/>
      <c r="DE1935" s="20"/>
      <c r="DF1935" s="20"/>
      <c r="DG1935" s="20"/>
      <c r="DH1935" s="20"/>
      <c r="DI1935" s="20"/>
      <c r="DJ1935" s="20"/>
      <c r="DK1935" s="20"/>
      <c r="DL1935" s="20"/>
      <c r="DM1935" s="20"/>
      <c r="DN1935" s="20"/>
      <c r="DO1935" s="20"/>
      <c r="DP1935" s="20"/>
      <c r="DQ1935" s="20"/>
      <c r="DR1935" s="20"/>
      <c r="DS1935" s="20"/>
      <c r="DT1935" s="20"/>
      <c r="DU1935" s="20"/>
      <c r="DV1935" s="20"/>
      <c r="DW1935" s="20"/>
      <c r="DX1935" s="20"/>
      <c r="DY1935" s="20"/>
      <c r="DZ1935" s="20"/>
      <c r="EA1935" s="20"/>
      <c r="EB1935" s="20"/>
      <c r="EC1935" s="20"/>
      <c r="ED1935" s="20"/>
      <c r="EE1935" s="20"/>
      <c r="EF1935" s="20"/>
      <c r="EG1935" s="20"/>
      <c r="EH1935" s="20"/>
      <c r="EI1935" s="20"/>
      <c r="EJ1935" s="20"/>
      <c r="EK1935" s="20"/>
      <c r="EL1935" s="20"/>
      <c r="EM1935" s="20"/>
      <c r="EN1935" s="20"/>
      <c r="EO1935" s="20"/>
      <c r="EP1935" s="20"/>
      <c r="EQ1935" s="20"/>
      <c r="ER1935" s="20"/>
      <c r="ES1935" s="20"/>
      <c r="ET1935" s="20"/>
      <c r="EU1935" s="20"/>
      <c r="EV1935" s="20"/>
      <c r="EW1935" s="20"/>
      <c r="EX1935" s="20"/>
      <c r="EY1935" s="20"/>
      <c r="EZ1935" s="20"/>
      <c r="FA1935" s="20"/>
      <c r="FB1935" s="20"/>
      <c r="FC1935" s="20"/>
      <c r="FD1935" s="20"/>
      <c r="FE1935" s="20"/>
      <c r="FF1935" s="20"/>
      <c r="FG1935" s="20"/>
      <c r="FH1935" s="20"/>
      <c r="FI1935" s="20"/>
      <c r="FJ1935" s="20"/>
      <c r="FK1935" s="20"/>
      <c r="FL1935" s="20"/>
      <c r="FM1935" s="20"/>
      <c r="FN1935" s="20"/>
      <c r="FO1935" s="20"/>
      <c r="FP1935" s="20"/>
      <c r="FQ1935" s="20"/>
      <c r="FR1935" s="20"/>
      <c r="FS1935" s="20"/>
      <c r="FT1935" s="20"/>
      <c r="FU1935" s="20"/>
      <c r="FV1935" s="20"/>
      <c r="FW1935" s="20"/>
      <c r="FX1935" s="20"/>
      <c r="FY1935" s="20"/>
      <c r="FZ1935" s="20"/>
      <c r="GA1935" s="20"/>
      <c r="GB1935" s="20"/>
      <c r="GC1935" s="20"/>
      <c r="GD1935" s="20"/>
      <c r="GE1935" s="20"/>
      <c r="GF1935" s="20"/>
      <c r="GG1935" s="20"/>
      <c r="GH1935" s="20"/>
      <c r="GI1935" s="20"/>
      <c r="GJ1935" s="20"/>
      <c r="GK1935" s="20"/>
      <c r="GL1935" s="20"/>
      <c r="GM1935" s="20"/>
      <c r="GN1935" s="20"/>
      <c r="GO1935" s="20"/>
      <c r="GP1935" s="20"/>
      <c r="GQ1935" s="20"/>
      <c r="GR1935" s="20"/>
      <c r="GS1935" s="20"/>
      <c r="GT1935" s="20"/>
      <c r="GU1935" s="20"/>
      <c r="GV1935" s="20"/>
      <c r="GW1935" s="20"/>
      <c r="GX1935" s="20"/>
      <c r="GY1935" s="20"/>
      <c r="GZ1935" s="20"/>
      <c r="HA1935" s="20"/>
      <c r="HB1935" s="20"/>
      <c r="HC1935" s="20"/>
      <c r="HD1935" s="20"/>
      <c r="HE1935" s="20"/>
      <c r="HF1935" s="20"/>
      <c r="HG1935" s="20"/>
      <c r="HH1935" s="20"/>
      <c r="HI1935" s="20"/>
      <c r="HJ1935" s="20"/>
      <c r="HK1935" s="20"/>
      <c r="HL1935" s="20"/>
      <c r="HM1935" s="20"/>
      <c r="HN1935" s="20"/>
      <c r="HO1935" s="20"/>
      <c r="HP1935" s="20"/>
      <c r="HQ1935" s="20"/>
      <c r="HR1935" s="20"/>
      <c r="HS1935" s="20"/>
      <c r="HT1935" s="20"/>
      <c r="HU1935" s="20"/>
      <c r="HV1935" s="20"/>
      <c r="HW1935" s="20"/>
      <c r="HX1935" s="20"/>
      <c r="HY1935" s="20"/>
      <c r="HZ1935" s="20"/>
      <c r="IA1935" s="20"/>
      <c r="IB1935" s="20"/>
      <c r="IC1935" s="20"/>
      <c r="ID1935" s="20"/>
      <c r="IE1935" s="20"/>
      <c r="IF1935" s="20"/>
      <c r="IG1935" s="20"/>
      <c r="IH1935" s="20"/>
      <c r="II1935" s="20"/>
      <c r="IJ1935" s="20"/>
      <c r="IK1935" s="20"/>
      <c r="IL1935" s="20"/>
      <c r="IM1935" s="20"/>
      <c r="IN1935" s="20"/>
      <c r="IO1935" s="20"/>
    </row>
    <row r="1936" spans="1:249" s="22" customFormat="1" ht="82.5">
      <c r="A1936" s="794"/>
      <c r="B1936" s="840"/>
      <c r="C1936" s="841">
        <v>4</v>
      </c>
      <c r="D1936" s="841" t="s">
        <v>34</v>
      </c>
      <c r="E1936" s="841" t="s">
        <v>25</v>
      </c>
      <c r="F1936" s="841">
        <v>16</v>
      </c>
      <c r="G1936" s="841">
        <v>14</v>
      </c>
      <c r="H1936" s="841"/>
      <c r="I1936" s="6" t="s">
        <v>1840</v>
      </c>
      <c r="J1936" s="6" t="s">
        <v>3342</v>
      </c>
      <c r="K1936" s="1902">
        <v>72</v>
      </c>
      <c r="L1936" s="1908">
        <f>3*P1936</f>
        <v>125833962</v>
      </c>
      <c r="M1936" s="1903">
        <v>36</v>
      </c>
      <c r="N1936" s="1905">
        <v>39420432</v>
      </c>
      <c r="O1936" s="1902">
        <v>12</v>
      </c>
      <c r="P1936" s="1905">
        <v>41944654</v>
      </c>
      <c r="Q1936" s="1903">
        <v>3</v>
      </c>
      <c r="R1936" s="1904">
        <v>1099400</v>
      </c>
      <c r="S1936" s="795"/>
      <c r="T1936" s="207"/>
      <c r="U1936" s="795"/>
      <c r="V1936" s="1906"/>
      <c r="W1936" s="795"/>
      <c r="X1936" s="1906"/>
      <c r="Y1936" s="1903">
        <f t="shared" si="560"/>
        <v>3</v>
      </c>
      <c r="Z1936" s="1906">
        <f t="shared" si="560"/>
        <v>1099400</v>
      </c>
      <c r="AA1936" s="1903">
        <f t="shared" si="561"/>
        <v>39</v>
      </c>
      <c r="AB1936" s="1906">
        <f t="shared" si="558"/>
        <v>40519832</v>
      </c>
      <c r="AC1936" s="1907">
        <f t="shared" si="559"/>
        <v>54.166666666666664</v>
      </c>
      <c r="AD1936" s="1907">
        <f t="shared" si="562"/>
        <v>32.201030116178018</v>
      </c>
      <c r="AE1936" s="102" t="s">
        <v>1983</v>
      </c>
      <c r="AF1936" s="201"/>
      <c r="AG1936" s="201"/>
      <c r="AH1936" s="201"/>
      <c r="AI1936" s="201"/>
      <c r="AJ1936" s="201"/>
      <c r="AK1936" s="201"/>
      <c r="AL1936" s="201"/>
      <c r="AM1936" s="201"/>
      <c r="AN1936" s="201"/>
      <c r="AO1936" s="201"/>
      <c r="AP1936" s="201"/>
      <c r="AQ1936" s="201"/>
      <c r="AR1936" s="201"/>
      <c r="AS1936" s="201"/>
      <c r="AT1936" s="201"/>
      <c r="AU1936" s="201"/>
      <c r="AV1936" s="201"/>
      <c r="AW1936" s="201"/>
      <c r="AX1936" s="201"/>
      <c r="AY1936" s="201"/>
      <c r="AZ1936" s="201"/>
      <c r="BA1936" s="201"/>
      <c r="BB1936" s="201"/>
      <c r="BC1936" s="20"/>
      <c r="BD1936" s="20"/>
      <c r="BE1936" s="20"/>
      <c r="BF1936" s="20"/>
      <c r="BG1936" s="20"/>
      <c r="BH1936" s="20"/>
      <c r="BI1936" s="20"/>
      <c r="BJ1936" s="20"/>
      <c r="BK1936" s="20"/>
      <c r="BL1936" s="20"/>
      <c r="BM1936" s="20"/>
      <c r="BN1936" s="20"/>
      <c r="BO1936" s="20"/>
      <c r="BP1936" s="20"/>
      <c r="BQ1936" s="20"/>
      <c r="BR1936" s="20"/>
      <c r="BS1936" s="20"/>
      <c r="BT1936" s="20"/>
      <c r="BU1936" s="20"/>
      <c r="BV1936" s="20"/>
      <c r="BW1936" s="20"/>
      <c r="BX1936" s="20"/>
      <c r="BY1936" s="20"/>
      <c r="BZ1936" s="20"/>
      <c r="CA1936" s="20"/>
      <c r="CB1936" s="20"/>
      <c r="CC1936" s="20"/>
      <c r="CD1936" s="20"/>
      <c r="CE1936" s="20"/>
      <c r="CF1936" s="20"/>
      <c r="CG1936" s="20"/>
      <c r="CH1936" s="20"/>
      <c r="CI1936" s="20"/>
      <c r="CJ1936" s="20"/>
      <c r="CK1936" s="20"/>
      <c r="CL1936" s="20"/>
      <c r="CM1936" s="20"/>
      <c r="CN1936" s="20"/>
      <c r="CO1936" s="20"/>
      <c r="CP1936" s="20"/>
      <c r="CQ1936" s="20"/>
      <c r="CR1936" s="20"/>
      <c r="CS1936" s="20"/>
      <c r="CT1936" s="20"/>
      <c r="CU1936" s="20"/>
      <c r="CV1936" s="20"/>
      <c r="CW1936" s="20"/>
      <c r="CX1936" s="20"/>
      <c r="CY1936" s="20"/>
      <c r="CZ1936" s="20"/>
      <c r="DA1936" s="20"/>
      <c r="DB1936" s="20"/>
      <c r="DC1936" s="20"/>
      <c r="DD1936" s="20"/>
      <c r="DE1936" s="20"/>
      <c r="DF1936" s="20"/>
      <c r="DG1936" s="20"/>
      <c r="DH1936" s="20"/>
      <c r="DI1936" s="20"/>
      <c r="DJ1936" s="20"/>
      <c r="DK1936" s="20"/>
      <c r="DL1936" s="20"/>
      <c r="DM1936" s="20"/>
      <c r="DN1936" s="20"/>
      <c r="DO1936" s="20"/>
      <c r="DP1936" s="20"/>
      <c r="DQ1936" s="20"/>
      <c r="DR1936" s="20"/>
      <c r="DS1936" s="20"/>
      <c r="DT1936" s="20"/>
      <c r="DU1936" s="20"/>
      <c r="DV1936" s="20"/>
      <c r="DW1936" s="20"/>
      <c r="DX1936" s="20"/>
      <c r="DY1936" s="20"/>
      <c r="DZ1936" s="20"/>
      <c r="EA1936" s="20"/>
      <c r="EB1936" s="20"/>
      <c r="EC1936" s="20"/>
      <c r="ED1936" s="20"/>
      <c r="EE1936" s="20"/>
      <c r="EF1936" s="20"/>
      <c r="EG1936" s="20"/>
      <c r="EH1936" s="20"/>
      <c r="EI1936" s="20"/>
      <c r="EJ1936" s="20"/>
      <c r="EK1936" s="20"/>
      <c r="EL1936" s="20"/>
      <c r="EM1936" s="20"/>
      <c r="EN1936" s="20"/>
      <c r="EO1936" s="20"/>
      <c r="EP1936" s="20"/>
      <c r="EQ1936" s="20"/>
      <c r="ER1936" s="20"/>
      <c r="ES1936" s="20"/>
      <c r="ET1936" s="20"/>
      <c r="EU1936" s="20"/>
      <c r="EV1936" s="20"/>
      <c r="EW1936" s="20"/>
      <c r="EX1936" s="20"/>
      <c r="EY1936" s="20"/>
      <c r="EZ1936" s="20"/>
      <c r="FA1936" s="20"/>
      <c r="FB1936" s="20"/>
      <c r="FC1936" s="20"/>
      <c r="FD1936" s="20"/>
      <c r="FE1936" s="20"/>
      <c r="FF1936" s="20"/>
      <c r="FG1936" s="20"/>
      <c r="FH1936" s="20"/>
      <c r="FI1936" s="20"/>
      <c r="FJ1936" s="20"/>
      <c r="FK1936" s="20"/>
      <c r="FL1936" s="20"/>
      <c r="FM1936" s="20"/>
      <c r="FN1936" s="20"/>
      <c r="FO1936" s="20"/>
      <c r="FP1936" s="20"/>
      <c r="FQ1936" s="20"/>
      <c r="FR1936" s="20"/>
      <c r="FS1936" s="20"/>
      <c r="FT1936" s="20"/>
      <c r="FU1936" s="20"/>
      <c r="FV1936" s="20"/>
      <c r="FW1936" s="20"/>
      <c r="FX1936" s="20"/>
      <c r="FY1936" s="20"/>
      <c r="FZ1936" s="20"/>
      <c r="GA1936" s="20"/>
      <c r="GB1936" s="20"/>
      <c r="GC1936" s="20"/>
      <c r="GD1936" s="20"/>
      <c r="GE1936" s="20"/>
      <c r="GF1936" s="20"/>
      <c r="GG1936" s="20"/>
      <c r="GH1936" s="20"/>
      <c r="GI1936" s="20"/>
      <c r="GJ1936" s="20"/>
      <c r="GK1936" s="20"/>
      <c r="GL1936" s="20"/>
      <c r="GM1936" s="20"/>
      <c r="GN1936" s="20"/>
      <c r="GO1936" s="20"/>
      <c r="GP1936" s="20"/>
      <c r="GQ1936" s="20"/>
      <c r="GR1936" s="20"/>
      <c r="GS1936" s="20"/>
      <c r="GT1936" s="20"/>
      <c r="GU1936" s="20"/>
      <c r="GV1936" s="20"/>
      <c r="GW1936" s="20"/>
      <c r="GX1936" s="20"/>
      <c r="GY1936" s="20"/>
      <c r="GZ1936" s="20"/>
      <c r="HA1936" s="20"/>
      <c r="HB1936" s="20"/>
      <c r="HC1936" s="20"/>
      <c r="HD1936" s="20"/>
      <c r="HE1936" s="20"/>
      <c r="HF1936" s="20"/>
      <c r="HG1936" s="20"/>
      <c r="HH1936" s="20"/>
      <c r="HI1936" s="20"/>
      <c r="HJ1936" s="20"/>
      <c r="HK1936" s="20"/>
      <c r="HL1936" s="20"/>
      <c r="HM1936" s="20"/>
      <c r="HN1936" s="20"/>
      <c r="HO1936" s="20"/>
      <c r="HP1936" s="20"/>
      <c r="HQ1936" s="20"/>
      <c r="HR1936" s="20"/>
      <c r="HS1936" s="20"/>
      <c r="HT1936" s="20"/>
      <c r="HU1936" s="20"/>
      <c r="HV1936" s="20"/>
      <c r="HW1936" s="20"/>
      <c r="HX1936" s="20"/>
      <c r="HY1936" s="20"/>
      <c r="HZ1936" s="20"/>
      <c r="IA1936" s="20"/>
      <c r="IB1936" s="20"/>
      <c r="IC1936" s="20"/>
      <c r="ID1936" s="20"/>
      <c r="IE1936" s="20"/>
      <c r="IF1936" s="20"/>
      <c r="IG1936" s="20"/>
      <c r="IH1936" s="20"/>
      <c r="II1936" s="20"/>
      <c r="IJ1936" s="20"/>
      <c r="IK1936" s="20"/>
      <c r="IL1936" s="20"/>
      <c r="IM1936" s="20"/>
      <c r="IN1936" s="20"/>
      <c r="IO1936" s="20"/>
    </row>
    <row r="1937" spans="1:249" s="22" customFormat="1" ht="82.5">
      <c r="A1937" s="794"/>
      <c r="B1937" s="840"/>
      <c r="C1937" s="841">
        <v>4</v>
      </c>
      <c r="D1937" s="841" t="s">
        <v>34</v>
      </c>
      <c r="E1937" s="841" t="s">
        <v>25</v>
      </c>
      <c r="F1937" s="841">
        <v>16</v>
      </c>
      <c r="G1937" s="841">
        <v>25</v>
      </c>
      <c r="H1937" s="841"/>
      <c r="I1937" s="6" t="s">
        <v>1841</v>
      </c>
      <c r="J1937" s="6" t="s">
        <v>3343</v>
      </c>
      <c r="K1937" s="1902">
        <v>36</v>
      </c>
      <c r="L1937" s="1908">
        <f>3*P1937</f>
        <v>204900000</v>
      </c>
      <c r="M1937" s="1903">
        <v>0</v>
      </c>
      <c r="N1937" s="1905">
        <v>0</v>
      </c>
      <c r="O1937" s="1902">
        <v>12</v>
      </c>
      <c r="P1937" s="1905">
        <v>68300000</v>
      </c>
      <c r="Q1937" s="1903">
        <v>1</v>
      </c>
      <c r="R1937" s="1904">
        <v>27580850</v>
      </c>
      <c r="S1937" s="795">
        <v>1</v>
      </c>
      <c r="T1937" s="207">
        <v>1099400</v>
      </c>
      <c r="U1937" s="795"/>
      <c r="V1937" s="1906"/>
      <c r="W1937" s="795"/>
      <c r="X1937" s="1906"/>
      <c r="Y1937" s="1903">
        <f t="shared" si="560"/>
        <v>2</v>
      </c>
      <c r="Z1937" s="1906">
        <f t="shared" si="560"/>
        <v>28680250</v>
      </c>
      <c r="AA1937" s="1903">
        <f t="shared" si="561"/>
        <v>2</v>
      </c>
      <c r="AB1937" s="1906">
        <f t="shared" si="558"/>
        <v>28680250</v>
      </c>
      <c r="AC1937" s="1907">
        <f t="shared" si="559"/>
        <v>5.5555555555555554</v>
      </c>
      <c r="AD1937" s="1907">
        <f t="shared" si="562"/>
        <v>13.997193753050269</v>
      </c>
      <c r="AE1937" s="102" t="s">
        <v>1983</v>
      </c>
      <c r="AF1937" s="201"/>
      <c r="AG1937" s="201"/>
      <c r="AH1937" s="201"/>
      <c r="AI1937" s="201"/>
      <c r="AJ1937" s="201"/>
      <c r="AK1937" s="201"/>
      <c r="AL1937" s="201"/>
      <c r="AM1937" s="201"/>
      <c r="AN1937" s="201"/>
      <c r="AO1937" s="201"/>
      <c r="AP1937" s="201"/>
      <c r="AQ1937" s="201"/>
      <c r="AR1937" s="201"/>
      <c r="AS1937" s="201"/>
      <c r="AT1937" s="201"/>
      <c r="AU1937" s="201"/>
      <c r="AV1937" s="201"/>
      <c r="AW1937" s="201"/>
      <c r="AX1937" s="201"/>
      <c r="AY1937" s="201"/>
      <c r="AZ1937" s="201"/>
      <c r="BA1937" s="201"/>
      <c r="BB1937" s="201"/>
      <c r="BC1937" s="20"/>
      <c r="BD1937" s="20"/>
      <c r="BE1937" s="20"/>
      <c r="BF1937" s="20"/>
      <c r="BG1937" s="20"/>
      <c r="BH1937" s="20"/>
      <c r="BI1937" s="20"/>
      <c r="BJ1937" s="20"/>
      <c r="BK1937" s="20"/>
      <c r="BL1937" s="20"/>
      <c r="BM1937" s="20"/>
      <c r="BN1937" s="20"/>
      <c r="BO1937" s="20"/>
      <c r="BP1937" s="20"/>
      <c r="BQ1937" s="20"/>
      <c r="BR1937" s="20"/>
      <c r="BS1937" s="20"/>
      <c r="BT1937" s="20"/>
      <c r="BU1937" s="20"/>
      <c r="BV1937" s="20"/>
      <c r="BW1937" s="20"/>
      <c r="BX1937" s="20"/>
      <c r="BY1937" s="20"/>
      <c r="BZ1937" s="20"/>
      <c r="CA1937" s="20"/>
      <c r="CB1937" s="20"/>
      <c r="CC1937" s="20"/>
      <c r="CD1937" s="20"/>
      <c r="CE1937" s="20"/>
      <c r="CF1937" s="20"/>
      <c r="CG1937" s="20"/>
      <c r="CH1937" s="20"/>
      <c r="CI1937" s="20"/>
      <c r="CJ1937" s="20"/>
      <c r="CK1937" s="20"/>
      <c r="CL1937" s="20"/>
      <c r="CM1937" s="20"/>
      <c r="CN1937" s="20"/>
      <c r="CO1937" s="20"/>
      <c r="CP1937" s="20"/>
      <c r="CQ1937" s="20"/>
      <c r="CR1937" s="20"/>
      <c r="CS1937" s="20"/>
      <c r="CT1937" s="20"/>
      <c r="CU1937" s="20"/>
      <c r="CV1937" s="20"/>
      <c r="CW1937" s="20"/>
      <c r="CX1937" s="20"/>
      <c r="CY1937" s="20"/>
      <c r="CZ1937" s="20"/>
      <c r="DA1937" s="20"/>
      <c r="DB1937" s="20"/>
      <c r="DC1937" s="20"/>
      <c r="DD1937" s="20"/>
      <c r="DE1937" s="20"/>
      <c r="DF1937" s="20"/>
      <c r="DG1937" s="20"/>
      <c r="DH1937" s="20"/>
      <c r="DI1937" s="20"/>
      <c r="DJ1937" s="20"/>
      <c r="DK1937" s="20"/>
      <c r="DL1937" s="20"/>
      <c r="DM1937" s="20"/>
      <c r="DN1937" s="20"/>
      <c r="DO1937" s="20"/>
      <c r="DP1937" s="20"/>
      <c r="DQ1937" s="20"/>
      <c r="DR1937" s="20"/>
      <c r="DS1937" s="20"/>
      <c r="DT1937" s="20"/>
      <c r="DU1937" s="20"/>
      <c r="DV1937" s="20"/>
      <c r="DW1937" s="20"/>
      <c r="DX1937" s="20"/>
      <c r="DY1937" s="20"/>
      <c r="DZ1937" s="20"/>
      <c r="EA1937" s="20"/>
      <c r="EB1937" s="20"/>
      <c r="EC1937" s="20"/>
      <c r="ED1937" s="20"/>
      <c r="EE1937" s="20"/>
      <c r="EF1937" s="20"/>
      <c r="EG1937" s="20"/>
      <c r="EH1937" s="20"/>
      <c r="EI1937" s="20"/>
      <c r="EJ1937" s="20"/>
      <c r="EK1937" s="20"/>
      <c r="EL1937" s="20"/>
      <c r="EM1937" s="20"/>
      <c r="EN1937" s="20"/>
      <c r="EO1937" s="20"/>
      <c r="EP1937" s="20"/>
      <c r="EQ1937" s="20"/>
      <c r="ER1937" s="20"/>
      <c r="ES1937" s="20"/>
      <c r="ET1937" s="20"/>
      <c r="EU1937" s="20"/>
      <c r="EV1937" s="20"/>
      <c r="EW1937" s="20"/>
      <c r="EX1937" s="20"/>
      <c r="EY1937" s="20"/>
      <c r="EZ1937" s="20"/>
      <c r="FA1937" s="20"/>
      <c r="FB1937" s="20"/>
      <c r="FC1937" s="20"/>
      <c r="FD1937" s="20"/>
      <c r="FE1937" s="20"/>
      <c r="FF1937" s="20"/>
      <c r="FG1937" s="20"/>
      <c r="FH1937" s="20"/>
      <c r="FI1937" s="20"/>
      <c r="FJ1937" s="20"/>
      <c r="FK1937" s="20"/>
      <c r="FL1937" s="20"/>
      <c r="FM1937" s="20"/>
      <c r="FN1937" s="20"/>
      <c r="FO1937" s="20"/>
      <c r="FP1937" s="20"/>
      <c r="FQ1937" s="20"/>
      <c r="FR1937" s="20"/>
      <c r="FS1937" s="20"/>
      <c r="FT1937" s="20"/>
      <c r="FU1937" s="20"/>
      <c r="FV1937" s="20"/>
      <c r="FW1937" s="20"/>
      <c r="FX1937" s="20"/>
      <c r="FY1937" s="20"/>
      <c r="FZ1937" s="20"/>
      <c r="GA1937" s="20"/>
      <c r="GB1937" s="20"/>
      <c r="GC1937" s="20"/>
      <c r="GD1937" s="20"/>
      <c r="GE1937" s="20"/>
      <c r="GF1937" s="20"/>
      <c r="GG1937" s="20"/>
      <c r="GH1937" s="20"/>
      <c r="GI1937" s="20"/>
      <c r="GJ1937" s="20"/>
      <c r="GK1937" s="20"/>
      <c r="GL1937" s="20"/>
      <c r="GM1937" s="20"/>
      <c r="GN1937" s="20"/>
      <c r="GO1937" s="20"/>
      <c r="GP1937" s="20"/>
      <c r="GQ1937" s="20"/>
      <c r="GR1937" s="20"/>
      <c r="GS1937" s="20"/>
      <c r="GT1937" s="20"/>
      <c r="GU1937" s="20"/>
      <c r="GV1937" s="20"/>
      <c r="GW1937" s="20"/>
      <c r="GX1937" s="20"/>
      <c r="GY1937" s="20"/>
      <c r="GZ1937" s="20"/>
      <c r="HA1937" s="20"/>
      <c r="HB1937" s="20"/>
      <c r="HC1937" s="20"/>
      <c r="HD1937" s="20"/>
      <c r="HE1937" s="20"/>
      <c r="HF1937" s="20"/>
      <c r="HG1937" s="20"/>
      <c r="HH1937" s="20"/>
      <c r="HI1937" s="20"/>
      <c r="HJ1937" s="20"/>
      <c r="HK1937" s="20"/>
      <c r="HL1937" s="20"/>
      <c r="HM1937" s="20"/>
      <c r="HN1937" s="20"/>
      <c r="HO1937" s="20"/>
      <c r="HP1937" s="20"/>
      <c r="HQ1937" s="20"/>
      <c r="HR1937" s="20"/>
      <c r="HS1937" s="20"/>
      <c r="HT1937" s="20"/>
      <c r="HU1937" s="20"/>
      <c r="HV1937" s="20"/>
      <c r="HW1937" s="20"/>
      <c r="HX1937" s="20"/>
      <c r="HY1937" s="20"/>
      <c r="HZ1937" s="20"/>
      <c r="IA1937" s="20"/>
      <c r="IB1937" s="20"/>
      <c r="IC1937" s="20"/>
      <c r="ID1937" s="20"/>
      <c r="IE1937" s="20"/>
      <c r="IF1937" s="20"/>
      <c r="IG1937" s="20"/>
      <c r="IH1937" s="20"/>
      <c r="II1937" s="20"/>
      <c r="IJ1937" s="20"/>
      <c r="IK1937" s="20"/>
      <c r="IL1937" s="20"/>
      <c r="IM1937" s="20"/>
      <c r="IN1937" s="20"/>
      <c r="IO1937" s="20"/>
    </row>
    <row r="1938" spans="1:249" s="22" customFormat="1" ht="82.5">
      <c r="A1938" s="1322">
        <v>8</v>
      </c>
      <c r="B1938" s="1339"/>
      <c r="C1938" s="1340">
        <v>4</v>
      </c>
      <c r="D1938" s="1340" t="s">
        <v>34</v>
      </c>
      <c r="E1938" s="1340" t="s">
        <v>25</v>
      </c>
      <c r="F1938" s="1340">
        <v>17</v>
      </c>
      <c r="G1938" s="1340"/>
      <c r="H1938" s="1340"/>
      <c r="I1938" s="1339" t="s">
        <v>1842</v>
      </c>
      <c r="J1938" s="44" t="s">
        <v>3344</v>
      </c>
      <c r="K1938" s="1923">
        <v>100</v>
      </c>
      <c r="L1938" s="1924">
        <f>+L1939+L1942+L1941+L1940</f>
        <v>2948513258</v>
      </c>
      <c r="M1938" s="149">
        <v>95</v>
      </c>
      <c r="N1938" s="1924">
        <f>+N1939+N1942+N1941+N1940</f>
        <v>1173923184</v>
      </c>
      <c r="O1938" s="1925">
        <v>5</v>
      </c>
      <c r="P1938" s="1924">
        <f>+P1939+P1942+P1941+P1940</f>
        <v>296347500</v>
      </c>
      <c r="Q1938" s="1926">
        <v>0</v>
      </c>
      <c r="R1938" s="1924">
        <f t="shared" ref="R1938:X1938" si="563">SUM(R1939:R1942)</f>
        <v>12109400</v>
      </c>
      <c r="S1938" s="1924">
        <v>1</v>
      </c>
      <c r="T1938" s="1924">
        <v>42439750</v>
      </c>
      <c r="U1938" s="1924">
        <f t="shared" si="563"/>
        <v>0</v>
      </c>
      <c r="V1938" s="1924">
        <f t="shared" si="563"/>
        <v>0</v>
      </c>
      <c r="W1938" s="1924">
        <f t="shared" si="563"/>
        <v>0</v>
      </c>
      <c r="X1938" s="1924">
        <f t="shared" si="563"/>
        <v>0</v>
      </c>
      <c r="Y1938" s="149">
        <f>Q1938+S1938+U1938</f>
        <v>1</v>
      </c>
      <c r="Z1938" s="1901">
        <f t="shared" ref="Z1938:Z1966" si="564">R1938+T1938+V1938+X1938</f>
        <v>54549150</v>
      </c>
      <c r="AA1938" s="149">
        <f t="shared" si="561"/>
        <v>96</v>
      </c>
      <c r="AB1938" s="1901">
        <f t="shared" si="558"/>
        <v>1228472334</v>
      </c>
      <c r="AC1938" s="1927">
        <f t="shared" si="559"/>
        <v>96</v>
      </c>
      <c r="AD1938" s="821">
        <f t="shared" si="562"/>
        <v>41.664127867387734</v>
      </c>
      <c r="AE1938" s="2558" t="s">
        <v>2252</v>
      </c>
      <c r="AF1938" s="201"/>
      <c r="AG1938" s="201"/>
      <c r="AH1938" s="201"/>
      <c r="AI1938" s="201"/>
      <c r="AJ1938" s="201"/>
      <c r="AK1938" s="201"/>
      <c r="AL1938" s="201"/>
      <c r="AM1938" s="201"/>
      <c r="AN1938" s="201"/>
      <c r="AO1938" s="201"/>
      <c r="AP1938" s="201"/>
      <c r="AQ1938" s="201"/>
      <c r="AR1938" s="201"/>
      <c r="AS1938" s="201"/>
      <c r="AT1938" s="201"/>
      <c r="AU1938" s="201"/>
      <c r="AV1938" s="201"/>
      <c r="AW1938" s="201"/>
      <c r="AX1938" s="201"/>
      <c r="AY1938" s="201"/>
      <c r="AZ1938" s="201"/>
      <c r="BA1938" s="201"/>
      <c r="BB1938" s="201"/>
      <c r="BC1938" s="20"/>
      <c r="BD1938" s="20"/>
      <c r="BE1938" s="20"/>
      <c r="BF1938" s="20"/>
      <c r="BG1938" s="20"/>
      <c r="BH1938" s="20"/>
      <c r="BI1938" s="20"/>
      <c r="BJ1938" s="20"/>
      <c r="BK1938" s="20"/>
      <c r="BL1938" s="20"/>
      <c r="BM1938" s="20"/>
      <c r="BN1938" s="20"/>
      <c r="BO1938" s="20"/>
      <c r="BP1938" s="20"/>
      <c r="BQ1938" s="20"/>
      <c r="BR1938" s="20"/>
      <c r="BS1938" s="20"/>
      <c r="BT1938" s="20"/>
      <c r="BU1938" s="20"/>
      <c r="BV1938" s="20"/>
      <c r="BW1938" s="20"/>
      <c r="BX1938" s="20"/>
      <c r="BY1938" s="20"/>
      <c r="BZ1938" s="20"/>
      <c r="CA1938" s="20"/>
      <c r="CB1938" s="20"/>
      <c r="CC1938" s="20"/>
      <c r="CD1938" s="20"/>
      <c r="CE1938" s="20"/>
      <c r="CF1938" s="20"/>
      <c r="CG1938" s="20"/>
      <c r="CH1938" s="20"/>
      <c r="CI1938" s="20"/>
      <c r="CJ1938" s="20"/>
      <c r="CK1938" s="20"/>
      <c r="CL1938" s="20"/>
      <c r="CM1938" s="20"/>
      <c r="CN1938" s="20"/>
      <c r="CO1938" s="20"/>
      <c r="CP1938" s="20"/>
      <c r="CQ1938" s="20"/>
      <c r="CR1938" s="20"/>
      <c r="CS1938" s="20"/>
      <c r="CT1938" s="20"/>
      <c r="CU1938" s="20"/>
      <c r="CV1938" s="20"/>
      <c r="CW1938" s="20"/>
      <c r="CX1938" s="20"/>
      <c r="CY1938" s="20"/>
      <c r="CZ1938" s="20"/>
      <c r="DA1938" s="20"/>
      <c r="DB1938" s="20"/>
      <c r="DC1938" s="20"/>
      <c r="DD1938" s="20"/>
      <c r="DE1938" s="20"/>
      <c r="DF1938" s="20"/>
      <c r="DG1938" s="20"/>
      <c r="DH1938" s="20"/>
      <c r="DI1938" s="20"/>
      <c r="DJ1938" s="20"/>
      <c r="DK1938" s="20"/>
      <c r="DL1938" s="20"/>
      <c r="DM1938" s="20"/>
      <c r="DN1938" s="20"/>
      <c r="DO1938" s="20"/>
      <c r="DP1938" s="20"/>
      <c r="DQ1938" s="20"/>
      <c r="DR1938" s="20"/>
      <c r="DS1938" s="20"/>
      <c r="DT1938" s="20"/>
      <c r="DU1938" s="20"/>
      <c r="DV1938" s="20"/>
      <c r="DW1938" s="20"/>
      <c r="DX1938" s="20"/>
      <c r="DY1938" s="20"/>
      <c r="DZ1938" s="20"/>
      <c r="EA1938" s="20"/>
      <c r="EB1938" s="20"/>
      <c r="EC1938" s="20"/>
      <c r="ED1938" s="20"/>
      <c r="EE1938" s="20"/>
      <c r="EF1938" s="20"/>
      <c r="EG1938" s="20"/>
      <c r="EH1938" s="20"/>
      <c r="EI1938" s="20"/>
      <c r="EJ1938" s="20"/>
      <c r="EK1938" s="20"/>
      <c r="EL1938" s="20"/>
      <c r="EM1938" s="20"/>
      <c r="EN1938" s="20"/>
      <c r="EO1938" s="20"/>
      <c r="EP1938" s="20"/>
      <c r="EQ1938" s="20"/>
      <c r="ER1938" s="20"/>
      <c r="ES1938" s="20"/>
      <c r="ET1938" s="20"/>
      <c r="EU1938" s="20"/>
      <c r="EV1938" s="20"/>
      <c r="EW1938" s="20"/>
      <c r="EX1938" s="20"/>
      <c r="EY1938" s="20"/>
      <c r="EZ1938" s="20"/>
      <c r="FA1938" s="20"/>
      <c r="FB1938" s="20"/>
      <c r="FC1938" s="20"/>
      <c r="FD1938" s="20"/>
      <c r="FE1938" s="20"/>
      <c r="FF1938" s="20"/>
      <c r="FG1938" s="20"/>
      <c r="FH1938" s="20"/>
      <c r="FI1938" s="20"/>
      <c r="FJ1938" s="20"/>
      <c r="FK1938" s="20"/>
      <c r="FL1938" s="20"/>
      <c r="FM1938" s="20"/>
      <c r="FN1938" s="20"/>
      <c r="FO1938" s="20"/>
      <c r="FP1938" s="20"/>
      <c r="FQ1938" s="20"/>
      <c r="FR1938" s="20"/>
      <c r="FS1938" s="20"/>
      <c r="FT1938" s="20"/>
      <c r="FU1938" s="20"/>
      <c r="FV1938" s="20"/>
      <c r="FW1938" s="20"/>
      <c r="FX1938" s="20"/>
      <c r="FY1938" s="20"/>
      <c r="FZ1938" s="20"/>
      <c r="GA1938" s="20"/>
      <c r="GB1938" s="20"/>
      <c r="GC1938" s="20"/>
      <c r="GD1938" s="20"/>
      <c r="GE1938" s="20"/>
      <c r="GF1938" s="20"/>
      <c r="GG1938" s="20"/>
      <c r="GH1938" s="20"/>
      <c r="GI1938" s="20"/>
      <c r="GJ1938" s="20"/>
      <c r="GK1938" s="20"/>
      <c r="GL1938" s="20"/>
      <c r="GM1938" s="20"/>
      <c r="GN1938" s="20"/>
      <c r="GO1938" s="20"/>
      <c r="GP1938" s="20"/>
      <c r="GQ1938" s="20"/>
      <c r="GR1938" s="20"/>
      <c r="GS1938" s="20"/>
      <c r="GT1938" s="20"/>
      <c r="GU1938" s="20"/>
      <c r="GV1938" s="20"/>
      <c r="GW1938" s="20"/>
      <c r="GX1938" s="20"/>
      <c r="GY1938" s="20"/>
      <c r="GZ1938" s="20"/>
      <c r="HA1938" s="20"/>
      <c r="HB1938" s="20"/>
      <c r="HC1938" s="20"/>
      <c r="HD1938" s="20"/>
      <c r="HE1938" s="20"/>
      <c r="HF1938" s="20"/>
      <c r="HG1938" s="20"/>
      <c r="HH1938" s="20"/>
      <c r="HI1938" s="20"/>
      <c r="HJ1938" s="20"/>
      <c r="HK1938" s="20"/>
      <c r="HL1938" s="20"/>
      <c r="HM1938" s="20"/>
      <c r="HN1938" s="20"/>
      <c r="HO1938" s="20"/>
      <c r="HP1938" s="20"/>
      <c r="HQ1938" s="20"/>
      <c r="HR1938" s="20"/>
      <c r="HS1938" s="20"/>
      <c r="HT1938" s="20"/>
      <c r="HU1938" s="20"/>
      <c r="HV1938" s="20"/>
      <c r="HW1938" s="20"/>
      <c r="HX1938" s="20"/>
      <c r="HY1938" s="20"/>
      <c r="HZ1938" s="20"/>
      <c r="IA1938" s="20"/>
      <c r="IB1938" s="20"/>
      <c r="IC1938" s="20"/>
      <c r="ID1938" s="20"/>
      <c r="IE1938" s="20"/>
      <c r="IF1938" s="20"/>
      <c r="IG1938" s="20"/>
      <c r="IH1938" s="20"/>
      <c r="II1938" s="20"/>
      <c r="IJ1938" s="20"/>
      <c r="IK1938" s="20"/>
      <c r="IL1938" s="20"/>
      <c r="IM1938" s="20"/>
      <c r="IN1938" s="20"/>
      <c r="IO1938" s="20"/>
    </row>
    <row r="1939" spans="1:249" s="22" customFormat="1" ht="66">
      <c r="A1939" s="794"/>
      <c r="B1939" s="840"/>
      <c r="C1939" s="841">
        <v>4</v>
      </c>
      <c r="D1939" s="841" t="s">
        <v>34</v>
      </c>
      <c r="E1939" s="841" t="s">
        <v>25</v>
      </c>
      <c r="F1939" s="841" t="s">
        <v>74</v>
      </c>
      <c r="G1939" s="841" t="s">
        <v>56</v>
      </c>
      <c r="H1939" s="841"/>
      <c r="I1939" s="407" t="s">
        <v>1843</v>
      </c>
      <c r="J1939" s="6" t="s">
        <v>3345</v>
      </c>
      <c r="K1939" s="1902">
        <v>6</v>
      </c>
      <c r="L1939" s="1908">
        <f>N1939</f>
        <v>238513258</v>
      </c>
      <c r="M1939" s="1903">
        <v>6</v>
      </c>
      <c r="N1939" s="1904">
        <f>90725000+97740850+50047408</f>
        <v>238513258</v>
      </c>
      <c r="O1939" s="1902">
        <v>0</v>
      </c>
      <c r="P1939" s="1905">
        <v>0</v>
      </c>
      <c r="Q1939" s="1903">
        <v>0</v>
      </c>
      <c r="R1939" s="1904">
        <v>0</v>
      </c>
      <c r="S1939" s="795"/>
      <c r="T1939" s="207"/>
      <c r="U1939" s="795"/>
      <c r="V1939" s="1906"/>
      <c r="W1939" s="795"/>
      <c r="X1939" s="1906"/>
      <c r="Y1939" s="1903">
        <f t="shared" ref="Y1939:Y1945" si="565">Q1939+S1939+U1939+W1939</f>
        <v>0</v>
      </c>
      <c r="Z1939" s="1906">
        <f t="shared" si="564"/>
        <v>0</v>
      </c>
      <c r="AA1939" s="1903">
        <f t="shared" si="561"/>
        <v>6</v>
      </c>
      <c r="AB1939" s="1906">
        <f t="shared" si="558"/>
        <v>238513258</v>
      </c>
      <c r="AC1939" s="1907">
        <f t="shared" si="559"/>
        <v>100</v>
      </c>
      <c r="AD1939" s="1907">
        <f t="shared" si="562"/>
        <v>100</v>
      </c>
      <c r="AE1939" s="102" t="s">
        <v>1983</v>
      </c>
      <c r="AF1939" s="201"/>
      <c r="AG1939" s="201"/>
      <c r="AH1939" s="201"/>
      <c r="AI1939" s="201"/>
      <c r="AJ1939" s="201"/>
      <c r="AK1939" s="201"/>
      <c r="AL1939" s="201"/>
      <c r="AM1939" s="201"/>
      <c r="AN1939" s="201"/>
      <c r="AO1939" s="201"/>
      <c r="AP1939" s="201"/>
      <c r="AQ1939" s="201"/>
      <c r="AR1939" s="201"/>
      <c r="AS1939" s="201"/>
      <c r="AT1939" s="201"/>
      <c r="AU1939" s="201"/>
      <c r="AV1939" s="201"/>
      <c r="AW1939" s="201"/>
      <c r="AX1939" s="201"/>
      <c r="AY1939" s="201"/>
      <c r="AZ1939" s="201"/>
      <c r="BA1939" s="201"/>
      <c r="BB1939" s="201"/>
      <c r="BC1939" s="20"/>
      <c r="BD1939" s="20"/>
      <c r="BE1939" s="20"/>
      <c r="BF1939" s="20"/>
      <c r="BG1939" s="20"/>
      <c r="BH1939" s="20"/>
      <c r="BI1939" s="20"/>
      <c r="BJ1939" s="20"/>
      <c r="BK1939" s="20"/>
      <c r="BL1939" s="20"/>
      <c r="BM1939" s="20"/>
      <c r="BN1939" s="20"/>
      <c r="BO1939" s="20"/>
      <c r="BP1939" s="20"/>
      <c r="BQ1939" s="20"/>
      <c r="BR1939" s="20"/>
      <c r="BS1939" s="20"/>
      <c r="BT1939" s="20"/>
      <c r="BU1939" s="20"/>
      <c r="BV1939" s="20"/>
      <c r="BW1939" s="20"/>
      <c r="BX1939" s="20"/>
      <c r="BY1939" s="20"/>
      <c r="BZ1939" s="20"/>
      <c r="CA1939" s="20"/>
      <c r="CB1939" s="20"/>
      <c r="CC1939" s="20"/>
      <c r="CD1939" s="20"/>
      <c r="CE1939" s="20"/>
      <c r="CF1939" s="20"/>
      <c r="CG1939" s="20"/>
      <c r="CH1939" s="20"/>
      <c r="CI1939" s="20"/>
      <c r="CJ1939" s="20"/>
      <c r="CK1939" s="20"/>
      <c r="CL1939" s="20"/>
      <c r="CM1939" s="20"/>
      <c r="CN1939" s="20"/>
      <c r="CO1939" s="20"/>
      <c r="CP1939" s="20"/>
      <c r="CQ1939" s="20"/>
      <c r="CR1939" s="20"/>
      <c r="CS1939" s="20"/>
      <c r="CT1939" s="20"/>
      <c r="CU1939" s="20"/>
      <c r="CV1939" s="20"/>
      <c r="CW1939" s="20"/>
      <c r="CX1939" s="20"/>
      <c r="CY1939" s="20"/>
      <c r="CZ1939" s="20"/>
      <c r="DA1939" s="20"/>
      <c r="DB1939" s="20"/>
      <c r="DC1939" s="20"/>
      <c r="DD1939" s="20"/>
      <c r="DE1939" s="20"/>
      <c r="DF1939" s="20"/>
      <c r="DG1939" s="20"/>
      <c r="DH1939" s="20"/>
      <c r="DI1939" s="20"/>
      <c r="DJ1939" s="20"/>
      <c r="DK1939" s="20"/>
      <c r="DL1939" s="20"/>
      <c r="DM1939" s="20"/>
      <c r="DN1939" s="20"/>
      <c r="DO1939" s="20"/>
      <c r="DP1939" s="20"/>
      <c r="DQ1939" s="20"/>
      <c r="DR1939" s="20"/>
      <c r="DS1939" s="20"/>
      <c r="DT1939" s="20"/>
      <c r="DU1939" s="20"/>
      <c r="DV1939" s="20"/>
      <c r="DW1939" s="20"/>
      <c r="DX1939" s="20"/>
      <c r="DY1939" s="20"/>
      <c r="DZ1939" s="20"/>
      <c r="EA1939" s="20"/>
      <c r="EB1939" s="20"/>
      <c r="EC1939" s="20"/>
      <c r="ED1939" s="20"/>
      <c r="EE1939" s="20"/>
      <c r="EF1939" s="20"/>
      <c r="EG1939" s="20"/>
      <c r="EH1939" s="20"/>
      <c r="EI1939" s="20"/>
      <c r="EJ1939" s="20"/>
      <c r="EK1939" s="20"/>
      <c r="EL1939" s="20"/>
      <c r="EM1939" s="20"/>
      <c r="EN1939" s="20"/>
      <c r="EO1939" s="20"/>
      <c r="EP1939" s="20"/>
      <c r="EQ1939" s="20"/>
      <c r="ER1939" s="20"/>
      <c r="ES1939" s="20"/>
      <c r="ET1939" s="20"/>
      <c r="EU1939" s="20"/>
      <c r="EV1939" s="20"/>
      <c r="EW1939" s="20"/>
      <c r="EX1939" s="20"/>
      <c r="EY1939" s="20"/>
      <c r="EZ1939" s="20"/>
      <c r="FA1939" s="20"/>
      <c r="FB1939" s="20"/>
      <c r="FC1939" s="20"/>
      <c r="FD1939" s="20"/>
      <c r="FE1939" s="20"/>
      <c r="FF1939" s="20"/>
      <c r="FG1939" s="20"/>
      <c r="FH1939" s="20"/>
      <c r="FI1939" s="20"/>
      <c r="FJ1939" s="20"/>
      <c r="FK1939" s="20"/>
      <c r="FL1939" s="20"/>
      <c r="FM1939" s="20"/>
      <c r="FN1939" s="20"/>
      <c r="FO1939" s="20"/>
      <c r="FP1939" s="20"/>
      <c r="FQ1939" s="20"/>
      <c r="FR1939" s="20"/>
      <c r="FS1939" s="20"/>
      <c r="FT1939" s="20"/>
      <c r="FU1939" s="20"/>
      <c r="FV1939" s="20"/>
      <c r="FW1939" s="20"/>
      <c r="FX1939" s="20"/>
      <c r="FY1939" s="20"/>
      <c r="FZ1939" s="20"/>
      <c r="GA1939" s="20"/>
      <c r="GB1939" s="20"/>
      <c r="GC1939" s="20"/>
      <c r="GD1939" s="20"/>
      <c r="GE1939" s="20"/>
      <c r="GF1939" s="20"/>
      <c r="GG1939" s="20"/>
      <c r="GH1939" s="20"/>
      <c r="GI1939" s="20"/>
      <c r="GJ1939" s="20"/>
      <c r="GK1939" s="20"/>
      <c r="GL1939" s="20"/>
      <c r="GM1939" s="20"/>
      <c r="GN1939" s="20"/>
      <c r="GO1939" s="20"/>
      <c r="GP1939" s="20"/>
      <c r="GQ1939" s="20"/>
      <c r="GR1939" s="20"/>
      <c r="GS1939" s="20"/>
      <c r="GT1939" s="20"/>
      <c r="GU1939" s="20"/>
      <c r="GV1939" s="20"/>
      <c r="GW1939" s="20"/>
      <c r="GX1939" s="20"/>
      <c r="GY1939" s="20"/>
      <c r="GZ1939" s="20"/>
      <c r="HA1939" s="20"/>
      <c r="HB1939" s="20"/>
      <c r="HC1939" s="20"/>
      <c r="HD1939" s="20"/>
      <c r="HE1939" s="20"/>
      <c r="HF1939" s="20"/>
      <c r="HG1939" s="20"/>
      <c r="HH1939" s="20"/>
      <c r="HI1939" s="20"/>
      <c r="HJ1939" s="20"/>
      <c r="HK1939" s="20"/>
      <c r="HL1939" s="20"/>
      <c r="HM1939" s="20"/>
      <c r="HN1939" s="20"/>
      <c r="HO1939" s="20"/>
      <c r="HP1939" s="20"/>
      <c r="HQ1939" s="20"/>
      <c r="HR1939" s="20"/>
      <c r="HS1939" s="20"/>
      <c r="HT1939" s="20"/>
      <c r="HU1939" s="20"/>
      <c r="HV1939" s="20"/>
      <c r="HW1939" s="20"/>
      <c r="HX1939" s="20"/>
      <c r="HY1939" s="20"/>
      <c r="HZ1939" s="20"/>
      <c r="IA1939" s="20"/>
      <c r="IB1939" s="20"/>
      <c r="IC1939" s="20"/>
      <c r="ID1939" s="20"/>
      <c r="IE1939" s="20"/>
      <c r="IF1939" s="20"/>
      <c r="IG1939" s="20"/>
      <c r="IH1939" s="20"/>
      <c r="II1939" s="20"/>
      <c r="IJ1939" s="20"/>
      <c r="IK1939" s="20"/>
      <c r="IL1939" s="20"/>
      <c r="IM1939" s="20"/>
      <c r="IN1939" s="20"/>
      <c r="IO1939" s="20"/>
    </row>
    <row r="1940" spans="1:249" s="22" customFormat="1" ht="99">
      <c r="A1940" s="794"/>
      <c r="B1940" s="840"/>
      <c r="C1940" s="841">
        <v>4</v>
      </c>
      <c r="D1940" s="841" t="s">
        <v>34</v>
      </c>
      <c r="E1940" s="841" t="s">
        <v>25</v>
      </c>
      <c r="F1940" s="841" t="s">
        <v>74</v>
      </c>
      <c r="G1940" s="841" t="s">
        <v>29</v>
      </c>
      <c r="H1940" s="841"/>
      <c r="I1940" s="407" t="s">
        <v>1844</v>
      </c>
      <c r="J1940" s="6" t="s">
        <v>1845</v>
      </c>
      <c r="K1940" s="1902">
        <f>22*6</f>
        <v>132</v>
      </c>
      <c r="L1940" s="1908">
        <v>1480000000</v>
      </c>
      <c r="M1940" s="1903">
        <v>66</v>
      </c>
      <c r="N1940" s="1904">
        <f>172872400+136969100+187954458</f>
        <v>497795958</v>
      </c>
      <c r="O1940" s="1902">
        <v>22</v>
      </c>
      <c r="P1940" s="1905">
        <v>159270000</v>
      </c>
      <c r="Q1940" s="1903">
        <v>1</v>
      </c>
      <c r="R1940" s="1904">
        <v>6488200</v>
      </c>
      <c r="S1940" s="795"/>
      <c r="T1940" s="207">
        <v>36665600</v>
      </c>
      <c r="U1940" s="795"/>
      <c r="V1940" s="1906"/>
      <c r="W1940" s="795"/>
      <c r="X1940" s="1906"/>
      <c r="Y1940" s="1903">
        <f t="shared" si="565"/>
        <v>1</v>
      </c>
      <c r="Z1940" s="1906">
        <f t="shared" si="564"/>
        <v>43153800</v>
      </c>
      <c r="AA1940" s="1903">
        <f t="shared" si="561"/>
        <v>67</v>
      </c>
      <c r="AB1940" s="1906">
        <f t="shared" si="558"/>
        <v>540949758</v>
      </c>
      <c r="AC1940" s="1907">
        <f t="shared" si="559"/>
        <v>50.757575757575758</v>
      </c>
      <c r="AD1940" s="1907">
        <f t="shared" si="562"/>
        <v>36.550659324324322</v>
      </c>
      <c r="AE1940" s="102" t="s">
        <v>1983</v>
      </c>
      <c r="AF1940" s="201"/>
      <c r="AG1940" s="201"/>
      <c r="AH1940" s="201"/>
      <c r="AI1940" s="201"/>
      <c r="AJ1940" s="201"/>
      <c r="AK1940" s="201"/>
      <c r="AL1940" s="201"/>
      <c r="AM1940" s="201"/>
      <c r="AN1940" s="201"/>
      <c r="AO1940" s="201"/>
      <c r="AP1940" s="201"/>
      <c r="AQ1940" s="201"/>
      <c r="AR1940" s="201"/>
      <c r="AS1940" s="201"/>
      <c r="AT1940" s="201"/>
      <c r="AU1940" s="201"/>
      <c r="AV1940" s="201"/>
      <c r="AW1940" s="201"/>
      <c r="AX1940" s="201"/>
      <c r="AY1940" s="201"/>
      <c r="AZ1940" s="201"/>
      <c r="BA1940" s="201"/>
      <c r="BB1940" s="201"/>
      <c r="BC1940" s="20"/>
      <c r="BD1940" s="20"/>
      <c r="BE1940" s="20"/>
      <c r="BF1940" s="20"/>
      <c r="BG1940" s="20"/>
      <c r="BH1940" s="20"/>
      <c r="BI1940" s="20"/>
      <c r="BJ1940" s="20"/>
      <c r="BK1940" s="20"/>
      <c r="BL1940" s="20"/>
      <c r="BM1940" s="20"/>
      <c r="BN1940" s="20"/>
      <c r="BO1940" s="20"/>
      <c r="BP1940" s="20"/>
      <c r="BQ1940" s="20"/>
      <c r="BR1940" s="20"/>
      <c r="BS1940" s="20"/>
      <c r="BT1940" s="20"/>
      <c r="BU1940" s="20"/>
      <c r="BV1940" s="20"/>
      <c r="BW1940" s="20"/>
      <c r="BX1940" s="20"/>
      <c r="BY1940" s="20"/>
      <c r="BZ1940" s="20"/>
      <c r="CA1940" s="20"/>
      <c r="CB1940" s="20"/>
      <c r="CC1940" s="20"/>
      <c r="CD1940" s="20"/>
      <c r="CE1940" s="20"/>
      <c r="CF1940" s="20"/>
      <c r="CG1940" s="20"/>
      <c r="CH1940" s="20"/>
      <c r="CI1940" s="20"/>
      <c r="CJ1940" s="20"/>
      <c r="CK1940" s="20"/>
      <c r="CL1940" s="20"/>
      <c r="CM1940" s="20"/>
      <c r="CN1940" s="20"/>
      <c r="CO1940" s="20"/>
      <c r="CP1940" s="20"/>
      <c r="CQ1940" s="20"/>
      <c r="CR1940" s="20"/>
      <c r="CS1940" s="20"/>
      <c r="CT1940" s="20"/>
      <c r="CU1940" s="20"/>
      <c r="CV1940" s="20"/>
      <c r="CW1940" s="20"/>
      <c r="CX1940" s="20"/>
      <c r="CY1940" s="20"/>
      <c r="CZ1940" s="20"/>
      <c r="DA1940" s="20"/>
      <c r="DB1940" s="20"/>
      <c r="DC1940" s="20"/>
      <c r="DD1940" s="20"/>
      <c r="DE1940" s="20"/>
      <c r="DF1940" s="20"/>
      <c r="DG1940" s="20"/>
      <c r="DH1940" s="20"/>
      <c r="DI1940" s="20"/>
      <c r="DJ1940" s="20"/>
      <c r="DK1940" s="20"/>
      <c r="DL1940" s="20"/>
      <c r="DM1940" s="20"/>
      <c r="DN1940" s="20"/>
      <c r="DO1940" s="20"/>
      <c r="DP1940" s="20"/>
      <c r="DQ1940" s="20"/>
      <c r="DR1940" s="20"/>
      <c r="DS1940" s="20"/>
      <c r="DT1940" s="20"/>
      <c r="DU1940" s="20"/>
      <c r="DV1940" s="20"/>
      <c r="DW1940" s="20"/>
      <c r="DX1940" s="20"/>
      <c r="DY1940" s="20"/>
      <c r="DZ1940" s="20"/>
      <c r="EA1940" s="20"/>
      <c r="EB1940" s="20"/>
      <c r="EC1940" s="20"/>
      <c r="ED1940" s="20"/>
      <c r="EE1940" s="20"/>
      <c r="EF1940" s="20"/>
      <c r="EG1940" s="20"/>
      <c r="EH1940" s="20"/>
      <c r="EI1940" s="20"/>
      <c r="EJ1940" s="20"/>
      <c r="EK1940" s="20"/>
      <c r="EL1940" s="20"/>
      <c r="EM1940" s="20"/>
      <c r="EN1940" s="20"/>
      <c r="EO1940" s="20"/>
      <c r="EP1940" s="20"/>
      <c r="EQ1940" s="20"/>
      <c r="ER1940" s="20"/>
      <c r="ES1940" s="20"/>
      <c r="ET1940" s="20"/>
      <c r="EU1940" s="20"/>
      <c r="EV1940" s="20"/>
      <c r="EW1940" s="20"/>
      <c r="EX1940" s="20"/>
      <c r="EY1940" s="20"/>
      <c r="EZ1940" s="20"/>
      <c r="FA1940" s="20"/>
      <c r="FB1940" s="20"/>
      <c r="FC1940" s="20"/>
      <c r="FD1940" s="20"/>
      <c r="FE1940" s="20"/>
      <c r="FF1940" s="20"/>
      <c r="FG1940" s="20"/>
      <c r="FH1940" s="20"/>
      <c r="FI1940" s="20"/>
      <c r="FJ1940" s="20"/>
      <c r="FK1940" s="20"/>
      <c r="FL1940" s="20"/>
      <c r="FM1940" s="20"/>
      <c r="FN1940" s="20"/>
      <c r="FO1940" s="20"/>
      <c r="FP1940" s="20"/>
      <c r="FQ1940" s="20"/>
      <c r="FR1940" s="20"/>
      <c r="FS1940" s="20"/>
      <c r="FT1940" s="20"/>
      <c r="FU1940" s="20"/>
      <c r="FV1940" s="20"/>
      <c r="FW1940" s="20"/>
      <c r="FX1940" s="20"/>
      <c r="FY1940" s="20"/>
      <c r="FZ1940" s="20"/>
      <c r="GA1940" s="20"/>
      <c r="GB1940" s="20"/>
      <c r="GC1940" s="20"/>
      <c r="GD1940" s="20"/>
      <c r="GE1940" s="20"/>
      <c r="GF1940" s="20"/>
      <c r="GG1940" s="20"/>
      <c r="GH1940" s="20"/>
      <c r="GI1940" s="20"/>
      <c r="GJ1940" s="20"/>
      <c r="GK1940" s="20"/>
      <c r="GL1940" s="20"/>
      <c r="GM1940" s="20"/>
      <c r="GN1940" s="20"/>
      <c r="GO1940" s="20"/>
      <c r="GP1940" s="20"/>
      <c r="GQ1940" s="20"/>
      <c r="GR1940" s="20"/>
      <c r="GS1940" s="20"/>
      <c r="GT1940" s="20"/>
      <c r="GU1940" s="20"/>
      <c r="GV1940" s="20"/>
      <c r="GW1940" s="20"/>
      <c r="GX1940" s="20"/>
      <c r="GY1940" s="20"/>
      <c r="GZ1940" s="20"/>
      <c r="HA1940" s="20"/>
      <c r="HB1940" s="20"/>
      <c r="HC1940" s="20"/>
      <c r="HD1940" s="20"/>
      <c r="HE1940" s="20"/>
      <c r="HF1940" s="20"/>
      <c r="HG1940" s="20"/>
      <c r="HH1940" s="20"/>
      <c r="HI1940" s="20"/>
      <c r="HJ1940" s="20"/>
      <c r="HK1940" s="20"/>
      <c r="HL1940" s="20"/>
      <c r="HM1940" s="20"/>
      <c r="HN1940" s="20"/>
      <c r="HO1940" s="20"/>
      <c r="HP1940" s="20"/>
      <c r="HQ1940" s="20"/>
      <c r="HR1940" s="20"/>
      <c r="HS1940" s="20"/>
      <c r="HT1940" s="20"/>
      <c r="HU1940" s="20"/>
      <c r="HV1940" s="20"/>
      <c r="HW1940" s="20"/>
      <c r="HX1940" s="20"/>
      <c r="HY1940" s="20"/>
      <c r="HZ1940" s="20"/>
      <c r="IA1940" s="20"/>
      <c r="IB1940" s="20"/>
      <c r="IC1940" s="20"/>
      <c r="ID1940" s="20"/>
      <c r="IE1940" s="20"/>
      <c r="IF1940" s="20"/>
      <c r="IG1940" s="20"/>
      <c r="IH1940" s="20"/>
      <c r="II1940" s="20"/>
      <c r="IJ1940" s="20"/>
      <c r="IK1940" s="20"/>
      <c r="IL1940" s="20"/>
      <c r="IM1940" s="20"/>
      <c r="IN1940" s="20"/>
      <c r="IO1940" s="20"/>
    </row>
    <row r="1941" spans="1:249" s="22" customFormat="1" ht="66">
      <c r="A1941" s="794"/>
      <c r="B1941" s="840"/>
      <c r="C1941" s="841">
        <v>4</v>
      </c>
      <c r="D1941" s="841" t="s">
        <v>34</v>
      </c>
      <c r="E1941" s="841" t="s">
        <v>25</v>
      </c>
      <c r="F1941" s="841" t="s">
        <v>74</v>
      </c>
      <c r="G1941" s="841">
        <v>10</v>
      </c>
      <c r="H1941" s="841"/>
      <c r="I1941" s="407" t="s">
        <v>1846</v>
      </c>
      <c r="J1941" s="6" t="s">
        <v>3346</v>
      </c>
      <c r="K1941" s="1902">
        <v>20</v>
      </c>
      <c r="L1941" s="1908">
        <v>250000000</v>
      </c>
      <c r="M1941" s="1903">
        <v>8</v>
      </c>
      <c r="N1941" s="1904">
        <f>35104079+17491413</f>
        <v>52595492</v>
      </c>
      <c r="O1941" s="1902">
        <v>4</v>
      </c>
      <c r="P1941" s="1905">
        <v>26925000</v>
      </c>
      <c r="Q1941" s="1903">
        <v>1</v>
      </c>
      <c r="R1941" s="1904">
        <v>2689700</v>
      </c>
      <c r="S1941" s="795"/>
      <c r="T1941" s="207">
        <v>7123850</v>
      </c>
      <c r="U1941" s="795"/>
      <c r="V1941" s="1906"/>
      <c r="W1941" s="795"/>
      <c r="X1941" s="1906"/>
      <c r="Y1941" s="1903">
        <f t="shared" si="565"/>
        <v>1</v>
      </c>
      <c r="Z1941" s="1906">
        <f t="shared" si="564"/>
        <v>9813550</v>
      </c>
      <c r="AA1941" s="1903">
        <f t="shared" si="561"/>
        <v>9</v>
      </c>
      <c r="AB1941" s="1906">
        <f t="shared" si="558"/>
        <v>62409042</v>
      </c>
      <c r="AC1941" s="1907">
        <f t="shared" si="559"/>
        <v>45</v>
      </c>
      <c r="AD1941" s="1907">
        <f t="shared" si="562"/>
        <v>24.9636168</v>
      </c>
      <c r="AE1941" s="102" t="s">
        <v>1984</v>
      </c>
      <c r="AF1941" s="201"/>
      <c r="AG1941" s="201"/>
      <c r="AH1941" s="201"/>
      <c r="AI1941" s="201"/>
      <c r="AJ1941" s="201"/>
      <c r="AK1941" s="201"/>
      <c r="AL1941" s="201"/>
      <c r="AM1941" s="201"/>
      <c r="AN1941" s="201"/>
      <c r="AO1941" s="201"/>
      <c r="AP1941" s="201"/>
      <c r="AQ1941" s="201"/>
      <c r="AR1941" s="201"/>
      <c r="AS1941" s="201"/>
      <c r="AT1941" s="201"/>
      <c r="AU1941" s="201"/>
      <c r="AV1941" s="201"/>
      <c r="AW1941" s="201"/>
      <c r="AX1941" s="201"/>
      <c r="AY1941" s="201"/>
      <c r="AZ1941" s="201"/>
      <c r="BA1941" s="201"/>
      <c r="BB1941" s="201"/>
      <c r="BC1941" s="20"/>
      <c r="BD1941" s="20"/>
      <c r="BE1941" s="20"/>
      <c r="BF1941" s="20"/>
      <c r="BG1941" s="20"/>
      <c r="BH1941" s="20"/>
      <c r="BI1941" s="20"/>
      <c r="BJ1941" s="20"/>
      <c r="BK1941" s="20"/>
      <c r="BL1941" s="20"/>
      <c r="BM1941" s="20"/>
      <c r="BN1941" s="20"/>
      <c r="BO1941" s="20"/>
      <c r="BP1941" s="20"/>
      <c r="BQ1941" s="20"/>
      <c r="BR1941" s="20"/>
      <c r="BS1941" s="20"/>
      <c r="BT1941" s="20"/>
      <c r="BU1941" s="20"/>
      <c r="BV1941" s="20"/>
      <c r="BW1941" s="20"/>
      <c r="BX1941" s="20"/>
      <c r="BY1941" s="20"/>
      <c r="BZ1941" s="20"/>
      <c r="CA1941" s="20"/>
      <c r="CB1941" s="20"/>
      <c r="CC1941" s="20"/>
      <c r="CD1941" s="20"/>
      <c r="CE1941" s="20"/>
      <c r="CF1941" s="20"/>
      <c r="CG1941" s="20"/>
      <c r="CH1941" s="20"/>
      <c r="CI1941" s="20"/>
      <c r="CJ1941" s="20"/>
      <c r="CK1941" s="20"/>
      <c r="CL1941" s="20"/>
      <c r="CM1941" s="20"/>
      <c r="CN1941" s="20"/>
      <c r="CO1941" s="20"/>
      <c r="CP1941" s="20"/>
      <c r="CQ1941" s="20"/>
      <c r="CR1941" s="20"/>
      <c r="CS1941" s="20"/>
      <c r="CT1941" s="20"/>
      <c r="CU1941" s="20"/>
      <c r="CV1941" s="20"/>
      <c r="CW1941" s="20"/>
      <c r="CX1941" s="20"/>
      <c r="CY1941" s="20"/>
      <c r="CZ1941" s="20"/>
      <c r="DA1941" s="20"/>
      <c r="DB1941" s="20"/>
      <c r="DC1941" s="20"/>
      <c r="DD1941" s="20"/>
      <c r="DE1941" s="20"/>
      <c r="DF1941" s="20"/>
      <c r="DG1941" s="20"/>
      <c r="DH1941" s="20"/>
      <c r="DI1941" s="20"/>
      <c r="DJ1941" s="20"/>
      <c r="DK1941" s="20"/>
      <c r="DL1941" s="20"/>
      <c r="DM1941" s="20"/>
      <c r="DN1941" s="20"/>
      <c r="DO1941" s="20"/>
      <c r="DP1941" s="20"/>
      <c r="DQ1941" s="20"/>
      <c r="DR1941" s="20"/>
      <c r="DS1941" s="20"/>
      <c r="DT1941" s="20"/>
      <c r="DU1941" s="20"/>
      <c r="DV1941" s="20"/>
      <c r="DW1941" s="20"/>
      <c r="DX1941" s="20"/>
      <c r="DY1941" s="20"/>
      <c r="DZ1941" s="20"/>
      <c r="EA1941" s="20"/>
      <c r="EB1941" s="20"/>
      <c r="EC1941" s="20"/>
      <c r="ED1941" s="20"/>
      <c r="EE1941" s="20"/>
      <c r="EF1941" s="20"/>
      <c r="EG1941" s="20"/>
      <c r="EH1941" s="20"/>
      <c r="EI1941" s="20"/>
      <c r="EJ1941" s="20"/>
      <c r="EK1941" s="20"/>
      <c r="EL1941" s="20"/>
      <c r="EM1941" s="20"/>
      <c r="EN1941" s="20"/>
      <c r="EO1941" s="20"/>
      <c r="EP1941" s="20"/>
      <c r="EQ1941" s="20"/>
      <c r="ER1941" s="20"/>
      <c r="ES1941" s="20"/>
      <c r="ET1941" s="20"/>
      <c r="EU1941" s="20"/>
      <c r="EV1941" s="20"/>
      <c r="EW1941" s="20"/>
      <c r="EX1941" s="20"/>
      <c r="EY1941" s="20"/>
      <c r="EZ1941" s="20"/>
      <c r="FA1941" s="20"/>
      <c r="FB1941" s="20"/>
      <c r="FC1941" s="20"/>
      <c r="FD1941" s="20"/>
      <c r="FE1941" s="20"/>
      <c r="FF1941" s="20"/>
      <c r="FG1941" s="20"/>
      <c r="FH1941" s="20"/>
      <c r="FI1941" s="20"/>
      <c r="FJ1941" s="20"/>
      <c r="FK1941" s="20"/>
      <c r="FL1941" s="20"/>
      <c r="FM1941" s="20"/>
      <c r="FN1941" s="20"/>
      <c r="FO1941" s="20"/>
      <c r="FP1941" s="20"/>
      <c r="FQ1941" s="20"/>
      <c r="FR1941" s="20"/>
      <c r="FS1941" s="20"/>
      <c r="FT1941" s="20"/>
      <c r="FU1941" s="20"/>
      <c r="FV1941" s="20"/>
      <c r="FW1941" s="20"/>
      <c r="FX1941" s="20"/>
      <c r="FY1941" s="20"/>
      <c r="FZ1941" s="20"/>
      <c r="GA1941" s="20"/>
      <c r="GB1941" s="20"/>
      <c r="GC1941" s="20"/>
      <c r="GD1941" s="20"/>
      <c r="GE1941" s="20"/>
      <c r="GF1941" s="20"/>
      <c r="GG1941" s="20"/>
      <c r="GH1941" s="20"/>
      <c r="GI1941" s="20"/>
      <c r="GJ1941" s="20"/>
      <c r="GK1941" s="20"/>
      <c r="GL1941" s="20"/>
      <c r="GM1941" s="20"/>
      <c r="GN1941" s="20"/>
      <c r="GO1941" s="20"/>
      <c r="GP1941" s="20"/>
      <c r="GQ1941" s="20"/>
      <c r="GR1941" s="20"/>
      <c r="GS1941" s="20"/>
      <c r="GT1941" s="20"/>
      <c r="GU1941" s="20"/>
      <c r="GV1941" s="20"/>
      <c r="GW1941" s="20"/>
      <c r="GX1941" s="20"/>
      <c r="GY1941" s="20"/>
      <c r="GZ1941" s="20"/>
      <c r="HA1941" s="20"/>
      <c r="HB1941" s="20"/>
      <c r="HC1941" s="20"/>
      <c r="HD1941" s="20"/>
      <c r="HE1941" s="20"/>
      <c r="HF1941" s="20"/>
      <c r="HG1941" s="20"/>
      <c r="HH1941" s="20"/>
      <c r="HI1941" s="20"/>
      <c r="HJ1941" s="20"/>
      <c r="HK1941" s="20"/>
      <c r="HL1941" s="20"/>
      <c r="HM1941" s="20"/>
      <c r="HN1941" s="20"/>
      <c r="HO1941" s="20"/>
      <c r="HP1941" s="20"/>
      <c r="HQ1941" s="20"/>
      <c r="HR1941" s="20"/>
      <c r="HS1941" s="20"/>
      <c r="HT1941" s="20"/>
      <c r="HU1941" s="20"/>
      <c r="HV1941" s="20"/>
      <c r="HW1941" s="20"/>
      <c r="HX1941" s="20"/>
      <c r="HY1941" s="20"/>
      <c r="HZ1941" s="20"/>
      <c r="IA1941" s="20"/>
      <c r="IB1941" s="20"/>
      <c r="IC1941" s="20"/>
      <c r="ID1941" s="20"/>
      <c r="IE1941" s="20"/>
      <c r="IF1941" s="20"/>
      <c r="IG1941" s="20"/>
      <c r="IH1941" s="20"/>
      <c r="II1941" s="20"/>
      <c r="IJ1941" s="20"/>
      <c r="IK1941" s="20"/>
      <c r="IL1941" s="20"/>
      <c r="IM1941" s="20"/>
      <c r="IN1941" s="20"/>
      <c r="IO1941" s="20"/>
    </row>
    <row r="1942" spans="1:249" s="22" customFormat="1" ht="49.5">
      <c r="A1942" s="794"/>
      <c r="B1942" s="840"/>
      <c r="C1942" s="841">
        <v>4</v>
      </c>
      <c r="D1942" s="841" t="s">
        <v>34</v>
      </c>
      <c r="E1942" s="841" t="s">
        <v>25</v>
      </c>
      <c r="F1942" s="841" t="s">
        <v>74</v>
      </c>
      <c r="G1942" s="841">
        <v>12</v>
      </c>
      <c r="H1942" s="841"/>
      <c r="I1942" s="407" t="s">
        <v>1847</v>
      </c>
      <c r="J1942" s="6" t="s">
        <v>3347</v>
      </c>
      <c r="K1942" s="1902">
        <v>6</v>
      </c>
      <c r="L1942" s="1908">
        <v>980000000</v>
      </c>
      <c r="M1942" s="1903">
        <v>3</v>
      </c>
      <c r="N1942" s="1904">
        <f>196946680+188071796</f>
        <v>385018476</v>
      </c>
      <c r="O1942" s="1902">
        <v>1</v>
      </c>
      <c r="P1942" s="1904">
        <v>110152500</v>
      </c>
      <c r="Q1942" s="1903">
        <v>0</v>
      </c>
      <c r="R1942" s="1904">
        <v>2931500</v>
      </c>
      <c r="S1942" s="795">
        <v>1</v>
      </c>
      <c r="T1942" s="207">
        <v>50626650</v>
      </c>
      <c r="U1942" s="795"/>
      <c r="V1942" s="1906"/>
      <c r="W1942" s="795"/>
      <c r="X1942" s="1906"/>
      <c r="Y1942" s="1903">
        <f t="shared" si="565"/>
        <v>1</v>
      </c>
      <c r="Z1942" s="1906">
        <f t="shared" si="564"/>
        <v>53558150</v>
      </c>
      <c r="AA1942" s="1903">
        <f t="shared" si="561"/>
        <v>4</v>
      </c>
      <c r="AB1942" s="1906">
        <f t="shared" si="558"/>
        <v>438576626</v>
      </c>
      <c r="AC1942" s="1907">
        <f t="shared" si="559"/>
        <v>66.666666666666657</v>
      </c>
      <c r="AD1942" s="1907">
        <f t="shared" si="562"/>
        <v>44.752716938775514</v>
      </c>
      <c r="AE1942" s="102" t="s">
        <v>1985</v>
      </c>
      <c r="AF1942" s="201"/>
      <c r="AG1942" s="201"/>
      <c r="AH1942" s="201"/>
      <c r="AI1942" s="201"/>
      <c r="AJ1942" s="201"/>
      <c r="AK1942" s="201"/>
      <c r="AL1942" s="201"/>
      <c r="AM1942" s="201"/>
      <c r="AN1942" s="201"/>
      <c r="AO1942" s="201"/>
      <c r="AP1942" s="201"/>
      <c r="AQ1942" s="201"/>
      <c r="AR1942" s="201"/>
      <c r="AS1942" s="201"/>
      <c r="AT1942" s="201"/>
      <c r="AU1942" s="201"/>
      <c r="AV1942" s="201"/>
      <c r="AW1942" s="201"/>
      <c r="AX1942" s="201"/>
      <c r="AY1942" s="201"/>
      <c r="AZ1942" s="201"/>
      <c r="BA1942" s="201"/>
      <c r="BB1942" s="201"/>
      <c r="BC1942" s="20"/>
      <c r="BD1942" s="20"/>
      <c r="BE1942" s="20"/>
      <c r="BF1942" s="20"/>
      <c r="BG1942" s="20"/>
      <c r="BH1942" s="20"/>
      <c r="BI1942" s="20"/>
      <c r="BJ1942" s="20"/>
      <c r="BK1942" s="20"/>
      <c r="BL1942" s="20"/>
      <c r="BM1942" s="20"/>
      <c r="BN1942" s="20"/>
      <c r="BO1942" s="20"/>
      <c r="BP1942" s="20"/>
      <c r="BQ1942" s="20"/>
      <c r="BR1942" s="20"/>
      <c r="BS1942" s="20"/>
      <c r="BT1942" s="20"/>
      <c r="BU1942" s="20"/>
      <c r="BV1942" s="20"/>
      <c r="BW1942" s="20"/>
      <c r="BX1942" s="20"/>
      <c r="BY1942" s="20"/>
      <c r="BZ1942" s="20"/>
      <c r="CA1942" s="20"/>
      <c r="CB1942" s="20"/>
      <c r="CC1942" s="20"/>
      <c r="CD1942" s="20"/>
      <c r="CE1942" s="20"/>
      <c r="CF1942" s="20"/>
      <c r="CG1942" s="20"/>
      <c r="CH1942" s="20"/>
      <c r="CI1942" s="20"/>
      <c r="CJ1942" s="20"/>
      <c r="CK1942" s="20"/>
      <c r="CL1942" s="20"/>
      <c r="CM1942" s="20"/>
      <c r="CN1942" s="20"/>
      <c r="CO1942" s="20"/>
      <c r="CP1942" s="20"/>
      <c r="CQ1942" s="20"/>
      <c r="CR1942" s="20"/>
      <c r="CS1942" s="20"/>
      <c r="CT1942" s="20"/>
      <c r="CU1942" s="20"/>
      <c r="CV1942" s="20"/>
      <c r="CW1942" s="20"/>
      <c r="CX1942" s="20"/>
      <c r="CY1942" s="20"/>
      <c r="CZ1942" s="20"/>
      <c r="DA1942" s="20"/>
      <c r="DB1942" s="20"/>
      <c r="DC1942" s="20"/>
      <c r="DD1942" s="20"/>
      <c r="DE1942" s="20"/>
      <c r="DF1942" s="20"/>
      <c r="DG1942" s="20"/>
      <c r="DH1942" s="20"/>
      <c r="DI1942" s="20"/>
      <c r="DJ1942" s="20"/>
      <c r="DK1942" s="20"/>
      <c r="DL1942" s="20"/>
      <c r="DM1942" s="20"/>
      <c r="DN1942" s="20"/>
      <c r="DO1942" s="20"/>
      <c r="DP1942" s="20"/>
      <c r="DQ1942" s="20"/>
      <c r="DR1942" s="20"/>
      <c r="DS1942" s="20"/>
      <c r="DT1942" s="20"/>
      <c r="DU1942" s="20"/>
      <c r="DV1942" s="20"/>
      <c r="DW1942" s="20"/>
      <c r="DX1942" s="20"/>
      <c r="DY1942" s="20"/>
      <c r="DZ1942" s="20"/>
      <c r="EA1942" s="20"/>
      <c r="EB1942" s="20"/>
      <c r="EC1942" s="20"/>
      <c r="ED1942" s="20"/>
      <c r="EE1942" s="20"/>
      <c r="EF1942" s="20"/>
      <c r="EG1942" s="20"/>
      <c r="EH1942" s="20"/>
      <c r="EI1942" s="20"/>
      <c r="EJ1942" s="20"/>
      <c r="EK1942" s="20"/>
      <c r="EL1942" s="20"/>
      <c r="EM1942" s="20"/>
      <c r="EN1942" s="20"/>
      <c r="EO1942" s="20"/>
      <c r="EP1942" s="20"/>
      <c r="EQ1942" s="20"/>
      <c r="ER1942" s="20"/>
      <c r="ES1942" s="20"/>
      <c r="ET1942" s="20"/>
      <c r="EU1942" s="20"/>
      <c r="EV1942" s="20"/>
      <c r="EW1942" s="20"/>
      <c r="EX1942" s="20"/>
      <c r="EY1942" s="20"/>
      <c r="EZ1942" s="20"/>
      <c r="FA1942" s="20"/>
      <c r="FB1942" s="20"/>
      <c r="FC1942" s="20"/>
      <c r="FD1942" s="20"/>
      <c r="FE1942" s="20"/>
      <c r="FF1942" s="20"/>
      <c r="FG1942" s="20"/>
      <c r="FH1942" s="20"/>
      <c r="FI1942" s="20"/>
      <c r="FJ1942" s="20"/>
      <c r="FK1942" s="20"/>
      <c r="FL1942" s="20"/>
      <c r="FM1942" s="20"/>
      <c r="FN1942" s="20"/>
      <c r="FO1942" s="20"/>
      <c r="FP1942" s="20"/>
      <c r="FQ1942" s="20"/>
      <c r="FR1942" s="20"/>
      <c r="FS1942" s="20"/>
      <c r="FT1942" s="20"/>
      <c r="FU1942" s="20"/>
      <c r="FV1942" s="20"/>
      <c r="FW1942" s="20"/>
      <c r="FX1942" s="20"/>
      <c r="FY1942" s="20"/>
      <c r="FZ1942" s="20"/>
      <c r="GA1942" s="20"/>
      <c r="GB1942" s="20"/>
      <c r="GC1942" s="20"/>
      <c r="GD1942" s="20"/>
      <c r="GE1942" s="20"/>
      <c r="GF1942" s="20"/>
      <c r="GG1942" s="20"/>
      <c r="GH1942" s="20"/>
      <c r="GI1942" s="20"/>
      <c r="GJ1942" s="20"/>
      <c r="GK1942" s="20"/>
      <c r="GL1942" s="20"/>
      <c r="GM1942" s="20"/>
      <c r="GN1942" s="20"/>
      <c r="GO1942" s="20"/>
      <c r="GP1942" s="20"/>
      <c r="GQ1942" s="20"/>
      <c r="GR1942" s="20"/>
      <c r="GS1942" s="20"/>
      <c r="GT1942" s="20"/>
      <c r="GU1942" s="20"/>
      <c r="GV1942" s="20"/>
      <c r="GW1942" s="20"/>
      <c r="GX1942" s="20"/>
      <c r="GY1942" s="20"/>
      <c r="GZ1942" s="20"/>
      <c r="HA1942" s="20"/>
      <c r="HB1942" s="20"/>
      <c r="HC1942" s="20"/>
      <c r="HD1942" s="20"/>
      <c r="HE1942" s="20"/>
      <c r="HF1942" s="20"/>
      <c r="HG1942" s="20"/>
      <c r="HH1942" s="20"/>
      <c r="HI1942" s="20"/>
      <c r="HJ1942" s="20"/>
      <c r="HK1942" s="20"/>
      <c r="HL1942" s="20"/>
      <c r="HM1942" s="20"/>
      <c r="HN1942" s="20"/>
      <c r="HO1942" s="20"/>
      <c r="HP1942" s="20"/>
      <c r="HQ1942" s="20"/>
      <c r="HR1942" s="20"/>
      <c r="HS1942" s="20"/>
      <c r="HT1942" s="20"/>
      <c r="HU1942" s="20"/>
      <c r="HV1942" s="20"/>
      <c r="HW1942" s="20"/>
      <c r="HX1942" s="20"/>
      <c r="HY1942" s="20"/>
      <c r="HZ1942" s="20"/>
      <c r="IA1942" s="20"/>
      <c r="IB1942" s="20"/>
      <c r="IC1942" s="20"/>
      <c r="ID1942" s="20"/>
      <c r="IE1942" s="20"/>
      <c r="IF1942" s="20"/>
      <c r="IG1942" s="20"/>
      <c r="IH1942" s="20"/>
      <c r="II1942" s="20"/>
      <c r="IJ1942" s="20"/>
      <c r="IK1942" s="20"/>
      <c r="IL1942" s="20"/>
      <c r="IM1942" s="20"/>
      <c r="IN1942" s="20"/>
      <c r="IO1942" s="20"/>
    </row>
    <row r="1943" spans="1:249" s="16" customFormat="1" ht="66">
      <c r="A1943" s="2554">
        <v>9</v>
      </c>
      <c r="B1943" s="44"/>
      <c r="C1943" s="753">
        <v>4</v>
      </c>
      <c r="D1943" s="753" t="s">
        <v>34</v>
      </c>
      <c r="E1943" s="753" t="s">
        <v>25</v>
      </c>
      <c r="F1943" s="753">
        <v>19</v>
      </c>
      <c r="G1943" s="753"/>
      <c r="H1943" s="594"/>
      <c r="I1943" s="44" t="s">
        <v>1848</v>
      </c>
      <c r="J1943" s="46" t="s">
        <v>3348</v>
      </c>
      <c r="K1943" s="149">
        <v>28</v>
      </c>
      <c r="L1943" s="1770">
        <f>L1944</f>
        <v>817465434</v>
      </c>
      <c r="M1943" s="149">
        <v>11</v>
      </c>
      <c r="N1943" s="1901">
        <f>N1944</f>
        <v>272488478</v>
      </c>
      <c r="O1943" s="149">
        <v>4</v>
      </c>
      <c r="P1943" s="1899">
        <f>P1944</f>
        <v>110000000</v>
      </c>
      <c r="Q1943" s="149">
        <f t="shared" ref="Q1943:X1943" si="566">Q1944</f>
        <v>1</v>
      </c>
      <c r="R1943" s="1899">
        <f t="shared" si="566"/>
        <v>3158850</v>
      </c>
      <c r="S1943" s="1899">
        <f t="shared" si="566"/>
        <v>1</v>
      </c>
      <c r="T1943" s="1899">
        <f t="shared" si="566"/>
        <v>26656700</v>
      </c>
      <c r="U1943" s="1899">
        <f t="shared" si="566"/>
        <v>0</v>
      </c>
      <c r="V1943" s="1899">
        <f t="shared" si="566"/>
        <v>0</v>
      </c>
      <c r="W1943" s="1899">
        <f t="shared" si="566"/>
        <v>0</v>
      </c>
      <c r="X1943" s="1899">
        <f t="shared" si="566"/>
        <v>0</v>
      </c>
      <c r="Y1943" s="149">
        <f t="shared" si="565"/>
        <v>2</v>
      </c>
      <c r="Z1943" s="1901">
        <f t="shared" si="564"/>
        <v>29815550</v>
      </c>
      <c r="AA1943" s="149">
        <f t="shared" si="561"/>
        <v>13</v>
      </c>
      <c r="AB1943" s="1901">
        <f t="shared" si="558"/>
        <v>302304028</v>
      </c>
      <c r="AC1943" s="821">
        <f t="shared" si="559"/>
        <v>46.428571428571431</v>
      </c>
      <c r="AD1943" s="821">
        <f t="shared" si="562"/>
        <v>36.980649630746342</v>
      </c>
      <c r="AE1943" s="2558" t="s">
        <v>2252</v>
      </c>
      <c r="AF1943" s="201"/>
      <c r="AG1943" s="201"/>
      <c r="AH1943" s="201"/>
      <c r="AI1943" s="201"/>
      <c r="AJ1943" s="201"/>
      <c r="AK1943" s="201"/>
      <c r="AL1943" s="201"/>
      <c r="AM1943" s="201"/>
      <c r="AN1943" s="201"/>
      <c r="AO1943" s="201"/>
      <c r="AP1943" s="201"/>
      <c r="AQ1943" s="201"/>
      <c r="AR1943" s="201"/>
      <c r="AS1943" s="201"/>
      <c r="AT1943" s="201"/>
      <c r="AU1943" s="201"/>
      <c r="AV1943" s="201"/>
      <c r="AW1943" s="201"/>
      <c r="AX1943" s="201"/>
      <c r="AY1943" s="201"/>
      <c r="AZ1943" s="201"/>
      <c r="BA1943" s="201"/>
      <c r="BB1943" s="201"/>
      <c r="BC1943" s="20"/>
      <c r="BD1943" s="20"/>
      <c r="BE1943" s="20"/>
      <c r="BF1943" s="20"/>
      <c r="BG1943" s="20"/>
      <c r="BH1943" s="20"/>
      <c r="BI1943" s="20"/>
      <c r="BJ1943" s="20"/>
      <c r="BK1943" s="20"/>
      <c r="BL1943" s="20"/>
      <c r="BM1943" s="20"/>
      <c r="BN1943" s="20"/>
      <c r="BO1943" s="20"/>
      <c r="BP1943" s="20"/>
      <c r="BQ1943" s="20"/>
      <c r="BR1943" s="20"/>
      <c r="BS1943" s="20"/>
      <c r="BT1943" s="20"/>
      <c r="BU1943" s="20"/>
      <c r="BV1943" s="20"/>
      <c r="BW1943" s="20"/>
      <c r="BX1943" s="20"/>
      <c r="BY1943" s="20"/>
      <c r="BZ1943" s="20"/>
      <c r="CA1943" s="20"/>
      <c r="CB1943" s="20"/>
      <c r="CC1943" s="20"/>
      <c r="CD1943" s="20"/>
      <c r="CE1943" s="20"/>
      <c r="CF1943" s="20"/>
      <c r="CG1943" s="20"/>
      <c r="CH1943" s="20"/>
      <c r="CI1943" s="20"/>
      <c r="CJ1943" s="20"/>
      <c r="CK1943" s="20"/>
      <c r="CL1943" s="20"/>
      <c r="CM1943" s="20"/>
      <c r="CN1943" s="20"/>
      <c r="CO1943" s="20"/>
      <c r="CP1943" s="20"/>
      <c r="CQ1943" s="20"/>
      <c r="CR1943" s="20"/>
      <c r="CS1943" s="20"/>
      <c r="CT1943" s="20"/>
      <c r="CU1943" s="20"/>
      <c r="CV1943" s="20"/>
      <c r="CW1943" s="20"/>
      <c r="CX1943" s="20"/>
      <c r="CY1943" s="20"/>
      <c r="CZ1943" s="20"/>
      <c r="DA1943" s="20"/>
      <c r="DB1943" s="20"/>
      <c r="DC1943" s="20"/>
      <c r="DD1943" s="20"/>
      <c r="DE1943" s="20"/>
      <c r="DF1943" s="20"/>
      <c r="DG1943" s="20"/>
      <c r="DH1943" s="20"/>
      <c r="DI1943" s="20"/>
      <c r="DJ1943" s="20"/>
      <c r="DK1943" s="20"/>
      <c r="DL1943" s="20"/>
      <c r="DM1943" s="20"/>
      <c r="DN1943" s="20"/>
      <c r="DO1943" s="20"/>
      <c r="DP1943" s="20"/>
      <c r="DQ1943" s="20"/>
      <c r="DR1943" s="20"/>
      <c r="DS1943" s="20"/>
      <c r="DT1943" s="20"/>
      <c r="DU1943" s="20"/>
      <c r="DV1943" s="20"/>
      <c r="DW1943" s="20"/>
      <c r="DX1943" s="20"/>
      <c r="DY1943" s="20"/>
      <c r="DZ1943" s="20"/>
      <c r="EA1943" s="20"/>
      <c r="EB1943" s="20"/>
      <c r="EC1943" s="20"/>
      <c r="ED1943" s="20"/>
      <c r="EE1943" s="20"/>
      <c r="EF1943" s="20"/>
      <c r="EG1943" s="20"/>
      <c r="EH1943" s="20"/>
      <c r="EI1943" s="20"/>
      <c r="EJ1943" s="20"/>
      <c r="EK1943" s="20"/>
      <c r="EL1943" s="20"/>
      <c r="EM1943" s="20"/>
      <c r="EN1943" s="20"/>
      <c r="EO1943" s="20"/>
      <c r="EP1943" s="20"/>
      <c r="EQ1943" s="20"/>
      <c r="ER1943" s="20"/>
      <c r="ES1943" s="20"/>
      <c r="ET1943" s="20"/>
      <c r="EU1943" s="20"/>
      <c r="EV1943" s="20"/>
      <c r="EW1943" s="20"/>
      <c r="EX1943" s="20"/>
      <c r="EY1943" s="20"/>
      <c r="EZ1943" s="20"/>
      <c r="FA1943" s="20"/>
      <c r="FB1943" s="20"/>
      <c r="FC1943" s="20"/>
      <c r="FD1943" s="20"/>
      <c r="FE1943" s="20"/>
      <c r="FF1943" s="20"/>
      <c r="FG1943" s="20"/>
      <c r="FH1943" s="20"/>
      <c r="FI1943" s="20"/>
      <c r="FJ1943" s="20"/>
      <c r="FK1943" s="20"/>
      <c r="FL1943" s="20"/>
      <c r="FM1943" s="20"/>
      <c r="FN1943" s="20"/>
      <c r="FO1943" s="20"/>
      <c r="FP1943" s="20"/>
      <c r="FQ1943" s="20"/>
      <c r="FR1943" s="20"/>
      <c r="FS1943" s="20"/>
      <c r="FT1943" s="20"/>
      <c r="FU1943" s="20"/>
      <c r="FV1943" s="20"/>
      <c r="FW1943" s="20"/>
      <c r="FX1943" s="20"/>
      <c r="FY1943" s="20"/>
      <c r="FZ1943" s="20"/>
      <c r="GA1943" s="20"/>
      <c r="GB1943" s="20"/>
      <c r="GC1943" s="20"/>
      <c r="GD1943" s="20"/>
      <c r="GE1943" s="20"/>
      <c r="GF1943" s="20"/>
      <c r="GG1943" s="20"/>
      <c r="GH1943" s="20"/>
      <c r="GI1943" s="20"/>
      <c r="GJ1943" s="20"/>
      <c r="GK1943" s="20"/>
      <c r="GL1943" s="20"/>
      <c r="GM1943" s="20"/>
      <c r="GN1943" s="20"/>
      <c r="GO1943" s="20"/>
      <c r="GP1943" s="20"/>
      <c r="GQ1943" s="20"/>
      <c r="GR1943" s="20"/>
      <c r="GS1943" s="20"/>
      <c r="GT1943" s="20"/>
      <c r="GU1943" s="20"/>
      <c r="GV1943" s="20"/>
      <c r="GW1943" s="20"/>
      <c r="GX1943" s="20"/>
      <c r="GY1943" s="20"/>
      <c r="GZ1943" s="20"/>
      <c r="HA1943" s="20"/>
      <c r="HB1943" s="20"/>
      <c r="HC1943" s="20"/>
      <c r="HD1943" s="20"/>
      <c r="HE1943" s="20"/>
      <c r="HF1943" s="20"/>
      <c r="HG1943" s="20"/>
      <c r="HH1943" s="20"/>
      <c r="HI1943" s="20"/>
      <c r="HJ1943" s="20"/>
      <c r="HK1943" s="20"/>
      <c r="HL1943" s="20"/>
      <c r="HM1943" s="20"/>
      <c r="HN1943" s="20"/>
      <c r="HO1943" s="20"/>
      <c r="HP1943" s="20"/>
      <c r="HQ1943" s="20"/>
      <c r="HR1943" s="20"/>
      <c r="HS1943" s="20"/>
      <c r="HT1943" s="20"/>
      <c r="HU1943" s="20"/>
      <c r="HV1943" s="20"/>
      <c r="HW1943" s="20"/>
      <c r="HX1943" s="20"/>
      <c r="HY1943" s="20"/>
      <c r="HZ1943" s="20"/>
      <c r="IA1943" s="20"/>
      <c r="IB1943" s="20"/>
      <c r="IC1943" s="20"/>
      <c r="ID1943" s="20"/>
      <c r="IE1943" s="20"/>
      <c r="IF1943" s="20"/>
      <c r="IG1943" s="20"/>
      <c r="IH1943" s="20"/>
      <c r="II1943" s="20"/>
      <c r="IJ1943" s="20"/>
      <c r="IK1943" s="20"/>
      <c r="IL1943" s="20"/>
      <c r="IM1943" s="20"/>
      <c r="IN1943" s="20"/>
      <c r="IO1943" s="20"/>
    </row>
    <row r="1944" spans="1:249" s="22" customFormat="1" ht="42.75" customHeight="1">
      <c r="A1944" s="794"/>
      <c r="B1944" s="840"/>
      <c r="C1944" s="841">
        <v>4</v>
      </c>
      <c r="D1944" s="841" t="s">
        <v>34</v>
      </c>
      <c r="E1944" s="841" t="s">
        <v>25</v>
      </c>
      <c r="F1944" s="841">
        <v>19</v>
      </c>
      <c r="G1944" s="841" t="s">
        <v>28</v>
      </c>
      <c r="H1944" s="841"/>
      <c r="I1944" s="407" t="s">
        <v>1849</v>
      </c>
      <c r="J1944" s="6" t="s">
        <v>3349</v>
      </c>
      <c r="K1944" s="1902">
        <v>48</v>
      </c>
      <c r="L1944" s="1908">
        <f>3*N1944</f>
        <v>817465434</v>
      </c>
      <c r="M1944" s="1922">
        <v>24</v>
      </c>
      <c r="N1944" s="1904">
        <f>76943350+118995050+76550078</f>
        <v>272488478</v>
      </c>
      <c r="O1944" s="1902">
        <v>12</v>
      </c>
      <c r="P1944" s="1905">
        <v>110000000</v>
      </c>
      <c r="Q1944" s="1903">
        <v>1</v>
      </c>
      <c r="R1944" s="1904">
        <v>3158850</v>
      </c>
      <c r="S1944" s="795">
        <v>1</v>
      </c>
      <c r="T1944" s="207">
        <v>26656700</v>
      </c>
      <c r="U1944" s="795"/>
      <c r="V1944" s="1906"/>
      <c r="W1944" s="795"/>
      <c r="X1944" s="1906"/>
      <c r="Y1944" s="1903">
        <f t="shared" si="565"/>
        <v>2</v>
      </c>
      <c r="Z1944" s="1906">
        <f t="shared" si="564"/>
        <v>29815550</v>
      </c>
      <c r="AA1944" s="1903">
        <f t="shared" si="561"/>
        <v>26</v>
      </c>
      <c r="AB1944" s="1906">
        <f t="shared" si="558"/>
        <v>302304028</v>
      </c>
      <c r="AC1944" s="1907">
        <f t="shared" si="559"/>
        <v>54.166666666666664</v>
      </c>
      <c r="AD1944" s="1907">
        <f t="shared" si="562"/>
        <v>36.980649630746342</v>
      </c>
      <c r="AE1944" s="102" t="s">
        <v>1983</v>
      </c>
      <c r="AF1944" s="201"/>
      <c r="AG1944" s="201"/>
      <c r="AH1944" s="201"/>
      <c r="AI1944" s="201"/>
      <c r="AJ1944" s="201"/>
      <c r="AK1944" s="201"/>
      <c r="AL1944" s="201"/>
      <c r="AM1944" s="201"/>
      <c r="AN1944" s="201"/>
      <c r="AO1944" s="201"/>
      <c r="AP1944" s="201"/>
      <c r="AQ1944" s="201"/>
      <c r="AR1944" s="201"/>
      <c r="AS1944" s="201"/>
      <c r="AT1944" s="201"/>
      <c r="AU1944" s="201"/>
      <c r="AV1944" s="201"/>
      <c r="AW1944" s="201"/>
      <c r="AX1944" s="201"/>
      <c r="AY1944" s="201"/>
      <c r="AZ1944" s="201"/>
      <c r="BA1944" s="201"/>
      <c r="BB1944" s="201"/>
      <c r="BC1944" s="20"/>
      <c r="BD1944" s="20"/>
      <c r="BE1944" s="20"/>
      <c r="BF1944" s="20"/>
      <c r="BG1944" s="20"/>
      <c r="BH1944" s="20"/>
      <c r="BI1944" s="20"/>
      <c r="BJ1944" s="20"/>
      <c r="BK1944" s="20"/>
      <c r="BL1944" s="20"/>
      <c r="BM1944" s="20"/>
      <c r="BN1944" s="20"/>
      <c r="BO1944" s="20"/>
      <c r="BP1944" s="20"/>
      <c r="BQ1944" s="20"/>
      <c r="BR1944" s="20"/>
      <c r="BS1944" s="20"/>
      <c r="BT1944" s="20"/>
      <c r="BU1944" s="20"/>
      <c r="BV1944" s="20"/>
      <c r="BW1944" s="20"/>
      <c r="BX1944" s="20"/>
      <c r="BY1944" s="20"/>
      <c r="BZ1944" s="20"/>
      <c r="CA1944" s="20"/>
      <c r="CB1944" s="20"/>
      <c r="CC1944" s="20"/>
      <c r="CD1944" s="20"/>
      <c r="CE1944" s="20"/>
      <c r="CF1944" s="20"/>
      <c r="CG1944" s="20"/>
      <c r="CH1944" s="20"/>
      <c r="CI1944" s="20"/>
      <c r="CJ1944" s="20"/>
      <c r="CK1944" s="20"/>
      <c r="CL1944" s="20"/>
      <c r="CM1944" s="20"/>
      <c r="CN1944" s="20"/>
      <c r="CO1944" s="20"/>
      <c r="CP1944" s="20"/>
      <c r="CQ1944" s="20"/>
      <c r="CR1944" s="20"/>
      <c r="CS1944" s="20"/>
      <c r="CT1944" s="20"/>
      <c r="CU1944" s="20"/>
      <c r="CV1944" s="20"/>
      <c r="CW1944" s="20"/>
      <c r="CX1944" s="20"/>
      <c r="CY1944" s="20"/>
      <c r="CZ1944" s="20"/>
      <c r="DA1944" s="20"/>
      <c r="DB1944" s="20"/>
      <c r="DC1944" s="20"/>
      <c r="DD1944" s="20"/>
      <c r="DE1944" s="20"/>
      <c r="DF1944" s="20"/>
      <c r="DG1944" s="20"/>
      <c r="DH1944" s="20"/>
      <c r="DI1944" s="20"/>
      <c r="DJ1944" s="20"/>
      <c r="DK1944" s="20"/>
      <c r="DL1944" s="20"/>
      <c r="DM1944" s="20"/>
      <c r="DN1944" s="20"/>
      <c r="DO1944" s="20"/>
      <c r="DP1944" s="20"/>
      <c r="DQ1944" s="20"/>
      <c r="DR1944" s="20"/>
      <c r="DS1944" s="20"/>
      <c r="DT1944" s="20"/>
      <c r="DU1944" s="20"/>
      <c r="DV1944" s="20"/>
      <c r="DW1944" s="20"/>
      <c r="DX1944" s="20"/>
      <c r="DY1944" s="20"/>
      <c r="DZ1944" s="20"/>
      <c r="EA1944" s="20"/>
      <c r="EB1944" s="20"/>
      <c r="EC1944" s="20"/>
      <c r="ED1944" s="20"/>
      <c r="EE1944" s="20"/>
      <c r="EF1944" s="20"/>
      <c r="EG1944" s="20"/>
      <c r="EH1944" s="20"/>
      <c r="EI1944" s="20"/>
      <c r="EJ1944" s="20"/>
      <c r="EK1944" s="20"/>
      <c r="EL1944" s="20"/>
      <c r="EM1944" s="20"/>
      <c r="EN1944" s="20"/>
      <c r="EO1944" s="20"/>
      <c r="EP1944" s="20"/>
      <c r="EQ1944" s="20"/>
      <c r="ER1944" s="20"/>
      <c r="ES1944" s="20"/>
      <c r="ET1944" s="20"/>
      <c r="EU1944" s="20"/>
      <c r="EV1944" s="20"/>
      <c r="EW1944" s="20"/>
      <c r="EX1944" s="20"/>
      <c r="EY1944" s="20"/>
      <c r="EZ1944" s="20"/>
      <c r="FA1944" s="20"/>
      <c r="FB1944" s="20"/>
      <c r="FC1944" s="20"/>
      <c r="FD1944" s="20"/>
      <c r="FE1944" s="20"/>
      <c r="FF1944" s="20"/>
      <c r="FG1944" s="20"/>
      <c r="FH1944" s="20"/>
      <c r="FI1944" s="20"/>
      <c r="FJ1944" s="20"/>
      <c r="FK1944" s="20"/>
      <c r="FL1944" s="20"/>
      <c r="FM1944" s="20"/>
      <c r="FN1944" s="20"/>
      <c r="FO1944" s="20"/>
      <c r="FP1944" s="20"/>
      <c r="FQ1944" s="20"/>
      <c r="FR1944" s="20"/>
      <c r="FS1944" s="20"/>
      <c r="FT1944" s="20"/>
      <c r="FU1944" s="20"/>
      <c r="FV1944" s="20"/>
      <c r="FW1944" s="20"/>
      <c r="FX1944" s="20"/>
      <c r="FY1944" s="20"/>
      <c r="FZ1944" s="20"/>
      <c r="GA1944" s="20"/>
      <c r="GB1944" s="20"/>
      <c r="GC1944" s="20"/>
      <c r="GD1944" s="20"/>
      <c r="GE1944" s="20"/>
      <c r="GF1944" s="20"/>
      <c r="GG1944" s="20"/>
      <c r="GH1944" s="20"/>
      <c r="GI1944" s="20"/>
      <c r="GJ1944" s="20"/>
      <c r="GK1944" s="20"/>
      <c r="GL1944" s="20"/>
      <c r="GM1944" s="20"/>
      <c r="GN1944" s="20"/>
      <c r="GO1944" s="20"/>
      <c r="GP1944" s="20"/>
      <c r="GQ1944" s="20"/>
      <c r="GR1944" s="20"/>
      <c r="GS1944" s="20"/>
      <c r="GT1944" s="20"/>
      <c r="GU1944" s="20"/>
      <c r="GV1944" s="20"/>
      <c r="GW1944" s="20"/>
      <c r="GX1944" s="20"/>
      <c r="GY1944" s="20"/>
      <c r="GZ1944" s="20"/>
      <c r="HA1944" s="20"/>
      <c r="HB1944" s="20"/>
      <c r="HC1944" s="20"/>
      <c r="HD1944" s="20"/>
      <c r="HE1944" s="20"/>
      <c r="HF1944" s="20"/>
      <c r="HG1944" s="20"/>
      <c r="HH1944" s="20"/>
      <c r="HI1944" s="20"/>
      <c r="HJ1944" s="20"/>
      <c r="HK1944" s="20"/>
      <c r="HL1944" s="20"/>
      <c r="HM1944" s="20"/>
      <c r="HN1944" s="20"/>
      <c r="HO1944" s="20"/>
      <c r="HP1944" s="20"/>
      <c r="HQ1944" s="20"/>
      <c r="HR1944" s="20"/>
      <c r="HS1944" s="20"/>
      <c r="HT1944" s="20"/>
      <c r="HU1944" s="20"/>
      <c r="HV1944" s="20"/>
      <c r="HW1944" s="20"/>
      <c r="HX1944" s="20"/>
      <c r="HY1944" s="20"/>
      <c r="HZ1944" s="20"/>
      <c r="IA1944" s="20"/>
      <c r="IB1944" s="20"/>
      <c r="IC1944" s="20"/>
      <c r="ID1944" s="20"/>
      <c r="IE1944" s="20"/>
      <c r="IF1944" s="20"/>
      <c r="IG1944" s="20"/>
      <c r="IH1944" s="20"/>
      <c r="II1944" s="20"/>
      <c r="IJ1944" s="20"/>
      <c r="IK1944" s="20"/>
      <c r="IL1944" s="20"/>
      <c r="IM1944" s="20"/>
      <c r="IN1944" s="20"/>
      <c r="IO1944" s="20"/>
    </row>
    <row r="1945" spans="1:249" s="22" customFormat="1" ht="82.5">
      <c r="A1945" s="2554">
        <v>10</v>
      </c>
      <c r="B1945" s="44"/>
      <c r="C1945" s="753">
        <v>4</v>
      </c>
      <c r="D1945" s="753" t="s">
        <v>34</v>
      </c>
      <c r="E1945" s="753" t="s">
        <v>25</v>
      </c>
      <c r="F1945" s="753">
        <v>20</v>
      </c>
      <c r="G1945" s="753"/>
      <c r="H1945" s="594"/>
      <c r="I1945" s="44" t="s">
        <v>1850</v>
      </c>
      <c r="J1945" s="46" t="s">
        <v>3350</v>
      </c>
      <c r="K1945" s="149">
        <v>25</v>
      </c>
      <c r="L1945" s="1770">
        <f>L1946</f>
        <v>4358000000</v>
      </c>
      <c r="M1945" s="149">
        <v>10</v>
      </c>
      <c r="N1945" s="1901">
        <f>N1946</f>
        <v>1063465667</v>
      </c>
      <c r="O1945" s="149">
        <v>5</v>
      </c>
      <c r="P1945" s="1899">
        <f>P1946</f>
        <v>299299334</v>
      </c>
      <c r="Q1945" s="149">
        <v>0</v>
      </c>
      <c r="R1945" s="1899">
        <f t="shared" ref="R1945:X1945" si="567">R1946</f>
        <v>3442300</v>
      </c>
      <c r="S1945" s="1899">
        <f t="shared" si="567"/>
        <v>7</v>
      </c>
      <c r="T1945" s="1901">
        <f t="shared" si="567"/>
        <v>10490000</v>
      </c>
      <c r="U1945" s="1899">
        <f t="shared" si="567"/>
        <v>0</v>
      </c>
      <c r="V1945" s="1899">
        <f t="shared" si="567"/>
        <v>0</v>
      </c>
      <c r="W1945" s="1899">
        <f t="shared" si="567"/>
        <v>0</v>
      </c>
      <c r="X1945" s="1899">
        <f t="shared" si="567"/>
        <v>0</v>
      </c>
      <c r="Y1945" s="149">
        <f t="shared" si="565"/>
        <v>7</v>
      </c>
      <c r="Z1945" s="1901">
        <f t="shared" si="564"/>
        <v>13932300</v>
      </c>
      <c r="AA1945" s="149">
        <f t="shared" si="561"/>
        <v>17</v>
      </c>
      <c r="AB1945" s="1901">
        <f t="shared" si="558"/>
        <v>1077397967</v>
      </c>
      <c r="AC1945" s="821">
        <f t="shared" si="559"/>
        <v>68</v>
      </c>
      <c r="AD1945" s="821">
        <f t="shared" si="562"/>
        <v>24.722303051858653</v>
      </c>
      <c r="AE1945" s="2558" t="s">
        <v>2252</v>
      </c>
      <c r="AF1945" s="201"/>
      <c r="AG1945" s="201"/>
      <c r="AH1945" s="201"/>
      <c r="AI1945" s="201"/>
      <c r="AJ1945" s="201"/>
      <c r="AK1945" s="201"/>
      <c r="AL1945" s="201"/>
      <c r="AM1945" s="201"/>
      <c r="AN1945" s="201"/>
      <c r="AO1945" s="201"/>
      <c r="AP1945" s="201"/>
      <c r="AQ1945" s="201"/>
      <c r="AR1945" s="201"/>
      <c r="AS1945" s="201"/>
      <c r="AT1945" s="201"/>
      <c r="AU1945" s="201"/>
      <c r="AV1945" s="201"/>
      <c r="AW1945" s="201"/>
      <c r="AX1945" s="201"/>
      <c r="AY1945" s="201"/>
      <c r="AZ1945" s="201"/>
      <c r="BA1945" s="201"/>
      <c r="BB1945" s="201"/>
      <c r="BC1945" s="20"/>
      <c r="BD1945" s="20"/>
      <c r="BE1945" s="20"/>
      <c r="BF1945" s="20"/>
      <c r="BG1945" s="20"/>
      <c r="BH1945" s="20"/>
      <c r="BI1945" s="20"/>
      <c r="BJ1945" s="20"/>
      <c r="BK1945" s="20"/>
      <c r="BL1945" s="20"/>
      <c r="BM1945" s="20"/>
      <c r="BN1945" s="20"/>
      <c r="BO1945" s="20"/>
      <c r="BP1945" s="20"/>
      <c r="BQ1945" s="20"/>
      <c r="BR1945" s="20"/>
      <c r="BS1945" s="20"/>
      <c r="BT1945" s="20"/>
      <c r="BU1945" s="20"/>
      <c r="BV1945" s="20"/>
      <c r="BW1945" s="20"/>
      <c r="BX1945" s="20"/>
      <c r="BY1945" s="20"/>
      <c r="BZ1945" s="20"/>
      <c r="CA1945" s="20"/>
      <c r="CB1945" s="20"/>
      <c r="CC1945" s="20"/>
      <c r="CD1945" s="20"/>
      <c r="CE1945" s="20"/>
      <c r="CF1945" s="20"/>
      <c r="CG1945" s="20"/>
      <c r="CH1945" s="20"/>
      <c r="CI1945" s="20"/>
      <c r="CJ1945" s="20"/>
      <c r="CK1945" s="20"/>
      <c r="CL1945" s="20"/>
      <c r="CM1945" s="20"/>
      <c r="CN1945" s="20"/>
      <c r="CO1945" s="20"/>
      <c r="CP1945" s="20"/>
      <c r="CQ1945" s="20"/>
      <c r="CR1945" s="20"/>
      <c r="CS1945" s="20"/>
      <c r="CT1945" s="20"/>
      <c r="CU1945" s="20"/>
      <c r="CV1945" s="20"/>
      <c r="CW1945" s="20"/>
      <c r="CX1945" s="20"/>
      <c r="CY1945" s="20"/>
      <c r="CZ1945" s="20"/>
      <c r="DA1945" s="20"/>
      <c r="DB1945" s="20"/>
      <c r="DC1945" s="20"/>
      <c r="DD1945" s="20"/>
      <c r="DE1945" s="20"/>
      <c r="DF1945" s="20"/>
      <c r="DG1945" s="20"/>
      <c r="DH1945" s="20"/>
      <c r="DI1945" s="20"/>
      <c r="DJ1945" s="20"/>
      <c r="DK1945" s="20"/>
      <c r="DL1945" s="20"/>
      <c r="DM1945" s="20"/>
      <c r="DN1945" s="20"/>
      <c r="DO1945" s="20"/>
      <c r="DP1945" s="20"/>
      <c r="DQ1945" s="20"/>
      <c r="DR1945" s="20"/>
      <c r="DS1945" s="20"/>
      <c r="DT1945" s="20"/>
      <c r="DU1945" s="20"/>
      <c r="DV1945" s="20"/>
      <c r="DW1945" s="20"/>
      <c r="DX1945" s="20"/>
      <c r="DY1945" s="20"/>
      <c r="DZ1945" s="20"/>
      <c r="EA1945" s="20"/>
      <c r="EB1945" s="20"/>
      <c r="EC1945" s="20"/>
      <c r="ED1945" s="20"/>
      <c r="EE1945" s="20"/>
      <c r="EF1945" s="20"/>
      <c r="EG1945" s="20"/>
      <c r="EH1945" s="20"/>
      <c r="EI1945" s="20"/>
      <c r="EJ1945" s="20"/>
      <c r="EK1945" s="20"/>
      <c r="EL1945" s="20"/>
      <c r="EM1945" s="20"/>
      <c r="EN1945" s="20"/>
      <c r="EO1945" s="20"/>
      <c r="EP1945" s="20"/>
      <c r="EQ1945" s="20"/>
      <c r="ER1945" s="20"/>
      <c r="ES1945" s="20"/>
      <c r="ET1945" s="20"/>
      <c r="EU1945" s="20"/>
      <c r="EV1945" s="20"/>
      <c r="EW1945" s="20"/>
      <c r="EX1945" s="20"/>
      <c r="EY1945" s="20"/>
      <c r="EZ1945" s="20"/>
      <c r="FA1945" s="20"/>
      <c r="FB1945" s="20"/>
      <c r="FC1945" s="20"/>
      <c r="FD1945" s="20"/>
      <c r="FE1945" s="20"/>
      <c r="FF1945" s="20"/>
      <c r="FG1945" s="20"/>
      <c r="FH1945" s="20"/>
      <c r="FI1945" s="20"/>
      <c r="FJ1945" s="20"/>
      <c r="FK1945" s="20"/>
      <c r="FL1945" s="20"/>
      <c r="FM1945" s="20"/>
      <c r="FN1945" s="20"/>
      <c r="FO1945" s="20"/>
      <c r="FP1945" s="20"/>
      <c r="FQ1945" s="20"/>
      <c r="FR1945" s="20"/>
      <c r="FS1945" s="20"/>
      <c r="FT1945" s="20"/>
      <c r="FU1945" s="20"/>
      <c r="FV1945" s="20"/>
      <c r="FW1945" s="20"/>
      <c r="FX1945" s="20"/>
      <c r="FY1945" s="20"/>
      <c r="FZ1945" s="20"/>
      <c r="GA1945" s="20"/>
      <c r="GB1945" s="20"/>
      <c r="GC1945" s="20"/>
      <c r="GD1945" s="20"/>
      <c r="GE1945" s="20"/>
      <c r="GF1945" s="20"/>
      <c r="GG1945" s="20"/>
      <c r="GH1945" s="20"/>
      <c r="GI1945" s="20"/>
      <c r="GJ1945" s="20"/>
      <c r="GK1945" s="20"/>
      <c r="GL1945" s="20"/>
      <c r="GM1945" s="20"/>
      <c r="GN1945" s="20"/>
      <c r="GO1945" s="20"/>
      <c r="GP1945" s="20"/>
      <c r="GQ1945" s="20"/>
      <c r="GR1945" s="20"/>
      <c r="GS1945" s="20"/>
      <c r="GT1945" s="20"/>
      <c r="GU1945" s="20"/>
      <c r="GV1945" s="20"/>
      <c r="GW1945" s="20"/>
      <c r="GX1945" s="20"/>
      <c r="GY1945" s="20"/>
      <c r="GZ1945" s="20"/>
      <c r="HA1945" s="20"/>
      <c r="HB1945" s="20"/>
      <c r="HC1945" s="20"/>
      <c r="HD1945" s="20"/>
      <c r="HE1945" s="20"/>
      <c r="HF1945" s="20"/>
      <c r="HG1945" s="20"/>
      <c r="HH1945" s="20"/>
      <c r="HI1945" s="20"/>
      <c r="HJ1945" s="20"/>
      <c r="HK1945" s="20"/>
      <c r="HL1945" s="20"/>
      <c r="HM1945" s="20"/>
      <c r="HN1945" s="20"/>
      <c r="HO1945" s="20"/>
      <c r="HP1945" s="20"/>
      <c r="HQ1945" s="20"/>
      <c r="HR1945" s="20"/>
      <c r="HS1945" s="20"/>
      <c r="HT1945" s="20"/>
      <c r="HU1945" s="20"/>
      <c r="HV1945" s="20"/>
      <c r="HW1945" s="20"/>
      <c r="HX1945" s="20"/>
      <c r="HY1945" s="20"/>
      <c r="HZ1945" s="20"/>
      <c r="IA1945" s="20"/>
      <c r="IB1945" s="20"/>
      <c r="IC1945" s="20"/>
      <c r="ID1945" s="20"/>
      <c r="IE1945" s="20"/>
      <c r="IF1945" s="20"/>
      <c r="IG1945" s="20"/>
      <c r="IH1945" s="20"/>
      <c r="II1945" s="20"/>
      <c r="IJ1945" s="20"/>
      <c r="IK1945" s="20"/>
      <c r="IL1945" s="20"/>
      <c r="IM1945" s="20"/>
      <c r="IN1945" s="20"/>
      <c r="IO1945" s="20"/>
    </row>
    <row r="1946" spans="1:249" s="22" customFormat="1" ht="65.25" customHeight="1">
      <c r="A1946" s="794"/>
      <c r="B1946" s="840"/>
      <c r="C1946" s="841">
        <v>4</v>
      </c>
      <c r="D1946" s="841" t="s">
        <v>34</v>
      </c>
      <c r="E1946" s="841" t="s">
        <v>25</v>
      </c>
      <c r="F1946" s="841">
        <v>20</v>
      </c>
      <c r="G1946" s="841">
        <v>10</v>
      </c>
      <c r="H1946" s="841"/>
      <c r="I1946" s="6" t="s">
        <v>1851</v>
      </c>
      <c r="J1946" s="6" t="s">
        <v>1852</v>
      </c>
      <c r="K1946" s="1902">
        <v>120</v>
      </c>
      <c r="L1946" s="1908">
        <v>4358000000</v>
      </c>
      <c r="M1946" s="1922">
        <v>30</v>
      </c>
      <c r="N1946" s="1904">
        <f>286763900+436975300+339726467</f>
        <v>1063465667</v>
      </c>
      <c r="O1946" s="1902">
        <v>30</v>
      </c>
      <c r="P1946" s="1905">
        <v>299299334</v>
      </c>
      <c r="Q1946" s="1903">
        <v>7</v>
      </c>
      <c r="R1946" s="1904">
        <v>3442300</v>
      </c>
      <c r="S1946" s="2685">
        <v>7</v>
      </c>
      <c r="T1946" s="2683">
        <v>10490000</v>
      </c>
      <c r="U1946" s="795"/>
      <c r="V1946" s="1906"/>
      <c r="W1946" s="795"/>
      <c r="X1946" s="1906"/>
      <c r="Y1946" s="1903">
        <f>Q1946+U1946+W1946</f>
        <v>7</v>
      </c>
      <c r="Z1946" s="1906">
        <f t="shared" si="564"/>
        <v>13932300</v>
      </c>
      <c r="AA1946" s="1903">
        <f t="shared" si="561"/>
        <v>37</v>
      </c>
      <c r="AB1946" s="1906">
        <f t="shared" si="558"/>
        <v>1077397967</v>
      </c>
      <c r="AC1946" s="1907">
        <f t="shared" si="559"/>
        <v>30.833333333333336</v>
      </c>
      <c r="AD1946" s="1907">
        <f t="shared" si="562"/>
        <v>24.722303051858653</v>
      </c>
      <c r="AE1946" s="102" t="s">
        <v>1983</v>
      </c>
      <c r="AF1946" s="201"/>
      <c r="AG1946" s="201"/>
      <c r="AH1946" s="201"/>
      <c r="AI1946" s="201"/>
      <c r="AJ1946" s="201"/>
      <c r="AK1946" s="201"/>
      <c r="AL1946" s="201"/>
      <c r="AM1946" s="201"/>
      <c r="AN1946" s="201"/>
      <c r="AO1946" s="201"/>
      <c r="AP1946" s="201"/>
      <c r="AQ1946" s="201"/>
      <c r="AR1946" s="201"/>
      <c r="AS1946" s="201"/>
      <c r="AT1946" s="201"/>
      <c r="AU1946" s="201"/>
      <c r="AV1946" s="201"/>
      <c r="AW1946" s="201"/>
      <c r="AX1946" s="201"/>
      <c r="AY1946" s="201"/>
      <c r="AZ1946" s="201"/>
      <c r="BA1946" s="201"/>
      <c r="BB1946" s="201"/>
      <c r="BC1946" s="20"/>
      <c r="BD1946" s="20"/>
      <c r="BE1946" s="20"/>
      <c r="BF1946" s="20"/>
      <c r="BG1946" s="20"/>
      <c r="BH1946" s="20"/>
      <c r="BI1946" s="20"/>
      <c r="BJ1946" s="20"/>
      <c r="BK1946" s="20"/>
      <c r="BL1946" s="20"/>
      <c r="BM1946" s="20"/>
      <c r="BN1946" s="20"/>
      <c r="BO1946" s="20"/>
      <c r="BP1946" s="20"/>
      <c r="BQ1946" s="20"/>
      <c r="BR1946" s="20"/>
      <c r="BS1946" s="20"/>
      <c r="BT1946" s="20"/>
      <c r="BU1946" s="20"/>
      <c r="BV1946" s="20"/>
      <c r="BW1946" s="20"/>
      <c r="BX1946" s="20"/>
      <c r="BY1946" s="20"/>
      <c r="BZ1946" s="20"/>
      <c r="CA1946" s="20"/>
      <c r="CB1946" s="20"/>
      <c r="CC1946" s="20"/>
      <c r="CD1946" s="20"/>
      <c r="CE1946" s="20"/>
      <c r="CF1946" s="20"/>
      <c r="CG1946" s="20"/>
      <c r="CH1946" s="20"/>
      <c r="CI1946" s="20"/>
      <c r="CJ1946" s="20"/>
      <c r="CK1946" s="20"/>
      <c r="CL1946" s="20"/>
      <c r="CM1946" s="20"/>
      <c r="CN1946" s="20"/>
      <c r="CO1946" s="20"/>
      <c r="CP1946" s="20"/>
      <c r="CQ1946" s="20"/>
      <c r="CR1946" s="20"/>
      <c r="CS1946" s="20"/>
      <c r="CT1946" s="20"/>
      <c r="CU1946" s="20"/>
      <c r="CV1946" s="20"/>
      <c r="CW1946" s="20"/>
      <c r="CX1946" s="20"/>
      <c r="CY1946" s="20"/>
      <c r="CZ1946" s="20"/>
      <c r="DA1946" s="20"/>
      <c r="DB1946" s="20"/>
      <c r="DC1946" s="20"/>
      <c r="DD1946" s="20"/>
      <c r="DE1946" s="20"/>
      <c r="DF1946" s="20"/>
      <c r="DG1946" s="20"/>
      <c r="DH1946" s="20"/>
      <c r="DI1946" s="20"/>
      <c r="DJ1946" s="20"/>
      <c r="DK1946" s="20"/>
      <c r="DL1946" s="20"/>
      <c r="DM1946" s="20"/>
      <c r="DN1946" s="20"/>
      <c r="DO1946" s="20"/>
      <c r="DP1946" s="20"/>
      <c r="DQ1946" s="20"/>
      <c r="DR1946" s="20"/>
      <c r="DS1946" s="20"/>
      <c r="DT1946" s="20"/>
      <c r="DU1946" s="20"/>
      <c r="DV1946" s="20"/>
      <c r="DW1946" s="20"/>
      <c r="DX1946" s="20"/>
      <c r="DY1946" s="20"/>
      <c r="DZ1946" s="20"/>
      <c r="EA1946" s="20"/>
      <c r="EB1946" s="20"/>
      <c r="EC1946" s="20"/>
      <c r="ED1946" s="20"/>
      <c r="EE1946" s="20"/>
      <c r="EF1946" s="20"/>
      <c r="EG1946" s="20"/>
      <c r="EH1946" s="20"/>
      <c r="EI1946" s="20"/>
      <c r="EJ1946" s="20"/>
      <c r="EK1946" s="20"/>
      <c r="EL1946" s="20"/>
      <c r="EM1946" s="20"/>
      <c r="EN1946" s="20"/>
      <c r="EO1946" s="20"/>
      <c r="EP1946" s="20"/>
      <c r="EQ1946" s="20"/>
      <c r="ER1946" s="20"/>
      <c r="ES1946" s="20"/>
      <c r="ET1946" s="20"/>
      <c r="EU1946" s="20"/>
      <c r="EV1946" s="20"/>
      <c r="EW1946" s="20"/>
      <c r="EX1946" s="20"/>
      <c r="EY1946" s="20"/>
      <c r="EZ1946" s="20"/>
      <c r="FA1946" s="20"/>
      <c r="FB1946" s="20"/>
      <c r="FC1946" s="20"/>
      <c r="FD1946" s="20"/>
      <c r="FE1946" s="20"/>
      <c r="FF1946" s="20"/>
      <c r="FG1946" s="20"/>
      <c r="FH1946" s="20"/>
      <c r="FI1946" s="20"/>
      <c r="FJ1946" s="20"/>
      <c r="FK1946" s="20"/>
      <c r="FL1946" s="20"/>
      <c r="FM1946" s="20"/>
      <c r="FN1946" s="20"/>
      <c r="FO1946" s="20"/>
      <c r="FP1946" s="20"/>
      <c r="FQ1946" s="20"/>
      <c r="FR1946" s="20"/>
      <c r="FS1946" s="20"/>
      <c r="FT1946" s="20"/>
      <c r="FU1946" s="20"/>
      <c r="FV1946" s="20"/>
      <c r="FW1946" s="20"/>
      <c r="FX1946" s="20"/>
      <c r="FY1946" s="20"/>
      <c r="FZ1946" s="20"/>
      <c r="GA1946" s="20"/>
      <c r="GB1946" s="20"/>
      <c r="GC1946" s="20"/>
      <c r="GD1946" s="20"/>
      <c r="GE1946" s="20"/>
      <c r="GF1946" s="20"/>
      <c r="GG1946" s="20"/>
      <c r="GH1946" s="20"/>
      <c r="GI1946" s="20"/>
      <c r="GJ1946" s="20"/>
      <c r="GK1946" s="20"/>
      <c r="GL1946" s="20"/>
      <c r="GM1946" s="20"/>
      <c r="GN1946" s="20"/>
      <c r="GO1946" s="20"/>
      <c r="GP1946" s="20"/>
      <c r="GQ1946" s="20"/>
      <c r="GR1946" s="20"/>
      <c r="GS1946" s="20"/>
      <c r="GT1946" s="20"/>
      <c r="GU1946" s="20"/>
      <c r="GV1946" s="20"/>
      <c r="GW1946" s="20"/>
      <c r="GX1946" s="20"/>
      <c r="GY1946" s="20"/>
      <c r="GZ1946" s="20"/>
      <c r="HA1946" s="20"/>
      <c r="HB1946" s="20"/>
      <c r="HC1946" s="20"/>
      <c r="HD1946" s="20"/>
      <c r="HE1946" s="20"/>
      <c r="HF1946" s="20"/>
      <c r="HG1946" s="20"/>
      <c r="HH1946" s="20"/>
      <c r="HI1946" s="20"/>
      <c r="HJ1946" s="20"/>
      <c r="HK1946" s="20"/>
      <c r="HL1946" s="20"/>
      <c r="HM1946" s="20"/>
      <c r="HN1946" s="20"/>
      <c r="HO1946" s="20"/>
      <c r="HP1946" s="20"/>
      <c r="HQ1946" s="20"/>
      <c r="HR1946" s="20"/>
      <c r="HS1946" s="20"/>
      <c r="HT1946" s="20"/>
      <c r="HU1946" s="20"/>
      <c r="HV1946" s="20"/>
      <c r="HW1946" s="20"/>
      <c r="HX1946" s="20"/>
      <c r="HY1946" s="20"/>
      <c r="HZ1946" s="20"/>
      <c r="IA1946" s="20"/>
      <c r="IB1946" s="20"/>
      <c r="IC1946" s="20"/>
      <c r="ID1946" s="20"/>
      <c r="IE1946" s="20"/>
      <c r="IF1946" s="20"/>
      <c r="IG1946" s="20"/>
      <c r="IH1946" s="20"/>
      <c r="II1946" s="20"/>
      <c r="IJ1946" s="20"/>
      <c r="IK1946" s="20"/>
      <c r="IL1946" s="20"/>
      <c r="IM1946" s="20"/>
      <c r="IN1946" s="20"/>
      <c r="IO1946" s="20"/>
    </row>
    <row r="1947" spans="1:249" s="22" customFormat="1" ht="115.5">
      <c r="A1947" s="2554">
        <v>11</v>
      </c>
      <c r="B1947" s="44"/>
      <c r="C1947" s="753">
        <v>4</v>
      </c>
      <c r="D1947" s="753" t="s">
        <v>34</v>
      </c>
      <c r="E1947" s="753" t="s">
        <v>25</v>
      </c>
      <c r="F1947" s="753">
        <v>21</v>
      </c>
      <c r="G1947" s="753"/>
      <c r="H1947" s="594"/>
      <c r="I1947" s="46" t="s">
        <v>1853</v>
      </c>
      <c r="J1947" s="44" t="s">
        <v>3351</v>
      </c>
      <c r="K1947" s="149">
        <v>95</v>
      </c>
      <c r="L1947" s="1175">
        <f>SUM(L1948:L1950)</f>
        <v>877109494</v>
      </c>
      <c r="M1947" s="149">
        <v>80</v>
      </c>
      <c r="N1947" s="1175">
        <f t="shared" ref="N1947" si="568">SUM(N1948:N1950)</f>
        <v>238554747</v>
      </c>
      <c r="O1947" s="149">
        <v>5</v>
      </c>
      <c r="P1947" s="1175">
        <f>SUM(P1948:P1950)</f>
        <v>352054584</v>
      </c>
      <c r="Q1947" s="149">
        <v>0</v>
      </c>
      <c r="R1947" s="1175">
        <f t="shared" ref="R1947:X1947" si="569">SUM(R1948:R1950)</f>
        <v>7820000</v>
      </c>
      <c r="S1947" s="1175">
        <f t="shared" si="569"/>
        <v>9.75</v>
      </c>
      <c r="T1947" s="1175">
        <f>SUM(T1948:T1950)</f>
        <v>272445300</v>
      </c>
      <c r="U1947" s="1175">
        <f t="shared" si="569"/>
        <v>0</v>
      </c>
      <c r="V1947" s="1175">
        <f t="shared" si="569"/>
        <v>0</v>
      </c>
      <c r="W1947" s="1175">
        <f t="shared" si="569"/>
        <v>0</v>
      </c>
      <c r="X1947" s="1175">
        <f t="shared" si="569"/>
        <v>0</v>
      </c>
      <c r="Y1947" s="149">
        <f>Q1947+S1947+U1947+W1947</f>
        <v>9.75</v>
      </c>
      <c r="Z1947" s="1901">
        <f t="shared" si="564"/>
        <v>280265300</v>
      </c>
      <c r="AA1947" s="149">
        <f t="shared" si="561"/>
        <v>89.75</v>
      </c>
      <c r="AB1947" s="1901">
        <f t="shared" si="558"/>
        <v>518820047</v>
      </c>
      <c r="AC1947" s="821">
        <f t="shared" si="559"/>
        <v>94.473684210526315</v>
      </c>
      <c r="AD1947" s="821">
        <f t="shared" si="562"/>
        <v>59.151115174224756</v>
      </c>
      <c r="AE1947" s="2558" t="s">
        <v>2252</v>
      </c>
      <c r="AF1947" s="201"/>
      <c r="AG1947" s="201"/>
      <c r="AH1947" s="201"/>
      <c r="AI1947" s="201"/>
      <c r="AJ1947" s="201"/>
      <c r="AK1947" s="201"/>
      <c r="AL1947" s="201"/>
      <c r="AM1947" s="201"/>
      <c r="AN1947" s="201"/>
      <c r="AO1947" s="201"/>
      <c r="AP1947" s="201"/>
      <c r="AQ1947" s="201"/>
      <c r="AR1947" s="201"/>
      <c r="AS1947" s="201"/>
      <c r="AT1947" s="201"/>
      <c r="AU1947" s="201"/>
      <c r="AV1947" s="201"/>
      <c r="AW1947" s="201"/>
      <c r="AX1947" s="201"/>
      <c r="AY1947" s="201"/>
      <c r="AZ1947" s="201"/>
      <c r="BA1947" s="201"/>
      <c r="BB1947" s="201"/>
      <c r="BC1947" s="20"/>
      <c r="BD1947" s="20"/>
      <c r="BE1947" s="20"/>
      <c r="BF1947" s="20"/>
      <c r="BG1947" s="20"/>
      <c r="BH1947" s="20"/>
      <c r="BI1947" s="20"/>
      <c r="BJ1947" s="20"/>
      <c r="BK1947" s="20"/>
      <c r="BL1947" s="20"/>
      <c r="BM1947" s="20"/>
      <c r="BN1947" s="20"/>
      <c r="BO1947" s="20"/>
      <c r="BP1947" s="20"/>
      <c r="BQ1947" s="20"/>
      <c r="BR1947" s="20"/>
      <c r="BS1947" s="20"/>
      <c r="BT1947" s="20"/>
      <c r="BU1947" s="20"/>
      <c r="BV1947" s="20"/>
      <c r="BW1947" s="20"/>
      <c r="BX1947" s="20"/>
      <c r="BY1947" s="20"/>
      <c r="BZ1947" s="20"/>
      <c r="CA1947" s="20"/>
      <c r="CB1947" s="20"/>
      <c r="CC1947" s="20"/>
      <c r="CD1947" s="20"/>
      <c r="CE1947" s="20"/>
      <c r="CF1947" s="20"/>
      <c r="CG1947" s="20"/>
      <c r="CH1947" s="20"/>
      <c r="CI1947" s="20"/>
      <c r="CJ1947" s="20"/>
      <c r="CK1947" s="20"/>
      <c r="CL1947" s="20"/>
      <c r="CM1947" s="20"/>
      <c r="CN1947" s="20"/>
      <c r="CO1947" s="20"/>
      <c r="CP1947" s="20"/>
      <c r="CQ1947" s="20"/>
      <c r="CR1947" s="20"/>
      <c r="CS1947" s="20"/>
      <c r="CT1947" s="20"/>
      <c r="CU1947" s="20"/>
      <c r="CV1947" s="20"/>
      <c r="CW1947" s="20"/>
      <c r="CX1947" s="20"/>
      <c r="CY1947" s="20"/>
      <c r="CZ1947" s="20"/>
      <c r="DA1947" s="20"/>
      <c r="DB1947" s="20"/>
      <c r="DC1947" s="20"/>
      <c r="DD1947" s="20"/>
      <c r="DE1947" s="20"/>
      <c r="DF1947" s="20"/>
      <c r="DG1947" s="20"/>
      <c r="DH1947" s="20"/>
      <c r="DI1947" s="20"/>
      <c r="DJ1947" s="20"/>
      <c r="DK1947" s="20"/>
      <c r="DL1947" s="20"/>
      <c r="DM1947" s="20"/>
      <c r="DN1947" s="20"/>
      <c r="DO1947" s="20"/>
      <c r="DP1947" s="20"/>
      <c r="DQ1947" s="20"/>
      <c r="DR1947" s="20"/>
      <c r="DS1947" s="20"/>
      <c r="DT1947" s="20"/>
      <c r="DU1947" s="20"/>
      <c r="DV1947" s="20"/>
      <c r="DW1947" s="20"/>
      <c r="DX1947" s="20"/>
      <c r="DY1947" s="20"/>
      <c r="DZ1947" s="20"/>
      <c r="EA1947" s="20"/>
      <c r="EB1947" s="20"/>
      <c r="EC1947" s="20"/>
      <c r="ED1947" s="20"/>
      <c r="EE1947" s="20"/>
      <c r="EF1947" s="20"/>
      <c r="EG1947" s="20"/>
      <c r="EH1947" s="20"/>
      <c r="EI1947" s="20"/>
      <c r="EJ1947" s="20"/>
      <c r="EK1947" s="20"/>
      <c r="EL1947" s="20"/>
      <c r="EM1947" s="20"/>
      <c r="EN1947" s="20"/>
      <c r="EO1947" s="20"/>
      <c r="EP1947" s="20"/>
      <c r="EQ1947" s="20"/>
      <c r="ER1947" s="20"/>
      <c r="ES1947" s="20"/>
      <c r="ET1947" s="20"/>
      <c r="EU1947" s="20"/>
      <c r="EV1947" s="20"/>
      <c r="EW1947" s="20"/>
      <c r="EX1947" s="20"/>
      <c r="EY1947" s="20"/>
      <c r="EZ1947" s="20"/>
      <c r="FA1947" s="20"/>
      <c r="FB1947" s="20"/>
      <c r="FC1947" s="20"/>
      <c r="FD1947" s="20"/>
      <c r="FE1947" s="20"/>
      <c r="FF1947" s="20"/>
      <c r="FG1947" s="20"/>
      <c r="FH1947" s="20"/>
      <c r="FI1947" s="20"/>
      <c r="FJ1947" s="20"/>
      <c r="FK1947" s="20"/>
      <c r="FL1947" s="20"/>
      <c r="FM1947" s="20"/>
      <c r="FN1947" s="20"/>
      <c r="FO1947" s="20"/>
      <c r="FP1947" s="20"/>
      <c r="FQ1947" s="20"/>
      <c r="FR1947" s="20"/>
      <c r="FS1947" s="20"/>
      <c r="FT1947" s="20"/>
      <c r="FU1947" s="20"/>
      <c r="FV1947" s="20"/>
      <c r="FW1947" s="20"/>
      <c r="FX1947" s="20"/>
      <c r="FY1947" s="20"/>
      <c r="FZ1947" s="20"/>
      <c r="GA1947" s="20"/>
      <c r="GB1947" s="20"/>
      <c r="GC1947" s="20"/>
      <c r="GD1947" s="20"/>
      <c r="GE1947" s="20"/>
      <c r="GF1947" s="20"/>
      <c r="GG1947" s="20"/>
      <c r="GH1947" s="20"/>
      <c r="GI1947" s="20"/>
      <c r="GJ1947" s="20"/>
      <c r="GK1947" s="20"/>
      <c r="GL1947" s="20"/>
      <c r="GM1947" s="20"/>
      <c r="GN1947" s="20"/>
      <c r="GO1947" s="20"/>
      <c r="GP1947" s="20"/>
      <c r="GQ1947" s="20"/>
      <c r="GR1947" s="20"/>
      <c r="GS1947" s="20"/>
      <c r="GT1947" s="20"/>
      <c r="GU1947" s="20"/>
      <c r="GV1947" s="20"/>
      <c r="GW1947" s="20"/>
      <c r="GX1947" s="20"/>
      <c r="GY1947" s="20"/>
      <c r="GZ1947" s="20"/>
      <c r="HA1947" s="20"/>
      <c r="HB1947" s="20"/>
      <c r="HC1947" s="20"/>
      <c r="HD1947" s="20"/>
      <c r="HE1947" s="20"/>
      <c r="HF1947" s="20"/>
      <c r="HG1947" s="20"/>
      <c r="HH1947" s="20"/>
      <c r="HI1947" s="20"/>
      <c r="HJ1947" s="20"/>
      <c r="HK1947" s="20"/>
      <c r="HL1947" s="20"/>
      <c r="HM1947" s="20"/>
      <c r="HN1947" s="20"/>
      <c r="HO1947" s="20"/>
      <c r="HP1947" s="20"/>
      <c r="HQ1947" s="20"/>
      <c r="HR1947" s="20"/>
      <c r="HS1947" s="20"/>
      <c r="HT1947" s="20"/>
      <c r="HU1947" s="20"/>
      <c r="HV1947" s="20"/>
      <c r="HW1947" s="20"/>
      <c r="HX1947" s="20"/>
      <c r="HY1947" s="20"/>
      <c r="HZ1947" s="20"/>
      <c r="IA1947" s="20"/>
      <c r="IB1947" s="20"/>
      <c r="IC1947" s="20"/>
      <c r="ID1947" s="20"/>
      <c r="IE1947" s="20"/>
      <c r="IF1947" s="20"/>
      <c r="IG1947" s="20"/>
      <c r="IH1947" s="20"/>
      <c r="II1947" s="20"/>
      <c r="IJ1947" s="20"/>
      <c r="IK1947" s="20"/>
      <c r="IL1947" s="20"/>
      <c r="IM1947" s="20"/>
      <c r="IN1947" s="20"/>
      <c r="IO1947" s="20"/>
    </row>
    <row r="1948" spans="1:249" s="22" customFormat="1" ht="82.5">
      <c r="A1948" s="794"/>
      <c r="B1948" s="840"/>
      <c r="C1948" s="841">
        <v>4</v>
      </c>
      <c r="D1948" s="841" t="s">
        <v>34</v>
      </c>
      <c r="E1948" s="841" t="s">
        <v>25</v>
      </c>
      <c r="F1948" s="841">
        <v>21</v>
      </c>
      <c r="G1948" s="841">
        <v>12</v>
      </c>
      <c r="H1948" s="841"/>
      <c r="I1948" s="407" t="s">
        <v>1854</v>
      </c>
      <c r="J1948" s="6" t="s">
        <v>3352</v>
      </c>
      <c r="K1948" s="1902">
        <v>12</v>
      </c>
      <c r="L1948" s="1908">
        <v>400000000</v>
      </c>
      <c r="M1948" s="1922"/>
      <c r="N1948" s="1904"/>
      <c r="O1948" s="1902">
        <v>4</v>
      </c>
      <c r="P1948" s="1905">
        <v>265308482</v>
      </c>
      <c r="Q1948" s="1903">
        <f>O1948/4</f>
        <v>1</v>
      </c>
      <c r="R1948" s="1904">
        <v>3289000</v>
      </c>
      <c r="S1948" s="795">
        <v>0.75</v>
      </c>
      <c r="T1948" s="207">
        <v>256987400</v>
      </c>
      <c r="U1948" s="795"/>
      <c r="V1948" s="1906"/>
      <c r="W1948" s="795"/>
      <c r="X1948" s="1906"/>
      <c r="Y1948" s="1903">
        <f t="shared" ref="Y1948:Y1949" si="570">Q1948+S1948</f>
        <v>1.75</v>
      </c>
      <c r="Z1948" s="1906">
        <f t="shared" si="564"/>
        <v>260276400</v>
      </c>
      <c r="AA1948" s="1903">
        <f t="shared" si="561"/>
        <v>1.75</v>
      </c>
      <c r="AB1948" s="1906">
        <f t="shared" si="558"/>
        <v>260276400</v>
      </c>
      <c r="AC1948" s="1907">
        <f t="shared" si="559"/>
        <v>14.583333333333334</v>
      </c>
      <c r="AD1948" s="1907">
        <f t="shared" si="562"/>
        <v>65.069100000000006</v>
      </c>
      <c r="AE1948" s="102" t="s">
        <v>1983</v>
      </c>
      <c r="AF1948" s="201"/>
      <c r="AG1948" s="201"/>
      <c r="AH1948" s="201"/>
      <c r="AI1948" s="201"/>
      <c r="AJ1948" s="201"/>
      <c r="AK1948" s="201"/>
      <c r="AL1948" s="201"/>
      <c r="AM1948" s="201"/>
      <c r="AN1948" s="201"/>
      <c r="AO1948" s="201"/>
      <c r="AP1948" s="201"/>
      <c r="AQ1948" s="201"/>
      <c r="AR1948" s="201"/>
      <c r="AS1948" s="201"/>
      <c r="AT1948" s="201"/>
      <c r="AU1948" s="201"/>
      <c r="AV1948" s="201"/>
      <c r="AW1948" s="201"/>
      <c r="AX1948" s="201"/>
      <c r="AY1948" s="201"/>
      <c r="AZ1948" s="201"/>
      <c r="BA1948" s="201"/>
      <c r="BB1948" s="201"/>
      <c r="BC1948" s="20"/>
      <c r="BD1948" s="20"/>
      <c r="BE1948" s="20"/>
      <c r="BF1948" s="20"/>
      <c r="BG1948" s="20"/>
      <c r="BH1948" s="20"/>
      <c r="BI1948" s="20"/>
      <c r="BJ1948" s="20"/>
      <c r="BK1948" s="20"/>
      <c r="BL1948" s="20"/>
      <c r="BM1948" s="20"/>
      <c r="BN1948" s="20"/>
      <c r="BO1948" s="20"/>
      <c r="BP1948" s="20"/>
      <c r="BQ1948" s="20"/>
      <c r="BR1948" s="20"/>
      <c r="BS1948" s="20"/>
      <c r="BT1948" s="20"/>
      <c r="BU1948" s="20"/>
      <c r="BV1948" s="20"/>
      <c r="BW1948" s="20"/>
      <c r="BX1948" s="20"/>
      <c r="BY1948" s="20"/>
      <c r="BZ1948" s="20"/>
      <c r="CA1948" s="20"/>
      <c r="CB1948" s="20"/>
      <c r="CC1948" s="20"/>
      <c r="CD1948" s="20"/>
      <c r="CE1948" s="20"/>
      <c r="CF1948" s="20"/>
      <c r="CG1948" s="20"/>
      <c r="CH1948" s="20"/>
      <c r="CI1948" s="20"/>
      <c r="CJ1948" s="20"/>
      <c r="CK1948" s="20"/>
      <c r="CL1948" s="20"/>
      <c r="CM1948" s="20"/>
      <c r="CN1948" s="20"/>
      <c r="CO1948" s="20"/>
      <c r="CP1948" s="20"/>
      <c r="CQ1948" s="20"/>
      <c r="CR1948" s="20"/>
      <c r="CS1948" s="20"/>
      <c r="CT1948" s="20"/>
      <c r="CU1948" s="20"/>
      <c r="CV1948" s="20"/>
      <c r="CW1948" s="20"/>
      <c r="CX1948" s="20"/>
      <c r="CY1948" s="20"/>
      <c r="CZ1948" s="20"/>
      <c r="DA1948" s="20"/>
      <c r="DB1948" s="20"/>
      <c r="DC1948" s="20"/>
      <c r="DD1948" s="20"/>
      <c r="DE1948" s="20"/>
      <c r="DF1948" s="20"/>
      <c r="DG1948" s="20"/>
      <c r="DH1948" s="20"/>
      <c r="DI1948" s="20"/>
      <c r="DJ1948" s="20"/>
      <c r="DK1948" s="20"/>
      <c r="DL1948" s="20"/>
      <c r="DM1948" s="20"/>
      <c r="DN1948" s="20"/>
      <c r="DO1948" s="20"/>
      <c r="DP1948" s="20"/>
      <c r="DQ1948" s="20"/>
      <c r="DR1948" s="20"/>
      <c r="DS1948" s="20"/>
      <c r="DT1948" s="20"/>
      <c r="DU1948" s="20"/>
      <c r="DV1948" s="20"/>
      <c r="DW1948" s="20"/>
      <c r="DX1948" s="20"/>
      <c r="DY1948" s="20"/>
      <c r="DZ1948" s="20"/>
      <c r="EA1948" s="20"/>
      <c r="EB1948" s="20"/>
      <c r="EC1948" s="20"/>
      <c r="ED1948" s="20"/>
      <c r="EE1948" s="20"/>
      <c r="EF1948" s="20"/>
      <c r="EG1948" s="20"/>
      <c r="EH1948" s="20"/>
      <c r="EI1948" s="20"/>
      <c r="EJ1948" s="20"/>
      <c r="EK1948" s="20"/>
      <c r="EL1948" s="20"/>
      <c r="EM1948" s="20"/>
      <c r="EN1948" s="20"/>
      <c r="EO1948" s="20"/>
      <c r="EP1948" s="20"/>
      <c r="EQ1948" s="20"/>
      <c r="ER1948" s="20"/>
      <c r="ES1948" s="20"/>
      <c r="ET1948" s="20"/>
      <c r="EU1948" s="20"/>
      <c r="EV1948" s="20"/>
      <c r="EW1948" s="20"/>
      <c r="EX1948" s="20"/>
      <c r="EY1948" s="20"/>
      <c r="EZ1948" s="20"/>
      <c r="FA1948" s="20"/>
      <c r="FB1948" s="20"/>
      <c r="FC1948" s="20"/>
      <c r="FD1948" s="20"/>
      <c r="FE1948" s="20"/>
      <c r="FF1948" s="20"/>
      <c r="FG1948" s="20"/>
      <c r="FH1948" s="20"/>
      <c r="FI1948" s="20"/>
      <c r="FJ1948" s="20"/>
      <c r="FK1948" s="20"/>
      <c r="FL1948" s="20"/>
      <c r="FM1948" s="20"/>
      <c r="FN1948" s="20"/>
      <c r="FO1948" s="20"/>
      <c r="FP1948" s="20"/>
      <c r="FQ1948" s="20"/>
      <c r="FR1948" s="20"/>
      <c r="FS1948" s="20"/>
      <c r="FT1948" s="20"/>
      <c r="FU1948" s="20"/>
      <c r="FV1948" s="20"/>
      <c r="FW1948" s="20"/>
      <c r="FX1948" s="20"/>
      <c r="FY1948" s="20"/>
      <c r="FZ1948" s="20"/>
      <c r="GA1948" s="20"/>
      <c r="GB1948" s="20"/>
      <c r="GC1948" s="20"/>
      <c r="GD1948" s="20"/>
      <c r="GE1948" s="20"/>
      <c r="GF1948" s="20"/>
      <c r="GG1948" s="20"/>
      <c r="GH1948" s="20"/>
      <c r="GI1948" s="20"/>
      <c r="GJ1948" s="20"/>
      <c r="GK1948" s="20"/>
      <c r="GL1948" s="20"/>
      <c r="GM1948" s="20"/>
      <c r="GN1948" s="20"/>
      <c r="GO1948" s="20"/>
      <c r="GP1948" s="20"/>
      <c r="GQ1948" s="20"/>
      <c r="GR1948" s="20"/>
      <c r="GS1948" s="20"/>
      <c r="GT1948" s="20"/>
      <c r="GU1948" s="20"/>
      <c r="GV1948" s="20"/>
      <c r="GW1948" s="20"/>
      <c r="GX1948" s="20"/>
      <c r="GY1948" s="20"/>
      <c r="GZ1948" s="20"/>
      <c r="HA1948" s="20"/>
      <c r="HB1948" s="20"/>
      <c r="HC1948" s="20"/>
      <c r="HD1948" s="20"/>
      <c r="HE1948" s="20"/>
      <c r="HF1948" s="20"/>
      <c r="HG1948" s="20"/>
      <c r="HH1948" s="20"/>
      <c r="HI1948" s="20"/>
      <c r="HJ1948" s="20"/>
      <c r="HK1948" s="20"/>
      <c r="HL1948" s="20"/>
      <c r="HM1948" s="20"/>
      <c r="HN1948" s="20"/>
      <c r="HO1948" s="20"/>
      <c r="HP1948" s="20"/>
      <c r="HQ1948" s="20"/>
      <c r="HR1948" s="20"/>
      <c r="HS1948" s="20"/>
      <c r="HT1948" s="20"/>
      <c r="HU1948" s="20"/>
      <c r="HV1948" s="20"/>
      <c r="HW1948" s="20"/>
      <c r="HX1948" s="20"/>
      <c r="HY1948" s="20"/>
      <c r="HZ1948" s="20"/>
      <c r="IA1948" s="20"/>
      <c r="IB1948" s="20"/>
      <c r="IC1948" s="20"/>
      <c r="ID1948" s="20"/>
      <c r="IE1948" s="20"/>
      <c r="IF1948" s="20"/>
      <c r="IG1948" s="20"/>
      <c r="IH1948" s="20"/>
      <c r="II1948" s="20"/>
      <c r="IJ1948" s="20"/>
      <c r="IK1948" s="20"/>
      <c r="IL1948" s="20"/>
      <c r="IM1948" s="20"/>
      <c r="IN1948" s="20"/>
      <c r="IO1948" s="20"/>
    </row>
    <row r="1949" spans="1:249" s="22" customFormat="1" ht="66">
      <c r="A1949" s="794"/>
      <c r="B1949" s="840"/>
      <c r="C1949" s="841">
        <v>4</v>
      </c>
      <c r="D1949" s="841" t="s">
        <v>34</v>
      </c>
      <c r="E1949" s="841" t="s">
        <v>25</v>
      </c>
      <c r="F1949" s="841">
        <v>21</v>
      </c>
      <c r="G1949" s="841">
        <v>15</v>
      </c>
      <c r="H1949" s="841"/>
      <c r="I1949" s="407" t="s">
        <v>3353</v>
      </c>
      <c r="J1949" s="6" t="s">
        <v>3354</v>
      </c>
      <c r="K1949" s="1902">
        <v>24</v>
      </c>
      <c r="L1949" s="1908">
        <f>2*N1949</f>
        <v>230320984</v>
      </c>
      <c r="M1949" s="1922">
        <v>12</v>
      </c>
      <c r="N1949" s="1904">
        <f>28529800+27814100+58816592</f>
        <v>115160492</v>
      </c>
      <c r="O1949" s="1902">
        <v>4</v>
      </c>
      <c r="P1949" s="1905">
        <v>55450000</v>
      </c>
      <c r="Q1949" s="1903">
        <v>1</v>
      </c>
      <c r="R1949" s="1904">
        <v>3254200</v>
      </c>
      <c r="S1949" s="795">
        <v>7</v>
      </c>
      <c r="T1949" s="207">
        <v>10898400</v>
      </c>
      <c r="U1949" s="795"/>
      <c r="V1949" s="1906"/>
      <c r="W1949" s="795"/>
      <c r="X1949" s="1906"/>
      <c r="Y1949" s="1903">
        <f t="shared" si="570"/>
        <v>8</v>
      </c>
      <c r="Z1949" s="1906">
        <f t="shared" si="564"/>
        <v>14152600</v>
      </c>
      <c r="AA1949" s="1903">
        <f t="shared" si="561"/>
        <v>20</v>
      </c>
      <c r="AB1949" s="1906">
        <f t="shared" si="558"/>
        <v>129313092</v>
      </c>
      <c r="AC1949" s="1907">
        <f t="shared" si="559"/>
        <v>83.333333333333343</v>
      </c>
      <c r="AD1949" s="1907">
        <f t="shared" si="562"/>
        <v>56.144728871078463</v>
      </c>
      <c r="AE1949" s="102" t="s">
        <v>1983</v>
      </c>
      <c r="AF1949" s="201"/>
      <c r="AG1949" s="201"/>
      <c r="AH1949" s="201"/>
      <c r="AI1949" s="201"/>
      <c r="AJ1949" s="201"/>
      <c r="AK1949" s="201"/>
      <c r="AL1949" s="201"/>
      <c r="AM1949" s="201"/>
      <c r="AN1949" s="201"/>
      <c r="AO1949" s="201"/>
      <c r="AP1949" s="201"/>
      <c r="AQ1949" s="201"/>
      <c r="AR1949" s="201"/>
      <c r="AS1949" s="201"/>
      <c r="AT1949" s="201"/>
      <c r="AU1949" s="201"/>
      <c r="AV1949" s="201"/>
      <c r="AW1949" s="201"/>
      <c r="AX1949" s="201"/>
      <c r="AY1949" s="201"/>
      <c r="AZ1949" s="201"/>
      <c r="BA1949" s="201"/>
      <c r="BB1949" s="201"/>
      <c r="BC1949" s="20"/>
      <c r="BD1949" s="20"/>
      <c r="BE1949" s="20"/>
      <c r="BF1949" s="20"/>
      <c r="BG1949" s="20"/>
      <c r="BH1949" s="20"/>
      <c r="BI1949" s="20"/>
      <c r="BJ1949" s="20"/>
      <c r="BK1949" s="20"/>
      <c r="BL1949" s="20"/>
      <c r="BM1949" s="20"/>
      <c r="BN1949" s="20"/>
      <c r="BO1949" s="20"/>
      <c r="BP1949" s="20"/>
      <c r="BQ1949" s="20"/>
      <c r="BR1949" s="20"/>
      <c r="BS1949" s="20"/>
      <c r="BT1949" s="20"/>
      <c r="BU1949" s="20"/>
      <c r="BV1949" s="20"/>
      <c r="BW1949" s="20"/>
      <c r="BX1949" s="20"/>
      <c r="BY1949" s="20"/>
      <c r="BZ1949" s="20"/>
      <c r="CA1949" s="20"/>
      <c r="CB1949" s="20"/>
      <c r="CC1949" s="20"/>
      <c r="CD1949" s="20"/>
      <c r="CE1949" s="20"/>
      <c r="CF1949" s="20"/>
      <c r="CG1949" s="20"/>
      <c r="CH1949" s="20"/>
      <c r="CI1949" s="20"/>
      <c r="CJ1949" s="20"/>
      <c r="CK1949" s="20"/>
      <c r="CL1949" s="20"/>
      <c r="CM1949" s="20"/>
      <c r="CN1949" s="20"/>
      <c r="CO1949" s="20"/>
      <c r="CP1949" s="20"/>
      <c r="CQ1949" s="20"/>
      <c r="CR1949" s="20"/>
      <c r="CS1949" s="20"/>
      <c r="CT1949" s="20"/>
      <c r="CU1949" s="20"/>
      <c r="CV1949" s="20"/>
      <c r="CW1949" s="20"/>
      <c r="CX1949" s="20"/>
      <c r="CY1949" s="20"/>
      <c r="CZ1949" s="20"/>
      <c r="DA1949" s="20"/>
      <c r="DB1949" s="20"/>
      <c r="DC1949" s="20"/>
      <c r="DD1949" s="20"/>
      <c r="DE1949" s="20"/>
      <c r="DF1949" s="20"/>
      <c r="DG1949" s="20"/>
      <c r="DH1949" s="20"/>
      <c r="DI1949" s="20"/>
      <c r="DJ1949" s="20"/>
      <c r="DK1949" s="20"/>
      <c r="DL1949" s="20"/>
      <c r="DM1949" s="20"/>
      <c r="DN1949" s="20"/>
      <c r="DO1949" s="20"/>
      <c r="DP1949" s="20"/>
      <c r="DQ1949" s="20"/>
      <c r="DR1949" s="20"/>
      <c r="DS1949" s="20"/>
      <c r="DT1949" s="20"/>
      <c r="DU1949" s="20"/>
      <c r="DV1949" s="20"/>
      <c r="DW1949" s="20"/>
      <c r="DX1949" s="20"/>
      <c r="DY1949" s="20"/>
      <c r="DZ1949" s="20"/>
      <c r="EA1949" s="20"/>
      <c r="EB1949" s="20"/>
      <c r="EC1949" s="20"/>
      <c r="ED1949" s="20"/>
      <c r="EE1949" s="20"/>
      <c r="EF1949" s="20"/>
      <c r="EG1949" s="20"/>
      <c r="EH1949" s="20"/>
      <c r="EI1949" s="20"/>
      <c r="EJ1949" s="20"/>
      <c r="EK1949" s="20"/>
      <c r="EL1949" s="20"/>
      <c r="EM1949" s="20"/>
      <c r="EN1949" s="20"/>
      <c r="EO1949" s="20"/>
      <c r="EP1949" s="20"/>
      <c r="EQ1949" s="20"/>
      <c r="ER1949" s="20"/>
      <c r="ES1949" s="20"/>
      <c r="ET1949" s="20"/>
      <c r="EU1949" s="20"/>
      <c r="EV1949" s="20"/>
      <c r="EW1949" s="20"/>
      <c r="EX1949" s="20"/>
      <c r="EY1949" s="20"/>
      <c r="EZ1949" s="20"/>
      <c r="FA1949" s="20"/>
      <c r="FB1949" s="20"/>
      <c r="FC1949" s="20"/>
      <c r="FD1949" s="20"/>
      <c r="FE1949" s="20"/>
      <c r="FF1949" s="20"/>
      <c r="FG1949" s="20"/>
      <c r="FH1949" s="20"/>
      <c r="FI1949" s="20"/>
      <c r="FJ1949" s="20"/>
      <c r="FK1949" s="20"/>
      <c r="FL1949" s="20"/>
      <c r="FM1949" s="20"/>
      <c r="FN1949" s="20"/>
      <c r="FO1949" s="20"/>
      <c r="FP1949" s="20"/>
      <c r="FQ1949" s="20"/>
      <c r="FR1949" s="20"/>
      <c r="FS1949" s="20"/>
      <c r="FT1949" s="20"/>
      <c r="FU1949" s="20"/>
      <c r="FV1949" s="20"/>
      <c r="FW1949" s="20"/>
      <c r="FX1949" s="20"/>
      <c r="FY1949" s="20"/>
      <c r="FZ1949" s="20"/>
      <c r="GA1949" s="20"/>
      <c r="GB1949" s="20"/>
      <c r="GC1949" s="20"/>
      <c r="GD1949" s="20"/>
      <c r="GE1949" s="20"/>
      <c r="GF1949" s="20"/>
      <c r="GG1949" s="20"/>
      <c r="GH1949" s="20"/>
      <c r="GI1949" s="20"/>
      <c r="GJ1949" s="20"/>
      <c r="GK1949" s="20"/>
      <c r="GL1949" s="20"/>
      <c r="GM1949" s="20"/>
      <c r="GN1949" s="20"/>
      <c r="GO1949" s="20"/>
      <c r="GP1949" s="20"/>
      <c r="GQ1949" s="20"/>
      <c r="GR1949" s="20"/>
      <c r="GS1949" s="20"/>
      <c r="GT1949" s="20"/>
      <c r="GU1949" s="20"/>
      <c r="GV1949" s="20"/>
      <c r="GW1949" s="20"/>
      <c r="GX1949" s="20"/>
      <c r="GY1949" s="20"/>
      <c r="GZ1949" s="20"/>
      <c r="HA1949" s="20"/>
      <c r="HB1949" s="20"/>
      <c r="HC1949" s="20"/>
      <c r="HD1949" s="20"/>
      <c r="HE1949" s="20"/>
      <c r="HF1949" s="20"/>
      <c r="HG1949" s="20"/>
      <c r="HH1949" s="20"/>
      <c r="HI1949" s="20"/>
      <c r="HJ1949" s="20"/>
      <c r="HK1949" s="20"/>
      <c r="HL1949" s="20"/>
      <c r="HM1949" s="20"/>
      <c r="HN1949" s="20"/>
      <c r="HO1949" s="20"/>
      <c r="HP1949" s="20"/>
      <c r="HQ1949" s="20"/>
      <c r="HR1949" s="20"/>
      <c r="HS1949" s="20"/>
      <c r="HT1949" s="20"/>
      <c r="HU1949" s="20"/>
      <c r="HV1949" s="20"/>
      <c r="HW1949" s="20"/>
      <c r="HX1949" s="20"/>
      <c r="HY1949" s="20"/>
      <c r="HZ1949" s="20"/>
      <c r="IA1949" s="20"/>
      <c r="IB1949" s="20"/>
      <c r="IC1949" s="20"/>
      <c r="ID1949" s="20"/>
      <c r="IE1949" s="20"/>
      <c r="IF1949" s="20"/>
      <c r="IG1949" s="20"/>
      <c r="IH1949" s="20"/>
      <c r="II1949" s="20"/>
      <c r="IJ1949" s="20"/>
      <c r="IK1949" s="20"/>
      <c r="IL1949" s="20"/>
      <c r="IM1949" s="20"/>
      <c r="IN1949" s="20"/>
      <c r="IO1949" s="20"/>
    </row>
    <row r="1950" spans="1:249" s="22" customFormat="1" ht="66">
      <c r="A1950" s="794"/>
      <c r="B1950" s="840"/>
      <c r="C1950" s="841">
        <v>4</v>
      </c>
      <c r="D1950" s="841" t="s">
        <v>34</v>
      </c>
      <c r="E1950" s="841" t="s">
        <v>25</v>
      </c>
      <c r="F1950" s="841">
        <v>21</v>
      </c>
      <c r="G1950" s="841">
        <v>17</v>
      </c>
      <c r="H1950" s="841"/>
      <c r="I1950" s="407" t="s">
        <v>1855</v>
      </c>
      <c r="J1950" s="407" t="s">
        <v>3355</v>
      </c>
      <c r="K1950" s="1903">
        <v>72</v>
      </c>
      <c r="L1950" s="1908">
        <f>2*N1950</f>
        <v>246788510</v>
      </c>
      <c r="M1950" s="1922">
        <v>36</v>
      </c>
      <c r="N1950" s="1904">
        <f>45539800+54949100+22905355</f>
        <v>123394255</v>
      </c>
      <c r="O1950" s="1902">
        <v>12</v>
      </c>
      <c r="P1950" s="1905">
        <v>31296102</v>
      </c>
      <c r="Q1950" s="1903">
        <v>1</v>
      </c>
      <c r="R1950" s="1904">
        <v>1276800</v>
      </c>
      <c r="S1950" s="795">
        <v>2</v>
      </c>
      <c r="T1950" s="207">
        <v>4559500</v>
      </c>
      <c r="U1950" s="795"/>
      <c r="V1950" s="1906"/>
      <c r="W1950" s="795"/>
      <c r="X1950" s="1906"/>
      <c r="Y1950" s="1903">
        <v>11</v>
      </c>
      <c r="Z1950" s="1906">
        <f t="shared" si="564"/>
        <v>5836300</v>
      </c>
      <c r="AA1950" s="1903">
        <f t="shared" si="561"/>
        <v>47</v>
      </c>
      <c r="AB1950" s="1906">
        <f t="shared" si="558"/>
        <v>129230555</v>
      </c>
      <c r="AC1950" s="1907">
        <f t="shared" si="559"/>
        <v>65.277777777777786</v>
      </c>
      <c r="AD1950" s="1907">
        <f t="shared" si="562"/>
        <v>52.364899403136725</v>
      </c>
      <c r="AE1950" s="102" t="s">
        <v>1983</v>
      </c>
      <c r="AF1950" s="201"/>
      <c r="AG1950" s="201"/>
      <c r="AH1950" s="201"/>
      <c r="AI1950" s="201"/>
      <c r="AJ1950" s="201"/>
      <c r="AK1950" s="201"/>
      <c r="AL1950" s="201"/>
      <c r="AM1950" s="201"/>
      <c r="AN1950" s="201"/>
      <c r="AO1950" s="201"/>
      <c r="AP1950" s="201"/>
      <c r="AQ1950" s="201"/>
      <c r="AR1950" s="201"/>
      <c r="AS1950" s="201"/>
      <c r="AT1950" s="201"/>
      <c r="AU1950" s="201"/>
      <c r="AV1950" s="201"/>
      <c r="AW1950" s="201"/>
      <c r="AX1950" s="201"/>
      <c r="AY1950" s="201"/>
      <c r="AZ1950" s="201"/>
      <c r="BA1950" s="201"/>
      <c r="BB1950" s="201"/>
      <c r="BC1950" s="20"/>
      <c r="BD1950" s="20"/>
      <c r="BE1950" s="20"/>
      <c r="BF1950" s="20"/>
      <c r="BG1950" s="20"/>
      <c r="BH1950" s="20"/>
      <c r="BI1950" s="20"/>
      <c r="BJ1950" s="20"/>
      <c r="BK1950" s="20"/>
      <c r="BL1950" s="20"/>
      <c r="BM1950" s="20"/>
      <c r="BN1950" s="20"/>
      <c r="BO1950" s="20"/>
      <c r="BP1950" s="20"/>
      <c r="BQ1950" s="20"/>
      <c r="BR1950" s="20"/>
      <c r="BS1950" s="20"/>
      <c r="BT1950" s="20"/>
      <c r="BU1950" s="20"/>
      <c r="BV1950" s="20"/>
      <c r="BW1950" s="20"/>
      <c r="BX1950" s="20"/>
      <c r="BY1950" s="20"/>
      <c r="BZ1950" s="20"/>
      <c r="CA1950" s="20"/>
      <c r="CB1950" s="20"/>
      <c r="CC1950" s="20"/>
      <c r="CD1950" s="20"/>
      <c r="CE1950" s="20"/>
      <c r="CF1950" s="20"/>
      <c r="CG1950" s="20"/>
      <c r="CH1950" s="20"/>
      <c r="CI1950" s="20"/>
      <c r="CJ1950" s="20"/>
      <c r="CK1950" s="20"/>
      <c r="CL1950" s="20"/>
      <c r="CM1950" s="20"/>
      <c r="CN1950" s="20"/>
      <c r="CO1950" s="20"/>
      <c r="CP1950" s="20"/>
      <c r="CQ1950" s="20"/>
      <c r="CR1950" s="20"/>
      <c r="CS1950" s="20"/>
      <c r="CT1950" s="20"/>
      <c r="CU1950" s="20"/>
      <c r="CV1950" s="20"/>
      <c r="CW1950" s="20"/>
      <c r="CX1950" s="20"/>
      <c r="CY1950" s="20"/>
      <c r="CZ1950" s="20"/>
      <c r="DA1950" s="20"/>
      <c r="DB1950" s="20"/>
      <c r="DC1950" s="20"/>
      <c r="DD1950" s="20"/>
      <c r="DE1950" s="20"/>
      <c r="DF1950" s="20"/>
      <c r="DG1950" s="20"/>
      <c r="DH1950" s="20"/>
      <c r="DI1950" s="20"/>
      <c r="DJ1950" s="20"/>
      <c r="DK1950" s="20"/>
      <c r="DL1950" s="20"/>
      <c r="DM1950" s="20"/>
      <c r="DN1950" s="20"/>
      <c r="DO1950" s="20"/>
      <c r="DP1950" s="20"/>
      <c r="DQ1950" s="20"/>
      <c r="DR1950" s="20"/>
      <c r="DS1950" s="20"/>
      <c r="DT1950" s="20"/>
      <c r="DU1950" s="20"/>
      <c r="DV1950" s="20"/>
      <c r="DW1950" s="20"/>
      <c r="DX1950" s="20"/>
      <c r="DY1950" s="20"/>
      <c r="DZ1950" s="20"/>
      <c r="EA1950" s="20"/>
      <c r="EB1950" s="20"/>
      <c r="EC1950" s="20"/>
      <c r="ED1950" s="20"/>
      <c r="EE1950" s="20"/>
      <c r="EF1950" s="20"/>
      <c r="EG1950" s="20"/>
      <c r="EH1950" s="20"/>
      <c r="EI1950" s="20"/>
      <c r="EJ1950" s="20"/>
      <c r="EK1950" s="20"/>
      <c r="EL1950" s="20"/>
      <c r="EM1950" s="20"/>
      <c r="EN1950" s="20"/>
      <c r="EO1950" s="20"/>
      <c r="EP1950" s="20"/>
      <c r="EQ1950" s="20"/>
      <c r="ER1950" s="20"/>
      <c r="ES1950" s="20"/>
      <c r="ET1950" s="20"/>
      <c r="EU1950" s="20"/>
      <c r="EV1950" s="20"/>
      <c r="EW1950" s="20"/>
      <c r="EX1950" s="20"/>
      <c r="EY1950" s="20"/>
      <c r="EZ1950" s="20"/>
      <c r="FA1950" s="20"/>
      <c r="FB1950" s="20"/>
      <c r="FC1950" s="20"/>
      <c r="FD1950" s="20"/>
      <c r="FE1950" s="20"/>
      <c r="FF1950" s="20"/>
      <c r="FG1950" s="20"/>
      <c r="FH1950" s="20"/>
      <c r="FI1950" s="20"/>
      <c r="FJ1950" s="20"/>
      <c r="FK1950" s="20"/>
      <c r="FL1950" s="20"/>
      <c r="FM1950" s="20"/>
      <c r="FN1950" s="20"/>
      <c r="FO1950" s="20"/>
      <c r="FP1950" s="20"/>
      <c r="FQ1950" s="20"/>
      <c r="FR1950" s="20"/>
      <c r="FS1950" s="20"/>
      <c r="FT1950" s="20"/>
      <c r="FU1950" s="20"/>
      <c r="FV1950" s="20"/>
      <c r="FW1950" s="20"/>
      <c r="FX1950" s="20"/>
      <c r="FY1950" s="20"/>
      <c r="FZ1950" s="20"/>
      <c r="GA1950" s="20"/>
      <c r="GB1950" s="20"/>
      <c r="GC1950" s="20"/>
      <c r="GD1950" s="20"/>
      <c r="GE1950" s="20"/>
      <c r="GF1950" s="20"/>
      <c r="GG1950" s="20"/>
      <c r="GH1950" s="20"/>
      <c r="GI1950" s="20"/>
      <c r="GJ1950" s="20"/>
      <c r="GK1950" s="20"/>
      <c r="GL1950" s="20"/>
      <c r="GM1950" s="20"/>
      <c r="GN1950" s="20"/>
      <c r="GO1950" s="20"/>
      <c r="GP1950" s="20"/>
      <c r="GQ1950" s="20"/>
      <c r="GR1950" s="20"/>
      <c r="GS1950" s="20"/>
      <c r="GT1950" s="20"/>
      <c r="GU1950" s="20"/>
      <c r="GV1950" s="20"/>
      <c r="GW1950" s="20"/>
      <c r="GX1950" s="20"/>
      <c r="GY1950" s="20"/>
      <c r="GZ1950" s="20"/>
      <c r="HA1950" s="20"/>
      <c r="HB1950" s="20"/>
      <c r="HC1950" s="20"/>
      <c r="HD1950" s="20"/>
      <c r="HE1950" s="20"/>
      <c r="HF1950" s="20"/>
      <c r="HG1950" s="20"/>
      <c r="HH1950" s="20"/>
      <c r="HI1950" s="20"/>
      <c r="HJ1950" s="20"/>
      <c r="HK1950" s="20"/>
      <c r="HL1950" s="20"/>
      <c r="HM1950" s="20"/>
      <c r="HN1950" s="20"/>
      <c r="HO1950" s="20"/>
      <c r="HP1950" s="20"/>
      <c r="HQ1950" s="20"/>
      <c r="HR1950" s="20"/>
      <c r="HS1950" s="20"/>
      <c r="HT1950" s="20"/>
      <c r="HU1950" s="20"/>
      <c r="HV1950" s="20"/>
      <c r="HW1950" s="20"/>
      <c r="HX1950" s="20"/>
      <c r="HY1950" s="20"/>
      <c r="HZ1950" s="20"/>
      <c r="IA1950" s="20"/>
      <c r="IB1950" s="20"/>
      <c r="IC1950" s="20"/>
      <c r="ID1950" s="20"/>
      <c r="IE1950" s="20"/>
      <c r="IF1950" s="20"/>
      <c r="IG1950" s="20"/>
      <c r="IH1950" s="20"/>
      <c r="II1950" s="20"/>
      <c r="IJ1950" s="20"/>
      <c r="IK1950" s="20"/>
      <c r="IL1950" s="20"/>
      <c r="IM1950" s="20"/>
      <c r="IN1950" s="20"/>
      <c r="IO1950" s="20"/>
    </row>
    <row r="1951" spans="1:249" s="22" customFormat="1" ht="66">
      <c r="A1951" s="2554">
        <v>12</v>
      </c>
      <c r="B1951" s="44"/>
      <c r="C1951" s="753">
        <v>4</v>
      </c>
      <c r="D1951" s="753" t="s">
        <v>34</v>
      </c>
      <c r="E1951" s="753" t="s">
        <v>25</v>
      </c>
      <c r="F1951" s="753">
        <v>18</v>
      </c>
      <c r="G1951" s="753"/>
      <c r="H1951" s="753"/>
      <c r="I1951" s="44" t="s">
        <v>1856</v>
      </c>
      <c r="J1951" s="44" t="s">
        <v>3356</v>
      </c>
      <c r="K1951" s="149">
        <v>160</v>
      </c>
      <c r="L1951" s="1901">
        <f>SUM(L1952:L1955)</f>
        <v>11070000000</v>
      </c>
      <c r="M1951" s="1926">
        <f>25+27+27</f>
        <v>79</v>
      </c>
      <c r="N1951" s="1899">
        <f>SUM(N1952:N1955)</f>
        <v>4194207806</v>
      </c>
      <c r="O1951" s="149">
        <v>27</v>
      </c>
      <c r="P1951" s="1899">
        <f>SUM(P1952:P1955)</f>
        <v>647025000</v>
      </c>
      <c r="Q1951" s="149">
        <v>6</v>
      </c>
      <c r="R1951" s="1899">
        <f t="shared" ref="R1951:X1951" si="571">SUM(R1952:R1955)</f>
        <v>93247700</v>
      </c>
      <c r="S1951" s="1899">
        <f t="shared" si="571"/>
        <v>21</v>
      </c>
      <c r="T1951" s="1899">
        <f>SUM(T1952:T1954)</f>
        <v>361720000</v>
      </c>
      <c r="U1951" s="1899">
        <f t="shared" si="571"/>
        <v>0</v>
      </c>
      <c r="V1951" s="1899">
        <f t="shared" si="571"/>
        <v>0</v>
      </c>
      <c r="W1951" s="1899">
        <f t="shared" si="571"/>
        <v>0</v>
      </c>
      <c r="X1951" s="1899">
        <f t="shared" si="571"/>
        <v>0</v>
      </c>
      <c r="Y1951" s="149">
        <f>Q1951+S1951+U1951</f>
        <v>27</v>
      </c>
      <c r="Z1951" s="1901">
        <f t="shared" si="564"/>
        <v>454967700</v>
      </c>
      <c r="AA1951" s="149">
        <f t="shared" si="561"/>
        <v>106</v>
      </c>
      <c r="AB1951" s="1901">
        <f t="shared" si="558"/>
        <v>4649175506</v>
      </c>
      <c r="AC1951" s="821">
        <f t="shared" si="559"/>
        <v>66.25</v>
      </c>
      <c r="AD1951" s="821">
        <f t="shared" si="562"/>
        <v>41.997972050587173</v>
      </c>
      <c r="AE1951" s="2558" t="s">
        <v>2252</v>
      </c>
      <c r="AF1951" s="201"/>
      <c r="AG1951" s="201"/>
      <c r="AH1951" s="201"/>
      <c r="AI1951" s="201"/>
      <c r="AJ1951" s="201"/>
      <c r="AK1951" s="201"/>
      <c r="AL1951" s="201"/>
      <c r="AM1951" s="201"/>
      <c r="AN1951" s="201"/>
      <c r="AO1951" s="201"/>
      <c r="AP1951" s="201"/>
      <c r="AQ1951" s="201"/>
      <c r="AR1951" s="201"/>
      <c r="AS1951" s="201"/>
      <c r="AT1951" s="201"/>
      <c r="AU1951" s="201"/>
      <c r="AV1951" s="201"/>
      <c r="AW1951" s="201"/>
      <c r="AX1951" s="201"/>
      <c r="AY1951" s="201"/>
      <c r="AZ1951" s="201"/>
      <c r="BA1951" s="201"/>
      <c r="BB1951" s="201"/>
      <c r="BC1951" s="20"/>
      <c r="BD1951" s="20"/>
      <c r="BE1951" s="20"/>
      <c r="BF1951" s="20"/>
      <c r="BG1951" s="20"/>
      <c r="BH1951" s="20"/>
      <c r="BI1951" s="20"/>
      <c r="BJ1951" s="20"/>
      <c r="BK1951" s="20"/>
      <c r="BL1951" s="20"/>
      <c r="BM1951" s="20"/>
      <c r="BN1951" s="20"/>
      <c r="BO1951" s="20"/>
      <c r="BP1951" s="20"/>
      <c r="BQ1951" s="20"/>
      <c r="BR1951" s="20"/>
      <c r="BS1951" s="20"/>
      <c r="BT1951" s="20"/>
      <c r="BU1951" s="20"/>
      <c r="BV1951" s="20"/>
      <c r="BW1951" s="20"/>
      <c r="BX1951" s="20"/>
      <c r="BY1951" s="20"/>
      <c r="BZ1951" s="20"/>
      <c r="CA1951" s="20"/>
      <c r="CB1951" s="20"/>
      <c r="CC1951" s="20"/>
      <c r="CD1951" s="20"/>
      <c r="CE1951" s="20"/>
      <c r="CF1951" s="20"/>
      <c r="CG1951" s="20"/>
      <c r="CH1951" s="20"/>
      <c r="CI1951" s="20"/>
      <c r="CJ1951" s="20"/>
      <c r="CK1951" s="20"/>
      <c r="CL1951" s="20"/>
      <c r="CM1951" s="20"/>
      <c r="CN1951" s="20"/>
      <c r="CO1951" s="20"/>
      <c r="CP1951" s="20"/>
      <c r="CQ1951" s="20"/>
      <c r="CR1951" s="20"/>
      <c r="CS1951" s="20"/>
      <c r="CT1951" s="20"/>
      <c r="CU1951" s="20"/>
      <c r="CV1951" s="20"/>
      <c r="CW1951" s="20"/>
      <c r="CX1951" s="20"/>
      <c r="CY1951" s="20"/>
      <c r="CZ1951" s="20"/>
      <c r="DA1951" s="20"/>
      <c r="DB1951" s="20"/>
      <c r="DC1951" s="20"/>
      <c r="DD1951" s="20"/>
      <c r="DE1951" s="20"/>
      <c r="DF1951" s="20"/>
      <c r="DG1951" s="20"/>
      <c r="DH1951" s="20"/>
      <c r="DI1951" s="20"/>
      <c r="DJ1951" s="20"/>
      <c r="DK1951" s="20"/>
      <c r="DL1951" s="20"/>
      <c r="DM1951" s="20"/>
      <c r="DN1951" s="20"/>
      <c r="DO1951" s="20"/>
      <c r="DP1951" s="20"/>
      <c r="DQ1951" s="20"/>
      <c r="DR1951" s="20"/>
      <c r="DS1951" s="20"/>
      <c r="DT1951" s="20"/>
      <c r="DU1951" s="20"/>
      <c r="DV1951" s="20"/>
      <c r="DW1951" s="20"/>
      <c r="DX1951" s="20"/>
      <c r="DY1951" s="20"/>
      <c r="DZ1951" s="20"/>
      <c r="EA1951" s="20"/>
      <c r="EB1951" s="20"/>
      <c r="EC1951" s="20"/>
      <c r="ED1951" s="20"/>
      <c r="EE1951" s="20"/>
      <c r="EF1951" s="20"/>
      <c r="EG1951" s="20"/>
      <c r="EH1951" s="20"/>
      <c r="EI1951" s="20"/>
      <c r="EJ1951" s="20"/>
      <c r="EK1951" s="20"/>
      <c r="EL1951" s="20"/>
      <c r="EM1951" s="20"/>
      <c r="EN1951" s="20"/>
      <c r="EO1951" s="20"/>
      <c r="EP1951" s="20"/>
      <c r="EQ1951" s="20"/>
      <c r="ER1951" s="20"/>
      <c r="ES1951" s="20"/>
      <c r="ET1951" s="20"/>
      <c r="EU1951" s="20"/>
      <c r="EV1951" s="20"/>
      <c r="EW1951" s="20"/>
      <c r="EX1951" s="20"/>
      <c r="EY1951" s="20"/>
      <c r="EZ1951" s="20"/>
      <c r="FA1951" s="20"/>
      <c r="FB1951" s="20"/>
      <c r="FC1951" s="20"/>
      <c r="FD1951" s="20"/>
      <c r="FE1951" s="20"/>
      <c r="FF1951" s="20"/>
      <c r="FG1951" s="20"/>
      <c r="FH1951" s="20"/>
      <c r="FI1951" s="20"/>
      <c r="FJ1951" s="20"/>
      <c r="FK1951" s="20"/>
      <c r="FL1951" s="20"/>
      <c r="FM1951" s="20"/>
      <c r="FN1951" s="20"/>
      <c r="FO1951" s="20"/>
      <c r="FP1951" s="20"/>
      <c r="FQ1951" s="20"/>
      <c r="FR1951" s="20"/>
      <c r="FS1951" s="20"/>
      <c r="FT1951" s="20"/>
      <c r="FU1951" s="20"/>
      <c r="FV1951" s="20"/>
      <c r="FW1951" s="20"/>
      <c r="FX1951" s="20"/>
      <c r="FY1951" s="20"/>
      <c r="FZ1951" s="20"/>
      <c r="GA1951" s="20"/>
      <c r="GB1951" s="20"/>
      <c r="GC1951" s="20"/>
      <c r="GD1951" s="20"/>
      <c r="GE1951" s="20"/>
      <c r="GF1951" s="20"/>
      <c r="GG1951" s="20"/>
      <c r="GH1951" s="20"/>
      <c r="GI1951" s="20"/>
      <c r="GJ1951" s="20"/>
      <c r="GK1951" s="20"/>
      <c r="GL1951" s="20"/>
      <c r="GM1951" s="20"/>
      <c r="GN1951" s="20"/>
      <c r="GO1951" s="20"/>
      <c r="GP1951" s="20"/>
      <c r="GQ1951" s="20"/>
      <c r="GR1951" s="20"/>
      <c r="GS1951" s="20"/>
      <c r="GT1951" s="20"/>
      <c r="GU1951" s="20"/>
      <c r="GV1951" s="20"/>
      <c r="GW1951" s="20"/>
      <c r="GX1951" s="20"/>
      <c r="GY1951" s="20"/>
      <c r="GZ1951" s="20"/>
      <c r="HA1951" s="20"/>
      <c r="HB1951" s="20"/>
      <c r="HC1951" s="20"/>
      <c r="HD1951" s="20"/>
      <c r="HE1951" s="20"/>
      <c r="HF1951" s="20"/>
      <c r="HG1951" s="20"/>
      <c r="HH1951" s="20"/>
      <c r="HI1951" s="20"/>
      <c r="HJ1951" s="20"/>
      <c r="HK1951" s="20"/>
      <c r="HL1951" s="20"/>
      <c r="HM1951" s="20"/>
      <c r="HN1951" s="20"/>
      <c r="HO1951" s="20"/>
      <c r="HP1951" s="20"/>
      <c r="HQ1951" s="20"/>
      <c r="HR1951" s="20"/>
      <c r="HS1951" s="20"/>
      <c r="HT1951" s="20"/>
      <c r="HU1951" s="20"/>
      <c r="HV1951" s="20"/>
      <c r="HW1951" s="20"/>
      <c r="HX1951" s="20"/>
      <c r="HY1951" s="20"/>
      <c r="HZ1951" s="20"/>
      <c r="IA1951" s="20"/>
      <c r="IB1951" s="20"/>
      <c r="IC1951" s="20"/>
      <c r="ID1951" s="20"/>
      <c r="IE1951" s="20"/>
      <c r="IF1951" s="20"/>
      <c r="IG1951" s="20"/>
      <c r="IH1951" s="20"/>
      <c r="II1951" s="20"/>
      <c r="IJ1951" s="20"/>
      <c r="IK1951" s="20"/>
      <c r="IL1951" s="20"/>
      <c r="IM1951" s="20"/>
      <c r="IN1951" s="20"/>
      <c r="IO1951" s="20"/>
    </row>
    <row r="1952" spans="1:249" s="22" customFormat="1" ht="49.5">
      <c r="A1952" s="794"/>
      <c r="B1952" s="840"/>
      <c r="C1952" s="841">
        <v>4</v>
      </c>
      <c r="D1952" s="841" t="s">
        <v>34</v>
      </c>
      <c r="E1952" s="841" t="s">
        <v>25</v>
      </c>
      <c r="F1952" s="841">
        <v>18</v>
      </c>
      <c r="G1952" s="841" t="s">
        <v>25</v>
      </c>
      <c r="H1952" s="841"/>
      <c r="I1952" s="6" t="s">
        <v>1857</v>
      </c>
      <c r="J1952" s="6" t="s">
        <v>3358</v>
      </c>
      <c r="K1952" s="1902">
        <v>72</v>
      </c>
      <c r="L1952" s="1908">
        <v>4100000000</v>
      </c>
      <c r="M1952" s="1922">
        <v>36</v>
      </c>
      <c r="N1952" s="1904">
        <f>636878350+529505010+653411955</f>
        <v>1819795315</v>
      </c>
      <c r="O1952" s="1902">
        <v>12</v>
      </c>
      <c r="P1952" s="1905">
        <v>254850000</v>
      </c>
      <c r="Q1952" s="1903">
        <v>3</v>
      </c>
      <c r="R1952" s="1904">
        <v>6824100</v>
      </c>
      <c r="S1952" s="795">
        <v>6</v>
      </c>
      <c r="T1952" s="207">
        <v>101023750</v>
      </c>
      <c r="U1952" s="795"/>
      <c r="V1952" s="1906"/>
      <c r="W1952" s="795"/>
      <c r="X1952" s="1906"/>
      <c r="Y1952" s="1903">
        <f>Q1952+S1952+U1952</f>
        <v>9</v>
      </c>
      <c r="Z1952" s="1906">
        <f t="shared" si="564"/>
        <v>107847850</v>
      </c>
      <c r="AA1952" s="1903">
        <f t="shared" si="561"/>
        <v>45</v>
      </c>
      <c r="AB1952" s="1906">
        <f t="shared" si="558"/>
        <v>1927643165</v>
      </c>
      <c r="AC1952" s="1907">
        <f t="shared" si="559"/>
        <v>62.5</v>
      </c>
      <c r="AD1952" s="1907">
        <f t="shared" si="562"/>
        <v>47.015686951219507</v>
      </c>
      <c r="AE1952" s="102" t="s">
        <v>1986</v>
      </c>
      <c r="AF1952" s="201"/>
      <c r="AG1952" s="201"/>
      <c r="AH1952" s="201"/>
      <c r="AI1952" s="201"/>
      <c r="AJ1952" s="201"/>
      <c r="AK1952" s="201"/>
      <c r="AL1952" s="201"/>
      <c r="AM1952" s="201"/>
      <c r="AN1952" s="201"/>
      <c r="AO1952" s="201"/>
      <c r="AP1952" s="201"/>
      <c r="AQ1952" s="201"/>
      <c r="AR1952" s="201"/>
      <c r="AS1952" s="201"/>
      <c r="AT1952" s="201"/>
      <c r="AU1952" s="201"/>
      <c r="AV1952" s="201"/>
      <c r="AW1952" s="201"/>
      <c r="AX1952" s="201"/>
      <c r="AY1952" s="201"/>
      <c r="AZ1952" s="201"/>
      <c r="BA1952" s="201"/>
      <c r="BB1952" s="201"/>
      <c r="BC1952" s="20"/>
      <c r="BD1952" s="20"/>
      <c r="BE1952" s="20"/>
      <c r="BF1952" s="20"/>
      <c r="BG1952" s="20"/>
      <c r="BH1952" s="20"/>
      <c r="BI1952" s="20"/>
      <c r="BJ1952" s="20"/>
      <c r="BK1952" s="20"/>
      <c r="BL1952" s="20"/>
      <c r="BM1952" s="20"/>
      <c r="BN1952" s="20"/>
      <c r="BO1952" s="20"/>
      <c r="BP1952" s="20"/>
      <c r="BQ1952" s="20"/>
      <c r="BR1952" s="20"/>
      <c r="BS1952" s="20"/>
      <c r="BT1952" s="20"/>
      <c r="BU1952" s="20"/>
      <c r="BV1952" s="20"/>
      <c r="BW1952" s="20"/>
      <c r="BX1952" s="20"/>
      <c r="BY1952" s="20"/>
      <c r="BZ1952" s="20"/>
      <c r="CA1952" s="20"/>
      <c r="CB1952" s="20"/>
      <c r="CC1952" s="20"/>
      <c r="CD1952" s="20"/>
      <c r="CE1952" s="20"/>
      <c r="CF1952" s="20"/>
      <c r="CG1952" s="20"/>
      <c r="CH1952" s="20"/>
      <c r="CI1952" s="20"/>
      <c r="CJ1952" s="20"/>
      <c r="CK1952" s="20"/>
      <c r="CL1952" s="20"/>
      <c r="CM1952" s="20"/>
      <c r="CN1952" s="20"/>
      <c r="CO1952" s="20"/>
      <c r="CP1952" s="20"/>
      <c r="CQ1952" s="20"/>
      <c r="CR1952" s="20"/>
      <c r="CS1952" s="20"/>
      <c r="CT1952" s="20"/>
      <c r="CU1952" s="20"/>
      <c r="CV1952" s="20"/>
      <c r="CW1952" s="20"/>
      <c r="CX1952" s="20"/>
      <c r="CY1952" s="20"/>
      <c r="CZ1952" s="20"/>
      <c r="DA1952" s="20"/>
      <c r="DB1952" s="20"/>
      <c r="DC1952" s="20"/>
      <c r="DD1952" s="20"/>
      <c r="DE1952" s="20"/>
      <c r="DF1952" s="20"/>
      <c r="DG1952" s="20"/>
      <c r="DH1952" s="20"/>
      <c r="DI1952" s="20"/>
      <c r="DJ1952" s="20"/>
      <c r="DK1952" s="20"/>
      <c r="DL1952" s="20"/>
      <c r="DM1952" s="20"/>
      <c r="DN1952" s="20"/>
      <c r="DO1952" s="20"/>
      <c r="DP1952" s="20"/>
      <c r="DQ1952" s="20"/>
      <c r="DR1952" s="20"/>
      <c r="DS1952" s="20"/>
      <c r="DT1952" s="20"/>
      <c r="DU1952" s="20"/>
      <c r="DV1952" s="20"/>
      <c r="DW1952" s="20"/>
      <c r="DX1952" s="20"/>
      <c r="DY1952" s="20"/>
      <c r="DZ1952" s="20"/>
      <c r="EA1952" s="20"/>
      <c r="EB1952" s="20"/>
      <c r="EC1952" s="20"/>
      <c r="ED1952" s="20"/>
      <c r="EE1952" s="20"/>
      <c r="EF1952" s="20"/>
      <c r="EG1952" s="20"/>
      <c r="EH1952" s="20"/>
      <c r="EI1952" s="20"/>
      <c r="EJ1952" s="20"/>
      <c r="EK1952" s="20"/>
      <c r="EL1952" s="20"/>
      <c r="EM1952" s="20"/>
      <c r="EN1952" s="20"/>
      <c r="EO1952" s="20"/>
      <c r="EP1952" s="20"/>
      <c r="EQ1952" s="20"/>
      <c r="ER1952" s="20"/>
      <c r="ES1952" s="20"/>
      <c r="ET1952" s="20"/>
      <c r="EU1952" s="20"/>
      <c r="EV1952" s="20"/>
      <c r="EW1952" s="20"/>
      <c r="EX1952" s="20"/>
      <c r="EY1952" s="20"/>
      <c r="EZ1952" s="20"/>
      <c r="FA1952" s="20"/>
      <c r="FB1952" s="20"/>
      <c r="FC1952" s="20"/>
      <c r="FD1952" s="20"/>
      <c r="FE1952" s="20"/>
      <c r="FF1952" s="20"/>
      <c r="FG1952" s="20"/>
      <c r="FH1952" s="20"/>
      <c r="FI1952" s="20"/>
      <c r="FJ1952" s="20"/>
      <c r="FK1952" s="20"/>
      <c r="FL1952" s="20"/>
      <c r="FM1952" s="20"/>
      <c r="FN1952" s="20"/>
      <c r="FO1952" s="20"/>
      <c r="FP1952" s="20"/>
      <c r="FQ1952" s="20"/>
      <c r="FR1952" s="20"/>
      <c r="FS1952" s="20"/>
      <c r="FT1952" s="20"/>
      <c r="FU1952" s="20"/>
      <c r="FV1952" s="20"/>
      <c r="FW1952" s="20"/>
      <c r="FX1952" s="20"/>
      <c r="FY1952" s="20"/>
      <c r="FZ1952" s="20"/>
      <c r="GA1952" s="20"/>
      <c r="GB1952" s="20"/>
      <c r="GC1952" s="20"/>
      <c r="GD1952" s="20"/>
      <c r="GE1952" s="20"/>
      <c r="GF1952" s="20"/>
      <c r="GG1952" s="20"/>
      <c r="GH1952" s="20"/>
      <c r="GI1952" s="20"/>
      <c r="GJ1952" s="20"/>
      <c r="GK1952" s="20"/>
      <c r="GL1952" s="20"/>
      <c r="GM1952" s="20"/>
      <c r="GN1952" s="20"/>
      <c r="GO1952" s="20"/>
      <c r="GP1952" s="20"/>
      <c r="GQ1952" s="20"/>
      <c r="GR1952" s="20"/>
      <c r="GS1952" s="20"/>
      <c r="GT1952" s="20"/>
      <c r="GU1952" s="20"/>
      <c r="GV1952" s="20"/>
      <c r="GW1952" s="20"/>
      <c r="GX1952" s="20"/>
      <c r="GY1952" s="20"/>
      <c r="GZ1952" s="20"/>
      <c r="HA1952" s="20"/>
      <c r="HB1952" s="20"/>
      <c r="HC1952" s="20"/>
      <c r="HD1952" s="20"/>
      <c r="HE1952" s="20"/>
      <c r="HF1952" s="20"/>
      <c r="HG1952" s="20"/>
      <c r="HH1952" s="20"/>
      <c r="HI1952" s="20"/>
      <c r="HJ1952" s="20"/>
      <c r="HK1952" s="20"/>
      <c r="HL1952" s="20"/>
      <c r="HM1952" s="20"/>
      <c r="HN1952" s="20"/>
      <c r="HO1952" s="20"/>
      <c r="HP1952" s="20"/>
      <c r="HQ1952" s="20"/>
      <c r="HR1952" s="20"/>
      <c r="HS1952" s="20"/>
      <c r="HT1952" s="20"/>
      <c r="HU1952" s="20"/>
      <c r="HV1952" s="20"/>
      <c r="HW1952" s="20"/>
      <c r="HX1952" s="20"/>
      <c r="HY1952" s="20"/>
      <c r="HZ1952" s="20"/>
      <c r="IA1952" s="20"/>
      <c r="IB1952" s="20"/>
      <c r="IC1952" s="20"/>
      <c r="ID1952" s="20"/>
      <c r="IE1952" s="20"/>
      <c r="IF1952" s="20"/>
      <c r="IG1952" s="20"/>
      <c r="IH1952" s="20"/>
      <c r="II1952" s="20"/>
      <c r="IJ1952" s="20"/>
      <c r="IK1952" s="20"/>
      <c r="IL1952" s="20"/>
      <c r="IM1952" s="20"/>
      <c r="IN1952" s="20"/>
      <c r="IO1952" s="20"/>
    </row>
    <row r="1953" spans="1:249" s="22" customFormat="1" ht="49.5">
      <c r="A1953" s="794"/>
      <c r="B1953" s="840"/>
      <c r="C1953" s="841">
        <v>4</v>
      </c>
      <c r="D1953" s="841" t="s">
        <v>34</v>
      </c>
      <c r="E1953" s="841" t="s">
        <v>25</v>
      </c>
      <c r="F1953" s="841" t="s">
        <v>44</v>
      </c>
      <c r="G1953" s="841" t="s">
        <v>78</v>
      </c>
      <c r="H1953" s="841"/>
      <c r="I1953" s="6" t="s">
        <v>1858</v>
      </c>
      <c r="J1953" s="6" t="s">
        <v>3357</v>
      </c>
      <c r="K1953" s="1909">
        <v>72</v>
      </c>
      <c r="L1953" s="1908">
        <v>1800000000</v>
      </c>
      <c r="M1953" s="1922">
        <v>36</v>
      </c>
      <c r="N1953" s="1904">
        <f>132216226+208600385+147690690</f>
        <v>488507301</v>
      </c>
      <c r="O1953" s="1928">
        <v>12</v>
      </c>
      <c r="P1953" s="1905">
        <v>212325000</v>
      </c>
      <c r="Q1953" s="1903">
        <v>3</v>
      </c>
      <c r="R1953" s="1904">
        <v>22978300</v>
      </c>
      <c r="S1953" s="795">
        <v>3</v>
      </c>
      <c r="T1953" s="207">
        <v>132438900</v>
      </c>
      <c r="U1953" s="795"/>
      <c r="V1953" s="1906"/>
      <c r="W1953" s="795"/>
      <c r="X1953" s="1906"/>
      <c r="Y1953" s="1903">
        <f>Q1953+S1953+U1953+W1953</f>
        <v>6</v>
      </c>
      <c r="Z1953" s="1906">
        <f t="shared" si="564"/>
        <v>155417200</v>
      </c>
      <c r="AA1953" s="1903">
        <f t="shared" si="561"/>
        <v>42</v>
      </c>
      <c r="AB1953" s="1906">
        <f t="shared" si="558"/>
        <v>643924501</v>
      </c>
      <c r="AC1953" s="1907">
        <f t="shared" si="559"/>
        <v>58.333333333333336</v>
      </c>
      <c r="AD1953" s="1907">
        <f t="shared" si="562"/>
        <v>35.773583388888888</v>
      </c>
      <c r="AE1953" s="102" t="s">
        <v>1986</v>
      </c>
      <c r="AF1953" s="201"/>
      <c r="AG1953" s="201"/>
      <c r="AH1953" s="201"/>
      <c r="AI1953" s="201"/>
      <c r="AJ1953" s="201"/>
      <c r="AK1953" s="201"/>
      <c r="AL1953" s="201"/>
      <c r="AM1953" s="201"/>
      <c r="AN1953" s="201"/>
      <c r="AO1953" s="201"/>
      <c r="AP1953" s="201"/>
      <c r="AQ1953" s="201"/>
      <c r="AR1953" s="201"/>
      <c r="AS1953" s="201"/>
      <c r="AT1953" s="201"/>
      <c r="AU1953" s="201"/>
      <c r="AV1953" s="201"/>
      <c r="AW1953" s="201"/>
      <c r="AX1953" s="201"/>
      <c r="AY1953" s="201"/>
      <c r="AZ1953" s="201"/>
      <c r="BA1953" s="201"/>
      <c r="BB1953" s="201"/>
      <c r="BC1953" s="20"/>
      <c r="BD1953" s="20"/>
      <c r="BE1953" s="20"/>
      <c r="BF1953" s="20"/>
      <c r="BG1953" s="20"/>
      <c r="BH1953" s="20"/>
      <c r="BI1953" s="20"/>
      <c r="BJ1953" s="20"/>
      <c r="BK1953" s="20"/>
      <c r="BL1953" s="20"/>
      <c r="BM1953" s="20"/>
      <c r="BN1953" s="20"/>
      <c r="BO1953" s="20"/>
      <c r="BP1953" s="20"/>
      <c r="BQ1953" s="20"/>
      <c r="BR1953" s="20"/>
      <c r="BS1953" s="20"/>
      <c r="BT1953" s="20"/>
      <c r="BU1953" s="20"/>
      <c r="BV1953" s="20"/>
      <c r="BW1953" s="20"/>
      <c r="BX1953" s="20"/>
      <c r="BY1953" s="20"/>
      <c r="BZ1953" s="20"/>
      <c r="CA1953" s="20"/>
      <c r="CB1953" s="20"/>
      <c r="CC1953" s="20"/>
      <c r="CD1953" s="20"/>
      <c r="CE1953" s="20"/>
      <c r="CF1953" s="20"/>
      <c r="CG1953" s="20"/>
      <c r="CH1953" s="20"/>
      <c r="CI1953" s="20"/>
      <c r="CJ1953" s="20"/>
      <c r="CK1953" s="20"/>
      <c r="CL1953" s="20"/>
      <c r="CM1953" s="20"/>
      <c r="CN1953" s="20"/>
      <c r="CO1953" s="20"/>
      <c r="CP1953" s="20"/>
      <c r="CQ1953" s="20"/>
      <c r="CR1953" s="20"/>
      <c r="CS1953" s="20"/>
      <c r="CT1953" s="20"/>
      <c r="CU1953" s="20"/>
      <c r="CV1953" s="20"/>
      <c r="CW1953" s="20"/>
      <c r="CX1953" s="20"/>
      <c r="CY1953" s="20"/>
      <c r="CZ1953" s="20"/>
      <c r="DA1953" s="20"/>
      <c r="DB1953" s="20"/>
      <c r="DC1953" s="20"/>
      <c r="DD1953" s="20"/>
      <c r="DE1953" s="20"/>
      <c r="DF1953" s="20"/>
      <c r="DG1953" s="20"/>
      <c r="DH1953" s="20"/>
      <c r="DI1953" s="20"/>
      <c r="DJ1953" s="20"/>
      <c r="DK1953" s="20"/>
      <c r="DL1953" s="20"/>
      <c r="DM1953" s="20"/>
      <c r="DN1953" s="20"/>
      <c r="DO1953" s="20"/>
      <c r="DP1953" s="20"/>
      <c r="DQ1953" s="20"/>
      <c r="DR1953" s="20"/>
      <c r="DS1953" s="20"/>
      <c r="DT1953" s="20"/>
      <c r="DU1953" s="20"/>
      <c r="DV1953" s="20"/>
      <c r="DW1953" s="20"/>
      <c r="DX1953" s="20"/>
      <c r="DY1953" s="20"/>
      <c r="DZ1953" s="20"/>
      <c r="EA1953" s="20"/>
      <c r="EB1953" s="20"/>
      <c r="EC1953" s="20"/>
      <c r="ED1953" s="20"/>
      <c r="EE1953" s="20"/>
      <c r="EF1953" s="20"/>
      <c r="EG1953" s="20"/>
      <c r="EH1953" s="20"/>
      <c r="EI1953" s="20"/>
      <c r="EJ1953" s="20"/>
      <c r="EK1953" s="20"/>
      <c r="EL1953" s="20"/>
      <c r="EM1953" s="20"/>
      <c r="EN1953" s="20"/>
      <c r="EO1953" s="20"/>
      <c r="EP1953" s="20"/>
      <c r="EQ1953" s="20"/>
      <c r="ER1953" s="20"/>
      <c r="ES1953" s="20"/>
      <c r="ET1953" s="20"/>
      <c r="EU1953" s="20"/>
      <c r="EV1953" s="20"/>
      <c r="EW1953" s="20"/>
      <c r="EX1953" s="20"/>
      <c r="EY1953" s="20"/>
      <c r="EZ1953" s="20"/>
      <c r="FA1953" s="20"/>
      <c r="FB1953" s="20"/>
      <c r="FC1953" s="20"/>
      <c r="FD1953" s="20"/>
      <c r="FE1953" s="20"/>
      <c r="FF1953" s="20"/>
      <c r="FG1953" s="20"/>
      <c r="FH1953" s="20"/>
      <c r="FI1953" s="20"/>
      <c r="FJ1953" s="20"/>
      <c r="FK1953" s="20"/>
      <c r="FL1953" s="20"/>
      <c r="FM1953" s="20"/>
      <c r="FN1953" s="20"/>
      <c r="FO1953" s="20"/>
      <c r="FP1953" s="20"/>
      <c r="FQ1953" s="20"/>
      <c r="FR1953" s="20"/>
      <c r="FS1953" s="20"/>
      <c r="FT1953" s="20"/>
      <c r="FU1953" s="20"/>
      <c r="FV1953" s="20"/>
      <c r="FW1953" s="20"/>
      <c r="FX1953" s="20"/>
      <c r="FY1953" s="20"/>
      <c r="FZ1953" s="20"/>
      <c r="GA1953" s="20"/>
      <c r="GB1953" s="20"/>
      <c r="GC1953" s="20"/>
      <c r="GD1953" s="20"/>
      <c r="GE1953" s="20"/>
      <c r="GF1953" s="20"/>
      <c r="GG1953" s="20"/>
      <c r="GH1953" s="20"/>
      <c r="GI1953" s="20"/>
      <c r="GJ1953" s="20"/>
      <c r="GK1953" s="20"/>
      <c r="GL1953" s="20"/>
      <c r="GM1953" s="20"/>
      <c r="GN1953" s="20"/>
      <c r="GO1953" s="20"/>
      <c r="GP1953" s="20"/>
      <c r="GQ1953" s="20"/>
      <c r="GR1953" s="20"/>
      <c r="GS1953" s="20"/>
      <c r="GT1953" s="20"/>
      <c r="GU1953" s="20"/>
      <c r="GV1953" s="20"/>
      <c r="GW1953" s="20"/>
      <c r="GX1953" s="20"/>
      <c r="GY1953" s="20"/>
      <c r="GZ1953" s="20"/>
      <c r="HA1953" s="20"/>
      <c r="HB1953" s="20"/>
      <c r="HC1953" s="20"/>
      <c r="HD1953" s="20"/>
      <c r="HE1953" s="20"/>
      <c r="HF1953" s="20"/>
      <c r="HG1953" s="20"/>
      <c r="HH1953" s="20"/>
      <c r="HI1953" s="20"/>
      <c r="HJ1953" s="20"/>
      <c r="HK1953" s="20"/>
      <c r="HL1953" s="20"/>
      <c r="HM1953" s="20"/>
      <c r="HN1953" s="20"/>
      <c r="HO1953" s="20"/>
      <c r="HP1953" s="20"/>
      <c r="HQ1953" s="20"/>
      <c r="HR1953" s="20"/>
      <c r="HS1953" s="20"/>
      <c r="HT1953" s="20"/>
      <c r="HU1953" s="20"/>
      <c r="HV1953" s="20"/>
      <c r="HW1953" s="20"/>
      <c r="HX1953" s="20"/>
      <c r="HY1953" s="20"/>
      <c r="HZ1953" s="20"/>
      <c r="IA1953" s="20"/>
      <c r="IB1953" s="20"/>
      <c r="IC1953" s="20"/>
      <c r="ID1953" s="20"/>
      <c r="IE1953" s="20"/>
      <c r="IF1953" s="20"/>
      <c r="IG1953" s="20"/>
      <c r="IH1953" s="20"/>
      <c r="II1953" s="20"/>
      <c r="IJ1953" s="20"/>
      <c r="IK1953" s="20"/>
      <c r="IL1953" s="20"/>
      <c r="IM1953" s="20"/>
      <c r="IN1953" s="20"/>
      <c r="IO1953" s="20"/>
    </row>
    <row r="1954" spans="1:249" s="22" customFormat="1" ht="49.5">
      <c r="A1954" s="794"/>
      <c r="B1954" s="840"/>
      <c r="C1954" s="841">
        <v>4</v>
      </c>
      <c r="D1954" s="841" t="s">
        <v>34</v>
      </c>
      <c r="E1954" s="841" t="s">
        <v>25</v>
      </c>
      <c r="F1954" s="841" t="s">
        <v>44</v>
      </c>
      <c r="G1954" s="841" t="s">
        <v>29</v>
      </c>
      <c r="H1954" s="841"/>
      <c r="I1954" s="6" t="s">
        <v>1275</v>
      </c>
      <c r="J1954" s="6" t="s">
        <v>1859</v>
      </c>
      <c r="K1954" s="1902">
        <v>320</v>
      </c>
      <c r="L1954" s="1908">
        <v>4800000000</v>
      </c>
      <c r="M1954" s="1922">
        <f>40+50+50</f>
        <v>140</v>
      </c>
      <c r="N1954" s="1904">
        <f>728365964+811096012+293789262</f>
        <v>1833251238</v>
      </c>
      <c r="O1954" s="1902">
        <v>50</v>
      </c>
      <c r="P1954" s="1905">
        <v>179850000</v>
      </c>
      <c r="Q1954" s="1903">
        <v>12</v>
      </c>
      <c r="R1954" s="1904">
        <v>63445300</v>
      </c>
      <c r="S1954" s="795">
        <v>12</v>
      </c>
      <c r="T1954" s="207">
        <v>128257350</v>
      </c>
      <c r="U1954" s="795"/>
      <c r="V1954" s="1906"/>
      <c r="W1954" s="795"/>
      <c r="X1954" s="1906"/>
      <c r="Y1954" s="1903">
        <f>Q1954+S1954+U1954+W1954</f>
        <v>24</v>
      </c>
      <c r="Z1954" s="1906">
        <f t="shared" si="564"/>
        <v>191702650</v>
      </c>
      <c r="AA1954" s="1903">
        <f t="shared" si="561"/>
        <v>164</v>
      </c>
      <c r="AB1954" s="1906">
        <f t="shared" si="558"/>
        <v>2024953888</v>
      </c>
      <c r="AC1954" s="1907">
        <f t="shared" si="559"/>
        <v>51.249999999999993</v>
      </c>
      <c r="AD1954" s="1907">
        <f t="shared" si="562"/>
        <v>42.186539333333336</v>
      </c>
      <c r="AE1954" s="102" t="s">
        <v>1986</v>
      </c>
      <c r="AF1954" s="201"/>
      <c r="AG1954" s="201"/>
      <c r="AH1954" s="201"/>
      <c r="AI1954" s="201"/>
      <c r="AJ1954" s="201"/>
      <c r="AK1954" s="201"/>
      <c r="AL1954" s="201"/>
      <c r="AM1954" s="201"/>
      <c r="AN1954" s="201"/>
      <c r="AO1954" s="201"/>
      <c r="AP1954" s="201"/>
      <c r="AQ1954" s="201"/>
      <c r="AR1954" s="201"/>
      <c r="AS1954" s="201"/>
      <c r="AT1954" s="201"/>
      <c r="AU1954" s="201"/>
      <c r="AV1954" s="201"/>
      <c r="AW1954" s="201"/>
      <c r="AX1954" s="201"/>
      <c r="AY1954" s="201"/>
      <c r="AZ1954" s="201"/>
      <c r="BA1954" s="201"/>
      <c r="BB1954" s="201"/>
      <c r="BC1954" s="20"/>
      <c r="BD1954" s="20"/>
      <c r="BE1954" s="20"/>
      <c r="BF1954" s="20"/>
      <c r="BG1954" s="20"/>
      <c r="BH1954" s="20"/>
      <c r="BI1954" s="20"/>
      <c r="BJ1954" s="20"/>
      <c r="BK1954" s="20"/>
      <c r="BL1954" s="20"/>
      <c r="BM1954" s="20"/>
      <c r="BN1954" s="20"/>
      <c r="BO1954" s="20"/>
      <c r="BP1954" s="20"/>
      <c r="BQ1954" s="20"/>
      <c r="BR1954" s="20"/>
      <c r="BS1954" s="20"/>
      <c r="BT1954" s="20"/>
      <c r="BU1954" s="20"/>
      <c r="BV1954" s="20"/>
      <c r="BW1954" s="20"/>
      <c r="BX1954" s="20"/>
      <c r="BY1954" s="20"/>
      <c r="BZ1954" s="20"/>
      <c r="CA1954" s="20"/>
      <c r="CB1954" s="20"/>
      <c r="CC1954" s="20"/>
      <c r="CD1954" s="20"/>
      <c r="CE1954" s="20"/>
      <c r="CF1954" s="20"/>
      <c r="CG1954" s="20"/>
      <c r="CH1954" s="20"/>
      <c r="CI1954" s="20"/>
      <c r="CJ1954" s="20"/>
      <c r="CK1954" s="20"/>
      <c r="CL1954" s="20"/>
      <c r="CM1954" s="20"/>
      <c r="CN1954" s="20"/>
      <c r="CO1954" s="20"/>
      <c r="CP1954" s="20"/>
      <c r="CQ1954" s="20"/>
      <c r="CR1954" s="20"/>
      <c r="CS1954" s="20"/>
      <c r="CT1954" s="20"/>
      <c r="CU1954" s="20"/>
      <c r="CV1954" s="20"/>
      <c r="CW1954" s="20"/>
      <c r="CX1954" s="20"/>
      <c r="CY1954" s="20"/>
      <c r="CZ1954" s="20"/>
      <c r="DA1954" s="20"/>
      <c r="DB1954" s="20"/>
      <c r="DC1954" s="20"/>
      <c r="DD1954" s="20"/>
      <c r="DE1954" s="20"/>
      <c r="DF1954" s="20"/>
      <c r="DG1954" s="20"/>
      <c r="DH1954" s="20"/>
      <c r="DI1954" s="20"/>
      <c r="DJ1954" s="20"/>
      <c r="DK1954" s="20"/>
      <c r="DL1954" s="20"/>
      <c r="DM1954" s="20"/>
      <c r="DN1954" s="20"/>
      <c r="DO1954" s="20"/>
      <c r="DP1954" s="20"/>
      <c r="DQ1954" s="20"/>
      <c r="DR1954" s="20"/>
      <c r="DS1954" s="20"/>
      <c r="DT1954" s="20"/>
      <c r="DU1954" s="20"/>
      <c r="DV1954" s="20"/>
      <c r="DW1954" s="20"/>
      <c r="DX1954" s="20"/>
      <c r="DY1954" s="20"/>
      <c r="DZ1954" s="20"/>
      <c r="EA1954" s="20"/>
      <c r="EB1954" s="20"/>
      <c r="EC1954" s="20"/>
      <c r="ED1954" s="20"/>
      <c r="EE1954" s="20"/>
      <c r="EF1954" s="20"/>
      <c r="EG1954" s="20"/>
      <c r="EH1954" s="20"/>
      <c r="EI1954" s="20"/>
      <c r="EJ1954" s="20"/>
      <c r="EK1954" s="20"/>
      <c r="EL1954" s="20"/>
      <c r="EM1954" s="20"/>
      <c r="EN1954" s="20"/>
      <c r="EO1954" s="20"/>
      <c r="EP1954" s="20"/>
      <c r="EQ1954" s="20"/>
      <c r="ER1954" s="20"/>
      <c r="ES1954" s="20"/>
      <c r="ET1954" s="20"/>
      <c r="EU1954" s="20"/>
      <c r="EV1954" s="20"/>
      <c r="EW1954" s="20"/>
      <c r="EX1954" s="20"/>
      <c r="EY1954" s="20"/>
      <c r="EZ1954" s="20"/>
      <c r="FA1954" s="20"/>
      <c r="FB1954" s="20"/>
      <c r="FC1954" s="20"/>
      <c r="FD1954" s="20"/>
      <c r="FE1954" s="20"/>
      <c r="FF1954" s="20"/>
      <c r="FG1954" s="20"/>
      <c r="FH1954" s="20"/>
      <c r="FI1954" s="20"/>
      <c r="FJ1954" s="20"/>
      <c r="FK1954" s="20"/>
      <c r="FL1954" s="20"/>
      <c r="FM1954" s="20"/>
      <c r="FN1954" s="20"/>
      <c r="FO1954" s="20"/>
      <c r="FP1954" s="20"/>
      <c r="FQ1954" s="20"/>
      <c r="FR1954" s="20"/>
      <c r="FS1954" s="20"/>
      <c r="FT1954" s="20"/>
      <c r="FU1954" s="20"/>
      <c r="FV1954" s="20"/>
      <c r="FW1954" s="20"/>
      <c r="FX1954" s="20"/>
      <c r="FY1954" s="20"/>
      <c r="FZ1954" s="20"/>
      <c r="GA1954" s="20"/>
      <c r="GB1954" s="20"/>
      <c r="GC1954" s="20"/>
      <c r="GD1954" s="20"/>
      <c r="GE1954" s="20"/>
      <c r="GF1954" s="20"/>
      <c r="GG1954" s="20"/>
      <c r="GH1954" s="20"/>
      <c r="GI1954" s="20"/>
      <c r="GJ1954" s="20"/>
      <c r="GK1954" s="20"/>
      <c r="GL1954" s="20"/>
      <c r="GM1954" s="20"/>
      <c r="GN1954" s="20"/>
      <c r="GO1954" s="20"/>
      <c r="GP1954" s="20"/>
      <c r="GQ1954" s="20"/>
      <c r="GR1954" s="20"/>
      <c r="GS1954" s="20"/>
      <c r="GT1954" s="20"/>
      <c r="GU1954" s="20"/>
      <c r="GV1954" s="20"/>
      <c r="GW1954" s="20"/>
      <c r="GX1954" s="20"/>
      <c r="GY1954" s="20"/>
      <c r="GZ1954" s="20"/>
      <c r="HA1954" s="20"/>
      <c r="HB1954" s="20"/>
      <c r="HC1954" s="20"/>
      <c r="HD1954" s="20"/>
      <c r="HE1954" s="20"/>
      <c r="HF1954" s="20"/>
      <c r="HG1954" s="20"/>
      <c r="HH1954" s="20"/>
      <c r="HI1954" s="20"/>
      <c r="HJ1954" s="20"/>
      <c r="HK1954" s="20"/>
      <c r="HL1954" s="20"/>
      <c r="HM1954" s="20"/>
      <c r="HN1954" s="20"/>
      <c r="HO1954" s="20"/>
      <c r="HP1954" s="20"/>
      <c r="HQ1954" s="20"/>
      <c r="HR1954" s="20"/>
      <c r="HS1954" s="20"/>
      <c r="HT1954" s="20"/>
      <c r="HU1954" s="20"/>
      <c r="HV1954" s="20"/>
      <c r="HW1954" s="20"/>
      <c r="HX1954" s="20"/>
      <c r="HY1954" s="20"/>
      <c r="HZ1954" s="20"/>
      <c r="IA1954" s="20"/>
      <c r="IB1954" s="20"/>
      <c r="IC1954" s="20"/>
      <c r="ID1954" s="20"/>
      <c r="IE1954" s="20"/>
      <c r="IF1954" s="20"/>
      <c r="IG1954" s="20"/>
      <c r="IH1954" s="20"/>
      <c r="II1954" s="20"/>
      <c r="IJ1954" s="20"/>
      <c r="IK1954" s="20"/>
      <c r="IL1954" s="20"/>
      <c r="IM1954" s="20"/>
      <c r="IN1954" s="20"/>
      <c r="IO1954" s="20"/>
    </row>
    <row r="1955" spans="1:249" s="22" customFormat="1" ht="66">
      <c r="A1955" s="794"/>
      <c r="B1955" s="840"/>
      <c r="C1955" s="841">
        <v>4</v>
      </c>
      <c r="D1955" s="841" t="s">
        <v>34</v>
      </c>
      <c r="E1955" s="841" t="s">
        <v>25</v>
      </c>
      <c r="F1955" s="841" t="s">
        <v>44</v>
      </c>
      <c r="G1955" s="841" t="s">
        <v>30</v>
      </c>
      <c r="H1955" s="841"/>
      <c r="I1955" s="6" t="s">
        <v>3359</v>
      </c>
      <c r="J1955" s="6" t="s">
        <v>3360</v>
      </c>
      <c r="K1955" s="1902">
        <v>130</v>
      </c>
      <c r="L1955" s="1908">
        <v>370000000</v>
      </c>
      <c r="M1955" s="1903">
        <v>30</v>
      </c>
      <c r="N1955" s="1905">
        <v>52653952</v>
      </c>
      <c r="O1955" s="1902"/>
      <c r="P1955" s="1905">
        <v>0</v>
      </c>
      <c r="Q1955" s="1903"/>
      <c r="R1955" s="1904"/>
      <c r="S1955" s="795"/>
      <c r="T1955" s="207"/>
      <c r="U1955" s="795"/>
      <c r="V1955" s="1906"/>
      <c r="W1955" s="795"/>
      <c r="X1955" s="1906"/>
      <c r="Y1955" s="1903">
        <f>Q1955+S1955+U1955+W1955</f>
        <v>0</v>
      </c>
      <c r="Z1955" s="1906">
        <f t="shared" si="564"/>
        <v>0</v>
      </c>
      <c r="AA1955" s="1903">
        <f t="shared" si="561"/>
        <v>30</v>
      </c>
      <c r="AB1955" s="1906">
        <f t="shared" si="558"/>
        <v>52653952</v>
      </c>
      <c r="AC1955" s="1907">
        <f t="shared" si="559"/>
        <v>23.076923076923077</v>
      </c>
      <c r="AD1955" s="1907">
        <f t="shared" si="562"/>
        <v>14.230797837837839</v>
      </c>
      <c r="AE1955" s="102" t="s">
        <v>1986</v>
      </c>
      <c r="AF1955" s="201"/>
      <c r="AG1955" s="201"/>
      <c r="AH1955" s="201"/>
      <c r="AI1955" s="201"/>
      <c r="AJ1955" s="201"/>
      <c r="AK1955" s="201"/>
      <c r="AL1955" s="201"/>
      <c r="AM1955" s="201"/>
      <c r="AN1955" s="201"/>
      <c r="AO1955" s="201"/>
      <c r="AP1955" s="201"/>
      <c r="AQ1955" s="201"/>
      <c r="AR1955" s="201"/>
      <c r="AS1955" s="201"/>
      <c r="AT1955" s="201"/>
      <c r="AU1955" s="201"/>
      <c r="AV1955" s="201"/>
      <c r="AW1955" s="201"/>
      <c r="AX1955" s="201"/>
      <c r="AY1955" s="201"/>
      <c r="AZ1955" s="201"/>
      <c r="BA1955" s="201"/>
      <c r="BB1955" s="201"/>
      <c r="BC1955" s="20"/>
      <c r="BD1955" s="20"/>
      <c r="BE1955" s="20"/>
      <c r="BF1955" s="20"/>
      <c r="BG1955" s="20"/>
      <c r="BH1955" s="20"/>
      <c r="BI1955" s="20"/>
      <c r="BJ1955" s="20"/>
      <c r="BK1955" s="20"/>
      <c r="BL1955" s="20"/>
      <c r="BM1955" s="20"/>
      <c r="BN1955" s="20"/>
      <c r="BO1955" s="20"/>
      <c r="BP1955" s="20"/>
      <c r="BQ1955" s="20"/>
      <c r="BR1955" s="20"/>
      <c r="BS1955" s="20"/>
      <c r="BT1955" s="20"/>
      <c r="BU1955" s="20"/>
      <c r="BV1955" s="20"/>
      <c r="BW1955" s="20"/>
      <c r="BX1955" s="20"/>
      <c r="BY1955" s="20"/>
      <c r="BZ1955" s="20"/>
      <c r="CA1955" s="20"/>
      <c r="CB1955" s="20"/>
      <c r="CC1955" s="20"/>
      <c r="CD1955" s="20"/>
      <c r="CE1955" s="20"/>
      <c r="CF1955" s="20"/>
      <c r="CG1955" s="20"/>
      <c r="CH1955" s="20"/>
      <c r="CI1955" s="20"/>
      <c r="CJ1955" s="20"/>
      <c r="CK1955" s="20"/>
      <c r="CL1955" s="20"/>
      <c r="CM1955" s="20"/>
      <c r="CN1955" s="20"/>
      <c r="CO1955" s="20"/>
      <c r="CP1955" s="20"/>
      <c r="CQ1955" s="20"/>
      <c r="CR1955" s="20"/>
      <c r="CS1955" s="20"/>
      <c r="CT1955" s="20"/>
      <c r="CU1955" s="20"/>
      <c r="CV1955" s="20"/>
      <c r="CW1955" s="20"/>
      <c r="CX1955" s="20"/>
      <c r="CY1955" s="20"/>
      <c r="CZ1955" s="20"/>
      <c r="DA1955" s="20"/>
      <c r="DB1955" s="20"/>
      <c r="DC1955" s="20"/>
      <c r="DD1955" s="20"/>
      <c r="DE1955" s="20"/>
      <c r="DF1955" s="20"/>
      <c r="DG1955" s="20"/>
      <c r="DH1955" s="20"/>
      <c r="DI1955" s="20"/>
      <c r="DJ1955" s="20"/>
      <c r="DK1955" s="20"/>
      <c r="DL1955" s="20"/>
      <c r="DM1955" s="20"/>
      <c r="DN1955" s="20"/>
      <c r="DO1955" s="20"/>
      <c r="DP1955" s="20"/>
      <c r="DQ1955" s="20"/>
      <c r="DR1955" s="20"/>
      <c r="DS1955" s="20"/>
      <c r="DT1955" s="20"/>
      <c r="DU1955" s="20"/>
      <c r="DV1955" s="20"/>
      <c r="DW1955" s="20"/>
      <c r="DX1955" s="20"/>
      <c r="DY1955" s="20"/>
      <c r="DZ1955" s="20"/>
      <c r="EA1955" s="20"/>
      <c r="EB1955" s="20"/>
      <c r="EC1955" s="20"/>
      <c r="ED1955" s="20"/>
      <c r="EE1955" s="20"/>
      <c r="EF1955" s="20"/>
      <c r="EG1955" s="20"/>
      <c r="EH1955" s="20"/>
      <c r="EI1955" s="20"/>
      <c r="EJ1955" s="20"/>
      <c r="EK1955" s="20"/>
      <c r="EL1955" s="20"/>
      <c r="EM1955" s="20"/>
      <c r="EN1955" s="20"/>
      <c r="EO1955" s="20"/>
      <c r="EP1955" s="20"/>
      <c r="EQ1955" s="20"/>
      <c r="ER1955" s="20"/>
      <c r="ES1955" s="20"/>
      <c r="ET1955" s="20"/>
      <c r="EU1955" s="20"/>
      <c r="EV1955" s="20"/>
      <c r="EW1955" s="20"/>
      <c r="EX1955" s="20"/>
      <c r="EY1955" s="20"/>
      <c r="EZ1955" s="20"/>
      <c r="FA1955" s="20"/>
      <c r="FB1955" s="20"/>
      <c r="FC1955" s="20"/>
      <c r="FD1955" s="20"/>
      <c r="FE1955" s="20"/>
      <c r="FF1955" s="20"/>
      <c r="FG1955" s="20"/>
      <c r="FH1955" s="20"/>
      <c r="FI1955" s="20"/>
      <c r="FJ1955" s="20"/>
      <c r="FK1955" s="20"/>
      <c r="FL1955" s="20"/>
      <c r="FM1955" s="20"/>
      <c r="FN1955" s="20"/>
      <c r="FO1955" s="20"/>
      <c r="FP1955" s="20"/>
      <c r="FQ1955" s="20"/>
      <c r="FR1955" s="20"/>
      <c r="FS1955" s="20"/>
      <c r="FT1955" s="20"/>
      <c r="FU1955" s="20"/>
      <c r="FV1955" s="20"/>
      <c r="FW1955" s="20"/>
      <c r="FX1955" s="20"/>
      <c r="FY1955" s="20"/>
      <c r="FZ1955" s="20"/>
      <c r="GA1955" s="20"/>
      <c r="GB1955" s="20"/>
      <c r="GC1955" s="20"/>
      <c r="GD1955" s="20"/>
      <c r="GE1955" s="20"/>
      <c r="GF1955" s="20"/>
      <c r="GG1955" s="20"/>
      <c r="GH1955" s="20"/>
      <c r="GI1955" s="20"/>
      <c r="GJ1955" s="20"/>
      <c r="GK1955" s="20"/>
      <c r="GL1955" s="20"/>
      <c r="GM1955" s="20"/>
      <c r="GN1955" s="20"/>
      <c r="GO1955" s="20"/>
      <c r="GP1955" s="20"/>
      <c r="GQ1955" s="20"/>
      <c r="GR1955" s="20"/>
      <c r="GS1955" s="20"/>
      <c r="GT1955" s="20"/>
      <c r="GU1955" s="20"/>
      <c r="GV1955" s="20"/>
      <c r="GW1955" s="20"/>
      <c r="GX1955" s="20"/>
      <c r="GY1955" s="20"/>
      <c r="GZ1955" s="20"/>
      <c r="HA1955" s="20"/>
      <c r="HB1955" s="20"/>
      <c r="HC1955" s="20"/>
      <c r="HD1955" s="20"/>
      <c r="HE1955" s="20"/>
      <c r="HF1955" s="20"/>
      <c r="HG1955" s="20"/>
      <c r="HH1955" s="20"/>
      <c r="HI1955" s="20"/>
      <c r="HJ1955" s="20"/>
      <c r="HK1955" s="20"/>
      <c r="HL1955" s="20"/>
      <c r="HM1955" s="20"/>
      <c r="HN1955" s="20"/>
      <c r="HO1955" s="20"/>
      <c r="HP1955" s="20"/>
      <c r="HQ1955" s="20"/>
      <c r="HR1955" s="20"/>
      <c r="HS1955" s="20"/>
      <c r="HT1955" s="20"/>
      <c r="HU1955" s="20"/>
      <c r="HV1955" s="20"/>
      <c r="HW1955" s="20"/>
      <c r="HX1955" s="20"/>
      <c r="HY1955" s="20"/>
      <c r="HZ1955" s="20"/>
      <c r="IA1955" s="20"/>
      <c r="IB1955" s="20"/>
      <c r="IC1955" s="20"/>
      <c r="ID1955" s="20"/>
      <c r="IE1955" s="20"/>
      <c r="IF1955" s="20"/>
      <c r="IG1955" s="20"/>
      <c r="IH1955" s="20"/>
      <c r="II1955" s="20"/>
      <c r="IJ1955" s="20"/>
      <c r="IK1955" s="20"/>
      <c r="IL1955" s="20"/>
      <c r="IM1955" s="20"/>
      <c r="IN1955" s="20"/>
      <c r="IO1955" s="20"/>
    </row>
    <row r="1956" spans="1:249" s="22" customFormat="1" ht="66">
      <c r="A1956" s="2554">
        <v>13</v>
      </c>
      <c r="B1956" s="44"/>
      <c r="C1956" s="753">
        <v>4</v>
      </c>
      <c r="D1956" s="753" t="s">
        <v>34</v>
      </c>
      <c r="E1956" s="753" t="s">
        <v>25</v>
      </c>
      <c r="F1956" s="753">
        <v>15</v>
      </c>
      <c r="G1956" s="753"/>
      <c r="H1956" s="594"/>
      <c r="I1956" s="44" t="s">
        <v>1860</v>
      </c>
      <c r="J1956" s="44" t="s">
        <v>2143</v>
      </c>
      <c r="K1956" s="1925">
        <v>15</v>
      </c>
      <c r="L1956" s="1770">
        <f>L1957</f>
        <v>281000000</v>
      </c>
      <c r="M1956" s="149">
        <v>12</v>
      </c>
      <c r="N1956" s="1252">
        <f>N1957</f>
        <v>268013721</v>
      </c>
      <c r="O1956" s="1925">
        <v>1</v>
      </c>
      <c r="P1956" s="1252">
        <f>P1957</f>
        <v>196748800</v>
      </c>
      <c r="Q1956" s="149">
        <v>0</v>
      </c>
      <c r="R1956" s="1252">
        <f>R1957</f>
        <v>26000000</v>
      </c>
      <c r="S1956" s="1175">
        <f>SUM(S1957:S1957)</f>
        <v>1</v>
      </c>
      <c r="T1956" s="1252">
        <f>T1957</f>
        <v>28050000</v>
      </c>
      <c r="U1956" s="1175">
        <f>SUM(U1957:U1957)</f>
        <v>0</v>
      </c>
      <c r="V1956" s="1175">
        <f>V1957</f>
        <v>0</v>
      </c>
      <c r="W1956" s="1175">
        <f>SUM(W1957:W1957)</f>
        <v>0</v>
      </c>
      <c r="X1956" s="1175">
        <f>X1957</f>
        <v>0</v>
      </c>
      <c r="Y1956" s="149">
        <f>Q1956+S1956+U1956+W1956</f>
        <v>1</v>
      </c>
      <c r="Z1956" s="1901">
        <f t="shared" si="564"/>
        <v>54050000</v>
      </c>
      <c r="AA1956" s="149">
        <f t="shared" si="561"/>
        <v>13</v>
      </c>
      <c r="AB1956" s="1901">
        <f t="shared" si="558"/>
        <v>322063721</v>
      </c>
      <c r="AC1956" s="821">
        <f t="shared" si="559"/>
        <v>86.666666666666671</v>
      </c>
      <c r="AD1956" s="821">
        <f t="shared" si="562"/>
        <v>114.61342384341637</v>
      </c>
      <c r="AE1956" s="2558" t="s">
        <v>2252</v>
      </c>
      <c r="AF1956" s="201"/>
      <c r="AG1956" s="201"/>
      <c r="AH1956" s="201"/>
      <c r="AI1956" s="201"/>
      <c r="AJ1956" s="201"/>
      <c r="AK1956" s="201"/>
      <c r="AL1956" s="201"/>
      <c r="AM1956" s="201"/>
      <c r="AN1956" s="201"/>
      <c r="AO1956" s="201"/>
      <c r="AP1956" s="201"/>
      <c r="AQ1956" s="201"/>
      <c r="AR1956" s="201"/>
      <c r="AS1956" s="201"/>
      <c r="AT1956" s="201"/>
      <c r="AU1956" s="201"/>
      <c r="AV1956" s="201"/>
      <c r="AW1956" s="201"/>
      <c r="AX1956" s="201"/>
      <c r="AY1956" s="201"/>
      <c r="AZ1956" s="201"/>
      <c r="BA1956" s="201"/>
      <c r="BB1956" s="201"/>
      <c r="BC1956" s="20"/>
      <c r="BD1956" s="20"/>
      <c r="BE1956" s="20"/>
      <c r="BF1956" s="20"/>
      <c r="BG1956" s="20"/>
      <c r="BH1956" s="20"/>
      <c r="BI1956" s="20"/>
      <c r="BJ1956" s="20"/>
      <c r="BK1956" s="20"/>
      <c r="BL1956" s="20"/>
      <c r="BM1956" s="20"/>
      <c r="BN1956" s="20"/>
      <c r="BO1956" s="20"/>
      <c r="BP1956" s="20"/>
      <c r="BQ1956" s="20"/>
      <c r="BR1956" s="20"/>
      <c r="BS1956" s="20"/>
      <c r="BT1956" s="20"/>
      <c r="BU1956" s="20"/>
      <c r="BV1956" s="20"/>
      <c r="BW1956" s="20"/>
      <c r="BX1956" s="20"/>
      <c r="BY1956" s="20"/>
      <c r="BZ1956" s="20"/>
      <c r="CA1956" s="20"/>
      <c r="CB1956" s="20"/>
      <c r="CC1956" s="20"/>
      <c r="CD1956" s="20"/>
      <c r="CE1956" s="20"/>
      <c r="CF1956" s="20"/>
      <c r="CG1956" s="20"/>
      <c r="CH1956" s="20"/>
      <c r="CI1956" s="20"/>
      <c r="CJ1956" s="20"/>
      <c r="CK1956" s="20"/>
      <c r="CL1956" s="20"/>
      <c r="CM1956" s="20"/>
      <c r="CN1956" s="20"/>
      <c r="CO1956" s="20"/>
      <c r="CP1956" s="20"/>
      <c r="CQ1956" s="20"/>
      <c r="CR1956" s="20"/>
      <c r="CS1956" s="20"/>
      <c r="CT1956" s="20"/>
      <c r="CU1956" s="20"/>
      <c r="CV1956" s="20"/>
      <c r="CW1956" s="20"/>
      <c r="CX1956" s="20"/>
      <c r="CY1956" s="20"/>
      <c r="CZ1956" s="20"/>
      <c r="DA1956" s="20"/>
      <c r="DB1956" s="20"/>
      <c r="DC1956" s="20"/>
      <c r="DD1956" s="20"/>
      <c r="DE1956" s="20"/>
      <c r="DF1956" s="20"/>
      <c r="DG1956" s="20"/>
      <c r="DH1956" s="20"/>
      <c r="DI1956" s="20"/>
      <c r="DJ1956" s="20"/>
      <c r="DK1956" s="20"/>
      <c r="DL1956" s="20"/>
      <c r="DM1956" s="20"/>
      <c r="DN1956" s="20"/>
      <c r="DO1956" s="20"/>
      <c r="DP1956" s="20"/>
      <c r="DQ1956" s="20"/>
      <c r="DR1956" s="20"/>
      <c r="DS1956" s="20"/>
      <c r="DT1956" s="20"/>
      <c r="DU1956" s="20"/>
      <c r="DV1956" s="20"/>
      <c r="DW1956" s="20"/>
      <c r="DX1956" s="20"/>
      <c r="DY1956" s="20"/>
      <c r="DZ1956" s="20"/>
      <c r="EA1956" s="20"/>
      <c r="EB1956" s="20"/>
      <c r="EC1956" s="20"/>
      <c r="ED1956" s="20"/>
      <c r="EE1956" s="20"/>
      <c r="EF1956" s="20"/>
      <c r="EG1956" s="20"/>
      <c r="EH1956" s="20"/>
      <c r="EI1956" s="20"/>
      <c r="EJ1956" s="20"/>
      <c r="EK1956" s="20"/>
      <c r="EL1956" s="20"/>
      <c r="EM1956" s="20"/>
      <c r="EN1956" s="20"/>
      <c r="EO1956" s="20"/>
      <c r="EP1956" s="20"/>
      <c r="EQ1956" s="20"/>
      <c r="ER1956" s="20"/>
      <c r="ES1956" s="20"/>
      <c r="ET1956" s="20"/>
      <c r="EU1956" s="20"/>
      <c r="EV1956" s="20"/>
      <c r="EW1956" s="20"/>
      <c r="EX1956" s="20"/>
      <c r="EY1956" s="20"/>
      <c r="EZ1956" s="20"/>
      <c r="FA1956" s="20"/>
      <c r="FB1956" s="20"/>
      <c r="FC1956" s="20"/>
      <c r="FD1956" s="20"/>
      <c r="FE1956" s="20"/>
      <c r="FF1956" s="20"/>
      <c r="FG1956" s="20"/>
      <c r="FH1956" s="20"/>
      <c r="FI1956" s="20"/>
      <c r="FJ1956" s="20"/>
      <c r="FK1956" s="20"/>
      <c r="FL1956" s="20"/>
      <c r="FM1956" s="20"/>
      <c r="FN1956" s="20"/>
      <c r="FO1956" s="20"/>
      <c r="FP1956" s="20"/>
      <c r="FQ1956" s="20"/>
      <c r="FR1956" s="20"/>
      <c r="FS1956" s="20"/>
      <c r="FT1956" s="20"/>
      <c r="FU1956" s="20"/>
      <c r="FV1956" s="20"/>
      <c r="FW1956" s="20"/>
      <c r="FX1956" s="20"/>
      <c r="FY1956" s="20"/>
      <c r="FZ1956" s="20"/>
      <c r="GA1956" s="20"/>
      <c r="GB1956" s="20"/>
      <c r="GC1956" s="20"/>
      <c r="GD1956" s="20"/>
      <c r="GE1956" s="20"/>
      <c r="GF1956" s="20"/>
      <c r="GG1956" s="20"/>
      <c r="GH1956" s="20"/>
      <c r="GI1956" s="20"/>
      <c r="GJ1956" s="20"/>
      <c r="GK1956" s="20"/>
      <c r="GL1956" s="20"/>
      <c r="GM1956" s="20"/>
      <c r="GN1956" s="20"/>
      <c r="GO1956" s="20"/>
      <c r="GP1956" s="20"/>
      <c r="GQ1956" s="20"/>
      <c r="GR1956" s="20"/>
      <c r="GS1956" s="20"/>
      <c r="GT1956" s="20"/>
      <c r="GU1956" s="20"/>
      <c r="GV1956" s="20"/>
      <c r="GW1956" s="20"/>
      <c r="GX1956" s="20"/>
      <c r="GY1956" s="20"/>
      <c r="GZ1956" s="20"/>
      <c r="HA1956" s="20"/>
      <c r="HB1956" s="20"/>
      <c r="HC1956" s="20"/>
      <c r="HD1956" s="20"/>
      <c r="HE1956" s="20"/>
      <c r="HF1956" s="20"/>
      <c r="HG1956" s="20"/>
      <c r="HH1956" s="20"/>
      <c r="HI1956" s="20"/>
      <c r="HJ1956" s="20"/>
      <c r="HK1956" s="20"/>
      <c r="HL1956" s="20"/>
      <c r="HM1956" s="20"/>
      <c r="HN1956" s="20"/>
      <c r="HO1956" s="20"/>
      <c r="HP1956" s="20"/>
      <c r="HQ1956" s="20"/>
      <c r="HR1956" s="20"/>
      <c r="HS1956" s="20"/>
      <c r="HT1956" s="20"/>
      <c r="HU1956" s="20"/>
      <c r="HV1956" s="20"/>
      <c r="HW1956" s="20"/>
      <c r="HX1956" s="20"/>
      <c r="HY1956" s="20"/>
      <c r="HZ1956" s="20"/>
      <c r="IA1956" s="20"/>
      <c r="IB1956" s="20"/>
      <c r="IC1956" s="20"/>
      <c r="ID1956" s="20"/>
      <c r="IE1956" s="20"/>
      <c r="IF1956" s="20"/>
      <c r="IG1956" s="20"/>
      <c r="IH1956" s="20"/>
      <c r="II1956" s="20"/>
      <c r="IJ1956" s="20"/>
      <c r="IK1956" s="20"/>
      <c r="IL1956" s="20"/>
      <c r="IM1956" s="20"/>
      <c r="IN1956" s="20"/>
      <c r="IO1956" s="20"/>
    </row>
    <row r="1957" spans="1:249" s="22" customFormat="1" ht="36" customHeight="1">
      <c r="A1957" s="794"/>
      <c r="B1957" s="840"/>
      <c r="C1957" s="841">
        <v>4</v>
      </c>
      <c r="D1957" s="841" t="s">
        <v>34</v>
      </c>
      <c r="E1957" s="841" t="s">
        <v>25</v>
      </c>
      <c r="F1957" s="841">
        <v>15</v>
      </c>
      <c r="G1957" s="841">
        <v>26</v>
      </c>
      <c r="H1957" s="841"/>
      <c r="I1957" s="6" t="s">
        <v>1861</v>
      </c>
      <c r="J1957" s="6" t="s">
        <v>3361</v>
      </c>
      <c r="K1957" s="1903">
        <v>1</v>
      </c>
      <c r="L1957" s="1908">
        <v>281000000</v>
      </c>
      <c r="M1957" s="1922">
        <v>2</v>
      </c>
      <c r="N1957" s="1904">
        <f>146372221+121641500</f>
        <v>268013721</v>
      </c>
      <c r="O1957" s="1903">
        <v>1</v>
      </c>
      <c r="P1957" s="1905">
        <v>196748800</v>
      </c>
      <c r="Q1957" s="1903">
        <v>1</v>
      </c>
      <c r="R1957" s="207">
        <v>26000000</v>
      </c>
      <c r="S1957" s="795">
        <v>1</v>
      </c>
      <c r="T1957" s="207">
        <v>28050000</v>
      </c>
      <c r="U1957" s="795"/>
      <c r="V1957" s="1919"/>
      <c r="W1957" s="795"/>
      <c r="X1957" s="1919"/>
      <c r="Y1957" s="1903">
        <f>U1957</f>
        <v>0</v>
      </c>
      <c r="Z1957" s="1906">
        <f t="shared" si="564"/>
        <v>54050000</v>
      </c>
      <c r="AA1957" s="1903">
        <f t="shared" si="561"/>
        <v>2</v>
      </c>
      <c r="AB1957" s="1906">
        <f t="shared" si="558"/>
        <v>322063721</v>
      </c>
      <c r="AC1957" s="1907">
        <f t="shared" si="559"/>
        <v>200</v>
      </c>
      <c r="AD1957" s="1907">
        <f t="shared" si="562"/>
        <v>114.61342384341637</v>
      </c>
      <c r="AE1957" s="102" t="s">
        <v>1987</v>
      </c>
      <c r="AF1957" s="201"/>
      <c r="AG1957" s="201"/>
      <c r="AH1957" s="201"/>
      <c r="AI1957" s="201"/>
      <c r="AJ1957" s="201"/>
      <c r="AK1957" s="201"/>
      <c r="AL1957" s="201"/>
      <c r="AM1957" s="201"/>
      <c r="AN1957" s="201"/>
      <c r="AO1957" s="201"/>
      <c r="AP1957" s="201"/>
      <c r="AQ1957" s="201"/>
      <c r="AR1957" s="201"/>
      <c r="AS1957" s="201"/>
      <c r="AT1957" s="201"/>
      <c r="AU1957" s="201"/>
      <c r="AV1957" s="201"/>
      <c r="AW1957" s="201"/>
      <c r="AX1957" s="201"/>
      <c r="AY1957" s="201"/>
      <c r="AZ1957" s="201"/>
      <c r="BA1957" s="201"/>
      <c r="BB1957" s="201"/>
      <c r="BC1957" s="20"/>
      <c r="BD1957" s="20"/>
      <c r="BE1957" s="20"/>
      <c r="BF1957" s="20"/>
      <c r="BG1957" s="20"/>
      <c r="BH1957" s="20"/>
      <c r="BI1957" s="20"/>
      <c r="BJ1957" s="20"/>
      <c r="BK1957" s="20"/>
      <c r="BL1957" s="20"/>
      <c r="BM1957" s="20"/>
      <c r="BN1957" s="20"/>
      <c r="BO1957" s="20"/>
      <c r="BP1957" s="20"/>
      <c r="BQ1957" s="20"/>
      <c r="BR1957" s="20"/>
      <c r="BS1957" s="20"/>
      <c r="BT1957" s="20"/>
      <c r="BU1957" s="20"/>
      <c r="BV1957" s="20"/>
      <c r="BW1957" s="20"/>
      <c r="BX1957" s="20"/>
      <c r="BY1957" s="20"/>
      <c r="BZ1957" s="20"/>
      <c r="CA1957" s="20"/>
      <c r="CB1957" s="20"/>
      <c r="CC1957" s="20"/>
      <c r="CD1957" s="20"/>
      <c r="CE1957" s="20"/>
      <c r="CF1957" s="20"/>
      <c r="CG1957" s="20"/>
      <c r="CH1957" s="20"/>
      <c r="CI1957" s="20"/>
      <c r="CJ1957" s="20"/>
      <c r="CK1957" s="20"/>
      <c r="CL1957" s="20"/>
      <c r="CM1957" s="20"/>
      <c r="CN1957" s="20"/>
      <c r="CO1957" s="20"/>
      <c r="CP1957" s="20"/>
      <c r="CQ1957" s="20"/>
      <c r="CR1957" s="20"/>
      <c r="CS1957" s="20"/>
      <c r="CT1957" s="20"/>
      <c r="CU1957" s="20"/>
      <c r="CV1957" s="20"/>
      <c r="CW1957" s="20"/>
      <c r="CX1957" s="20"/>
      <c r="CY1957" s="20"/>
      <c r="CZ1957" s="20"/>
      <c r="DA1957" s="20"/>
      <c r="DB1957" s="20"/>
      <c r="DC1957" s="20"/>
      <c r="DD1957" s="20"/>
      <c r="DE1957" s="20"/>
      <c r="DF1957" s="20"/>
      <c r="DG1957" s="20"/>
      <c r="DH1957" s="20"/>
      <c r="DI1957" s="20"/>
      <c r="DJ1957" s="20"/>
      <c r="DK1957" s="20"/>
      <c r="DL1957" s="20"/>
      <c r="DM1957" s="20"/>
      <c r="DN1957" s="20"/>
      <c r="DO1957" s="20"/>
      <c r="DP1957" s="20"/>
      <c r="DQ1957" s="20"/>
      <c r="DR1957" s="20"/>
      <c r="DS1957" s="20"/>
      <c r="DT1957" s="20"/>
      <c r="DU1957" s="20"/>
      <c r="DV1957" s="20"/>
      <c r="DW1957" s="20"/>
      <c r="DX1957" s="20"/>
      <c r="DY1957" s="20"/>
      <c r="DZ1957" s="20"/>
      <c r="EA1957" s="20"/>
      <c r="EB1957" s="20"/>
      <c r="EC1957" s="20"/>
      <c r="ED1957" s="20"/>
      <c r="EE1957" s="20"/>
      <c r="EF1957" s="20"/>
      <c r="EG1957" s="20"/>
      <c r="EH1957" s="20"/>
      <c r="EI1957" s="20"/>
      <c r="EJ1957" s="20"/>
      <c r="EK1957" s="20"/>
      <c r="EL1957" s="20"/>
      <c r="EM1957" s="20"/>
      <c r="EN1957" s="20"/>
      <c r="EO1957" s="20"/>
      <c r="EP1957" s="20"/>
      <c r="EQ1957" s="20"/>
      <c r="ER1957" s="20"/>
      <c r="ES1957" s="20"/>
      <c r="ET1957" s="20"/>
      <c r="EU1957" s="20"/>
      <c r="EV1957" s="20"/>
      <c r="EW1957" s="20"/>
      <c r="EX1957" s="20"/>
      <c r="EY1957" s="20"/>
      <c r="EZ1957" s="20"/>
      <c r="FA1957" s="20"/>
      <c r="FB1957" s="20"/>
      <c r="FC1957" s="20"/>
      <c r="FD1957" s="20"/>
      <c r="FE1957" s="20"/>
      <c r="FF1957" s="20"/>
      <c r="FG1957" s="20"/>
      <c r="FH1957" s="20"/>
      <c r="FI1957" s="20"/>
      <c r="FJ1957" s="20"/>
      <c r="FK1957" s="20"/>
      <c r="FL1957" s="20"/>
      <c r="FM1957" s="20"/>
      <c r="FN1957" s="20"/>
      <c r="FO1957" s="20"/>
      <c r="FP1957" s="20"/>
      <c r="FQ1957" s="20"/>
      <c r="FR1957" s="20"/>
      <c r="FS1957" s="20"/>
      <c r="FT1957" s="20"/>
      <c r="FU1957" s="20"/>
      <c r="FV1957" s="20"/>
      <c r="FW1957" s="20"/>
      <c r="FX1957" s="20"/>
      <c r="FY1957" s="20"/>
      <c r="FZ1957" s="20"/>
      <c r="GA1957" s="20"/>
      <c r="GB1957" s="20"/>
      <c r="GC1957" s="20"/>
      <c r="GD1957" s="20"/>
      <c r="GE1957" s="20"/>
      <c r="GF1957" s="20"/>
      <c r="GG1957" s="20"/>
      <c r="GH1957" s="20"/>
      <c r="GI1957" s="20"/>
      <c r="GJ1957" s="20"/>
      <c r="GK1957" s="20"/>
      <c r="GL1957" s="20"/>
      <c r="GM1957" s="20"/>
      <c r="GN1957" s="20"/>
      <c r="GO1957" s="20"/>
      <c r="GP1957" s="20"/>
      <c r="GQ1957" s="20"/>
      <c r="GR1957" s="20"/>
      <c r="GS1957" s="20"/>
      <c r="GT1957" s="20"/>
      <c r="GU1957" s="20"/>
      <c r="GV1957" s="20"/>
      <c r="GW1957" s="20"/>
      <c r="GX1957" s="20"/>
      <c r="GY1957" s="20"/>
      <c r="GZ1957" s="20"/>
      <c r="HA1957" s="20"/>
      <c r="HB1957" s="20"/>
      <c r="HC1957" s="20"/>
      <c r="HD1957" s="20"/>
      <c r="HE1957" s="20"/>
      <c r="HF1957" s="20"/>
      <c r="HG1957" s="20"/>
      <c r="HH1957" s="20"/>
      <c r="HI1957" s="20"/>
      <c r="HJ1957" s="20"/>
      <c r="HK1957" s="20"/>
      <c r="HL1957" s="20"/>
      <c r="HM1957" s="20"/>
      <c r="HN1957" s="20"/>
      <c r="HO1957" s="20"/>
      <c r="HP1957" s="20"/>
      <c r="HQ1957" s="20"/>
      <c r="HR1957" s="20"/>
      <c r="HS1957" s="20"/>
      <c r="HT1957" s="20"/>
      <c r="HU1957" s="20"/>
      <c r="HV1957" s="20"/>
      <c r="HW1957" s="20"/>
      <c r="HX1957" s="20"/>
      <c r="HY1957" s="20"/>
      <c r="HZ1957" s="20"/>
      <c r="IA1957" s="20"/>
      <c r="IB1957" s="20"/>
      <c r="IC1957" s="20"/>
      <c r="ID1957" s="20"/>
      <c r="IE1957" s="20"/>
      <c r="IF1957" s="20"/>
      <c r="IG1957" s="20"/>
      <c r="IH1957" s="20"/>
      <c r="II1957" s="20"/>
      <c r="IJ1957" s="20"/>
      <c r="IK1957" s="20"/>
      <c r="IL1957" s="20"/>
      <c r="IM1957" s="20"/>
      <c r="IN1957" s="20"/>
      <c r="IO1957" s="20"/>
    </row>
    <row r="1958" spans="1:249" s="22" customFormat="1" ht="49.5">
      <c r="A1958" s="2554">
        <v>14</v>
      </c>
      <c r="B1958" s="44"/>
      <c r="C1958" s="753">
        <v>4</v>
      </c>
      <c r="D1958" s="753" t="s">
        <v>34</v>
      </c>
      <c r="E1958" s="753" t="s">
        <v>25</v>
      </c>
      <c r="F1958" s="753">
        <v>16</v>
      </c>
      <c r="G1958" s="753"/>
      <c r="H1958" s="753"/>
      <c r="I1958" s="44" t="s">
        <v>1862</v>
      </c>
      <c r="J1958" s="44" t="s">
        <v>3062</v>
      </c>
      <c r="K1958" s="1923" t="s">
        <v>3362</v>
      </c>
      <c r="L1958" s="1770">
        <f>L1959</f>
        <v>207242684</v>
      </c>
      <c r="M1958" s="149" t="s">
        <v>3063</v>
      </c>
      <c r="N1958" s="222">
        <f>N1959</f>
        <v>103621342</v>
      </c>
      <c r="O1958" s="1923" t="s">
        <v>3063</v>
      </c>
      <c r="P1958" s="1924">
        <f>P1959</f>
        <v>19213500</v>
      </c>
      <c r="Q1958" s="1926">
        <v>0</v>
      </c>
      <c r="R1958" s="1924">
        <f t="shared" ref="R1958:X1958" si="572">R1959</f>
        <v>6665500</v>
      </c>
      <c r="S1958" s="1924">
        <f t="shared" si="572"/>
        <v>1</v>
      </c>
      <c r="T1958" s="879">
        <f t="shared" si="572"/>
        <v>6665500</v>
      </c>
      <c r="U1958" s="1924">
        <f t="shared" si="572"/>
        <v>0</v>
      </c>
      <c r="V1958" s="1924">
        <f t="shared" si="572"/>
        <v>0</v>
      </c>
      <c r="W1958" s="1924">
        <f t="shared" si="572"/>
        <v>0</v>
      </c>
      <c r="X1958" s="1924">
        <f t="shared" si="572"/>
        <v>0</v>
      </c>
      <c r="Y1958" s="149">
        <f>Q1958+S1958+U1958</f>
        <v>1</v>
      </c>
      <c r="Z1958" s="1901">
        <f t="shared" si="564"/>
        <v>13331000</v>
      </c>
      <c r="AA1958" s="149" t="s">
        <v>3063</v>
      </c>
      <c r="AB1958" s="1901">
        <f t="shared" si="558"/>
        <v>116952342</v>
      </c>
      <c r="AC1958" s="821">
        <v>80</v>
      </c>
      <c r="AD1958" s="821">
        <f t="shared" si="562"/>
        <v>56.432555177677592</v>
      </c>
      <c r="AE1958" s="2558" t="s">
        <v>2252</v>
      </c>
      <c r="AF1958" s="201"/>
      <c r="AG1958" s="201"/>
      <c r="AH1958" s="201"/>
      <c r="AI1958" s="201"/>
      <c r="AJ1958" s="201"/>
      <c r="AK1958" s="201"/>
      <c r="AL1958" s="201"/>
      <c r="AM1958" s="201"/>
      <c r="AN1958" s="201"/>
      <c r="AO1958" s="201"/>
      <c r="AP1958" s="201"/>
      <c r="AQ1958" s="201"/>
      <c r="AR1958" s="201"/>
      <c r="AS1958" s="201"/>
      <c r="AT1958" s="201"/>
      <c r="AU1958" s="201"/>
      <c r="AV1958" s="201"/>
      <c r="AW1958" s="201"/>
      <c r="AX1958" s="201"/>
      <c r="AY1958" s="201"/>
      <c r="AZ1958" s="201"/>
      <c r="BA1958" s="201"/>
      <c r="BB1958" s="201"/>
      <c r="BC1958" s="20"/>
      <c r="BD1958" s="20"/>
      <c r="BE1958" s="20"/>
      <c r="BF1958" s="20"/>
      <c r="BG1958" s="20"/>
      <c r="BH1958" s="20"/>
      <c r="BI1958" s="20"/>
      <c r="BJ1958" s="20"/>
      <c r="BK1958" s="20"/>
      <c r="BL1958" s="20"/>
      <c r="BM1958" s="20"/>
      <c r="BN1958" s="20"/>
      <c r="BO1958" s="20"/>
      <c r="BP1958" s="20"/>
      <c r="BQ1958" s="20"/>
      <c r="BR1958" s="20"/>
      <c r="BS1958" s="20"/>
      <c r="BT1958" s="20"/>
      <c r="BU1958" s="20"/>
      <c r="BV1958" s="20"/>
      <c r="BW1958" s="20"/>
      <c r="BX1958" s="20"/>
      <c r="BY1958" s="20"/>
      <c r="BZ1958" s="20"/>
      <c r="CA1958" s="20"/>
      <c r="CB1958" s="20"/>
      <c r="CC1958" s="20"/>
      <c r="CD1958" s="20"/>
      <c r="CE1958" s="20"/>
      <c r="CF1958" s="20"/>
      <c r="CG1958" s="20"/>
      <c r="CH1958" s="20"/>
      <c r="CI1958" s="20"/>
      <c r="CJ1958" s="20"/>
      <c r="CK1958" s="20"/>
      <c r="CL1958" s="20"/>
      <c r="CM1958" s="20"/>
      <c r="CN1958" s="20"/>
      <c r="CO1958" s="20"/>
      <c r="CP1958" s="20"/>
      <c r="CQ1958" s="20"/>
      <c r="CR1958" s="20"/>
      <c r="CS1958" s="20"/>
      <c r="CT1958" s="20"/>
      <c r="CU1958" s="20"/>
      <c r="CV1958" s="20"/>
      <c r="CW1958" s="20"/>
      <c r="CX1958" s="20"/>
      <c r="CY1958" s="20"/>
      <c r="CZ1958" s="20"/>
      <c r="DA1958" s="20"/>
      <c r="DB1958" s="20"/>
      <c r="DC1958" s="20"/>
      <c r="DD1958" s="20"/>
      <c r="DE1958" s="20"/>
      <c r="DF1958" s="20"/>
      <c r="DG1958" s="20"/>
      <c r="DH1958" s="20"/>
      <c r="DI1958" s="20"/>
      <c r="DJ1958" s="20"/>
      <c r="DK1958" s="20"/>
      <c r="DL1958" s="20"/>
      <c r="DM1958" s="20"/>
      <c r="DN1958" s="20"/>
      <c r="DO1958" s="20"/>
      <c r="DP1958" s="20"/>
      <c r="DQ1958" s="20"/>
      <c r="DR1958" s="20"/>
      <c r="DS1958" s="20"/>
      <c r="DT1958" s="20"/>
      <c r="DU1958" s="20"/>
      <c r="DV1958" s="20"/>
      <c r="DW1958" s="20"/>
      <c r="DX1958" s="20"/>
      <c r="DY1958" s="20"/>
      <c r="DZ1958" s="20"/>
      <c r="EA1958" s="20"/>
      <c r="EB1958" s="20"/>
      <c r="EC1958" s="20"/>
      <c r="ED1958" s="20"/>
      <c r="EE1958" s="20"/>
      <c r="EF1958" s="20"/>
      <c r="EG1958" s="20"/>
      <c r="EH1958" s="20"/>
      <c r="EI1958" s="20"/>
      <c r="EJ1958" s="20"/>
      <c r="EK1958" s="20"/>
      <c r="EL1958" s="20"/>
      <c r="EM1958" s="20"/>
      <c r="EN1958" s="20"/>
      <c r="EO1958" s="20"/>
      <c r="EP1958" s="20"/>
      <c r="EQ1958" s="20"/>
      <c r="ER1958" s="20"/>
      <c r="ES1958" s="20"/>
      <c r="ET1958" s="20"/>
      <c r="EU1958" s="20"/>
      <c r="EV1958" s="20"/>
      <c r="EW1958" s="20"/>
      <c r="EX1958" s="20"/>
      <c r="EY1958" s="20"/>
      <c r="EZ1958" s="20"/>
      <c r="FA1958" s="20"/>
      <c r="FB1958" s="20"/>
      <c r="FC1958" s="20"/>
      <c r="FD1958" s="20"/>
      <c r="FE1958" s="20"/>
      <c r="FF1958" s="20"/>
      <c r="FG1958" s="20"/>
      <c r="FH1958" s="20"/>
      <c r="FI1958" s="20"/>
      <c r="FJ1958" s="20"/>
      <c r="FK1958" s="20"/>
      <c r="FL1958" s="20"/>
      <c r="FM1958" s="20"/>
      <c r="FN1958" s="20"/>
      <c r="FO1958" s="20"/>
      <c r="FP1958" s="20"/>
      <c r="FQ1958" s="20"/>
      <c r="FR1958" s="20"/>
      <c r="FS1958" s="20"/>
      <c r="FT1958" s="20"/>
      <c r="FU1958" s="20"/>
      <c r="FV1958" s="20"/>
      <c r="FW1958" s="20"/>
      <c r="FX1958" s="20"/>
      <c r="FY1958" s="20"/>
      <c r="FZ1958" s="20"/>
      <c r="GA1958" s="20"/>
      <c r="GB1958" s="20"/>
      <c r="GC1958" s="20"/>
      <c r="GD1958" s="20"/>
      <c r="GE1958" s="20"/>
      <c r="GF1958" s="20"/>
      <c r="GG1958" s="20"/>
      <c r="GH1958" s="20"/>
      <c r="GI1958" s="20"/>
      <c r="GJ1958" s="20"/>
      <c r="GK1958" s="20"/>
      <c r="GL1958" s="20"/>
      <c r="GM1958" s="20"/>
      <c r="GN1958" s="20"/>
      <c r="GO1958" s="20"/>
      <c r="GP1958" s="20"/>
      <c r="GQ1958" s="20"/>
      <c r="GR1958" s="20"/>
      <c r="GS1958" s="20"/>
      <c r="GT1958" s="20"/>
      <c r="GU1958" s="20"/>
      <c r="GV1958" s="20"/>
      <c r="GW1958" s="20"/>
      <c r="GX1958" s="20"/>
      <c r="GY1958" s="20"/>
      <c r="GZ1958" s="20"/>
      <c r="HA1958" s="20"/>
      <c r="HB1958" s="20"/>
      <c r="HC1958" s="20"/>
      <c r="HD1958" s="20"/>
      <c r="HE1958" s="20"/>
      <c r="HF1958" s="20"/>
      <c r="HG1958" s="20"/>
      <c r="HH1958" s="20"/>
      <c r="HI1958" s="20"/>
      <c r="HJ1958" s="20"/>
      <c r="HK1958" s="20"/>
      <c r="HL1958" s="20"/>
      <c r="HM1958" s="20"/>
      <c r="HN1958" s="20"/>
      <c r="HO1958" s="20"/>
      <c r="HP1958" s="20"/>
      <c r="HQ1958" s="20"/>
      <c r="HR1958" s="20"/>
      <c r="HS1958" s="20"/>
      <c r="HT1958" s="20"/>
      <c r="HU1958" s="20"/>
      <c r="HV1958" s="20"/>
      <c r="HW1958" s="20"/>
      <c r="HX1958" s="20"/>
      <c r="HY1958" s="20"/>
      <c r="HZ1958" s="20"/>
      <c r="IA1958" s="20"/>
      <c r="IB1958" s="20"/>
      <c r="IC1958" s="20"/>
      <c r="ID1958" s="20"/>
      <c r="IE1958" s="20"/>
      <c r="IF1958" s="20"/>
      <c r="IG1958" s="20"/>
      <c r="IH1958" s="20"/>
      <c r="II1958" s="20"/>
      <c r="IJ1958" s="20"/>
      <c r="IK1958" s="20"/>
      <c r="IL1958" s="20"/>
      <c r="IM1958" s="20"/>
      <c r="IN1958" s="20"/>
      <c r="IO1958" s="20"/>
    </row>
    <row r="1959" spans="1:249" s="22" customFormat="1" ht="54.75" customHeight="1">
      <c r="A1959" s="794"/>
      <c r="B1959" s="840"/>
      <c r="C1959" s="841">
        <v>4</v>
      </c>
      <c r="D1959" s="841" t="s">
        <v>34</v>
      </c>
      <c r="E1959" s="841" t="s">
        <v>25</v>
      </c>
      <c r="F1959" s="841">
        <v>16</v>
      </c>
      <c r="G1959" s="841">
        <v>16</v>
      </c>
      <c r="H1959" s="841"/>
      <c r="I1959" s="6" t="s">
        <v>1863</v>
      </c>
      <c r="J1959" s="6" t="s">
        <v>3363</v>
      </c>
      <c r="K1959" s="1902">
        <v>20</v>
      </c>
      <c r="L1959" s="1908">
        <f>2*N1959</f>
        <v>207242684</v>
      </c>
      <c r="M1959" s="1903">
        <v>9</v>
      </c>
      <c r="N1959" s="207">
        <f>66593200+37028142</f>
        <v>103621342</v>
      </c>
      <c r="O1959" s="1902">
        <v>3</v>
      </c>
      <c r="P1959" s="1905">
        <v>19213500</v>
      </c>
      <c r="Q1959" s="1903">
        <v>1</v>
      </c>
      <c r="R1959" s="1904">
        <v>6665500</v>
      </c>
      <c r="S1959" s="795">
        <v>1</v>
      </c>
      <c r="T1959" s="207">
        <v>6665500</v>
      </c>
      <c r="U1959" s="795"/>
      <c r="V1959" s="1906"/>
      <c r="W1959" s="795"/>
      <c r="X1959" s="1906"/>
      <c r="Y1959" s="1903">
        <f>S1959+U1959</f>
        <v>1</v>
      </c>
      <c r="Z1959" s="1906">
        <f t="shared" si="564"/>
        <v>13331000</v>
      </c>
      <c r="AA1959" s="1903">
        <f>M1959+Y1959</f>
        <v>10</v>
      </c>
      <c r="AB1959" s="1906">
        <f t="shared" si="558"/>
        <v>116952342</v>
      </c>
      <c r="AC1959" s="1907">
        <f>AA1959/K1959*100</f>
        <v>50</v>
      </c>
      <c r="AD1959" s="1907">
        <f t="shared" si="562"/>
        <v>56.432555177677592</v>
      </c>
      <c r="AE1959" s="1936" t="s">
        <v>1982</v>
      </c>
      <c r="AF1959" s="201"/>
      <c r="AG1959" s="201"/>
      <c r="AH1959" s="201"/>
      <c r="AI1959" s="201"/>
      <c r="AJ1959" s="201"/>
      <c r="AK1959" s="201"/>
      <c r="AL1959" s="201"/>
      <c r="AM1959" s="201"/>
      <c r="AN1959" s="201"/>
      <c r="AO1959" s="201"/>
      <c r="AP1959" s="201"/>
      <c r="AQ1959" s="201"/>
      <c r="AR1959" s="201"/>
      <c r="AS1959" s="201"/>
      <c r="AT1959" s="201"/>
      <c r="AU1959" s="201"/>
      <c r="AV1959" s="201"/>
      <c r="AW1959" s="201"/>
      <c r="AX1959" s="201"/>
      <c r="AY1959" s="201"/>
      <c r="AZ1959" s="201"/>
      <c r="BA1959" s="201"/>
      <c r="BB1959" s="201"/>
      <c r="BC1959" s="20"/>
      <c r="BD1959" s="20"/>
      <c r="BE1959" s="20"/>
      <c r="BF1959" s="20"/>
      <c r="BG1959" s="20"/>
      <c r="BH1959" s="20"/>
      <c r="BI1959" s="20"/>
      <c r="BJ1959" s="20"/>
      <c r="BK1959" s="20"/>
      <c r="BL1959" s="20"/>
      <c r="BM1959" s="20"/>
      <c r="BN1959" s="20"/>
      <c r="BO1959" s="20"/>
      <c r="BP1959" s="20"/>
      <c r="BQ1959" s="20"/>
      <c r="BR1959" s="20"/>
      <c r="BS1959" s="20"/>
      <c r="BT1959" s="20"/>
      <c r="BU1959" s="20"/>
      <c r="BV1959" s="20"/>
      <c r="BW1959" s="20"/>
      <c r="BX1959" s="20"/>
      <c r="BY1959" s="20"/>
      <c r="BZ1959" s="20"/>
      <c r="CA1959" s="20"/>
      <c r="CB1959" s="20"/>
      <c r="CC1959" s="20"/>
      <c r="CD1959" s="20"/>
      <c r="CE1959" s="20"/>
      <c r="CF1959" s="20"/>
      <c r="CG1959" s="20"/>
      <c r="CH1959" s="20"/>
      <c r="CI1959" s="20"/>
      <c r="CJ1959" s="20"/>
      <c r="CK1959" s="20"/>
      <c r="CL1959" s="20"/>
      <c r="CM1959" s="20"/>
      <c r="CN1959" s="20"/>
      <c r="CO1959" s="20"/>
      <c r="CP1959" s="20"/>
      <c r="CQ1959" s="20"/>
      <c r="CR1959" s="20"/>
      <c r="CS1959" s="20"/>
      <c r="CT1959" s="20"/>
      <c r="CU1959" s="20"/>
      <c r="CV1959" s="20"/>
      <c r="CW1959" s="20"/>
      <c r="CX1959" s="20"/>
      <c r="CY1959" s="20"/>
      <c r="CZ1959" s="20"/>
      <c r="DA1959" s="20"/>
      <c r="DB1959" s="20"/>
      <c r="DC1959" s="20"/>
      <c r="DD1959" s="20"/>
      <c r="DE1959" s="20"/>
      <c r="DF1959" s="20"/>
      <c r="DG1959" s="20"/>
      <c r="DH1959" s="20"/>
      <c r="DI1959" s="20"/>
      <c r="DJ1959" s="20"/>
      <c r="DK1959" s="20"/>
      <c r="DL1959" s="20"/>
      <c r="DM1959" s="20"/>
      <c r="DN1959" s="20"/>
      <c r="DO1959" s="20"/>
      <c r="DP1959" s="20"/>
      <c r="DQ1959" s="20"/>
      <c r="DR1959" s="20"/>
      <c r="DS1959" s="20"/>
      <c r="DT1959" s="20"/>
      <c r="DU1959" s="20"/>
      <c r="DV1959" s="20"/>
      <c r="DW1959" s="20"/>
      <c r="DX1959" s="20"/>
      <c r="DY1959" s="20"/>
      <c r="DZ1959" s="20"/>
      <c r="EA1959" s="20"/>
      <c r="EB1959" s="20"/>
      <c r="EC1959" s="20"/>
      <c r="ED1959" s="20"/>
      <c r="EE1959" s="20"/>
      <c r="EF1959" s="20"/>
      <c r="EG1959" s="20"/>
      <c r="EH1959" s="20"/>
      <c r="EI1959" s="20"/>
      <c r="EJ1959" s="20"/>
      <c r="EK1959" s="20"/>
      <c r="EL1959" s="20"/>
      <c r="EM1959" s="20"/>
      <c r="EN1959" s="20"/>
      <c r="EO1959" s="20"/>
      <c r="EP1959" s="20"/>
      <c r="EQ1959" s="20"/>
      <c r="ER1959" s="20"/>
      <c r="ES1959" s="20"/>
      <c r="ET1959" s="20"/>
      <c r="EU1959" s="20"/>
      <c r="EV1959" s="20"/>
      <c r="EW1959" s="20"/>
      <c r="EX1959" s="20"/>
      <c r="EY1959" s="20"/>
      <c r="EZ1959" s="20"/>
      <c r="FA1959" s="20"/>
      <c r="FB1959" s="20"/>
      <c r="FC1959" s="20"/>
      <c r="FD1959" s="20"/>
      <c r="FE1959" s="20"/>
      <c r="FF1959" s="20"/>
      <c r="FG1959" s="20"/>
      <c r="FH1959" s="20"/>
      <c r="FI1959" s="20"/>
      <c r="FJ1959" s="20"/>
      <c r="FK1959" s="20"/>
      <c r="FL1959" s="20"/>
      <c r="FM1959" s="20"/>
      <c r="FN1959" s="20"/>
      <c r="FO1959" s="20"/>
      <c r="FP1959" s="20"/>
      <c r="FQ1959" s="20"/>
      <c r="FR1959" s="20"/>
      <c r="FS1959" s="20"/>
      <c r="FT1959" s="20"/>
      <c r="FU1959" s="20"/>
      <c r="FV1959" s="20"/>
      <c r="FW1959" s="20"/>
      <c r="FX1959" s="20"/>
      <c r="FY1959" s="20"/>
      <c r="FZ1959" s="20"/>
      <c r="GA1959" s="20"/>
      <c r="GB1959" s="20"/>
      <c r="GC1959" s="20"/>
      <c r="GD1959" s="20"/>
      <c r="GE1959" s="20"/>
      <c r="GF1959" s="20"/>
      <c r="GG1959" s="20"/>
      <c r="GH1959" s="20"/>
      <c r="GI1959" s="20"/>
      <c r="GJ1959" s="20"/>
      <c r="GK1959" s="20"/>
      <c r="GL1959" s="20"/>
      <c r="GM1959" s="20"/>
      <c r="GN1959" s="20"/>
      <c r="GO1959" s="20"/>
      <c r="GP1959" s="20"/>
      <c r="GQ1959" s="20"/>
      <c r="GR1959" s="20"/>
      <c r="GS1959" s="20"/>
      <c r="GT1959" s="20"/>
      <c r="GU1959" s="20"/>
      <c r="GV1959" s="20"/>
      <c r="GW1959" s="20"/>
      <c r="GX1959" s="20"/>
      <c r="GY1959" s="20"/>
      <c r="GZ1959" s="20"/>
      <c r="HA1959" s="20"/>
      <c r="HB1959" s="20"/>
      <c r="HC1959" s="20"/>
      <c r="HD1959" s="20"/>
      <c r="HE1959" s="20"/>
      <c r="HF1959" s="20"/>
      <c r="HG1959" s="20"/>
      <c r="HH1959" s="20"/>
      <c r="HI1959" s="20"/>
      <c r="HJ1959" s="20"/>
      <c r="HK1959" s="20"/>
      <c r="HL1959" s="20"/>
      <c r="HM1959" s="20"/>
      <c r="HN1959" s="20"/>
      <c r="HO1959" s="20"/>
      <c r="HP1959" s="20"/>
      <c r="HQ1959" s="20"/>
      <c r="HR1959" s="20"/>
      <c r="HS1959" s="20"/>
      <c r="HT1959" s="20"/>
      <c r="HU1959" s="20"/>
      <c r="HV1959" s="20"/>
      <c r="HW1959" s="20"/>
      <c r="HX1959" s="20"/>
      <c r="HY1959" s="20"/>
      <c r="HZ1959" s="20"/>
      <c r="IA1959" s="20"/>
      <c r="IB1959" s="20"/>
      <c r="IC1959" s="20"/>
      <c r="ID1959" s="20"/>
      <c r="IE1959" s="20"/>
      <c r="IF1959" s="20"/>
      <c r="IG1959" s="20"/>
      <c r="IH1959" s="20"/>
      <c r="II1959" s="20"/>
      <c r="IJ1959" s="20"/>
      <c r="IK1959" s="20"/>
      <c r="IL1959" s="20"/>
      <c r="IM1959" s="20"/>
      <c r="IN1959" s="20"/>
      <c r="IO1959" s="20"/>
    </row>
    <row r="1960" spans="1:249" s="22" customFormat="1" ht="82.5">
      <c r="A1960" s="2554">
        <v>15</v>
      </c>
      <c r="B1960" s="44"/>
      <c r="C1960" s="753">
        <v>4</v>
      </c>
      <c r="D1960" s="753" t="s">
        <v>34</v>
      </c>
      <c r="E1960" s="753" t="s">
        <v>25</v>
      </c>
      <c r="F1960" s="753">
        <v>20</v>
      </c>
      <c r="G1960" s="753"/>
      <c r="H1960" s="753"/>
      <c r="I1960" s="44" t="s">
        <v>1864</v>
      </c>
      <c r="J1960" s="44" t="s">
        <v>3364</v>
      </c>
      <c r="K1960" s="149">
        <v>7</v>
      </c>
      <c r="L1960" s="1770">
        <f>L1961</f>
        <v>295000000</v>
      </c>
      <c r="M1960" s="149">
        <v>4</v>
      </c>
      <c r="N1960" s="879">
        <f>N1961</f>
        <v>83815701</v>
      </c>
      <c r="O1960" s="149">
        <v>1</v>
      </c>
      <c r="P1960" s="1899">
        <f>P1961</f>
        <v>22100000</v>
      </c>
      <c r="Q1960" s="149">
        <v>0</v>
      </c>
      <c r="R1960" s="1899">
        <f t="shared" ref="R1960:X1960" si="573">R1961</f>
        <v>4672700</v>
      </c>
      <c r="S1960" s="1899">
        <f t="shared" si="573"/>
        <v>1.5</v>
      </c>
      <c r="T1960" s="1901">
        <f t="shared" si="573"/>
        <v>6672700</v>
      </c>
      <c r="U1960" s="1899">
        <f t="shared" si="573"/>
        <v>0</v>
      </c>
      <c r="V1960" s="1899">
        <f t="shared" si="573"/>
        <v>0</v>
      </c>
      <c r="W1960" s="1899">
        <f t="shared" si="573"/>
        <v>0</v>
      </c>
      <c r="X1960" s="1899">
        <f t="shared" si="573"/>
        <v>0</v>
      </c>
      <c r="Y1960" s="149">
        <f t="shared" ref="Y1960:Y1966" si="574">Q1960+S1960+U1960+W1960</f>
        <v>1.5</v>
      </c>
      <c r="Z1960" s="1901">
        <f t="shared" si="564"/>
        <v>11345400</v>
      </c>
      <c r="AA1960" s="149">
        <f>M1960+Y1960</f>
        <v>5.5</v>
      </c>
      <c r="AB1960" s="1901">
        <f t="shared" si="558"/>
        <v>95161101</v>
      </c>
      <c r="AC1960" s="821">
        <f>AA1960/K1960*100</f>
        <v>78.571428571428569</v>
      </c>
      <c r="AD1960" s="821">
        <f t="shared" si="562"/>
        <v>32.258000338983052</v>
      </c>
      <c r="AE1960" s="2558" t="s">
        <v>2252</v>
      </c>
      <c r="AF1960" s="201"/>
      <c r="AG1960" s="201"/>
      <c r="AH1960" s="201"/>
      <c r="AI1960" s="201"/>
      <c r="AJ1960" s="201"/>
      <c r="AK1960" s="201"/>
      <c r="AL1960" s="201"/>
      <c r="AM1960" s="201"/>
      <c r="AN1960" s="201"/>
      <c r="AO1960" s="201"/>
      <c r="AP1960" s="201"/>
      <c r="AQ1960" s="201"/>
      <c r="AR1960" s="201"/>
      <c r="AS1960" s="201"/>
      <c r="AT1960" s="201"/>
      <c r="AU1960" s="201"/>
      <c r="AV1960" s="201"/>
      <c r="AW1960" s="201"/>
      <c r="AX1960" s="201"/>
      <c r="AY1960" s="201"/>
      <c r="AZ1960" s="201"/>
      <c r="BA1960" s="201"/>
      <c r="BB1960" s="201"/>
      <c r="BC1960" s="20"/>
      <c r="BD1960" s="20"/>
      <c r="BE1960" s="20"/>
      <c r="BF1960" s="20"/>
      <c r="BG1960" s="20"/>
      <c r="BH1960" s="20"/>
      <c r="BI1960" s="20"/>
      <c r="BJ1960" s="20"/>
      <c r="BK1960" s="20"/>
      <c r="BL1960" s="20"/>
      <c r="BM1960" s="20"/>
      <c r="BN1960" s="20"/>
      <c r="BO1960" s="20"/>
      <c r="BP1960" s="20"/>
      <c r="BQ1960" s="20"/>
      <c r="BR1960" s="20"/>
      <c r="BS1960" s="20"/>
      <c r="BT1960" s="20"/>
      <c r="BU1960" s="20"/>
      <c r="BV1960" s="20"/>
      <c r="BW1960" s="20"/>
      <c r="BX1960" s="20"/>
      <c r="BY1960" s="20"/>
      <c r="BZ1960" s="20"/>
      <c r="CA1960" s="20"/>
      <c r="CB1960" s="20"/>
      <c r="CC1960" s="20"/>
      <c r="CD1960" s="20"/>
      <c r="CE1960" s="20"/>
      <c r="CF1960" s="20"/>
      <c r="CG1960" s="20"/>
      <c r="CH1960" s="20"/>
      <c r="CI1960" s="20"/>
      <c r="CJ1960" s="20"/>
      <c r="CK1960" s="20"/>
      <c r="CL1960" s="20"/>
      <c r="CM1960" s="20"/>
      <c r="CN1960" s="20"/>
      <c r="CO1960" s="20"/>
      <c r="CP1960" s="20"/>
      <c r="CQ1960" s="20"/>
      <c r="CR1960" s="20"/>
      <c r="CS1960" s="20"/>
      <c r="CT1960" s="20"/>
      <c r="CU1960" s="20"/>
      <c r="CV1960" s="20"/>
      <c r="CW1960" s="20"/>
      <c r="CX1960" s="20"/>
      <c r="CY1960" s="20"/>
      <c r="CZ1960" s="20"/>
      <c r="DA1960" s="20"/>
      <c r="DB1960" s="20"/>
      <c r="DC1960" s="20"/>
      <c r="DD1960" s="20"/>
      <c r="DE1960" s="20"/>
      <c r="DF1960" s="20"/>
      <c r="DG1960" s="20"/>
      <c r="DH1960" s="20"/>
      <c r="DI1960" s="20"/>
      <c r="DJ1960" s="20"/>
      <c r="DK1960" s="20"/>
      <c r="DL1960" s="20"/>
      <c r="DM1960" s="20"/>
      <c r="DN1960" s="20"/>
      <c r="DO1960" s="20"/>
      <c r="DP1960" s="20"/>
      <c r="DQ1960" s="20"/>
      <c r="DR1960" s="20"/>
      <c r="DS1960" s="20"/>
      <c r="DT1960" s="20"/>
      <c r="DU1960" s="20"/>
      <c r="DV1960" s="20"/>
      <c r="DW1960" s="20"/>
      <c r="DX1960" s="20"/>
      <c r="DY1960" s="20"/>
      <c r="DZ1960" s="20"/>
      <c r="EA1960" s="20"/>
      <c r="EB1960" s="20"/>
      <c r="EC1960" s="20"/>
      <c r="ED1960" s="20"/>
      <c r="EE1960" s="20"/>
      <c r="EF1960" s="20"/>
      <c r="EG1960" s="20"/>
      <c r="EH1960" s="20"/>
      <c r="EI1960" s="20"/>
      <c r="EJ1960" s="20"/>
      <c r="EK1960" s="20"/>
      <c r="EL1960" s="20"/>
      <c r="EM1960" s="20"/>
      <c r="EN1960" s="20"/>
      <c r="EO1960" s="20"/>
      <c r="EP1960" s="20"/>
      <c r="EQ1960" s="20"/>
      <c r="ER1960" s="20"/>
      <c r="ES1960" s="20"/>
      <c r="ET1960" s="20"/>
      <c r="EU1960" s="20"/>
      <c r="EV1960" s="20"/>
      <c r="EW1960" s="20"/>
      <c r="EX1960" s="20"/>
      <c r="EY1960" s="20"/>
      <c r="EZ1960" s="20"/>
      <c r="FA1960" s="20"/>
      <c r="FB1960" s="20"/>
      <c r="FC1960" s="20"/>
      <c r="FD1960" s="20"/>
      <c r="FE1960" s="20"/>
      <c r="FF1960" s="20"/>
      <c r="FG1960" s="20"/>
      <c r="FH1960" s="20"/>
      <c r="FI1960" s="20"/>
      <c r="FJ1960" s="20"/>
      <c r="FK1960" s="20"/>
      <c r="FL1960" s="20"/>
      <c r="FM1960" s="20"/>
      <c r="FN1960" s="20"/>
      <c r="FO1960" s="20"/>
      <c r="FP1960" s="20"/>
      <c r="FQ1960" s="20"/>
      <c r="FR1960" s="20"/>
      <c r="FS1960" s="20"/>
      <c r="FT1960" s="20"/>
      <c r="FU1960" s="20"/>
      <c r="FV1960" s="20"/>
      <c r="FW1960" s="20"/>
      <c r="FX1960" s="20"/>
      <c r="FY1960" s="20"/>
      <c r="FZ1960" s="20"/>
      <c r="GA1960" s="20"/>
      <c r="GB1960" s="20"/>
      <c r="GC1960" s="20"/>
      <c r="GD1960" s="20"/>
      <c r="GE1960" s="20"/>
      <c r="GF1960" s="20"/>
      <c r="GG1960" s="20"/>
      <c r="GH1960" s="20"/>
      <c r="GI1960" s="20"/>
      <c r="GJ1960" s="20"/>
      <c r="GK1960" s="20"/>
      <c r="GL1960" s="20"/>
      <c r="GM1960" s="20"/>
      <c r="GN1960" s="20"/>
      <c r="GO1960" s="20"/>
      <c r="GP1960" s="20"/>
      <c r="GQ1960" s="20"/>
      <c r="GR1960" s="20"/>
      <c r="GS1960" s="20"/>
      <c r="GT1960" s="20"/>
      <c r="GU1960" s="20"/>
      <c r="GV1960" s="20"/>
      <c r="GW1960" s="20"/>
      <c r="GX1960" s="20"/>
      <c r="GY1960" s="20"/>
      <c r="GZ1960" s="20"/>
      <c r="HA1960" s="20"/>
      <c r="HB1960" s="20"/>
      <c r="HC1960" s="20"/>
      <c r="HD1960" s="20"/>
      <c r="HE1960" s="20"/>
      <c r="HF1960" s="20"/>
      <c r="HG1960" s="20"/>
      <c r="HH1960" s="20"/>
      <c r="HI1960" s="20"/>
      <c r="HJ1960" s="20"/>
      <c r="HK1960" s="20"/>
      <c r="HL1960" s="20"/>
      <c r="HM1960" s="20"/>
      <c r="HN1960" s="20"/>
      <c r="HO1960" s="20"/>
      <c r="HP1960" s="20"/>
      <c r="HQ1960" s="20"/>
      <c r="HR1960" s="20"/>
      <c r="HS1960" s="20"/>
      <c r="HT1960" s="20"/>
      <c r="HU1960" s="20"/>
      <c r="HV1960" s="20"/>
      <c r="HW1960" s="20"/>
      <c r="HX1960" s="20"/>
      <c r="HY1960" s="20"/>
      <c r="HZ1960" s="20"/>
      <c r="IA1960" s="20"/>
      <c r="IB1960" s="20"/>
      <c r="IC1960" s="20"/>
      <c r="ID1960" s="20"/>
      <c r="IE1960" s="20"/>
      <c r="IF1960" s="20"/>
      <c r="IG1960" s="20"/>
      <c r="IH1960" s="20"/>
      <c r="II1960" s="20"/>
      <c r="IJ1960" s="20"/>
      <c r="IK1960" s="20"/>
      <c r="IL1960" s="20"/>
      <c r="IM1960" s="20"/>
      <c r="IN1960" s="20"/>
      <c r="IO1960" s="20"/>
    </row>
    <row r="1961" spans="1:249" s="22" customFormat="1" ht="82.5">
      <c r="A1961" s="794"/>
      <c r="B1961" s="840"/>
      <c r="C1961" s="841">
        <v>4</v>
      </c>
      <c r="D1961" s="841" t="s">
        <v>34</v>
      </c>
      <c r="E1961" s="841" t="s">
        <v>25</v>
      </c>
      <c r="F1961" s="841">
        <v>20</v>
      </c>
      <c r="G1961" s="841">
        <v>18</v>
      </c>
      <c r="H1961" s="841"/>
      <c r="I1961" s="6" t="s">
        <v>1865</v>
      </c>
      <c r="J1961" s="6" t="s">
        <v>3365</v>
      </c>
      <c r="K1961" s="1902">
        <f>24*6</f>
        <v>144</v>
      </c>
      <c r="L1961" s="1908">
        <v>295000000</v>
      </c>
      <c r="M1961" s="1903">
        <f>24*3</f>
        <v>72</v>
      </c>
      <c r="N1961" s="1904">
        <f>22191000+27898800+33725901</f>
        <v>83815701</v>
      </c>
      <c r="O1961" s="1902">
        <v>24</v>
      </c>
      <c r="P1961" s="1905">
        <v>22100000</v>
      </c>
      <c r="Q1961" s="1903">
        <f>O1961/4</f>
        <v>6</v>
      </c>
      <c r="R1961" s="1904">
        <v>4672700</v>
      </c>
      <c r="S1961" s="795">
        <v>1.5</v>
      </c>
      <c r="T1961" s="207">
        <v>6672700</v>
      </c>
      <c r="U1961" s="795"/>
      <c r="V1961" s="1906"/>
      <c r="W1961" s="795"/>
      <c r="X1961" s="1906"/>
      <c r="Y1961" s="1903">
        <f t="shared" si="574"/>
        <v>7.5</v>
      </c>
      <c r="Z1961" s="1906">
        <f t="shared" si="564"/>
        <v>11345400</v>
      </c>
      <c r="AA1961" s="1903">
        <f>M1961+Y1961</f>
        <v>79.5</v>
      </c>
      <c r="AB1961" s="1906">
        <f t="shared" si="558"/>
        <v>95161101</v>
      </c>
      <c r="AC1961" s="1907">
        <f>AA1961/K1961*100</f>
        <v>55.208333333333336</v>
      </c>
      <c r="AD1961" s="1907">
        <f t="shared" si="562"/>
        <v>32.258000338983052</v>
      </c>
      <c r="AE1961" s="1936" t="s">
        <v>1982</v>
      </c>
      <c r="AF1961" s="201"/>
      <c r="AG1961" s="201"/>
      <c r="AH1961" s="201"/>
      <c r="AI1961" s="201"/>
      <c r="AJ1961" s="201"/>
      <c r="AK1961" s="201"/>
      <c r="AL1961" s="201"/>
      <c r="AM1961" s="201"/>
      <c r="AN1961" s="201"/>
      <c r="AO1961" s="201"/>
      <c r="AP1961" s="201"/>
      <c r="AQ1961" s="201"/>
      <c r="AR1961" s="201"/>
      <c r="AS1961" s="201"/>
      <c r="AT1961" s="201"/>
      <c r="AU1961" s="201"/>
      <c r="AV1961" s="201"/>
      <c r="AW1961" s="201"/>
      <c r="AX1961" s="201"/>
      <c r="AY1961" s="201"/>
      <c r="AZ1961" s="201"/>
      <c r="BA1961" s="201"/>
      <c r="BB1961" s="201"/>
      <c r="BC1961" s="20"/>
      <c r="BD1961" s="20"/>
      <c r="BE1961" s="20"/>
      <c r="BF1961" s="20"/>
      <c r="BG1961" s="20"/>
      <c r="BH1961" s="20"/>
      <c r="BI1961" s="20"/>
      <c r="BJ1961" s="20"/>
      <c r="BK1961" s="20"/>
      <c r="BL1961" s="20"/>
      <c r="BM1961" s="20"/>
      <c r="BN1961" s="20"/>
      <c r="BO1961" s="20"/>
      <c r="BP1961" s="20"/>
      <c r="BQ1961" s="20"/>
      <c r="BR1961" s="20"/>
      <c r="BS1961" s="20"/>
      <c r="BT1961" s="20"/>
      <c r="BU1961" s="20"/>
      <c r="BV1961" s="20"/>
      <c r="BW1961" s="20"/>
      <c r="BX1961" s="20"/>
      <c r="BY1961" s="20"/>
      <c r="BZ1961" s="20"/>
      <c r="CA1961" s="20"/>
      <c r="CB1961" s="20"/>
      <c r="CC1961" s="20"/>
      <c r="CD1961" s="20"/>
      <c r="CE1961" s="20"/>
      <c r="CF1961" s="20"/>
      <c r="CG1961" s="20"/>
      <c r="CH1961" s="20"/>
      <c r="CI1961" s="20"/>
      <c r="CJ1961" s="20"/>
      <c r="CK1961" s="20"/>
      <c r="CL1961" s="20"/>
      <c r="CM1961" s="20"/>
      <c r="CN1961" s="20"/>
      <c r="CO1961" s="20"/>
      <c r="CP1961" s="20"/>
      <c r="CQ1961" s="20"/>
      <c r="CR1961" s="20"/>
      <c r="CS1961" s="20"/>
      <c r="CT1961" s="20"/>
      <c r="CU1961" s="20"/>
      <c r="CV1961" s="20"/>
      <c r="CW1961" s="20"/>
      <c r="CX1961" s="20"/>
      <c r="CY1961" s="20"/>
      <c r="CZ1961" s="20"/>
      <c r="DA1961" s="20"/>
      <c r="DB1961" s="20"/>
      <c r="DC1961" s="20"/>
      <c r="DD1961" s="20"/>
      <c r="DE1961" s="20"/>
      <c r="DF1961" s="20"/>
      <c r="DG1961" s="20"/>
      <c r="DH1961" s="20"/>
      <c r="DI1961" s="20"/>
      <c r="DJ1961" s="20"/>
      <c r="DK1961" s="20"/>
      <c r="DL1961" s="20"/>
      <c r="DM1961" s="20"/>
      <c r="DN1961" s="20"/>
      <c r="DO1961" s="20"/>
      <c r="DP1961" s="20"/>
      <c r="DQ1961" s="20"/>
      <c r="DR1961" s="20"/>
      <c r="DS1961" s="20"/>
      <c r="DT1961" s="20"/>
      <c r="DU1961" s="20"/>
      <c r="DV1961" s="20"/>
      <c r="DW1961" s="20"/>
      <c r="DX1961" s="20"/>
      <c r="DY1961" s="20"/>
      <c r="DZ1961" s="20"/>
      <c r="EA1961" s="20"/>
      <c r="EB1961" s="20"/>
      <c r="EC1961" s="20"/>
      <c r="ED1961" s="20"/>
      <c r="EE1961" s="20"/>
      <c r="EF1961" s="20"/>
      <c r="EG1961" s="20"/>
      <c r="EH1961" s="20"/>
      <c r="EI1961" s="20"/>
      <c r="EJ1961" s="20"/>
      <c r="EK1961" s="20"/>
      <c r="EL1961" s="20"/>
      <c r="EM1961" s="20"/>
      <c r="EN1961" s="20"/>
      <c r="EO1961" s="20"/>
      <c r="EP1961" s="20"/>
      <c r="EQ1961" s="20"/>
      <c r="ER1961" s="20"/>
      <c r="ES1961" s="20"/>
      <c r="ET1961" s="20"/>
      <c r="EU1961" s="20"/>
      <c r="EV1961" s="20"/>
      <c r="EW1961" s="20"/>
      <c r="EX1961" s="20"/>
      <c r="EY1961" s="20"/>
      <c r="EZ1961" s="20"/>
      <c r="FA1961" s="20"/>
      <c r="FB1961" s="20"/>
      <c r="FC1961" s="20"/>
      <c r="FD1961" s="20"/>
      <c r="FE1961" s="20"/>
      <c r="FF1961" s="20"/>
      <c r="FG1961" s="20"/>
      <c r="FH1961" s="20"/>
      <c r="FI1961" s="20"/>
      <c r="FJ1961" s="20"/>
      <c r="FK1961" s="20"/>
      <c r="FL1961" s="20"/>
      <c r="FM1961" s="20"/>
      <c r="FN1961" s="20"/>
      <c r="FO1961" s="20"/>
      <c r="FP1961" s="20"/>
      <c r="FQ1961" s="20"/>
      <c r="FR1961" s="20"/>
      <c r="FS1961" s="20"/>
      <c r="FT1961" s="20"/>
      <c r="FU1961" s="20"/>
      <c r="FV1961" s="20"/>
      <c r="FW1961" s="20"/>
      <c r="FX1961" s="20"/>
      <c r="FY1961" s="20"/>
      <c r="FZ1961" s="20"/>
      <c r="GA1961" s="20"/>
      <c r="GB1961" s="20"/>
      <c r="GC1961" s="20"/>
      <c r="GD1961" s="20"/>
      <c r="GE1961" s="20"/>
      <c r="GF1961" s="20"/>
      <c r="GG1961" s="20"/>
      <c r="GH1961" s="20"/>
      <c r="GI1961" s="20"/>
      <c r="GJ1961" s="20"/>
      <c r="GK1961" s="20"/>
      <c r="GL1961" s="20"/>
      <c r="GM1961" s="20"/>
      <c r="GN1961" s="20"/>
      <c r="GO1961" s="20"/>
      <c r="GP1961" s="20"/>
      <c r="GQ1961" s="20"/>
      <c r="GR1961" s="20"/>
      <c r="GS1961" s="20"/>
      <c r="GT1961" s="20"/>
      <c r="GU1961" s="20"/>
      <c r="GV1961" s="20"/>
      <c r="GW1961" s="20"/>
      <c r="GX1961" s="20"/>
      <c r="GY1961" s="20"/>
      <c r="GZ1961" s="20"/>
      <c r="HA1961" s="20"/>
      <c r="HB1961" s="20"/>
      <c r="HC1961" s="20"/>
      <c r="HD1961" s="20"/>
      <c r="HE1961" s="20"/>
      <c r="HF1961" s="20"/>
      <c r="HG1961" s="20"/>
      <c r="HH1961" s="20"/>
      <c r="HI1961" s="20"/>
      <c r="HJ1961" s="20"/>
      <c r="HK1961" s="20"/>
      <c r="HL1961" s="20"/>
      <c r="HM1961" s="20"/>
      <c r="HN1961" s="20"/>
      <c r="HO1961" s="20"/>
      <c r="HP1961" s="20"/>
      <c r="HQ1961" s="20"/>
      <c r="HR1961" s="20"/>
      <c r="HS1961" s="20"/>
      <c r="HT1961" s="20"/>
      <c r="HU1961" s="20"/>
      <c r="HV1961" s="20"/>
      <c r="HW1961" s="20"/>
      <c r="HX1961" s="20"/>
      <c r="HY1961" s="20"/>
      <c r="HZ1961" s="20"/>
      <c r="IA1961" s="20"/>
      <c r="IB1961" s="20"/>
      <c r="IC1961" s="20"/>
      <c r="ID1961" s="20"/>
      <c r="IE1961" s="20"/>
      <c r="IF1961" s="20"/>
      <c r="IG1961" s="20"/>
      <c r="IH1961" s="20"/>
      <c r="II1961" s="20"/>
      <c r="IJ1961" s="20"/>
      <c r="IK1961" s="20"/>
      <c r="IL1961" s="20"/>
      <c r="IM1961" s="20"/>
      <c r="IN1961" s="20"/>
      <c r="IO1961" s="20"/>
    </row>
    <row r="1962" spans="1:249" s="22" customFormat="1" ht="82.5">
      <c r="A1962" s="2554">
        <v>16</v>
      </c>
      <c r="B1962" s="44"/>
      <c r="C1962" s="753">
        <v>4</v>
      </c>
      <c r="D1962" s="753" t="s">
        <v>34</v>
      </c>
      <c r="E1962" s="753" t="s">
        <v>25</v>
      </c>
      <c r="F1962" s="753">
        <v>16</v>
      </c>
      <c r="G1962" s="753"/>
      <c r="H1962" s="753"/>
      <c r="I1962" s="44" t="s">
        <v>1866</v>
      </c>
      <c r="J1962" s="839" t="s">
        <v>3366</v>
      </c>
      <c r="K1962" s="149" t="s">
        <v>3367</v>
      </c>
      <c r="L1962" s="1770">
        <f>L1963</f>
        <v>1385000000</v>
      </c>
      <c r="M1962" s="149" t="s">
        <v>3367</v>
      </c>
      <c r="N1962" s="1901">
        <f>N1963</f>
        <v>324092445</v>
      </c>
      <c r="O1962" s="149" t="s">
        <v>3367</v>
      </c>
      <c r="P1962" s="1899">
        <f>P1963</f>
        <v>50499974</v>
      </c>
      <c r="Q1962" s="149">
        <f t="shared" ref="Q1962:X1962" si="575">Q1963</f>
        <v>3</v>
      </c>
      <c r="R1962" s="1899">
        <f t="shared" si="575"/>
        <v>0</v>
      </c>
      <c r="S1962" s="1899">
        <f t="shared" si="575"/>
        <v>0</v>
      </c>
      <c r="T1962" s="1899">
        <f t="shared" si="575"/>
        <v>0</v>
      </c>
      <c r="U1962" s="1899">
        <f t="shared" si="575"/>
        <v>0</v>
      </c>
      <c r="V1962" s="1899">
        <f t="shared" si="575"/>
        <v>0</v>
      </c>
      <c r="W1962" s="1899">
        <f t="shared" si="575"/>
        <v>0</v>
      </c>
      <c r="X1962" s="1899">
        <f t="shared" si="575"/>
        <v>0</v>
      </c>
      <c r="Y1962" s="149">
        <f t="shared" si="574"/>
        <v>3</v>
      </c>
      <c r="Z1962" s="1901">
        <f t="shared" si="564"/>
        <v>0</v>
      </c>
      <c r="AA1962" s="149" t="s">
        <v>3367</v>
      </c>
      <c r="AB1962" s="1901">
        <f t="shared" si="558"/>
        <v>324092445</v>
      </c>
      <c r="AC1962" s="821">
        <v>100</v>
      </c>
      <c r="AD1962" s="821">
        <f t="shared" si="562"/>
        <v>23.40017653429603</v>
      </c>
      <c r="AE1962" s="2558" t="s">
        <v>2252</v>
      </c>
      <c r="AF1962" s="201"/>
      <c r="AG1962" s="201"/>
      <c r="AH1962" s="201"/>
      <c r="AI1962" s="201"/>
      <c r="AJ1962" s="201"/>
      <c r="AK1962" s="201"/>
      <c r="AL1962" s="201"/>
      <c r="AM1962" s="201"/>
      <c r="AN1962" s="201"/>
      <c r="AO1962" s="201"/>
      <c r="AP1962" s="201"/>
      <c r="AQ1962" s="201"/>
      <c r="AR1962" s="201"/>
      <c r="AS1962" s="201"/>
      <c r="AT1962" s="201"/>
      <c r="AU1962" s="201"/>
      <c r="AV1962" s="201"/>
      <c r="AW1962" s="201"/>
      <c r="AX1962" s="201"/>
      <c r="AY1962" s="201"/>
      <c r="AZ1962" s="201"/>
      <c r="BA1962" s="201"/>
      <c r="BB1962" s="201"/>
      <c r="BC1962" s="20"/>
      <c r="BD1962" s="20"/>
      <c r="BE1962" s="20"/>
      <c r="BF1962" s="20"/>
      <c r="BG1962" s="20"/>
      <c r="BH1962" s="20"/>
      <c r="BI1962" s="20"/>
      <c r="BJ1962" s="20"/>
      <c r="BK1962" s="20"/>
      <c r="BL1962" s="20"/>
      <c r="BM1962" s="20"/>
      <c r="BN1962" s="20"/>
      <c r="BO1962" s="20"/>
      <c r="BP1962" s="20"/>
      <c r="BQ1962" s="20"/>
      <c r="BR1962" s="20"/>
      <c r="BS1962" s="20"/>
      <c r="BT1962" s="20"/>
      <c r="BU1962" s="20"/>
      <c r="BV1962" s="20"/>
      <c r="BW1962" s="20"/>
      <c r="BX1962" s="20"/>
      <c r="BY1962" s="20"/>
      <c r="BZ1962" s="20"/>
      <c r="CA1962" s="20"/>
      <c r="CB1962" s="20"/>
      <c r="CC1962" s="20"/>
      <c r="CD1962" s="20"/>
      <c r="CE1962" s="20"/>
      <c r="CF1962" s="20"/>
      <c r="CG1962" s="20"/>
      <c r="CH1962" s="20"/>
      <c r="CI1962" s="20"/>
      <c r="CJ1962" s="20"/>
      <c r="CK1962" s="20"/>
      <c r="CL1962" s="20"/>
      <c r="CM1962" s="20"/>
      <c r="CN1962" s="20"/>
      <c r="CO1962" s="20"/>
      <c r="CP1962" s="20"/>
      <c r="CQ1962" s="20"/>
      <c r="CR1962" s="20"/>
      <c r="CS1962" s="20"/>
      <c r="CT1962" s="20"/>
      <c r="CU1962" s="20"/>
      <c r="CV1962" s="20"/>
      <c r="CW1962" s="20"/>
      <c r="CX1962" s="20"/>
      <c r="CY1962" s="20"/>
      <c r="CZ1962" s="20"/>
      <c r="DA1962" s="20"/>
      <c r="DB1962" s="20"/>
      <c r="DC1962" s="20"/>
      <c r="DD1962" s="20"/>
      <c r="DE1962" s="20"/>
      <c r="DF1962" s="20"/>
      <c r="DG1962" s="20"/>
      <c r="DH1962" s="20"/>
      <c r="DI1962" s="20"/>
      <c r="DJ1962" s="20"/>
      <c r="DK1962" s="20"/>
      <c r="DL1962" s="20"/>
      <c r="DM1962" s="20"/>
      <c r="DN1962" s="20"/>
      <c r="DO1962" s="20"/>
      <c r="DP1962" s="20"/>
      <c r="DQ1962" s="20"/>
      <c r="DR1962" s="20"/>
      <c r="DS1962" s="20"/>
      <c r="DT1962" s="20"/>
      <c r="DU1962" s="20"/>
      <c r="DV1962" s="20"/>
      <c r="DW1962" s="20"/>
      <c r="DX1962" s="20"/>
      <c r="DY1962" s="20"/>
      <c r="DZ1962" s="20"/>
      <c r="EA1962" s="20"/>
      <c r="EB1962" s="20"/>
      <c r="EC1962" s="20"/>
      <c r="ED1962" s="20"/>
      <c r="EE1962" s="20"/>
      <c r="EF1962" s="20"/>
      <c r="EG1962" s="20"/>
      <c r="EH1962" s="20"/>
      <c r="EI1962" s="20"/>
      <c r="EJ1962" s="20"/>
      <c r="EK1962" s="20"/>
      <c r="EL1962" s="20"/>
      <c r="EM1962" s="20"/>
      <c r="EN1962" s="20"/>
      <c r="EO1962" s="20"/>
      <c r="EP1962" s="20"/>
      <c r="EQ1962" s="20"/>
      <c r="ER1962" s="20"/>
      <c r="ES1962" s="20"/>
      <c r="ET1962" s="20"/>
      <c r="EU1962" s="20"/>
      <c r="EV1962" s="20"/>
      <c r="EW1962" s="20"/>
      <c r="EX1962" s="20"/>
      <c r="EY1962" s="20"/>
      <c r="EZ1962" s="20"/>
      <c r="FA1962" s="20"/>
      <c r="FB1962" s="20"/>
      <c r="FC1962" s="20"/>
      <c r="FD1962" s="20"/>
      <c r="FE1962" s="20"/>
      <c r="FF1962" s="20"/>
      <c r="FG1962" s="20"/>
      <c r="FH1962" s="20"/>
      <c r="FI1962" s="20"/>
      <c r="FJ1962" s="20"/>
      <c r="FK1962" s="20"/>
      <c r="FL1962" s="20"/>
      <c r="FM1962" s="20"/>
      <c r="FN1962" s="20"/>
      <c r="FO1962" s="20"/>
      <c r="FP1962" s="20"/>
      <c r="FQ1962" s="20"/>
      <c r="FR1962" s="20"/>
      <c r="FS1962" s="20"/>
      <c r="FT1962" s="20"/>
      <c r="FU1962" s="20"/>
      <c r="FV1962" s="20"/>
      <c r="FW1962" s="20"/>
      <c r="FX1962" s="20"/>
      <c r="FY1962" s="20"/>
      <c r="FZ1962" s="20"/>
      <c r="GA1962" s="20"/>
      <c r="GB1962" s="20"/>
      <c r="GC1962" s="20"/>
      <c r="GD1962" s="20"/>
      <c r="GE1962" s="20"/>
      <c r="GF1962" s="20"/>
      <c r="GG1962" s="20"/>
      <c r="GH1962" s="20"/>
      <c r="GI1962" s="20"/>
      <c r="GJ1962" s="20"/>
      <c r="GK1962" s="20"/>
      <c r="GL1962" s="20"/>
      <c r="GM1962" s="20"/>
      <c r="GN1962" s="20"/>
      <c r="GO1962" s="20"/>
      <c r="GP1962" s="20"/>
      <c r="GQ1962" s="20"/>
      <c r="GR1962" s="20"/>
      <c r="GS1962" s="20"/>
      <c r="GT1962" s="20"/>
      <c r="GU1962" s="20"/>
      <c r="GV1962" s="20"/>
      <c r="GW1962" s="20"/>
      <c r="GX1962" s="20"/>
      <c r="GY1962" s="20"/>
      <c r="GZ1962" s="20"/>
      <c r="HA1962" s="20"/>
      <c r="HB1962" s="20"/>
      <c r="HC1962" s="20"/>
      <c r="HD1962" s="20"/>
      <c r="HE1962" s="20"/>
      <c r="HF1962" s="20"/>
      <c r="HG1962" s="20"/>
      <c r="HH1962" s="20"/>
      <c r="HI1962" s="20"/>
      <c r="HJ1962" s="20"/>
      <c r="HK1962" s="20"/>
      <c r="HL1962" s="20"/>
      <c r="HM1962" s="20"/>
      <c r="HN1962" s="20"/>
      <c r="HO1962" s="20"/>
      <c r="HP1962" s="20"/>
      <c r="HQ1962" s="20"/>
      <c r="HR1962" s="20"/>
      <c r="HS1962" s="20"/>
      <c r="HT1962" s="20"/>
      <c r="HU1962" s="20"/>
      <c r="HV1962" s="20"/>
      <c r="HW1962" s="20"/>
      <c r="HX1962" s="20"/>
      <c r="HY1962" s="20"/>
      <c r="HZ1962" s="20"/>
      <c r="IA1962" s="20"/>
      <c r="IB1962" s="20"/>
      <c r="IC1962" s="20"/>
      <c r="ID1962" s="20"/>
      <c r="IE1962" s="20"/>
      <c r="IF1962" s="20"/>
      <c r="IG1962" s="20"/>
      <c r="IH1962" s="20"/>
      <c r="II1962" s="20"/>
      <c r="IJ1962" s="20"/>
      <c r="IK1962" s="20"/>
      <c r="IL1962" s="20"/>
      <c r="IM1962" s="20"/>
      <c r="IN1962" s="20"/>
      <c r="IO1962" s="20"/>
    </row>
    <row r="1963" spans="1:249" s="22" customFormat="1" ht="66">
      <c r="A1963" s="794"/>
      <c r="B1963" s="840"/>
      <c r="C1963" s="841">
        <v>4</v>
      </c>
      <c r="D1963" s="841" t="s">
        <v>34</v>
      </c>
      <c r="E1963" s="841" t="s">
        <v>25</v>
      </c>
      <c r="F1963" s="841">
        <v>16</v>
      </c>
      <c r="G1963" s="841" t="s">
        <v>28</v>
      </c>
      <c r="H1963" s="841"/>
      <c r="I1963" s="6" t="s">
        <v>1867</v>
      </c>
      <c r="J1963" s="6" t="s">
        <v>3368</v>
      </c>
      <c r="K1963" s="1902">
        <v>72</v>
      </c>
      <c r="L1963" s="1908">
        <v>1385000000</v>
      </c>
      <c r="M1963" s="1903">
        <v>36</v>
      </c>
      <c r="N1963" s="1904">
        <f>119109000+149187673+55795772</f>
        <v>324092445</v>
      </c>
      <c r="O1963" s="1902">
        <v>12</v>
      </c>
      <c r="P1963" s="1905">
        <v>50499974</v>
      </c>
      <c r="Q1963" s="1903">
        <v>3</v>
      </c>
      <c r="R1963" s="1904">
        <v>0</v>
      </c>
      <c r="S1963" s="795"/>
      <c r="T1963" s="207"/>
      <c r="U1963" s="795"/>
      <c r="V1963" s="1906"/>
      <c r="W1963" s="795"/>
      <c r="X1963" s="1906"/>
      <c r="Y1963" s="1903">
        <f t="shared" si="574"/>
        <v>3</v>
      </c>
      <c r="Z1963" s="1906">
        <f t="shared" si="564"/>
        <v>0</v>
      </c>
      <c r="AA1963" s="1903">
        <f>M1963+Y1963</f>
        <v>39</v>
      </c>
      <c r="AB1963" s="1906">
        <f t="shared" si="558"/>
        <v>324092445</v>
      </c>
      <c r="AC1963" s="1907">
        <f>AA1963/K1963*100</f>
        <v>54.166666666666664</v>
      </c>
      <c r="AD1963" s="1907">
        <f t="shared" si="562"/>
        <v>23.40017653429603</v>
      </c>
      <c r="AE1963" s="102" t="s">
        <v>1979</v>
      </c>
      <c r="AF1963" s="201"/>
      <c r="AG1963" s="201"/>
      <c r="AH1963" s="201"/>
      <c r="AI1963" s="201"/>
      <c r="AJ1963" s="201"/>
      <c r="AK1963" s="201"/>
      <c r="AL1963" s="201"/>
      <c r="AM1963" s="201"/>
      <c r="AN1963" s="201"/>
      <c r="AO1963" s="201"/>
      <c r="AP1963" s="201"/>
      <c r="AQ1963" s="201"/>
      <c r="AR1963" s="201"/>
      <c r="AS1963" s="201"/>
      <c r="AT1963" s="201"/>
      <c r="AU1963" s="201"/>
      <c r="AV1963" s="201"/>
      <c r="AW1963" s="201"/>
      <c r="AX1963" s="201"/>
      <c r="AY1963" s="201"/>
      <c r="AZ1963" s="201"/>
      <c r="BA1963" s="201"/>
      <c r="BB1963" s="201"/>
      <c r="BC1963" s="20"/>
      <c r="BD1963" s="20"/>
      <c r="BE1963" s="20"/>
      <c r="BF1963" s="20"/>
      <c r="BG1963" s="20"/>
      <c r="BH1963" s="20"/>
      <c r="BI1963" s="20"/>
      <c r="BJ1963" s="20"/>
      <c r="BK1963" s="20"/>
      <c r="BL1963" s="20"/>
      <c r="BM1963" s="20"/>
      <c r="BN1963" s="20"/>
      <c r="BO1963" s="20"/>
      <c r="BP1963" s="20"/>
      <c r="BQ1963" s="20"/>
      <c r="BR1963" s="20"/>
      <c r="BS1963" s="20"/>
      <c r="BT1963" s="20"/>
      <c r="BU1963" s="20"/>
      <c r="BV1963" s="20"/>
      <c r="BW1963" s="20"/>
      <c r="BX1963" s="20"/>
      <c r="BY1963" s="20"/>
      <c r="BZ1963" s="20"/>
      <c r="CA1963" s="20"/>
      <c r="CB1963" s="20"/>
      <c r="CC1963" s="20"/>
      <c r="CD1963" s="20"/>
      <c r="CE1963" s="20"/>
      <c r="CF1963" s="20"/>
      <c r="CG1963" s="20"/>
      <c r="CH1963" s="20"/>
      <c r="CI1963" s="20"/>
      <c r="CJ1963" s="20"/>
      <c r="CK1963" s="20"/>
      <c r="CL1963" s="20"/>
      <c r="CM1963" s="20"/>
      <c r="CN1963" s="20"/>
      <c r="CO1963" s="20"/>
      <c r="CP1963" s="20"/>
      <c r="CQ1963" s="20"/>
      <c r="CR1963" s="20"/>
      <c r="CS1963" s="20"/>
      <c r="CT1963" s="20"/>
      <c r="CU1963" s="20"/>
      <c r="CV1963" s="20"/>
      <c r="CW1963" s="20"/>
      <c r="CX1963" s="20"/>
      <c r="CY1963" s="20"/>
      <c r="CZ1963" s="20"/>
      <c r="DA1963" s="20"/>
      <c r="DB1963" s="20"/>
      <c r="DC1963" s="20"/>
      <c r="DD1963" s="20"/>
      <c r="DE1963" s="20"/>
      <c r="DF1963" s="20"/>
      <c r="DG1963" s="20"/>
      <c r="DH1963" s="20"/>
      <c r="DI1963" s="20"/>
      <c r="DJ1963" s="20"/>
      <c r="DK1963" s="20"/>
      <c r="DL1963" s="20"/>
      <c r="DM1963" s="20"/>
      <c r="DN1963" s="20"/>
      <c r="DO1963" s="20"/>
      <c r="DP1963" s="20"/>
      <c r="DQ1963" s="20"/>
      <c r="DR1963" s="20"/>
      <c r="DS1963" s="20"/>
      <c r="DT1963" s="20"/>
      <c r="DU1963" s="20"/>
      <c r="DV1963" s="20"/>
      <c r="DW1963" s="20"/>
      <c r="DX1963" s="20"/>
      <c r="DY1963" s="20"/>
      <c r="DZ1963" s="20"/>
      <c r="EA1963" s="20"/>
      <c r="EB1963" s="20"/>
      <c r="EC1963" s="20"/>
      <c r="ED1963" s="20"/>
      <c r="EE1963" s="20"/>
      <c r="EF1963" s="20"/>
      <c r="EG1963" s="20"/>
      <c r="EH1963" s="20"/>
      <c r="EI1963" s="20"/>
      <c r="EJ1963" s="20"/>
      <c r="EK1963" s="20"/>
      <c r="EL1963" s="20"/>
      <c r="EM1963" s="20"/>
      <c r="EN1963" s="20"/>
      <c r="EO1963" s="20"/>
      <c r="EP1963" s="20"/>
      <c r="EQ1963" s="20"/>
      <c r="ER1963" s="20"/>
      <c r="ES1963" s="20"/>
      <c r="ET1963" s="20"/>
      <c r="EU1963" s="20"/>
      <c r="EV1963" s="20"/>
      <c r="EW1963" s="20"/>
      <c r="EX1963" s="20"/>
      <c r="EY1963" s="20"/>
      <c r="EZ1963" s="20"/>
      <c r="FA1963" s="20"/>
      <c r="FB1963" s="20"/>
      <c r="FC1963" s="20"/>
      <c r="FD1963" s="20"/>
      <c r="FE1963" s="20"/>
      <c r="FF1963" s="20"/>
      <c r="FG1963" s="20"/>
      <c r="FH1963" s="20"/>
      <c r="FI1963" s="20"/>
      <c r="FJ1963" s="20"/>
      <c r="FK1963" s="20"/>
      <c r="FL1963" s="20"/>
      <c r="FM1963" s="20"/>
      <c r="FN1963" s="20"/>
      <c r="FO1963" s="20"/>
      <c r="FP1963" s="20"/>
      <c r="FQ1963" s="20"/>
      <c r="FR1963" s="20"/>
      <c r="FS1963" s="20"/>
      <c r="FT1963" s="20"/>
      <c r="FU1963" s="20"/>
      <c r="FV1963" s="20"/>
      <c r="FW1963" s="20"/>
      <c r="FX1963" s="20"/>
      <c r="FY1963" s="20"/>
      <c r="FZ1963" s="20"/>
      <c r="GA1963" s="20"/>
      <c r="GB1963" s="20"/>
      <c r="GC1963" s="20"/>
      <c r="GD1963" s="20"/>
      <c r="GE1963" s="20"/>
      <c r="GF1963" s="20"/>
      <c r="GG1963" s="20"/>
      <c r="GH1963" s="20"/>
      <c r="GI1963" s="20"/>
      <c r="GJ1963" s="20"/>
      <c r="GK1963" s="20"/>
      <c r="GL1963" s="20"/>
      <c r="GM1963" s="20"/>
      <c r="GN1963" s="20"/>
      <c r="GO1963" s="20"/>
      <c r="GP1963" s="20"/>
      <c r="GQ1963" s="20"/>
      <c r="GR1963" s="20"/>
      <c r="GS1963" s="20"/>
      <c r="GT1963" s="20"/>
      <c r="GU1963" s="20"/>
      <c r="GV1963" s="20"/>
      <c r="GW1963" s="20"/>
      <c r="GX1963" s="20"/>
      <c r="GY1963" s="20"/>
      <c r="GZ1963" s="20"/>
      <c r="HA1963" s="20"/>
      <c r="HB1963" s="20"/>
      <c r="HC1963" s="20"/>
      <c r="HD1963" s="20"/>
      <c r="HE1963" s="20"/>
      <c r="HF1963" s="20"/>
      <c r="HG1963" s="20"/>
      <c r="HH1963" s="20"/>
      <c r="HI1963" s="20"/>
      <c r="HJ1963" s="20"/>
      <c r="HK1963" s="20"/>
      <c r="HL1963" s="20"/>
      <c r="HM1963" s="20"/>
      <c r="HN1963" s="20"/>
      <c r="HO1963" s="20"/>
      <c r="HP1963" s="20"/>
      <c r="HQ1963" s="20"/>
      <c r="HR1963" s="20"/>
      <c r="HS1963" s="20"/>
      <c r="HT1963" s="20"/>
      <c r="HU1963" s="20"/>
      <c r="HV1963" s="20"/>
      <c r="HW1963" s="20"/>
      <c r="HX1963" s="20"/>
      <c r="HY1963" s="20"/>
      <c r="HZ1963" s="20"/>
      <c r="IA1963" s="20"/>
      <c r="IB1963" s="20"/>
      <c r="IC1963" s="20"/>
      <c r="ID1963" s="20"/>
      <c r="IE1963" s="20"/>
      <c r="IF1963" s="20"/>
      <c r="IG1963" s="20"/>
      <c r="IH1963" s="20"/>
      <c r="II1963" s="20"/>
      <c r="IJ1963" s="20"/>
      <c r="IK1963" s="20"/>
      <c r="IL1963" s="20"/>
      <c r="IM1963" s="20"/>
      <c r="IN1963" s="20"/>
      <c r="IO1963" s="20"/>
    </row>
    <row r="1964" spans="1:249" s="22" customFormat="1" ht="66">
      <c r="A1964" s="2554">
        <v>17</v>
      </c>
      <c r="B1964" s="44"/>
      <c r="C1964" s="753">
        <v>4</v>
      </c>
      <c r="D1964" s="753" t="s">
        <v>34</v>
      </c>
      <c r="E1964" s="753" t="s">
        <v>25</v>
      </c>
      <c r="F1964" s="753">
        <v>17</v>
      </c>
      <c r="G1964" s="753"/>
      <c r="H1964" s="753"/>
      <c r="I1964" s="44" t="s">
        <v>1868</v>
      </c>
      <c r="J1964" s="839" t="s">
        <v>3369</v>
      </c>
      <c r="K1964" s="149">
        <v>12</v>
      </c>
      <c r="L1964" s="1770">
        <f>L1965</f>
        <v>58127626</v>
      </c>
      <c r="M1964" s="149">
        <v>0</v>
      </c>
      <c r="N1964" s="1901">
        <f>N1965</f>
        <v>0</v>
      </c>
      <c r="O1964" s="149">
        <v>12</v>
      </c>
      <c r="P1964" s="1899">
        <f>P1965</f>
        <v>58127626</v>
      </c>
      <c r="Q1964" s="149">
        <f t="shared" ref="Q1964:X1964" si="576">Q1965</f>
        <v>1</v>
      </c>
      <c r="R1964" s="1899">
        <f t="shared" si="576"/>
        <v>10534750</v>
      </c>
      <c r="S1964" s="1899">
        <f t="shared" si="576"/>
        <v>1.5</v>
      </c>
      <c r="T1964" s="1901">
        <f t="shared" si="576"/>
        <v>34268750</v>
      </c>
      <c r="U1964" s="1899">
        <f t="shared" si="576"/>
        <v>0</v>
      </c>
      <c r="V1964" s="1899">
        <f t="shared" si="576"/>
        <v>0</v>
      </c>
      <c r="W1964" s="1899">
        <f t="shared" si="576"/>
        <v>0</v>
      </c>
      <c r="X1964" s="1899">
        <f t="shared" si="576"/>
        <v>0</v>
      </c>
      <c r="Y1964" s="149">
        <f t="shared" si="574"/>
        <v>2.5</v>
      </c>
      <c r="Z1964" s="1901">
        <f t="shared" si="564"/>
        <v>44803500</v>
      </c>
      <c r="AA1964" s="149">
        <f>M1964+Y1964</f>
        <v>2.5</v>
      </c>
      <c r="AB1964" s="1901">
        <f t="shared" si="558"/>
        <v>44803500</v>
      </c>
      <c r="AC1964" s="821">
        <f>AA1964/K1964*100</f>
        <v>20.833333333333336</v>
      </c>
      <c r="AD1964" s="821">
        <f t="shared" si="562"/>
        <v>77.077808063243452</v>
      </c>
      <c r="AE1964" s="2558" t="s">
        <v>2252</v>
      </c>
      <c r="AF1964" s="201"/>
      <c r="AG1964" s="201"/>
      <c r="AH1964" s="201"/>
      <c r="AI1964" s="201"/>
      <c r="AJ1964" s="201"/>
      <c r="AK1964" s="201"/>
      <c r="AL1964" s="201"/>
      <c r="AM1964" s="201"/>
      <c r="AN1964" s="201"/>
      <c r="AO1964" s="201"/>
      <c r="AP1964" s="201"/>
      <c r="AQ1964" s="201"/>
      <c r="AR1964" s="201"/>
      <c r="AS1964" s="201"/>
      <c r="AT1964" s="201"/>
      <c r="AU1964" s="201"/>
      <c r="AV1964" s="201"/>
      <c r="AW1964" s="201"/>
      <c r="AX1964" s="201"/>
      <c r="AY1964" s="201"/>
      <c r="AZ1964" s="201"/>
      <c r="BA1964" s="201"/>
      <c r="BB1964" s="201"/>
      <c r="BC1964" s="20"/>
      <c r="BD1964" s="20"/>
      <c r="BE1964" s="20"/>
      <c r="BF1964" s="20"/>
      <c r="BG1964" s="20"/>
      <c r="BH1964" s="20"/>
      <c r="BI1964" s="20"/>
      <c r="BJ1964" s="20"/>
      <c r="BK1964" s="20"/>
      <c r="BL1964" s="20"/>
      <c r="BM1964" s="20"/>
      <c r="BN1964" s="20"/>
      <c r="BO1964" s="20"/>
      <c r="BP1964" s="20"/>
      <c r="BQ1964" s="20"/>
      <c r="BR1964" s="20"/>
      <c r="BS1964" s="20"/>
      <c r="BT1964" s="20"/>
      <c r="BU1964" s="20"/>
      <c r="BV1964" s="20"/>
      <c r="BW1964" s="20"/>
      <c r="BX1964" s="20"/>
      <c r="BY1964" s="20"/>
      <c r="BZ1964" s="20"/>
      <c r="CA1964" s="20"/>
      <c r="CB1964" s="20"/>
      <c r="CC1964" s="20"/>
      <c r="CD1964" s="20"/>
      <c r="CE1964" s="20"/>
      <c r="CF1964" s="20"/>
      <c r="CG1964" s="20"/>
      <c r="CH1964" s="20"/>
      <c r="CI1964" s="20"/>
      <c r="CJ1964" s="20"/>
      <c r="CK1964" s="20"/>
      <c r="CL1964" s="20"/>
      <c r="CM1964" s="20"/>
      <c r="CN1964" s="20"/>
      <c r="CO1964" s="20"/>
      <c r="CP1964" s="20"/>
      <c r="CQ1964" s="20"/>
      <c r="CR1964" s="20"/>
      <c r="CS1964" s="20"/>
      <c r="CT1964" s="20"/>
      <c r="CU1964" s="20"/>
      <c r="CV1964" s="20"/>
      <c r="CW1964" s="20"/>
      <c r="CX1964" s="20"/>
      <c r="CY1964" s="20"/>
      <c r="CZ1964" s="20"/>
      <c r="DA1964" s="20"/>
      <c r="DB1964" s="20"/>
      <c r="DC1964" s="20"/>
      <c r="DD1964" s="20"/>
      <c r="DE1964" s="20"/>
      <c r="DF1964" s="20"/>
      <c r="DG1964" s="20"/>
      <c r="DH1964" s="20"/>
      <c r="DI1964" s="20"/>
      <c r="DJ1964" s="20"/>
      <c r="DK1964" s="20"/>
      <c r="DL1964" s="20"/>
      <c r="DM1964" s="20"/>
      <c r="DN1964" s="20"/>
      <c r="DO1964" s="20"/>
      <c r="DP1964" s="20"/>
      <c r="DQ1964" s="20"/>
      <c r="DR1964" s="20"/>
      <c r="DS1964" s="20"/>
      <c r="DT1964" s="20"/>
      <c r="DU1964" s="20"/>
      <c r="DV1964" s="20"/>
      <c r="DW1964" s="20"/>
      <c r="DX1964" s="20"/>
      <c r="DY1964" s="20"/>
      <c r="DZ1964" s="20"/>
      <c r="EA1964" s="20"/>
      <c r="EB1964" s="20"/>
      <c r="EC1964" s="20"/>
      <c r="ED1964" s="20"/>
      <c r="EE1964" s="20"/>
      <c r="EF1964" s="20"/>
      <c r="EG1964" s="20"/>
      <c r="EH1964" s="20"/>
      <c r="EI1964" s="20"/>
      <c r="EJ1964" s="20"/>
      <c r="EK1964" s="20"/>
      <c r="EL1964" s="20"/>
      <c r="EM1964" s="20"/>
      <c r="EN1964" s="20"/>
      <c r="EO1964" s="20"/>
      <c r="EP1964" s="20"/>
      <c r="EQ1964" s="20"/>
      <c r="ER1964" s="20"/>
      <c r="ES1964" s="20"/>
      <c r="ET1964" s="20"/>
      <c r="EU1964" s="20"/>
      <c r="EV1964" s="20"/>
      <c r="EW1964" s="20"/>
      <c r="EX1964" s="20"/>
      <c r="EY1964" s="20"/>
      <c r="EZ1964" s="20"/>
      <c r="FA1964" s="20"/>
      <c r="FB1964" s="20"/>
      <c r="FC1964" s="20"/>
      <c r="FD1964" s="20"/>
      <c r="FE1964" s="20"/>
      <c r="FF1964" s="20"/>
      <c r="FG1964" s="20"/>
      <c r="FH1964" s="20"/>
      <c r="FI1964" s="20"/>
      <c r="FJ1964" s="20"/>
      <c r="FK1964" s="20"/>
      <c r="FL1964" s="20"/>
      <c r="FM1964" s="20"/>
      <c r="FN1964" s="20"/>
      <c r="FO1964" s="20"/>
      <c r="FP1964" s="20"/>
      <c r="FQ1964" s="20"/>
      <c r="FR1964" s="20"/>
      <c r="FS1964" s="20"/>
      <c r="FT1964" s="20"/>
      <c r="FU1964" s="20"/>
      <c r="FV1964" s="20"/>
      <c r="FW1964" s="20"/>
      <c r="FX1964" s="20"/>
      <c r="FY1964" s="20"/>
      <c r="FZ1964" s="20"/>
      <c r="GA1964" s="20"/>
      <c r="GB1964" s="20"/>
      <c r="GC1964" s="20"/>
      <c r="GD1964" s="20"/>
      <c r="GE1964" s="20"/>
      <c r="GF1964" s="20"/>
      <c r="GG1964" s="20"/>
      <c r="GH1964" s="20"/>
      <c r="GI1964" s="20"/>
      <c r="GJ1964" s="20"/>
      <c r="GK1964" s="20"/>
      <c r="GL1964" s="20"/>
      <c r="GM1964" s="20"/>
      <c r="GN1964" s="20"/>
      <c r="GO1964" s="20"/>
      <c r="GP1964" s="20"/>
      <c r="GQ1964" s="20"/>
      <c r="GR1964" s="20"/>
      <c r="GS1964" s="20"/>
      <c r="GT1964" s="20"/>
      <c r="GU1964" s="20"/>
      <c r="GV1964" s="20"/>
      <c r="GW1964" s="20"/>
      <c r="GX1964" s="20"/>
      <c r="GY1964" s="20"/>
      <c r="GZ1964" s="20"/>
      <c r="HA1964" s="20"/>
      <c r="HB1964" s="20"/>
      <c r="HC1964" s="20"/>
      <c r="HD1964" s="20"/>
      <c r="HE1964" s="20"/>
      <c r="HF1964" s="20"/>
      <c r="HG1964" s="20"/>
      <c r="HH1964" s="20"/>
      <c r="HI1964" s="20"/>
      <c r="HJ1964" s="20"/>
      <c r="HK1964" s="20"/>
      <c r="HL1964" s="20"/>
      <c r="HM1964" s="20"/>
      <c r="HN1964" s="20"/>
      <c r="HO1964" s="20"/>
      <c r="HP1964" s="20"/>
      <c r="HQ1964" s="20"/>
      <c r="HR1964" s="20"/>
      <c r="HS1964" s="20"/>
      <c r="HT1964" s="20"/>
      <c r="HU1964" s="20"/>
      <c r="HV1964" s="20"/>
      <c r="HW1964" s="20"/>
      <c r="HX1964" s="20"/>
      <c r="HY1964" s="20"/>
      <c r="HZ1964" s="20"/>
      <c r="IA1964" s="20"/>
      <c r="IB1964" s="20"/>
      <c r="IC1964" s="20"/>
      <c r="ID1964" s="20"/>
      <c r="IE1964" s="20"/>
      <c r="IF1964" s="20"/>
      <c r="IG1964" s="20"/>
      <c r="IH1964" s="20"/>
      <c r="II1964" s="20"/>
      <c r="IJ1964" s="20"/>
      <c r="IK1964" s="20"/>
      <c r="IL1964" s="20"/>
      <c r="IM1964" s="20"/>
      <c r="IN1964" s="20"/>
      <c r="IO1964" s="20"/>
    </row>
    <row r="1965" spans="1:249" s="22" customFormat="1" ht="49.5">
      <c r="A1965" s="794"/>
      <c r="B1965" s="840"/>
      <c r="C1965" s="841">
        <v>4</v>
      </c>
      <c r="D1965" s="841" t="s">
        <v>34</v>
      </c>
      <c r="E1965" s="841" t="s">
        <v>25</v>
      </c>
      <c r="F1965" s="841">
        <v>17</v>
      </c>
      <c r="G1965" s="841" t="s">
        <v>25</v>
      </c>
      <c r="H1965" s="841"/>
      <c r="I1965" s="6" t="s">
        <v>1869</v>
      </c>
      <c r="J1965" s="6" t="s">
        <v>3370</v>
      </c>
      <c r="K1965" s="1902">
        <v>4</v>
      </c>
      <c r="L1965" s="1908">
        <f>P1965</f>
        <v>58127626</v>
      </c>
      <c r="M1965" s="1903">
        <v>0</v>
      </c>
      <c r="N1965" s="1904">
        <v>0</v>
      </c>
      <c r="O1965" s="1902">
        <v>4</v>
      </c>
      <c r="P1965" s="1905">
        <v>58127626</v>
      </c>
      <c r="Q1965" s="1903">
        <f>O1965/4</f>
        <v>1</v>
      </c>
      <c r="R1965" s="1904">
        <v>10534750</v>
      </c>
      <c r="S1965" s="795">
        <v>1.5</v>
      </c>
      <c r="T1965" s="207">
        <v>34268750</v>
      </c>
      <c r="U1965" s="795"/>
      <c r="V1965" s="1906"/>
      <c r="W1965" s="795"/>
      <c r="X1965" s="1906"/>
      <c r="Y1965" s="1903">
        <f t="shared" si="574"/>
        <v>2.5</v>
      </c>
      <c r="Z1965" s="1906">
        <f t="shared" si="564"/>
        <v>44803500</v>
      </c>
      <c r="AA1965" s="1903">
        <f>M1965+Y1965</f>
        <v>2.5</v>
      </c>
      <c r="AB1965" s="1906">
        <f t="shared" si="558"/>
        <v>44803500</v>
      </c>
      <c r="AC1965" s="1907">
        <f>AA1965/K1965*100</f>
        <v>62.5</v>
      </c>
      <c r="AD1965" s="1907">
        <f t="shared" si="562"/>
        <v>77.077808063243452</v>
      </c>
      <c r="AE1965" s="2601" t="s">
        <v>1988</v>
      </c>
      <c r="AF1965" s="201"/>
      <c r="AG1965" s="201"/>
      <c r="AH1965" s="201"/>
      <c r="AI1965" s="201"/>
      <c r="AJ1965" s="201"/>
      <c r="AK1965" s="201"/>
      <c r="AL1965" s="201"/>
      <c r="AM1965" s="201"/>
      <c r="AN1965" s="201"/>
      <c r="AO1965" s="201"/>
      <c r="AP1965" s="201"/>
      <c r="AQ1965" s="201"/>
      <c r="AR1965" s="201"/>
      <c r="AS1965" s="201"/>
      <c r="AT1965" s="201"/>
      <c r="AU1965" s="201"/>
      <c r="AV1965" s="201"/>
      <c r="AW1965" s="201"/>
      <c r="AX1965" s="201"/>
      <c r="AY1965" s="201"/>
      <c r="AZ1965" s="201"/>
      <c r="BA1965" s="201"/>
      <c r="BB1965" s="201"/>
      <c r="BC1965" s="20"/>
      <c r="BD1965" s="20"/>
      <c r="BE1965" s="20"/>
      <c r="BF1965" s="20"/>
      <c r="BG1965" s="20"/>
      <c r="BH1965" s="20"/>
      <c r="BI1965" s="20"/>
      <c r="BJ1965" s="20"/>
      <c r="BK1965" s="20"/>
      <c r="BL1965" s="20"/>
      <c r="BM1965" s="20"/>
      <c r="BN1965" s="20"/>
      <c r="BO1965" s="20"/>
      <c r="BP1965" s="20"/>
      <c r="BQ1965" s="20"/>
      <c r="BR1965" s="20"/>
      <c r="BS1965" s="20"/>
      <c r="BT1965" s="20"/>
      <c r="BU1965" s="20"/>
      <c r="BV1965" s="20"/>
      <c r="BW1965" s="20"/>
      <c r="BX1965" s="20"/>
      <c r="BY1965" s="20"/>
      <c r="BZ1965" s="20"/>
      <c r="CA1965" s="20"/>
      <c r="CB1965" s="20"/>
      <c r="CC1965" s="20"/>
      <c r="CD1965" s="20"/>
      <c r="CE1965" s="20"/>
      <c r="CF1965" s="20"/>
      <c r="CG1965" s="20"/>
      <c r="CH1965" s="20"/>
      <c r="CI1965" s="20"/>
      <c r="CJ1965" s="20"/>
      <c r="CK1965" s="20"/>
      <c r="CL1965" s="20"/>
      <c r="CM1965" s="20"/>
      <c r="CN1965" s="20"/>
      <c r="CO1965" s="20"/>
      <c r="CP1965" s="20"/>
      <c r="CQ1965" s="20"/>
      <c r="CR1965" s="20"/>
      <c r="CS1965" s="20"/>
      <c r="CT1965" s="20"/>
      <c r="CU1965" s="20"/>
      <c r="CV1965" s="20"/>
      <c r="CW1965" s="20"/>
      <c r="CX1965" s="20"/>
      <c r="CY1965" s="20"/>
      <c r="CZ1965" s="20"/>
      <c r="DA1965" s="20"/>
      <c r="DB1965" s="20"/>
      <c r="DC1965" s="20"/>
      <c r="DD1965" s="20"/>
      <c r="DE1965" s="20"/>
      <c r="DF1965" s="20"/>
      <c r="DG1965" s="20"/>
      <c r="DH1965" s="20"/>
      <c r="DI1965" s="20"/>
      <c r="DJ1965" s="20"/>
      <c r="DK1965" s="20"/>
      <c r="DL1965" s="20"/>
      <c r="DM1965" s="20"/>
      <c r="DN1965" s="20"/>
      <c r="DO1965" s="20"/>
      <c r="DP1965" s="20"/>
      <c r="DQ1965" s="20"/>
      <c r="DR1965" s="20"/>
      <c r="DS1965" s="20"/>
      <c r="DT1965" s="20"/>
      <c r="DU1965" s="20"/>
      <c r="DV1965" s="20"/>
      <c r="DW1965" s="20"/>
      <c r="DX1965" s="20"/>
      <c r="DY1965" s="20"/>
      <c r="DZ1965" s="20"/>
      <c r="EA1965" s="20"/>
      <c r="EB1965" s="20"/>
      <c r="EC1965" s="20"/>
      <c r="ED1965" s="20"/>
      <c r="EE1965" s="20"/>
      <c r="EF1965" s="20"/>
      <c r="EG1965" s="20"/>
      <c r="EH1965" s="20"/>
      <c r="EI1965" s="20"/>
      <c r="EJ1965" s="20"/>
      <c r="EK1965" s="20"/>
      <c r="EL1965" s="20"/>
      <c r="EM1965" s="20"/>
      <c r="EN1965" s="20"/>
      <c r="EO1965" s="20"/>
      <c r="EP1965" s="20"/>
      <c r="EQ1965" s="20"/>
      <c r="ER1965" s="20"/>
      <c r="ES1965" s="20"/>
      <c r="ET1965" s="20"/>
      <c r="EU1965" s="20"/>
      <c r="EV1965" s="20"/>
      <c r="EW1965" s="20"/>
      <c r="EX1965" s="20"/>
      <c r="EY1965" s="20"/>
      <c r="EZ1965" s="20"/>
      <c r="FA1965" s="20"/>
      <c r="FB1965" s="20"/>
      <c r="FC1965" s="20"/>
      <c r="FD1965" s="20"/>
      <c r="FE1965" s="20"/>
      <c r="FF1965" s="20"/>
      <c r="FG1965" s="20"/>
      <c r="FH1965" s="20"/>
      <c r="FI1965" s="20"/>
      <c r="FJ1965" s="20"/>
      <c r="FK1965" s="20"/>
      <c r="FL1965" s="20"/>
      <c r="FM1965" s="20"/>
      <c r="FN1965" s="20"/>
      <c r="FO1965" s="20"/>
      <c r="FP1965" s="20"/>
      <c r="FQ1965" s="20"/>
      <c r="FR1965" s="20"/>
      <c r="FS1965" s="20"/>
      <c r="FT1965" s="20"/>
      <c r="FU1965" s="20"/>
      <c r="FV1965" s="20"/>
      <c r="FW1965" s="20"/>
      <c r="FX1965" s="20"/>
      <c r="FY1965" s="20"/>
      <c r="FZ1965" s="20"/>
      <c r="GA1965" s="20"/>
      <c r="GB1965" s="20"/>
      <c r="GC1965" s="20"/>
      <c r="GD1965" s="20"/>
      <c r="GE1965" s="20"/>
      <c r="GF1965" s="20"/>
      <c r="GG1965" s="20"/>
      <c r="GH1965" s="20"/>
      <c r="GI1965" s="20"/>
      <c r="GJ1965" s="20"/>
      <c r="GK1965" s="20"/>
      <c r="GL1965" s="20"/>
      <c r="GM1965" s="20"/>
      <c r="GN1965" s="20"/>
      <c r="GO1965" s="20"/>
      <c r="GP1965" s="20"/>
      <c r="GQ1965" s="20"/>
      <c r="GR1965" s="20"/>
      <c r="GS1965" s="20"/>
      <c r="GT1965" s="20"/>
      <c r="GU1965" s="20"/>
      <c r="GV1965" s="20"/>
      <c r="GW1965" s="20"/>
      <c r="GX1965" s="20"/>
      <c r="GY1965" s="20"/>
      <c r="GZ1965" s="20"/>
      <c r="HA1965" s="20"/>
      <c r="HB1965" s="20"/>
      <c r="HC1965" s="20"/>
      <c r="HD1965" s="20"/>
      <c r="HE1965" s="20"/>
      <c r="HF1965" s="20"/>
      <c r="HG1965" s="20"/>
      <c r="HH1965" s="20"/>
      <c r="HI1965" s="20"/>
      <c r="HJ1965" s="20"/>
      <c r="HK1965" s="20"/>
      <c r="HL1965" s="20"/>
      <c r="HM1965" s="20"/>
      <c r="HN1965" s="20"/>
      <c r="HO1965" s="20"/>
      <c r="HP1965" s="20"/>
      <c r="HQ1965" s="20"/>
      <c r="HR1965" s="20"/>
      <c r="HS1965" s="20"/>
      <c r="HT1965" s="20"/>
      <c r="HU1965" s="20"/>
      <c r="HV1965" s="20"/>
      <c r="HW1965" s="20"/>
      <c r="HX1965" s="20"/>
      <c r="HY1965" s="20"/>
      <c r="HZ1965" s="20"/>
      <c r="IA1965" s="20"/>
      <c r="IB1965" s="20"/>
      <c r="IC1965" s="20"/>
      <c r="ID1965" s="20"/>
      <c r="IE1965" s="20"/>
      <c r="IF1965" s="20"/>
      <c r="IG1965" s="20"/>
      <c r="IH1965" s="20"/>
      <c r="II1965" s="20"/>
      <c r="IJ1965" s="20"/>
      <c r="IK1965" s="20"/>
      <c r="IL1965" s="20"/>
      <c r="IM1965" s="20"/>
      <c r="IN1965" s="20"/>
      <c r="IO1965" s="20"/>
    </row>
    <row r="1966" spans="1:249" s="22" customFormat="1" ht="99">
      <c r="A1966" s="1322">
        <v>18</v>
      </c>
      <c r="B1966" s="1339"/>
      <c r="C1966" s="1340">
        <v>4</v>
      </c>
      <c r="D1966" s="1340" t="s">
        <v>34</v>
      </c>
      <c r="E1966" s="1340" t="s">
        <v>25</v>
      </c>
      <c r="F1966" s="1340">
        <v>15</v>
      </c>
      <c r="G1966" s="1340"/>
      <c r="H1966" s="1322"/>
      <c r="I1966" s="1339" t="s">
        <v>1417</v>
      </c>
      <c r="J1966" s="44" t="s">
        <v>3371</v>
      </c>
      <c r="K1966" s="1923" t="s">
        <v>3373</v>
      </c>
      <c r="L1966" s="1770">
        <f>L1968+L1969</f>
        <v>308000000</v>
      </c>
      <c r="M1966" s="1923" t="s">
        <v>3373</v>
      </c>
      <c r="N1966" s="1175">
        <f>N1968+N1969</f>
        <v>263358050</v>
      </c>
      <c r="O1966" s="1923" t="s">
        <v>3373</v>
      </c>
      <c r="P1966" s="1175">
        <f>SUM(P1968:P1969)</f>
        <v>52742163.159999996</v>
      </c>
      <c r="Q1966" s="149">
        <v>0</v>
      </c>
      <c r="R1966" s="1175">
        <f t="shared" ref="R1966:X1966" si="577">SUM(R1968:R1969)</f>
        <v>11465250</v>
      </c>
      <c r="S1966" s="1175">
        <f t="shared" si="577"/>
        <v>5.75</v>
      </c>
      <c r="T1966" s="1175">
        <f t="shared" si="577"/>
        <v>34268750</v>
      </c>
      <c r="U1966" s="1175">
        <f t="shared" si="577"/>
        <v>0</v>
      </c>
      <c r="V1966" s="1175">
        <f t="shared" si="577"/>
        <v>0</v>
      </c>
      <c r="W1966" s="1175">
        <f t="shared" si="577"/>
        <v>0</v>
      </c>
      <c r="X1966" s="1175">
        <f t="shared" si="577"/>
        <v>0</v>
      </c>
      <c r="Y1966" s="149">
        <f t="shared" si="574"/>
        <v>5.75</v>
      </c>
      <c r="Z1966" s="1901">
        <f t="shared" si="564"/>
        <v>45734000</v>
      </c>
      <c r="AA1966" s="1923" t="s">
        <v>3373</v>
      </c>
      <c r="AB1966" s="1901">
        <f t="shared" si="558"/>
        <v>309092050</v>
      </c>
      <c r="AC1966" s="821">
        <v>100</v>
      </c>
      <c r="AD1966" s="821">
        <f t="shared" si="562"/>
        <v>100.35456168831169</v>
      </c>
      <c r="AE1966" s="2539" t="s">
        <v>2252</v>
      </c>
      <c r="AF1966" s="201"/>
      <c r="AG1966" s="201"/>
      <c r="AH1966" s="201"/>
      <c r="AI1966" s="201"/>
      <c r="AJ1966" s="201"/>
      <c r="AK1966" s="201"/>
      <c r="AL1966" s="201"/>
      <c r="AM1966" s="201"/>
      <c r="AN1966" s="201"/>
      <c r="AO1966" s="201"/>
      <c r="AP1966" s="201"/>
      <c r="AQ1966" s="201"/>
      <c r="AR1966" s="201"/>
      <c r="AS1966" s="201"/>
      <c r="AT1966" s="201"/>
      <c r="AU1966" s="201"/>
      <c r="AV1966" s="201"/>
      <c r="AW1966" s="201"/>
      <c r="AX1966" s="201"/>
      <c r="AY1966" s="201"/>
      <c r="AZ1966" s="201"/>
      <c r="BA1966" s="201"/>
      <c r="BB1966" s="201"/>
      <c r="BC1966" s="20"/>
      <c r="BD1966" s="20"/>
      <c r="BE1966" s="20"/>
      <c r="BF1966" s="20"/>
      <c r="BG1966" s="20"/>
      <c r="BH1966" s="20"/>
      <c r="BI1966" s="20"/>
      <c r="BJ1966" s="20"/>
      <c r="BK1966" s="20"/>
      <c r="BL1966" s="20"/>
      <c r="BM1966" s="20"/>
      <c r="BN1966" s="20"/>
      <c r="BO1966" s="20"/>
      <c r="BP1966" s="20"/>
      <c r="BQ1966" s="20"/>
      <c r="BR1966" s="20"/>
      <c r="BS1966" s="20"/>
      <c r="BT1966" s="20"/>
      <c r="BU1966" s="20"/>
      <c r="BV1966" s="20"/>
      <c r="BW1966" s="20"/>
      <c r="BX1966" s="20"/>
      <c r="BY1966" s="20"/>
      <c r="BZ1966" s="20"/>
      <c r="CA1966" s="20"/>
      <c r="CB1966" s="20"/>
      <c r="CC1966" s="20"/>
      <c r="CD1966" s="20"/>
      <c r="CE1966" s="20"/>
      <c r="CF1966" s="20"/>
      <c r="CG1966" s="20"/>
      <c r="CH1966" s="20"/>
      <c r="CI1966" s="20"/>
      <c r="CJ1966" s="20"/>
      <c r="CK1966" s="20"/>
      <c r="CL1966" s="20"/>
      <c r="CM1966" s="20"/>
      <c r="CN1966" s="20"/>
      <c r="CO1966" s="20"/>
      <c r="CP1966" s="20"/>
      <c r="CQ1966" s="20"/>
      <c r="CR1966" s="20"/>
      <c r="CS1966" s="20"/>
      <c r="CT1966" s="20"/>
      <c r="CU1966" s="20"/>
      <c r="CV1966" s="20"/>
      <c r="CW1966" s="20"/>
      <c r="CX1966" s="20"/>
      <c r="CY1966" s="20"/>
      <c r="CZ1966" s="20"/>
      <c r="DA1966" s="20"/>
      <c r="DB1966" s="20"/>
      <c r="DC1966" s="20"/>
      <c r="DD1966" s="20"/>
      <c r="DE1966" s="20"/>
      <c r="DF1966" s="20"/>
      <c r="DG1966" s="20"/>
      <c r="DH1966" s="20"/>
      <c r="DI1966" s="20"/>
      <c r="DJ1966" s="20"/>
      <c r="DK1966" s="20"/>
      <c r="DL1966" s="20"/>
      <c r="DM1966" s="20"/>
      <c r="DN1966" s="20"/>
      <c r="DO1966" s="20"/>
      <c r="DP1966" s="20"/>
      <c r="DQ1966" s="20"/>
      <c r="DR1966" s="20"/>
      <c r="DS1966" s="20"/>
      <c r="DT1966" s="20"/>
      <c r="DU1966" s="20"/>
      <c r="DV1966" s="20"/>
      <c r="DW1966" s="20"/>
      <c r="DX1966" s="20"/>
      <c r="DY1966" s="20"/>
      <c r="DZ1966" s="20"/>
      <c r="EA1966" s="20"/>
      <c r="EB1966" s="20"/>
      <c r="EC1966" s="20"/>
      <c r="ED1966" s="20"/>
      <c r="EE1966" s="20"/>
      <c r="EF1966" s="20"/>
      <c r="EG1966" s="20"/>
      <c r="EH1966" s="20"/>
      <c r="EI1966" s="20"/>
      <c r="EJ1966" s="20"/>
      <c r="EK1966" s="20"/>
      <c r="EL1966" s="20"/>
      <c r="EM1966" s="20"/>
      <c r="EN1966" s="20"/>
      <c r="EO1966" s="20"/>
      <c r="EP1966" s="20"/>
      <c r="EQ1966" s="20"/>
      <c r="ER1966" s="20"/>
      <c r="ES1966" s="20"/>
      <c r="ET1966" s="20"/>
      <c r="EU1966" s="20"/>
      <c r="EV1966" s="20"/>
      <c r="EW1966" s="20"/>
      <c r="EX1966" s="20"/>
      <c r="EY1966" s="20"/>
      <c r="EZ1966" s="20"/>
      <c r="FA1966" s="20"/>
      <c r="FB1966" s="20"/>
      <c r="FC1966" s="20"/>
      <c r="FD1966" s="20"/>
      <c r="FE1966" s="20"/>
      <c r="FF1966" s="20"/>
      <c r="FG1966" s="20"/>
      <c r="FH1966" s="20"/>
      <c r="FI1966" s="20"/>
      <c r="FJ1966" s="20"/>
      <c r="FK1966" s="20"/>
      <c r="FL1966" s="20"/>
      <c r="FM1966" s="20"/>
      <c r="FN1966" s="20"/>
      <c r="FO1966" s="20"/>
      <c r="FP1966" s="20"/>
      <c r="FQ1966" s="20"/>
      <c r="FR1966" s="20"/>
      <c r="FS1966" s="20"/>
      <c r="FT1966" s="20"/>
      <c r="FU1966" s="20"/>
      <c r="FV1966" s="20"/>
      <c r="FW1966" s="20"/>
      <c r="FX1966" s="20"/>
      <c r="FY1966" s="20"/>
      <c r="FZ1966" s="20"/>
      <c r="GA1966" s="20"/>
      <c r="GB1966" s="20"/>
      <c r="GC1966" s="20"/>
      <c r="GD1966" s="20"/>
      <c r="GE1966" s="20"/>
      <c r="GF1966" s="20"/>
      <c r="GG1966" s="20"/>
      <c r="GH1966" s="20"/>
      <c r="GI1966" s="20"/>
      <c r="GJ1966" s="20"/>
      <c r="GK1966" s="20"/>
      <c r="GL1966" s="20"/>
      <c r="GM1966" s="20"/>
      <c r="GN1966" s="20"/>
      <c r="GO1966" s="20"/>
      <c r="GP1966" s="20"/>
      <c r="GQ1966" s="20"/>
      <c r="GR1966" s="20"/>
      <c r="GS1966" s="20"/>
      <c r="GT1966" s="20"/>
      <c r="GU1966" s="20"/>
      <c r="GV1966" s="20"/>
      <c r="GW1966" s="20"/>
      <c r="GX1966" s="20"/>
      <c r="GY1966" s="20"/>
      <c r="GZ1966" s="20"/>
      <c r="HA1966" s="20"/>
      <c r="HB1966" s="20"/>
      <c r="HC1966" s="20"/>
      <c r="HD1966" s="20"/>
      <c r="HE1966" s="20"/>
      <c r="HF1966" s="20"/>
      <c r="HG1966" s="20"/>
      <c r="HH1966" s="20"/>
      <c r="HI1966" s="20"/>
      <c r="HJ1966" s="20"/>
      <c r="HK1966" s="20"/>
      <c r="HL1966" s="20"/>
      <c r="HM1966" s="20"/>
      <c r="HN1966" s="20"/>
      <c r="HO1966" s="20"/>
      <c r="HP1966" s="20"/>
      <c r="HQ1966" s="20"/>
      <c r="HR1966" s="20"/>
      <c r="HS1966" s="20"/>
      <c r="HT1966" s="20"/>
      <c r="HU1966" s="20"/>
      <c r="HV1966" s="20"/>
      <c r="HW1966" s="20"/>
      <c r="HX1966" s="20"/>
      <c r="HY1966" s="20"/>
      <c r="HZ1966" s="20"/>
      <c r="IA1966" s="20"/>
      <c r="IB1966" s="20"/>
      <c r="IC1966" s="20"/>
      <c r="ID1966" s="20"/>
      <c r="IE1966" s="20"/>
      <c r="IF1966" s="20"/>
      <c r="IG1966" s="20"/>
      <c r="IH1966" s="20"/>
      <c r="II1966" s="20"/>
      <c r="IJ1966" s="20"/>
      <c r="IK1966" s="20"/>
      <c r="IL1966" s="20"/>
      <c r="IM1966" s="20"/>
      <c r="IN1966" s="20"/>
      <c r="IO1966" s="20"/>
    </row>
    <row r="1967" spans="1:249" s="22" customFormat="1" ht="99">
      <c r="A1967" s="1171"/>
      <c r="B1967" s="518"/>
      <c r="C1967" s="1786"/>
      <c r="D1967" s="1786"/>
      <c r="E1967" s="1786"/>
      <c r="F1967" s="1786"/>
      <c r="G1967" s="1786"/>
      <c r="H1967" s="1171"/>
      <c r="I1967" s="518"/>
      <c r="J1967" s="44" t="s">
        <v>3372</v>
      </c>
      <c r="K1967" s="1923" t="s">
        <v>3374</v>
      </c>
      <c r="L1967" s="1770"/>
      <c r="M1967" s="1923" t="s">
        <v>3375</v>
      </c>
      <c r="N1967" s="1175"/>
      <c r="O1967" s="1923" t="s">
        <v>3376</v>
      </c>
      <c r="P1967" s="1175"/>
      <c r="Q1967" s="149">
        <v>0</v>
      </c>
      <c r="R1967" s="1175"/>
      <c r="S1967" s="1175"/>
      <c r="T1967" s="1175"/>
      <c r="U1967" s="1175"/>
      <c r="V1967" s="1175"/>
      <c r="W1967" s="1175"/>
      <c r="X1967" s="1175"/>
      <c r="Y1967" s="149">
        <v>0</v>
      </c>
      <c r="Z1967" s="1901"/>
      <c r="AA1967" s="1923" t="s">
        <v>3375</v>
      </c>
      <c r="AB1967" s="1901"/>
      <c r="AC1967" s="821">
        <v>90</v>
      </c>
      <c r="AD1967" s="821"/>
      <c r="AE1967" s="2540"/>
      <c r="AF1967" s="201"/>
      <c r="AG1967" s="201"/>
      <c r="AH1967" s="201"/>
      <c r="AI1967" s="201"/>
      <c r="AJ1967" s="201"/>
      <c r="AK1967" s="201"/>
      <c r="AL1967" s="201"/>
      <c r="AM1967" s="201"/>
      <c r="AN1967" s="201"/>
      <c r="AO1967" s="201"/>
      <c r="AP1967" s="201"/>
      <c r="AQ1967" s="201"/>
      <c r="AR1967" s="201"/>
      <c r="AS1967" s="201"/>
      <c r="AT1967" s="201"/>
      <c r="AU1967" s="201"/>
      <c r="AV1967" s="201"/>
      <c r="AW1967" s="201"/>
      <c r="AX1967" s="201"/>
      <c r="AY1967" s="201"/>
      <c r="AZ1967" s="201"/>
      <c r="BA1967" s="201"/>
      <c r="BB1967" s="201"/>
      <c r="BC1967" s="20"/>
      <c r="BD1967" s="20"/>
      <c r="BE1967" s="20"/>
      <c r="BF1967" s="20"/>
      <c r="BG1967" s="20"/>
      <c r="BH1967" s="20"/>
      <c r="BI1967" s="20"/>
      <c r="BJ1967" s="20"/>
      <c r="BK1967" s="20"/>
      <c r="BL1967" s="20"/>
      <c r="BM1967" s="20"/>
      <c r="BN1967" s="20"/>
      <c r="BO1967" s="20"/>
      <c r="BP1967" s="20"/>
      <c r="BQ1967" s="20"/>
      <c r="BR1967" s="20"/>
      <c r="BS1967" s="20"/>
      <c r="BT1967" s="20"/>
      <c r="BU1967" s="20"/>
      <c r="BV1967" s="20"/>
      <c r="BW1967" s="20"/>
      <c r="BX1967" s="20"/>
      <c r="BY1967" s="20"/>
      <c r="BZ1967" s="20"/>
      <c r="CA1967" s="20"/>
      <c r="CB1967" s="20"/>
      <c r="CC1967" s="20"/>
      <c r="CD1967" s="20"/>
      <c r="CE1967" s="20"/>
      <c r="CF1967" s="20"/>
      <c r="CG1967" s="20"/>
      <c r="CH1967" s="20"/>
      <c r="CI1967" s="20"/>
      <c r="CJ1967" s="20"/>
      <c r="CK1967" s="20"/>
      <c r="CL1967" s="20"/>
      <c r="CM1967" s="20"/>
      <c r="CN1967" s="20"/>
      <c r="CO1967" s="20"/>
      <c r="CP1967" s="20"/>
      <c r="CQ1967" s="20"/>
      <c r="CR1967" s="20"/>
      <c r="CS1967" s="20"/>
      <c r="CT1967" s="20"/>
      <c r="CU1967" s="20"/>
      <c r="CV1967" s="20"/>
      <c r="CW1967" s="20"/>
      <c r="CX1967" s="20"/>
      <c r="CY1967" s="20"/>
      <c r="CZ1967" s="20"/>
      <c r="DA1967" s="20"/>
      <c r="DB1967" s="20"/>
      <c r="DC1967" s="20"/>
      <c r="DD1967" s="20"/>
      <c r="DE1967" s="20"/>
      <c r="DF1967" s="20"/>
      <c r="DG1967" s="20"/>
      <c r="DH1967" s="20"/>
      <c r="DI1967" s="20"/>
      <c r="DJ1967" s="20"/>
      <c r="DK1967" s="20"/>
      <c r="DL1967" s="20"/>
      <c r="DM1967" s="20"/>
      <c r="DN1967" s="20"/>
      <c r="DO1967" s="20"/>
      <c r="DP1967" s="20"/>
      <c r="DQ1967" s="20"/>
      <c r="DR1967" s="20"/>
      <c r="DS1967" s="20"/>
      <c r="DT1967" s="20"/>
      <c r="DU1967" s="20"/>
      <c r="DV1967" s="20"/>
      <c r="DW1967" s="20"/>
      <c r="DX1967" s="20"/>
      <c r="DY1967" s="20"/>
      <c r="DZ1967" s="20"/>
      <c r="EA1967" s="20"/>
      <c r="EB1967" s="20"/>
      <c r="EC1967" s="20"/>
      <c r="ED1967" s="20"/>
      <c r="EE1967" s="20"/>
      <c r="EF1967" s="20"/>
      <c r="EG1967" s="20"/>
      <c r="EH1967" s="20"/>
      <c r="EI1967" s="20"/>
      <c r="EJ1967" s="20"/>
      <c r="EK1967" s="20"/>
      <c r="EL1967" s="20"/>
      <c r="EM1967" s="20"/>
      <c r="EN1967" s="20"/>
      <c r="EO1967" s="20"/>
      <c r="EP1967" s="20"/>
      <c r="EQ1967" s="20"/>
      <c r="ER1967" s="20"/>
      <c r="ES1967" s="20"/>
      <c r="ET1967" s="20"/>
      <c r="EU1967" s="20"/>
      <c r="EV1967" s="20"/>
      <c r="EW1967" s="20"/>
      <c r="EX1967" s="20"/>
      <c r="EY1967" s="20"/>
      <c r="EZ1967" s="20"/>
      <c r="FA1967" s="20"/>
      <c r="FB1967" s="20"/>
      <c r="FC1967" s="20"/>
      <c r="FD1967" s="20"/>
      <c r="FE1967" s="20"/>
      <c r="FF1967" s="20"/>
      <c r="FG1967" s="20"/>
      <c r="FH1967" s="20"/>
      <c r="FI1967" s="20"/>
      <c r="FJ1967" s="20"/>
      <c r="FK1967" s="20"/>
      <c r="FL1967" s="20"/>
      <c r="FM1967" s="20"/>
      <c r="FN1967" s="20"/>
      <c r="FO1967" s="20"/>
      <c r="FP1967" s="20"/>
      <c r="FQ1967" s="20"/>
      <c r="FR1967" s="20"/>
      <c r="FS1967" s="20"/>
      <c r="FT1967" s="20"/>
      <c r="FU1967" s="20"/>
      <c r="FV1967" s="20"/>
      <c r="FW1967" s="20"/>
      <c r="FX1967" s="20"/>
      <c r="FY1967" s="20"/>
      <c r="FZ1967" s="20"/>
      <c r="GA1967" s="20"/>
      <c r="GB1967" s="20"/>
      <c r="GC1967" s="20"/>
      <c r="GD1967" s="20"/>
      <c r="GE1967" s="20"/>
      <c r="GF1967" s="20"/>
      <c r="GG1967" s="20"/>
      <c r="GH1967" s="20"/>
      <c r="GI1967" s="20"/>
      <c r="GJ1967" s="20"/>
      <c r="GK1967" s="20"/>
      <c r="GL1967" s="20"/>
      <c r="GM1967" s="20"/>
      <c r="GN1967" s="20"/>
      <c r="GO1967" s="20"/>
      <c r="GP1967" s="20"/>
      <c r="GQ1967" s="20"/>
      <c r="GR1967" s="20"/>
      <c r="GS1967" s="20"/>
      <c r="GT1967" s="20"/>
      <c r="GU1967" s="20"/>
      <c r="GV1967" s="20"/>
      <c r="GW1967" s="20"/>
      <c r="GX1967" s="20"/>
      <c r="GY1967" s="20"/>
      <c r="GZ1967" s="20"/>
      <c r="HA1967" s="20"/>
      <c r="HB1967" s="20"/>
      <c r="HC1967" s="20"/>
      <c r="HD1967" s="20"/>
      <c r="HE1967" s="20"/>
      <c r="HF1967" s="20"/>
      <c r="HG1967" s="20"/>
      <c r="HH1967" s="20"/>
      <c r="HI1967" s="20"/>
      <c r="HJ1967" s="20"/>
      <c r="HK1967" s="20"/>
      <c r="HL1967" s="20"/>
      <c r="HM1967" s="20"/>
      <c r="HN1967" s="20"/>
      <c r="HO1967" s="20"/>
      <c r="HP1967" s="20"/>
      <c r="HQ1967" s="20"/>
      <c r="HR1967" s="20"/>
      <c r="HS1967" s="20"/>
      <c r="HT1967" s="20"/>
      <c r="HU1967" s="20"/>
      <c r="HV1967" s="20"/>
      <c r="HW1967" s="20"/>
      <c r="HX1967" s="20"/>
      <c r="HY1967" s="20"/>
      <c r="HZ1967" s="20"/>
      <c r="IA1967" s="20"/>
      <c r="IB1967" s="20"/>
      <c r="IC1967" s="20"/>
      <c r="ID1967" s="20"/>
      <c r="IE1967" s="20"/>
      <c r="IF1967" s="20"/>
      <c r="IG1967" s="20"/>
      <c r="IH1967" s="20"/>
      <c r="II1967" s="20"/>
      <c r="IJ1967" s="20"/>
      <c r="IK1967" s="20"/>
      <c r="IL1967" s="20"/>
      <c r="IM1967" s="20"/>
      <c r="IN1967" s="20"/>
      <c r="IO1967" s="20"/>
    </row>
    <row r="1968" spans="1:249" s="22" customFormat="1" ht="82.5">
      <c r="A1968" s="794"/>
      <c r="B1968" s="840"/>
      <c r="C1968" s="841">
        <v>4</v>
      </c>
      <c r="D1968" s="841" t="s">
        <v>34</v>
      </c>
      <c r="E1968" s="841" t="s">
        <v>25</v>
      </c>
      <c r="F1968" s="841">
        <v>15</v>
      </c>
      <c r="G1968" s="841" t="s">
        <v>48</v>
      </c>
      <c r="H1968" s="841"/>
      <c r="I1968" s="6" t="s">
        <v>1870</v>
      </c>
      <c r="J1968" s="6" t="s">
        <v>3377</v>
      </c>
      <c r="K1968" s="1909">
        <v>400</v>
      </c>
      <c r="L1968" s="1908">
        <v>258000000</v>
      </c>
      <c r="M1968" s="1903">
        <f>95+95</f>
        <v>190</v>
      </c>
      <c r="N1968" s="1904">
        <f>64726700+79435000+65593100</f>
        <v>209754800</v>
      </c>
      <c r="O1968" s="1909">
        <v>95</v>
      </c>
      <c r="P1968" s="1905">
        <v>52742163.159999996</v>
      </c>
      <c r="Q1968" s="1903">
        <v>23</v>
      </c>
      <c r="R1968" s="1904">
        <v>11465250</v>
      </c>
      <c r="S1968" s="2684">
        <f>Q1968/4</f>
        <v>5.75</v>
      </c>
      <c r="T1968" s="2682">
        <v>34268750</v>
      </c>
      <c r="U1968" s="795"/>
      <c r="V1968" s="1906"/>
      <c r="W1968" s="795"/>
      <c r="X1968" s="1906"/>
      <c r="Y1968" s="1903">
        <f>Q1968+S1968+U1968+W1968</f>
        <v>28.75</v>
      </c>
      <c r="Z1968" s="1906">
        <f>R1968+T1968+V1968+X1968</f>
        <v>45734000</v>
      </c>
      <c r="AA1968" s="1903">
        <f t="shared" ref="AA1968:AA1995" si="578">M1968+Y1968</f>
        <v>218.75</v>
      </c>
      <c r="AB1968" s="1906">
        <f t="shared" ref="AB1968:AB1995" si="579">N1968+Z1968</f>
        <v>255488800</v>
      </c>
      <c r="AC1968" s="1907">
        <f t="shared" ref="AC1968:AC1983" si="580">AA1968/K1968*100</f>
        <v>54.6875</v>
      </c>
      <c r="AD1968" s="1907">
        <f t="shared" ref="AD1968:AD1983" si="581">AB1968/L1968*100</f>
        <v>99.026666666666657</v>
      </c>
      <c r="AE1968" s="2601" t="s">
        <v>1988</v>
      </c>
      <c r="AF1968" s="201"/>
      <c r="AG1968" s="201"/>
      <c r="AH1968" s="201"/>
      <c r="AI1968" s="201"/>
      <c r="AJ1968" s="201"/>
      <c r="AK1968" s="201"/>
      <c r="AL1968" s="201"/>
      <c r="AM1968" s="201"/>
      <c r="AN1968" s="201"/>
      <c r="AO1968" s="201"/>
      <c r="AP1968" s="201"/>
      <c r="AQ1968" s="201"/>
      <c r="AR1968" s="201"/>
      <c r="AS1968" s="201"/>
      <c r="AT1968" s="201"/>
      <c r="AU1968" s="201"/>
      <c r="AV1968" s="201"/>
      <c r="AW1968" s="201"/>
      <c r="AX1968" s="201"/>
      <c r="AY1968" s="201"/>
      <c r="AZ1968" s="201"/>
      <c r="BA1968" s="201"/>
      <c r="BB1968" s="201"/>
      <c r="BC1968" s="20"/>
      <c r="BD1968" s="20"/>
      <c r="BE1968" s="20"/>
      <c r="BF1968" s="20"/>
      <c r="BG1968" s="20"/>
      <c r="BH1968" s="20"/>
      <c r="BI1968" s="20"/>
      <c r="BJ1968" s="20"/>
      <c r="BK1968" s="20"/>
      <c r="BL1968" s="20"/>
      <c r="BM1968" s="20"/>
      <c r="BN1968" s="20"/>
      <c r="BO1968" s="20"/>
      <c r="BP1968" s="20"/>
      <c r="BQ1968" s="20"/>
      <c r="BR1968" s="20"/>
      <c r="BS1968" s="20"/>
      <c r="BT1968" s="20"/>
      <c r="BU1968" s="20"/>
      <c r="BV1968" s="20"/>
      <c r="BW1968" s="20"/>
      <c r="BX1968" s="20"/>
      <c r="BY1968" s="20"/>
      <c r="BZ1968" s="20"/>
      <c r="CA1968" s="20"/>
      <c r="CB1968" s="20"/>
      <c r="CC1968" s="20"/>
      <c r="CD1968" s="20"/>
      <c r="CE1968" s="20"/>
      <c r="CF1968" s="20"/>
      <c r="CG1968" s="20"/>
      <c r="CH1968" s="20"/>
      <c r="CI1968" s="20"/>
      <c r="CJ1968" s="20"/>
      <c r="CK1968" s="20"/>
      <c r="CL1968" s="20"/>
      <c r="CM1968" s="20"/>
      <c r="CN1968" s="20"/>
      <c r="CO1968" s="20"/>
      <c r="CP1968" s="20"/>
      <c r="CQ1968" s="20"/>
      <c r="CR1968" s="20"/>
      <c r="CS1968" s="20"/>
      <c r="CT1968" s="20"/>
      <c r="CU1968" s="20"/>
      <c r="CV1968" s="20"/>
      <c r="CW1968" s="20"/>
      <c r="CX1968" s="20"/>
      <c r="CY1968" s="20"/>
      <c r="CZ1968" s="20"/>
      <c r="DA1968" s="20"/>
      <c r="DB1968" s="20"/>
      <c r="DC1968" s="20"/>
      <c r="DD1968" s="20"/>
      <c r="DE1968" s="20"/>
      <c r="DF1968" s="20"/>
      <c r="DG1968" s="20"/>
      <c r="DH1968" s="20"/>
      <c r="DI1968" s="20"/>
      <c r="DJ1968" s="20"/>
      <c r="DK1968" s="20"/>
      <c r="DL1968" s="20"/>
      <c r="DM1968" s="20"/>
      <c r="DN1968" s="20"/>
      <c r="DO1968" s="20"/>
      <c r="DP1968" s="20"/>
      <c r="DQ1968" s="20"/>
      <c r="DR1968" s="20"/>
      <c r="DS1968" s="20"/>
      <c r="DT1968" s="20"/>
      <c r="DU1968" s="20"/>
      <c r="DV1968" s="20"/>
      <c r="DW1968" s="20"/>
      <c r="DX1968" s="20"/>
      <c r="DY1968" s="20"/>
      <c r="DZ1968" s="20"/>
      <c r="EA1968" s="20"/>
      <c r="EB1968" s="20"/>
      <c r="EC1968" s="20"/>
      <c r="ED1968" s="20"/>
      <c r="EE1968" s="20"/>
      <c r="EF1968" s="20"/>
      <c r="EG1968" s="20"/>
      <c r="EH1968" s="20"/>
      <c r="EI1968" s="20"/>
      <c r="EJ1968" s="20"/>
      <c r="EK1968" s="20"/>
      <c r="EL1968" s="20"/>
      <c r="EM1968" s="20"/>
      <c r="EN1968" s="20"/>
      <c r="EO1968" s="20"/>
      <c r="EP1968" s="20"/>
      <c r="EQ1968" s="20"/>
      <c r="ER1968" s="20"/>
      <c r="ES1968" s="20"/>
      <c r="ET1968" s="20"/>
      <c r="EU1968" s="20"/>
      <c r="EV1968" s="20"/>
      <c r="EW1968" s="20"/>
      <c r="EX1968" s="20"/>
      <c r="EY1968" s="20"/>
      <c r="EZ1968" s="20"/>
      <c r="FA1968" s="20"/>
      <c r="FB1968" s="20"/>
      <c r="FC1968" s="20"/>
      <c r="FD1968" s="20"/>
      <c r="FE1968" s="20"/>
      <c r="FF1968" s="20"/>
      <c r="FG1968" s="20"/>
      <c r="FH1968" s="20"/>
      <c r="FI1968" s="20"/>
      <c r="FJ1968" s="20"/>
      <c r="FK1968" s="20"/>
      <c r="FL1968" s="20"/>
      <c r="FM1968" s="20"/>
      <c r="FN1968" s="20"/>
      <c r="FO1968" s="20"/>
      <c r="FP1968" s="20"/>
      <c r="FQ1968" s="20"/>
      <c r="FR1968" s="20"/>
      <c r="FS1968" s="20"/>
      <c r="FT1968" s="20"/>
      <c r="FU1968" s="20"/>
      <c r="FV1968" s="20"/>
      <c r="FW1968" s="20"/>
      <c r="FX1968" s="20"/>
      <c r="FY1968" s="20"/>
      <c r="FZ1968" s="20"/>
      <c r="GA1968" s="20"/>
      <c r="GB1968" s="20"/>
      <c r="GC1968" s="20"/>
      <c r="GD1968" s="20"/>
      <c r="GE1968" s="20"/>
      <c r="GF1968" s="20"/>
      <c r="GG1968" s="20"/>
      <c r="GH1968" s="20"/>
      <c r="GI1968" s="20"/>
      <c r="GJ1968" s="20"/>
      <c r="GK1968" s="20"/>
      <c r="GL1968" s="20"/>
      <c r="GM1968" s="20"/>
      <c r="GN1968" s="20"/>
      <c r="GO1968" s="20"/>
      <c r="GP1968" s="20"/>
      <c r="GQ1968" s="20"/>
      <c r="GR1968" s="20"/>
      <c r="GS1968" s="20"/>
      <c r="GT1968" s="20"/>
      <c r="GU1968" s="20"/>
      <c r="GV1968" s="20"/>
      <c r="GW1968" s="20"/>
      <c r="GX1968" s="20"/>
      <c r="GY1968" s="20"/>
      <c r="GZ1968" s="20"/>
      <c r="HA1968" s="20"/>
      <c r="HB1968" s="20"/>
      <c r="HC1968" s="20"/>
      <c r="HD1968" s="20"/>
      <c r="HE1968" s="20"/>
      <c r="HF1968" s="20"/>
      <c r="HG1968" s="20"/>
      <c r="HH1968" s="20"/>
      <c r="HI1968" s="20"/>
      <c r="HJ1968" s="20"/>
      <c r="HK1968" s="20"/>
      <c r="HL1968" s="20"/>
      <c r="HM1968" s="20"/>
      <c r="HN1968" s="20"/>
      <c r="HO1968" s="20"/>
      <c r="HP1968" s="20"/>
      <c r="HQ1968" s="20"/>
      <c r="HR1968" s="20"/>
      <c r="HS1968" s="20"/>
      <c r="HT1968" s="20"/>
      <c r="HU1968" s="20"/>
      <c r="HV1968" s="20"/>
      <c r="HW1968" s="20"/>
      <c r="HX1968" s="20"/>
      <c r="HY1968" s="20"/>
      <c r="HZ1968" s="20"/>
      <c r="IA1968" s="20"/>
      <c r="IB1968" s="20"/>
      <c r="IC1968" s="20"/>
      <c r="ID1968" s="20"/>
      <c r="IE1968" s="20"/>
      <c r="IF1968" s="20"/>
      <c r="IG1968" s="20"/>
      <c r="IH1968" s="20"/>
      <c r="II1968" s="20"/>
      <c r="IJ1968" s="20"/>
      <c r="IK1968" s="20"/>
      <c r="IL1968" s="20"/>
      <c r="IM1968" s="20"/>
      <c r="IN1968" s="20"/>
      <c r="IO1968" s="20"/>
    </row>
    <row r="1969" spans="1:249" s="22" customFormat="1" ht="49.5">
      <c r="A1969" s="794"/>
      <c r="B1969" s="840"/>
      <c r="C1969" s="841">
        <v>4</v>
      </c>
      <c r="D1969" s="841" t="s">
        <v>34</v>
      </c>
      <c r="E1969" s="841" t="s">
        <v>25</v>
      </c>
      <c r="F1969" s="841">
        <v>15</v>
      </c>
      <c r="G1969" s="841" t="s">
        <v>542</v>
      </c>
      <c r="H1969" s="841"/>
      <c r="I1969" s="6" t="s">
        <v>1871</v>
      </c>
      <c r="J1969" s="6" t="s">
        <v>3378</v>
      </c>
      <c r="K1969" s="1902">
        <v>4</v>
      </c>
      <c r="L1969" s="1908">
        <v>50000000</v>
      </c>
      <c r="M1969" s="1903">
        <v>4</v>
      </c>
      <c r="N1969" s="1905">
        <v>53603250</v>
      </c>
      <c r="O1969" s="1902">
        <v>0</v>
      </c>
      <c r="P1969" s="1905">
        <v>0</v>
      </c>
      <c r="Q1969" s="1903">
        <v>0</v>
      </c>
      <c r="R1969" s="1904">
        <v>0</v>
      </c>
      <c r="S1969" s="795"/>
      <c r="T1969" s="207"/>
      <c r="U1969" s="795"/>
      <c r="V1969" s="1906"/>
      <c r="W1969" s="795"/>
      <c r="X1969" s="1906"/>
      <c r="Y1969" s="1903">
        <f>Q1969+S1969+U1969+W1969</f>
        <v>0</v>
      </c>
      <c r="Z1969" s="1906">
        <f>R1969+T1969+V1969+X1969</f>
        <v>0</v>
      </c>
      <c r="AA1969" s="1903">
        <f t="shared" si="578"/>
        <v>4</v>
      </c>
      <c r="AB1969" s="1906">
        <f t="shared" si="579"/>
        <v>53603250</v>
      </c>
      <c r="AC1969" s="1907">
        <f t="shared" si="580"/>
        <v>100</v>
      </c>
      <c r="AD1969" s="1907">
        <f t="shared" si="581"/>
        <v>107.20650000000001</v>
      </c>
      <c r="AE1969" s="2601" t="s">
        <v>1988</v>
      </c>
      <c r="AF1969" s="201"/>
      <c r="AG1969" s="201"/>
      <c r="AH1969" s="201"/>
      <c r="AI1969" s="201"/>
      <c r="AJ1969" s="201"/>
      <c r="AK1969" s="201"/>
      <c r="AL1969" s="201"/>
      <c r="AM1969" s="201"/>
      <c r="AN1969" s="201"/>
      <c r="AO1969" s="201"/>
      <c r="AP1969" s="201"/>
      <c r="AQ1969" s="201"/>
      <c r="AR1969" s="201"/>
      <c r="AS1969" s="201"/>
      <c r="AT1969" s="201"/>
      <c r="AU1969" s="201"/>
      <c r="AV1969" s="201"/>
      <c r="AW1969" s="201"/>
      <c r="AX1969" s="201"/>
      <c r="AY1969" s="201"/>
      <c r="AZ1969" s="201"/>
      <c r="BA1969" s="201"/>
      <c r="BB1969" s="201"/>
      <c r="BC1969" s="20"/>
      <c r="BD1969" s="20"/>
      <c r="BE1969" s="20"/>
      <c r="BF1969" s="20"/>
      <c r="BG1969" s="20"/>
      <c r="BH1969" s="20"/>
      <c r="BI1969" s="20"/>
      <c r="BJ1969" s="20"/>
      <c r="BK1969" s="20"/>
      <c r="BL1969" s="20"/>
      <c r="BM1969" s="20"/>
      <c r="BN1969" s="20"/>
      <c r="BO1969" s="20"/>
      <c r="BP1969" s="20"/>
      <c r="BQ1969" s="20"/>
      <c r="BR1969" s="20"/>
      <c r="BS1969" s="20"/>
      <c r="BT1969" s="20"/>
      <c r="BU1969" s="20"/>
      <c r="BV1969" s="20"/>
      <c r="BW1969" s="20"/>
      <c r="BX1969" s="20"/>
      <c r="BY1969" s="20"/>
      <c r="BZ1969" s="20"/>
      <c r="CA1969" s="20"/>
      <c r="CB1969" s="20"/>
      <c r="CC1969" s="20"/>
      <c r="CD1969" s="20"/>
      <c r="CE1969" s="20"/>
      <c r="CF1969" s="20"/>
      <c r="CG1969" s="20"/>
      <c r="CH1969" s="20"/>
      <c r="CI1969" s="20"/>
      <c r="CJ1969" s="20"/>
      <c r="CK1969" s="20"/>
      <c r="CL1969" s="20"/>
      <c r="CM1969" s="20"/>
      <c r="CN1969" s="20"/>
      <c r="CO1969" s="20"/>
      <c r="CP1969" s="20"/>
      <c r="CQ1969" s="20"/>
      <c r="CR1969" s="20"/>
      <c r="CS1969" s="20"/>
      <c r="CT1969" s="20"/>
      <c r="CU1969" s="20"/>
      <c r="CV1969" s="20"/>
      <c r="CW1969" s="20"/>
      <c r="CX1969" s="20"/>
      <c r="CY1969" s="20"/>
      <c r="CZ1969" s="20"/>
      <c r="DA1969" s="20"/>
      <c r="DB1969" s="20"/>
      <c r="DC1969" s="20"/>
      <c r="DD1969" s="20"/>
      <c r="DE1969" s="20"/>
      <c r="DF1969" s="20"/>
      <c r="DG1969" s="20"/>
      <c r="DH1969" s="20"/>
      <c r="DI1969" s="20"/>
      <c r="DJ1969" s="20"/>
      <c r="DK1969" s="20"/>
      <c r="DL1969" s="20"/>
      <c r="DM1969" s="20"/>
      <c r="DN1969" s="20"/>
      <c r="DO1969" s="20"/>
      <c r="DP1969" s="20"/>
      <c r="DQ1969" s="20"/>
      <c r="DR1969" s="20"/>
      <c r="DS1969" s="20"/>
      <c r="DT1969" s="20"/>
      <c r="DU1969" s="20"/>
      <c r="DV1969" s="20"/>
      <c r="DW1969" s="20"/>
      <c r="DX1969" s="20"/>
      <c r="DY1969" s="20"/>
      <c r="DZ1969" s="20"/>
      <c r="EA1969" s="20"/>
      <c r="EB1969" s="20"/>
      <c r="EC1969" s="20"/>
      <c r="ED1969" s="20"/>
      <c r="EE1969" s="20"/>
      <c r="EF1969" s="20"/>
      <c r="EG1969" s="20"/>
      <c r="EH1969" s="20"/>
      <c r="EI1969" s="20"/>
      <c r="EJ1969" s="20"/>
      <c r="EK1969" s="20"/>
      <c r="EL1969" s="20"/>
      <c r="EM1969" s="20"/>
      <c r="EN1969" s="20"/>
      <c r="EO1969" s="20"/>
      <c r="EP1969" s="20"/>
      <c r="EQ1969" s="20"/>
      <c r="ER1969" s="20"/>
      <c r="ES1969" s="20"/>
      <c r="ET1969" s="20"/>
      <c r="EU1969" s="20"/>
      <c r="EV1969" s="20"/>
      <c r="EW1969" s="20"/>
      <c r="EX1969" s="20"/>
      <c r="EY1969" s="20"/>
      <c r="EZ1969" s="20"/>
      <c r="FA1969" s="20"/>
      <c r="FB1969" s="20"/>
      <c r="FC1969" s="20"/>
      <c r="FD1969" s="20"/>
      <c r="FE1969" s="20"/>
      <c r="FF1969" s="20"/>
      <c r="FG1969" s="20"/>
      <c r="FH1969" s="20"/>
      <c r="FI1969" s="20"/>
      <c r="FJ1969" s="20"/>
      <c r="FK1969" s="20"/>
      <c r="FL1969" s="20"/>
      <c r="FM1969" s="20"/>
      <c r="FN1969" s="20"/>
      <c r="FO1969" s="20"/>
      <c r="FP1969" s="20"/>
      <c r="FQ1969" s="20"/>
      <c r="FR1969" s="20"/>
      <c r="FS1969" s="20"/>
      <c r="FT1969" s="20"/>
      <c r="FU1969" s="20"/>
      <c r="FV1969" s="20"/>
      <c r="FW1969" s="20"/>
      <c r="FX1969" s="20"/>
      <c r="FY1969" s="20"/>
      <c r="FZ1969" s="20"/>
      <c r="GA1969" s="20"/>
      <c r="GB1969" s="20"/>
      <c r="GC1969" s="20"/>
      <c r="GD1969" s="20"/>
      <c r="GE1969" s="20"/>
      <c r="GF1969" s="20"/>
      <c r="GG1969" s="20"/>
      <c r="GH1969" s="20"/>
      <c r="GI1969" s="20"/>
      <c r="GJ1969" s="20"/>
      <c r="GK1969" s="20"/>
      <c r="GL1969" s="20"/>
      <c r="GM1969" s="20"/>
      <c r="GN1969" s="20"/>
      <c r="GO1969" s="20"/>
      <c r="GP1969" s="20"/>
      <c r="GQ1969" s="20"/>
      <c r="GR1969" s="20"/>
      <c r="GS1969" s="20"/>
      <c r="GT1969" s="20"/>
      <c r="GU1969" s="20"/>
      <c r="GV1969" s="20"/>
      <c r="GW1969" s="20"/>
      <c r="GX1969" s="20"/>
      <c r="GY1969" s="20"/>
      <c r="GZ1969" s="20"/>
      <c r="HA1969" s="20"/>
      <c r="HB1969" s="20"/>
      <c r="HC1969" s="20"/>
      <c r="HD1969" s="20"/>
      <c r="HE1969" s="20"/>
      <c r="HF1969" s="20"/>
      <c r="HG1969" s="20"/>
      <c r="HH1969" s="20"/>
      <c r="HI1969" s="20"/>
      <c r="HJ1969" s="20"/>
      <c r="HK1969" s="20"/>
      <c r="HL1969" s="20"/>
      <c r="HM1969" s="20"/>
      <c r="HN1969" s="20"/>
      <c r="HO1969" s="20"/>
      <c r="HP1969" s="20"/>
      <c r="HQ1969" s="20"/>
      <c r="HR1969" s="20"/>
      <c r="HS1969" s="20"/>
      <c r="HT1969" s="20"/>
      <c r="HU1969" s="20"/>
      <c r="HV1969" s="20"/>
      <c r="HW1969" s="20"/>
      <c r="HX1969" s="20"/>
      <c r="HY1969" s="20"/>
      <c r="HZ1969" s="20"/>
      <c r="IA1969" s="20"/>
      <c r="IB1969" s="20"/>
      <c r="IC1969" s="20"/>
      <c r="ID1969" s="20"/>
      <c r="IE1969" s="20"/>
      <c r="IF1969" s="20"/>
      <c r="IG1969" s="20"/>
      <c r="IH1969" s="20"/>
      <c r="II1969" s="20"/>
      <c r="IJ1969" s="20"/>
      <c r="IK1969" s="20"/>
      <c r="IL1969" s="20"/>
      <c r="IM1969" s="20"/>
      <c r="IN1969" s="20"/>
      <c r="IO1969" s="20"/>
    </row>
    <row r="1970" spans="1:249" s="22" customFormat="1" ht="82.5">
      <c r="A1970" s="2554">
        <v>19</v>
      </c>
      <c r="B1970" s="44"/>
      <c r="C1970" s="753">
        <v>4</v>
      </c>
      <c r="D1970" s="753" t="s">
        <v>34</v>
      </c>
      <c r="E1970" s="753" t="s">
        <v>25</v>
      </c>
      <c r="F1970" s="753" t="s">
        <v>44</v>
      </c>
      <c r="G1970" s="753"/>
      <c r="H1970" s="753"/>
      <c r="I1970" s="44" t="s">
        <v>1872</v>
      </c>
      <c r="J1970" s="44" t="s">
        <v>3154</v>
      </c>
      <c r="K1970" s="1923">
        <v>13.13</v>
      </c>
      <c r="L1970" s="1899">
        <f>SUM(L1971:L1972)</f>
        <v>298152600</v>
      </c>
      <c r="M1970" s="149">
        <v>12.53</v>
      </c>
      <c r="N1970" s="1899">
        <f>SUM(N1971:N1972)</f>
        <v>212398005</v>
      </c>
      <c r="O1970" s="149">
        <v>0.04</v>
      </c>
      <c r="P1970" s="1899">
        <f>SUM(P1971:P1972)</f>
        <v>42441977</v>
      </c>
      <c r="Q1970" s="149">
        <v>0</v>
      </c>
      <c r="R1970" s="1899">
        <f t="shared" ref="R1970:X1970" si="582">SUM(R1971:R1972)</f>
        <v>3262000</v>
      </c>
      <c r="S1970" s="1901">
        <f t="shared" si="582"/>
        <v>1</v>
      </c>
      <c r="T1970" s="1899">
        <f t="shared" si="582"/>
        <v>25638400</v>
      </c>
      <c r="U1970" s="1899">
        <f t="shared" si="582"/>
        <v>0</v>
      </c>
      <c r="V1970" s="1899">
        <f t="shared" si="582"/>
        <v>0</v>
      </c>
      <c r="W1970" s="1899">
        <f t="shared" si="582"/>
        <v>0</v>
      </c>
      <c r="X1970" s="1899">
        <f t="shared" si="582"/>
        <v>0</v>
      </c>
      <c r="Y1970" s="149">
        <f>Q1970+S1970</f>
        <v>1</v>
      </c>
      <c r="Z1970" s="1901">
        <f t="shared" ref="Z1970:Z1983" si="583">R1970+T1970+V1970+X1970</f>
        <v>28900400</v>
      </c>
      <c r="AA1970" s="149">
        <f t="shared" si="578"/>
        <v>13.53</v>
      </c>
      <c r="AB1970" s="1901">
        <f t="shared" si="579"/>
        <v>241298405</v>
      </c>
      <c r="AC1970" s="821">
        <f t="shared" si="580"/>
        <v>103.04645849200304</v>
      </c>
      <c r="AD1970" s="821">
        <f t="shared" si="581"/>
        <v>80.931175847535798</v>
      </c>
      <c r="AE1970" s="2558" t="s">
        <v>2252</v>
      </c>
      <c r="AF1970" s="201"/>
      <c r="AG1970" s="201"/>
      <c r="AH1970" s="201"/>
      <c r="AI1970" s="201"/>
      <c r="AJ1970" s="201"/>
      <c r="AK1970" s="201"/>
      <c r="AL1970" s="201"/>
      <c r="AM1970" s="201"/>
      <c r="AN1970" s="201"/>
      <c r="AO1970" s="201"/>
      <c r="AP1970" s="201"/>
      <c r="AQ1970" s="201"/>
      <c r="AR1970" s="201"/>
      <c r="AS1970" s="201"/>
      <c r="AT1970" s="201"/>
      <c r="AU1970" s="201"/>
      <c r="AV1970" s="201"/>
      <c r="AW1970" s="201"/>
      <c r="AX1970" s="201"/>
      <c r="AY1970" s="201"/>
      <c r="AZ1970" s="201"/>
      <c r="BA1970" s="201"/>
      <c r="BB1970" s="201"/>
      <c r="BC1970" s="20"/>
      <c r="BD1970" s="20"/>
      <c r="BE1970" s="20"/>
      <c r="BF1970" s="20"/>
      <c r="BG1970" s="20"/>
      <c r="BH1970" s="20"/>
      <c r="BI1970" s="20"/>
      <c r="BJ1970" s="20"/>
      <c r="BK1970" s="20"/>
      <c r="BL1970" s="20"/>
      <c r="BM1970" s="20"/>
      <c r="BN1970" s="20"/>
      <c r="BO1970" s="20"/>
      <c r="BP1970" s="20"/>
      <c r="BQ1970" s="20"/>
      <c r="BR1970" s="20"/>
      <c r="BS1970" s="20"/>
      <c r="BT1970" s="20"/>
      <c r="BU1970" s="20"/>
      <c r="BV1970" s="20"/>
      <c r="BW1970" s="20"/>
      <c r="BX1970" s="20"/>
      <c r="BY1970" s="20"/>
      <c r="BZ1970" s="20"/>
      <c r="CA1970" s="20"/>
      <c r="CB1970" s="20"/>
      <c r="CC1970" s="20"/>
      <c r="CD1970" s="20"/>
      <c r="CE1970" s="20"/>
      <c r="CF1970" s="20"/>
      <c r="CG1970" s="20"/>
      <c r="CH1970" s="20"/>
      <c r="CI1970" s="20"/>
      <c r="CJ1970" s="20"/>
      <c r="CK1970" s="20"/>
      <c r="CL1970" s="20"/>
      <c r="CM1970" s="20"/>
      <c r="CN1970" s="20"/>
      <c r="CO1970" s="20"/>
      <c r="CP1970" s="20"/>
      <c r="CQ1970" s="20"/>
      <c r="CR1970" s="20"/>
      <c r="CS1970" s="20"/>
      <c r="CT1970" s="20"/>
      <c r="CU1970" s="20"/>
      <c r="CV1970" s="20"/>
      <c r="CW1970" s="20"/>
      <c r="CX1970" s="20"/>
      <c r="CY1970" s="20"/>
      <c r="CZ1970" s="20"/>
      <c r="DA1970" s="20"/>
      <c r="DB1970" s="20"/>
      <c r="DC1970" s="20"/>
      <c r="DD1970" s="20"/>
      <c r="DE1970" s="20"/>
      <c r="DF1970" s="20"/>
      <c r="DG1970" s="20"/>
      <c r="DH1970" s="20"/>
      <c r="DI1970" s="20"/>
      <c r="DJ1970" s="20"/>
      <c r="DK1970" s="20"/>
      <c r="DL1970" s="20"/>
      <c r="DM1970" s="20"/>
      <c r="DN1970" s="20"/>
      <c r="DO1970" s="20"/>
      <c r="DP1970" s="20"/>
      <c r="DQ1970" s="20"/>
      <c r="DR1970" s="20"/>
      <c r="DS1970" s="20"/>
      <c r="DT1970" s="20"/>
      <c r="DU1970" s="20"/>
      <c r="DV1970" s="20"/>
      <c r="DW1970" s="20"/>
      <c r="DX1970" s="20"/>
      <c r="DY1970" s="20"/>
      <c r="DZ1970" s="20"/>
      <c r="EA1970" s="20"/>
      <c r="EB1970" s="20"/>
      <c r="EC1970" s="20"/>
      <c r="ED1970" s="20"/>
      <c r="EE1970" s="20"/>
      <c r="EF1970" s="20"/>
      <c r="EG1970" s="20"/>
      <c r="EH1970" s="20"/>
      <c r="EI1970" s="20"/>
      <c r="EJ1970" s="20"/>
      <c r="EK1970" s="20"/>
      <c r="EL1970" s="20"/>
      <c r="EM1970" s="20"/>
      <c r="EN1970" s="20"/>
      <c r="EO1970" s="20"/>
      <c r="EP1970" s="20"/>
      <c r="EQ1970" s="20"/>
      <c r="ER1970" s="20"/>
      <c r="ES1970" s="20"/>
      <c r="ET1970" s="20"/>
      <c r="EU1970" s="20"/>
      <c r="EV1970" s="20"/>
      <c r="EW1970" s="20"/>
      <c r="EX1970" s="20"/>
      <c r="EY1970" s="20"/>
      <c r="EZ1970" s="20"/>
      <c r="FA1970" s="20"/>
      <c r="FB1970" s="20"/>
      <c r="FC1970" s="20"/>
      <c r="FD1970" s="20"/>
      <c r="FE1970" s="20"/>
      <c r="FF1970" s="20"/>
      <c r="FG1970" s="20"/>
      <c r="FH1970" s="20"/>
      <c r="FI1970" s="20"/>
      <c r="FJ1970" s="20"/>
      <c r="FK1970" s="20"/>
      <c r="FL1970" s="20"/>
      <c r="FM1970" s="20"/>
      <c r="FN1970" s="20"/>
      <c r="FO1970" s="20"/>
      <c r="FP1970" s="20"/>
      <c r="FQ1970" s="20"/>
      <c r="FR1970" s="20"/>
      <c r="FS1970" s="20"/>
      <c r="FT1970" s="20"/>
      <c r="FU1970" s="20"/>
      <c r="FV1970" s="20"/>
      <c r="FW1970" s="20"/>
      <c r="FX1970" s="20"/>
      <c r="FY1970" s="20"/>
      <c r="FZ1970" s="20"/>
      <c r="GA1970" s="20"/>
      <c r="GB1970" s="20"/>
      <c r="GC1970" s="20"/>
      <c r="GD1970" s="20"/>
      <c r="GE1970" s="20"/>
      <c r="GF1970" s="20"/>
      <c r="GG1970" s="20"/>
      <c r="GH1970" s="20"/>
      <c r="GI1970" s="20"/>
      <c r="GJ1970" s="20"/>
      <c r="GK1970" s="20"/>
      <c r="GL1970" s="20"/>
      <c r="GM1970" s="20"/>
      <c r="GN1970" s="20"/>
      <c r="GO1970" s="20"/>
      <c r="GP1970" s="20"/>
      <c r="GQ1970" s="20"/>
      <c r="GR1970" s="20"/>
      <c r="GS1970" s="20"/>
      <c r="GT1970" s="20"/>
      <c r="GU1970" s="20"/>
      <c r="GV1970" s="20"/>
      <c r="GW1970" s="20"/>
      <c r="GX1970" s="20"/>
      <c r="GY1970" s="20"/>
      <c r="GZ1970" s="20"/>
      <c r="HA1970" s="20"/>
      <c r="HB1970" s="20"/>
      <c r="HC1970" s="20"/>
      <c r="HD1970" s="20"/>
      <c r="HE1970" s="20"/>
      <c r="HF1970" s="20"/>
      <c r="HG1970" s="20"/>
      <c r="HH1970" s="20"/>
      <c r="HI1970" s="20"/>
      <c r="HJ1970" s="20"/>
      <c r="HK1970" s="20"/>
      <c r="HL1970" s="20"/>
      <c r="HM1970" s="20"/>
      <c r="HN1970" s="20"/>
      <c r="HO1970" s="20"/>
      <c r="HP1970" s="20"/>
      <c r="HQ1970" s="20"/>
      <c r="HR1970" s="20"/>
      <c r="HS1970" s="20"/>
      <c r="HT1970" s="20"/>
      <c r="HU1970" s="20"/>
      <c r="HV1970" s="20"/>
      <c r="HW1970" s="20"/>
      <c r="HX1970" s="20"/>
      <c r="HY1970" s="20"/>
      <c r="HZ1970" s="20"/>
      <c r="IA1970" s="20"/>
      <c r="IB1970" s="20"/>
      <c r="IC1970" s="20"/>
      <c r="ID1970" s="20"/>
      <c r="IE1970" s="20"/>
      <c r="IF1970" s="20"/>
      <c r="IG1970" s="20"/>
      <c r="IH1970" s="20"/>
      <c r="II1970" s="20"/>
      <c r="IJ1970" s="20"/>
      <c r="IK1970" s="20"/>
      <c r="IL1970" s="20"/>
      <c r="IM1970" s="20"/>
      <c r="IN1970" s="20"/>
      <c r="IO1970" s="20"/>
    </row>
    <row r="1971" spans="1:249" s="22" customFormat="1" ht="33">
      <c r="A1971" s="794"/>
      <c r="B1971" s="840"/>
      <c r="C1971" s="841">
        <v>4</v>
      </c>
      <c r="D1971" s="841" t="s">
        <v>34</v>
      </c>
      <c r="E1971" s="841" t="s">
        <v>25</v>
      </c>
      <c r="F1971" s="841">
        <v>18</v>
      </c>
      <c r="G1971" s="841">
        <v>38</v>
      </c>
      <c r="H1971" s="841"/>
      <c r="I1971" s="6" t="s">
        <v>1873</v>
      </c>
      <c r="J1971" s="6" t="s">
        <v>3379</v>
      </c>
      <c r="K1971" s="1902">
        <v>72</v>
      </c>
      <c r="L1971" s="1908">
        <v>210000000</v>
      </c>
      <c r="M1971" s="1903">
        <v>36</v>
      </c>
      <c r="N1971" s="1904">
        <f>49137581+58779224+60404900</f>
        <v>168321705</v>
      </c>
      <c r="O1971" s="1903">
        <v>12</v>
      </c>
      <c r="P1971" s="1905">
        <v>42441977</v>
      </c>
      <c r="Q1971" s="1903">
        <v>3</v>
      </c>
      <c r="R1971" s="1904">
        <v>3262000</v>
      </c>
      <c r="S1971" s="795">
        <v>1</v>
      </c>
      <c r="T1971" s="1906">
        <v>25638400</v>
      </c>
      <c r="U1971" s="795"/>
      <c r="V1971" s="1906"/>
      <c r="W1971" s="795"/>
      <c r="X1971" s="1906"/>
      <c r="Y1971" s="1903">
        <f>Q1971+S1971+W1971</f>
        <v>4</v>
      </c>
      <c r="Z1971" s="1906">
        <f t="shared" si="583"/>
        <v>28900400</v>
      </c>
      <c r="AA1971" s="1903">
        <f t="shared" si="578"/>
        <v>40</v>
      </c>
      <c r="AB1971" s="1906">
        <f t="shared" si="579"/>
        <v>197222105</v>
      </c>
      <c r="AC1971" s="1907">
        <f t="shared" si="580"/>
        <v>55.555555555555557</v>
      </c>
      <c r="AD1971" s="1907">
        <f t="shared" si="581"/>
        <v>93.915288095238097</v>
      </c>
      <c r="AE1971" s="2601" t="s">
        <v>1988</v>
      </c>
      <c r="AF1971" s="201"/>
      <c r="AG1971" s="201"/>
      <c r="AH1971" s="201"/>
      <c r="AI1971" s="201"/>
      <c r="AJ1971" s="201"/>
      <c r="AK1971" s="201"/>
      <c r="AL1971" s="201"/>
      <c r="AM1971" s="201"/>
      <c r="AN1971" s="201"/>
      <c r="AO1971" s="201"/>
      <c r="AP1971" s="201"/>
      <c r="AQ1971" s="201"/>
      <c r="AR1971" s="201"/>
      <c r="AS1971" s="201"/>
      <c r="AT1971" s="201"/>
      <c r="AU1971" s="201"/>
      <c r="AV1971" s="201"/>
      <c r="AW1971" s="201"/>
      <c r="AX1971" s="201"/>
      <c r="AY1971" s="201"/>
      <c r="AZ1971" s="201"/>
      <c r="BA1971" s="201"/>
      <c r="BB1971" s="201"/>
      <c r="BC1971" s="20"/>
      <c r="BD1971" s="20"/>
      <c r="BE1971" s="20"/>
      <c r="BF1971" s="20"/>
      <c r="BG1971" s="20"/>
      <c r="BH1971" s="20"/>
      <c r="BI1971" s="20"/>
      <c r="BJ1971" s="20"/>
      <c r="BK1971" s="20"/>
      <c r="BL1971" s="20"/>
      <c r="BM1971" s="20"/>
      <c r="BN1971" s="20"/>
      <c r="BO1971" s="20"/>
      <c r="BP1971" s="20"/>
      <c r="BQ1971" s="20"/>
      <c r="BR1971" s="20"/>
      <c r="BS1971" s="20"/>
      <c r="BT1971" s="20"/>
      <c r="BU1971" s="20"/>
      <c r="BV1971" s="20"/>
      <c r="BW1971" s="20"/>
      <c r="BX1971" s="20"/>
      <c r="BY1971" s="20"/>
      <c r="BZ1971" s="20"/>
      <c r="CA1971" s="20"/>
      <c r="CB1971" s="20"/>
      <c r="CC1971" s="20"/>
      <c r="CD1971" s="20"/>
      <c r="CE1971" s="20"/>
      <c r="CF1971" s="20"/>
      <c r="CG1971" s="20"/>
      <c r="CH1971" s="20"/>
      <c r="CI1971" s="20"/>
      <c r="CJ1971" s="20"/>
      <c r="CK1971" s="20"/>
      <c r="CL1971" s="20"/>
      <c r="CM1971" s="20"/>
      <c r="CN1971" s="20"/>
      <c r="CO1971" s="20"/>
      <c r="CP1971" s="20"/>
      <c r="CQ1971" s="20"/>
      <c r="CR1971" s="20"/>
      <c r="CS1971" s="20"/>
      <c r="CT1971" s="20"/>
      <c r="CU1971" s="20"/>
      <c r="CV1971" s="20"/>
      <c r="CW1971" s="20"/>
      <c r="CX1971" s="20"/>
      <c r="CY1971" s="20"/>
      <c r="CZ1971" s="20"/>
      <c r="DA1971" s="20"/>
      <c r="DB1971" s="20"/>
      <c r="DC1971" s="20"/>
      <c r="DD1971" s="20"/>
      <c r="DE1971" s="20"/>
      <c r="DF1971" s="20"/>
      <c r="DG1971" s="20"/>
      <c r="DH1971" s="20"/>
      <c r="DI1971" s="20"/>
      <c r="DJ1971" s="20"/>
      <c r="DK1971" s="20"/>
      <c r="DL1971" s="20"/>
      <c r="DM1971" s="20"/>
      <c r="DN1971" s="20"/>
      <c r="DO1971" s="20"/>
      <c r="DP1971" s="20"/>
      <c r="DQ1971" s="20"/>
      <c r="DR1971" s="20"/>
      <c r="DS1971" s="20"/>
      <c r="DT1971" s="20"/>
      <c r="DU1971" s="20"/>
      <c r="DV1971" s="20"/>
      <c r="DW1971" s="20"/>
      <c r="DX1971" s="20"/>
      <c r="DY1971" s="20"/>
      <c r="DZ1971" s="20"/>
      <c r="EA1971" s="20"/>
      <c r="EB1971" s="20"/>
      <c r="EC1971" s="20"/>
      <c r="ED1971" s="20"/>
      <c r="EE1971" s="20"/>
      <c r="EF1971" s="20"/>
      <c r="EG1971" s="20"/>
      <c r="EH1971" s="20"/>
      <c r="EI1971" s="20"/>
      <c r="EJ1971" s="20"/>
      <c r="EK1971" s="20"/>
      <c r="EL1971" s="20"/>
      <c r="EM1971" s="20"/>
      <c r="EN1971" s="20"/>
      <c r="EO1971" s="20"/>
      <c r="EP1971" s="20"/>
      <c r="EQ1971" s="20"/>
      <c r="ER1971" s="20"/>
      <c r="ES1971" s="20"/>
      <c r="ET1971" s="20"/>
      <c r="EU1971" s="20"/>
      <c r="EV1971" s="20"/>
      <c r="EW1971" s="20"/>
      <c r="EX1971" s="20"/>
      <c r="EY1971" s="20"/>
      <c r="EZ1971" s="20"/>
      <c r="FA1971" s="20"/>
      <c r="FB1971" s="20"/>
      <c r="FC1971" s="20"/>
      <c r="FD1971" s="20"/>
      <c r="FE1971" s="20"/>
      <c r="FF1971" s="20"/>
      <c r="FG1971" s="20"/>
      <c r="FH1971" s="20"/>
      <c r="FI1971" s="20"/>
      <c r="FJ1971" s="20"/>
      <c r="FK1971" s="20"/>
      <c r="FL1971" s="20"/>
      <c r="FM1971" s="20"/>
      <c r="FN1971" s="20"/>
      <c r="FO1971" s="20"/>
      <c r="FP1971" s="20"/>
      <c r="FQ1971" s="20"/>
      <c r="FR1971" s="20"/>
      <c r="FS1971" s="20"/>
      <c r="FT1971" s="20"/>
      <c r="FU1971" s="20"/>
      <c r="FV1971" s="20"/>
      <c r="FW1971" s="20"/>
      <c r="FX1971" s="20"/>
      <c r="FY1971" s="20"/>
      <c r="FZ1971" s="20"/>
      <c r="GA1971" s="20"/>
      <c r="GB1971" s="20"/>
      <c r="GC1971" s="20"/>
      <c r="GD1971" s="20"/>
      <c r="GE1971" s="20"/>
      <c r="GF1971" s="20"/>
      <c r="GG1971" s="20"/>
      <c r="GH1971" s="20"/>
      <c r="GI1971" s="20"/>
      <c r="GJ1971" s="20"/>
      <c r="GK1971" s="20"/>
      <c r="GL1971" s="20"/>
      <c r="GM1971" s="20"/>
      <c r="GN1971" s="20"/>
      <c r="GO1971" s="20"/>
      <c r="GP1971" s="20"/>
      <c r="GQ1971" s="20"/>
      <c r="GR1971" s="20"/>
      <c r="GS1971" s="20"/>
      <c r="GT1971" s="20"/>
      <c r="GU1971" s="20"/>
      <c r="GV1971" s="20"/>
      <c r="GW1971" s="20"/>
      <c r="GX1971" s="20"/>
      <c r="GY1971" s="20"/>
      <c r="GZ1971" s="20"/>
      <c r="HA1971" s="20"/>
      <c r="HB1971" s="20"/>
      <c r="HC1971" s="20"/>
      <c r="HD1971" s="20"/>
      <c r="HE1971" s="20"/>
      <c r="HF1971" s="20"/>
      <c r="HG1971" s="20"/>
      <c r="HH1971" s="20"/>
      <c r="HI1971" s="20"/>
      <c r="HJ1971" s="20"/>
      <c r="HK1971" s="20"/>
      <c r="HL1971" s="20"/>
      <c r="HM1971" s="20"/>
      <c r="HN1971" s="20"/>
      <c r="HO1971" s="20"/>
      <c r="HP1971" s="20"/>
      <c r="HQ1971" s="20"/>
      <c r="HR1971" s="20"/>
      <c r="HS1971" s="20"/>
      <c r="HT1971" s="20"/>
      <c r="HU1971" s="20"/>
      <c r="HV1971" s="20"/>
      <c r="HW1971" s="20"/>
      <c r="HX1971" s="20"/>
      <c r="HY1971" s="20"/>
      <c r="HZ1971" s="20"/>
      <c r="IA1971" s="20"/>
      <c r="IB1971" s="20"/>
      <c r="IC1971" s="20"/>
      <c r="ID1971" s="20"/>
      <c r="IE1971" s="20"/>
      <c r="IF1971" s="20"/>
      <c r="IG1971" s="20"/>
      <c r="IH1971" s="20"/>
      <c r="II1971" s="20"/>
      <c r="IJ1971" s="20"/>
      <c r="IK1971" s="20"/>
      <c r="IL1971" s="20"/>
      <c r="IM1971" s="20"/>
      <c r="IN1971" s="20"/>
      <c r="IO1971" s="20"/>
    </row>
    <row r="1972" spans="1:249" s="22" customFormat="1" ht="49.5">
      <c r="A1972" s="794"/>
      <c r="B1972" s="840"/>
      <c r="C1972" s="841">
        <v>4</v>
      </c>
      <c r="D1972" s="841" t="s">
        <v>34</v>
      </c>
      <c r="E1972" s="841" t="s">
        <v>25</v>
      </c>
      <c r="F1972" s="841" t="s">
        <v>44</v>
      </c>
      <c r="G1972" s="841" t="s">
        <v>1874</v>
      </c>
      <c r="H1972" s="841"/>
      <c r="I1972" s="6" t="s">
        <v>1875</v>
      </c>
      <c r="J1972" s="6" t="s">
        <v>3380</v>
      </c>
      <c r="K1972" s="1902">
        <v>4</v>
      </c>
      <c r="L1972" s="1908">
        <f>2*N1972</f>
        <v>88152600</v>
      </c>
      <c r="M1972" s="1903">
        <v>4</v>
      </c>
      <c r="N1972" s="1905">
        <v>44076300</v>
      </c>
      <c r="O1972" s="1902"/>
      <c r="P1972" s="1905">
        <v>0</v>
      </c>
      <c r="Q1972" s="1903"/>
      <c r="R1972" s="1904"/>
      <c r="S1972" s="795"/>
      <c r="T1972" s="207"/>
      <c r="U1972" s="795"/>
      <c r="V1972" s="1906"/>
      <c r="W1972" s="795"/>
      <c r="X1972" s="1906"/>
      <c r="Y1972" s="1903">
        <f>Q1972+S1972+W1972</f>
        <v>0</v>
      </c>
      <c r="Z1972" s="1906">
        <f t="shared" si="583"/>
        <v>0</v>
      </c>
      <c r="AA1972" s="1903">
        <f t="shared" si="578"/>
        <v>4</v>
      </c>
      <c r="AB1972" s="1906">
        <f t="shared" si="579"/>
        <v>44076300</v>
      </c>
      <c r="AC1972" s="1907">
        <f t="shared" si="580"/>
        <v>100</v>
      </c>
      <c r="AD1972" s="1907">
        <f t="shared" si="581"/>
        <v>50</v>
      </c>
      <c r="AE1972" s="2601" t="s">
        <v>1988</v>
      </c>
      <c r="AF1972" s="201"/>
      <c r="AG1972" s="201"/>
      <c r="AH1972" s="201"/>
      <c r="AI1972" s="201"/>
      <c r="AJ1972" s="201"/>
      <c r="AK1972" s="201"/>
      <c r="AL1972" s="201"/>
      <c r="AM1972" s="201"/>
      <c r="AN1972" s="201"/>
      <c r="AO1972" s="201"/>
      <c r="AP1972" s="201"/>
      <c r="AQ1972" s="201"/>
      <c r="AR1972" s="201"/>
      <c r="AS1972" s="201"/>
      <c r="AT1972" s="201"/>
      <c r="AU1972" s="201"/>
      <c r="AV1972" s="201"/>
      <c r="AW1972" s="201"/>
      <c r="AX1972" s="201"/>
      <c r="AY1972" s="201"/>
      <c r="AZ1972" s="201"/>
      <c r="BA1972" s="201"/>
      <c r="BB1972" s="201"/>
      <c r="BC1972" s="20"/>
      <c r="BD1972" s="20"/>
      <c r="BE1972" s="20"/>
      <c r="BF1972" s="20"/>
      <c r="BG1972" s="20"/>
      <c r="BH1972" s="20"/>
      <c r="BI1972" s="20"/>
      <c r="BJ1972" s="20"/>
      <c r="BK1972" s="20"/>
      <c r="BL1972" s="20"/>
      <c r="BM1972" s="20"/>
      <c r="BN1972" s="20"/>
      <c r="BO1972" s="20"/>
      <c r="BP1972" s="20"/>
      <c r="BQ1972" s="20"/>
      <c r="BR1972" s="20"/>
      <c r="BS1972" s="20"/>
      <c r="BT1972" s="20"/>
      <c r="BU1972" s="20"/>
      <c r="BV1972" s="20"/>
      <c r="BW1972" s="20"/>
      <c r="BX1972" s="20"/>
      <c r="BY1972" s="20"/>
      <c r="BZ1972" s="20"/>
      <c r="CA1972" s="20"/>
      <c r="CB1972" s="20"/>
      <c r="CC1972" s="20"/>
      <c r="CD1972" s="20"/>
      <c r="CE1972" s="20"/>
      <c r="CF1972" s="20"/>
      <c r="CG1972" s="20"/>
      <c r="CH1972" s="20"/>
      <c r="CI1972" s="20"/>
      <c r="CJ1972" s="20"/>
      <c r="CK1972" s="20"/>
      <c r="CL1972" s="20"/>
      <c r="CM1972" s="20"/>
      <c r="CN1972" s="20"/>
      <c r="CO1972" s="20"/>
      <c r="CP1972" s="20"/>
      <c r="CQ1972" s="20"/>
      <c r="CR1972" s="20"/>
      <c r="CS1972" s="20"/>
      <c r="CT1972" s="20"/>
      <c r="CU1972" s="20"/>
      <c r="CV1972" s="20"/>
      <c r="CW1972" s="20"/>
      <c r="CX1972" s="20"/>
      <c r="CY1972" s="20"/>
      <c r="CZ1972" s="20"/>
      <c r="DA1972" s="20"/>
      <c r="DB1972" s="20"/>
      <c r="DC1972" s="20"/>
      <c r="DD1972" s="20"/>
      <c r="DE1972" s="20"/>
      <c r="DF1972" s="20"/>
      <c r="DG1972" s="20"/>
      <c r="DH1972" s="20"/>
      <c r="DI1972" s="20"/>
      <c r="DJ1972" s="20"/>
      <c r="DK1972" s="20"/>
      <c r="DL1972" s="20"/>
      <c r="DM1972" s="20"/>
      <c r="DN1972" s="20"/>
      <c r="DO1972" s="20"/>
      <c r="DP1972" s="20"/>
      <c r="DQ1972" s="20"/>
      <c r="DR1972" s="20"/>
      <c r="DS1972" s="20"/>
      <c r="DT1972" s="20"/>
      <c r="DU1972" s="20"/>
      <c r="DV1972" s="20"/>
      <c r="DW1972" s="20"/>
      <c r="DX1972" s="20"/>
      <c r="DY1972" s="20"/>
      <c r="DZ1972" s="20"/>
      <c r="EA1972" s="20"/>
      <c r="EB1972" s="20"/>
      <c r="EC1972" s="20"/>
      <c r="ED1972" s="20"/>
      <c r="EE1972" s="20"/>
      <c r="EF1972" s="20"/>
      <c r="EG1972" s="20"/>
      <c r="EH1972" s="20"/>
      <c r="EI1972" s="20"/>
      <c r="EJ1972" s="20"/>
      <c r="EK1972" s="20"/>
      <c r="EL1972" s="20"/>
      <c r="EM1972" s="20"/>
      <c r="EN1972" s="20"/>
      <c r="EO1972" s="20"/>
      <c r="EP1972" s="20"/>
      <c r="EQ1972" s="20"/>
      <c r="ER1972" s="20"/>
      <c r="ES1972" s="20"/>
      <c r="ET1972" s="20"/>
      <c r="EU1972" s="20"/>
      <c r="EV1972" s="20"/>
      <c r="EW1972" s="20"/>
      <c r="EX1972" s="20"/>
      <c r="EY1972" s="20"/>
      <c r="EZ1972" s="20"/>
      <c r="FA1972" s="20"/>
      <c r="FB1972" s="20"/>
      <c r="FC1972" s="20"/>
      <c r="FD1972" s="20"/>
      <c r="FE1972" s="20"/>
      <c r="FF1972" s="20"/>
      <c r="FG1972" s="20"/>
      <c r="FH1972" s="20"/>
      <c r="FI1972" s="20"/>
      <c r="FJ1972" s="20"/>
      <c r="FK1972" s="20"/>
      <c r="FL1972" s="20"/>
      <c r="FM1972" s="20"/>
      <c r="FN1972" s="20"/>
      <c r="FO1972" s="20"/>
      <c r="FP1972" s="20"/>
      <c r="FQ1972" s="20"/>
      <c r="FR1972" s="20"/>
      <c r="FS1972" s="20"/>
      <c r="FT1972" s="20"/>
      <c r="FU1972" s="20"/>
      <c r="FV1972" s="20"/>
      <c r="FW1972" s="20"/>
      <c r="FX1972" s="20"/>
      <c r="FY1972" s="20"/>
      <c r="FZ1972" s="20"/>
      <c r="GA1972" s="20"/>
      <c r="GB1972" s="20"/>
      <c r="GC1972" s="20"/>
      <c r="GD1972" s="20"/>
      <c r="GE1972" s="20"/>
      <c r="GF1972" s="20"/>
      <c r="GG1972" s="20"/>
      <c r="GH1972" s="20"/>
      <c r="GI1972" s="20"/>
      <c r="GJ1972" s="20"/>
      <c r="GK1972" s="20"/>
      <c r="GL1972" s="20"/>
      <c r="GM1972" s="20"/>
      <c r="GN1972" s="20"/>
      <c r="GO1972" s="20"/>
      <c r="GP1972" s="20"/>
      <c r="GQ1972" s="20"/>
      <c r="GR1972" s="20"/>
      <c r="GS1972" s="20"/>
      <c r="GT1972" s="20"/>
      <c r="GU1972" s="20"/>
      <c r="GV1972" s="20"/>
      <c r="GW1972" s="20"/>
      <c r="GX1972" s="20"/>
      <c r="GY1972" s="20"/>
      <c r="GZ1972" s="20"/>
      <c r="HA1972" s="20"/>
      <c r="HB1972" s="20"/>
      <c r="HC1972" s="20"/>
      <c r="HD1972" s="20"/>
      <c r="HE1972" s="20"/>
      <c r="HF1972" s="20"/>
      <c r="HG1972" s="20"/>
      <c r="HH1972" s="20"/>
      <c r="HI1972" s="20"/>
      <c r="HJ1972" s="20"/>
      <c r="HK1972" s="20"/>
      <c r="HL1972" s="20"/>
      <c r="HM1972" s="20"/>
      <c r="HN1972" s="20"/>
      <c r="HO1972" s="20"/>
      <c r="HP1972" s="20"/>
      <c r="HQ1972" s="20"/>
      <c r="HR1972" s="20"/>
      <c r="HS1972" s="20"/>
      <c r="HT1972" s="20"/>
      <c r="HU1972" s="20"/>
      <c r="HV1972" s="20"/>
      <c r="HW1972" s="20"/>
      <c r="HX1972" s="20"/>
      <c r="HY1972" s="20"/>
      <c r="HZ1972" s="20"/>
      <c r="IA1972" s="20"/>
      <c r="IB1972" s="20"/>
      <c r="IC1972" s="20"/>
      <c r="ID1972" s="20"/>
      <c r="IE1972" s="20"/>
      <c r="IF1972" s="20"/>
      <c r="IG1972" s="20"/>
      <c r="IH1972" s="20"/>
      <c r="II1972" s="20"/>
      <c r="IJ1972" s="20"/>
      <c r="IK1972" s="20"/>
      <c r="IL1972" s="20"/>
      <c r="IM1972" s="20"/>
      <c r="IN1972" s="20"/>
      <c r="IO1972" s="20"/>
    </row>
    <row r="1973" spans="1:249" s="22" customFormat="1" ht="99">
      <c r="A1973" s="2554">
        <v>20</v>
      </c>
      <c r="B1973" s="44"/>
      <c r="C1973" s="753">
        <v>4</v>
      </c>
      <c r="D1973" s="753" t="s">
        <v>34</v>
      </c>
      <c r="E1973" s="753" t="s">
        <v>25</v>
      </c>
      <c r="F1973" s="753" t="s">
        <v>54</v>
      </c>
      <c r="G1973" s="753"/>
      <c r="H1973" s="753"/>
      <c r="I1973" s="44" t="s">
        <v>1876</v>
      </c>
      <c r="J1973" s="44" t="s">
        <v>3381</v>
      </c>
      <c r="K1973" s="149">
        <v>100</v>
      </c>
      <c r="L1973" s="1899">
        <f>SUM(L1974:L1982)</f>
        <v>6107815962</v>
      </c>
      <c r="M1973" s="149">
        <v>80</v>
      </c>
      <c r="N1973" s="1899">
        <f>SUM(N1974:N1982)</f>
        <v>2386061911</v>
      </c>
      <c r="O1973" s="149">
        <v>10</v>
      </c>
      <c r="P1973" s="1899">
        <f>SUM(P1974:P1982)</f>
        <v>705969410</v>
      </c>
      <c r="Q1973" s="149">
        <v>0</v>
      </c>
      <c r="R1973" s="1899">
        <f>SUM(R1974:R1982)</f>
        <v>78202970</v>
      </c>
      <c r="S1973" s="1899">
        <f t="shared" ref="S1973:X1973" si="584">SUM(S1974:S1982)</f>
        <v>20</v>
      </c>
      <c r="T1973" s="1899">
        <f>SUM(T1974:T1982)</f>
        <v>237326001</v>
      </c>
      <c r="U1973" s="1899">
        <f t="shared" si="584"/>
        <v>0</v>
      </c>
      <c r="V1973" s="1899">
        <f t="shared" si="584"/>
        <v>0</v>
      </c>
      <c r="W1973" s="1899">
        <f t="shared" si="584"/>
        <v>0</v>
      </c>
      <c r="X1973" s="1899">
        <f t="shared" si="584"/>
        <v>0</v>
      </c>
      <c r="Y1973" s="149">
        <f>Q1973+S1973+U1973</f>
        <v>20</v>
      </c>
      <c r="Z1973" s="1901">
        <f t="shared" si="583"/>
        <v>315528971</v>
      </c>
      <c r="AA1973" s="149">
        <f t="shared" si="578"/>
        <v>100</v>
      </c>
      <c r="AB1973" s="1901">
        <f t="shared" si="579"/>
        <v>2701590882</v>
      </c>
      <c r="AC1973" s="821">
        <f t="shared" si="580"/>
        <v>100</v>
      </c>
      <c r="AD1973" s="821">
        <f t="shared" si="581"/>
        <v>44.231700804478166</v>
      </c>
      <c r="AE1973" s="2558" t="s">
        <v>2252</v>
      </c>
      <c r="AF1973" s="201"/>
      <c r="AG1973" s="201"/>
      <c r="AH1973" s="201"/>
      <c r="AI1973" s="201"/>
      <c r="AJ1973" s="201"/>
      <c r="AK1973" s="201"/>
      <c r="AL1973" s="201"/>
      <c r="AM1973" s="201"/>
      <c r="AN1973" s="201"/>
      <c r="AO1973" s="201"/>
      <c r="AP1973" s="201"/>
      <c r="AQ1973" s="201"/>
      <c r="AR1973" s="201"/>
      <c r="AS1973" s="201"/>
      <c r="AT1973" s="201"/>
      <c r="AU1973" s="201"/>
      <c r="AV1973" s="201"/>
      <c r="AW1973" s="201"/>
      <c r="AX1973" s="201"/>
      <c r="AY1973" s="201"/>
      <c r="AZ1973" s="201"/>
      <c r="BA1973" s="201"/>
      <c r="BB1973" s="201"/>
      <c r="BC1973" s="20"/>
      <c r="BD1973" s="20"/>
      <c r="BE1973" s="20"/>
      <c r="BF1973" s="20"/>
      <c r="BG1973" s="20"/>
      <c r="BH1973" s="20"/>
      <c r="BI1973" s="20"/>
      <c r="BJ1973" s="20"/>
      <c r="BK1973" s="20"/>
      <c r="BL1973" s="20"/>
      <c r="BM1973" s="20"/>
      <c r="BN1973" s="20"/>
      <c r="BO1973" s="20"/>
      <c r="BP1973" s="20"/>
      <c r="BQ1973" s="20"/>
      <c r="BR1973" s="20"/>
      <c r="BS1973" s="20"/>
      <c r="BT1973" s="20"/>
      <c r="BU1973" s="20"/>
      <c r="BV1973" s="20"/>
      <c r="BW1973" s="20"/>
      <c r="BX1973" s="20"/>
      <c r="BY1973" s="20"/>
      <c r="BZ1973" s="20"/>
      <c r="CA1973" s="20"/>
      <c r="CB1973" s="20"/>
      <c r="CC1973" s="20"/>
      <c r="CD1973" s="20"/>
      <c r="CE1973" s="20"/>
      <c r="CF1973" s="20"/>
      <c r="CG1973" s="20"/>
      <c r="CH1973" s="20"/>
      <c r="CI1973" s="20"/>
      <c r="CJ1973" s="20"/>
      <c r="CK1973" s="20"/>
      <c r="CL1973" s="20"/>
      <c r="CM1973" s="20"/>
      <c r="CN1973" s="20"/>
      <c r="CO1973" s="20"/>
      <c r="CP1973" s="20"/>
      <c r="CQ1973" s="20"/>
      <c r="CR1973" s="20"/>
      <c r="CS1973" s="20"/>
      <c r="CT1973" s="20"/>
      <c r="CU1973" s="20"/>
      <c r="CV1973" s="20"/>
      <c r="CW1973" s="20"/>
      <c r="CX1973" s="20"/>
      <c r="CY1973" s="20"/>
      <c r="CZ1973" s="20"/>
      <c r="DA1973" s="20"/>
      <c r="DB1973" s="20"/>
      <c r="DC1973" s="20"/>
      <c r="DD1973" s="20"/>
      <c r="DE1973" s="20"/>
      <c r="DF1973" s="20"/>
      <c r="DG1973" s="20"/>
      <c r="DH1973" s="20"/>
      <c r="DI1973" s="20"/>
      <c r="DJ1973" s="20"/>
      <c r="DK1973" s="20"/>
      <c r="DL1973" s="20"/>
      <c r="DM1973" s="20"/>
      <c r="DN1973" s="20"/>
      <c r="DO1973" s="20"/>
      <c r="DP1973" s="20"/>
      <c r="DQ1973" s="20"/>
      <c r="DR1973" s="20"/>
      <c r="DS1973" s="20"/>
      <c r="DT1973" s="20"/>
      <c r="DU1973" s="20"/>
      <c r="DV1973" s="20"/>
      <c r="DW1973" s="20"/>
      <c r="DX1973" s="20"/>
      <c r="DY1973" s="20"/>
      <c r="DZ1973" s="20"/>
      <c r="EA1973" s="20"/>
      <c r="EB1973" s="20"/>
      <c r="EC1973" s="20"/>
      <c r="ED1973" s="20"/>
      <c r="EE1973" s="20"/>
      <c r="EF1973" s="20"/>
      <c r="EG1973" s="20"/>
      <c r="EH1973" s="20"/>
      <c r="EI1973" s="20"/>
      <c r="EJ1973" s="20"/>
      <c r="EK1973" s="20"/>
      <c r="EL1973" s="20"/>
      <c r="EM1973" s="20"/>
      <c r="EN1973" s="20"/>
      <c r="EO1973" s="20"/>
      <c r="EP1973" s="20"/>
      <c r="EQ1973" s="20"/>
      <c r="ER1973" s="20"/>
      <c r="ES1973" s="20"/>
      <c r="ET1973" s="20"/>
      <c r="EU1973" s="20"/>
      <c r="EV1973" s="20"/>
      <c r="EW1973" s="20"/>
      <c r="EX1973" s="20"/>
      <c r="EY1973" s="20"/>
      <c r="EZ1973" s="20"/>
      <c r="FA1973" s="20"/>
      <c r="FB1973" s="20"/>
      <c r="FC1973" s="20"/>
      <c r="FD1973" s="20"/>
      <c r="FE1973" s="20"/>
      <c r="FF1973" s="20"/>
      <c r="FG1973" s="20"/>
      <c r="FH1973" s="20"/>
      <c r="FI1973" s="20"/>
      <c r="FJ1973" s="20"/>
      <c r="FK1973" s="20"/>
      <c r="FL1973" s="20"/>
      <c r="FM1973" s="20"/>
      <c r="FN1973" s="20"/>
      <c r="FO1973" s="20"/>
      <c r="FP1973" s="20"/>
      <c r="FQ1973" s="20"/>
      <c r="FR1973" s="20"/>
      <c r="FS1973" s="20"/>
      <c r="FT1973" s="20"/>
      <c r="FU1973" s="20"/>
      <c r="FV1973" s="20"/>
      <c r="FW1973" s="20"/>
      <c r="FX1973" s="20"/>
      <c r="FY1973" s="20"/>
      <c r="FZ1973" s="20"/>
      <c r="GA1973" s="20"/>
      <c r="GB1973" s="20"/>
      <c r="GC1973" s="20"/>
      <c r="GD1973" s="20"/>
      <c r="GE1973" s="20"/>
      <c r="GF1973" s="20"/>
      <c r="GG1973" s="20"/>
      <c r="GH1973" s="20"/>
      <c r="GI1973" s="20"/>
      <c r="GJ1973" s="20"/>
      <c r="GK1973" s="20"/>
      <c r="GL1973" s="20"/>
      <c r="GM1973" s="20"/>
      <c r="GN1973" s="20"/>
      <c r="GO1973" s="20"/>
      <c r="GP1973" s="20"/>
      <c r="GQ1973" s="20"/>
      <c r="GR1973" s="20"/>
      <c r="GS1973" s="20"/>
      <c r="GT1973" s="20"/>
      <c r="GU1973" s="20"/>
      <c r="GV1973" s="20"/>
      <c r="GW1973" s="20"/>
      <c r="GX1973" s="20"/>
      <c r="GY1973" s="20"/>
      <c r="GZ1973" s="20"/>
      <c r="HA1973" s="20"/>
      <c r="HB1973" s="20"/>
      <c r="HC1973" s="20"/>
      <c r="HD1973" s="20"/>
      <c r="HE1973" s="20"/>
      <c r="HF1973" s="20"/>
      <c r="HG1973" s="20"/>
      <c r="HH1973" s="20"/>
      <c r="HI1973" s="20"/>
      <c r="HJ1973" s="20"/>
      <c r="HK1973" s="20"/>
      <c r="HL1973" s="20"/>
      <c r="HM1973" s="20"/>
      <c r="HN1973" s="20"/>
      <c r="HO1973" s="20"/>
      <c r="HP1973" s="20"/>
      <c r="HQ1973" s="20"/>
      <c r="HR1973" s="20"/>
      <c r="HS1973" s="20"/>
      <c r="HT1973" s="20"/>
      <c r="HU1973" s="20"/>
      <c r="HV1973" s="20"/>
      <c r="HW1973" s="20"/>
      <c r="HX1973" s="20"/>
      <c r="HY1973" s="20"/>
      <c r="HZ1973" s="20"/>
      <c r="IA1973" s="20"/>
      <c r="IB1973" s="20"/>
      <c r="IC1973" s="20"/>
      <c r="ID1973" s="20"/>
      <c r="IE1973" s="20"/>
      <c r="IF1973" s="20"/>
      <c r="IG1973" s="20"/>
      <c r="IH1973" s="20"/>
      <c r="II1973" s="20"/>
      <c r="IJ1973" s="20"/>
      <c r="IK1973" s="20"/>
      <c r="IL1973" s="20"/>
      <c r="IM1973" s="20"/>
      <c r="IN1973" s="20"/>
      <c r="IO1973" s="20"/>
    </row>
    <row r="1974" spans="1:249" s="22" customFormat="1" ht="49.5">
      <c r="A1974" s="794"/>
      <c r="B1974" s="840"/>
      <c r="C1974" s="841">
        <v>4</v>
      </c>
      <c r="D1974" s="841" t="s">
        <v>34</v>
      </c>
      <c r="E1974" s="841" t="s">
        <v>25</v>
      </c>
      <c r="F1974" s="841" t="s">
        <v>54</v>
      </c>
      <c r="G1974" s="841">
        <v>26</v>
      </c>
      <c r="H1974" s="841"/>
      <c r="I1974" s="844" t="s">
        <v>1877</v>
      </c>
      <c r="J1974" s="844" t="s">
        <v>3382</v>
      </c>
      <c r="K1974" s="1902">
        <v>72</v>
      </c>
      <c r="L1974" s="1908">
        <v>900000000</v>
      </c>
      <c r="M1974" s="1903">
        <v>36</v>
      </c>
      <c r="N1974" s="1904">
        <f>111455774+137666254+60349357</f>
        <v>309471385</v>
      </c>
      <c r="O1974" s="1902">
        <v>12</v>
      </c>
      <c r="P1974" s="1905">
        <v>102700000</v>
      </c>
      <c r="Q1974" s="1903">
        <f>O1974/4</f>
        <v>3</v>
      </c>
      <c r="R1974" s="1904">
        <v>9293700</v>
      </c>
      <c r="S1974" s="795">
        <v>3</v>
      </c>
      <c r="T1974" s="2683">
        <v>36681700</v>
      </c>
      <c r="U1974" s="795"/>
      <c r="V1974" s="1906"/>
      <c r="W1974" s="795"/>
      <c r="X1974" s="1906"/>
      <c r="Y1974" s="1903">
        <f t="shared" ref="Y1974:Y1979" si="585">Q1974+S1974+U1974+W1974</f>
        <v>6</v>
      </c>
      <c r="Z1974" s="1906">
        <f t="shared" si="583"/>
        <v>45975400</v>
      </c>
      <c r="AA1974" s="1903">
        <f t="shared" si="578"/>
        <v>42</v>
      </c>
      <c r="AB1974" s="1906">
        <f t="shared" si="579"/>
        <v>355446785</v>
      </c>
      <c r="AC1974" s="1907">
        <f t="shared" si="580"/>
        <v>58.333333333333336</v>
      </c>
      <c r="AD1974" s="1907">
        <f t="shared" si="581"/>
        <v>39.494087222222227</v>
      </c>
      <c r="AE1974" s="102" t="s">
        <v>1989</v>
      </c>
      <c r="AF1974" s="201"/>
      <c r="AG1974" s="201"/>
      <c r="AH1974" s="201"/>
      <c r="AI1974" s="201"/>
      <c r="AJ1974" s="201"/>
      <c r="AK1974" s="201"/>
      <c r="AL1974" s="201"/>
      <c r="AM1974" s="201"/>
      <c r="AN1974" s="201"/>
      <c r="AO1974" s="201"/>
      <c r="AP1974" s="201"/>
      <c r="AQ1974" s="201"/>
      <c r="AR1974" s="201"/>
      <c r="AS1974" s="201"/>
      <c r="AT1974" s="201"/>
      <c r="AU1974" s="201"/>
      <c r="AV1974" s="201"/>
      <c r="AW1974" s="201"/>
      <c r="AX1974" s="201"/>
      <c r="AY1974" s="201"/>
      <c r="AZ1974" s="201"/>
      <c r="BA1974" s="201"/>
      <c r="BB1974" s="201"/>
      <c r="BC1974" s="20"/>
      <c r="BD1974" s="20"/>
      <c r="BE1974" s="20"/>
      <c r="BF1974" s="20"/>
      <c r="BG1974" s="20"/>
      <c r="BH1974" s="20"/>
      <c r="BI1974" s="20"/>
      <c r="BJ1974" s="20"/>
      <c r="BK1974" s="20"/>
      <c r="BL1974" s="20"/>
      <c r="BM1974" s="20"/>
      <c r="BN1974" s="20"/>
      <c r="BO1974" s="20"/>
      <c r="BP1974" s="20"/>
      <c r="BQ1974" s="20"/>
      <c r="BR1974" s="20"/>
      <c r="BS1974" s="20"/>
      <c r="BT1974" s="20"/>
      <c r="BU1974" s="20"/>
      <c r="BV1974" s="20"/>
      <c r="BW1974" s="20"/>
      <c r="BX1974" s="20"/>
      <c r="BY1974" s="20"/>
      <c r="BZ1974" s="20"/>
      <c r="CA1974" s="20"/>
      <c r="CB1974" s="20"/>
      <c r="CC1974" s="20"/>
      <c r="CD1974" s="20"/>
      <c r="CE1974" s="20"/>
      <c r="CF1974" s="20"/>
      <c r="CG1974" s="20"/>
      <c r="CH1974" s="20"/>
      <c r="CI1974" s="20"/>
      <c r="CJ1974" s="20"/>
      <c r="CK1974" s="20"/>
      <c r="CL1974" s="20"/>
      <c r="CM1974" s="20"/>
      <c r="CN1974" s="20"/>
      <c r="CO1974" s="20"/>
      <c r="CP1974" s="20"/>
      <c r="CQ1974" s="20"/>
      <c r="CR1974" s="20"/>
      <c r="CS1974" s="20"/>
      <c r="CT1974" s="20"/>
      <c r="CU1974" s="20"/>
      <c r="CV1974" s="20"/>
      <c r="CW1974" s="20"/>
      <c r="CX1974" s="20"/>
      <c r="CY1974" s="20"/>
      <c r="CZ1974" s="20"/>
      <c r="DA1974" s="20"/>
      <c r="DB1974" s="20"/>
      <c r="DC1974" s="20"/>
      <c r="DD1974" s="20"/>
      <c r="DE1974" s="20"/>
      <c r="DF1974" s="20"/>
      <c r="DG1974" s="20"/>
      <c r="DH1974" s="20"/>
      <c r="DI1974" s="20"/>
      <c r="DJ1974" s="20"/>
      <c r="DK1974" s="20"/>
      <c r="DL1974" s="20"/>
      <c r="DM1974" s="20"/>
      <c r="DN1974" s="20"/>
      <c r="DO1974" s="20"/>
      <c r="DP1974" s="20"/>
      <c r="DQ1974" s="20"/>
      <c r="DR1974" s="20"/>
      <c r="DS1974" s="20"/>
      <c r="DT1974" s="20"/>
      <c r="DU1974" s="20"/>
      <c r="DV1974" s="20"/>
      <c r="DW1974" s="20"/>
      <c r="DX1974" s="20"/>
      <c r="DY1974" s="20"/>
      <c r="DZ1974" s="20"/>
      <c r="EA1974" s="20"/>
      <c r="EB1974" s="20"/>
      <c r="EC1974" s="20"/>
      <c r="ED1974" s="20"/>
      <c r="EE1974" s="20"/>
      <c r="EF1974" s="20"/>
      <c r="EG1974" s="20"/>
      <c r="EH1974" s="20"/>
      <c r="EI1974" s="20"/>
      <c r="EJ1974" s="20"/>
      <c r="EK1974" s="20"/>
      <c r="EL1974" s="20"/>
      <c r="EM1974" s="20"/>
      <c r="EN1974" s="20"/>
      <c r="EO1974" s="20"/>
      <c r="EP1974" s="20"/>
      <c r="EQ1974" s="20"/>
      <c r="ER1974" s="20"/>
      <c r="ES1974" s="20"/>
      <c r="ET1974" s="20"/>
      <c r="EU1974" s="20"/>
      <c r="EV1974" s="20"/>
      <c r="EW1974" s="20"/>
      <c r="EX1974" s="20"/>
      <c r="EY1974" s="20"/>
      <c r="EZ1974" s="20"/>
      <c r="FA1974" s="20"/>
      <c r="FB1974" s="20"/>
      <c r="FC1974" s="20"/>
      <c r="FD1974" s="20"/>
      <c r="FE1974" s="20"/>
      <c r="FF1974" s="20"/>
      <c r="FG1974" s="20"/>
      <c r="FH1974" s="20"/>
      <c r="FI1974" s="20"/>
      <c r="FJ1974" s="20"/>
      <c r="FK1974" s="20"/>
      <c r="FL1974" s="20"/>
      <c r="FM1974" s="20"/>
      <c r="FN1974" s="20"/>
      <c r="FO1974" s="20"/>
      <c r="FP1974" s="20"/>
      <c r="FQ1974" s="20"/>
      <c r="FR1974" s="20"/>
      <c r="FS1974" s="20"/>
      <c r="FT1974" s="20"/>
      <c r="FU1974" s="20"/>
      <c r="FV1974" s="20"/>
      <c r="FW1974" s="20"/>
      <c r="FX1974" s="20"/>
      <c r="FY1974" s="20"/>
      <c r="FZ1974" s="20"/>
      <c r="GA1974" s="20"/>
      <c r="GB1974" s="20"/>
      <c r="GC1974" s="20"/>
      <c r="GD1974" s="20"/>
      <c r="GE1974" s="20"/>
      <c r="GF1974" s="20"/>
      <c r="GG1974" s="20"/>
      <c r="GH1974" s="20"/>
      <c r="GI1974" s="20"/>
      <c r="GJ1974" s="20"/>
      <c r="GK1974" s="20"/>
      <c r="GL1974" s="20"/>
      <c r="GM1974" s="20"/>
      <c r="GN1974" s="20"/>
      <c r="GO1974" s="20"/>
      <c r="GP1974" s="20"/>
      <c r="GQ1974" s="20"/>
      <c r="GR1974" s="20"/>
      <c r="GS1974" s="20"/>
      <c r="GT1974" s="20"/>
      <c r="GU1974" s="20"/>
      <c r="GV1974" s="20"/>
      <c r="GW1974" s="20"/>
      <c r="GX1974" s="20"/>
      <c r="GY1974" s="20"/>
      <c r="GZ1974" s="20"/>
      <c r="HA1974" s="20"/>
      <c r="HB1974" s="20"/>
      <c r="HC1974" s="20"/>
      <c r="HD1974" s="20"/>
      <c r="HE1974" s="20"/>
      <c r="HF1974" s="20"/>
      <c r="HG1974" s="20"/>
      <c r="HH1974" s="20"/>
      <c r="HI1974" s="20"/>
      <c r="HJ1974" s="20"/>
      <c r="HK1974" s="20"/>
      <c r="HL1974" s="20"/>
      <c r="HM1974" s="20"/>
      <c r="HN1974" s="20"/>
      <c r="HO1974" s="20"/>
      <c r="HP1974" s="20"/>
      <c r="HQ1974" s="20"/>
      <c r="HR1974" s="20"/>
      <c r="HS1974" s="20"/>
      <c r="HT1974" s="20"/>
      <c r="HU1974" s="20"/>
      <c r="HV1974" s="20"/>
      <c r="HW1974" s="20"/>
      <c r="HX1974" s="20"/>
      <c r="HY1974" s="20"/>
      <c r="HZ1974" s="20"/>
      <c r="IA1974" s="20"/>
      <c r="IB1974" s="20"/>
      <c r="IC1974" s="20"/>
      <c r="ID1974" s="20"/>
      <c r="IE1974" s="20"/>
      <c r="IF1974" s="20"/>
      <c r="IG1974" s="20"/>
      <c r="IH1974" s="20"/>
      <c r="II1974" s="20"/>
      <c r="IJ1974" s="20"/>
      <c r="IK1974" s="20"/>
      <c r="IL1974" s="20"/>
      <c r="IM1974" s="20"/>
      <c r="IN1974" s="20"/>
      <c r="IO1974" s="20"/>
    </row>
    <row r="1975" spans="1:249" s="22" customFormat="1" ht="49.5">
      <c r="A1975" s="794"/>
      <c r="B1975" s="840"/>
      <c r="C1975" s="841">
        <v>4</v>
      </c>
      <c r="D1975" s="841" t="s">
        <v>34</v>
      </c>
      <c r="E1975" s="841" t="s">
        <v>25</v>
      </c>
      <c r="F1975" s="841" t="s">
        <v>54</v>
      </c>
      <c r="G1975" s="841">
        <v>27</v>
      </c>
      <c r="H1975" s="841"/>
      <c r="I1975" s="844" t="s">
        <v>1878</v>
      </c>
      <c r="J1975" s="844" t="s">
        <v>3383</v>
      </c>
      <c r="K1975" s="1902">
        <f>12*6</f>
        <v>72</v>
      </c>
      <c r="L1975" s="1908">
        <v>900000000</v>
      </c>
      <c r="M1975" s="1903">
        <v>36</v>
      </c>
      <c r="N1975" s="1904">
        <f>115713381+134311484+69525798</f>
        <v>319550663</v>
      </c>
      <c r="O1975" s="1902">
        <v>12</v>
      </c>
      <c r="P1975" s="1905">
        <v>85750000</v>
      </c>
      <c r="Q1975" s="1903">
        <f>O1975/4</f>
        <v>3</v>
      </c>
      <c r="R1975" s="1904">
        <v>11973470</v>
      </c>
      <c r="S1975" s="795">
        <v>3</v>
      </c>
      <c r="T1975" s="2682">
        <v>39986370</v>
      </c>
      <c r="U1975" s="795"/>
      <c r="V1975" s="1906"/>
      <c r="W1975" s="795"/>
      <c r="X1975" s="1906"/>
      <c r="Y1975" s="1903">
        <f t="shared" si="585"/>
        <v>6</v>
      </c>
      <c r="Z1975" s="1906">
        <f t="shared" si="583"/>
        <v>51959840</v>
      </c>
      <c r="AA1975" s="1903">
        <f t="shared" si="578"/>
        <v>42</v>
      </c>
      <c r="AB1975" s="1906">
        <f t="shared" si="579"/>
        <v>371510503</v>
      </c>
      <c r="AC1975" s="1907">
        <f t="shared" si="580"/>
        <v>58.333333333333336</v>
      </c>
      <c r="AD1975" s="1907">
        <f t="shared" si="581"/>
        <v>41.278944777777774</v>
      </c>
      <c r="AE1975" s="102" t="s">
        <v>1990</v>
      </c>
      <c r="AF1975" s="201"/>
      <c r="AG1975" s="201"/>
      <c r="AH1975" s="201"/>
      <c r="AI1975" s="201"/>
      <c r="AJ1975" s="201"/>
      <c r="AK1975" s="201"/>
      <c r="AL1975" s="201"/>
      <c r="AM1975" s="201"/>
      <c r="AN1975" s="201"/>
      <c r="AO1975" s="201"/>
      <c r="AP1975" s="201"/>
      <c r="AQ1975" s="201"/>
      <c r="AR1975" s="201"/>
      <c r="AS1975" s="201"/>
      <c r="AT1975" s="201"/>
      <c r="AU1975" s="201"/>
      <c r="AV1975" s="201"/>
      <c r="AW1975" s="201"/>
      <c r="AX1975" s="201"/>
      <c r="AY1975" s="201"/>
      <c r="AZ1975" s="201"/>
      <c r="BA1975" s="201"/>
      <c r="BB1975" s="201"/>
      <c r="BC1975" s="20"/>
      <c r="BD1975" s="20"/>
      <c r="BE1975" s="20"/>
      <c r="BF1975" s="20"/>
      <c r="BG1975" s="20"/>
      <c r="BH1975" s="20"/>
      <c r="BI1975" s="20"/>
      <c r="BJ1975" s="20"/>
      <c r="BK1975" s="20"/>
      <c r="BL1975" s="20"/>
      <c r="BM1975" s="20"/>
      <c r="BN1975" s="20"/>
      <c r="BO1975" s="20"/>
      <c r="BP1975" s="20"/>
      <c r="BQ1975" s="20"/>
      <c r="BR1975" s="20"/>
      <c r="BS1975" s="20"/>
      <c r="BT1975" s="20"/>
      <c r="BU1975" s="20"/>
      <c r="BV1975" s="20"/>
      <c r="BW1975" s="20"/>
      <c r="BX1975" s="20"/>
      <c r="BY1975" s="20"/>
      <c r="BZ1975" s="20"/>
      <c r="CA1975" s="20"/>
      <c r="CB1975" s="20"/>
      <c r="CC1975" s="20"/>
      <c r="CD1975" s="20"/>
      <c r="CE1975" s="20"/>
      <c r="CF1975" s="20"/>
      <c r="CG1975" s="20"/>
      <c r="CH1975" s="20"/>
      <c r="CI1975" s="20"/>
      <c r="CJ1975" s="20"/>
      <c r="CK1975" s="20"/>
      <c r="CL1975" s="20"/>
      <c r="CM1975" s="20"/>
      <c r="CN1975" s="20"/>
      <c r="CO1975" s="20"/>
      <c r="CP1975" s="20"/>
      <c r="CQ1975" s="20"/>
      <c r="CR1975" s="20"/>
      <c r="CS1975" s="20"/>
      <c r="CT1975" s="20"/>
      <c r="CU1975" s="20"/>
      <c r="CV1975" s="20"/>
      <c r="CW1975" s="20"/>
      <c r="CX1975" s="20"/>
      <c r="CY1975" s="20"/>
      <c r="CZ1975" s="20"/>
      <c r="DA1975" s="20"/>
      <c r="DB1975" s="20"/>
      <c r="DC1975" s="20"/>
      <c r="DD1975" s="20"/>
      <c r="DE1975" s="20"/>
      <c r="DF1975" s="20"/>
      <c r="DG1975" s="20"/>
      <c r="DH1975" s="20"/>
      <c r="DI1975" s="20"/>
      <c r="DJ1975" s="20"/>
      <c r="DK1975" s="20"/>
      <c r="DL1975" s="20"/>
      <c r="DM1975" s="20"/>
      <c r="DN1975" s="20"/>
      <c r="DO1975" s="20"/>
      <c r="DP1975" s="20"/>
      <c r="DQ1975" s="20"/>
      <c r="DR1975" s="20"/>
      <c r="DS1975" s="20"/>
      <c r="DT1975" s="20"/>
      <c r="DU1975" s="20"/>
      <c r="DV1975" s="20"/>
      <c r="DW1975" s="20"/>
      <c r="DX1975" s="20"/>
      <c r="DY1975" s="20"/>
      <c r="DZ1975" s="20"/>
      <c r="EA1975" s="20"/>
      <c r="EB1975" s="20"/>
      <c r="EC1975" s="20"/>
      <c r="ED1975" s="20"/>
      <c r="EE1975" s="20"/>
      <c r="EF1975" s="20"/>
      <c r="EG1975" s="20"/>
      <c r="EH1975" s="20"/>
      <c r="EI1975" s="20"/>
      <c r="EJ1975" s="20"/>
      <c r="EK1975" s="20"/>
      <c r="EL1975" s="20"/>
      <c r="EM1975" s="20"/>
      <c r="EN1975" s="20"/>
      <c r="EO1975" s="20"/>
      <c r="EP1975" s="20"/>
      <c r="EQ1975" s="20"/>
      <c r="ER1975" s="20"/>
      <c r="ES1975" s="20"/>
      <c r="ET1975" s="20"/>
      <c r="EU1975" s="20"/>
      <c r="EV1975" s="20"/>
      <c r="EW1975" s="20"/>
      <c r="EX1975" s="20"/>
      <c r="EY1975" s="20"/>
      <c r="EZ1975" s="20"/>
      <c r="FA1975" s="20"/>
      <c r="FB1975" s="20"/>
      <c r="FC1975" s="20"/>
      <c r="FD1975" s="20"/>
      <c r="FE1975" s="20"/>
      <c r="FF1975" s="20"/>
      <c r="FG1975" s="20"/>
      <c r="FH1975" s="20"/>
      <c r="FI1975" s="20"/>
      <c r="FJ1975" s="20"/>
      <c r="FK1975" s="20"/>
      <c r="FL1975" s="20"/>
      <c r="FM1975" s="20"/>
      <c r="FN1975" s="20"/>
      <c r="FO1975" s="20"/>
      <c r="FP1975" s="20"/>
      <c r="FQ1975" s="20"/>
      <c r="FR1975" s="20"/>
      <c r="FS1975" s="20"/>
      <c r="FT1975" s="20"/>
      <c r="FU1975" s="20"/>
      <c r="FV1975" s="20"/>
      <c r="FW1975" s="20"/>
      <c r="FX1975" s="20"/>
      <c r="FY1975" s="20"/>
      <c r="FZ1975" s="20"/>
      <c r="GA1975" s="20"/>
      <c r="GB1975" s="20"/>
      <c r="GC1975" s="20"/>
      <c r="GD1975" s="20"/>
      <c r="GE1975" s="20"/>
      <c r="GF1975" s="20"/>
      <c r="GG1975" s="20"/>
      <c r="GH1975" s="20"/>
      <c r="GI1975" s="20"/>
      <c r="GJ1975" s="20"/>
      <c r="GK1975" s="20"/>
      <c r="GL1975" s="20"/>
      <c r="GM1975" s="20"/>
      <c r="GN1975" s="20"/>
      <c r="GO1975" s="20"/>
      <c r="GP1975" s="20"/>
      <c r="GQ1975" s="20"/>
      <c r="GR1975" s="20"/>
      <c r="GS1975" s="20"/>
      <c r="GT1975" s="20"/>
      <c r="GU1975" s="20"/>
      <c r="GV1975" s="20"/>
      <c r="GW1975" s="20"/>
      <c r="GX1975" s="20"/>
      <c r="GY1975" s="20"/>
      <c r="GZ1975" s="20"/>
      <c r="HA1975" s="20"/>
      <c r="HB1975" s="20"/>
      <c r="HC1975" s="20"/>
      <c r="HD1975" s="20"/>
      <c r="HE1975" s="20"/>
      <c r="HF1975" s="20"/>
      <c r="HG1975" s="20"/>
      <c r="HH1975" s="20"/>
      <c r="HI1975" s="20"/>
      <c r="HJ1975" s="20"/>
      <c r="HK1975" s="20"/>
      <c r="HL1975" s="20"/>
      <c r="HM1975" s="20"/>
      <c r="HN1975" s="20"/>
      <c r="HO1975" s="20"/>
      <c r="HP1975" s="20"/>
      <c r="HQ1975" s="20"/>
      <c r="HR1975" s="20"/>
      <c r="HS1975" s="20"/>
      <c r="HT1975" s="20"/>
      <c r="HU1975" s="20"/>
      <c r="HV1975" s="20"/>
      <c r="HW1975" s="20"/>
      <c r="HX1975" s="20"/>
      <c r="HY1975" s="20"/>
      <c r="HZ1975" s="20"/>
      <c r="IA1975" s="20"/>
      <c r="IB1975" s="20"/>
      <c r="IC1975" s="20"/>
      <c r="ID1975" s="20"/>
      <c r="IE1975" s="20"/>
      <c r="IF1975" s="20"/>
      <c r="IG1975" s="20"/>
      <c r="IH1975" s="20"/>
      <c r="II1975" s="20"/>
      <c r="IJ1975" s="20"/>
      <c r="IK1975" s="20"/>
      <c r="IL1975" s="20"/>
      <c r="IM1975" s="20"/>
      <c r="IN1975" s="20"/>
      <c r="IO1975" s="20"/>
    </row>
    <row r="1976" spans="1:249" s="22" customFormat="1" ht="66">
      <c r="A1976" s="794"/>
      <c r="B1976" s="840"/>
      <c r="C1976" s="841">
        <v>4</v>
      </c>
      <c r="D1976" s="841" t="s">
        <v>34</v>
      </c>
      <c r="E1976" s="841" t="s">
        <v>25</v>
      </c>
      <c r="F1976" s="841" t="s">
        <v>54</v>
      </c>
      <c r="G1976" s="841">
        <v>28</v>
      </c>
      <c r="H1976" s="841"/>
      <c r="I1976" s="844" t="s">
        <v>1879</v>
      </c>
      <c r="J1976" s="844" t="s">
        <v>3384</v>
      </c>
      <c r="K1976" s="1902">
        <v>72</v>
      </c>
      <c r="L1976" s="1212">
        <v>900000000</v>
      </c>
      <c r="M1976" s="1903">
        <v>36</v>
      </c>
      <c r="N1976" s="1904">
        <f>125581620+137300561+70044836</f>
        <v>332927017</v>
      </c>
      <c r="O1976" s="1902">
        <v>12</v>
      </c>
      <c r="P1976" s="1905">
        <v>89500000</v>
      </c>
      <c r="Q1976" s="1903">
        <f>O1976/4</f>
        <v>3</v>
      </c>
      <c r="R1976" s="1904">
        <v>12930000</v>
      </c>
      <c r="S1976" s="795">
        <v>3</v>
      </c>
      <c r="T1976" s="2683">
        <v>18794700</v>
      </c>
      <c r="U1976" s="795"/>
      <c r="V1976" s="1906"/>
      <c r="W1976" s="795"/>
      <c r="X1976" s="1906"/>
      <c r="Y1976" s="1903">
        <f t="shared" si="585"/>
        <v>6</v>
      </c>
      <c r="Z1976" s="1906">
        <f t="shared" si="583"/>
        <v>31724700</v>
      </c>
      <c r="AA1976" s="1903">
        <f t="shared" si="578"/>
        <v>42</v>
      </c>
      <c r="AB1976" s="1906">
        <f t="shared" si="579"/>
        <v>364651717</v>
      </c>
      <c r="AC1976" s="1907">
        <f t="shared" si="580"/>
        <v>58.333333333333336</v>
      </c>
      <c r="AD1976" s="1907">
        <f t="shared" si="581"/>
        <v>40.51685744444444</v>
      </c>
      <c r="AE1976" s="102" t="s">
        <v>1991</v>
      </c>
      <c r="AF1976" s="201"/>
      <c r="AG1976" s="201"/>
      <c r="AH1976" s="201"/>
      <c r="AI1976" s="201"/>
      <c r="AJ1976" s="201"/>
      <c r="AK1976" s="201"/>
      <c r="AL1976" s="201"/>
      <c r="AM1976" s="201"/>
      <c r="AN1976" s="201"/>
      <c r="AO1976" s="201"/>
      <c r="AP1976" s="201"/>
      <c r="AQ1976" s="201"/>
      <c r="AR1976" s="201"/>
      <c r="AS1976" s="201"/>
      <c r="AT1976" s="201"/>
      <c r="AU1976" s="201"/>
      <c r="AV1976" s="201"/>
      <c r="AW1976" s="201"/>
      <c r="AX1976" s="201"/>
      <c r="AY1976" s="201"/>
      <c r="AZ1976" s="201"/>
      <c r="BA1976" s="201"/>
      <c r="BB1976" s="201"/>
      <c r="BC1976" s="20"/>
      <c r="BD1976" s="20"/>
      <c r="BE1976" s="20"/>
      <c r="BF1976" s="20"/>
      <c r="BG1976" s="20"/>
      <c r="BH1976" s="20"/>
      <c r="BI1976" s="20"/>
      <c r="BJ1976" s="20"/>
      <c r="BK1976" s="20"/>
      <c r="BL1976" s="20"/>
      <c r="BM1976" s="20"/>
      <c r="BN1976" s="20"/>
      <c r="BO1976" s="20"/>
      <c r="BP1976" s="20"/>
      <c r="BQ1976" s="20"/>
      <c r="BR1976" s="20"/>
      <c r="BS1976" s="20"/>
      <c r="BT1976" s="20"/>
      <c r="BU1976" s="20"/>
      <c r="BV1976" s="20"/>
      <c r="BW1976" s="20"/>
      <c r="BX1976" s="20"/>
      <c r="BY1976" s="20"/>
      <c r="BZ1976" s="20"/>
      <c r="CA1976" s="20"/>
      <c r="CB1976" s="20"/>
      <c r="CC1976" s="20"/>
      <c r="CD1976" s="20"/>
      <c r="CE1976" s="20"/>
      <c r="CF1976" s="20"/>
      <c r="CG1976" s="20"/>
      <c r="CH1976" s="20"/>
      <c r="CI1976" s="20"/>
      <c r="CJ1976" s="20"/>
      <c r="CK1976" s="20"/>
      <c r="CL1976" s="20"/>
      <c r="CM1976" s="20"/>
      <c r="CN1976" s="20"/>
      <c r="CO1976" s="20"/>
      <c r="CP1976" s="20"/>
      <c r="CQ1976" s="20"/>
      <c r="CR1976" s="20"/>
      <c r="CS1976" s="20"/>
      <c r="CT1976" s="20"/>
      <c r="CU1976" s="20"/>
      <c r="CV1976" s="20"/>
      <c r="CW1976" s="20"/>
      <c r="CX1976" s="20"/>
      <c r="CY1976" s="20"/>
      <c r="CZ1976" s="20"/>
      <c r="DA1976" s="20"/>
      <c r="DB1976" s="20"/>
      <c r="DC1976" s="20"/>
      <c r="DD1976" s="20"/>
      <c r="DE1976" s="20"/>
      <c r="DF1976" s="20"/>
      <c r="DG1976" s="20"/>
      <c r="DH1976" s="20"/>
      <c r="DI1976" s="20"/>
      <c r="DJ1976" s="20"/>
      <c r="DK1976" s="20"/>
      <c r="DL1976" s="20"/>
      <c r="DM1976" s="20"/>
      <c r="DN1976" s="20"/>
      <c r="DO1976" s="20"/>
      <c r="DP1976" s="20"/>
      <c r="DQ1976" s="20"/>
      <c r="DR1976" s="20"/>
      <c r="DS1976" s="20"/>
      <c r="DT1976" s="20"/>
      <c r="DU1976" s="20"/>
      <c r="DV1976" s="20"/>
      <c r="DW1976" s="20"/>
      <c r="DX1976" s="20"/>
      <c r="DY1976" s="20"/>
      <c r="DZ1976" s="20"/>
      <c r="EA1976" s="20"/>
      <c r="EB1976" s="20"/>
      <c r="EC1976" s="20"/>
      <c r="ED1976" s="20"/>
      <c r="EE1976" s="20"/>
      <c r="EF1976" s="20"/>
      <c r="EG1976" s="20"/>
      <c r="EH1976" s="20"/>
      <c r="EI1976" s="20"/>
      <c r="EJ1976" s="20"/>
      <c r="EK1976" s="20"/>
      <c r="EL1976" s="20"/>
      <c r="EM1976" s="20"/>
      <c r="EN1976" s="20"/>
      <c r="EO1976" s="20"/>
      <c r="EP1976" s="20"/>
      <c r="EQ1976" s="20"/>
      <c r="ER1976" s="20"/>
      <c r="ES1976" s="20"/>
      <c r="ET1976" s="20"/>
      <c r="EU1976" s="20"/>
      <c r="EV1976" s="20"/>
      <c r="EW1976" s="20"/>
      <c r="EX1976" s="20"/>
      <c r="EY1976" s="20"/>
      <c r="EZ1976" s="20"/>
      <c r="FA1976" s="20"/>
      <c r="FB1976" s="20"/>
      <c r="FC1976" s="20"/>
      <c r="FD1976" s="20"/>
      <c r="FE1976" s="20"/>
      <c r="FF1976" s="20"/>
      <c r="FG1976" s="20"/>
      <c r="FH1976" s="20"/>
      <c r="FI1976" s="20"/>
      <c r="FJ1976" s="20"/>
      <c r="FK1976" s="20"/>
      <c r="FL1976" s="20"/>
      <c r="FM1976" s="20"/>
      <c r="FN1976" s="20"/>
      <c r="FO1976" s="20"/>
      <c r="FP1976" s="20"/>
      <c r="FQ1976" s="20"/>
      <c r="FR1976" s="20"/>
      <c r="FS1976" s="20"/>
      <c r="FT1976" s="20"/>
      <c r="FU1976" s="20"/>
      <c r="FV1976" s="20"/>
      <c r="FW1976" s="20"/>
      <c r="FX1976" s="20"/>
      <c r="FY1976" s="20"/>
      <c r="FZ1976" s="20"/>
      <c r="GA1976" s="20"/>
      <c r="GB1976" s="20"/>
      <c r="GC1976" s="20"/>
      <c r="GD1976" s="20"/>
      <c r="GE1976" s="20"/>
      <c r="GF1976" s="20"/>
      <c r="GG1976" s="20"/>
      <c r="GH1976" s="20"/>
      <c r="GI1976" s="20"/>
      <c r="GJ1976" s="20"/>
      <c r="GK1976" s="20"/>
      <c r="GL1976" s="20"/>
      <c r="GM1976" s="20"/>
      <c r="GN1976" s="20"/>
      <c r="GO1976" s="20"/>
      <c r="GP1976" s="20"/>
      <c r="GQ1976" s="20"/>
      <c r="GR1976" s="20"/>
      <c r="GS1976" s="20"/>
      <c r="GT1976" s="20"/>
      <c r="GU1976" s="20"/>
      <c r="GV1976" s="20"/>
      <c r="GW1976" s="20"/>
      <c r="GX1976" s="20"/>
      <c r="GY1976" s="20"/>
      <c r="GZ1976" s="20"/>
      <c r="HA1976" s="20"/>
      <c r="HB1976" s="20"/>
      <c r="HC1976" s="20"/>
      <c r="HD1976" s="20"/>
      <c r="HE1976" s="20"/>
      <c r="HF1976" s="20"/>
      <c r="HG1976" s="20"/>
      <c r="HH1976" s="20"/>
      <c r="HI1976" s="20"/>
      <c r="HJ1976" s="20"/>
      <c r="HK1976" s="20"/>
      <c r="HL1976" s="20"/>
      <c r="HM1976" s="20"/>
      <c r="HN1976" s="20"/>
      <c r="HO1976" s="20"/>
      <c r="HP1976" s="20"/>
      <c r="HQ1976" s="20"/>
      <c r="HR1976" s="20"/>
      <c r="HS1976" s="20"/>
      <c r="HT1976" s="20"/>
      <c r="HU1976" s="20"/>
      <c r="HV1976" s="20"/>
      <c r="HW1976" s="20"/>
      <c r="HX1976" s="20"/>
      <c r="HY1976" s="20"/>
      <c r="HZ1976" s="20"/>
      <c r="IA1976" s="20"/>
      <c r="IB1976" s="20"/>
      <c r="IC1976" s="20"/>
      <c r="ID1976" s="20"/>
      <c r="IE1976" s="20"/>
      <c r="IF1976" s="20"/>
      <c r="IG1976" s="20"/>
      <c r="IH1976" s="20"/>
      <c r="II1976" s="20"/>
      <c r="IJ1976" s="20"/>
      <c r="IK1976" s="20"/>
      <c r="IL1976" s="20"/>
      <c r="IM1976" s="20"/>
      <c r="IN1976" s="20"/>
      <c r="IO1976" s="20"/>
    </row>
    <row r="1977" spans="1:249" s="22" customFormat="1" ht="99">
      <c r="A1977" s="794"/>
      <c r="B1977" s="840"/>
      <c r="C1977" s="841">
        <v>4</v>
      </c>
      <c r="D1977" s="841" t="s">
        <v>34</v>
      </c>
      <c r="E1977" s="841" t="s">
        <v>25</v>
      </c>
      <c r="F1977" s="841" t="s">
        <v>54</v>
      </c>
      <c r="G1977" s="841">
        <v>30</v>
      </c>
      <c r="H1977" s="841"/>
      <c r="I1977" s="6" t="s">
        <v>1880</v>
      </c>
      <c r="J1977" s="6" t="s">
        <v>3385</v>
      </c>
      <c r="K1977" s="1902">
        <v>72</v>
      </c>
      <c r="L1977" s="1908">
        <f>2*N1977</f>
        <v>384031736</v>
      </c>
      <c r="M1977" s="1903">
        <v>12</v>
      </c>
      <c r="N1977" s="1904">
        <f>62549618+54806400+74659850</f>
        <v>192015868</v>
      </c>
      <c r="O1977" s="1902">
        <v>4</v>
      </c>
      <c r="P1977" s="1905">
        <v>59278200</v>
      </c>
      <c r="Q1977" s="1903">
        <f>O1977/4</f>
        <v>1</v>
      </c>
      <c r="R1977" s="1904">
        <v>6363500</v>
      </c>
      <c r="S1977" s="795">
        <v>3</v>
      </c>
      <c r="T1977" s="2683">
        <v>19679250</v>
      </c>
      <c r="U1977" s="795"/>
      <c r="V1977" s="1906"/>
      <c r="W1977" s="795"/>
      <c r="X1977" s="1906"/>
      <c r="Y1977" s="1903">
        <f t="shared" si="585"/>
        <v>4</v>
      </c>
      <c r="Z1977" s="1906">
        <f t="shared" si="583"/>
        <v>26042750</v>
      </c>
      <c r="AA1977" s="1903">
        <f t="shared" si="578"/>
        <v>16</v>
      </c>
      <c r="AB1977" s="1906">
        <f t="shared" si="579"/>
        <v>218058618</v>
      </c>
      <c r="AC1977" s="1907">
        <f t="shared" si="580"/>
        <v>22.222222222222221</v>
      </c>
      <c r="AD1977" s="1907">
        <f t="shared" si="581"/>
        <v>56.781405690908841</v>
      </c>
      <c r="AE1977" s="102" t="s">
        <v>1992</v>
      </c>
      <c r="AF1977" s="201"/>
      <c r="AG1977" s="201"/>
      <c r="AH1977" s="201"/>
      <c r="AI1977" s="201"/>
      <c r="AJ1977" s="201"/>
      <c r="AK1977" s="201"/>
      <c r="AL1977" s="201"/>
      <c r="AM1977" s="201"/>
      <c r="AN1977" s="201"/>
      <c r="AO1977" s="201"/>
      <c r="AP1977" s="201"/>
      <c r="AQ1977" s="201"/>
      <c r="AR1977" s="201"/>
      <c r="AS1977" s="201"/>
      <c r="AT1977" s="201"/>
      <c r="AU1977" s="201"/>
      <c r="AV1977" s="201"/>
      <c r="AW1977" s="201"/>
      <c r="AX1977" s="201"/>
      <c r="AY1977" s="201"/>
      <c r="AZ1977" s="201"/>
      <c r="BA1977" s="201"/>
      <c r="BB1977" s="201"/>
      <c r="BC1977" s="20"/>
      <c r="BD1977" s="20"/>
      <c r="BE1977" s="20"/>
      <c r="BF1977" s="20"/>
      <c r="BG1977" s="20"/>
      <c r="BH1977" s="20"/>
      <c r="BI1977" s="20"/>
      <c r="BJ1977" s="20"/>
      <c r="BK1977" s="20"/>
      <c r="BL1977" s="20"/>
      <c r="BM1977" s="20"/>
      <c r="BN1977" s="20"/>
      <c r="BO1977" s="20"/>
      <c r="BP1977" s="20"/>
      <c r="BQ1977" s="20"/>
      <c r="BR1977" s="20"/>
      <c r="BS1977" s="20"/>
      <c r="BT1977" s="20"/>
      <c r="BU1977" s="20"/>
      <c r="BV1977" s="20"/>
      <c r="BW1977" s="20"/>
      <c r="BX1977" s="20"/>
      <c r="BY1977" s="20"/>
      <c r="BZ1977" s="20"/>
      <c r="CA1977" s="20"/>
      <c r="CB1977" s="20"/>
      <c r="CC1977" s="20"/>
      <c r="CD1977" s="20"/>
      <c r="CE1977" s="20"/>
      <c r="CF1977" s="20"/>
      <c r="CG1977" s="20"/>
      <c r="CH1977" s="20"/>
      <c r="CI1977" s="20"/>
      <c r="CJ1977" s="20"/>
      <c r="CK1977" s="20"/>
      <c r="CL1977" s="20"/>
      <c r="CM1977" s="20"/>
      <c r="CN1977" s="20"/>
      <c r="CO1977" s="20"/>
      <c r="CP1977" s="20"/>
      <c r="CQ1977" s="20"/>
      <c r="CR1977" s="20"/>
      <c r="CS1977" s="20"/>
      <c r="CT1977" s="20"/>
      <c r="CU1977" s="20"/>
      <c r="CV1977" s="20"/>
      <c r="CW1977" s="20"/>
      <c r="CX1977" s="20"/>
      <c r="CY1977" s="20"/>
      <c r="CZ1977" s="20"/>
      <c r="DA1977" s="20"/>
      <c r="DB1977" s="20"/>
      <c r="DC1977" s="20"/>
      <c r="DD1977" s="20"/>
      <c r="DE1977" s="20"/>
      <c r="DF1977" s="20"/>
      <c r="DG1977" s="20"/>
      <c r="DH1977" s="20"/>
      <c r="DI1977" s="20"/>
      <c r="DJ1977" s="20"/>
      <c r="DK1977" s="20"/>
      <c r="DL1977" s="20"/>
      <c r="DM1977" s="20"/>
      <c r="DN1977" s="20"/>
      <c r="DO1977" s="20"/>
      <c r="DP1977" s="20"/>
      <c r="DQ1977" s="20"/>
      <c r="DR1977" s="20"/>
      <c r="DS1977" s="20"/>
      <c r="DT1977" s="20"/>
      <c r="DU1977" s="20"/>
      <c r="DV1977" s="20"/>
      <c r="DW1977" s="20"/>
      <c r="DX1977" s="20"/>
      <c r="DY1977" s="20"/>
      <c r="DZ1977" s="20"/>
      <c r="EA1977" s="20"/>
      <c r="EB1977" s="20"/>
      <c r="EC1977" s="20"/>
      <c r="ED1977" s="20"/>
      <c r="EE1977" s="20"/>
      <c r="EF1977" s="20"/>
      <c r="EG1977" s="20"/>
      <c r="EH1977" s="20"/>
      <c r="EI1977" s="20"/>
      <c r="EJ1977" s="20"/>
      <c r="EK1977" s="20"/>
      <c r="EL1977" s="20"/>
      <c r="EM1977" s="20"/>
      <c r="EN1977" s="20"/>
      <c r="EO1977" s="20"/>
      <c r="EP1977" s="20"/>
      <c r="EQ1977" s="20"/>
      <c r="ER1977" s="20"/>
      <c r="ES1977" s="20"/>
      <c r="ET1977" s="20"/>
      <c r="EU1977" s="20"/>
      <c r="EV1977" s="20"/>
      <c r="EW1977" s="20"/>
      <c r="EX1977" s="20"/>
      <c r="EY1977" s="20"/>
      <c r="EZ1977" s="20"/>
      <c r="FA1977" s="20"/>
      <c r="FB1977" s="20"/>
      <c r="FC1977" s="20"/>
      <c r="FD1977" s="20"/>
      <c r="FE1977" s="20"/>
      <c r="FF1977" s="20"/>
      <c r="FG1977" s="20"/>
      <c r="FH1977" s="20"/>
      <c r="FI1977" s="20"/>
      <c r="FJ1977" s="20"/>
      <c r="FK1977" s="20"/>
      <c r="FL1977" s="20"/>
      <c r="FM1977" s="20"/>
      <c r="FN1977" s="20"/>
      <c r="FO1977" s="20"/>
      <c r="FP1977" s="20"/>
      <c r="FQ1977" s="20"/>
      <c r="FR1977" s="20"/>
      <c r="FS1977" s="20"/>
      <c r="FT1977" s="20"/>
      <c r="FU1977" s="20"/>
      <c r="FV1977" s="20"/>
      <c r="FW1977" s="20"/>
      <c r="FX1977" s="20"/>
      <c r="FY1977" s="20"/>
      <c r="FZ1977" s="20"/>
      <c r="GA1977" s="20"/>
      <c r="GB1977" s="20"/>
      <c r="GC1977" s="20"/>
      <c r="GD1977" s="20"/>
      <c r="GE1977" s="20"/>
      <c r="GF1977" s="20"/>
      <c r="GG1977" s="20"/>
      <c r="GH1977" s="20"/>
      <c r="GI1977" s="20"/>
      <c r="GJ1977" s="20"/>
      <c r="GK1977" s="20"/>
      <c r="GL1977" s="20"/>
      <c r="GM1977" s="20"/>
      <c r="GN1977" s="20"/>
      <c r="GO1977" s="20"/>
      <c r="GP1977" s="20"/>
      <c r="GQ1977" s="20"/>
      <c r="GR1977" s="20"/>
      <c r="GS1977" s="20"/>
      <c r="GT1977" s="20"/>
      <c r="GU1977" s="20"/>
      <c r="GV1977" s="20"/>
      <c r="GW1977" s="20"/>
      <c r="GX1977" s="20"/>
      <c r="GY1977" s="20"/>
      <c r="GZ1977" s="20"/>
      <c r="HA1977" s="20"/>
      <c r="HB1977" s="20"/>
      <c r="HC1977" s="20"/>
      <c r="HD1977" s="20"/>
      <c r="HE1977" s="20"/>
      <c r="HF1977" s="20"/>
      <c r="HG1977" s="20"/>
      <c r="HH1977" s="20"/>
      <c r="HI1977" s="20"/>
      <c r="HJ1977" s="20"/>
      <c r="HK1977" s="20"/>
      <c r="HL1977" s="20"/>
      <c r="HM1977" s="20"/>
      <c r="HN1977" s="20"/>
      <c r="HO1977" s="20"/>
      <c r="HP1977" s="20"/>
      <c r="HQ1977" s="20"/>
      <c r="HR1977" s="20"/>
      <c r="HS1977" s="20"/>
      <c r="HT1977" s="20"/>
      <c r="HU1977" s="20"/>
      <c r="HV1977" s="20"/>
      <c r="HW1977" s="20"/>
      <c r="HX1977" s="20"/>
      <c r="HY1977" s="20"/>
      <c r="HZ1977" s="20"/>
      <c r="IA1977" s="20"/>
      <c r="IB1977" s="20"/>
      <c r="IC1977" s="20"/>
      <c r="ID1977" s="20"/>
      <c r="IE1977" s="20"/>
      <c r="IF1977" s="20"/>
      <c r="IG1977" s="20"/>
      <c r="IH1977" s="20"/>
      <c r="II1977" s="20"/>
      <c r="IJ1977" s="20"/>
      <c r="IK1977" s="20"/>
      <c r="IL1977" s="20"/>
      <c r="IM1977" s="20"/>
      <c r="IN1977" s="20"/>
      <c r="IO1977" s="20"/>
    </row>
    <row r="1978" spans="1:249" s="22" customFormat="1" ht="49.5">
      <c r="A1978" s="794"/>
      <c r="B1978" s="840"/>
      <c r="C1978" s="841">
        <v>4</v>
      </c>
      <c r="D1978" s="841" t="s">
        <v>34</v>
      </c>
      <c r="E1978" s="841" t="s">
        <v>25</v>
      </c>
      <c r="F1978" s="841" t="s">
        <v>54</v>
      </c>
      <c r="G1978" s="841">
        <v>32</v>
      </c>
      <c r="H1978" s="841"/>
      <c r="I1978" s="844" t="s">
        <v>1881</v>
      </c>
      <c r="J1978" s="843" t="s">
        <v>3386</v>
      </c>
      <c r="K1978" s="1902">
        <v>72</v>
      </c>
      <c r="L1978" s="1908">
        <v>2060000000</v>
      </c>
      <c r="M1978" s="1903">
        <v>36</v>
      </c>
      <c r="N1978" s="1904">
        <f>260880650+234037920+87062975</f>
        <v>581981545</v>
      </c>
      <c r="O1978" s="1902">
        <v>12</v>
      </c>
      <c r="P1978" s="1905">
        <v>105850000</v>
      </c>
      <c r="Q1978" s="1903">
        <f>O1978/4</f>
        <v>3</v>
      </c>
      <c r="R1978" s="1904">
        <v>23262450</v>
      </c>
      <c r="S1978" s="795">
        <v>3</v>
      </c>
      <c r="T1978" s="2683">
        <v>54214800</v>
      </c>
      <c r="U1978" s="795"/>
      <c r="V1978" s="1906"/>
      <c r="W1978" s="795"/>
      <c r="X1978" s="1906"/>
      <c r="Y1978" s="1903">
        <f t="shared" si="585"/>
        <v>6</v>
      </c>
      <c r="Z1978" s="1906">
        <f t="shared" si="583"/>
        <v>77477250</v>
      </c>
      <c r="AA1978" s="1903">
        <f t="shared" si="578"/>
        <v>42</v>
      </c>
      <c r="AB1978" s="1906">
        <f t="shared" si="579"/>
        <v>659458795</v>
      </c>
      <c r="AC1978" s="1907">
        <f t="shared" si="580"/>
        <v>58.333333333333336</v>
      </c>
      <c r="AD1978" s="1907">
        <f t="shared" si="581"/>
        <v>32.012562864077672</v>
      </c>
      <c r="AE1978" s="102" t="s">
        <v>1993</v>
      </c>
      <c r="AF1978" s="201"/>
      <c r="AG1978" s="201"/>
      <c r="AH1978" s="201"/>
      <c r="AI1978" s="201"/>
      <c r="AJ1978" s="201"/>
      <c r="AK1978" s="201"/>
      <c r="AL1978" s="201"/>
      <c r="AM1978" s="201"/>
      <c r="AN1978" s="201"/>
      <c r="AO1978" s="201"/>
      <c r="AP1978" s="201"/>
      <c r="AQ1978" s="201"/>
      <c r="AR1978" s="201"/>
      <c r="AS1978" s="201"/>
      <c r="AT1978" s="201"/>
      <c r="AU1978" s="201"/>
      <c r="AV1978" s="201"/>
      <c r="AW1978" s="201"/>
      <c r="AX1978" s="201"/>
      <c r="AY1978" s="201"/>
      <c r="AZ1978" s="201"/>
      <c r="BA1978" s="201"/>
      <c r="BB1978" s="201"/>
      <c r="BC1978" s="20"/>
      <c r="BD1978" s="20"/>
      <c r="BE1978" s="20"/>
      <c r="BF1978" s="20"/>
      <c r="BG1978" s="20"/>
      <c r="BH1978" s="20"/>
      <c r="BI1978" s="20"/>
      <c r="BJ1978" s="20"/>
      <c r="BK1978" s="20"/>
      <c r="BL1978" s="20"/>
      <c r="BM1978" s="20"/>
      <c r="BN1978" s="20"/>
      <c r="BO1978" s="20"/>
      <c r="BP1978" s="20"/>
      <c r="BQ1978" s="20"/>
      <c r="BR1978" s="20"/>
      <c r="BS1978" s="20"/>
      <c r="BT1978" s="20"/>
      <c r="BU1978" s="20"/>
      <c r="BV1978" s="20"/>
      <c r="BW1978" s="20"/>
      <c r="BX1978" s="20"/>
      <c r="BY1978" s="20"/>
      <c r="BZ1978" s="20"/>
      <c r="CA1978" s="20"/>
      <c r="CB1978" s="20"/>
      <c r="CC1978" s="20"/>
      <c r="CD1978" s="20"/>
      <c r="CE1978" s="20"/>
      <c r="CF1978" s="20"/>
      <c r="CG1978" s="20"/>
      <c r="CH1978" s="20"/>
      <c r="CI1978" s="20"/>
      <c r="CJ1978" s="20"/>
      <c r="CK1978" s="20"/>
      <c r="CL1978" s="20"/>
      <c r="CM1978" s="20"/>
      <c r="CN1978" s="20"/>
      <c r="CO1978" s="20"/>
      <c r="CP1978" s="20"/>
      <c r="CQ1978" s="20"/>
      <c r="CR1978" s="20"/>
      <c r="CS1978" s="20"/>
      <c r="CT1978" s="20"/>
      <c r="CU1978" s="20"/>
      <c r="CV1978" s="20"/>
      <c r="CW1978" s="20"/>
      <c r="CX1978" s="20"/>
      <c r="CY1978" s="20"/>
      <c r="CZ1978" s="20"/>
      <c r="DA1978" s="20"/>
      <c r="DB1978" s="20"/>
      <c r="DC1978" s="20"/>
      <c r="DD1978" s="20"/>
      <c r="DE1978" s="20"/>
      <c r="DF1978" s="20"/>
      <c r="DG1978" s="20"/>
      <c r="DH1978" s="20"/>
      <c r="DI1978" s="20"/>
      <c r="DJ1978" s="20"/>
      <c r="DK1978" s="20"/>
      <c r="DL1978" s="20"/>
      <c r="DM1978" s="20"/>
      <c r="DN1978" s="20"/>
      <c r="DO1978" s="20"/>
      <c r="DP1978" s="20"/>
      <c r="DQ1978" s="20"/>
      <c r="DR1978" s="20"/>
      <c r="DS1978" s="20"/>
      <c r="DT1978" s="20"/>
      <c r="DU1978" s="20"/>
      <c r="DV1978" s="20"/>
      <c r="DW1978" s="20"/>
      <c r="DX1978" s="20"/>
      <c r="DY1978" s="20"/>
      <c r="DZ1978" s="20"/>
      <c r="EA1978" s="20"/>
      <c r="EB1978" s="20"/>
      <c r="EC1978" s="20"/>
      <c r="ED1978" s="20"/>
      <c r="EE1978" s="20"/>
      <c r="EF1978" s="20"/>
      <c r="EG1978" s="20"/>
      <c r="EH1978" s="20"/>
      <c r="EI1978" s="20"/>
      <c r="EJ1978" s="20"/>
      <c r="EK1978" s="20"/>
      <c r="EL1978" s="20"/>
      <c r="EM1978" s="20"/>
      <c r="EN1978" s="20"/>
      <c r="EO1978" s="20"/>
      <c r="EP1978" s="20"/>
      <c r="EQ1978" s="20"/>
      <c r="ER1978" s="20"/>
      <c r="ES1978" s="20"/>
      <c r="ET1978" s="20"/>
      <c r="EU1978" s="20"/>
      <c r="EV1978" s="20"/>
      <c r="EW1978" s="20"/>
      <c r="EX1978" s="20"/>
      <c r="EY1978" s="20"/>
      <c r="EZ1978" s="20"/>
      <c r="FA1978" s="20"/>
      <c r="FB1978" s="20"/>
      <c r="FC1978" s="20"/>
      <c r="FD1978" s="20"/>
      <c r="FE1978" s="20"/>
      <c r="FF1978" s="20"/>
      <c r="FG1978" s="20"/>
      <c r="FH1978" s="20"/>
      <c r="FI1978" s="20"/>
      <c r="FJ1978" s="20"/>
      <c r="FK1978" s="20"/>
      <c r="FL1978" s="20"/>
      <c r="FM1978" s="20"/>
      <c r="FN1978" s="20"/>
      <c r="FO1978" s="20"/>
      <c r="FP1978" s="20"/>
      <c r="FQ1978" s="20"/>
      <c r="FR1978" s="20"/>
      <c r="FS1978" s="20"/>
      <c r="FT1978" s="20"/>
      <c r="FU1978" s="20"/>
      <c r="FV1978" s="20"/>
      <c r="FW1978" s="20"/>
      <c r="FX1978" s="20"/>
      <c r="FY1978" s="20"/>
      <c r="FZ1978" s="20"/>
      <c r="GA1978" s="20"/>
      <c r="GB1978" s="20"/>
      <c r="GC1978" s="20"/>
      <c r="GD1978" s="20"/>
      <c r="GE1978" s="20"/>
      <c r="GF1978" s="20"/>
      <c r="GG1978" s="20"/>
      <c r="GH1978" s="20"/>
      <c r="GI1978" s="20"/>
      <c r="GJ1978" s="20"/>
      <c r="GK1978" s="20"/>
      <c r="GL1978" s="20"/>
      <c r="GM1978" s="20"/>
      <c r="GN1978" s="20"/>
      <c r="GO1978" s="20"/>
      <c r="GP1978" s="20"/>
      <c r="GQ1978" s="20"/>
      <c r="GR1978" s="20"/>
      <c r="GS1978" s="20"/>
      <c r="GT1978" s="20"/>
      <c r="GU1978" s="20"/>
      <c r="GV1978" s="20"/>
      <c r="GW1978" s="20"/>
      <c r="GX1978" s="20"/>
      <c r="GY1978" s="20"/>
      <c r="GZ1978" s="20"/>
      <c r="HA1978" s="20"/>
      <c r="HB1978" s="20"/>
      <c r="HC1978" s="20"/>
      <c r="HD1978" s="20"/>
      <c r="HE1978" s="20"/>
      <c r="HF1978" s="20"/>
      <c r="HG1978" s="20"/>
      <c r="HH1978" s="20"/>
      <c r="HI1978" s="20"/>
      <c r="HJ1978" s="20"/>
      <c r="HK1978" s="20"/>
      <c r="HL1978" s="20"/>
      <c r="HM1978" s="20"/>
      <c r="HN1978" s="20"/>
      <c r="HO1978" s="20"/>
      <c r="HP1978" s="20"/>
      <c r="HQ1978" s="20"/>
      <c r="HR1978" s="20"/>
      <c r="HS1978" s="20"/>
      <c r="HT1978" s="20"/>
      <c r="HU1978" s="20"/>
      <c r="HV1978" s="20"/>
      <c r="HW1978" s="20"/>
      <c r="HX1978" s="20"/>
      <c r="HY1978" s="20"/>
      <c r="HZ1978" s="20"/>
      <c r="IA1978" s="20"/>
      <c r="IB1978" s="20"/>
      <c r="IC1978" s="20"/>
      <c r="ID1978" s="20"/>
      <c r="IE1978" s="20"/>
      <c r="IF1978" s="20"/>
      <c r="IG1978" s="20"/>
      <c r="IH1978" s="20"/>
      <c r="II1978" s="20"/>
      <c r="IJ1978" s="20"/>
      <c r="IK1978" s="20"/>
      <c r="IL1978" s="20"/>
      <c r="IM1978" s="20"/>
      <c r="IN1978" s="20"/>
      <c r="IO1978" s="20"/>
    </row>
    <row r="1979" spans="1:249" s="22" customFormat="1" ht="82.5">
      <c r="A1979" s="794"/>
      <c r="B1979" s="840"/>
      <c r="C1979" s="841">
        <v>4</v>
      </c>
      <c r="D1979" s="841" t="s">
        <v>34</v>
      </c>
      <c r="E1979" s="841" t="s">
        <v>25</v>
      </c>
      <c r="F1979" s="841">
        <v>20</v>
      </c>
      <c r="G1979" s="841">
        <v>34</v>
      </c>
      <c r="H1979" s="841"/>
      <c r="I1979" s="6" t="s">
        <v>1882</v>
      </c>
      <c r="J1979" s="6" t="s">
        <v>3387</v>
      </c>
      <c r="K1979" s="1902">
        <v>72</v>
      </c>
      <c r="L1979" s="1908">
        <v>220000000</v>
      </c>
      <c r="M1979" s="1903">
        <f>24+12</f>
        <v>36</v>
      </c>
      <c r="N1979" s="1904">
        <f>67515113+55418462+34028437</f>
        <v>156962012</v>
      </c>
      <c r="O1979" s="1902">
        <v>12</v>
      </c>
      <c r="P1979" s="1905">
        <v>32692000</v>
      </c>
      <c r="Q1979" s="1903">
        <v>3</v>
      </c>
      <c r="R1979" s="1904">
        <v>0</v>
      </c>
      <c r="S1979" s="795">
        <v>3</v>
      </c>
      <c r="T1979" s="2683">
        <v>5603905</v>
      </c>
      <c r="U1979" s="795"/>
      <c r="V1979" s="1906"/>
      <c r="W1979" s="795"/>
      <c r="X1979" s="1906"/>
      <c r="Y1979" s="1903">
        <f t="shared" si="585"/>
        <v>6</v>
      </c>
      <c r="Z1979" s="1906">
        <f t="shared" si="583"/>
        <v>5603905</v>
      </c>
      <c r="AA1979" s="1903">
        <f t="shared" si="578"/>
        <v>42</v>
      </c>
      <c r="AB1979" s="1906">
        <f t="shared" si="579"/>
        <v>162565917</v>
      </c>
      <c r="AC1979" s="1907">
        <f t="shared" si="580"/>
        <v>58.333333333333336</v>
      </c>
      <c r="AD1979" s="1907">
        <f t="shared" si="581"/>
        <v>73.893598636363635</v>
      </c>
      <c r="AE1979" s="102" t="s">
        <v>1994</v>
      </c>
      <c r="AF1979" s="201"/>
      <c r="AG1979" s="201"/>
      <c r="AH1979" s="201"/>
      <c r="AI1979" s="201"/>
      <c r="AJ1979" s="201"/>
      <c r="AK1979" s="201"/>
      <c r="AL1979" s="201"/>
      <c r="AM1979" s="201"/>
      <c r="AN1979" s="201"/>
      <c r="AO1979" s="201"/>
      <c r="AP1979" s="201"/>
      <c r="AQ1979" s="201"/>
      <c r="AR1979" s="201"/>
      <c r="AS1979" s="201"/>
      <c r="AT1979" s="201"/>
      <c r="AU1979" s="201"/>
      <c r="AV1979" s="201"/>
      <c r="AW1979" s="201"/>
      <c r="AX1979" s="201"/>
      <c r="AY1979" s="201"/>
      <c r="AZ1979" s="201"/>
      <c r="BA1979" s="201"/>
      <c r="BB1979" s="201"/>
      <c r="BC1979" s="20"/>
      <c r="BD1979" s="20"/>
      <c r="BE1979" s="20"/>
      <c r="BF1979" s="20"/>
      <c r="BG1979" s="20"/>
      <c r="BH1979" s="20"/>
      <c r="BI1979" s="20"/>
      <c r="BJ1979" s="20"/>
      <c r="BK1979" s="20"/>
      <c r="BL1979" s="20"/>
      <c r="BM1979" s="20"/>
      <c r="BN1979" s="20"/>
      <c r="BO1979" s="20"/>
      <c r="BP1979" s="20"/>
      <c r="BQ1979" s="20"/>
      <c r="BR1979" s="20"/>
      <c r="BS1979" s="20"/>
      <c r="BT1979" s="20"/>
      <c r="BU1979" s="20"/>
      <c r="BV1979" s="20"/>
      <c r="BW1979" s="20"/>
      <c r="BX1979" s="20"/>
      <c r="BY1979" s="20"/>
      <c r="BZ1979" s="20"/>
      <c r="CA1979" s="20"/>
      <c r="CB1979" s="20"/>
      <c r="CC1979" s="20"/>
      <c r="CD1979" s="20"/>
      <c r="CE1979" s="20"/>
      <c r="CF1979" s="20"/>
      <c r="CG1979" s="20"/>
      <c r="CH1979" s="20"/>
      <c r="CI1979" s="20"/>
      <c r="CJ1979" s="20"/>
      <c r="CK1979" s="20"/>
      <c r="CL1979" s="20"/>
      <c r="CM1979" s="20"/>
      <c r="CN1979" s="20"/>
      <c r="CO1979" s="20"/>
      <c r="CP1979" s="20"/>
      <c r="CQ1979" s="20"/>
      <c r="CR1979" s="20"/>
      <c r="CS1979" s="20"/>
      <c r="CT1979" s="20"/>
      <c r="CU1979" s="20"/>
      <c r="CV1979" s="20"/>
      <c r="CW1979" s="20"/>
      <c r="CX1979" s="20"/>
      <c r="CY1979" s="20"/>
      <c r="CZ1979" s="20"/>
      <c r="DA1979" s="20"/>
      <c r="DB1979" s="20"/>
      <c r="DC1979" s="20"/>
      <c r="DD1979" s="20"/>
      <c r="DE1979" s="20"/>
      <c r="DF1979" s="20"/>
      <c r="DG1979" s="20"/>
      <c r="DH1979" s="20"/>
      <c r="DI1979" s="20"/>
      <c r="DJ1979" s="20"/>
      <c r="DK1979" s="20"/>
      <c r="DL1979" s="20"/>
      <c r="DM1979" s="20"/>
      <c r="DN1979" s="20"/>
      <c r="DO1979" s="20"/>
      <c r="DP1979" s="20"/>
      <c r="DQ1979" s="20"/>
      <c r="DR1979" s="20"/>
      <c r="DS1979" s="20"/>
      <c r="DT1979" s="20"/>
      <c r="DU1979" s="20"/>
      <c r="DV1979" s="20"/>
      <c r="DW1979" s="20"/>
      <c r="DX1979" s="20"/>
      <c r="DY1979" s="20"/>
      <c r="DZ1979" s="20"/>
      <c r="EA1979" s="20"/>
      <c r="EB1979" s="20"/>
      <c r="EC1979" s="20"/>
      <c r="ED1979" s="20"/>
      <c r="EE1979" s="20"/>
      <c r="EF1979" s="20"/>
      <c r="EG1979" s="20"/>
      <c r="EH1979" s="20"/>
      <c r="EI1979" s="20"/>
      <c r="EJ1979" s="20"/>
      <c r="EK1979" s="20"/>
      <c r="EL1979" s="20"/>
      <c r="EM1979" s="20"/>
      <c r="EN1979" s="20"/>
      <c r="EO1979" s="20"/>
      <c r="EP1979" s="20"/>
      <c r="EQ1979" s="20"/>
      <c r="ER1979" s="20"/>
      <c r="ES1979" s="20"/>
      <c r="ET1979" s="20"/>
      <c r="EU1979" s="20"/>
      <c r="EV1979" s="20"/>
      <c r="EW1979" s="20"/>
      <c r="EX1979" s="20"/>
      <c r="EY1979" s="20"/>
      <c r="EZ1979" s="20"/>
      <c r="FA1979" s="20"/>
      <c r="FB1979" s="20"/>
      <c r="FC1979" s="20"/>
      <c r="FD1979" s="20"/>
      <c r="FE1979" s="20"/>
      <c r="FF1979" s="20"/>
      <c r="FG1979" s="20"/>
      <c r="FH1979" s="20"/>
      <c r="FI1979" s="20"/>
      <c r="FJ1979" s="20"/>
      <c r="FK1979" s="20"/>
      <c r="FL1979" s="20"/>
      <c r="FM1979" s="20"/>
      <c r="FN1979" s="20"/>
      <c r="FO1979" s="20"/>
      <c r="FP1979" s="20"/>
      <c r="FQ1979" s="20"/>
      <c r="FR1979" s="20"/>
      <c r="FS1979" s="20"/>
      <c r="FT1979" s="20"/>
      <c r="FU1979" s="20"/>
      <c r="FV1979" s="20"/>
      <c r="FW1979" s="20"/>
      <c r="FX1979" s="20"/>
      <c r="FY1979" s="20"/>
      <c r="FZ1979" s="20"/>
      <c r="GA1979" s="20"/>
      <c r="GB1979" s="20"/>
      <c r="GC1979" s="20"/>
      <c r="GD1979" s="20"/>
      <c r="GE1979" s="20"/>
      <c r="GF1979" s="20"/>
      <c r="GG1979" s="20"/>
      <c r="GH1979" s="20"/>
      <c r="GI1979" s="20"/>
      <c r="GJ1979" s="20"/>
      <c r="GK1979" s="20"/>
      <c r="GL1979" s="20"/>
      <c r="GM1979" s="20"/>
      <c r="GN1979" s="20"/>
      <c r="GO1979" s="20"/>
      <c r="GP1979" s="20"/>
      <c r="GQ1979" s="20"/>
      <c r="GR1979" s="20"/>
      <c r="GS1979" s="20"/>
      <c r="GT1979" s="20"/>
      <c r="GU1979" s="20"/>
      <c r="GV1979" s="20"/>
      <c r="GW1979" s="20"/>
      <c r="GX1979" s="20"/>
      <c r="GY1979" s="20"/>
      <c r="GZ1979" s="20"/>
      <c r="HA1979" s="20"/>
      <c r="HB1979" s="20"/>
      <c r="HC1979" s="20"/>
      <c r="HD1979" s="20"/>
      <c r="HE1979" s="20"/>
      <c r="HF1979" s="20"/>
      <c r="HG1979" s="20"/>
      <c r="HH1979" s="20"/>
      <c r="HI1979" s="20"/>
      <c r="HJ1979" s="20"/>
      <c r="HK1979" s="20"/>
      <c r="HL1979" s="20"/>
      <c r="HM1979" s="20"/>
      <c r="HN1979" s="20"/>
      <c r="HO1979" s="20"/>
      <c r="HP1979" s="20"/>
      <c r="HQ1979" s="20"/>
      <c r="HR1979" s="20"/>
      <c r="HS1979" s="20"/>
      <c r="HT1979" s="20"/>
      <c r="HU1979" s="20"/>
      <c r="HV1979" s="20"/>
      <c r="HW1979" s="20"/>
      <c r="HX1979" s="20"/>
      <c r="HY1979" s="20"/>
      <c r="HZ1979" s="20"/>
      <c r="IA1979" s="20"/>
      <c r="IB1979" s="20"/>
      <c r="IC1979" s="20"/>
      <c r="ID1979" s="20"/>
      <c r="IE1979" s="20"/>
      <c r="IF1979" s="20"/>
      <c r="IG1979" s="20"/>
      <c r="IH1979" s="20"/>
      <c r="II1979" s="20"/>
      <c r="IJ1979" s="20"/>
      <c r="IK1979" s="20"/>
      <c r="IL1979" s="20"/>
      <c r="IM1979" s="20"/>
      <c r="IN1979" s="20"/>
      <c r="IO1979" s="20"/>
    </row>
    <row r="1980" spans="1:249" s="22" customFormat="1" ht="66">
      <c r="A1980" s="794"/>
      <c r="B1980" s="840"/>
      <c r="C1980" s="841">
        <v>4</v>
      </c>
      <c r="D1980" s="841" t="s">
        <v>34</v>
      </c>
      <c r="E1980" s="841" t="s">
        <v>25</v>
      </c>
      <c r="F1980" s="841">
        <v>20</v>
      </c>
      <c r="G1980" s="841">
        <v>35</v>
      </c>
      <c r="H1980" s="841"/>
      <c r="I1980" s="6" t="s">
        <v>1883</v>
      </c>
      <c r="J1980" s="6" t="s">
        <v>3388</v>
      </c>
      <c r="K1980" s="1902">
        <v>6</v>
      </c>
      <c r="L1980" s="1908">
        <f>2*N1980</f>
        <v>293784226</v>
      </c>
      <c r="M1980" s="1903">
        <v>3</v>
      </c>
      <c r="N1980" s="1904">
        <f>52658000+44421600+49812513</f>
        <v>146892113</v>
      </c>
      <c r="O1980" s="1902">
        <v>1</v>
      </c>
      <c r="P1980" s="1904">
        <v>35423870</v>
      </c>
      <c r="Q1980" s="1903">
        <v>1</v>
      </c>
      <c r="R1980" s="1904">
        <v>1000000</v>
      </c>
      <c r="S1980" s="1906">
        <v>0</v>
      </c>
      <c r="T1980" s="2683">
        <v>6307688</v>
      </c>
      <c r="U1980" s="795"/>
      <c r="V1980" s="1906"/>
      <c r="W1980" s="795"/>
      <c r="X1980" s="1906"/>
      <c r="Y1980" s="1903">
        <f t="shared" ref="Y1980" si="586">Q1980+S1980</f>
        <v>1</v>
      </c>
      <c r="Z1980" s="1906">
        <f t="shared" si="583"/>
        <v>7307688</v>
      </c>
      <c r="AA1980" s="1903">
        <f t="shared" si="578"/>
        <v>4</v>
      </c>
      <c r="AB1980" s="1906">
        <f t="shared" si="579"/>
        <v>154199801</v>
      </c>
      <c r="AC1980" s="1907">
        <f t="shared" si="580"/>
        <v>66.666666666666657</v>
      </c>
      <c r="AD1980" s="1907">
        <f t="shared" si="581"/>
        <v>52.487433753505883</v>
      </c>
      <c r="AE1980" s="102" t="s">
        <v>1994</v>
      </c>
      <c r="AF1980" s="201"/>
      <c r="AG1980" s="201"/>
      <c r="AH1980" s="201"/>
      <c r="AI1980" s="201"/>
      <c r="AJ1980" s="201"/>
      <c r="AK1980" s="201"/>
      <c r="AL1980" s="201"/>
      <c r="AM1980" s="201"/>
      <c r="AN1980" s="201"/>
      <c r="AO1980" s="201"/>
      <c r="AP1980" s="201"/>
      <c r="AQ1980" s="201"/>
      <c r="AR1980" s="201"/>
      <c r="AS1980" s="201"/>
      <c r="AT1980" s="201"/>
      <c r="AU1980" s="201"/>
      <c r="AV1980" s="201"/>
      <c r="AW1980" s="201"/>
      <c r="AX1980" s="201"/>
      <c r="AY1980" s="201"/>
      <c r="AZ1980" s="201"/>
      <c r="BA1980" s="201"/>
      <c r="BB1980" s="201"/>
      <c r="BC1980" s="20"/>
      <c r="BD1980" s="20"/>
      <c r="BE1980" s="20"/>
      <c r="BF1980" s="20"/>
      <c r="BG1980" s="20"/>
      <c r="BH1980" s="20"/>
      <c r="BI1980" s="20"/>
      <c r="BJ1980" s="20"/>
      <c r="BK1980" s="20"/>
      <c r="BL1980" s="20"/>
      <c r="BM1980" s="20"/>
      <c r="BN1980" s="20"/>
      <c r="BO1980" s="20"/>
      <c r="BP1980" s="20"/>
      <c r="BQ1980" s="20"/>
      <c r="BR1980" s="20"/>
      <c r="BS1980" s="20"/>
      <c r="BT1980" s="20"/>
      <c r="BU1980" s="20"/>
      <c r="BV1980" s="20"/>
      <c r="BW1980" s="20"/>
      <c r="BX1980" s="20"/>
      <c r="BY1980" s="20"/>
      <c r="BZ1980" s="20"/>
      <c r="CA1980" s="20"/>
      <c r="CB1980" s="20"/>
      <c r="CC1980" s="20"/>
      <c r="CD1980" s="20"/>
      <c r="CE1980" s="20"/>
      <c r="CF1980" s="20"/>
      <c r="CG1980" s="20"/>
      <c r="CH1980" s="20"/>
      <c r="CI1980" s="20"/>
      <c r="CJ1980" s="20"/>
      <c r="CK1980" s="20"/>
      <c r="CL1980" s="20"/>
      <c r="CM1980" s="20"/>
      <c r="CN1980" s="20"/>
      <c r="CO1980" s="20"/>
      <c r="CP1980" s="20"/>
      <c r="CQ1980" s="20"/>
      <c r="CR1980" s="20"/>
      <c r="CS1980" s="20"/>
      <c r="CT1980" s="20"/>
      <c r="CU1980" s="20"/>
      <c r="CV1980" s="20"/>
      <c r="CW1980" s="20"/>
      <c r="CX1980" s="20"/>
      <c r="CY1980" s="20"/>
      <c r="CZ1980" s="20"/>
      <c r="DA1980" s="20"/>
      <c r="DB1980" s="20"/>
      <c r="DC1980" s="20"/>
      <c r="DD1980" s="20"/>
      <c r="DE1980" s="20"/>
      <c r="DF1980" s="20"/>
      <c r="DG1980" s="20"/>
      <c r="DH1980" s="20"/>
      <c r="DI1980" s="20"/>
      <c r="DJ1980" s="20"/>
      <c r="DK1980" s="20"/>
      <c r="DL1980" s="20"/>
      <c r="DM1980" s="20"/>
      <c r="DN1980" s="20"/>
      <c r="DO1980" s="20"/>
      <c r="DP1980" s="20"/>
      <c r="DQ1980" s="20"/>
      <c r="DR1980" s="20"/>
      <c r="DS1980" s="20"/>
      <c r="DT1980" s="20"/>
      <c r="DU1980" s="20"/>
      <c r="DV1980" s="20"/>
      <c r="DW1980" s="20"/>
      <c r="DX1980" s="20"/>
      <c r="DY1980" s="20"/>
      <c r="DZ1980" s="20"/>
      <c r="EA1980" s="20"/>
      <c r="EB1980" s="20"/>
      <c r="EC1980" s="20"/>
      <c r="ED1980" s="20"/>
      <c r="EE1980" s="20"/>
      <c r="EF1980" s="20"/>
      <c r="EG1980" s="20"/>
      <c r="EH1980" s="20"/>
      <c r="EI1980" s="20"/>
      <c r="EJ1980" s="20"/>
      <c r="EK1980" s="20"/>
      <c r="EL1980" s="20"/>
      <c r="EM1980" s="20"/>
      <c r="EN1980" s="20"/>
      <c r="EO1980" s="20"/>
      <c r="EP1980" s="20"/>
      <c r="EQ1980" s="20"/>
      <c r="ER1980" s="20"/>
      <c r="ES1980" s="20"/>
      <c r="ET1980" s="20"/>
      <c r="EU1980" s="20"/>
      <c r="EV1980" s="20"/>
      <c r="EW1980" s="20"/>
      <c r="EX1980" s="20"/>
      <c r="EY1980" s="20"/>
      <c r="EZ1980" s="20"/>
      <c r="FA1980" s="20"/>
      <c r="FB1980" s="20"/>
      <c r="FC1980" s="20"/>
      <c r="FD1980" s="20"/>
      <c r="FE1980" s="20"/>
      <c r="FF1980" s="20"/>
      <c r="FG1980" s="20"/>
      <c r="FH1980" s="20"/>
      <c r="FI1980" s="20"/>
      <c r="FJ1980" s="20"/>
      <c r="FK1980" s="20"/>
      <c r="FL1980" s="20"/>
      <c r="FM1980" s="20"/>
      <c r="FN1980" s="20"/>
      <c r="FO1980" s="20"/>
      <c r="FP1980" s="20"/>
      <c r="FQ1980" s="20"/>
      <c r="FR1980" s="20"/>
      <c r="FS1980" s="20"/>
      <c r="FT1980" s="20"/>
      <c r="FU1980" s="20"/>
      <c r="FV1980" s="20"/>
      <c r="FW1980" s="20"/>
      <c r="FX1980" s="20"/>
      <c r="FY1980" s="20"/>
      <c r="FZ1980" s="20"/>
      <c r="GA1980" s="20"/>
      <c r="GB1980" s="20"/>
      <c r="GC1980" s="20"/>
      <c r="GD1980" s="20"/>
      <c r="GE1980" s="20"/>
      <c r="GF1980" s="20"/>
      <c r="GG1980" s="20"/>
      <c r="GH1980" s="20"/>
      <c r="GI1980" s="20"/>
      <c r="GJ1980" s="20"/>
      <c r="GK1980" s="20"/>
      <c r="GL1980" s="20"/>
      <c r="GM1980" s="20"/>
      <c r="GN1980" s="20"/>
      <c r="GO1980" s="20"/>
      <c r="GP1980" s="20"/>
      <c r="GQ1980" s="20"/>
      <c r="GR1980" s="20"/>
      <c r="GS1980" s="20"/>
      <c r="GT1980" s="20"/>
      <c r="GU1980" s="20"/>
      <c r="GV1980" s="20"/>
      <c r="GW1980" s="20"/>
      <c r="GX1980" s="20"/>
      <c r="GY1980" s="20"/>
      <c r="GZ1980" s="20"/>
      <c r="HA1980" s="20"/>
      <c r="HB1980" s="20"/>
      <c r="HC1980" s="20"/>
      <c r="HD1980" s="20"/>
      <c r="HE1980" s="20"/>
      <c r="HF1980" s="20"/>
      <c r="HG1980" s="20"/>
      <c r="HH1980" s="20"/>
      <c r="HI1980" s="20"/>
      <c r="HJ1980" s="20"/>
      <c r="HK1980" s="20"/>
      <c r="HL1980" s="20"/>
      <c r="HM1980" s="20"/>
      <c r="HN1980" s="20"/>
      <c r="HO1980" s="20"/>
      <c r="HP1980" s="20"/>
      <c r="HQ1980" s="20"/>
      <c r="HR1980" s="20"/>
      <c r="HS1980" s="20"/>
      <c r="HT1980" s="20"/>
      <c r="HU1980" s="20"/>
      <c r="HV1980" s="20"/>
      <c r="HW1980" s="20"/>
      <c r="HX1980" s="20"/>
      <c r="HY1980" s="20"/>
      <c r="HZ1980" s="20"/>
      <c r="IA1980" s="20"/>
      <c r="IB1980" s="20"/>
      <c r="IC1980" s="20"/>
      <c r="ID1980" s="20"/>
      <c r="IE1980" s="20"/>
      <c r="IF1980" s="20"/>
      <c r="IG1980" s="20"/>
      <c r="IH1980" s="20"/>
      <c r="II1980" s="20"/>
      <c r="IJ1980" s="20"/>
      <c r="IK1980" s="20"/>
      <c r="IL1980" s="20"/>
      <c r="IM1980" s="20"/>
      <c r="IN1980" s="20"/>
      <c r="IO1980" s="20"/>
    </row>
    <row r="1981" spans="1:249" s="22" customFormat="1" ht="82.5">
      <c r="A1981" s="794"/>
      <c r="B1981" s="840"/>
      <c r="C1981" s="841">
        <v>4</v>
      </c>
      <c r="D1981" s="841" t="s">
        <v>34</v>
      </c>
      <c r="E1981" s="841" t="s">
        <v>25</v>
      </c>
      <c r="F1981" s="841">
        <v>20</v>
      </c>
      <c r="G1981" s="841">
        <v>36</v>
      </c>
      <c r="H1981" s="841"/>
      <c r="I1981" s="6" t="s">
        <v>1884</v>
      </c>
      <c r="J1981" s="6" t="s">
        <v>3389</v>
      </c>
      <c r="K1981" s="1902">
        <v>24</v>
      </c>
      <c r="L1981" s="1908">
        <v>240000000</v>
      </c>
      <c r="M1981" s="1903">
        <v>12</v>
      </c>
      <c r="N1981" s="1904">
        <f>68239360+54523588+39404423</f>
        <v>162167371</v>
      </c>
      <c r="O1981" s="1902">
        <v>4</v>
      </c>
      <c r="P1981" s="1904">
        <v>61130098</v>
      </c>
      <c r="Q1981" s="1903">
        <v>1</v>
      </c>
      <c r="R1981" s="1904">
        <v>5315400</v>
      </c>
      <c r="S1981" s="795">
        <v>1</v>
      </c>
      <c r="T1981" s="2683">
        <v>13678538</v>
      </c>
      <c r="U1981" s="795"/>
      <c r="V1981" s="1906"/>
      <c r="W1981" s="795"/>
      <c r="X1981" s="1906"/>
      <c r="Y1981" s="1903">
        <f>Q1981+S1981+U1981+W1981</f>
        <v>2</v>
      </c>
      <c r="Z1981" s="1906">
        <f t="shared" si="583"/>
        <v>18993938</v>
      </c>
      <c r="AA1981" s="1903">
        <f t="shared" si="578"/>
        <v>14</v>
      </c>
      <c r="AB1981" s="1906">
        <f t="shared" si="579"/>
        <v>181161309</v>
      </c>
      <c r="AC1981" s="1907">
        <f t="shared" si="580"/>
        <v>58.333333333333336</v>
      </c>
      <c r="AD1981" s="1907">
        <f t="shared" si="581"/>
        <v>75.483878750000002</v>
      </c>
      <c r="AE1981" s="102" t="s">
        <v>1994</v>
      </c>
      <c r="AF1981" s="201"/>
      <c r="AG1981" s="201"/>
      <c r="AH1981" s="201"/>
      <c r="AI1981" s="201"/>
      <c r="AJ1981" s="201"/>
      <c r="AK1981" s="201"/>
      <c r="AL1981" s="201"/>
      <c r="AM1981" s="201"/>
      <c r="AN1981" s="201"/>
      <c r="AO1981" s="201"/>
      <c r="AP1981" s="201"/>
      <c r="AQ1981" s="201"/>
      <c r="AR1981" s="201"/>
      <c r="AS1981" s="201"/>
      <c r="AT1981" s="201"/>
      <c r="AU1981" s="201"/>
      <c r="AV1981" s="201"/>
      <c r="AW1981" s="201"/>
      <c r="AX1981" s="201"/>
      <c r="AY1981" s="201"/>
      <c r="AZ1981" s="201"/>
      <c r="BA1981" s="201"/>
      <c r="BB1981" s="201"/>
      <c r="BC1981" s="20"/>
      <c r="BD1981" s="20"/>
      <c r="BE1981" s="20"/>
      <c r="BF1981" s="20"/>
      <c r="BG1981" s="20"/>
      <c r="BH1981" s="20"/>
      <c r="BI1981" s="20"/>
      <c r="BJ1981" s="20"/>
      <c r="BK1981" s="20"/>
      <c r="BL1981" s="20"/>
      <c r="BM1981" s="20"/>
      <c r="BN1981" s="20"/>
      <c r="BO1981" s="20"/>
      <c r="BP1981" s="20"/>
      <c r="BQ1981" s="20"/>
      <c r="BR1981" s="20"/>
      <c r="BS1981" s="20"/>
      <c r="BT1981" s="20"/>
      <c r="BU1981" s="20"/>
      <c r="BV1981" s="20"/>
      <c r="BW1981" s="20"/>
      <c r="BX1981" s="20"/>
      <c r="BY1981" s="20"/>
      <c r="BZ1981" s="20"/>
      <c r="CA1981" s="20"/>
      <c r="CB1981" s="20"/>
      <c r="CC1981" s="20"/>
      <c r="CD1981" s="20"/>
      <c r="CE1981" s="20"/>
      <c r="CF1981" s="20"/>
      <c r="CG1981" s="20"/>
      <c r="CH1981" s="20"/>
      <c r="CI1981" s="20"/>
      <c r="CJ1981" s="20"/>
      <c r="CK1981" s="20"/>
      <c r="CL1981" s="20"/>
      <c r="CM1981" s="20"/>
      <c r="CN1981" s="20"/>
      <c r="CO1981" s="20"/>
      <c r="CP1981" s="20"/>
      <c r="CQ1981" s="20"/>
      <c r="CR1981" s="20"/>
      <c r="CS1981" s="20"/>
      <c r="CT1981" s="20"/>
      <c r="CU1981" s="20"/>
      <c r="CV1981" s="20"/>
      <c r="CW1981" s="20"/>
      <c r="CX1981" s="20"/>
      <c r="CY1981" s="20"/>
      <c r="CZ1981" s="20"/>
      <c r="DA1981" s="20"/>
      <c r="DB1981" s="20"/>
      <c r="DC1981" s="20"/>
      <c r="DD1981" s="20"/>
      <c r="DE1981" s="20"/>
      <c r="DF1981" s="20"/>
      <c r="DG1981" s="20"/>
      <c r="DH1981" s="20"/>
      <c r="DI1981" s="20"/>
      <c r="DJ1981" s="20"/>
      <c r="DK1981" s="20"/>
      <c r="DL1981" s="20"/>
      <c r="DM1981" s="20"/>
      <c r="DN1981" s="20"/>
      <c r="DO1981" s="20"/>
      <c r="DP1981" s="20"/>
      <c r="DQ1981" s="20"/>
      <c r="DR1981" s="20"/>
      <c r="DS1981" s="20"/>
      <c r="DT1981" s="20"/>
      <c r="DU1981" s="20"/>
      <c r="DV1981" s="20"/>
      <c r="DW1981" s="20"/>
      <c r="DX1981" s="20"/>
      <c r="DY1981" s="20"/>
      <c r="DZ1981" s="20"/>
      <c r="EA1981" s="20"/>
      <c r="EB1981" s="20"/>
      <c r="EC1981" s="20"/>
      <c r="ED1981" s="20"/>
      <c r="EE1981" s="20"/>
      <c r="EF1981" s="20"/>
      <c r="EG1981" s="20"/>
      <c r="EH1981" s="20"/>
      <c r="EI1981" s="20"/>
      <c r="EJ1981" s="20"/>
      <c r="EK1981" s="20"/>
      <c r="EL1981" s="20"/>
      <c r="EM1981" s="20"/>
      <c r="EN1981" s="20"/>
      <c r="EO1981" s="20"/>
      <c r="EP1981" s="20"/>
      <c r="EQ1981" s="20"/>
      <c r="ER1981" s="20"/>
      <c r="ES1981" s="20"/>
      <c r="ET1981" s="20"/>
      <c r="EU1981" s="20"/>
      <c r="EV1981" s="20"/>
      <c r="EW1981" s="20"/>
      <c r="EX1981" s="20"/>
      <c r="EY1981" s="20"/>
      <c r="EZ1981" s="20"/>
      <c r="FA1981" s="20"/>
      <c r="FB1981" s="20"/>
      <c r="FC1981" s="20"/>
      <c r="FD1981" s="20"/>
      <c r="FE1981" s="20"/>
      <c r="FF1981" s="20"/>
      <c r="FG1981" s="20"/>
      <c r="FH1981" s="20"/>
      <c r="FI1981" s="20"/>
      <c r="FJ1981" s="20"/>
      <c r="FK1981" s="20"/>
      <c r="FL1981" s="20"/>
      <c r="FM1981" s="20"/>
      <c r="FN1981" s="20"/>
      <c r="FO1981" s="20"/>
      <c r="FP1981" s="20"/>
      <c r="FQ1981" s="20"/>
      <c r="FR1981" s="20"/>
      <c r="FS1981" s="20"/>
      <c r="FT1981" s="20"/>
      <c r="FU1981" s="20"/>
      <c r="FV1981" s="20"/>
      <c r="FW1981" s="20"/>
      <c r="FX1981" s="20"/>
      <c r="FY1981" s="20"/>
      <c r="FZ1981" s="20"/>
      <c r="GA1981" s="20"/>
      <c r="GB1981" s="20"/>
      <c r="GC1981" s="20"/>
      <c r="GD1981" s="20"/>
      <c r="GE1981" s="20"/>
      <c r="GF1981" s="20"/>
      <c r="GG1981" s="20"/>
      <c r="GH1981" s="20"/>
      <c r="GI1981" s="20"/>
      <c r="GJ1981" s="20"/>
      <c r="GK1981" s="20"/>
      <c r="GL1981" s="20"/>
      <c r="GM1981" s="20"/>
      <c r="GN1981" s="20"/>
      <c r="GO1981" s="20"/>
      <c r="GP1981" s="20"/>
      <c r="GQ1981" s="20"/>
      <c r="GR1981" s="20"/>
      <c r="GS1981" s="20"/>
      <c r="GT1981" s="20"/>
      <c r="GU1981" s="20"/>
      <c r="GV1981" s="20"/>
      <c r="GW1981" s="20"/>
      <c r="GX1981" s="20"/>
      <c r="GY1981" s="20"/>
      <c r="GZ1981" s="20"/>
      <c r="HA1981" s="20"/>
      <c r="HB1981" s="20"/>
      <c r="HC1981" s="20"/>
      <c r="HD1981" s="20"/>
      <c r="HE1981" s="20"/>
      <c r="HF1981" s="20"/>
      <c r="HG1981" s="20"/>
      <c r="HH1981" s="20"/>
      <c r="HI1981" s="20"/>
      <c r="HJ1981" s="20"/>
      <c r="HK1981" s="20"/>
      <c r="HL1981" s="20"/>
      <c r="HM1981" s="20"/>
      <c r="HN1981" s="20"/>
      <c r="HO1981" s="20"/>
      <c r="HP1981" s="20"/>
      <c r="HQ1981" s="20"/>
      <c r="HR1981" s="20"/>
      <c r="HS1981" s="20"/>
      <c r="HT1981" s="20"/>
      <c r="HU1981" s="20"/>
      <c r="HV1981" s="20"/>
      <c r="HW1981" s="20"/>
      <c r="HX1981" s="20"/>
      <c r="HY1981" s="20"/>
      <c r="HZ1981" s="20"/>
      <c r="IA1981" s="20"/>
      <c r="IB1981" s="20"/>
      <c r="IC1981" s="20"/>
      <c r="ID1981" s="20"/>
      <c r="IE1981" s="20"/>
      <c r="IF1981" s="20"/>
      <c r="IG1981" s="20"/>
      <c r="IH1981" s="20"/>
      <c r="II1981" s="20"/>
      <c r="IJ1981" s="20"/>
      <c r="IK1981" s="20"/>
      <c r="IL1981" s="20"/>
      <c r="IM1981" s="20"/>
      <c r="IN1981" s="20"/>
      <c r="IO1981" s="20"/>
    </row>
    <row r="1982" spans="1:249" s="22" customFormat="1" ht="49.5">
      <c r="A1982" s="794"/>
      <c r="B1982" s="840"/>
      <c r="C1982" s="841">
        <v>4</v>
      </c>
      <c r="D1982" s="841" t="s">
        <v>34</v>
      </c>
      <c r="E1982" s="841" t="s">
        <v>25</v>
      </c>
      <c r="F1982" s="841">
        <v>20</v>
      </c>
      <c r="G1982" s="841">
        <v>37</v>
      </c>
      <c r="H1982" s="841"/>
      <c r="I1982" s="6" t="s">
        <v>1885</v>
      </c>
      <c r="J1982" s="6" t="s">
        <v>1886</v>
      </c>
      <c r="K1982" s="1902">
        <v>12</v>
      </c>
      <c r="L1982" s="1908">
        <v>210000000</v>
      </c>
      <c r="M1982" s="1903">
        <v>6</v>
      </c>
      <c r="N1982" s="1904">
        <f>46586500+51413400+86094037</f>
        <v>184093937</v>
      </c>
      <c r="O1982" s="1902">
        <v>2</v>
      </c>
      <c r="P1982" s="1904">
        <v>133645242</v>
      </c>
      <c r="Q1982" s="1903">
        <v>1</v>
      </c>
      <c r="R1982" s="1904">
        <v>8064450</v>
      </c>
      <c r="S1982" s="795">
        <v>1</v>
      </c>
      <c r="T1982" s="2683">
        <v>42379050</v>
      </c>
      <c r="U1982" s="795"/>
      <c r="V1982" s="1906"/>
      <c r="W1982" s="795"/>
      <c r="X1982" s="1906"/>
      <c r="Y1982" s="1903">
        <f>Q1982+S1982</f>
        <v>2</v>
      </c>
      <c r="Z1982" s="1906">
        <f t="shared" si="583"/>
        <v>50443500</v>
      </c>
      <c r="AA1982" s="1903">
        <f t="shared" si="578"/>
        <v>8</v>
      </c>
      <c r="AB1982" s="1906">
        <f t="shared" si="579"/>
        <v>234537437</v>
      </c>
      <c r="AC1982" s="1907">
        <f t="shared" si="580"/>
        <v>66.666666666666657</v>
      </c>
      <c r="AD1982" s="1907">
        <f t="shared" si="581"/>
        <v>111.68449380952381</v>
      </c>
      <c r="AE1982" s="102" t="s">
        <v>1994</v>
      </c>
      <c r="AF1982" s="201"/>
      <c r="AG1982" s="201"/>
      <c r="AH1982" s="201"/>
      <c r="AI1982" s="201"/>
      <c r="AJ1982" s="201"/>
      <c r="AK1982" s="201"/>
      <c r="AL1982" s="201"/>
      <c r="AM1982" s="201"/>
      <c r="AN1982" s="201"/>
      <c r="AO1982" s="201"/>
      <c r="AP1982" s="201"/>
      <c r="AQ1982" s="201"/>
      <c r="AR1982" s="201"/>
      <c r="AS1982" s="201"/>
      <c r="AT1982" s="201"/>
      <c r="AU1982" s="201"/>
      <c r="AV1982" s="201"/>
      <c r="AW1982" s="201"/>
      <c r="AX1982" s="201"/>
      <c r="AY1982" s="201"/>
      <c r="AZ1982" s="201"/>
      <c r="BA1982" s="201"/>
      <c r="BB1982" s="201"/>
      <c r="BC1982" s="20"/>
      <c r="BD1982" s="20"/>
      <c r="BE1982" s="20"/>
      <c r="BF1982" s="20"/>
      <c r="BG1982" s="20"/>
      <c r="BH1982" s="20"/>
      <c r="BI1982" s="20"/>
      <c r="BJ1982" s="20"/>
      <c r="BK1982" s="20"/>
      <c r="BL1982" s="20"/>
      <c r="BM1982" s="20"/>
      <c r="BN1982" s="20"/>
      <c r="BO1982" s="20"/>
      <c r="BP1982" s="20"/>
      <c r="BQ1982" s="20"/>
      <c r="BR1982" s="20"/>
      <c r="BS1982" s="20"/>
      <c r="BT1982" s="20"/>
      <c r="BU1982" s="20"/>
      <c r="BV1982" s="20"/>
      <c r="BW1982" s="20"/>
      <c r="BX1982" s="20"/>
      <c r="BY1982" s="20"/>
      <c r="BZ1982" s="20"/>
      <c r="CA1982" s="20"/>
      <c r="CB1982" s="20"/>
      <c r="CC1982" s="20"/>
      <c r="CD1982" s="20"/>
      <c r="CE1982" s="20"/>
      <c r="CF1982" s="20"/>
      <c r="CG1982" s="20"/>
      <c r="CH1982" s="20"/>
      <c r="CI1982" s="20"/>
      <c r="CJ1982" s="20"/>
      <c r="CK1982" s="20"/>
      <c r="CL1982" s="20"/>
      <c r="CM1982" s="20"/>
      <c r="CN1982" s="20"/>
      <c r="CO1982" s="20"/>
      <c r="CP1982" s="20"/>
      <c r="CQ1982" s="20"/>
      <c r="CR1982" s="20"/>
      <c r="CS1982" s="20"/>
      <c r="CT1982" s="20"/>
      <c r="CU1982" s="20"/>
      <c r="CV1982" s="20"/>
      <c r="CW1982" s="20"/>
      <c r="CX1982" s="20"/>
      <c r="CY1982" s="20"/>
      <c r="CZ1982" s="20"/>
      <c r="DA1982" s="20"/>
      <c r="DB1982" s="20"/>
      <c r="DC1982" s="20"/>
      <c r="DD1982" s="20"/>
      <c r="DE1982" s="20"/>
      <c r="DF1982" s="20"/>
      <c r="DG1982" s="20"/>
      <c r="DH1982" s="20"/>
      <c r="DI1982" s="20"/>
      <c r="DJ1982" s="20"/>
      <c r="DK1982" s="20"/>
      <c r="DL1982" s="20"/>
      <c r="DM1982" s="20"/>
      <c r="DN1982" s="20"/>
      <c r="DO1982" s="20"/>
      <c r="DP1982" s="20"/>
      <c r="DQ1982" s="20"/>
      <c r="DR1982" s="20"/>
      <c r="DS1982" s="20"/>
      <c r="DT1982" s="20"/>
      <c r="DU1982" s="20"/>
      <c r="DV1982" s="20"/>
      <c r="DW1982" s="20"/>
      <c r="DX1982" s="20"/>
      <c r="DY1982" s="20"/>
      <c r="DZ1982" s="20"/>
      <c r="EA1982" s="20"/>
      <c r="EB1982" s="20"/>
      <c r="EC1982" s="20"/>
      <c r="ED1982" s="20"/>
      <c r="EE1982" s="20"/>
      <c r="EF1982" s="20"/>
      <c r="EG1982" s="20"/>
      <c r="EH1982" s="20"/>
      <c r="EI1982" s="20"/>
      <c r="EJ1982" s="20"/>
      <c r="EK1982" s="20"/>
      <c r="EL1982" s="20"/>
      <c r="EM1982" s="20"/>
      <c r="EN1982" s="20"/>
      <c r="EO1982" s="20"/>
      <c r="EP1982" s="20"/>
      <c r="EQ1982" s="20"/>
      <c r="ER1982" s="20"/>
      <c r="ES1982" s="20"/>
      <c r="ET1982" s="20"/>
      <c r="EU1982" s="20"/>
      <c r="EV1982" s="20"/>
      <c r="EW1982" s="20"/>
      <c r="EX1982" s="20"/>
      <c r="EY1982" s="20"/>
      <c r="EZ1982" s="20"/>
      <c r="FA1982" s="20"/>
      <c r="FB1982" s="20"/>
      <c r="FC1982" s="20"/>
      <c r="FD1982" s="20"/>
      <c r="FE1982" s="20"/>
      <c r="FF1982" s="20"/>
      <c r="FG1982" s="20"/>
      <c r="FH1982" s="20"/>
      <c r="FI1982" s="20"/>
      <c r="FJ1982" s="20"/>
      <c r="FK1982" s="20"/>
      <c r="FL1982" s="20"/>
      <c r="FM1982" s="20"/>
      <c r="FN1982" s="20"/>
      <c r="FO1982" s="20"/>
      <c r="FP1982" s="20"/>
      <c r="FQ1982" s="20"/>
      <c r="FR1982" s="20"/>
      <c r="FS1982" s="20"/>
      <c r="FT1982" s="20"/>
      <c r="FU1982" s="20"/>
      <c r="FV1982" s="20"/>
      <c r="FW1982" s="20"/>
      <c r="FX1982" s="20"/>
      <c r="FY1982" s="20"/>
      <c r="FZ1982" s="20"/>
      <c r="GA1982" s="20"/>
      <c r="GB1982" s="20"/>
      <c r="GC1982" s="20"/>
      <c r="GD1982" s="20"/>
      <c r="GE1982" s="20"/>
      <c r="GF1982" s="20"/>
      <c r="GG1982" s="20"/>
      <c r="GH1982" s="20"/>
      <c r="GI1982" s="20"/>
      <c r="GJ1982" s="20"/>
      <c r="GK1982" s="20"/>
      <c r="GL1982" s="20"/>
      <c r="GM1982" s="20"/>
      <c r="GN1982" s="20"/>
      <c r="GO1982" s="20"/>
      <c r="GP1982" s="20"/>
      <c r="GQ1982" s="20"/>
      <c r="GR1982" s="20"/>
      <c r="GS1982" s="20"/>
      <c r="GT1982" s="20"/>
      <c r="GU1982" s="20"/>
      <c r="GV1982" s="20"/>
      <c r="GW1982" s="20"/>
      <c r="GX1982" s="20"/>
      <c r="GY1982" s="20"/>
      <c r="GZ1982" s="20"/>
      <c r="HA1982" s="20"/>
      <c r="HB1982" s="20"/>
      <c r="HC1982" s="20"/>
      <c r="HD1982" s="20"/>
      <c r="HE1982" s="20"/>
      <c r="HF1982" s="20"/>
      <c r="HG1982" s="20"/>
      <c r="HH1982" s="20"/>
      <c r="HI1982" s="20"/>
      <c r="HJ1982" s="20"/>
      <c r="HK1982" s="20"/>
      <c r="HL1982" s="20"/>
      <c r="HM1982" s="20"/>
      <c r="HN1982" s="20"/>
      <c r="HO1982" s="20"/>
      <c r="HP1982" s="20"/>
      <c r="HQ1982" s="20"/>
      <c r="HR1982" s="20"/>
      <c r="HS1982" s="20"/>
      <c r="HT1982" s="20"/>
      <c r="HU1982" s="20"/>
      <c r="HV1982" s="20"/>
      <c r="HW1982" s="20"/>
      <c r="HX1982" s="20"/>
      <c r="HY1982" s="20"/>
      <c r="HZ1982" s="20"/>
      <c r="IA1982" s="20"/>
      <c r="IB1982" s="20"/>
      <c r="IC1982" s="20"/>
      <c r="ID1982" s="20"/>
      <c r="IE1982" s="20"/>
      <c r="IF1982" s="20"/>
      <c r="IG1982" s="20"/>
      <c r="IH1982" s="20"/>
      <c r="II1982" s="20"/>
      <c r="IJ1982" s="20"/>
      <c r="IK1982" s="20"/>
      <c r="IL1982" s="20"/>
      <c r="IM1982" s="20"/>
      <c r="IN1982" s="20"/>
      <c r="IO1982" s="20"/>
    </row>
    <row r="1983" spans="1:249" s="22" customFormat="1" ht="82.5">
      <c r="A1983" s="1322">
        <v>21</v>
      </c>
      <c r="B1983" s="1339"/>
      <c r="C1983" s="1340">
        <v>4</v>
      </c>
      <c r="D1983" s="1340" t="s">
        <v>34</v>
      </c>
      <c r="E1983" s="1340" t="s">
        <v>25</v>
      </c>
      <c r="F1983" s="1340">
        <v>22</v>
      </c>
      <c r="G1983" s="1340"/>
      <c r="H1983" s="1340"/>
      <c r="I1983" s="1321" t="s">
        <v>1887</v>
      </c>
      <c r="J1983" s="44" t="s">
        <v>1888</v>
      </c>
      <c r="K1983" s="149">
        <v>95</v>
      </c>
      <c r="L1983" s="1901">
        <f>SUM(L1985:L1991)</f>
        <v>4990593573</v>
      </c>
      <c r="M1983" s="149">
        <v>90</v>
      </c>
      <c r="N1983" s="1901">
        <f>SUM(N1985:N1991)</f>
        <v>1308475353</v>
      </c>
      <c r="O1983" s="149">
        <v>5</v>
      </c>
      <c r="P1983" s="1901">
        <f>SUM(P1985:P1991)</f>
        <v>511319468</v>
      </c>
      <c r="Q1983" s="149">
        <v>0</v>
      </c>
      <c r="R1983" s="1901">
        <f t="shared" ref="R1983:X1983" si="587">SUM(R1985:R1991)</f>
        <v>35085800</v>
      </c>
      <c r="S1983" s="1901">
        <f t="shared" si="587"/>
        <v>88</v>
      </c>
      <c r="T1983" s="1901">
        <f t="shared" si="587"/>
        <v>138858100</v>
      </c>
      <c r="U1983" s="1901">
        <f t="shared" si="587"/>
        <v>0</v>
      </c>
      <c r="V1983" s="1901">
        <f t="shared" si="587"/>
        <v>0</v>
      </c>
      <c r="W1983" s="1901">
        <f t="shared" si="587"/>
        <v>0</v>
      </c>
      <c r="X1983" s="1901">
        <f t="shared" si="587"/>
        <v>0</v>
      </c>
      <c r="Y1983" s="149">
        <f>Q1983+S1983+U1983+W1983</f>
        <v>88</v>
      </c>
      <c r="Z1983" s="1901">
        <f t="shared" si="583"/>
        <v>173943900</v>
      </c>
      <c r="AA1983" s="149">
        <f t="shared" si="578"/>
        <v>178</v>
      </c>
      <c r="AB1983" s="1901">
        <f t="shared" si="579"/>
        <v>1482419253</v>
      </c>
      <c r="AC1983" s="821">
        <f t="shared" si="580"/>
        <v>187.36842105263159</v>
      </c>
      <c r="AD1983" s="821">
        <f t="shared" si="581"/>
        <v>29.704267264322066</v>
      </c>
      <c r="AE1983" s="2539" t="s">
        <v>2252</v>
      </c>
      <c r="AF1983" s="201"/>
      <c r="AG1983" s="201"/>
      <c r="AH1983" s="201"/>
      <c r="AI1983" s="201"/>
      <c r="AJ1983" s="201"/>
      <c r="AK1983" s="201"/>
      <c r="AL1983" s="201"/>
      <c r="AM1983" s="201"/>
      <c r="AN1983" s="201"/>
      <c r="AO1983" s="201"/>
      <c r="AP1983" s="201"/>
      <c r="AQ1983" s="201"/>
      <c r="AR1983" s="201"/>
      <c r="AS1983" s="201"/>
      <c r="AT1983" s="201"/>
      <c r="AU1983" s="201"/>
      <c r="AV1983" s="201"/>
      <c r="AW1983" s="201"/>
      <c r="AX1983" s="201"/>
      <c r="AY1983" s="201"/>
      <c r="AZ1983" s="201"/>
      <c r="BA1983" s="201"/>
      <c r="BB1983" s="201"/>
      <c r="BC1983" s="20"/>
      <c r="BD1983" s="20"/>
      <c r="BE1983" s="20"/>
      <c r="BF1983" s="20"/>
      <c r="BG1983" s="20"/>
      <c r="BH1983" s="20"/>
      <c r="BI1983" s="20"/>
      <c r="BJ1983" s="20"/>
      <c r="BK1983" s="20"/>
      <c r="BL1983" s="20"/>
      <c r="BM1983" s="20"/>
      <c r="BN1983" s="20"/>
      <c r="BO1983" s="20"/>
      <c r="BP1983" s="20"/>
      <c r="BQ1983" s="20"/>
      <c r="BR1983" s="20"/>
      <c r="BS1983" s="20"/>
      <c r="BT1983" s="20"/>
      <c r="BU1983" s="20"/>
      <c r="BV1983" s="20"/>
      <c r="BW1983" s="20"/>
      <c r="BX1983" s="20"/>
      <c r="BY1983" s="20"/>
      <c r="BZ1983" s="20"/>
      <c r="CA1983" s="20"/>
      <c r="CB1983" s="20"/>
      <c r="CC1983" s="20"/>
      <c r="CD1983" s="20"/>
      <c r="CE1983" s="20"/>
      <c r="CF1983" s="20"/>
      <c r="CG1983" s="20"/>
      <c r="CH1983" s="20"/>
      <c r="CI1983" s="20"/>
      <c r="CJ1983" s="20"/>
      <c r="CK1983" s="20"/>
      <c r="CL1983" s="20"/>
      <c r="CM1983" s="20"/>
      <c r="CN1983" s="20"/>
      <c r="CO1983" s="20"/>
      <c r="CP1983" s="20"/>
      <c r="CQ1983" s="20"/>
      <c r="CR1983" s="20"/>
      <c r="CS1983" s="20"/>
      <c r="CT1983" s="20"/>
      <c r="CU1983" s="20"/>
      <c r="CV1983" s="20"/>
      <c r="CW1983" s="20"/>
      <c r="CX1983" s="20"/>
      <c r="CY1983" s="20"/>
      <c r="CZ1983" s="20"/>
      <c r="DA1983" s="20"/>
      <c r="DB1983" s="20"/>
      <c r="DC1983" s="20"/>
      <c r="DD1983" s="20"/>
      <c r="DE1983" s="20"/>
      <c r="DF1983" s="20"/>
      <c r="DG1983" s="20"/>
      <c r="DH1983" s="20"/>
      <c r="DI1983" s="20"/>
      <c r="DJ1983" s="20"/>
      <c r="DK1983" s="20"/>
      <c r="DL1983" s="20"/>
      <c r="DM1983" s="20"/>
      <c r="DN1983" s="20"/>
      <c r="DO1983" s="20"/>
      <c r="DP1983" s="20"/>
      <c r="DQ1983" s="20"/>
      <c r="DR1983" s="20"/>
      <c r="DS1983" s="20"/>
      <c r="DT1983" s="20"/>
      <c r="DU1983" s="20"/>
      <c r="DV1983" s="20"/>
      <c r="DW1983" s="20"/>
      <c r="DX1983" s="20"/>
      <c r="DY1983" s="20"/>
      <c r="DZ1983" s="20"/>
      <c r="EA1983" s="20"/>
      <c r="EB1983" s="20"/>
      <c r="EC1983" s="20"/>
      <c r="ED1983" s="20"/>
      <c r="EE1983" s="20"/>
      <c r="EF1983" s="20"/>
      <c r="EG1983" s="20"/>
      <c r="EH1983" s="20"/>
      <c r="EI1983" s="20"/>
      <c r="EJ1983" s="20"/>
      <c r="EK1983" s="20"/>
      <c r="EL1983" s="20"/>
      <c r="EM1983" s="20"/>
      <c r="EN1983" s="20"/>
      <c r="EO1983" s="20"/>
      <c r="EP1983" s="20"/>
      <c r="EQ1983" s="20"/>
      <c r="ER1983" s="20"/>
      <c r="ES1983" s="20"/>
      <c r="ET1983" s="20"/>
      <c r="EU1983" s="20"/>
      <c r="EV1983" s="20"/>
      <c r="EW1983" s="20"/>
      <c r="EX1983" s="20"/>
      <c r="EY1983" s="20"/>
      <c r="EZ1983" s="20"/>
      <c r="FA1983" s="20"/>
      <c r="FB1983" s="20"/>
      <c r="FC1983" s="20"/>
      <c r="FD1983" s="20"/>
      <c r="FE1983" s="20"/>
      <c r="FF1983" s="20"/>
      <c r="FG1983" s="20"/>
      <c r="FH1983" s="20"/>
      <c r="FI1983" s="20"/>
      <c r="FJ1983" s="20"/>
      <c r="FK1983" s="20"/>
      <c r="FL1983" s="20"/>
      <c r="FM1983" s="20"/>
      <c r="FN1983" s="20"/>
      <c r="FO1983" s="20"/>
      <c r="FP1983" s="20"/>
      <c r="FQ1983" s="20"/>
      <c r="FR1983" s="20"/>
      <c r="FS1983" s="20"/>
      <c r="FT1983" s="20"/>
      <c r="FU1983" s="20"/>
      <c r="FV1983" s="20"/>
      <c r="FW1983" s="20"/>
      <c r="FX1983" s="20"/>
      <c r="FY1983" s="20"/>
      <c r="FZ1983" s="20"/>
      <c r="GA1983" s="20"/>
      <c r="GB1983" s="20"/>
      <c r="GC1983" s="20"/>
      <c r="GD1983" s="20"/>
      <c r="GE1983" s="20"/>
      <c r="GF1983" s="20"/>
      <c r="GG1983" s="20"/>
      <c r="GH1983" s="20"/>
      <c r="GI1983" s="20"/>
      <c r="GJ1983" s="20"/>
      <c r="GK1983" s="20"/>
      <c r="GL1983" s="20"/>
      <c r="GM1983" s="20"/>
      <c r="GN1983" s="20"/>
      <c r="GO1983" s="20"/>
      <c r="GP1983" s="20"/>
      <c r="GQ1983" s="20"/>
      <c r="GR1983" s="20"/>
      <c r="GS1983" s="20"/>
      <c r="GT1983" s="20"/>
      <c r="GU1983" s="20"/>
      <c r="GV1983" s="20"/>
      <c r="GW1983" s="20"/>
      <c r="GX1983" s="20"/>
      <c r="GY1983" s="20"/>
      <c r="GZ1983" s="20"/>
      <c r="HA1983" s="20"/>
      <c r="HB1983" s="20"/>
      <c r="HC1983" s="20"/>
      <c r="HD1983" s="20"/>
      <c r="HE1983" s="20"/>
      <c r="HF1983" s="20"/>
      <c r="HG1983" s="20"/>
      <c r="HH1983" s="20"/>
      <c r="HI1983" s="20"/>
      <c r="HJ1983" s="20"/>
      <c r="HK1983" s="20"/>
      <c r="HL1983" s="20"/>
      <c r="HM1983" s="20"/>
      <c r="HN1983" s="20"/>
      <c r="HO1983" s="20"/>
      <c r="HP1983" s="20"/>
      <c r="HQ1983" s="20"/>
      <c r="HR1983" s="20"/>
      <c r="HS1983" s="20"/>
      <c r="HT1983" s="20"/>
      <c r="HU1983" s="20"/>
      <c r="HV1983" s="20"/>
      <c r="HW1983" s="20"/>
      <c r="HX1983" s="20"/>
      <c r="HY1983" s="20"/>
      <c r="HZ1983" s="20"/>
      <c r="IA1983" s="20"/>
      <c r="IB1983" s="20"/>
      <c r="IC1983" s="20"/>
      <c r="ID1983" s="20"/>
      <c r="IE1983" s="20"/>
      <c r="IF1983" s="20"/>
      <c r="IG1983" s="20"/>
      <c r="IH1983" s="20"/>
      <c r="II1983" s="20"/>
      <c r="IJ1983" s="20"/>
      <c r="IK1983" s="20"/>
      <c r="IL1983" s="20"/>
      <c r="IM1983" s="20"/>
      <c r="IN1983" s="20"/>
      <c r="IO1983" s="20"/>
    </row>
    <row r="1984" spans="1:249" s="22" customFormat="1" ht="99">
      <c r="A1984" s="1121"/>
      <c r="B1984" s="518"/>
      <c r="C1984" s="1786"/>
      <c r="D1984" s="1786"/>
      <c r="E1984" s="1786"/>
      <c r="F1984" s="1786"/>
      <c r="G1984" s="1786"/>
      <c r="H1984" s="1786"/>
      <c r="I1984" s="1334"/>
      <c r="J1984" s="44" t="s">
        <v>1889</v>
      </c>
      <c r="K1984" s="149">
        <v>45</v>
      </c>
      <c r="L1984" s="146"/>
      <c r="M1984" s="149">
        <v>30</v>
      </c>
      <c r="N1984" s="146"/>
      <c r="O1984" s="149">
        <v>5</v>
      </c>
      <c r="P1984" s="1901"/>
      <c r="Q1984" s="149"/>
      <c r="R1984" s="1901"/>
      <c r="S1984" s="146"/>
      <c r="T1984" s="146"/>
      <c r="U1984" s="146"/>
      <c r="V1984" s="146"/>
      <c r="W1984" s="146"/>
      <c r="X1984" s="146"/>
      <c r="Y1984" s="149">
        <f t="shared" ref="Y1984:Z1984" si="588">Q1984+S1984</f>
        <v>0</v>
      </c>
      <c r="Z1984" s="1901">
        <f t="shared" si="588"/>
        <v>0</v>
      </c>
      <c r="AA1984" s="149">
        <f t="shared" si="578"/>
        <v>30</v>
      </c>
      <c r="AB1984" s="1901">
        <f t="shared" si="579"/>
        <v>0</v>
      </c>
      <c r="AC1984" s="821">
        <f t="shared" ref="AC1984:AC1995" si="589">AA1984/K1984*100</f>
        <v>66.666666666666657</v>
      </c>
      <c r="AD1984" s="821"/>
      <c r="AE1984" s="2540"/>
      <c r="AF1984" s="201"/>
      <c r="AG1984" s="201"/>
      <c r="AH1984" s="201"/>
      <c r="AI1984" s="201"/>
      <c r="AJ1984" s="201"/>
      <c r="AK1984" s="201"/>
      <c r="AL1984" s="201"/>
      <c r="AM1984" s="201"/>
      <c r="AN1984" s="201"/>
      <c r="AO1984" s="201"/>
      <c r="AP1984" s="201"/>
      <c r="AQ1984" s="201"/>
      <c r="AR1984" s="201"/>
      <c r="AS1984" s="201"/>
      <c r="AT1984" s="201"/>
      <c r="AU1984" s="201"/>
      <c r="AV1984" s="201"/>
      <c r="AW1984" s="201"/>
      <c r="AX1984" s="201"/>
      <c r="AY1984" s="201"/>
      <c r="AZ1984" s="201"/>
      <c r="BA1984" s="201"/>
      <c r="BB1984" s="201"/>
      <c r="BC1984" s="20"/>
      <c r="BD1984" s="20"/>
      <c r="BE1984" s="20"/>
      <c r="BF1984" s="20"/>
      <c r="BG1984" s="20"/>
      <c r="BH1984" s="20"/>
      <c r="BI1984" s="20"/>
      <c r="BJ1984" s="20"/>
      <c r="BK1984" s="20"/>
      <c r="BL1984" s="20"/>
      <c r="BM1984" s="20"/>
      <c r="BN1984" s="20"/>
      <c r="BO1984" s="20"/>
      <c r="BP1984" s="20"/>
      <c r="BQ1984" s="20"/>
      <c r="BR1984" s="20"/>
      <c r="BS1984" s="20"/>
      <c r="BT1984" s="20"/>
      <c r="BU1984" s="20"/>
      <c r="BV1984" s="20"/>
      <c r="BW1984" s="20"/>
      <c r="BX1984" s="20"/>
      <c r="BY1984" s="20"/>
      <c r="BZ1984" s="20"/>
      <c r="CA1984" s="20"/>
      <c r="CB1984" s="20"/>
      <c r="CC1984" s="20"/>
      <c r="CD1984" s="20"/>
      <c r="CE1984" s="20"/>
      <c r="CF1984" s="20"/>
      <c r="CG1984" s="20"/>
      <c r="CH1984" s="20"/>
      <c r="CI1984" s="20"/>
      <c r="CJ1984" s="20"/>
      <c r="CK1984" s="20"/>
      <c r="CL1984" s="20"/>
      <c r="CM1984" s="20"/>
      <c r="CN1984" s="20"/>
      <c r="CO1984" s="20"/>
      <c r="CP1984" s="20"/>
      <c r="CQ1984" s="20"/>
      <c r="CR1984" s="20"/>
      <c r="CS1984" s="20"/>
      <c r="CT1984" s="20"/>
      <c r="CU1984" s="20"/>
      <c r="CV1984" s="20"/>
      <c r="CW1984" s="20"/>
      <c r="CX1984" s="20"/>
      <c r="CY1984" s="20"/>
      <c r="CZ1984" s="20"/>
      <c r="DA1984" s="20"/>
      <c r="DB1984" s="20"/>
      <c r="DC1984" s="20"/>
      <c r="DD1984" s="20"/>
      <c r="DE1984" s="20"/>
      <c r="DF1984" s="20"/>
      <c r="DG1984" s="20"/>
      <c r="DH1984" s="20"/>
      <c r="DI1984" s="20"/>
      <c r="DJ1984" s="20"/>
      <c r="DK1984" s="20"/>
      <c r="DL1984" s="20"/>
      <c r="DM1984" s="20"/>
      <c r="DN1984" s="20"/>
      <c r="DO1984" s="20"/>
      <c r="DP1984" s="20"/>
      <c r="DQ1984" s="20"/>
      <c r="DR1984" s="20"/>
      <c r="DS1984" s="20"/>
      <c r="DT1984" s="20"/>
      <c r="DU1984" s="20"/>
      <c r="DV1984" s="20"/>
      <c r="DW1984" s="20"/>
      <c r="DX1984" s="20"/>
      <c r="DY1984" s="20"/>
      <c r="DZ1984" s="20"/>
      <c r="EA1984" s="20"/>
      <c r="EB1984" s="20"/>
      <c r="EC1984" s="20"/>
      <c r="ED1984" s="20"/>
      <c r="EE1984" s="20"/>
      <c r="EF1984" s="20"/>
      <c r="EG1984" s="20"/>
      <c r="EH1984" s="20"/>
      <c r="EI1984" s="20"/>
      <c r="EJ1984" s="20"/>
      <c r="EK1984" s="20"/>
      <c r="EL1984" s="20"/>
      <c r="EM1984" s="20"/>
      <c r="EN1984" s="20"/>
      <c r="EO1984" s="20"/>
      <c r="EP1984" s="20"/>
      <c r="EQ1984" s="20"/>
      <c r="ER1984" s="20"/>
      <c r="ES1984" s="20"/>
      <c r="ET1984" s="20"/>
      <c r="EU1984" s="20"/>
      <c r="EV1984" s="20"/>
      <c r="EW1984" s="20"/>
      <c r="EX1984" s="20"/>
      <c r="EY1984" s="20"/>
      <c r="EZ1984" s="20"/>
      <c r="FA1984" s="20"/>
      <c r="FB1984" s="20"/>
      <c r="FC1984" s="20"/>
      <c r="FD1984" s="20"/>
      <c r="FE1984" s="20"/>
      <c r="FF1984" s="20"/>
      <c r="FG1984" s="20"/>
      <c r="FH1984" s="20"/>
      <c r="FI1984" s="20"/>
      <c r="FJ1984" s="20"/>
      <c r="FK1984" s="20"/>
      <c r="FL1984" s="20"/>
      <c r="FM1984" s="20"/>
      <c r="FN1984" s="20"/>
      <c r="FO1984" s="20"/>
      <c r="FP1984" s="20"/>
      <c r="FQ1984" s="20"/>
      <c r="FR1984" s="20"/>
      <c r="FS1984" s="20"/>
      <c r="FT1984" s="20"/>
      <c r="FU1984" s="20"/>
      <c r="FV1984" s="20"/>
      <c r="FW1984" s="20"/>
      <c r="FX1984" s="20"/>
      <c r="FY1984" s="20"/>
      <c r="FZ1984" s="20"/>
      <c r="GA1984" s="20"/>
      <c r="GB1984" s="20"/>
      <c r="GC1984" s="20"/>
      <c r="GD1984" s="20"/>
      <c r="GE1984" s="20"/>
      <c r="GF1984" s="20"/>
      <c r="GG1984" s="20"/>
      <c r="GH1984" s="20"/>
      <c r="GI1984" s="20"/>
      <c r="GJ1984" s="20"/>
      <c r="GK1984" s="20"/>
      <c r="GL1984" s="20"/>
      <c r="GM1984" s="20"/>
      <c r="GN1984" s="20"/>
      <c r="GO1984" s="20"/>
      <c r="GP1984" s="20"/>
      <c r="GQ1984" s="20"/>
      <c r="GR1984" s="20"/>
      <c r="GS1984" s="20"/>
      <c r="GT1984" s="20"/>
      <c r="GU1984" s="20"/>
      <c r="GV1984" s="20"/>
      <c r="GW1984" s="20"/>
      <c r="GX1984" s="20"/>
      <c r="GY1984" s="20"/>
      <c r="GZ1984" s="20"/>
      <c r="HA1984" s="20"/>
      <c r="HB1984" s="20"/>
      <c r="HC1984" s="20"/>
      <c r="HD1984" s="20"/>
      <c r="HE1984" s="20"/>
      <c r="HF1984" s="20"/>
      <c r="HG1984" s="20"/>
      <c r="HH1984" s="20"/>
      <c r="HI1984" s="20"/>
      <c r="HJ1984" s="20"/>
      <c r="HK1984" s="20"/>
      <c r="HL1984" s="20"/>
      <c r="HM1984" s="20"/>
      <c r="HN1984" s="20"/>
      <c r="HO1984" s="20"/>
      <c r="HP1984" s="20"/>
      <c r="HQ1984" s="20"/>
      <c r="HR1984" s="20"/>
      <c r="HS1984" s="20"/>
      <c r="HT1984" s="20"/>
      <c r="HU1984" s="20"/>
      <c r="HV1984" s="20"/>
      <c r="HW1984" s="20"/>
      <c r="HX1984" s="20"/>
      <c r="HY1984" s="20"/>
      <c r="HZ1984" s="20"/>
      <c r="IA1984" s="20"/>
      <c r="IB1984" s="20"/>
      <c r="IC1984" s="20"/>
      <c r="ID1984" s="20"/>
      <c r="IE1984" s="20"/>
      <c r="IF1984" s="20"/>
      <c r="IG1984" s="20"/>
      <c r="IH1984" s="20"/>
      <c r="II1984" s="20"/>
      <c r="IJ1984" s="20"/>
      <c r="IK1984" s="20"/>
      <c r="IL1984" s="20"/>
      <c r="IM1984" s="20"/>
      <c r="IN1984" s="20"/>
      <c r="IO1984" s="20"/>
    </row>
    <row r="1985" spans="1:249" s="22" customFormat="1" ht="99">
      <c r="A1985" s="794"/>
      <c r="B1985" s="840"/>
      <c r="C1985" s="841">
        <v>4</v>
      </c>
      <c r="D1985" s="841" t="s">
        <v>34</v>
      </c>
      <c r="E1985" s="841" t="s">
        <v>25</v>
      </c>
      <c r="F1985" s="841" t="s">
        <v>61</v>
      </c>
      <c r="G1985" s="841" t="s">
        <v>78</v>
      </c>
      <c r="H1985" s="841"/>
      <c r="I1985" s="407" t="s">
        <v>1890</v>
      </c>
      <c r="J1985" s="6" t="s">
        <v>1891</v>
      </c>
      <c r="K1985" s="1902">
        <v>144</v>
      </c>
      <c r="L1985" s="1908">
        <v>439750000</v>
      </c>
      <c r="M1985" s="1903">
        <f>24+24</f>
        <v>48</v>
      </c>
      <c r="N1985" s="1904">
        <f>26230000+28641800+5718150</f>
        <v>60589950</v>
      </c>
      <c r="O1985" s="1902">
        <v>24</v>
      </c>
      <c r="P1985" s="1904">
        <v>12624800</v>
      </c>
      <c r="Q1985" s="1903"/>
      <c r="R1985" s="1904">
        <v>0</v>
      </c>
      <c r="S1985" s="795"/>
      <c r="T1985" s="1906">
        <v>3270000</v>
      </c>
      <c r="U1985" s="795"/>
      <c r="V1985" s="1906"/>
      <c r="W1985" s="795"/>
      <c r="X1985" s="1906"/>
      <c r="Y1985" s="1903">
        <f>Q1985+W1985+U1985</f>
        <v>0</v>
      </c>
      <c r="Z1985" s="1906">
        <f t="shared" ref="Z1985:Z2023" si="590">R1985+T1985+V1985+X1985</f>
        <v>3270000</v>
      </c>
      <c r="AA1985" s="1903">
        <f t="shared" si="578"/>
        <v>48</v>
      </c>
      <c r="AB1985" s="1906">
        <f t="shared" si="579"/>
        <v>63859950</v>
      </c>
      <c r="AC1985" s="1907">
        <f t="shared" si="589"/>
        <v>33.333333333333329</v>
      </c>
      <c r="AD1985" s="1907">
        <f t="shared" ref="AD1985:AD2023" si="591">AB1985/L1985*100</f>
        <v>14.521876065946559</v>
      </c>
      <c r="AE1985" s="102" t="s">
        <v>1994</v>
      </c>
      <c r="AF1985" s="201"/>
      <c r="AG1985" s="201"/>
      <c r="AH1985" s="201"/>
      <c r="AI1985" s="201"/>
      <c r="AJ1985" s="201"/>
      <c r="AK1985" s="201"/>
      <c r="AL1985" s="201"/>
      <c r="AM1985" s="201"/>
      <c r="AN1985" s="201"/>
      <c r="AO1985" s="201"/>
      <c r="AP1985" s="201"/>
      <c r="AQ1985" s="201"/>
      <c r="AR1985" s="201"/>
      <c r="AS1985" s="201"/>
      <c r="AT1985" s="201"/>
      <c r="AU1985" s="201"/>
      <c r="AV1985" s="201"/>
      <c r="AW1985" s="201"/>
      <c r="AX1985" s="201"/>
      <c r="AY1985" s="201"/>
      <c r="AZ1985" s="201"/>
      <c r="BA1985" s="201"/>
      <c r="BB1985" s="201"/>
      <c r="BC1985" s="20"/>
      <c r="BD1985" s="20"/>
      <c r="BE1985" s="20"/>
      <c r="BF1985" s="20"/>
      <c r="BG1985" s="20"/>
      <c r="BH1985" s="20"/>
      <c r="BI1985" s="20"/>
      <c r="BJ1985" s="20"/>
      <c r="BK1985" s="20"/>
      <c r="BL1985" s="20"/>
      <c r="BM1985" s="20"/>
      <c r="BN1985" s="20"/>
      <c r="BO1985" s="20"/>
      <c r="BP1985" s="20"/>
      <c r="BQ1985" s="20"/>
      <c r="BR1985" s="20"/>
      <c r="BS1985" s="20"/>
      <c r="BT1985" s="20"/>
      <c r="BU1985" s="20"/>
      <c r="BV1985" s="20"/>
      <c r="BW1985" s="20"/>
      <c r="BX1985" s="20"/>
      <c r="BY1985" s="20"/>
      <c r="BZ1985" s="20"/>
      <c r="CA1985" s="20"/>
      <c r="CB1985" s="20"/>
      <c r="CC1985" s="20"/>
      <c r="CD1985" s="20"/>
      <c r="CE1985" s="20"/>
      <c r="CF1985" s="20"/>
      <c r="CG1985" s="20"/>
      <c r="CH1985" s="20"/>
      <c r="CI1985" s="20"/>
      <c r="CJ1985" s="20"/>
      <c r="CK1985" s="20"/>
      <c r="CL1985" s="20"/>
      <c r="CM1985" s="20"/>
      <c r="CN1985" s="20"/>
      <c r="CO1985" s="20"/>
      <c r="CP1985" s="20"/>
      <c r="CQ1985" s="20"/>
      <c r="CR1985" s="20"/>
      <c r="CS1985" s="20"/>
      <c r="CT1985" s="20"/>
      <c r="CU1985" s="20"/>
      <c r="CV1985" s="20"/>
      <c r="CW1985" s="20"/>
      <c r="CX1985" s="20"/>
      <c r="CY1985" s="20"/>
      <c r="CZ1985" s="20"/>
      <c r="DA1985" s="20"/>
      <c r="DB1985" s="20"/>
      <c r="DC1985" s="20"/>
      <c r="DD1985" s="20"/>
      <c r="DE1985" s="20"/>
      <c r="DF1985" s="20"/>
      <c r="DG1985" s="20"/>
      <c r="DH1985" s="20"/>
      <c r="DI1985" s="20"/>
      <c r="DJ1985" s="20"/>
      <c r="DK1985" s="20"/>
      <c r="DL1985" s="20"/>
      <c r="DM1985" s="20"/>
      <c r="DN1985" s="20"/>
      <c r="DO1985" s="20"/>
      <c r="DP1985" s="20"/>
      <c r="DQ1985" s="20"/>
      <c r="DR1985" s="20"/>
      <c r="DS1985" s="20"/>
      <c r="DT1985" s="20"/>
      <c r="DU1985" s="20"/>
      <c r="DV1985" s="20"/>
      <c r="DW1985" s="20"/>
      <c r="DX1985" s="20"/>
      <c r="DY1985" s="20"/>
      <c r="DZ1985" s="20"/>
      <c r="EA1985" s="20"/>
      <c r="EB1985" s="20"/>
      <c r="EC1985" s="20"/>
      <c r="ED1985" s="20"/>
      <c r="EE1985" s="20"/>
      <c r="EF1985" s="20"/>
      <c r="EG1985" s="20"/>
      <c r="EH1985" s="20"/>
      <c r="EI1985" s="20"/>
      <c r="EJ1985" s="20"/>
      <c r="EK1985" s="20"/>
      <c r="EL1985" s="20"/>
      <c r="EM1985" s="20"/>
      <c r="EN1985" s="20"/>
      <c r="EO1985" s="20"/>
      <c r="EP1985" s="20"/>
      <c r="EQ1985" s="20"/>
      <c r="ER1985" s="20"/>
      <c r="ES1985" s="20"/>
      <c r="ET1985" s="20"/>
      <c r="EU1985" s="20"/>
      <c r="EV1985" s="20"/>
      <c r="EW1985" s="20"/>
      <c r="EX1985" s="20"/>
      <c r="EY1985" s="20"/>
      <c r="EZ1985" s="20"/>
      <c r="FA1985" s="20"/>
      <c r="FB1985" s="20"/>
      <c r="FC1985" s="20"/>
      <c r="FD1985" s="20"/>
      <c r="FE1985" s="20"/>
      <c r="FF1985" s="20"/>
      <c r="FG1985" s="20"/>
      <c r="FH1985" s="20"/>
      <c r="FI1985" s="20"/>
      <c r="FJ1985" s="20"/>
      <c r="FK1985" s="20"/>
      <c r="FL1985" s="20"/>
      <c r="FM1985" s="20"/>
      <c r="FN1985" s="20"/>
      <c r="FO1985" s="20"/>
      <c r="FP1985" s="20"/>
      <c r="FQ1985" s="20"/>
      <c r="FR1985" s="20"/>
      <c r="FS1985" s="20"/>
      <c r="FT1985" s="20"/>
      <c r="FU1985" s="20"/>
      <c r="FV1985" s="20"/>
      <c r="FW1985" s="20"/>
      <c r="FX1985" s="20"/>
      <c r="FY1985" s="20"/>
      <c r="FZ1985" s="20"/>
      <c r="GA1985" s="20"/>
      <c r="GB1985" s="20"/>
      <c r="GC1985" s="20"/>
      <c r="GD1985" s="20"/>
      <c r="GE1985" s="20"/>
      <c r="GF1985" s="20"/>
      <c r="GG1985" s="20"/>
      <c r="GH1985" s="20"/>
      <c r="GI1985" s="20"/>
      <c r="GJ1985" s="20"/>
      <c r="GK1985" s="20"/>
      <c r="GL1985" s="20"/>
      <c r="GM1985" s="20"/>
      <c r="GN1985" s="20"/>
      <c r="GO1985" s="20"/>
      <c r="GP1985" s="20"/>
      <c r="GQ1985" s="20"/>
      <c r="GR1985" s="20"/>
      <c r="GS1985" s="20"/>
      <c r="GT1985" s="20"/>
      <c r="GU1985" s="20"/>
      <c r="GV1985" s="20"/>
      <c r="GW1985" s="20"/>
      <c r="GX1985" s="20"/>
      <c r="GY1985" s="20"/>
      <c r="GZ1985" s="20"/>
      <c r="HA1985" s="20"/>
      <c r="HB1985" s="20"/>
      <c r="HC1985" s="20"/>
      <c r="HD1985" s="20"/>
      <c r="HE1985" s="20"/>
      <c r="HF1985" s="20"/>
      <c r="HG1985" s="20"/>
      <c r="HH1985" s="20"/>
      <c r="HI1985" s="20"/>
      <c r="HJ1985" s="20"/>
      <c r="HK1985" s="20"/>
      <c r="HL1985" s="20"/>
      <c r="HM1985" s="20"/>
      <c r="HN1985" s="20"/>
      <c r="HO1985" s="20"/>
      <c r="HP1985" s="20"/>
      <c r="HQ1985" s="20"/>
      <c r="HR1985" s="20"/>
      <c r="HS1985" s="20"/>
      <c r="HT1985" s="20"/>
      <c r="HU1985" s="20"/>
      <c r="HV1985" s="20"/>
      <c r="HW1985" s="20"/>
      <c r="HX1985" s="20"/>
      <c r="HY1985" s="20"/>
      <c r="HZ1985" s="20"/>
      <c r="IA1985" s="20"/>
      <c r="IB1985" s="20"/>
      <c r="IC1985" s="20"/>
      <c r="ID1985" s="20"/>
      <c r="IE1985" s="20"/>
      <c r="IF1985" s="20"/>
      <c r="IG1985" s="20"/>
      <c r="IH1985" s="20"/>
      <c r="II1985" s="20"/>
      <c r="IJ1985" s="20"/>
      <c r="IK1985" s="20"/>
      <c r="IL1985" s="20"/>
      <c r="IM1985" s="20"/>
      <c r="IN1985" s="20"/>
      <c r="IO1985" s="20"/>
    </row>
    <row r="1986" spans="1:249" s="22" customFormat="1" ht="82.5">
      <c r="A1986" s="794"/>
      <c r="B1986" s="840"/>
      <c r="C1986" s="841">
        <v>4</v>
      </c>
      <c r="D1986" s="841" t="s">
        <v>34</v>
      </c>
      <c r="E1986" s="841" t="s">
        <v>25</v>
      </c>
      <c r="F1986" s="841" t="s">
        <v>61</v>
      </c>
      <c r="G1986" s="841" t="s">
        <v>38</v>
      </c>
      <c r="H1986" s="841"/>
      <c r="I1986" s="6" t="s">
        <v>1892</v>
      </c>
      <c r="J1986" s="6" t="s">
        <v>3390</v>
      </c>
      <c r="K1986" s="1902">
        <v>90</v>
      </c>
      <c r="L1986" s="1908">
        <v>805000000</v>
      </c>
      <c r="M1986" s="1903">
        <v>30</v>
      </c>
      <c r="N1986" s="1904">
        <f>110528287+128163192</f>
        <v>238691479</v>
      </c>
      <c r="O1986" s="1902">
        <v>15</v>
      </c>
      <c r="P1986" s="1904">
        <v>122333918</v>
      </c>
      <c r="Q1986" s="1903">
        <v>3</v>
      </c>
      <c r="R1986" s="1904">
        <v>10713100</v>
      </c>
      <c r="S1986" s="795">
        <v>3</v>
      </c>
      <c r="T1986" s="1906">
        <v>26357700</v>
      </c>
      <c r="U1986" s="795"/>
      <c r="V1986" s="1906"/>
      <c r="W1986" s="795"/>
      <c r="X1986" s="1906"/>
      <c r="Y1986" s="1903">
        <f>Q1986+S1986+U1986+W1986</f>
        <v>6</v>
      </c>
      <c r="Z1986" s="1906">
        <f t="shared" si="590"/>
        <v>37070800</v>
      </c>
      <c r="AA1986" s="1903">
        <f t="shared" si="578"/>
        <v>36</v>
      </c>
      <c r="AB1986" s="1906">
        <f t="shared" si="579"/>
        <v>275762279</v>
      </c>
      <c r="AC1986" s="1907">
        <f t="shared" si="589"/>
        <v>40</v>
      </c>
      <c r="AD1986" s="1907">
        <f t="shared" si="591"/>
        <v>34.256183726708073</v>
      </c>
      <c r="AE1986" s="1936" t="s">
        <v>1995</v>
      </c>
      <c r="AF1986" s="201"/>
      <c r="AG1986" s="201"/>
      <c r="AH1986" s="201"/>
      <c r="AI1986" s="201"/>
      <c r="AJ1986" s="201"/>
      <c r="AK1986" s="201"/>
      <c r="AL1986" s="201"/>
      <c r="AM1986" s="201"/>
      <c r="AN1986" s="201"/>
      <c r="AO1986" s="201"/>
      <c r="AP1986" s="201"/>
      <c r="AQ1986" s="201"/>
      <c r="AR1986" s="201"/>
      <c r="AS1986" s="201"/>
      <c r="AT1986" s="201"/>
      <c r="AU1986" s="201"/>
      <c r="AV1986" s="201"/>
      <c r="AW1986" s="201"/>
      <c r="AX1986" s="201"/>
      <c r="AY1986" s="201"/>
      <c r="AZ1986" s="201"/>
      <c r="BA1986" s="201"/>
      <c r="BB1986" s="201"/>
      <c r="BC1986" s="20"/>
      <c r="BD1986" s="20"/>
      <c r="BE1986" s="20"/>
      <c r="BF1986" s="20"/>
      <c r="BG1986" s="20"/>
      <c r="BH1986" s="20"/>
      <c r="BI1986" s="20"/>
      <c r="BJ1986" s="20"/>
      <c r="BK1986" s="20"/>
      <c r="BL1986" s="20"/>
      <c r="BM1986" s="20"/>
      <c r="BN1986" s="20"/>
      <c r="BO1986" s="20"/>
      <c r="BP1986" s="20"/>
      <c r="BQ1986" s="20"/>
      <c r="BR1986" s="20"/>
      <c r="BS1986" s="20"/>
      <c r="BT1986" s="20"/>
      <c r="BU1986" s="20"/>
      <c r="BV1986" s="20"/>
      <c r="BW1986" s="20"/>
      <c r="BX1986" s="20"/>
      <c r="BY1986" s="20"/>
      <c r="BZ1986" s="20"/>
      <c r="CA1986" s="20"/>
      <c r="CB1986" s="20"/>
      <c r="CC1986" s="20"/>
      <c r="CD1986" s="20"/>
      <c r="CE1986" s="20"/>
      <c r="CF1986" s="20"/>
      <c r="CG1986" s="20"/>
      <c r="CH1986" s="20"/>
      <c r="CI1986" s="20"/>
      <c r="CJ1986" s="20"/>
      <c r="CK1986" s="20"/>
      <c r="CL1986" s="20"/>
      <c r="CM1986" s="20"/>
      <c r="CN1986" s="20"/>
      <c r="CO1986" s="20"/>
      <c r="CP1986" s="20"/>
      <c r="CQ1986" s="20"/>
      <c r="CR1986" s="20"/>
      <c r="CS1986" s="20"/>
      <c r="CT1986" s="20"/>
      <c r="CU1986" s="20"/>
      <c r="CV1986" s="20"/>
      <c r="CW1986" s="20"/>
      <c r="CX1986" s="20"/>
      <c r="CY1986" s="20"/>
      <c r="CZ1986" s="20"/>
      <c r="DA1986" s="20"/>
      <c r="DB1986" s="20"/>
      <c r="DC1986" s="20"/>
      <c r="DD1986" s="20"/>
      <c r="DE1986" s="20"/>
      <c r="DF1986" s="20"/>
      <c r="DG1986" s="20"/>
      <c r="DH1986" s="20"/>
      <c r="DI1986" s="20"/>
      <c r="DJ1986" s="20"/>
      <c r="DK1986" s="20"/>
      <c r="DL1986" s="20"/>
      <c r="DM1986" s="20"/>
      <c r="DN1986" s="20"/>
      <c r="DO1986" s="20"/>
      <c r="DP1986" s="20"/>
      <c r="DQ1986" s="20"/>
      <c r="DR1986" s="20"/>
      <c r="DS1986" s="20"/>
      <c r="DT1986" s="20"/>
      <c r="DU1986" s="20"/>
      <c r="DV1986" s="20"/>
      <c r="DW1986" s="20"/>
      <c r="DX1986" s="20"/>
      <c r="DY1986" s="20"/>
      <c r="DZ1986" s="20"/>
      <c r="EA1986" s="20"/>
      <c r="EB1986" s="20"/>
      <c r="EC1986" s="20"/>
      <c r="ED1986" s="20"/>
      <c r="EE1986" s="20"/>
      <c r="EF1986" s="20"/>
      <c r="EG1986" s="20"/>
      <c r="EH1986" s="20"/>
      <c r="EI1986" s="20"/>
      <c r="EJ1986" s="20"/>
      <c r="EK1986" s="20"/>
      <c r="EL1986" s="20"/>
      <c r="EM1986" s="20"/>
      <c r="EN1986" s="20"/>
      <c r="EO1986" s="20"/>
      <c r="EP1986" s="20"/>
      <c r="EQ1986" s="20"/>
      <c r="ER1986" s="20"/>
      <c r="ES1986" s="20"/>
      <c r="ET1986" s="20"/>
      <c r="EU1986" s="20"/>
      <c r="EV1986" s="20"/>
      <c r="EW1986" s="20"/>
      <c r="EX1986" s="20"/>
      <c r="EY1986" s="20"/>
      <c r="EZ1986" s="20"/>
      <c r="FA1986" s="20"/>
      <c r="FB1986" s="20"/>
      <c r="FC1986" s="20"/>
      <c r="FD1986" s="20"/>
      <c r="FE1986" s="20"/>
      <c r="FF1986" s="20"/>
      <c r="FG1986" s="20"/>
      <c r="FH1986" s="20"/>
      <c r="FI1986" s="20"/>
      <c r="FJ1986" s="20"/>
      <c r="FK1986" s="20"/>
      <c r="FL1986" s="20"/>
      <c r="FM1986" s="20"/>
      <c r="FN1986" s="20"/>
      <c r="FO1986" s="20"/>
      <c r="FP1986" s="20"/>
      <c r="FQ1986" s="20"/>
      <c r="FR1986" s="20"/>
      <c r="FS1986" s="20"/>
      <c r="FT1986" s="20"/>
      <c r="FU1986" s="20"/>
      <c r="FV1986" s="20"/>
      <c r="FW1986" s="20"/>
      <c r="FX1986" s="20"/>
      <c r="FY1986" s="20"/>
      <c r="FZ1986" s="20"/>
      <c r="GA1986" s="20"/>
      <c r="GB1986" s="20"/>
      <c r="GC1986" s="20"/>
      <c r="GD1986" s="20"/>
      <c r="GE1986" s="20"/>
      <c r="GF1986" s="20"/>
      <c r="GG1986" s="20"/>
      <c r="GH1986" s="20"/>
      <c r="GI1986" s="20"/>
      <c r="GJ1986" s="20"/>
      <c r="GK1986" s="20"/>
      <c r="GL1986" s="20"/>
      <c r="GM1986" s="20"/>
      <c r="GN1986" s="20"/>
      <c r="GO1986" s="20"/>
      <c r="GP1986" s="20"/>
      <c r="GQ1986" s="20"/>
      <c r="GR1986" s="20"/>
      <c r="GS1986" s="20"/>
      <c r="GT1986" s="20"/>
      <c r="GU1986" s="20"/>
      <c r="GV1986" s="20"/>
      <c r="GW1986" s="20"/>
      <c r="GX1986" s="20"/>
      <c r="GY1986" s="20"/>
      <c r="GZ1986" s="20"/>
      <c r="HA1986" s="20"/>
      <c r="HB1986" s="20"/>
      <c r="HC1986" s="20"/>
      <c r="HD1986" s="20"/>
      <c r="HE1986" s="20"/>
      <c r="HF1986" s="20"/>
      <c r="HG1986" s="20"/>
      <c r="HH1986" s="20"/>
      <c r="HI1986" s="20"/>
      <c r="HJ1986" s="20"/>
      <c r="HK1986" s="20"/>
      <c r="HL1986" s="20"/>
      <c r="HM1986" s="20"/>
      <c r="HN1986" s="20"/>
      <c r="HO1986" s="20"/>
      <c r="HP1986" s="20"/>
      <c r="HQ1986" s="20"/>
      <c r="HR1986" s="20"/>
      <c r="HS1986" s="20"/>
      <c r="HT1986" s="20"/>
      <c r="HU1986" s="20"/>
      <c r="HV1986" s="20"/>
      <c r="HW1986" s="20"/>
      <c r="HX1986" s="20"/>
      <c r="HY1986" s="20"/>
      <c r="HZ1986" s="20"/>
      <c r="IA1986" s="20"/>
      <c r="IB1986" s="20"/>
      <c r="IC1986" s="20"/>
      <c r="ID1986" s="20"/>
      <c r="IE1986" s="20"/>
      <c r="IF1986" s="20"/>
      <c r="IG1986" s="20"/>
      <c r="IH1986" s="20"/>
      <c r="II1986" s="20"/>
      <c r="IJ1986" s="20"/>
      <c r="IK1986" s="20"/>
      <c r="IL1986" s="20"/>
      <c r="IM1986" s="20"/>
      <c r="IN1986" s="20"/>
      <c r="IO1986" s="20"/>
    </row>
    <row r="1987" spans="1:249" s="22" customFormat="1" ht="82.5">
      <c r="A1987" s="794"/>
      <c r="B1987" s="840"/>
      <c r="C1987" s="841">
        <v>4</v>
      </c>
      <c r="D1987" s="841" t="s">
        <v>34</v>
      </c>
      <c r="E1987" s="841" t="s">
        <v>25</v>
      </c>
      <c r="F1987" s="841" t="s">
        <v>61</v>
      </c>
      <c r="G1987" s="841" t="s">
        <v>29</v>
      </c>
      <c r="H1987" s="841"/>
      <c r="I1987" s="6" t="s">
        <v>1893</v>
      </c>
      <c r="J1987" s="6" t="s">
        <v>3391</v>
      </c>
      <c r="K1987" s="1902">
        <v>72</v>
      </c>
      <c r="L1987" s="1908">
        <v>745843573</v>
      </c>
      <c r="M1987" s="1903">
        <v>36</v>
      </c>
      <c r="N1987" s="1904">
        <f>219259400+195485430+172687193</f>
        <v>587432023</v>
      </c>
      <c r="O1987" s="1903">
        <v>12</v>
      </c>
      <c r="P1987" s="1904">
        <v>151184200</v>
      </c>
      <c r="Q1987" s="1903">
        <v>1</v>
      </c>
      <c r="R1987" s="1904">
        <v>9645400</v>
      </c>
      <c r="S1987" s="795">
        <v>11</v>
      </c>
      <c r="T1987" s="1906">
        <v>40228500</v>
      </c>
      <c r="U1987" s="795"/>
      <c r="V1987" s="1906"/>
      <c r="W1987" s="795"/>
      <c r="X1987" s="1906"/>
      <c r="Y1987" s="1903">
        <v>45</v>
      </c>
      <c r="Z1987" s="1906">
        <f t="shared" si="590"/>
        <v>49873900</v>
      </c>
      <c r="AA1987" s="1903">
        <f t="shared" si="578"/>
        <v>81</v>
      </c>
      <c r="AB1987" s="1906">
        <f t="shared" si="579"/>
        <v>637305923</v>
      </c>
      <c r="AC1987" s="1907">
        <f t="shared" si="589"/>
        <v>112.5</v>
      </c>
      <c r="AD1987" s="1907">
        <f t="shared" si="591"/>
        <v>85.447665713142769</v>
      </c>
      <c r="AE1987" s="102" t="s">
        <v>1994</v>
      </c>
      <c r="AF1987" s="201"/>
      <c r="AG1987" s="201"/>
      <c r="AH1987" s="201"/>
      <c r="AI1987" s="201"/>
      <c r="AJ1987" s="201"/>
      <c r="AK1987" s="201"/>
      <c r="AL1987" s="201"/>
      <c r="AM1987" s="201"/>
      <c r="AN1987" s="201"/>
      <c r="AO1987" s="201"/>
      <c r="AP1987" s="201"/>
      <c r="AQ1987" s="201"/>
      <c r="AR1987" s="201"/>
      <c r="AS1987" s="201"/>
      <c r="AT1987" s="201"/>
      <c r="AU1987" s="201"/>
      <c r="AV1987" s="201"/>
      <c r="AW1987" s="201"/>
      <c r="AX1987" s="201"/>
      <c r="AY1987" s="201"/>
      <c r="AZ1987" s="201"/>
      <c r="BA1987" s="201"/>
      <c r="BB1987" s="201"/>
      <c r="BC1987" s="20"/>
      <c r="BD1987" s="20"/>
      <c r="BE1987" s="20"/>
      <c r="BF1987" s="20"/>
      <c r="BG1987" s="20"/>
      <c r="BH1987" s="20"/>
      <c r="BI1987" s="20"/>
      <c r="BJ1987" s="20"/>
      <c r="BK1987" s="20"/>
      <c r="BL1987" s="20"/>
      <c r="BM1987" s="20"/>
      <c r="BN1987" s="20"/>
      <c r="BO1987" s="20"/>
      <c r="BP1987" s="20"/>
      <c r="BQ1987" s="20"/>
      <c r="BR1987" s="20"/>
      <c r="BS1987" s="20"/>
      <c r="BT1987" s="20"/>
      <c r="BU1987" s="20"/>
      <c r="BV1987" s="20"/>
      <c r="BW1987" s="20"/>
      <c r="BX1987" s="20"/>
      <c r="BY1987" s="20"/>
      <c r="BZ1987" s="20"/>
      <c r="CA1987" s="20"/>
      <c r="CB1987" s="20"/>
      <c r="CC1987" s="20"/>
      <c r="CD1987" s="20"/>
      <c r="CE1987" s="20"/>
      <c r="CF1987" s="20"/>
      <c r="CG1987" s="20"/>
      <c r="CH1987" s="20"/>
      <c r="CI1987" s="20"/>
      <c r="CJ1987" s="20"/>
      <c r="CK1987" s="20"/>
      <c r="CL1987" s="20"/>
      <c r="CM1987" s="20"/>
      <c r="CN1987" s="20"/>
      <c r="CO1987" s="20"/>
      <c r="CP1987" s="20"/>
      <c r="CQ1987" s="20"/>
      <c r="CR1987" s="20"/>
      <c r="CS1987" s="20"/>
      <c r="CT1987" s="20"/>
      <c r="CU1987" s="20"/>
      <c r="CV1987" s="20"/>
      <c r="CW1987" s="20"/>
      <c r="CX1987" s="20"/>
      <c r="CY1987" s="20"/>
      <c r="CZ1987" s="20"/>
      <c r="DA1987" s="20"/>
      <c r="DB1987" s="20"/>
      <c r="DC1987" s="20"/>
      <c r="DD1987" s="20"/>
      <c r="DE1987" s="20"/>
      <c r="DF1987" s="20"/>
      <c r="DG1987" s="20"/>
      <c r="DH1987" s="20"/>
      <c r="DI1987" s="20"/>
      <c r="DJ1987" s="20"/>
      <c r="DK1987" s="20"/>
      <c r="DL1987" s="20"/>
      <c r="DM1987" s="20"/>
      <c r="DN1987" s="20"/>
      <c r="DO1987" s="20"/>
      <c r="DP1987" s="20"/>
      <c r="DQ1987" s="20"/>
      <c r="DR1987" s="20"/>
      <c r="DS1987" s="20"/>
      <c r="DT1987" s="20"/>
      <c r="DU1987" s="20"/>
      <c r="DV1987" s="20"/>
      <c r="DW1987" s="20"/>
      <c r="DX1987" s="20"/>
      <c r="DY1987" s="20"/>
      <c r="DZ1987" s="20"/>
      <c r="EA1987" s="20"/>
      <c r="EB1987" s="20"/>
      <c r="EC1987" s="20"/>
      <c r="ED1987" s="20"/>
      <c r="EE1987" s="20"/>
      <c r="EF1987" s="20"/>
      <c r="EG1987" s="20"/>
      <c r="EH1987" s="20"/>
      <c r="EI1987" s="20"/>
      <c r="EJ1987" s="20"/>
      <c r="EK1987" s="20"/>
      <c r="EL1987" s="20"/>
      <c r="EM1987" s="20"/>
      <c r="EN1987" s="20"/>
      <c r="EO1987" s="20"/>
      <c r="EP1987" s="20"/>
      <c r="EQ1987" s="20"/>
      <c r="ER1987" s="20"/>
      <c r="ES1987" s="20"/>
      <c r="ET1987" s="20"/>
      <c r="EU1987" s="20"/>
      <c r="EV1987" s="20"/>
      <c r="EW1987" s="20"/>
      <c r="EX1987" s="20"/>
      <c r="EY1987" s="20"/>
      <c r="EZ1987" s="20"/>
      <c r="FA1987" s="20"/>
      <c r="FB1987" s="20"/>
      <c r="FC1987" s="20"/>
      <c r="FD1987" s="20"/>
      <c r="FE1987" s="20"/>
      <c r="FF1987" s="20"/>
      <c r="FG1987" s="20"/>
      <c r="FH1987" s="20"/>
      <c r="FI1987" s="20"/>
      <c r="FJ1987" s="20"/>
      <c r="FK1987" s="20"/>
      <c r="FL1987" s="20"/>
      <c r="FM1987" s="20"/>
      <c r="FN1987" s="20"/>
      <c r="FO1987" s="20"/>
      <c r="FP1987" s="20"/>
      <c r="FQ1987" s="20"/>
      <c r="FR1987" s="20"/>
      <c r="FS1987" s="20"/>
      <c r="FT1987" s="20"/>
      <c r="FU1987" s="20"/>
      <c r="FV1987" s="20"/>
      <c r="FW1987" s="20"/>
      <c r="FX1987" s="20"/>
      <c r="FY1987" s="20"/>
      <c r="FZ1987" s="20"/>
      <c r="GA1987" s="20"/>
      <c r="GB1987" s="20"/>
      <c r="GC1987" s="20"/>
      <c r="GD1987" s="20"/>
      <c r="GE1987" s="20"/>
      <c r="GF1987" s="20"/>
      <c r="GG1987" s="20"/>
      <c r="GH1987" s="20"/>
      <c r="GI1987" s="20"/>
      <c r="GJ1987" s="20"/>
      <c r="GK1987" s="20"/>
      <c r="GL1987" s="20"/>
      <c r="GM1987" s="20"/>
      <c r="GN1987" s="20"/>
      <c r="GO1987" s="20"/>
      <c r="GP1987" s="20"/>
      <c r="GQ1987" s="20"/>
      <c r="GR1987" s="20"/>
      <c r="GS1987" s="20"/>
      <c r="GT1987" s="20"/>
      <c r="GU1987" s="20"/>
      <c r="GV1987" s="20"/>
      <c r="GW1987" s="20"/>
      <c r="GX1987" s="20"/>
      <c r="GY1987" s="20"/>
      <c r="GZ1987" s="20"/>
      <c r="HA1987" s="20"/>
      <c r="HB1987" s="20"/>
      <c r="HC1987" s="20"/>
      <c r="HD1987" s="20"/>
      <c r="HE1987" s="20"/>
      <c r="HF1987" s="20"/>
      <c r="HG1987" s="20"/>
      <c r="HH1987" s="20"/>
      <c r="HI1987" s="20"/>
      <c r="HJ1987" s="20"/>
      <c r="HK1987" s="20"/>
      <c r="HL1987" s="20"/>
      <c r="HM1987" s="20"/>
      <c r="HN1987" s="20"/>
      <c r="HO1987" s="20"/>
      <c r="HP1987" s="20"/>
      <c r="HQ1987" s="20"/>
      <c r="HR1987" s="20"/>
      <c r="HS1987" s="20"/>
      <c r="HT1987" s="20"/>
      <c r="HU1987" s="20"/>
      <c r="HV1987" s="20"/>
      <c r="HW1987" s="20"/>
      <c r="HX1987" s="20"/>
      <c r="HY1987" s="20"/>
      <c r="HZ1987" s="20"/>
      <c r="IA1987" s="20"/>
      <c r="IB1987" s="20"/>
      <c r="IC1987" s="20"/>
      <c r="ID1987" s="20"/>
      <c r="IE1987" s="20"/>
      <c r="IF1987" s="20"/>
      <c r="IG1987" s="20"/>
      <c r="IH1987" s="20"/>
      <c r="II1987" s="20"/>
      <c r="IJ1987" s="20"/>
      <c r="IK1987" s="20"/>
      <c r="IL1987" s="20"/>
      <c r="IM1987" s="20"/>
      <c r="IN1987" s="20"/>
      <c r="IO1987" s="20"/>
    </row>
    <row r="1988" spans="1:249" s="22" customFormat="1" ht="49.5">
      <c r="A1988" s="794"/>
      <c r="B1988" s="840"/>
      <c r="C1988" s="841">
        <v>4</v>
      </c>
      <c r="D1988" s="841" t="s">
        <v>34</v>
      </c>
      <c r="E1988" s="841" t="s">
        <v>25</v>
      </c>
      <c r="F1988" s="841" t="s">
        <v>61</v>
      </c>
      <c r="G1988" s="841" t="s">
        <v>30</v>
      </c>
      <c r="H1988" s="841"/>
      <c r="I1988" s="6" t="s">
        <v>1894</v>
      </c>
      <c r="J1988" s="6" t="s">
        <v>1895</v>
      </c>
      <c r="K1988" s="1902">
        <v>725</v>
      </c>
      <c r="L1988" s="1908">
        <v>1025000000</v>
      </c>
      <c r="M1988" s="1903">
        <v>150</v>
      </c>
      <c r="N1988" s="1904">
        <v>121550432</v>
      </c>
      <c r="O1988" s="1902">
        <v>150</v>
      </c>
      <c r="P1988" s="1904">
        <v>135499538</v>
      </c>
      <c r="Q1988" s="1903">
        <v>37</v>
      </c>
      <c r="R1988" s="1904">
        <v>10500000</v>
      </c>
      <c r="S1988" s="795">
        <v>37</v>
      </c>
      <c r="T1988" s="1906">
        <v>48600600</v>
      </c>
      <c r="U1988" s="795"/>
      <c r="V1988" s="1906"/>
      <c r="W1988" s="795"/>
      <c r="X1988" s="1906"/>
      <c r="Y1988" s="1903">
        <f>Q1988+S1988+W1988</f>
        <v>74</v>
      </c>
      <c r="Z1988" s="1906">
        <f t="shared" si="590"/>
        <v>59100600</v>
      </c>
      <c r="AA1988" s="1903">
        <f t="shared" si="578"/>
        <v>224</v>
      </c>
      <c r="AB1988" s="1906">
        <f t="shared" si="579"/>
        <v>180651032</v>
      </c>
      <c r="AC1988" s="1907">
        <f t="shared" si="589"/>
        <v>30.896551724137932</v>
      </c>
      <c r="AD1988" s="1907">
        <f t="shared" si="591"/>
        <v>17.624490926829267</v>
      </c>
      <c r="AE1988" s="1936" t="s">
        <v>1995</v>
      </c>
      <c r="AF1988" s="201"/>
      <c r="AG1988" s="201"/>
      <c r="AH1988" s="201"/>
      <c r="AI1988" s="201"/>
      <c r="AJ1988" s="201"/>
      <c r="AK1988" s="201"/>
      <c r="AL1988" s="201"/>
      <c r="AM1988" s="201"/>
      <c r="AN1988" s="201"/>
      <c r="AO1988" s="201"/>
      <c r="AP1988" s="201"/>
      <c r="AQ1988" s="201"/>
      <c r="AR1988" s="201"/>
      <c r="AS1988" s="201"/>
      <c r="AT1988" s="201"/>
      <c r="AU1988" s="201"/>
      <c r="AV1988" s="201"/>
      <c r="AW1988" s="201"/>
      <c r="AX1988" s="201"/>
      <c r="AY1988" s="201"/>
      <c r="AZ1988" s="201"/>
      <c r="BA1988" s="201"/>
      <c r="BB1988" s="201"/>
      <c r="BC1988" s="20"/>
      <c r="BD1988" s="20"/>
      <c r="BE1988" s="20"/>
      <c r="BF1988" s="20"/>
      <c r="BG1988" s="20"/>
      <c r="BH1988" s="20"/>
      <c r="BI1988" s="20"/>
      <c r="BJ1988" s="20"/>
      <c r="BK1988" s="20"/>
      <c r="BL1988" s="20"/>
      <c r="BM1988" s="20"/>
      <c r="BN1988" s="20"/>
      <c r="BO1988" s="20"/>
      <c r="BP1988" s="20"/>
      <c r="BQ1988" s="20"/>
      <c r="BR1988" s="20"/>
      <c r="BS1988" s="20"/>
      <c r="BT1988" s="20"/>
      <c r="BU1988" s="20"/>
      <c r="BV1988" s="20"/>
      <c r="BW1988" s="20"/>
      <c r="BX1988" s="20"/>
      <c r="BY1988" s="20"/>
      <c r="BZ1988" s="20"/>
      <c r="CA1988" s="20"/>
      <c r="CB1988" s="20"/>
      <c r="CC1988" s="20"/>
      <c r="CD1988" s="20"/>
      <c r="CE1988" s="20"/>
      <c r="CF1988" s="20"/>
      <c r="CG1988" s="20"/>
      <c r="CH1988" s="20"/>
      <c r="CI1988" s="20"/>
      <c r="CJ1988" s="20"/>
      <c r="CK1988" s="20"/>
      <c r="CL1988" s="20"/>
      <c r="CM1988" s="20"/>
      <c r="CN1988" s="20"/>
      <c r="CO1988" s="20"/>
      <c r="CP1988" s="20"/>
      <c r="CQ1988" s="20"/>
      <c r="CR1988" s="20"/>
      <c r="CS1988" s="20"/>
      <c r="CT1988" s="20"/>
      <c r="CU1988" s="20"/>
      <c r="CV1988" s="20"/>
      <c r="CW1988" s="20"/>
      <c r="CX1988" s="20"/>
      <c r="CY1988" s="20"/>
      <c r="CZ1988" s="20"/>
      <c r="DA1988" s="20"/>
      <c r="DB1988" s="20"/>
      <c r="DC1988" s="20"/>
      <c r="DD1988" s="20"/>
      <c r="DE1988" s="20"/>
      <c r="DF1988" s="20"/>
      <c r="DG1988" s="20"/>
      <c r="DH1988" s="20"/>
      <c r="DI1988" s="20"/>
      <c r="DJ1988" s="20"/>
      <c r="DK1988" s="20"/>
      <c r="DL1988" s="20"/>
      <c r="DM1988" s="20"/>
      <c r="DN1988" s="20"/>
      <c r="DO1988" s="20"/>
      <c r="DP1988" s="20"/>
      <c r="DQ1988" s="20"/>
      <c r="DR1988" s="20"/>
      <c r="DS1988" s="20"/>
      <c r="DT1988" s="20"/>
      <c r="DU1988" s="20"/>
      <c r="DV1988" s="20"/>
      <c r="DW1988" s="20"/>
      <c r="DX1988" s="20"/>
      <c r="DY1988" s="20"/>
      <c r="DZ1988" s="20"/>
      <c r="EA1988" s="20"/>
      <c r="EB1988" s="20"/>
      <c r="EC1988" s="20"/>
      <c r="ED1988" s="20"/>
      <c r="EE1988" s="20"/>
      <c r="EF1988" s="20"/>
      <c r="EG1988" s="20"/>
      <c r="EH1988" s="20"/>
      <c r="EI1988" s="20"/>
      <c r="EJ1988" s="20"/>
      <c r="EK1988" s="20"/>
      <c r="EL1988" s="20"/>
      <c r="EM1988" s="20"/>
      <c r="EN1988" s="20"/>
      <c r="EO1988" s="20"/>
      <c r="EP1988" s="20"/>
      <c r="EQ1988" s="20"/>
      <c r="ER1988" s="20"/>
      <c r="ES1988" s="20"/>
      <c r="ET1988" s="20"/>
      <c r="EU1988" s="20"/>
      <c r="EV1988" s="20"/>
      <c r="EW1988" s="20"/>
      <c r="EX1988" s="20"/>
      <c r="EY1988" s="20"/>
      <c r="EZ1988" s="20"/>
      <c r="FA1988" s="20"/>
      <c r="FB1988" s="20"/>
      <c r="FC1988" s="20"/>
      <c r="FD1988" s="20"/>
      <c r="FE1988" s="20"/>
      <c r="FF1988" s="20"/>
      <c r="FG1988" s="20"/>
      <c r="FH1988" s="20"/>
      <c r="FI1988" s="20"/>
      <c r="FJ1988" s="20"/>
      <c r="FK1988" s="20"/>
      <c r="FL1988" s="20"/>
      <c r="FM1988" s="20"/>
      <c r="FN1988" s="20"/>
      <c r="FO1988" s="20"/>
      <c r="FP1988" s="20"/>
      <c r="FQ1988" s="20"/>
      <c r="FR1988" s="20"/>
      <c r="FS1988" s="20"/>
      <c r="FT1988" s="20"/>
      <c r="FU1988" s="20"/>
      <c r="FV1988" s="20"/>
      <c r="FW1988" s="20"/>
      <c r="FX1988" s="20"/>
      <c r="FY1988" s="20"/>
      <c r="FZ1988" s="20"/>
      <c r="GA1988" s="20"/>
      <c r="GB1988" s="20"/>
      <c r="GC1988" s="20"/>
      <c r="GD1988" s="20"/>
      <c r="GE1988" s="20"/>
      <c r="GF1988" s="20"/>
      <c r="GG1988" s="20"/>
      <c r="GH1988" s="20"/>
      <c r="GI1988" s="20"/>
      <c r="GJ1988" s="20"/>
      <c r="GK1988" s="20"/>
      <c r="GL1988" s="20"/>
      <c r="GM1988" s="20"/>
      <c r="GN1988" s="20"/>
      <c r="GO1988" s="20"/>
      <c r="GP1988" s="20"/>
      <c r="GQ1988" s="20"/>
      <c r="GR1988" s="20"/>
      <c r="GS1988" s="20"/>
      <c r="GT1988" s="20"/>
      <c r="GU1988" s="20"/>
      <c r="GV1988" s="20"/>
      <c r="GW1988" s="20"/>
      <c r="GX1988" s="20"/>
      <c r="GY1988" s="20"/>
      <c r="GZ1988" s="20"/>
      <c r="HA1988" s="20"/>
      <c r="HB1988" s="20"/>
      <c r="HC1988" s="20"/>
      <c r="HD1988" s="20"/>
      <c r="HE1988" s="20"/>
      <c r="HF1988" s="20"/>
      <c r="HG1988" s="20"/>
      <c r="HH1988" s="20"/>
      <c r="HI1988" s="20"/>
      <c r="HJ1988" s="20"/>
      <c r="HK1988" s="20"/>
      <c r="HL1988" s="20"/>
      <c r="HM1988" s="20"/>
      <c r="HN1988" s="20"/>
      <c r="HO1988" s="20"/>
      <c r="HP1988" s="20"/>
      <c r="HQ1988" s="20"/>
      <c r="HR1988" s="20"/>
      <c r="HS1988" s="20"/>
      <c r="HT1988" s="20"/>
      <c r="HU1988" s="20"/>
      <c r="HV1988" s="20"/>
      <c r="HW1988" s="20"/>
      <c r="HX1988" s="20"/>
      <c r="HY1988" s="20"/>
      <c r="HZ1988" s="20"/>
      <c r="IA1988" s="20"/>
      <c r="IB1988" s="20"/>
      <c r="IC1988" s="20"/>
      <c r="ID1988" s="20"/>
      <c r="IE1988" s="20"/>
      <c r="IF1988" s="20"/>
      <c r="IG1988" s="20"/>
      <c r="IH1988" s="20"/>
      <c r="II1988" s="20"/>
      <c r="IJ1988" s="20"/>
      <c r="IK1988" s="20"/>
      <c r="IL1988" s="20"/>
      <c r="IM1988" s="20"/>
      <c r="IN1988" s="20"/>
      <c r="IO1988" s="20"/>
    </row>
    <row r="1989" spans="1:249" s="22" customFormat="1" ht="66">
      <c r="A1989" s="794"/>
      <c r="B1989" s="840"/>
      <c r="C1989" s="841">
        <v>4</v>
      </c>
      <c r="D1989" s="841" t="s">
        <v>34</v>
      </c>
      <c r="E1989" s="841" t="s">
        <v>25</v>
      </c>
      <c r="F1989" s="841" t="s">
        <v>61</v>
      </c>
      <c r="G1989" s="841" t="s">
        <v>62</v>
      </c>
      <c r="H1989" s="841"/>
      <c r="I1989" s="6" t="s">
        <v>1896</v>
      </c>
      <c r="J1989" s="6" t="s">
        <v>1897</v>
      </c>
      <c r="K1989" s="1902">
        <v>4</v>
      </c>
      <c r="L1989" s="1908">
        <v>470000000</v>
      </c>
      <c r="M1989" s="1903">
        <v>1</v>
      </c>
      <c r="N1989" s="1904">
        <v>43797241</v>
      </c>
      <c r="O1989" s="1902"/>
      <c r="P1989" s="1904">
        <v>0</v>
      </c>
      <c r="Q1989" s="1903"/>
      <c r="R1989" s="1904"/>
      <c r="S1989" s="795"/>
      <c r="T1989" s="1906"/>
      <c r="U1989" s="795"/>
      <c r="V1989" s="1906"/>
      <c r="W1989" s="795"/>
      <c r="X1989" s="1906"/>
      <c r="Y1989" s="1903">
        <f>W1989</f>
        <v>0</v>
      </c>
      <c r="Z1989" s="1906">
        <f t="shared" si="590"/>
        <v>0</v>
      </c>
      <c r="AA1989" s="1903">
        <f t="shared" si="578"/>
        <v>1</v>
      </c>
      <c r="AB1989" s="1906">
        <f t="shared" si="579"/>
        <v>43797241</v>
      </c>
      <c r="AC1989" s="1907">
        <f t="shared" si="589"/>
        <v>25</v>
      </c>
      <c r="AD1989" s="1907">
        <f t="shared" si="591"/>
        <v>9.3185619148936158</v>
      </c>
      <c r="AE1989" s="102"/>
      <c r="AF1989" s="201"/>
      <c r="AG1989" s="201"/>
      <c r="AH1989" s="201"/>
      <c r="AI1989" s="201"/>
      <c r="AJ1989" s="201"/>
      <c r="AK1989" s="201"/>
      <c r="AL1989" s="201"/>
      <c r="AM1989" s="201"/>
      <c r="AN1989" s="201"/>
      <c r="AO1989" s="201"/>
      <c r="AP1989" s="201"/>
      <c r="AQ1989" s="201"/>
      <c r="AR1989" s="201"/>
      <c r="AS1989" s="201"/>
      <c r="AT1989" s="201"/>
      <c r="AU1989" s="201"/>
      <c r="AV1989" s="201"/>
      <c r="AW1989" s="201"/>
      <c r="AX1989" s="201"/>
      <c r="AY1989" s="201"/>
      <c r="AZ1989" s="201"/>
      <c r="BA1989" s="201"/>
      <c r="BB1989" s="201"/>
      <c r="BC1989" s="20"/>
      <c r="BD1989" s="20"/>
      <c r="BE1989" s="20"/>
      <c r="BF1989" s="20"/>
      <c r="BG1989" s="20"/>
      <c r="BH1989" s="20"/>
      <c r="BI1989" s="20"/>
      <c r="BJ1989" s="20"/>
      <c r="BK1989" s="20"/>
      <c r="BL1989" s="20"/>
      <c r="BM1989" s="20"/>
      <c r="BN1989" s="20"/>
      <c r="BO1989" s="20"/>
      <c r="BP1989" s="20"/>
      <c r="BQ1989" s="20"/>
      <c r="BR1989" s="20"/>
      <c r="BS1989" s="20"/>
      <c r="BT1989" s="20"/>
      <c r="BU1989" s="20"/>
      <c r="BV1989" s="20"/>
      <c r="BW1989" s="20"/>
      <c r="BX1989" s="20"/>
      <c r="BY1989" s="20"/>
      <c r="BZ1989" s="20"/>
      <c r="CA1989" s="20"/>
      <c r="CB1989" s="20"/>
      <c r="CC1989" s="20"/>
      <c r="CD1989" s="20"/>
      <c r="CE1989" s="20"/>
      <c r="CF1989" s="20"/>
      <c r="CG1989" s="20"/>
      <c r="CH1989" s="20"/>
      <c r="CI1989" s="20"/>
      <c r="CJ1989" s="20"/>
      <c r="CK1989" s="20"/>
      <c r="CL1989" s="20"/>
      <c r="CM1989" s="20"/>
      <c r="CN1989" s="20"/>
      <c r="CO1989" s="20"/>
      <c r="CP1989" s="20"/>
      <c r="CQ1989" s="20"/>
      <c r="CR1989" s="20"/>
      <c r="CS1989" s="20"/>
      <c r="CT1989" s="20"/>
      <c r="CU1989" s="20"/>
      <c r="CV1989" s="20"/>
      <c r="CW1989" s="20"/>
      <c r="CX1989" s="20"/>
      <c r="CY1989" s="20"/>
      <c r="CZ1989" s="20"/>
      <c r="DA1989" s="20"/>
      <c r="DB1989" s="20"/>
      <c r="DC1989" s="20"/>
      <c r="DD1989" s="20"/>
      <c r="DE1989" s="20"/>
      <c r="DF1989" s="20"/>
      <c r="DG1989" s="20"/>
      <c r="DH1989" s="20"/>
      <c r="DI1989" s="20"/>
      <c r="DJ1989" s="20"/>
      <c r="DK1989" s="20"/>
      <c r="DL1989" s="20"/>
      <c r="DM1989" s="20"/>
      <c r="DN1989" s="20"/>
      <c r="DO1989" s="20"/>
      <c r="DP1989" s="20"/>
      <c r="DQ1989" s="20"/>
      <c r="DR1989" s="20"/>
      <c r="DS1989" s="20"/>
      <c r="DT1989" s="20"/>
      <c r="DU1989" s="20"/>
      <c r="DV1989" s="20"/>
      <c r="DW1989" s="20"/>
      <c r="DX1989" s="20"/>
      <c r="DY1989" s="20"/>
      <c r="DZ1989" s="20"/>
      <c r="EA1989" s="20"/>
      <c r="EB1989" s="20"/>
      <c r="EC1989" s="20"/>
      <c r="ED1989" s="20"/>
      <c r="EE1989" s="20"/>
      <c r="EF1989" s="20"/>
      <c r="EG1989" s="20"/>
      <c r="EH1989" s="20"/>
      <c r="EI1989" s="20"/>
      <c r="EJ1989" s="20"/>
      <c r="EK1989" s="20"/>
      <c r="EL1989" s="20"/>
      <c r="EM1989" s="20"/>
      <c r="EN1989" s="20"/>
      <c r="EO1989" s="20"/>
      <c r="EP1989" s="20"/>
      <c r="EQ1989" s="20"/>
      <c r="ER1989" s="20"/>
      <c r="ES1989" s="20"/>
      <c r="ET1989" s="20"/>
      <c r="EU1989" s="20"/>
      <c r="EV1989" s="20"/>
      <c r="EW1989" s="20"/>
      <c r="EX1989" s="20"/>
      <c r="EY1989" s="20"/>
      <c r="EZ1989" s="20"/>
      <c r="FA1989" s="20"/>
      <c r="FB1989" s="20"/>
      <c r="FC1989" s="20"/>
      <c r="FD1989" s="20"/>
      <c r="FE1989" s="20"/>
      <c r="FF1989" s="20"/>
      <c r="FG1989" s="20"/>
      <c r="FH1989" s="20"/>
      <c r="FI1989" s="20"/>
      <c r="FJ1989" s="20"/>
      <c r="FK1989" s="20"/>
      <c r="FL1989" s="20"/>
      <c r="FM1989" s="20"/>
      <c r="FN1989" s="20"/>
      <c r="FO1989" s="20"/>
      <c r="FP1989" s="20"/>
      <c r="FQ1989" s="20"/>
      <c r="FR1989" s="20"/>
      <c r="FS1989" s="20"/>
      <c r="FT1989" s="20"/>
      <c r="FU1989" s="20"/>
      <c r="FV1989" s="20"/>
      <c r="FW1989" s="20"/>
      <c r="FX1989" s="20"/>
      <c r="FY1989" s="20"/>
      <c r="FZ1989" s="20"/>
      <c r="GA1989" s="20"/>
      <c r="GB1989" s="20"/>
      <c r="GC1989" s="20"/>
      <c r="GD1989" s="20"/>
      <c r="GE1989" s="20"/>
      <c r="GF1989" s="20"/>
      <c r="GG1989" s="20"/>
      <c r="GH1989" s="20"/>
      <c r="GI1989" s="20"/>
      <c r="GJ1989" s="20"/>
      <c r="GK1989" s="20"/>
      <c r="GL1989" s="20"/>
      <c r="GM1989" s="20"/>
      <c r="GN1989" s="20"/>
      <c r="GO1989" s="20"/>
      <c r="GP1989" s="20"/>
      <c r="GQ1989" s="20"/>
      <c r="GR1989" s="20"/>
      <c r="GS1989" s="20"/>
      <c r="GT1989" s="20"/>
      <c r="GU1989" s="20"/>
      <c r="GV1989" s="20"/>
      <c r="GW1989" s="20"/>
      <c r="GX1989" s="20"/>
      <c r="GY1989" s="20"/>
      <c r="GZ1989" s="20"/>
      <c r="HA1989" s="20"/>
      <c r="HB1989" s="20"/>
      <c r="HC1989" s="20"/>
      <c r="HD1989" s="20"/>
      <c r="HE1989" s="20"/>
      <c r="HF1989" s="20"/>
      <c r="HG1989" s="20"/>
      <c r="HH1989" s="20"/>
      <c r="HI1989" s="20"/>
      <c r="HJ1989" s="20"/>
      <c r="HK1989" s="20"/>
      <c r="HL1989" s="20"/>
      <c r="HM1989" s="20"/>
      <c r="HN1989" s="20"/>
      <c r="HO1989" s="20"/>
      <c r="HP1989" s="20"/>
      <c r="HQ1989" s="20"/>
      <c r="HR1989" s="20"/>
      <c r="HS1989" s="20"/>
      <c r="HT1989" s="20"/>
      <c r="HU1989" s="20"/>
      <c r="HV1989" s="20"/>
      <c r="HW1989" s="20"/>
      <c r="HX1989" s="20"/>
      <c r="HY1989" s="20"/>
      <c r="HZ1989" s="20"/>
      <c r="IA1989" s="20"/>
      <c r="IB1989" s="20"/>
      <c r="IC1989" s="20"/>
      <c r="ID1989" s="20"/>
      <c r="IE1989" s="20"/>
      <c r="IF1989" s="20"/>
      <c r="IG1989" s="20"/>
      <c r="IH1989" s="20"/>
      <c r="II1989" s="20"/>
      <c r="IJ1989" s="20"/>
      <c r="IK1989" s="20"/>
      <c r="IL1989" s="20"/>
      <c r="IM1989" s="20"/>
      <c r="IN1989" s="20"/>
      <c r="IO1989" s="20"/>
    </row>
    <row r="1990" spans="1:249" s="22" customFormat="1" ht="82.5">
      <c r="A1990" s="794"/>
      <c r="B1990" s="840"/>
      <c r="C1990" s="841">
        <v>4</v>
      </c>
      <c r="D1990" s="841" t="s">
        <v>34</v>
      </c>
      <c r="E1990" s="841" t="s">
        <v>25</v>
      </c>
      <c r="F1990" s="841" t="s">
        <v>61</v>
      </c>
      <c r="G1990" s="841" t="s">
        <v>57</v>
      </c>
      <c r="H1990" s="841"/>
      <c r="I1990" s="6" t="s">
        <v>1898</v>
      </c>
      <c r="J1990" s="6" t="s">
        <v>1899</v>
      </c>
      <c r="K1990" s="1902">
        <v>9</v>
      </c>
      <c r="L1990" s="1908">
        <v>820000000</v>
      </c>
      <c r="M1990" s="1903">
        <v>1</v>
      </c>
      <c r="N1990" s="1904">
        <v>24496925</v>
      </c>
      <c r="O1990" s="1902"/>
      <c r="P1990" s="1904">
        <v>0</v>
      </c>
      <c r="Q1990" s="1903"/>
      <c r="R1990" s="1904"/>
      <c r="S1990" s="795"/>
      <c r="T1990" s="1906"/>
      <c r="U1990" s="795"/>
      <c r="V1990" s="1906"/>
      <c r="W1990" s="795"/>
      <c r="X1990" s="1906"/>
      <c r="Y1990" s="1903">
        <f>W1990</f>
        <v>0</v>
      </c>
      <c r="Z1990" s="1906">
        <f t="shared" si="590"/>
        <v>0</v>
      </c>
      <c r="AA1990" s="1903">
        <f t="shared" si="578"/>
        <v>1</v>
      </c>
      <c r="AB1990" s="1906">
        <f t="shared" si="579"/>
        <v>24496925</v>
      </c>
      <c r="AC1990" s="1907">
        <f t="shared" si="589"/>
        <v>11.111111111111111</v>
      </c>
      <c r="AD1990" s="1907">
        <f t="shared" si="591"/>
        <v>2.9874298780487805</v>
      </c>
      <c r="AE1990" s="102"/>
      <c r="AF1990" s="201"/>
      <c r="AG1990" s="201"/>
      <c r="AH1990" s="201"/>
      <c r="AI1990" s="201"/>
      <c r="AJ1990" s="201"/>
      <c r="AK1990" s="201"/>
      <c r="AL1990" s="201"/>
      <c r="AM1990" s="201"/>
      <c r="AN1990" s="201"/>
      <c r="AO1990" s="201"/>
      <c r="AP1990" s="201"/>
      <c r="AQ1990" s="201"/>
      <c r="AR1990" s="201"/>
      <c r="AS1990" s="201"/>
      <c r="AT1990" s="201"/>
      <c r="AU1990" s="201"/>
      <c r="AV1990" s="201"/>
      <c r="AW1990" s="201"/>
      <c r="AX1990" s="201"/>
      <c r="AY1990" s="201"/>
      <c r="AZ1990" s="201"/>
      <c r="BA1990" s="201"/>
      <c r="BB1990" s="201"/>
      <c r="BC1990" s="20"/>
      <c r="BD1990" s="20"/>
      <c r="BE1990" s="20"/>
      <c r="BF1990" s="20"/>
      <c r="BG1990" s="20"/>
      <c r="BH1990" s="20"/>
      <c r="BI1990" s="20"/>
      <c r="BJ1990" s="20"/>
      <c r="BK1990" s="20"/>
      <c r="BL1990" s="20"/>
      <c r="BM1990" s="20"/>
      <c r="BN1990" s="20"/>
      <c r="BO1990" s="20"/>
      <c r="BP1990" s="20"/>
      <c r="BQ1990" s="20"/>
      <c r="BR1990" s="20"/>
      <c r="BS1990" s="20"/>
      <c r="BT1990" s="20"/>
      <c r="BU1990" s="20"/>
      <c r="BV1990" s="20"/>
      <c r="BW1990" s="20"/>
      <c r="BX1990" s="20"/>
      <c r="BY1990" s="20"/>
      <c r="BZ1990" s="20"/>
      <c r="CA1990" s="20"/>
      <c r="CB1990" s="20"/>
      <c r="CC1990" s="20"/>
      <c r="CD1990" s="20"/>
      <c r="CE1990" s="20"/>
      <c r="CF1990" s="20"/>
      <c r="CG1990" s="20"/>
      <c r="CH1990" s="20"/>
      <c r="CI1990" s="20"/>
      <c r="CJ1990" s="20"/>
      <c r="CK1990" s="20"/>
      <c r="CL1990" s="20"/>
      <c r="CM1990" s="20"/>
      <c r="CN1990" s="20"/>
      <c r="CO1990" s="20"/>
      <c r="CP1990" s="20"/>
      <c r="CQ1990" s="20"/>
      <c r="CR1990" s="20"/>
      <c r="CS1990" s="20"/>
      <c r="CT1990" s="20"/>
      <c r="CU1990" s="20"/>
      <c r="CV1990" s="20"/>
      <c r="CW1990" s="20"/>
      <c r="CX1990" s="20"/>
      <c r="CY1990" s="20"/>
      <c r="CZ1990" s="20"/>
      <c r="DA1990" s="20"/>
      <c r="DB1990" s="20"/>
      <c r="DC1990" s="20"/>
      <c r="DD1990" s="20"/>
      <c r="DE1990" s="20"/>
      <c r="DF1990" s="20"/>
      <c r="DG1990" s="20"/>
      <c r="DH1990" s="20"/>
      <c r="DI1990" s="20"/>
      <c r="DJ1990" s="20"/>
      <c r="DK1990" s="20"/>
      <c r="DL1990" s="20"/>
      <c r="DM1990" s="20"/>
      <c r="DN1990" s="20"/>
      <c r="DO1990" s="20"/>
      <c r="DP1990" s="20"/>
      <c r="DQ1990" s="20"/>
      <c r="DR1990" s="20"/>
      <c r="DS1990" s="20"/>
      <c r="DT1990" s="20"/>
      <c r="DU1990" s="20"/>
      <c r="DV1990" s="20"/>
      <c r="DW1990" s="20"/>
      <c r="DX1990" s="20"/>
      <c r="DY1990" s="20"/>
      <c r="DZ1990" s="20"/>
      <c r="EA1990" s="20"/>
      <c r="EB1990" s="20"/>
      <c r="EC1990" s="20"/>
      <c r="ED1990" s="20"/>
      <c r="EE1990" s="20"/>
      <c r="EF1990" s="20"/>
      <c r="EG1990" s="20"/>
      <c r="EH1990" s="20"/>
      <c r="EI1990" s="20"/>
      <c r="EJ1990" s="20"/>
      <c r="EK1990" s="20"/>
      <c r="EL1990" s="20"/>
      <c r="EM1990" s="20"/>
      <c r="EN1990" s="20"/>
      <c r="EO1990" s="20"/>
      <c r="EP1990" s="20"/>
      <c r="EQ1990" s="20"/>
      <c r="ER1990" s="20"/>
      <c r="ES1990" s="20"/>
      <c r="ET1990" s="20"/>
      <c r="EU1990" s="20"/>
      <c r="EV1990" s="20"/>
      <c r="EW1990" s="20"/>
      <c r="EX1990" s="20"/>
      <c r="EY1990" s="20"/>
      <c r="EZ1990" s="20"/>
      <c r="FA1990" s="20"/>
      <c r="FB1990" s="20"/>
      <c r="FC1990" s="20"/>
      <c r="FD1990" s="20"/>
      <c r="FE1990" s="20"/>
      <c r="FF1990" s="20"/>
      <c r="FG1990" s="20"/>
      <c r="FH1990" s="20"/>
      <c r="FI1990" s="20"/>
      <c r="FJ1990" s="20"/>
      <c r="FK1990" s="20"/>
      <c r="FL1990" s="20"/>
      <c r="FM1990" s="20"/>
      <c r="FN1990" s="20"/>
      <c r="FO1990" s="20"/>
      <c r="FP1990" s="20"/>
      <c r="FQ1990" s="20"/>
      <c r="FR1990" s="20"/>
      <c r="FS1990" s="20"/>
      <c r="FT1990" s="20"/>
      <c r="FU1990" s="20"/>
      <c r="FV1990" s="20"/>
      <c r="FW1990" s="20"/>
      <c r="FX1990" s="20"/>
      <c r="FY1990" s="20"/>
      <c r="FZ1990" s="20"/>
      <c r="GA1990" s="20"/>
      <c r="GB1990" s="20"/>
      <c r="GC1990" s="20"/>
      <c r="GD1990" s="20"/>
      <c r="GE1990" s="20"/>
      <c r="GF1990" s="20"/>
      <c r="GG1990" s="20"/>
      <c r="GH1990" s="20"/>
      <c r="GI1990" s="20"/>
      <c r="GJ1990" s="20"/>
      <c r="GK1990" s="20"/>
      <c r="GL1990" s="20"/>
      <c r="GM1990" s="20"/>
      <c r="GN1990" s="20"/>
      <c r="GO1990" s="20"/>
      <c r="GP1990" s="20"/>
      <c r="GQ1990" s="20"/>
      <c r="GR1990" s="20"/>
      <c r="GS1990" s="20"/>
      <c r="GT1990" s="20"/>
      <c r="GU1990" s="20"/>
      <c r="GV1990" s="20"/>
      <c r="GW1990" s="20"/>
      <c r="GX1990" s="20"/>
      <c r="GY1990" s="20"/>
      <c r="GZ1990" s="20"/>
      <c r="HA1990" s="20"/>
      <c r="HB1990" s="20"/>
      <c r="HC1990" s="20"/>
      <c r="HD1990" s="20"/>
      <c r="HE1990" s="20"/>
      <c r="HF1990" s="20"/>
      <c r="HG1990" s="20"/>
      <c r="HH1990" s="20"/>
      <c r="HI1990" s="20"/>
      <c r="HJ1990" s="20"/>
      <c r="HK1990" s="20"/>
      <c r="HL1990" s="20"/>
      <c r="HM1990" s="20"/>
      <c r="HN1990" s="20"/>
      <c r="HO1990" s="20"/>
      <c r="HP1990" s="20"/>
      <c r="HQ1990" s="20"/>
      <c r="HR1990" s="20"/>
      <c r="HS1990" s="20"/>
      <c r="HT1990" s="20"/>
      <c r="HU1990" s="20"/>
      <c r="HV1990" s="20"/>
      <c r="HW1990" s="20"/>
      <c r="HX1990" s="20"/>
      <c r="HY1990" s="20"/>
      <c r="HZ1990" s="20"/>
      <c r="IA1990" s="20"/>
      <c r="IB1990" s="20"/>
      <c r="IC1990" s="20"/>
      <c r="ID1990" s="20"/>
      <c r="IE1990" s="20"/>
      <c r="IF1990" s="20"/>
      <c r="IG1990" s="20"/>
      <c r="IH1990" s="20"/>
      <c r="II1990" s="20"/>
      <c r="IJ1990" s="20"/>
      <c r="IK1990" s="20"/>
      <c r="IL1990" s="20"/>
      <c r="IM1990" s="20"/>
      <c r="IN1990" s="20"/>
      <c r="IO1990" s="20"/>
    </row>
    <row r="1991" spans="1:249" s="22" customFormat="1" ht="82.5">
      <c r="A1991" s="794"/>
      <c r="B1991" s="840"/>
      <c r="C1991" s="841">
        <v>4</v>
      </c>
      <c r="D1991" s="841" t="s">
        <v>34</v>
      </c>
      <c r="E1991" s="841" t="s">
        <v>25</v>
      </c>
      <c r="F1991" s="841" t="s">
        <v>61</v>
      </c>
      <c r="G1991" s="841">
        <v>14</v>
      </c>
      <c r="H1991" s="841"/>
      <c r="I1991" s="6" t="s">
        <v>1900</v>
      </c>
      <c r="J1991" s="6" t="s">
        <v>3392</v>
      </c>
      <c r="K1991" s="1902">
        <v>24</v>
      </c>
      <c r="L1991" s="1908">
        <v>685000000</v>
      </c>
      <c r="M1991" s="1903">
        <v>12</v>
      </c>
      <c r="N1991" s="1904">
        <f>79120958+152796345</f>
        <v>231917303</v>
      </c>
      <c r="O1991" s="1902">
        <v>4</v>
      </c>
      <c r="P1991" s="1904">
        <v>89677012</v>
      </c>
      <c r="Q1991" s="1903">
        <v>1</v>
      </c>
      <c r="R1991" s="1904">
        <v>4227300</v>
      </c>
      <c r="S1991" s="795">
        <v>37</v>
      </c>
      <c r="T1991" s="1906">
        <v>20401300</v>
      </c>
      <c r="U1991" s="795"/>
      <c r="V1991" s="1906"/>
      <c r="W1991" s="795"/>
      <c r="X1991" s="1906"/>
      <c r="Y1991" s="1903">
        <f>Q1991+S1991+W1991</f>
        <v>38</v>
      </c>
      <c r="Z1991" s="1906">
        <f t="shared" si="590"/>
        <v>24628600</v>
      </c>
      <c r="AA1991" s="1903">
        <f t="shared" si="578"/>
        <v>50</v>
      </c>
      <c r="AB1991" s="1906">
        <f t="shared" si="579"/>
        <v>256545903</v>
      </c>
      <c r="AC1991" s="1907">
        <f t="shared" si="589"/>
        <v>208.33333333333334</v>
      </c>
      <c r="AD1991" s="1907">
        <f t="shared" si="591"/>
        <v>37.451956642335766</v>
      </c>
      <c r="AE1991" s="1936" t="s">
        <v>1995</v>
      </c>
      <c r="AF1991" s="201"/>
      <c r="AG1991" s="201"/>
      <c r="AH1991" s="201"/>
      <c r="AI1991" s="201"/>
      <c r="AJ1991" s="201"/>
      <c r="AK1991" s="201"/>
      <c r="AL1991" s="201"/>
      <c r="AM1991" s="201"/>
      <c r="AN1991" s="201"/>
      <c r="AO1991" s="201"/>
      <c r="AP1991" s="201"/>
      <c r="AQ1991" s="201"/>
      <c r="AR1991" s="201"/>
      <c r="AS1991" s="201"/>
      <c r="AT1991" s="201"/>
      <c r="AU1991" s="201"/>
      <c r="AV1991" s="201"/>
      <c r="AW1991" s="201"/>
      <c r="AX1991" s="201"/>
      <c r="AY1991" s="201"/>
      <c r="AZ1991" s="201"/>
      <c r="BA1991" s="201"/>
      <c r="BB1991" s="201"/>
      <c r="BC1991" s="20"/>
      <c r="BD1991" s="20"/>
      <c r="BE1991" s="20"/>
      <c r="BF1991" s="20"/>
      <c r="BG1991" s="20"/>
      <c r="BH1991" s="20"/>
      <c r="BI1991" s="20"/>
      <c r="BJ1991" s="20"/>
      <c r="BK1991" s="20"/>
      <c r="BL1991" s="20"/>
      <c r="BM1991" s="20"/>
      <c r="BN1991" s="20"/>
      <c r="BO1991" s="20"/>
      <c r="BP1991" s="20"/>
      <c r="BQ1991" s="20"/>
      <c r="BR1991" s="20"/>
      <c r="BS1991" s="20"/>
      <c r="BT1991" s="20"/>
      <c r="BU1991" s="20"/>
      <c r="BV1991" s="20"/>
      <c r="BW1991" s="20"/>
      <c r="BX1991" s="20"/>
      <c r="BY1991" s="20"/>
      <c r="BZ1991" s="20"/>
      <c r="CA1991" s="20"/>
      <c r="CB1991" s="20"/>
      <c r="CC1991" s="20"/>
      <c r="CD1991" s="20"/>
      <c r="CE1991" s="20"/>
      <c r="CF1991" s="20"/>
      <c r="CG1991" s="20"/>
      <c r="CH1991" s="20"/>
      <c r="CI1991" s="20"/>
      <c r="CJ1991" s="20"/>
      <c r="CK1991" s="20"/>
      <c r="CL1991" s="20"/>
      <c r="CM1991" s="20"/>
      <c r="CN1991" s="20"/>
      <c r="CO1991" s="20"/>
      <c r="CP1991" s="20"/>
      <c r="CQ1991" s="20"/>
      <c r="CR1991" s="20"/>
      <c r="CS1991" s="20"/>
      <c r="CT1991" s="20"/>
      <c r="CU1991" s="20"/>
      <c r="CV1991" s="20"/>
      <c r="CW1991" s="20"/>
      <c r="CX1991" s="20"/>
      <c r="CY1991" s="20"/>
      <c r="CZ1991" s="20"/>
      <c r="DA1991" s="20"/>
      <c r="DB1991" s="20"/>
      <c r="DC1991" s="20"/>
      <c r="DD1991" s="20"/>
      <c r="DE1991" s="20"/>
      <c r="DF1991" s="20"/>
      <c r="DG1991" s="20"/>
      <c r="DH1991" s="20"/>
      <c r="DI1991" s="20"/>
      <c r="DJ1991" s="20"/>
      <c r="DK1991" s="20"/>
      <c r="DL1991" s="20"/>
      <c r="DM1991" s="20"/>
      <c r="DN1991" s="20"/>
      <c r="DO1991" s="20"/>
      <c r="DP1991" s="20"/>
      <c r="DQ1991" s="20"/>
      <c r="DR1991" s="20"/>
      <c r="DS1991" s="20"/>
      <c r="DT1991" s="20"/>
      <c r="DU1991" s="20"/>
      <c r="DV1991" s="20"/>
      <c r="DW1991" s="20"/>
      <c r="DX1991" s="20"/>
      <c r="DY1991" s="20"/>
      <c r="DZ1991" s="20"/>
      <c r="EA1991" s="20"/>
      <c r="EB1991" s="20"/>
      <c r="EC1991" s="20"/>
      <c r="ED1991" s="20"/>
      <c r="EE1991" s="20"/>
      <c r="EF1991" s="20"/>
      <c r="EG1991" s="20"/>
      <c r="EH1991" s="20"/>
      <c r="EI1991" s="20"/>
      <c r="EJ1991" s="20"/>
      <c r="EK1991" s="20"/>
      <c r="EL1991" s="20"/>
      <c r="EM1991" s="20"/>
      <c r="EN1991" s="20"/>
      <c r="EO1991" s="20"/>
      <c r="EP1991" s="20"/>
      <c r="EQ1991" s="20"/>
      <c r="ER1991" s="20"/>
      <c r="ES1991" s="20"/>
      <c r="ET1991" s="20"/>
      <c r="EU1991" s="20"/>
      <c r="EV1991" s="20"/>
      <c r="EW1991" s="20"/>
      <c r="EX1991" s="20"/>
      <c r="EY1991" s="20"/>
      <c r="EZ1991" s="20"/>
      <c r="FA1991" s="20"/>
      <c r="FB1991" s="20"/>
      <c r="FC1991" s="20"/>
      <c r="FD1991" s="20"/>
      <c r="FE1991" s="20"/>
      <c r="FF1991" s="20"/>
      <c r="FG1991" s="20"/>
      <c r="FH1991" s="20"/>
      <c r="FI1991" s="20"/>
      <c r="FJ1991" s="20"/>
      <c r="FK1991" s="20"/>
      <c r="FL1991" s="20"/>
      <c r="FM1991" s="20"/>
      <c r="FN1991" s="20"/>
      <c r="FO1991" s="20"/>
      <c r="FP1991" s="20"/>
      <c r="FQ1991" s="20"/>
      <c r="FR1991" s="20"/>
      <c r="FS1991" s="20"/>
      <c r="FT1991" s="20"/>
      <c r="FU1991" s="20"/>
      <c r="FV1991" s="20"/>
      <c r="FW1991" s="20"/>
      <c r="FX1991" s="20"/>
      <c r="FY1991" s="20"/>
      <c r="FZ1991" s="20"/>
      <c r="GA1991" s="20"/>
      <c r="GB1991" s="20"/>
      <c r="GC1991" s="20"/>
      <c r="GD1991" s="20"/>
      <c r="GE1991" s="20"/>
      <c r="GF1991" s="20"/>
      <c r="GG1991" s="20"/>
      <c r="GH1991" s="20"/>
      <c r="GI1991" s="20"/>
      <c r="GJ1991" s="20"/>
      <c r="GK1991" s="20"/>
      <c r="GL1991" s="20"/>
      <c r="GM1991" s="20"/>
      <c r="GN1991" s="20"/>
      <c r="GO1991" s="20"/>
      <c r="GP1991" s="20"/>
      <c r="GQ1991" s="20"/>
      <c r="GR1991" s="20"/>
      <c r="GS1991" s="20"/>
      <c r="GT1991" s="20"/>
      <c r="GU1991" s="20"/>
      <c r="GV1991" s="20"/>
      <c r="GW1991" s="20"/>
      <c r="GX1991" s="20"/>
      <c r="GY1991" s="20"/>
      <c r="GZ1991" s="20"/>
      <c r="HA1991" s="20"/>
      <c r="HB1991" s="20"/>
      <c r="HC1991" s="20"/>
      <c r="HD1991" s="20"/>
      <c r="HE1991" s="20"/>
      <c r="HF1991" s="20"/>
      <c r="HG1991" s="20"/>
      <c r="HH1991" s="20"/>
      <c r="HI1991" s="20"/>
      <c r="HJ1991" s="20"/>
      <c r="HK1991" s="20"/>
      <c r="HL1991" s="20"/>
      <c r="HM1991" s="20"/>
      <c r="HN1991" s="20"/>
      <c r="HO1991" s="20"/>
      <c r="HP1991" s="20"/>
      <c r="HQ1991" s="20"/>
      <c r="HR1991" s="20"/>
      <c r="HS1991" s="20"/>
      <c r="HT1991" s="20"/>
      <c r="HU1991" s="20"/>
      <c r="HV1991" s="20"/>
      <c r="HW1991" s="20"/>
      <c r="HX1991" s="20"/>
      <c r="HY1991" s="20"/>
      <c r="HZ1991" s="20"/>
      <c r="IA1991" s="20"/>
      <c r="IB1991" s="20"/>
      <c r="IC1991" s="20"/>
      <c r="ID1991" s="20"/>
      <c r="IE1991" s="20"/>
      <c r="IF1991" s="20"/>
      <c r="IG1991" s="20"/>
      <c r="IH1991" s="20"/>
      <c r="II1991" s="20"/>
      <c r="IJ1991" s="20"/>
      <c r="IK1991" s="20"/>
      <c r="IL1991" s="20"/>
      <c r="IM1991" s="20"/>
      <c r="IN1991" s="20"/>
      <c r="IO1991" s="20"/>
    </row>
    <row r="1992" spans="1:249" s="22" customFormat="1" ht="82.5">
      <c r="A1992" s="2554">
        <v>22</v>
      </c>
      <c r="B1992" s="44"/>
      <c r="C1992" s="753">
        <v>4</v>
      </c>
      <c r="D1992" s="753" t="s">
        <v>34</v>
      </c>
      <c r="E1992" s="753" t="s">
        <v>25</v>
      </c>
      <c r="F1992" s="753" t="s">
        <v>61</v>
      </c>
      <c r="G1992" s="753"/>
      <c r="H1992" s="753"/>
      <c r="I1992" s="44" t="s">
        <v>1901</v>
      </c>
      <c r="J1992" s="44" t="s">
        <v>3205</v>
      </c>
      <c r="K1992" s="149">
        <v>100</v>
      </c>
      <c r="L1992" s="1175">
        <f>SUM(L1993)</f>
        <v>75000000</v>
      </c>
      <c r="M1992" s="149">
        <v>95</v>
      </c>
      <c r="N1992" s="1175">
        <f>SUM(N1993)</f>
        <v>108868000</v>
      </c>
      <c r="O1992" s="149">
        <v>5</v>
      </c>
      <c r="P1992" s="1175">
        <f>SUM(P1993)</f>
        <v>148135400</v>
      </c>
      <c r="Q1992" s="149">
        <f t="shared" ref="Q1992:X1992" si="592">SUM(Q1993)</f>
        <v>3</v>
      </c>
      <c r="R1992" s="1175">
        <f t="shared" si="592"/>
        <v>10761440</v>
      </c>
      <c r="S1992" s="1175">
        <f t="shared" si="592"/>
        <v>0.25</v>
      </c>
      <c r="T1992" s="1252">
        <f t="shared" si="592"/>
        <v>48351640</v>
      </c>
      <c r="U1992" s="1175">
        <f t="shared" si="592"/>
        <v>0</v>
      </c>
      <c r="V1992" s="1175">
        <f t="shared" si="592"/>
        <v>0</v>
      </c>
      <c r="W1992" s="1175">
        <f t="shared" si="592"/>
        <v>0</v>
      </c>
      <c r="X1992" s="1175">
        <f t="shared" si="592"/>
        <v>0</v>
      </c>
      <c r="Y1992" s="149">
        <f>Q1992+S1992+U1992+W1992</f>
        <v>3.25</v>
      </c>
      <c r="Z1992" s="1901">
        <f t="shared" si="590"/>
        <v>59113080</v>
      </c>
      <c r="AA1992" s="149">
        <f t="shared" si="578"/>
        <v>98.25</v>
      </c>
      <c r="AB1992" s="1901">
        <f t="shared" si="579"/>
        <v>167981080</v>
      </c>
      <c r="AC1992" s="821">
        <f t="shared" si="589"/>
        <v>98.25</v>
      </c>
      <c r="AD1992" s="821">
        <f t="shared" si="591"/>
        <v>223.97477333333336</v>
      </c>
      <c r="AE1992" s="2558" t="s">
        <v>2252</v>
      </c>
      <c r="AF1992" s="201"/>
      <c r="AG1992" s="201"/>
      <c r="AH1992" s="201"/>
      <c r="AI1992" s="201"/>
      <c r="AJ1992" s="201"/>
      <c r="AK1992" s="201"/>
      <c r="AL1992" s="201"/>
      <c r="AM1992" s="201"/>
      <c r="AN1992" s="201"/>
      <c r="AO1992" s="201"/>
      <c r="AP1992" s="201"/>
      <c r="AQ1992" s="201"/>
      <c r="AR1992" s="201"/>
      <c r="AS1992" s="201"/>
      <c r="AT1992" s="201"/>
      <c r="AU1992" s="201"/>
      <c r="AV1992" s="201"/>
      <c r="AW1992" s="201"/>
      <c r="AX1992" s="201"/>
      <c r="AY1992" s="201"/>
      <c r="AZ1992" s="201"/>
      <c r="BA1992" s="201"/>
      <c r="BB1992" s="201"/>
      <c r="BC1992" s="20"/>
      <c r="BD1992" s="20"/>
      <c r="BE1992" s="20"/>
      <c r="BF1992" s="20"/>
      <c r="BG1992" s="20"/>
      <c r="BH1992" s="20"/>
      <c r="BI1992" s="20"/>
      <c r="BJ1992" s="20"/>
      <c r="BK1992" s="20"/>
      <c r="BL1992" s="20"/>
      <c r="BM1992" s="20"/>
      <c r="BN1992" s="20"/>
      <c r="BO1992" s="20"/>
      <c r="BP1992" s="20"/>
      <c r="BQ1992" s="20"/>
      <c r="BR1992" s="20"/>
      <c r="BS1992" s="20"/>
      <c r="BT1992" s="20"/>
      <c r="BU1992" s="20"/>
      <c r="BV1992" s="20"/>
      <c r="BW1992" s="20"/>
      <c r="BX1992" s="20"/>
      <c r="BY1992" s="20"/>
      <c r="BZ1992" s="20"/>
      <c r="CA1992" s="20"/>
      <c r="CB1992" s="20"/>
      <c r="CC1992" s="20"/>
      <c r="CD1992" s="20"/>
      <c r="CE1992" s="20"/>
      <c r="CF1992" s="20"/>
      <c r="CG1992" s="20"/>
      <c r="CH1992" s="20"/>
      <c r="CI1992" s="20"/>
      <c r="CJ1992" s="20"/>
      <c r="CK1992" s="20"/>
      <c r="CL1992" s="20"/>
      <c r="CM1992" s="20"/>
      <c r="CN1992" s="20"/>
      <c r="CO1992" s="20"/>
      <c r="CP1992" s="20"/>
      <c r="CQ1992" s="20"/>
      <c r="CR1992" s="20"/>
      <c r="CS1992" s="20"/>
      <c r="CT1992" s="20"/>
      <c r="CU1992" s="20"/>
      <c r="CV1992" s="20"/>
      <c r="CW1992" s="20"/>
      <c r="CX1992" s="20"/>
      <c r="CY1992" s="20"/>
      <c r="CZ1992" s="20"/>
      <c r="DA1992" s="20"/>
      <c r="DB1992" s="20"/>
      <c r="DC1992" s="20"/>
      <c r="DD1992" s="20"/>
      <c r="DE1992" s="20"/>
      <c r="DF1992" s="20"/>
      <c r="DG1992" s="20"/>
      <c r="DH1992" s="20"/>
      <c r="DI1992" s="20"/>
      <c r="DJ1992" s="20"/>
      <c r="DK1992" s="20"/>
      <c r="DL1992" s="20"/>
      <c r="DM1992" s="20"/>
      <c r="DN1992" s="20"/>
      <c r="DO1992" s="20"/>
      <c r="DP1992" s="20"/>
      <c r="DQ1992" s="20"/>
      <c r="DR1992" s="20"/>
      <c r="DS1992" s="20"/>
      <c r="DT1992" s="20"/>
      <c r="DU1992" s="20"/>
      <c r="DV1992" s="20"/>
      <c r="DW1992" s="20"/>
      <c r="DX1992" s="20"/>
      <c r="DY1992" s="20"/>
      <c r="DZ1992" s="20"/>
      <c r="EA1992" s="20"/>
      <c r="EB1992" s="20"/>
      <c r="EC1992" s="20"/>
      <c r="ED1992" s="20"/>
      <c r="EE1992" s="20"/>
      <c r="EF1992" s="20"/>
      <c r="EG1992" s="20"/>
      <c r="EH1992" s="20"/>
      <c r="EI1992" s="20"/>
      <c r="EJ1992" s="20"/>
      <c r="EK1992" s="20"/>
      <c r="EL1992" s="20"/>
      <c r="EM1992" s="20"/>
      <c r="EN1992" s="20"/>
      <c r="EO1992" s="20"/>
      <c r="EP1992" s="20"/>
      <c r="EQ1992" s="20"/>
      <c r="ER1992" s="20"/>
      <c r="ES1992" s="20"/>
      <c r="ET1992" s="20"/>
      <c r="EU1992" s="20"/>
      <c r="EV1992" s="20"/>
      <c r="EW1992" s="20"/>
      <c r="EX1992" s="20"/>
      <c r="EY1992" s="20"/>
      <c r="EZ1992" s="20"/>
      <c r="FA1992" s="20"/>
      <c r="FB1992" s="20"/>
      <c r="FC1992" s="20"/>
      <c r="FD1992" s="20"/>
      <c r="FE1992" s="20"/>
      <c r="FF1992" s="20"/>
      <c r="FG1992" s="20"/>
      <c r="FH1992" s="20"/>
      <c r="FI1992" s="20"/>
      <c r="FJ1992" s="20"/>
      <c r="FK1992" s="20"/>
      <c r="FL1992" s="20"/>
      <c r="FM1992" s="20"/>
      <c r="FN1992" s="20"/>
      <c r="FO1992" s="20"/>
      <c r="FP1992" s="20"/>
      <c r="FQ1992" s="20"/>
      <c r="FR1992" s="20"/>
      <c r="FS1992" s="20"/>
      <c r="FT1992" s="20"/>
      <c r="FU1992" s="20"/>
      <c r="FV1992" s="20"/>
      <c r="FW1992" s="20"/>
      <c r="FX1992" s="20"/>
      <c r="FY1992" s="20"/>
      <c r="FZ1992" s="20"/>
      <c r="GA1992" s="20"/>
      <c r="GB1992" s="20"/>
      <c r="GC1992" s="20"/>
      <c r="GD1992" s="20"/>
      <c r="GE1992" s="20"/>
      <c r="GF1992" s="20"/>
      <c r="GG1992" s="20"/>
      <c r="GH1992" s="20"/>
      <c r="GI1992" s="20"/>
      <c r="GJ1992" s="20"/>
      <c r="GK1992" s="20"/>
      <c r="GL1992" s="20"/>
      <c r="GM1992" s="20"/>
      <c r="GN1992" s="20"/>
      <c r="GO1992" s="20"/>
      <c r="GP1992" s="20"/>
      <c r="GQ1992" s="20"/>
      <c r="GR1992" s="20"/>
      <c r="GS1992" s="20"/>
      <c r="GT1992" s="20"/>
      <c r="GU1992" s="20"/>
      <c r="GV1992" s="20"/>
      <c r="GW1992" s="20"/>
      <c r="GX1992" s="20"/>
      <c r="GY1992" s="20"/>
      <c r="GZ1992" s="20"/>
      <c r="HA1992" s="20"/>
      <c r="HB1992" s="20"/>
      <c r="HC1992" s="20"/>
      <c r="HD1992" s="20"/>
      <c r="HE1992" s="20"/>
      <c r="HF1992" s="20"/>
      <c r="HG1992" s="20"/>
      <c r="HH1992" s="20"/>
      <c r="HI1992" s="20"/>
      <c r="HJ1992" s="20"/>
      <c r="HK1992" s="20"/>
      <c r="HL1992" s="20"/>
      <c r="HM1992" s="20"/>
      <c r="HN1992" s="20"/>
      <c r="HO1992" s="20"/>
      <c r="HP1992" s="20"/>
      <c r="HQ1992" s="20"/>
      <c r="HR1992" s="20"/>
      <c r="HS1992" s="20"/>
      <c r="HT1992" s="20"/>
      <c r="HU1992" s="20"/>
      <c r="HV1992" s="20"/>
      <c r="HW1992" s="20"/>
      <c r="HX1992" s="20"/>
      <c r="HY1992" s="20"/>
      <c r="HZ1992" s="20"/>
      <c r="IA1992" s="20"/>
      <c r="IB1992" s="20"/>
      <c r="IC1992" s="20"/>
      <c r="ID1992" s="20"/>
      <c r="IE1992" s="20"/>
      <c r="IF1992" s="20"/>
      <c r="IG1992" s="20"/>
      <c r="IH1992" s="20"/>
      <c r="II1992" s="20"/>
      <c r="IJ1992" s="20"/>
      <c r="IK1992" s="20"/>
      <c r="IL1992" s="20"/>
      <c r="IM1992" s="20"/>
      <c r="IN1992" s="20"/>
      <c r="IO1992" s="20"/>
    </row>
    <row r="1993" spans="1:249" s="22" customFormat="1" ht="82.5">
      <c r="A1993" s="794"/>
      <c r="B1993" s="840"/>
      <c r="C1993" s="841">
        <v>4</v>
      </c>
      <c r="D1993" s="841" t="s">
        <v>34</v>
      </c>
      <c r="E1993" s="841" t="s">
        <v>25</v>
      </c>
      <c r="F1993" s="841" t="s">
        <v>61</v>
      </c>
      <c r="G1993" s="841">
        <v>10</v>
      </c>
      <c r="H1993" s="841"/>
      <c r="I1993" s="6" t="s">
        <v>1902</v>
      </c>
      <c r="J1993" s="6" t="s">
        <v>3393</v>
      </c>
      <c r="K1993" s="1903">
        <v>48</v>
      </c>
      <c r="L1993" s="1908">
        <v>75000000</v>
      </c>
      <c r="M1993" s="1922">
        <v>12</v>
      </c>
      <c r="N1993" s="1905">
        <v>108868000</v>
      </c>
      <c r="O1993" s="1903">
        <v>12</v>
      </c>
      <c r="P1993" s="1905">
        <v>148135400</v>
      </c>
      <c r="Q1993" s="1903">
        <v>3</v>
      </c>
      <c r="R1993" s="1904">
        <v>10761440</v>
      </c>
      <c r="S1993" s="795">
        <v>0.25</v>
      </c>
      <c r="T1993" s="207">
        <v>48351640</v>
      </c>
      <c r="U1993" s="795"/>
      <c r="V1993" s="1906"/>
      <c r="W1993" s="795"/>
      <c r="X1993" s="1906"/>
      <c r="Y1993" s="1903">
        <f>Q1993+S1993+U1993</f>
        <v>3.25</v>
      </c>
      <c r="Z1993" s="1906">
        <f t="shared" si="590"/>
        <v>59113080</v>
      </c>
      <c r="AA1993" s="1903">
        <f t="shared" si="578"/>
        <v>15.25</v>
      </c>
      <c r="AB1993" s="1906">
        <f t="shared" si="579"/>
        <v>167981080</v>
      </c>
      <c r="AC1993" s="1907">
        <f t="shared" si="589"/>
        <v>31.770833333333332</v>
      </c>
      <c r="AD1993" s="1907">
        <f t="shared" si="591"/>
        <v>223.97477333333336</v>
      </c>
      <c r="AE1993" s="102" t="s">
        <v>1987</v>
      </c>
      <c r="AF1993" s="201"/>
      <c r="AG1993" s="201"/>
      <c r="AH1993" s="201"/>
      <c r="AI1993" s="201"/>
      <c r="AJ1993" s="201"/>
      <c r="AK1993" s="201"/>
      <c r="AL1993" s="201"/>
      <c r="AM1993" s="201"/>
      <c r="AN1993" s="201"/>
      <c r="AO1993" s="201"/>
      <c r="AP1993" s="201"/>
      <c r="AQ1993" s="201"/>
      <c r="AR1993" s="201"/>
      <c r="AS1993" s="201"/>
      <c r="AT1993" s="201"/>
      <c r="AU1993" s="201"/>
      <c r="AV1993" s="201"/>
      <c r="AW1993" s="201"/>
      <c r="AX1993" s="201"/>
      <c r="AY1993" s="201"/>
      <c r="AZ1993" s="201"/>
      <c r="BA1993" s="201"/>
      <c r="BB1993" s="201"/>
      <c r="BC1993" s="20"/>
      <c r="BD1993" s="20"/>
      <c r="BE1993" s="20"/>
      <c r="BF1993" s="20"/>
      <c r="BG1993" s="20"/>
      <c r="BH1993" s="20"/>
      <c r="BI1993" s="20"/>
      <c r="BJ1993" s="20"/>
      <c r="BK1993" s="20"/>
      <c r="BL1993" s="20"/>
      <c r="BM1993" s="20"/>
      <c r="BN1993" s="20"/>
      <c r="BO1993" s="20"/>
      <c r="BP1993" s="20"/>
      <c r="BQ1993" s="20"/>
      <c r="BR1993" s="20"/>
      <c r="BS1993" s="20"/>
      <c r="BT1993" s="20"/>
      <c r="BU1993" s="20"/>
      <c r="BV1993" s="20"/>
      <c r="BW1993" s="20"/>
      <c r="BX1993" s="20"/>
      <c r="BY1993" s="20"/>
      <c r="BZ1993" s="20"/>
      <c r="CA1993" s="20"/>
      <c r="CB1993" s="20"/>
      <c r="CC1993" s="20"/>
      <c r="CD1993" s="20"/>
      <c r="CE1993" s="20"/>
      <c r="CF1993" s="20"/>
      <c r="CG1993" s="20"/>
      <c r="CH1993" s="20"/>
      <c r="CI1993" s="20"/>
      <c r="CJ1993" s="20"/>
      <c r="CK1993" s="20"/>
      <c r="CL1993" s="20"/>
      <c r="CM1993" s="20"/>
      <c r="CN1993" s="20"/>
      <c r="CO1993" s="20"/>
      <c r="CP1993" s="20"/>
      <c r="CQ1993" s="20"/>
      <c r="CR1993" s="20"/>
      <c r="CS1993" s="20"/>
      <c r="CT1993" s="20"/>
      <c r="CU1993" s="20"/>
      <c r="CV1993" s="20"/>
      <c r="CW1993" s="20"/>
      <c r="CX1993" s="20"/>
      <c r="CY1993" s="20"/>
      <c r="CZ1993" s="20"/>
      <c r="DA1993" s="20"/>
      <c r="DB1993" s="20"/>
      <c r="DC1993" s="20"/>
      <c r="DD1993" s="20"/>
      <c r="DE1993" s="20"/>
      <c r="DF1993" s="20"/>
      <c r="DG1993" s="20"/>
      <c r="DH1993" s="20"/>
      <c r="DI1993" s="20"/>
      <c r="DJ1993" s="20"/>
      <c r="DK1993" s="20"/>
      <c r="DL1993" s="20"/>
      <c r="DM1993" s="20"/>
      <c r="DN1993" s="20"/>
      <c r="DO1993" s="20"/>
      <c r="DP1993" s="20"/>
      <c r="DQ1993" s="20"/>
      <c r="DR1993" s="20"/>
      <c r="DS1993" s="20"/>
      <c r="DT1993" s="20"/>
      <c r="DU1993" s="20"/>
      <c r="DV1993" s="20"/>
      <c r="DW1993" s="20"/>
      <c r="DX1993" s="20"/>
      <c r="DY1993" s="20"/>
      <c r="DZ1993" s="20"/>
      <c r="EA1993" s="20"/>
      <c r="EB1993" s="20"/>
      <c r="EC1993" s="20"/>
      <c r="ED1993" s="20"/>
      <c r="EE1993" s="20"/>
      <c r="EF1993" s="20"/>
      <c r="EG1993" s="20"/>
      <c r="EH1993" s="20"/>
      <c r="EI1993" s="20"/>
      <c r="EJ1993" s="20"/>
      <c r="EK1993" s="20"/>
      <c r="EL1993" s="20"/>
      <c r="EM1993" s="20"/>
      <c r="EN1993" s="20"/>
      <c r="EO1993" s="20"/>
      <c r="EP1993" s="20"/>
      <c r="EQ1993" s="20"/>
      <c r="ER1993" s="20"/>
      <c r="ES1993" s="20"/>
      <c r="ET1993" s="20"/>
      <c r="EU1993" s="20"/>
      <c r="EV1993" s="20"/>
      <c r="EW1993" s="20"/>
      <c r="EX1993" s="20"/>
      <c r="EY1993" s="20"/>
      <c r="EZ1993" s="20"/>
      <c r="FA1993" s="20"/>
      <c r="FB1993" s="20"/>
      <c r="FC1993" s="20"/>
      <c r="FD1993" s="20"/>
      <c r="FE1993" s="20"/>
      <c r="FF1993" s="20"/>
      <c r="FG1993" s="20"/>
      <c r="FH1993" s="20"/>
      <c r="FI1993" s="20"/>
      <c r="FJ1993" s="20"/>
      <c r="FK1993" s="20"/>
      <c r="FL1993" s="20"/>
      <c r="FM1993" s="20"/>
      <c r="FN1993" s="20"/>
      <c r="FO1993" s="20"/>
      <c r="FP1993" s="20"/>
      <c r="FQ1993" s="20"/>
      <c r="FR1993" s="20"/>
      <c r="FS1993" s="20"/>
      <c r="FT1993" s="20"/>
      <c r="FU1993" s="20"/>
      <c r="FV1993" s="20"/>
      <c r="FW1993" s="20"/>
      <c r="FX1993" s="20"/>
      <c r="FY1993" s="20"/>
      <c r="FZ1993" s="20"/>
      <c r="GA1993" s="20"/>
      <c r="GB1993" s="20"/>
      <c r="GC1993" s="20"/>
      <c r="GD1993" s="20"/>
      <c r="GE1993" s="20"/>
      <c r="GF1993" s="20"/>
      <c r="GG1993" s="20"/>
      <c r="GH1993" s="20"/>
      <c r="GI1993" s="20"/>
      <c r="GJ1993" s="20"/>
      <c r="GK1993" s="20"/>
      <c r="GL1993" s="20"/>
      <c r="GM1993" s="20"/>
      <c r="GN1993" s="20"/>
      <c r="GO1993" s="20"/>
      <c r="GP1993" s="20"/>
      <c r="GQ1993" s="20"/>
      <c r="GR1993" s="20"/>
      <c r="GS1993" s="20"/>
      <c r="GT1993" s="20"/>
      <c r="GU1993" s="20"/>
      <c r="GV1993" s="20"/>
      <c r="GW1993" s="20"/>
      <c r="GX1993" s="20"/>
      <c r="GY1993" s="20"/>
      <c r="GZ1993" s="20"/>
      <c r="HA1993" s="20"/>
      <c r="HB1993" s="20"/>
      <c r="HC1993" s="20"/>
      <c r="HD1993" s="20"/>
      <c r="HE1993" s="20"/>
      <c r="HF1993" s="20"/>
      <c r="HG1993" s="20"/>
      <c r="HH1993" s="20"/>
      <c r="HI1993" s="20"/>
      <c r="HJ1993" s="20"/>
      <c r="HK1993" s="20"/>
      <c r="HL1993" s="20"/>
      <c r="HM1993" s="20"/>
      <c r="HN1993" s="20"/>
      <c r="HO1993" s="20"/>
      <c r="HP1993" s="20"/>
      <c r="HQ1993" s="20"/>
      <c r="HR1993" s="20"/>
      <c r="HS1993" s="20"/>
      <c r="HT1993" s="20"/>
      <c r="HU1993" s="20"/>
      <c r="HV1993" s="20"/>
      <c r="HW1993" s="20"/>
      <c r="HX1993" s="20"/>
      <c r="HY1993" s="20"/>
      <c r="HZ1993" s="20"/>
      <c r="IA1993" s="20"/>
      <c r="IB1993" s="20"/>
      <c r="IC1993" s="20"/>
      <c r="ID1993" s="20"/>
      <c r="IE1993" s="20"/>
      <c r="IF1993" s="20"/>
      <c r="IG1993" s="20"/>
      <c r="IH1993" s="20"/>
      <c r="II1993" s="20"/>
      <c r="IJ1993" s="20"/>
      <c r="IK1993" s="20"/>
      <c r="IL1993" s="20"/>
      <c r="IM1993" s="20"/>
      <c r="IN1993" s="20"/>
      <c r="IO1993" s="20"/>
    </row>
    <row r="1994" spans="1:249" s="22" customFormat="1" ht="82.5">
      <c r="A1994" s="2554">
        <v>23</v>
      </c>
      <c r="B1994" s="44"/>
      <c r="C1994" s="753">
        <v>4</v>
      </c>
      <c r="D1994" s="753" t="s">
        <v>34</v>
      </c>
      <c r="E1994" s="753" t="s">
        <v>25</v>
      </c>
      <c r="F1994" s="753" t="s">
        <v>74</v>
      </c>
      <c r="G1994" s="753"/>
      <c r="H1994" s="753"/>
      <c r="I1994" s="44" t="s">
        <v>1661</v>
      </c>
      <c r="J1994" s="44" t="s">
        <v>3394</v>
      </c>
      <c r="K1994" s="149">
        <v>90</v>
      </c>
      <c r="L1994" s="1770">
        <f>SUM(L1995:L1995)</f>
        <v>1505000000</v>
      </c>
      <c r="M1994" s="149">
        <v>80</v>
      </c>
      <c r="N1994" s="1770">
        <f>SUM(N1995:N1995)</f>
        <v>708988077</v>
      </c>
      <c r="O1994" s="149">
        <v>5</v>
      </c>
      <c r="P1994" s="1899">
        <f>SUM(P1995:P1995)</f>
        <v>186078920</v>
      </c>
      <c r="Q1994" s="149">
        <v>0</v>
      </c>
      <c r="R1994" s="1899">
        <f t="shared" ref="R1994:X1994" si="593">SUM(R1995:R1995)</f>
        <v>27641500</v>
      </c>
      <c r="S1994" s="1899">
        <f t="shared" si="593"/>
        <v>0.75</v>
      </c>
      <c r="T1994" s="1901">
        <f t="shared" si="593"/>
        <v>62067300</v>
      </c>
      <c r="U1994" s="1899">
        <f t="shared" si="593"/>
        <v>0</v>
      </c>
      <c r="V1994" s="1899">
        <f t="shared" si="593"/>
        <v>0</v>
      </c>
      <c r="W1994" s="1899">
        <f t="shared" si="593"/>
        <v>0</v>
      </c>
      <c r="X1994" s="1899">
        <f t="shared" si="593"/>
        <v>0</v>
      </c>
      <c r="Y1994" s="149">
        <f>Q1994+S1994+U1994+W1994</f>
        <v>0.75</v>
      </c>
      <c r="Z1994" s="1901">
        <f t="shared" si="590"/>
        <v>89708800</v>
      </c>
      <c r="AA1994" s="149">
        <f t="shared" si="578"/>
        <v>80.75</v>
      </c>
      <c r="AB1994" s="1901">
        <f t="shared" si="579"/>
        <v>798696877</v>
      </c>
      <c r="AC1994" s="821">
        <f t="shared" si="589"/>
        <v>89.722222222222229</v>
      </c>
      <c r="AD1994" s="821">
        <f t="shared" si="591"/>
        <v>53.069559933554821</v>
      </c>
      <c r="AE1994" s="2558" t="s">
        <v>2252</v>
      </c>
      <c r="AF1994" s="201"/>
      <c r="AG1994" s="201"/>
      <c r="AH1994" s="201"/>
      <c r="AI1994" s="201"/>
      <c r="AJ1994" s="201"/>
      <c r="AK1994" s="201"/>
      <c r="AL1994" s="201"/>
      <c r="AM1994" s="201"/>
      <c r="AN1994" s="201"/>
      <c r="AO1994" s="201"/>
      <c r="AP1994" s="201"/>
      <c r="AQ1994" s="201"/>
      <c r="AR1994" s="201"/>
      <c r="AS1994" s="201"/>
      <c r="AT1994" s="201"/>
      <c r="AU1994" s="201"/>
      <c r="AV1994" s="201"/>
      <c r="AW1994" s="201"/>
      <c r="AX1994" s="201"/>
      <c r="AY1994" s="201"/>
      <c r="AZ1994" s="201"/>
      <c r="BA1994" s="201"/>
      <c r="BB1994" s="201"/>
      <c r="BC1994" s="20"/>
      <c r="BD1994" s="20"/>
      <c r="BE1994" s="20"/>
      <c r="BF1994" s="20"/>
      <c r="BG1994" s="20"/>
      <c r="BH1994" s="20"/>
      <c r="BI1994" s="20"/>
      <c r="BJ1994" s="20"/>
      <c r="BK1994" s="20"/>
      <c r="BL1994" s="20"/>
      <c r="BM1994" s="20"/>
      <c r="BN1994" s="20"/>
      <c r="BO1994" s="20"/>
      <c r="BP1994" s="20"/>
      <c r="BQ1994" s="20"/>
      <c r="BR1994" s="20"/>
      <c r="BS1994" s="20"/>
      <c r="BT1994" s="20"/>
      <c r="BU1994" s="20"/>
      <c r="BV1994" s="20"/>
      <c r="BW1994" s="20"/>
      <c r="BX1994" s="20"/>
      <c r="BY1994" s="20"/>
      <c r="BZ1994" s="20"/>
      <c r="CA1994" s="20"/>
      <c r="CB1994" s="20"/>
      <c r="CC1994" s="20"/>
      <c r="CD1994" s="20"/>
      <c r="CE1994" s="20"/>
      <c r="CF1994" s="20"/>
      <c r="CG1994" s="20"/>
      <c r="CH1994" s="20"/>
      <c r="CI1994" s="20"/>
      <c r="CJ1994" s="20"/>
      <c r="CK1994" s="20"/>
      <c r="CL1994" s="20"/>
      <c r="CM1994" s="20"/>
      <c r="CN1994" s="20"/>
      <c r="CO1994" s="20"/>
      <c r="CP1994" s="20"/>
      <c r="CQ1994" s="20"/>
      <c r="CR1994" s="20"/>
      <c r="CS1994" s="20"/>
      <c r="CT1994" s="20"/>
      <c r="CU1994" s="20"/>
      <c r="CV1994" s="20"/>
      <c r="CW1994" s="20"/>
      <c r="CX1994" s="20"/>
      <c r="CY1994" s="20"/>
      <c r="CZ1994" s="20"/>
      <c r="DA1994" s="20"/>
      <c r="DB1994" s="20"/>
      <c r="DC1994" s="20"/>
      <c r="DD1994" s="20"/>
      <c r="DE1994" s="20"/>
      <c r="DF1994" s="20"/>
      <c r="DG1994" s="20"/>
      <c r="DH1994" s="20"/>
      <c r="DI1994" s="20"/>
      <c r="DJ1994" s="20"/>
      <c r="DK1994" s="20"/>
      <c r="DL1994" s="20"/>
      <c r="DM1994" s="20"/>
      <c r="DN1994" s="20"/>
      <c r="DO1994" s="20"/>
      <c r="DP1994" s="20"/>
      <c r="DQ1994" s="20"/>
      <c r="DR1994" s="20"/>
      <c r="DS1994" s="20"/>
      <c r="DT1994" s="20"/>
      <c r="DU1994" s="20"/>
      <c r="DV1994" s="20"/>
      <c r="DW1994" s="20"/>
      <c r="DX1994" s="20"/>
      <c r="DY1994" s="20"/>
      <c r="DZ1994" s="20"/>
      <c r="EA1994" s="20"/>
      <c r="EB1994" s="20"/>
      <c r="EC1994" s="20"/>
      <c r="ED1994" s="20"/>
      <c r="EE1994" s="20"/>
      <c r="EF1994" s="20"/>
      <c r="EG1994" s="20"/>
      <c r="EH1994" s="20"/>
      <c r="EI1994" s="20"/>
      <c r="EJ1994" s="20"/>
      <c r="EK1994" s="20"/>
      <c r="EL1994" s="20"/>
      <c r="EM1994" s="20"/>
      <c r="EN1994" s="20"/>
      <c r="EO1994" s="20"/>
      <c r="EP1994" s="20"/>
      <c r="EQ1994" s="20"/>
      <c r="ER1994" s="20"/>
      <c r="ES1994" s="20"/>
      <c r="ET1994" s="20"/>
      <c r="EU1994" s="20"/>
      <c r="EV1994" s="20"/>
      <c r="EW1994" s="20"/>
      <c r="EX1994" s="20"/>
      <c r="EY1994" s="20"/>
      <c r="EZ1994" s="20"/>
      <c r="FA1994" s="20"/>
      <c r="FB1994" s="20"/>
      <c r="FC1994" s="20"/>
      <c r="FD1994" s="20"/>
      <c r="FE1994" s="20"/>
      <c r="FF1994" s="20"/>
      <c r="FG1994" s="20"/>
      <c r="FH1994" s="20"/>
      <c r="FI1994" s="20"/>
      <c r="FJ1994" s="20"/>
      <c r="FK1994" s="20"/>
      <c r="FL1994" s="20"/>
      <c r="FM1994" s="20"/>
      <c r="FN1994" s="20"/>
      <c r="FO1994" s="20"/>
      <c r="FP1994" s="20"/>
      <c r="FQ1994" s="20"/>
      <c r="FR1994" s="20"/>
      <c r="FS1994" s="20"/>
      <c r="FT1994" s="20"/>
      <c r="FU1994" s="20"/>
      <c r="FV1994" s="20"/>
      <c r="FW1994" s="20"/>
      <c r="FX1994" s="20"/>
      <c r="FY1994" s="20"/>
      <c r="FZ1994" s="20"/>
      <c r="GA1994" s="20"/>
      <c r="GB1994" s="20"/>
      <c r="GC1994" s="20"/>
      <c r="GD1994" s="20"/>
      <c r="GE1994" s="20"/>
      <c r="GF1994" s="20"/>
      <c r="GG1994" s="20"/>
      <c r="GH1994" s="20"/>
      <c r="GI1994" s="20"/>
      <c r="GJ1994" s="20"/>
      <c r="GK1994" s="20"/>
      <c r="GL1994" s="20"/>
      <c r="GM1994" s="20"/>
      <c r="GN1994" s="20"/>
      <c r="GO1994" s="20"/>
      <c r="GP1994" s="20"/>
      <c r="GQ1994" s="20"/>
      <c r="GR1994" s="20"/>
      <c r="GS1994" s="20"/>
      <c r="GT1994" s="20"/>
      <c r="GU1994" s="20"/>
      <c r="GV1994" s="20"/>
      <c r="GW1994" s="20"/>
      <c r="GX1994" s="20"/>
      <c r="GY1994" s="20"/>
      <c r="GZ1994" s="20"/>
      <c r="HA1994" s="20"/>
      <c r="HB1994" s="20"/>
      <c r="HC1994" s="20"/>
      <c r="HD1994" s="20"/>
      <c r="HE1994" s="20"/>
      <c r="HF1994" s="20"/>
      <c r="HG1994" s="20"/>
      <c r="HH1994" s="20"/>
      <c r="HI1994" s="20"/>
      <c r="HJ1994" s="20"/>
      <c r="HK1994" s="20"/>
      <c r="HL1994" s="20"/>
      <c r="HM1994" s="20"/>
      <c r="HN1994" s="20"/>
      <c r="HO1994" s="20"/>
      <c r="HP1994" s="20"/>
      <c r="HQ1994" s="20"/>
      <c r="HR1994" s="20"/>
      <c r="HS1994" s="20"/>
      <c r="HT1994" s="20"/>
      <c r="HU1994" s="20"/>
      <c r="HV1994" s="20"/>
      <c r="HW1994" s="20"/>
      <c r="HX1994" s="20"/>
      <c r="HY1994" s="20"/>
      <c r="HZ1994" s="20"/>
      <c r="IA1994" s="20"/>
      <c r="IB1994" s="20"/>
      <c r="IC1994" s="20"/>
      <c r="ID1994" s="20"/>
      <c r="IE1994" s="20"/>
      <c r="IF1994" s="20"/>
      <c r="IG1994" s="20"/>
      <c r="IH1994" s="20"/>
      <c r="II1994" s="20"/>
      <c r="IJ1994" s="20"/>
      <c r="IK1994" s="20"/>
      <c r="IL1994" s="20"/>
      <c r="IM1994" s="20"/>
      <c r="IN1994" s="20"/>
      <c r="IO1994" s="20"/>
    </row>
    <row r="1995" spans="1:249" s="22" customFormat="1" ht="41.25" customHeight="1">
      <c r="A1995" s="794"/>
      <c r="B1995" s="840"/>
      <c r="C1995" s="841">
        <v>4</v>
      </c>
      <c r="D1995" s="841" t="s">
        <v>34</v>
      </c>
      <c r="E1995" s="841" t="s">
        <v>25</v>
      </c>
      <c r="F1995" s="841" t="s">
        <v>74</v>
      </c>
      <c r="G1995" s="841">
        <v>16</v>
      </c>
      <c r="H1995" s="841"/>
      <c r="I1995" s="6" t="s">
        <v>3395</v>
      </c>
      <c r="J1995" s="6" t="s">
        <v>3396</v>
      </c>
      <c r="K1995" s="1902">
        <v>72</v>
      </c>
      <c r="L1995" s="1908">
        <v>1505000000</v>
      </c>
      <c r="M1995" s="1903">
        <v>36</v>
      </c>
      <c r="N1995" s="1904">
        <f>171172972+149545050+388270055</f>
        <v>708988077</v>
      </c>
      <c r="O1995" s="1902">
        <v>12</v>
      </c>
      <c r="P1995" s="1905">
        <v>186078920</v>
      </c>
      <c r="Q1995" s="1903">
        <v>3</v>
      </c>
      <c r="R1995" s="1904">
        <v>27641500</v>
      </c>
      <c r="S1995" s="2685">
        <f>Q1995/4</f>
        <v>0.75</v>
      </c>
      <c r="T1995" s="2683">
        <v>62067300</v>
      </c>
      <c r="U1995" s="795"/>
      <c r="V1995" s="1906"/>
      <c r="W1995" s="795"/>
      <c r="X1995" s="1906"/>
      <c r="Y1995" s="1903">
        <f>Q1995+S1995+W1995</f>
        <v>3.75</v>
      </c>
      <c r="Z1995" s="1906">
        <f t="shared" si="590"/>
        <v>89708800</v>
      </c>
      <c r="AA1995" s="1903">
        <f t="shared" si="578"/>
        <v>39.75</v>
      </c>
      <c r="AB1995" s="1906">
        <f t="shared" si="579"/>
        <v>798696877</v>
      </c>
      <c r="AC1995" s="1907">
        <f t="shared" si="589"/>
        <v>55.208333333333336</v>
      </c>
      <c r="AD1995" s="1907">
        <f t="shared" si="591"/>
        <v>53.069559933554821</v>
      </c>
      <c r="AE1995" s="102" t="s">
        <v>1980</v>
      </c>
      <c r="AF1995" s="201"/>
      <c r="AG1995" s="201"/>
      <c r="AH1995" s="201"/>
      <c r="AI1995" s="201"/>
      <c r="AJ1995" s="201"/>
      <c r="AK1995" s="201"/>
      <c r="AL1995" s="201"/>
      <c r="AM1995" s="201"/>
      <c r="AN1995" s="201"/>
      <c r="AO1995" s="201"/>
      <c r="AP1995" s="201"/>
      <c r="AQ1995" s="201"/>
      <c r="AR1995" s="201"/>
      <c r="AS1995" s="201"/>
      <c r="AT1995" s="201"/>
      <c r="AU1995" s="201"/>
      <c r="AV1995" s="201"/>
      <c r="AW1995" s="201"/>
      <c r="AX1995" s="201"/>
      <c r="AY1995" s="201"/>
      <c r="AZ1995" s="201"/>
      <c r="BA1995" s="201"/>
      <c r="BB1995" s="201"/>
      <c r="BC1995" s="20"/>
      <c r="BD1995" s="20"/>
      <c r="BE1995" s="20"/>
      <c r="BF1995" s="20"/>
      <c r="BG1995" s="20"/>
      <c r="BH1995" s="20"/>
      <c r="BI1995" s="20"/>
      <c r="BJ1995" s="20"/>
      <c r="BK1995" s="20"/>
      <c r="BL1995" s="20"/>
      <c r="BM1995" s="20"/>
      <c r="BN1995" s="20"/>
      <c r="BO1995" s="20"/>
      <c r="BP1995" s="20"/>
      <c r="BQ1995" s="20"/>
      <c r="BR1995" s="20"/>
      <c r="BS1995" s="20"/>
      <c r="BT1995" s="20"/>
      <c r="BU1995" s="20"/>
      <c r="BV1995" s="20"/>
      <c r="BW1995" s="20"/>
      <c r="BX1995" s="20"/>
      <c r="BY1995" s="20"/>
      <c r="BZ1995" s="20"/>
      <c r="CA1995" s="20"/>
      <c r="CB1995" s="20"/>
      <c r="CC1995" s="20"/>
      <c r="CD1995" s="20"/>
      <c r="CE1995" s="20"/>
      <c r="CF1995" s="20"/>
      <c r="CG1995" s="20"/>
      <c r="CH1995" s="20"/>
      <c r="CI1995" s="20"/>
      <c r="CJ1995" s="20"/>
      <c r="CK1995" s="20"/>
      <c r="CL1995" s="20"/>
      <c r="CM1995" s="20"/>
      <c r="CN1995" s="20"/>
      <c r="CO1995" s="20"/>
      <c r="CP1995" s="20"/>
      <c r="CQ1995" s="20"/>
      <c r="CR1995" s="20"/>
      <c r="CS1995" s="20"/>
      <c r="CT1995" s="20"/>
      <c r="CU1995" s="20"/>
      <c r="CV1995" s="20"/>
      <c r="CW1995" s="20"/>
      <c r="CX1995" s="20"/>
      <c r="CY1995" s="20"/>
      <c r="CZ1995" s="20"/>
      <c r="DA1995" s="20"/>
      <c r="DB1995" s="20"/>
      <c r="DC1995" s="20"/>
      <c r="DD1995" s="20"/>
      <c r="DE1995" s="20"/>
      <c r="DF1995" s="20"/>
      <c r="DG1995" s="20"/>
      <c r="DH1995" s="20"/>
      <c r="DI1995" s="20"/>
      <c r="DJ1995" s="20"/>
      <c r="DK1995" s="20"/>
      <c r="DL1995" s="20"/>
      <c r="DM1995" s="20"/>
      <c r="DN1995" s="20"/>
      <c r="DO1995" s="20"/>
      <c r="DP1995" s="20"/>
      <c r="DQ1995" s="20"/>
      <c r="DR1995" s="20"/>
      <c r="DS1995" s="20"/>
      <c r="DT1995" s="20"/>
      <c r="DU1995" s="20"/>
      <c r="DV1995" s="20"/>
      <c r="DW1995" s="20"/>
      <c r="DX1995" s="20"/>
      <c r="DY1995" s="20"/>
      <c r="DZ1995" s="20"/>
      <c r="EA1995" s="20"/>
      <c r="EB1995" s="20"/>
      <c r="EC1995" s="20"/>
      <c r="ED1995" s="20"/>
      <c r="EE1995" s="20"/>
      <c r="EF1995" s="20"/>
      <c r="EG1995" s="20"/>
      <c r="EH1995" s="20"/>
      <c r="EI1995" s="20"/>
      <c r="EJ1995" s="20"/>
      <c r="EK1995" s="20"/>
      <c r="EL1995" s="20"/>
      <c r="EM1995" s="20"/>
      <c r="EN1995" s="20"/>
      <c r="EO1995" s="20"/>
      <c r="EP1995" s="20"/>
      <c r="EQ1995" s="20"/>
      <c r="ER1995" s="20"/>
      <c r="ES1995" s="20"/>
      <c r="ET1995" s="20"/>
      <c r="EU1995" s="20"/>
      <c r="EV1995" s="20"/>
      <c r="EW1995" s="20"/>
      <c r="EX1995" s="20"/>
      <c r="EY1995" s="20"/>
      <c r="EZ1995" s="20"/>
      <c r="FA1995" s="20"/>
      <c r="FB1995" s="20"/>
      <c r="FC1995" s="20"/>
      <c r="FD1995" s="20"/>
      <c r="FE1995" s="20"/>
      <c r="FF1995" s="20"/>
      <c r="FG1995" s="20"/>
      <c r="FH1995" s="20"/>
      <c r="FI1995" s="20"/>
      <c r="FJ1995" s="20"/>
      <c r="FK1995" s="20"/>
      <c r="FL1995" s="20"/>
      <c r="FM1995" s="20"/>
      <c r="FN1995" s="20"/>
      <c r="FO1995" s="20"/>
      <c r="FP1995" s="20"/>
      <c r="FQ1995" s="20"/>
      <c r="FR1995" s="20"/>
      <c r="FS1995" s="20"/>
      <c r="FT1995" s="20"/>
      <c r="FU1995" s="20"/>
      <c r="FV1995" s="20"/>
      <c r="FW1995" s="20"/>
      <c r="FX1995" s="20"/>
      <c r="FY1995" s="20"/>
      <c r="FZ1995" s="20"/>
      <c r="GA1995" s="20"/>
      <c r="GB1995" s="20"/>
      <c r="GC1995" s="20"/>
      <c r="GD1995" s="20"/>
      <c r="GE1995" s="20"/>
      <c r="GF1995" s="20"/>
      <c r="GG1995" s="20"/>
      <c r="GH1995" s="20"/>
      <c r="GI1995" s="20"/>
      <c r="GJ1995" s="20"/>
      <c r="GK1995" s="20"/>
      <c r="GL1995" s="20"/>
      <c r="GM1995" s="20"/>
      <c r="GN1995" s="20"/>
      <c r="GO1995" s="20"/>
      <c r="GP1995" s="20"/>
      <c r="GQ1995" s="20"/>
      <c r="GR1995" s="20"/>
      <c r="GS1995" s="20"/>
      <c r="GT1995" s="20"/>
      <c r="GU1995" s="20"/>
      <c r="GV1995" s="20"/>
      <c r="GW1995" s="20"/>
      <c r="GX1995" s="20"/>
      <c r="GY1995" s="20"/>
      <c r="GZ1995" s="20"/>
      <c r="HA1995" s="20"/>
      <c r="HB1995" s="20"/>
      <c r="HC1995" s="20"/>
      <c r="HD1995" s="20"/>
      <c r="HE1995" s="20"/>
      <c r="HF1995" s="20"/>
      <c r="HG1995" s="20"/>
      <c r="HH1995" s="20"/>
      <c r="HI1995" s="20"/>
      <c r="HJ1995" s="20"/>
      <c r="HK1995" s="20"/>
      <c r="HL1995" s="20"/>
      <c r="HM1995" s="20"/>
      <c r="HN1995" s="20"/>
      <c r="HO1995" s="20"/>
      <c r="HP1995" s="20"/>
      <c r="HQ1995" s="20"/>
      <c r="HR1995" s="20"/>
      <c r="HS1995" s="20"/>
      <c r="HT1995" s="20"/>
      <c r="HU1995" s="20"/>
      <c r="HV1995" s="20"/>
      <c r="HW1995" s="20"/>
      <c r="HX1995" s="20"/>
      <c r="HY1995" s="20"/>
      <c r="HZ1995" s="20"/>
      <c r="IA1995" s="20"/>
      <c r="IB1995" s="20"/>
      <c r="IC1995" s="20"/>
      <c r="ID1995" s="20"/>
      <c r="IE1995" s="20"/>
      <c r="IF1995" s="20"/>
      <c r="IG1995" s="20"/>
      <c r="IH1995" s="20"/>
      <c r="II1995" s="20"/>
      <c r="IJ1995" s="20"/>
      <c r="IK1995" s="20"/>
      <c r="IL1995" s="20"/>
      <c r="IM1995" s="20"/>
      <c r="IN1995" s="20"/>
      <c r="IO1995" s="20"/>
    </row>
    <row r="1996" spans="1:249" s="22" customFormat="1" ht="49.5">
      <c r="A1996" s="2554">
        <v>24</v>
      </c>
      <c r="B1996" s="44"/>
      <c r="C1996" s="753">
        <v>4</v>
      </c>
      <c r="D1996" s="753" t="s">
        <v>34</v>
      </c>
      <c r="E1996" s="753" t="s">
        <v>25</v>
      </c>
      <c r="F1996" s="753">
        <v>17</v>
      </c>
      <c r="G1996" s="753"/>
      <c r="H1996" s="753"/>
      <c r="I1996" s="44" t="s">
        <v>1779</v>
      </c>
      <c r="J1996" s="44" t="s">
        <v>1903</v>
      </c>
      <c r="K1996" s="149" t="s">
        <v>3397</v>
      </c>
      <c r="L1996" s="1770">
        <f>SUM(L1997)</f>
        <v>340000000</v>
      </c>
      <c r="M1996" s="149" t="s">
        <v>3397</v>
      </c>
      <c r="N1996" s="1770">
        <f>SUM(N1997)</f>
        <v>279795123</v>
      </c>
      <c r="O1996" s="149" t="s">
        <v>3397</v>
      </c>
      <c r="P1996" s="1770">
        <f>SUM(P1997)</f>
        <v>144778280</v>
      </c>
      <c r="Q1996" s="149">
        <f t="shared" ref="Q1996:X1996" si="594">SUM(Q1997)</f>
        <v>0</v>
      </c>
      <c r="R1996" s="1770">
        <f t="shared" si="594"/>
        <v>0</v>
      </c>
      <c r="S1996" s="1770">
        <f t="shared" si="594"/>
        <v>0</v>
      </c>
      <c r="T1996" s="1770">
        <f t="shared" si="594"/>
        <v>7295250</v>
      </c>
      <c r="U1996" s="1770">
        <f t="shared" si="594"/>
        <v>0</v>
      </c>
      <c r="V1996" s="1770">
        <f t="shared" si="594"/>
        <v>0</v>
      </c>
      <c r="W1996" s="1770">
        <f t="shared" si="594"/>
        <v>0</v>
      </c>
      <c r="X1996" s="1770">
        <f t="shared" si="594"/>
        <v>0</v>
      </c>
      <c r="Y1996" s="149" t="s">
        <v>3397</v>
      </c>
      <c r="Z1996" s="1901">
        <f t="shared" si="590"/>
        <v>7295250</v>
      </c>
      <c r="AA1996" s="149" t="s">
        <v>3397</v>
      </c>
      <c r="AB1996" s="1901">
        <f t="shared" ref="AB1996:AB2043" si="595">N1996+Z1996</f>
        <v>287090373</v>
      </c>
      <c r="AC1996" s="821">
        <v>100</v>
      </c>
      <c r="AD1996" s="821">
        <f t="shared" si="591"/>
        <v>84.438344999999998</v>
      </c>
      <c r="AE1996" s="2558" t="s">
        <v>2252</v>
      </c>
      <c r="AF1996" s="201"/>
      <c r="AG1996" s="201"/>
      <c r="AH1996" s="201"/>
      <c r="AI1996" s="201"/>
      <c r="AJ1996" s="201"/>
      <c r="AK1996" s="201"/>
      <c r="AL1996" s="201"/>
      <c r="AM1996" s="201"/>
      <c r="AN1996" s="201"/>
      <c r="AO1996" s="201"/>
      <c r="AP1996" s="201"/>
      <c r="AQ1996" s="201"/>
      <c r="AR1996" s="201"/>
      <c r="AS1996" s="201"/>
      <c r="AT1996" s="201"/>
      <c r="AU1996" s="201"/>
      <c r="AV1996" s="201"/>
      <c r="AW1996" s="201"/>
      <c r="AX1996" s="201"/>
      <c r="AY1996" s="201"/>
      <c r="AZ1996" s="201"/>
      <c r="BA1996" s="201"/>
      <c r="BB1996" s="201"/>
      <c r="BC1996" s="20"/>
      <c r="BD1996" s="20"/>
      <c r="BE1996" s="20"/>
      <c r="BF1996" s="20"/>
      <c r="BG1996" s="20"/>
      <c r="BH1996" s="20"/>
      <c r="BI1996" s="20"/>
      <c r="BJ1996" s="20"/>
      <c r="BK1996" s="20"/>
      <c r="BL1996" s="20"/>
      <c r="BM1996" s="20"/>
      <c r="BN1996" s="20"/>
      <c r="BO1996" s="20"/>
      <c r="BP1996" s="20"/>
      <c r="BQ1996" s="20"/>
      <c r="BR1996" s="20"/>
      <c r="BS1996" s="20"/>
      <c r="BT1996" s="20"/>
      <c r="BU1996" s="20"/>
      <c r="BV1996" s="20"/>
      <c r="BW1996" s="20"/>
      <c r="BX1996" s="20"/>
      <c r="BY1996" s="20"/>
      <c r="BZ1996" s="20"/>
      <c r="CA1996" s="20"/>
      <c r="CB1996" s="20"/>
      <c r="CC1996" s="20"/>
      <c r="CD1996" s="20"/>
      <c r="CE1996" s="20"/>
      <c r="CF1996" s="20"/>
      <c r="CG1996" s="20"/>
      <c r="CH1996" s="20"/>
      <c r="CI1996" s="20"/>
      <c r="CJ1996" s="20"/>
      <c r="CK1996" s="20"/>
      <c r="CL1996" s="20"/>
      <c r="CM1996" s="20"/>
      <c r="CN1996" s="20"/>
      <c r="CO1996" s="20"/>
      <c r="CP1996" s="20"/>
      <c r="CQ1996" s="20"/>
      <c r="CR1996" s="20"/>
      <c r="CS1996" s="20"/>
      <c r="CT1996" s="20"/>
      <c r="CU1996" s="20"/>
      <c r="CV1996" s="20"/>
      <c r="CW1996" s="20"/>
      <c r="CX1996" s="20"/>
      <c r="CY1996" s="20"/>
      <c r="CZ1996" s="20"/>
      <c r="DA1996" s="20"/>
      <c r="DB1996" s="20"/>
      <c r="DC1996" s="20"/>
      <c r="DD1996" s="20"/>
      <c r="DE1996" s="20"/>
      <c r="DF1996" s="20"/>
      <c r="DG1996" s="20"/>
      <c r="DH1996" s="20"/>
      <c r="DI1996" s="20"/>
      <c r="DJ1996" s="20"/>
      <c r="DK1996" s="20"/>
      <c r="DL1996" s="20"/>
      <c r="DM1996" s="20"/>
      <c r="DN1996" s="20"/>
      <c r="DO1996" s="20"/>
      <c r="DP1996" s="20"/>
      <c r="DQ1996" s="20"/>
      <c r="DR1996" s="20"/>
      <c r="DS1996" s="20"/>
      <c r="DT1996" s="20"/>
      <c r="DU1996" s="20"/>
      <c r="DV1996" s="20"/>
      <c r="DW1996" s="20"/>
      <c r="DX1996" s="20"/>
      <c r="DY1996" s="20"/>
      <c r="DZ1996" s="20"/>
      <c r="EA1996" s="20"/>
      <c r="EB1996" s="20"/>
      <c r="EC1996" s="20"/>
      <c r="ED1996" s="20"/>
      <c r="EE1996" s="20"/>
      <c r="EF1996" s="20"/>
      <c r="EG1996" s="20"/>
      <c r="EH1996" s="20"/>
      <c r="EI1996" s="20"/>
      <c r="EJ1996" s="20"/>
      <c r="EK1996" s="20"/>
      <c r="EL1996" s="20"/>
      <c r="EM1996" s="20"/>
      <c r="EN1996" s="20"/>
      <c r="EO1996" s="20"/>
      <c r="EP1996" s="20"/>
      <c r="EQ1996" s="20"/>
      <c r="ER1996" s="20"/>
      <c r="ES1996" s="20"/>
      <c r="ET1996" s="20"/>
      <c r="EU1996" s="20"/>
      <c r="EV1996" s="20"/>
      <c r="EW1996" s="20"/>
      <c r="EX1996" s="20"/>
      <c r="EY1996" s="20"/>
      <c r="EZ1996" s="20"/>
      <c r="FA1996" s="20"/>
      <c r="FB1996" s="20"/>
      <c r="FC1996" s="20"/>
      <c r="FD1996" s="20"/>
      <c r="FE1996" s="20"/>
      <c r="FF1996" s="20"/>
      <c r="FG1996" s="20"/>
      <c r="FH1996" s="20"/>
      <c r="FI1996" s="20"/>
      <c r="FJ1996" s="20"/>
      <c r="FK1996" s="20"/>
      <c r="FL1996" s="20"/>
      <c r="FM1996" s="20"/>
      <c r="FN1996" s="20"/>
      <c r="FO1996" s="20"/>
      <c r="FP1996" s="20"/>
      <c r="FQ1996" s="20"/>
      <c r="FR1996" s="20"/>
      <c r="FS1996" s="20"/>
      <c r="FT1996" s="20"/>
      <c r="FU1996" s="20"/>
      <c r="FV1996" s="20"/>
      <c r="FW1996" s="20"/>
      <c r="FX1996" s="20"/>
      <c r="FY1996" s="20"/>
      <c r="FZ1996" s="20"/>
      <c r="GA1996" s="20"/>
      <c r="GB1996" s="20"/>
      <c r="GC1996" s="20"/>
      <c r="GD1996" s="20"/>
      <c r="GE1996" s="20"/>
      <c r="GF1996" s="20"/>
      <c r="GG1996" s="20"/>
      <c r="GH1996" s="20"/>
      <c r="GI1996" s="20"/>
      <c r="GJ1996" s="20"/>
      <c r="GK1996" s="20"/>
      <c r="GL1996" s="20"/>
      <c r="GM1996" s="20"/>
      <c r="GN1996" s="20"/>
      <c r="GO1996" s="20"/>
      <c r="GP1996" s="20"/>
      <c r="GQ1996" s="20"/>
      <c r="GR1996" s="20"/>
      <c r="GS1996" s="20"/>
      <c r="GT1996" s="20"/>
      <c r="GU1996" s="20"/>
      <c r="GV1996" s="20"/>
      <c r="GW1996" s="20"/>
      <c r="GX1996" s="20"/>
      <c r="GY1996" s="20"/>
      <c r="GZ1996" s="20"/>
      <c r="HA1996" s="20"/>
      <c r="HB1996" s="20"/>
      <c r="HC1996" s="20"/>
      <c r="HD1996" s="20"/>
      <c r="HE1996" s="20"/>
      <c r="HF1996" s="20"/>
      <c r="HG1996" s="20"/>
      <c r="HH1996" s="20"/>
      <c r="HI1996" s="20"/>
      <c r="HJ1996" s="20"/>
      <c r="HK1996" s="20"/>
      <c r="HL1996" s="20"/>
      <c r="HM1996" s="20"/>
      <c r="HN1996" s="20"/>
      <c r="HO1996" s="20"/>
      <c r="HP1996" s="20"/>
      <c r="HQ1996" s="20"/>
      <c r="HR1996" s="20"/>
      <c r="HS1996" s="20"/>
      <c r="HT1996" s="20"/>
      <c r="HU1996" s="20"/>
      <c r="HV1996" s="20"/>
      <c r="HW1996" s="20"/>
      <c r="HX1996" s="20"/>
      <c r="HY1996" s="20"/>
      <c r="HZ1996" s="20"/>
      <c r="IA1996" s="20"/>
      <c r="IB1996" s="20"/>
      <c r="IC1996" s="20"/>
      <c r="ID1996" s="20"/>
      <c r="IE1996" s="20"/>
      <c r="IF1996" s="20"/>
      <c r="IG1996" s="20"/>
      <c r="IH1996" s="20"/>
      <c r="II1996" s="20"/>
      <c r="IJ1996" s="20"/>
      <c r="IK1996" s="20"/>
      <c r="IL1996" s="20"/>
      <c r="IM1996" s="20"/>
      <c r="IN1996" s="20"/>
      <c r="IO1996" s="20"/>
    </row>
    <row r="1997" spans="1:249" s="22" customFormat="1" ht="66">
      <c r="A1997" s="794"/>
      <c r="B1997" s="840"/>
      <c r="C1997" s="841">
        <v>4</v>
      </c>
      <c r="D1997" s="841" t="s">
        <v>34</v>
      </c>
      <c r="E1997" s="841" t="s">
        <v>25</v>
      </c>
      <c r="F1997" s="841">
        <v>17</v>
      </c>
      <c r="G1997" s="841">
        <v>58</v>
      </c>
      <c r="H1997" s="841"/>
      <c r="I1997" s="6" t="s">
        <v>1904</v>
      </c>
      <c r="J1997" s="6" t="s">
        <v>3398</v>
      </c>
      <c r="K1997" s="1903">
        <v>6</v>
      </c>
      <c r="L1997" s="1908">
        <v>340000000</v>
      </c>
      <c r="M1997" s="1903">
        <v>3</v>
      </c>
      <c r="N1997" s="1904">
        <f>132655856+147139267</f>
        <v>279795123</v>
      </c>
      <c r="O1997" s="1902">
        <v>1</v>
      </c>
      <c r="P1997" s="1905">
        <v>144778280</v>
      </c>
      <c r="Q1997" s="1903">
        <v>0</v>
      </c>
      <c r="R1997" s="1904">
        <v>0</v>
      </c>
      <c r="S1997" s="795"/>
      <c r="T1997" s="1906">
        <v>7295250</v>
      </c>
      <c r="U1997" s="795"/>
      <c r="V1997" s="1906"/>
      <c r="W1997" s="795"/>
      <c r="X1997" s="1906"/>
      <c r="Y1997" s="1903">
        <f>Q1997+S1997</f>
        <v>0</v>
      </c>
      <c r="Z1997" s="1906">
        <f t="shared" si="590"/>
        <v>7295250</v>
      </c>
      <c r="AA1997" s="1903">
        <f>M1997+Y1997</f>
        <v>3</v>
      </c>
      <c r="AB1997" s="1906">
        <f t="shared" si="595"/>
        <v>287090373</v>
      </c>
      <c r="AC1997" s="1907">
        <f t="shared" ref="AC1997:AC2022" si="596">AA1997/K1997*100</f>
        <v>50</v>
      </c>
      <c r="AD1997" s="1907">
        <f t="shared" si="591"/>
        <v>84.438344999999998</v>
      </c>
      <c r="AE1997" s="2602" t="s">
        <v>1996</v>
      </c>
      <c r="AF1997" s="201"/>
      <c r="AG1997" s="201"/>
      <c r="AH1997" s="201"/>
      <c r="AI1997" s="201"/>
      <c r="AJ1997" s="201"/>
      <c r="AK1997" s="201"/>
      <c r="AL1997" s="201"/>
      <c r="AM1997" s="201"/>
      <c r="AN1997" s="201"/>
      <c r="AO1997" s="201"/>
      <c r="AP1997" s="201"/>
      <c r="AQ1997" s="201"/>
      <c r="AR1997" s="201"/>
      <c r="AS1997" s="201"/>
      <c r="AT1997" s="201"/>
      <c r="AU1997" s="201"/>
      <c r="AV1997" s="201"/>
      <c r="AW1997" s="201"/>
      <c r="AX1997" s="201"/>
      <c r="AY1997" s="201"/>
      <c r="AZ1997" s="201"/>
      <c r="BA1997" s="201"/>
      <c r="BB1997" s="201"/>
      <c r="BC1997" s="20"/>
      <c r="BD1997" s="20"/>
      <c r="BE1997" s="20"/>
      <c r="BF1997" s="20"/>
      <c r="BG1997" s="20"/>
      <c r="BH1997" s="20"/>
      <c r="BI1997" s="20"/>
      <c r="BJ1997" s="20"/>
      <c r="BK1997" s="20"/>
      <c r="BL1997" s="20"/>
      <c r="BM1997" s="20"/>
      <c r="BN1997" s="20"/>
      <c r="BO1997" s="20"/>
      <c r="BP1997" s="20"/>
      <c r="BQ1997" s="20"/>
      <c r="BR1997" s="20"/>
      <c r="BS1997" s="20"/>
      <c r="BT1997" s="20"/>
      <c r="BU1997" s="20"/>
      <c r="BV1997" s="20"/>
      <c r="BW1997" s="20"/>
      <c r="BX1997" s="20"/>
      <c r="BY1997" s="20"/>
      <c r="BZ1997" s="20"/>
      <c r="CA1997" s="20"/>
      <c r="CB1997" s="20"/>
      <c r="CC1997" s="20"/>
      <c r="CD1997" s="20"/>
      <c r="CE1997" s="20"/>
      <c r="CF1997" s="20"/>
      <c r="CG1997" s="20"/>
      <c r="CH1997" s="20"/>
      <c r="CI1997" s="20"/>
      <c r="CJ1997" s="20"/>
      <c r="CK1997" s="20"/>
      <c r="CL1997" s="20"/>
      <c r="CM1997" s="20"/>
      <c r="CN1997" s="20"/>
      <c r="CO1997" s="20"/>
      <c r="CP1997" s="20"/>
      <c r="CQ1997" s="20"/>
      <c r="CR1997" s="20"/>
      <c r="CS1997" s="20"/>
      <c r="CT1997" s="20"/>
      <c r="CU1997" s="20"/>
      <c r="CV1997" s="20"/>
      <c r="CW1997" s="20"/>
      <c r="CX1997" s="20"/>
      <c r="CY1997" s="20"/>
      <c r="CZ1997" s="20"/>
      <c r="DA1997" s="20"/>
      <c r="DB1997" s="20"/>
      <c r="DC1997" s="20"/>
      <c r="DD1997" s="20"/>
      <c r="DE1997" s="20"/>
      <c r="DF1997" s="20"/>
      <c r="DG1997" s="20"/>
      <c r="DH1997" s="20"/>
      <c r="DI1997" s="20"/>
      <c r="DJ1997" s="20"/>
      <c r="DK1997" s="20"/>
      <c r="DL1997" s="20"/>
      <c r="DM1997" s="20"/>
      <c r="DN1997" s="20"/>
      <c r="DO1997" s="20"/>
      <c r="DP1997" s="20"/>
      <c r="DQ1997" s="20"/>
      <c r="DR1997" s="20"/>
      <c r="DS1997" s="20"/>
      <c r="DT1997" s="20"/>
      <c r="DU1997" s="20"/>
      <c r="DV1997" s="20"/>
      <c r="DW1997" s="20"/>
      <c r="DX1997" s="20"/>
      <c r="DY1997" s="20"/>
      <c r="DZ1997" s="20"/>
      <c r="EA1997" s="20"/>
      <c r="EB1997" s="20"/>
      <c r="EC1997" s="20"/>
      <c r="ED1997" s="20"/>
      <c r="EE1997" s="20"/>
      <c r="EF1997" s="20"/>
      <c r="EG1997" s="20"/>
      <c r="EH1997" s="20"/>
      <c r="EI1997" s="20"/>
      <c r="EJ1997" s="20"/>
      <c r="EK1997" s="20"/>
      <c r="EL1997" s="20"/>
      <c r="EM1997" s="20"/>
      <c r="EN1997" s="20"/>
      <c r="EO1997" s="20"/>
      <c r="EP1997" s="20"/>
      <c r="EQ1997" s="20"/>
      <c r="ER1997" s="20"/>
      <c r="ES1997" s="20"/>
      <c r="ET1997" s="20"/>
      <c r="EU1997" s="20"/>
      <c r="EV1997" s="20"/>
      <c r="EW1997" s="20"/>
      <c r="EX1997" s="20"/>
      <c r="EY1997" s="20"/>
      <c r="EZ1997" s="20"/>
      <c r="FA1997" s="20"/>
      <c r="FB1997" s="20"/>
      <c r="FC1997" s="20"/>
      <c r="FD1997" s="20"/>
      <c r="FE1997" s="20"/>
      <c r="FF1997" s="20"/>
      <c r="FG1997" s="20"/>
      <c r="FH1997" s="20"/>
      <c r="FI1997" s="20"/>
      <c r="FJ1997" s="20"/>
      <c r="FK1997" s="20"/>
      <c r="FL1997" s="20"/>
      <c r="FM1997" s="20"/>
      <c r="FN1997" s="20"/>
      <c r="FO1997" s="20"/>
      <c r="FP1997" s="20"/>
      <c r="FQ1997" s="20"/>
      <c r="FR1997" s="20"/>
      <c r="FS1997" s="20"/>
      <c r="FT1997" s="20"/>
      <c r="FU1997" s="20"/>
      <c r="FV1997" s="20"/>
      <c r="FW1997" s="20"/>
      <c r="FX1997" s="20"/>
      <c r="FY1997" s="20"/>
      <c r="FZ1997" s="20"/>
      <c r="GA1997" s="20"/>
      <c r="GB1997" s="20"/>
      <c r="GC1997" s="20"/>
      <c r="GD1997" s="20"/>
      <c r="GE1997" s="20"/>
      <c r="GF1997" s="20"/>
      <c r="GG1997" s="20"/>
      <c r="GH1997" s="20"/>
      <c r="GI1997" s="20"/>
      <c r="GJ1997" s="20"/>
      <c r="GK1997" s="20"/>
      <c r="GL1997" s="20"/>
      <c r="GM1997" s="20"/>
      <c r="GN1997" s="20"/>
      <c r="GO1997" s="20"/>
      <c r="GP1997" s="20"/>
      <c r="GQ1997" s="20"/>
      <c r="GR1997" s="20"/>
      <c r="GS1997" s="20"/>
      <c r="GT1997" s="20"/>
      <c r="GU1997" s="20"/>
      <c r="GV1997" s="20"/>
      <c r="GW1997" s="20"/>
      <c r="GX1997" s="20"/>
      <c r="GY1997" s="20"/>
      <c r="GZ1997" s="20"/>
      <c r="HA1997" s="20"/>
      <c r="HB1997" s="20"/>
      <c r="HC1997" s="20"/>
      <c r="HD1997" s="20"/>
      <c r="HE1997" s="20"/>
      <c r="HF1997" s="20"/>
      <c r="HG1997" s="20"/>
      <c r="HH1997" s="20"/>
      <c r="HI1997" s="20"/>
      <c r="HJ1997" s="20"/>
      <c r="HK1997" s="20"/>
      <c r="HL1997" s="20"/>
      <c r="HM1997" s="20"/>
      <c r="HN1997" s="20"/>
      <c r="HO1997" s="20"/>
      <c r="HP1997" s="20"/>
      <c r="HQ1997" s="20"/>
      <c r="HR1997" s="20"/>
      <c r="HS1997" s="20"/>
      <c r="HT1997" s="20"/>
      <c r="HU1997" s="20"/>
      <c r="HV1997" s="20"/>
      <c r="HW1997" s="20"/>
      <c r="HX1997" s="20"/>
      <c r="HY1997" s="20"/>
      <c r="HZ1997" s="20"/>
      <c r="IA1997" s="20"/>
      <c r="IB1997" s="20"/>
      <c r="IC1997" s="20"/>
      <c r="ID1997" s="20"/>
      <c r="IE1997" s="20"/>
      <c r="IF1997" s="20"/>
      <c r="IG1997" s="20"/>
      <c r="IH1997" s="20"/>
      <c r="II1997" s="20"/>
      <c r="IJ1997" s="20"/>
      <c r="IK1997" s="20"/>
      <c r="IL1997" s="20"/>
      <c r="IM1997" s="20"/>
      <c r="IN1997" s="20"/>
      <c r="IO1997" s="20"/>
    </row>
    <row r="1998" spans="1:249" s="22" customFormat="1" ht="82.5">
      <c r="A1998" s="2554">
        <v>25</v>
      </c>
      <c r="B1998" s="44"/>
      <c r="C1998" s="753">
        <v>4</v>
      </c>
      <c r="D1998" s="753" t="s">
        <v>34</v>
      </c>
      <c r="E1998" s="753" t="s">
        <v>25</v>
      </c>
      <c r="F1998" s="753" t="s">
        <v>42</v>
      </c>
      <c r="G1998" s="753"/>
      <c r="H1998" s="753"/>
      <c r="I1998" s="44" t="s">
        <v>1906</v>
      </c>
      <c r="J1998" s="44" t="s">
        <v>3399</v>
      </c>
      <c r="K1998" s="149">
        <v>100</v>
      </c>
      <c r="L1998" s="1899">
        <f>SUM(L1999:L2001)</f>
        <v>2826000000</v>
      </c>
      <c r="M1998" s="149">
        <v>100</v>
      </c>
      <c r="N1998" s="1899">
        <f>SUM(N1999:N2001)</f>
        <v>1585397991</v>
      </c>
      <c r="O1998" s="149">
        <v>100</v>
      </c>
      <c r="P1998" s="1899">
        <f>SUM(P1999:P2001)</f>
        <v>412217264</v>
      </c>
      <c r="Q1998" s="149">
        <v>100</v>
      </c>
      <c r="R1998" s="1899">
        <f t="shared" ref="R1998:X1998" si="597">SUM(R1999:R2001)</f>
        <v>94790980</v>
      </c>
      <c r="S1998" s="1899">
        <f t="shared" si="597"/>
        <v>20</v>
      </c>
      <c r="T1998" s="1899">
        <f t="shared" si="597"/>
        <v>174710762</v>
      </c>
      <c r="U1998" s="1899">
        <f t="shared" si="597"/>
        <v>0</v>
      </c>
      <c r="V1998" s="1899">
        <f t="shared" si="597"/>
        <v>0</v>
      </c>
      <c r="W1998" s="1899">
        <f t="shared" si="597"/>
        <v>0</v>
      </c>
      <c r="X1998" s="1899">
        <f t="shared" si="597"/>
        <v>0</v>
      </c>
      <c r="Y1998" s="149">
        <v>100</v>
      </c>
      <c r="Z1998" s="1901">
        <f t="shared" si="590"/>
        <v>269501742</v>
      </c>
      <c r="AA1998" s="149">
        <v>100</v>
      </c>
      <c r="AB1998" s="1901">
        <f t="shared" si="595"/>
        <v>1854899733</v>
      </c>
      <c r="AC1998" s="821">
        <f t="shared" si="596"/>
        <v>100</v>
      </c>
      <c r="AD1998" s="821">
        <f t="shared" si="591"/>
        <v>65.636933227176215</v>
      </c>
      <c r="AE1998" s="2558" t="s">
        <v>2252</v>
      </c>
      <c r="AF1998" s="201"/>
      <c r="AG1998" s="201"/>
      <c r="AH1998" s="201"/>
      <c r="AI1998" s="201"/>
      <c r="AJ1998" s="201"/>
      <c r="AK1998" s="201"/>
      <c r="AL1998" s="201"/>
      <c r="AM1998" s="201"/>
      <c r="AN1998" s="201"/>
      <c r="AO1998" s="201"/>
      <c r="AP1998" s="201"/>
      <c r="AQ1998" s="201"/>
      <c r="AR1998" s="201"/>
      <c r="AS1998" s="201"/>
      <c r="AT1998" s="201"/>
      <c r="AU1998" s="201"/>
      <c r="AV1998" s="201"/>
      <c r="AW1998" s="201"/>
      <c r="AX1998" s="201"/>
      <c r="AY1998" s="201"/>
      <c r="AZ1998" s="201"/>
      <c r="BA1998" s="201"/>
      <c r="BB1998" s="201"/>
      <c r="BC1998" s="20"/>
      <c r="BD1998" s="20"/>
      <c r="BE1998" s="20"/>
      <c r="BF1998" s="20"/>
      <c r="BG1998" s="20"/>
      <c r="BH1998" s="20"/>
      <c r="BI1998" s="20"/>
      <c r="BJ1998" s="20"/>
      <c r="BK1998" s="20"/>
      <c r="BL1998" s="20"/>
      <c r="BM1998" s="20"/>
      <c r="BN1998" s="20"/>
      <c r="BO1998" s="20"/>
      <c r="BP1998" s="20"/>
      <c r="BQ1998" s="20"/>
      <c r="BR1998" s="20"/>
      <c r="BS1998" s="20"/>
      <c r="BT1998" s="20"/>
      <c r="BU1998" s="20"/>
      <c r="BV1998" s="20"/>
      <c r="BW1998" s="20"/>
      <c r="BX1998" s="20"/>
      <c r="BY1998" s="20"/>
      <c r="BZ1998" s="20"/>
      <c r="CA1998" s="20"/>
      <c r="CB1998" s="20"/>
      <c r="CC1998" s="20"/>
      <c r="CD1998" s="20"/>
      <c r="CE1998" s="20"/>
      <c r="CF1998" s="20"/>
      <c r="CG1998" s="20"/>
      <c r="CH1998" s="20"/>
      <c r="CI1998" s="20"/>
      <c r="CJ1998" s="20"/>
      <c r="CK1998" s="20"/>
      <c r="CL1998" s="20"/>
      <c r="CM1998" s="20"/>
      <c r="CN1998" s="20"/>
      <c r="CO1998" s="20"/>
      <c r="CP1998" s="20"/>
      <c r="CQ1998" s="20"/>
      <c r="CR1998" s="20"/>
      <c r="CS1998" s="20"/>
      <c r="CT1998" s="20"/>
      <c r="CU1998" s="20"/>
      <c r="CV1998" s="20"/>
      <c r="CW1998" s="20"/>
      <c r="CX1998" s="20"/>
      <c r="CY1998" s="20"/>
      <c r="CZ1998" s="20"/>
      <c r="DA1998" s="20"/>
      <c r="DB1998" s="20"/>
      <c r="DC1998" s="20"/>
      <c r="DD1998" s="20"/>
      <c r="DE1998" s="20"/>
      <c r="DF1998" s="20"/>
      <c r="DG1998" s="20"/>
      <c r="DH1998" s="20"/>
      <c r="DI1998" s="20"/>
      <c r="DJ1998" s="20"/>
      <c r="DK1998" s="20"/>
      <c r="DL1998" s="20"/>
      <c r="DM1998" s="20"/>
      <c r="DN1998" s="20"/>
      <c r="DO1998" s="20"/>
      <c r="DP1998" s="20"/>
      <c r="DQ1998" s="20"/>
      <c r="DR1998" s="20"/>
      <c r="DS1998" s="20"/>
      <c r="DT1998" s="20"/>
      <c r="DU1998" s="20"/>
      <c r="DV1998" s="20"/>
      <c r="DW1998" s="20"/>
      <c r="DX1998" s="20"/>
      <c r="DY1998" s="20"/>
      <c r="DZ1998" s="20"/>
      <c r="EA1998" s="20"/>
      <c r="EB1998" s="20"/>
      <c r="EC1998" s="20"/>
      <c r="ED1998" s="20"/>
      <c r="EE1998" s="20"/>
      <c r="EF1998" s="20"/>
      <c r="EG1998" s="20"/>
      <c r="EH1998" s="20"/>
      <c r="EI1998" s="20"/>
      <c r="EJ1998" s="20"/>
      <c r="EK1998" s="20"/>
      <c r="EL1998" s="20"/>
      <c r="EM1998" s="20"/>
      <c r="EN1998" s="20"/>
      <c r="EO1998" s="20"/>
      <c r="EP1998" s="20"/>
      <c r="EQ1998" s="20"/>
      <c r="ER1998" s="20"/>
      <c r="ES1998" s="20"/>
      <c r="ET1998" s="20"/>
      <c r="EU1998" s="20"/>
      <c r="EV1998" s="20"/>
      <c r="EW1998" s="20"/>
      <c r="EX1998" s="20"/>
      <c r="EY1998" s="20"/>
      <c r="EZ1998" s="20"/>
      <c r="FA1998" s="20"/>
      <c r="FB1998" s="20"/>
      <c r="FC1998" s="20"/>
      <c r="FD1998" s="20"/>
      <c r="FE1998" s="20"/>
      <c r="FF1998" s="20"/>
      <c r="FG1998" s="20"/>
      <c r="FH1998" s="20"/>
      <c r="FI1998" s="20"/>
      <c r="FJ1998" s="20"/>
      <c r="FK1998" s="20"/>
      <c r="FL1998" s="20"/>
      <c r="FM1998" s="20"/>
      <c r="FN1998" s="20"/>
      <c r="FO1998" s="20"/>
      <c r="FP1998" s="20"/>
      <c r="FQ1998" s="20"/>
      <c r="FR1998" s="20"/>
      <c r="FS1998" s="20"/>
      <c r="FT1998" s="20"/>
      <c r="FU1998" s="20"/>
      <c r="FV1998" s="20"/>
      <c r="FW1998" s="20"/>
      <c r="FX1998" s="20"/>
      <c r="FY1998" s="20"/>
      <c r="FZ1998" s="20"/>
      <c r="GA1998" s="20"/>
      <c r="GB1998" s="20"/>
      <c r="GC1998" s="20"/>
      <c r="GD1998" s="20"/>
      <c r="GE1998" s="20"/>
      <c r="GF1998" s="20"/>
      <c r="GG1998" s="20"/>
      <c r="GH1998" s="20"/>
      <c r="GI1998" s="20"/>
      <c r="GJ1998" s="20"/>
      <c r="GK1998" s="20"/>
      <c r="GL1998" s="20"/>
      <c r="GM1998" s="20"/>
      <c r="GN1998" s="20"/>
      <c r="GO1998" s="20"/>
      <c r="GP1998" s="20"/>
      <c r="GQ1998" s="20"/>
      <c r="GR1998" s="20"/>
      <c r="GS1998" s="20"/>
      <c r="GT1998" s="20"/>
      <c r="GU1998" s="20"/>
      <c r="GV1998" s="20"/>
      <c r="GW1998" s="20"/>
      <c r="GX1998" s="20"/>
      <c r="GY1998" s="20"/>
      <c r="GZ1998" s="20"/>
      <c r="HA1998" s="20"/>
      <c r="HB1998" s="20"/>
      <c r="HC1998" s="20"/>
      <c r="HD1998" s="20"/>
      <c r="HE1998" s="20"/>
      <c r="HF1998" s="20"/>
      <c r="HG1998" s="20"/>
      <c r="HH1998" s="20"/>
      <c r="HI1998" s="20"/>
      <c r="HJ1998" s="20"/>
      <c r="HK1998" s="20"/>
      <c r="HL1998" s="20"/>
      <c r="HM1998" s="20"/>
      <c r="HN1998" s="20"/>
      <c r="HO1998" s="20"/>
      <c r="HP1998" s="20"/>
      <c r="HQ1998" s="20"/>
      <c r="HR1998" s="20"/>
      <c r="HS1998" s="20"/>
      <c r="HT1998" s="20"/>
      <c r="HU1998" s="20"/>
      <c r="HV1998" s="20"/>
      <c r="HW1998" s="20"/>
      <c r="HX1998" s="20"/>
      <c r="HY1998" s="20"/>
      <c r="HZ1998" s="20"/>
      <c r="IA1998" s="20"/>
      <c r="IB1998" s="20"/>
      <c r="IC1998" s="20"/>
      <c r="ID1998" s="20"/>
      <c r="IE1998" s="20"/>
      <c r="IF1998" s="20"/>
      <c r="IG1998" s="20"/>
      <c r="IH1998" s="20"/>
      <c r="II1998" s="20"/>
      <c r="IJ1998" s="20"/>
      <c r="IK1998" s="20"/>
      <c r="IL1998" s="20"/>
      <c r="IM1998" s="20"/>
      <c r="IN1998" s="20"/>
      <c r="IO1998" s="20"/>
    </row>
    <row r="1999" spans="1:249" s="22" customFormat="1" ht="66">
      <c r="A1999" s="794"/>
      <c r="B1999" s="840"/>
      <c r="C1999" s="841">
        <v>4</v>
      </c>
      <c r="D1999" s="841" t="s">
        <v>34</v>
      </c>
      <c r="E1999" s="841" t="s">
        <v>25</v>
      </c>
      <c r="F1999" s="841" t="s">
        <v>42</v>
      </c>
      <c r="G1999" s="841" t="s">
        <v>28</v>
      </c>
      <c r="H1999" s="841"/>
      <c r="I1999" s="6" t="s">
        <v>3400</v>
      </c>
      <c r="J1999" s="6" t="s">
        <v>3401</v>
      </c>
      <c r="K1999" s="1902">
        <v>220</v>
      </c>
      <c r="L1999" s="1908">
        <v>2075000000</v>
      </c>
      <c r="M1999" s="1903">
        <v>210</v>
      </c>
      <c r="N1999" s="1904">
        <f>315794400+439505400+267174400</f>
        <v>1022474200</v>
      </c>
      <c r="O1999" s="1902">
        <v>70</v>
      </c>
      <c r="P1999" s="1905">
        <v>252635400</v>
      </c>
      <c r="Q1999" s="1903">
        <v>17</v>
      </c>
      <c r="R1999" s="1904">
        <v>81982580</v>
      </c>
      <c r="S1999" s="795">
        <v>17</v>
      </c>
      <c r="T1999" s="207">
        <v>133977580</v>
      </c>
      <c r="U1999" s="795"/>
      <c r="V1999" s="1906"/>
      <c r="W1999" s="795"/>
      <c r="X1999" s="1906"/>
      <c r="Y1999" s="1903">
        <f>Q1999+S1999+U1999+W1999</f>
        <v>34</v>
      </c>
      <c r="Z1999" s="1906">
        <f t="shared" si="590"/>
        <v>215960160</v>
      </c>
      <c r="AA1999" s="1903">
        <f>M1999+Y1999</f>
        <v>244</v>
      </c>
      <c r="AB1999" s="1906">
        <f t="shared" si="595"/>
        <v>1238434360</v>
      </c>
      <c r="AC1999" s="1907">
        <f t="shared" si="596"/>
        <v>110.90909090909091</v>
      </c>
      <c r="AD1999" s="1907">
        <f t="shared" si="591"/>
        <v>59.683583614457838</v>
      </c>
      <c r="AE1999" s="102" t="s">
        <v>1979</v>
      </c>
      <c r="AF1999" s="201"/>
      <c r="AG1999" s="201"/>
      <c r="AH1999" s="201"/>
      <c r="AI1999" s="201"/>
      <c r="AJ1999" s="201"/>
      <c r="AK1999" s="201"/>
      <c r="AL1999" s="201"/>
      <c r="AM1999" s="201"/>
      <c r="AN1999" s="201"/>
      <c r="AO1999" s="201"/>
      <c r="AP1999" s="201"/>
      <c r="AQ1999" s="201"/>
      <c r="AR1999" s="201"/>
      <c r="AS1999" s="201"/>
      <c r="AT1999" s="201"/>
      <c r="AU1999" s="201"/>
      <c r="AV1999" s="201"/>
      <c r="AW1999" s="201"/>
      <c r="AX1999" s="201"/>
      <c r="AY1999" s="201"/>
      <c r="AZ1999" s="201"/>
      <c r="BA1999" s="201"/>
      <c r="BB1999" s="201"/>
      <c r="BC1999" s="20"/>
      <c r="BD1999" s="20"/>
      <c r="BE1999" s="20"/>
      <c r="BF1999" s="20"/>
      <c r="BG1999" s="20"/>
      <c r="BH1999" s="20"/>
      <c r="BI1999" s="20"/>
      <c r="BJ1999" s="20"/>
      <c r="BK1999" s="20"/>
      <c r="BL1999" s="20"/>
      <c r="BM1999" s="20"/>
      <c r="BN1999" s="20"/>
      <c r="BO1999" s="20"/>
      <c r="BP1999" s="20"/>
      <c r="BQ1999" s="20"/>
      <c r="BR1999" s="20"/>
      <c r="BS1999" s="20"/>
      <c r="BT1999" s="20"/>
      <c r="BU1999" s="20"/>
      <c r="BV1999" s="20"/>
      <c r="BW1999" s="20"/>
      <c r="BX1999" s="20"/>
      <c r="BY1999" s="20"/>
      <c r="BZ1999" s="20"/>
      <c r="CA1999" s="20"/>
      <c r="CB1999" s="20"/>
      <c r="CC1999" s="20"/>
      <c r="CD1999" s="20"/>
      <c r="CE1999" s="20"/>
      <c r="CF1999" s="20"/>
      <c r="CG1999" s="20"/>
      <c r="CH1999" s="20"/>
      <c r="CI1999" s="20"/>
      <c r="CJ1999" s="20"/>
      <c r="CK1999" s="20"/>
      <c r="CL1999" s="20"/>
      <c r="CM1999" s="20"/>
      <c r="CN1999" s="20"/>
      <c r="CO1999" s="20"/>
      <c r="CP1999" s="20"/>
      <c r="CQ1999" s="20"/>
      <c r="CR1999" s="20"/>
      <c r="CS1999" s="20"/>
      <c r="CT1999" s="20"/>
      <c r="CU1999" s="20"/>
      <c r="CV1999" s="20"/>
      <c r="CW1999" s="20"/>
      <c r="CX1999" s="20"/>
      <c r="CY1999" s="20"/>
      <c r="CZ1999" s="20"/>
      <c r="DA1999" s="20"/>
      <c r="DB1999" s="20"/>
      <c r="DC1999" s="20"/>
      <c r="DD1999" s="20"/>
      <c r="DE1999" s="20"/>
      <c r="DF1999" s="20"/>
      <c r="DG1999" s="20"/>
      <c r="DH1999" s="20"/>
      <c r="DI1999" s="20"/>
      <c r="DJ1999" s="20"/>
      <c r="DK1999" s="20"/>
      <c r="DL1999" s="20"/>
      <c r="DM1999" s="20"/>
      <c r="DN1999" s="20"/>
      <c r="DO1999" s="20"/>
      <c r="DP1999" s="20"/>
      <c r="DQ1999" s="20"/>
      <c r="DR1999" s="20"/>
      <c r="DS1999" s="20"/>
      <c r="DT1999" s="20"/>
      <c r="DU1999" s="20"/>
      <c r="DV1999" s="20"/>
      <c r="DW1999" s="20"/>
      <c r="DX1999" s="20"/>
      <c r="DY1999" s="20"/>
      <c r="DZ1999" s="20"/>
      <c r="EA1999" s="20"/>
      <c r="EB1999" s="20"/>
      <c r="EC1999" s="20"/>
      <c r="ED1999" s="20"/>
      <c r="EE1999" s="20"/>
      <c r="EF1999" s="20"/>
      <c r="EG1999" s="20"/>
      <c r="EH1999" s="20"/>
      <c r="EI1999" s="20"/>
      <c r="EJ1999" s="20"/>
      <c r="EK1999" s="20"/>
      <c r="EL1999" s="20"/>
      <c r="EM1999" s="20"/>
      <c r="EN1999" s="20"/>
      <c r="EO1999" s="20"/>
      <c r="EP1999" s="20"/>
      <c r="EQ1999" s="20"/>
      <c r="ER1999" s="20"/>
      <c r="ES1999" s="20"/>
      <c r="ET1999" s="20"/>
      <c r="EU1999" s="20"/>
      <c r="EV1999" s="20"/>
      <c r="EW1999" s="20"/>
      <c r="EX1999" s="20"/>
      <c r="EY1999" s="20"/>
      <c r="EZ1999" s="20"/>
      <c r="FA1999" s="20"/>
      <c r="FB1999" s="20"/>
      <c r="FC1999" s="20"/>
      <c r="FD1999" s="20"/>
      <c r="FE1999" s="20"/>
      <c r="FF1999" s="20"/>
      <c r="FG1999" s="20"/>
      <c r="FH1999" s="20"/>
      <c r="FI1999" s="20"/>
      <c r="FJ1999" s="20"/>
      <c r="FK1999" s="20"/>
      <c r="FL1999" s="20"/>
      <c r="FM1999" s="20"/>
      <c r="FN1999" s="20"/>
      <c r="FO1999" s="20"/>
      <c r="FP1999" s="20"/>
      <c r="FQ1999" s="20"/>
      <c r="FR1999" s="20"/>
      <c r="FS1999" s="20"/>
      <c r="FT1999" s="20"/>
      <c r="FU1999" s="20"/>
      <c r="FV1999" s="20"/>
      <c r="FW1999" s="20"/>
      <c r="FX1999" s="20"/>
      <c r="FY1999" s="20"/>
      <c r="FZ1999" s="20"/>
      <c r="GA1999" s="20"/>
      <c r="GB1999" s="20"/>
      <c r="GC1999" s="20"/>
      <c r="GD1999" s="20"/>
      <c r="GE1999" s="20"/>
      <c r="GF1999" s="20"/>
      <c r="GG1999" s="20"/>
      <c r="GH1999" s="20"/>
      <c r="GI1999" s="20"/>
      <c r="GJ1999" s="20"/>
      <c r="GK1999" s="20"/>
      <c r="GL1999" s="20"/>
      <c r="GM1999" s="20"/>
      <c r="GN1999" s="20"/>
      <c r="GO1999" s="20"/>
      <c r="GP1999" s="20"/>
      <c r="GQ1999" s="20"/>
      <c r="GR1999" s="20"/>
      <c r="GS1999" s="20"/>
      <c r="GT1999" s="20"/>
      <c r="GU1999" s="20"/>
      <c r="GV1999" s="20"/>
      <c r="GW1999" s="20"/>
      <c r="GX1999" s="20"/>
      <c r="GY1999" s="20"/>
      <c r="GZ1999" s="20"/>
      <c r="HA1999" s="20"/>
      <c r="HB1999" s="20"/>
      <c r="HC1999" s="20"/>
      <c r="HD1999" s="20"/>
      <c r="HE1999" s="20"/>
      <c r="HF1999" s="20"/>
      <c r="HG1999" s="20"/>
      <c r="HH1999" s="20"/>
      <c r="HI1999" s="20"/>
      <c r="HJ1999" s="20"/>
      <c r="HK1999" s="20"/>
      <c r="HL1999" s="20"/>
      <c r="HM1999" s="20"/>
      <c r="HN1999" s="20"/>
      <c r="HO1999" s="20"/>
      <c r="HP1999" s="20"/>
      <c r="HQ1999" s="20"/>
      <c r="HR1999" s="20"/>
      <c r="HS1999" s="20"/>
      <c r="HT1999" s="20"/>
      <c r="HU1999" s="20"/>
      <c r="HV1999" s="20"/>
      <c r="HW1999" s="20"/>
      <c r="HX1999" s="20"/>
      <c r="HY1999" s="20"/>
      <c r="HZ1999" s="20"/>
      <c r="IA1999" s="20"/>
      <c r="IB1999" s="20"/>
      <c r="IC1999" s="20"/>
      <c r="ID1999" s="20"/>
      <c r="IE1999" s="20"/>
      <c r="IF1999" s="20"/>
      <c r="IG1999" s="20"/>
      <c r="IH1999" s="20"/>
      <c r="II1999" s="20"/>
      <c r="IJ1999" s="20"/>
      <c r="IK1999" s="20"/>
      <c r="IL1999" s="20"/>
      <c r="IM1999" s="20"/>
      <c r="IN1999" s="20"/>
      <c r="IO1999" s="20"/>
    </row>
    <row r="2000" spans="1:249" s="22" customFormat="1" ht="33">
      <c r="A2000" s="794"/>
      <c r="B2000" s="840"/>
      <c r="C2000" s="841">
        <v>4</v>
      </c>
      <c r="D2000" s="841" t="s">
        <v>34</v>
      </c>
      <c r="E2000" s="841" t="s">
        <v>25</v>
      </c>
      <c r="F2000" s="841">
        <v>16</v>
      </c>
      <c r="G2000" s="841" t="s">
        <v>29</v>
      </c>
      <c r="H2000" s="841"/>
      <c r="I2000" s="407" t="s">
        <v>1907</v>
      </c>
      <c r="J2000" s="6" t="s">
        <v>3402</v>
      </c>
      <c r="K2000" s="1902">
        <v>36</v>
      </c>
      <c r="L2000" s="1908">
        <v>721000000</v>
      </c>
      <c r="M2000" s="1903">
        <v>36</v>
      </c>
      <c r="N2000" s="1904">
        <f>237645332+193913400+131365059</f>
        <v>562923791</v>
      </c>
      <c r="O2000" s="1902">
        <v>12</v>
      </c>
      <c r="P2000" s="1904">
        <v>129581864</v>
      </c>
      <c r="Q2000" s="1903">
        <f>O2000/4</f>
        <v>3</v>
      </c>
      <c r="R2000" s="1904">
        <v>12808400</v>
      </c>
      <c r="S2000" s="795">
        <v>3</v>
      </c>
      <c r="T2000" s="207">
        <v>40733182</v>
      </c>
      <c r="U2000" s="795"/>
      <c r="V2000" s="1906"/>
      <c r="W2000" s="795"/>
      <c r="X2000" s="1906"/>
      <c r="Y2000" s="1903">
        <f>Q2000+S2000+U2000+W2000</f>
        <v>6</v>
      </c>
      <c r="Z2000" s="1906">
        <f t="shared" si="590"/>
        <v>53541582</v>
      </c>
      <c r="AA2000" s="1903">
        <f>M2000+Y2000</f>
        <v>42</v>
      </c>
      <c r="AB2000" s="1906">
        <f t="shared" si="595"/>
        <v>616465373</v>
      </c>
      <c r="AC2000" s="1907">
        <f t="shared" si="596"/>
        <v>116.66666666666667</v>
      </c>
      <c r="AD2000" s="1907">
        <f t="shared" si="591"/>
        <v>85.501438696255207</v>
      </c>
      <c r="AE2000" s="2603" t="s">
        <v>1986</v>
      </c>
      <c r="AF2000" s="201"/>
      <c r="AG2000" s="201"/>
      <c r="AH2000" s="201"/>
      <c r="AI2000" s="201"/>
      <c r="AJ2000" s="201"/>
      <c r="AK2000" s="201"/>
      <c r="AL2000" s="201"/>
      <c r="AM2000" s="201"/>
      <c r="AN2000" s="201"/>
      <c r="AO2000" s="201"/>
      <c r="AP2000" s="201"/>
      <c r="AQ2000" s="201"/>
      <c r="AR2000" s="201"/>
      <c r="AS2000" s="201"/>
      <c r="AT2000" s="201"/>
      <c r="AU2000" s="201"/>
      <c r="AV2000" s="201"/>
      <c r="AW2000" s="201"/>
      <c r="AX2000" s="201"/>
      <c r="AY2000" s="201"/>
      <c r="AZ2000" s="201"/>
      <c r="BA2000" s="201"/>
      <c r="BB2000" s="201"/>
      <c r="BC2000" s="20"/>
      <c r="BD2000" s="20"/>
      <c r="BE2000" s="20"/>
      <c r="BF2000" s="20"/>
      <c r="BG2000" s="20"/>
      <c r="BH2000" s="20"/>
      <c r="BI2000" s="20"/>
      <c r="BJ2000" s="20"/>
      <c r="BK2000" s="20"/>
      <c r="BL2000" s="20"/>
      <c r="BM2000" s="20"/>
      <c r="BN2000" s="20"/>
      <c r="BO2000" s="20"/>
      <c r="BP2000" s="20"/>
      <c r="BQ2000" s="20"/>
      <c r="BR2000" s="20"/>
      <c r="BS2000" s="20"/>
      <c r="BT2000" s="20"/>
      <c r="BU2000" s="20"/>
      <c r="BV2000" s="20"/>
      <c r="BW2000" s="20"/>
      <c r="BX2000" s="20"/>
      <c r="BY2000" s="20"/>
      <c r="BZ2000" s="20"/>
      <c r="CA2000" s="20"/>
      <c r="CB2000" s="20"/>
      <c r="CC2000" s="20"/>
      <c r="CD2000" s="20"/>
      <c r="CE2000" s="20"/>
      <c r="CF2000" s="20"/>
      <c r="CG2000" s="20"/>
      <c r="CH2000" s="20"/>
      <c r="CI2000" s="20"/>
      <c r="CJ2000" s="20"/>
      <c r="CK2000" s="20"/>
      <c r="CL2000" s="20"/>
      <c r="CM2000" s="20"/>
      <c r="CN2000" s="20"/>
      <c r="CO2000" s="20"/>
      <c r="CP2000" s="20"/>
      <c r="CQ2000" s="20"/>
      <c r="CR2000" s="20"/>
      <c r="CS2000" s="20"/>
      <c r="CT2000" s="20"/>
      <c r="CU2000" s="20"/>
      <c r="CV2000" s="20"/>
      <c r="CW2000" s="20"/>
      <c r="CX2000" s="20"/>
      <c r="CY2000" s="20"/>
      <c r="CZ2000" s="20"/>
      <c r="DA2000" s="20"/>
      <c r="DB2000" s="20"/>
      <c r="DC2000" s="20"/>
      <c r="DD2000" s="20"/>
      <c r="DE2000" s="20"/>
      <c r="DF2000" s="20"/>
      <c r="DG2000" s="20"/>
      <c r="DH2000" s="20"/>
      <c r="DI2000" s="20"/>
      <c r="DJ2000" s="20"/>
      <c r="DK2000" s="20"/>
      <c r="DL2000" s="20"/>
      <c r="DM2000" s="20"/>
      <c r="DN2000" s="20"/>
      <c r="DO2000" s="20"/>
      <c r="DP2000" s="20"/>
      <c r="DQ2000" s="20"/>
      <c r="DR2000" s="20"/>
      <c r="DS2000" s="20"/>
      <c r="DT2000" s="20"/>
      <c r="DU2000" s="20"/>
      <c r="DV2000" s="20"/>
      <c r="DW2000" s="20"/>
      <c r="DX2000" s="20"/>
      <c r="DY2000" s="20"/>
      <c r="DZ2000" s="20"/>
      <c r="EA2000" s="20"/>
      <c r="EB2000" s="20"/>
      <c r="EC2000" s="20"/>
      <c r="ED2000" s="20"/>
      <c r="EE2000" s="20"/>
      <c r="EF2000" s="20"/>
      <c r="EG2000" s="20"/>
      <c r="EH2000" s="20"/>
      <c r="EI2000" s="20"/>
      <c r="EJ2000" s="20"/>
      <c r="EK2000" s="20"/>
      <c r="EL2000" s="20"/>
      <c r="EM2000" s="20"/>
      <c r="EN2000" s="20"/>
      <c r="EO2000" s="20"/>
      <c r="EP2000" s="20"/>
      <c r="EQ2000" s="20"/>
      <c r="ER2000" s="20"/>
      <c r="ES2000" s="20"/>
      <c r="ET2000" s="20"/>
      <c r="EU2000" s="20"/>
      <c r="EV2000" s="20"/>
      <c r="EW2000" s="20"/>
      <c r="EX2000" s="20"/>
      <c r="EY2000" s="20"/>
      <c r="EZ2000" s="20"/>
      <c r="FA2000" s="20"/>
      <c r="FB2000" s="20"/>
      <c r="FC2000" s="20"/>
      <c r="FD2000" s="20"/>
      <c r="FE2000" s="20"/>
      <c r="FF2000" s="20"/>
      <c r="FG2000" s="20"/>
      <c r="FH2000" s="20"/>
      <c r="FI2000" s="20"/>
      <c r="FJ2000" s="20"/>
      <c r="FK2000" s="20"/>
      <c r="FL2000" s="20"/>
      <c r="FM2000" s="20"/>
      <c r="FN2000" s="20"/>
      <c r="FO2000" s="20"/>
      <c r="FP2000" s="20"/>
      <c r="FQ2000" s="20"/>
      <c r="FR2000" s="20"/>
      <c r="FS2000" s="20"/>
      <c r="FT2000" s="20"/>
      <c r="FU2000" s="20"/>
      <c r="FV2000" s="20"/>
      <c r="FW2000" s="20"/>
      <c r="FX2000" s="20"/>
      <c r="FY2000" s="20"/>
      <c r="FZ2000" s="20"/>
      <c r="GA2000" s="20"/>
      <c r="GB2000" s="20"/>
      <c r="GC2000" s="20"/>
      <c r="GD2000" s="20"/>
      <c r="GE2000" s="20"/>
      <c r="GF2000" s="20"/>
      <c r="GG2000" s="20"/>
      <c r="GH2000" s="20"/>
      <c r="GI2000" s="20"/>
      <c r="GJ2000" s="20"/>
      <c r="GK2000" s="20"/>
      <c r="GL2000" s="20"/>
      <c r="GM2000" s="20"/>
      <c r="GN2000" s="20"/>
      <c r="GO2000" s="20"/>
      <c r="GP2000" s="20"/>
      <c r="GQ2000" s="20"/>
      <c r="GR2000" s="20"/>
      <c r="GS2000" s="20"/>
      <c r="GT2000" s="20"/>
      <c r="GU2000" s="20"/>
      <c r="GV2000" s="20"/>
      <c r="GW2000" s="20"/>
      <c r="GX2000" s="20"/>
      <c r="GY2000" s="20"/>
      <c r="GZ2000" s="20"/>
      <c r="HA2000" s="20"/>
      <c r="HB2000" s="20"/>
      <c r="HC2000" s="20"/>
      <c r="HD2000" s="20"/>
      <c r="HE2000" s="20"/>
      <c r="HF2000" s="20"/>
      <c r="HG2000" s="20"/>
      <c r="HH2000" s="20"/>
      <c r="HI2000" s="20"/>
      <c r="HJ2000" s="20"/>
      <c r="HK2000" s="20"/>
      <c r="HL2000" s="20"/>
      <c r="HM2000" s="20"/>
      <c r="HN2000" s="20"/>
      <c r="HO2000" s="20"/>
      <c r="HP2000" s="20"/>
      <c r="HQ2000" s="20"/>
      <c r="HR2000" s="20"/>
      <c r="HS2000" s="20"/>
      <c r="HT2000" s="20"/>
      <c r="HU2000" s="20"/>
      <c r="HV2000" s="20"/>
      <c r="HW2000" s="20"/>
      <c r="HX2000" s="20"/>
      <c r="HY2000" s="20"/>
      <c r="HZ2000" s="20"/>
      <c r="IA2000" s="20"/>
      <c r="IB2000" s="20"/>
      <c r="IC2000" s="20"/>
      <c r="ID2000" s="20"/>
      <c r="IE2000" s="20"/>
      <c r="IF2000" s="20"/>
      <c r="IG2000" s="20"/>
      <c r="IH2000" s="20"/>
      <c r="II2000" s="20"/>
      <c r="IJ2000" s="20"/>
      <c r="IK2000" s="20"/>
      <c r="IL2000" s="20"/>
      <c r="IM2000" s="20"/>
      <c r="IN2000" s="20"/>
      <c r="IO2000" s="20"/>
    </row>
    <row r="2001" spans="1:249" s="22" customFormat="1" ht="49.5">
      <c r="A2001" s="794"/>
      <c r="B2001" s="840"/>
      <c r="C2001" s="841">
        <v>4</v>
      </c>
      <c r="D2001" s="841" t="s">
        <v>34</v>
      </c>
      <c r="E2001" s="841" t="s">
        <v>25</v>
      </c>
      <c r="F2001" s="841">
        <v>16</v>
      </c>
      <c r="G2001" s="841" t="s">
        <v>30</v>
      </c>
      <c r="H2001" s="841"/>
      <c r="I2001" s="407" t="s">
        <v>1908</v>
      </c>
      <c r="J2001" s="6" t="s">
        <v>1909</v>
      </c>
      <c r="K2001" s="1902">
        <v>12</v>
      </c>
      <c r="L2001" s="1908">
        <v>30000000</v>
      </c>
      <c r="M2001" s="1903"/>
      <c r="N2001" s="1904"/>
      <c r="O2001" s="1902">
        <v>12</v>
      </c>
      <c r="P2001" s="1908">
        <f>30000000</f>
        <v>30000000</v>
      </c>
      <c r="Q2001" s="1903"/>
      <c r="R2001" s="1904">
        <v>0</v>
      </c>
      <c r="S2001" s="795"/>
      <c r="T2001" s="207">
        <v>0</v>
      </c>
      <c r="U2001" s="795"/>
      <c r="V2001" s="1906"/>
      <c r="W2001" s="795"/>
      <c r="X2001" s="1906"/>
      <c r="Y2001" s="1903">
        <f>Q2001+S2001+U2001+W2001</f>
        <v>0</v>
      </c>
      <c r="Z2001" s="1906">
        <f t="shared" si="590"/>
        <v>0</v>
      </c>
      <c r="AA2001" s="1903">
        <f>M2001+Y2001</f>
        <v>0</v>
      </c>
      <c r="AB2001" s="1906">
        <f t="shared" si="595"/>
        <v>0</v>
      </c>
      <c r="AC2001" s="1907">
        <f t="shared" si="596"/>
        <v>0</v>
      </c>
      <c r="AD2001" s="1907">
        <f t="shared" si="591"/>
        <v>0</v>
      </c>
      <c r="AE2001" s="102"/>
      <c r="AF2001" s="201"/>
      <c r="AG2001" s="201"/>
      <c r="AH2001" s="201"/>
      <c r="AI2001" s="201"/>
      <c r="AJ2001" s="201"/>
      <c r="AK2001" s="201"/>
      <c r="AL2001" s="201"/>
      <c r="AM2001" s="201"/>
      <c r="AN2001" s="201"/>
      <c r="AO2001" s="201"/>
      <c r="AP2001" s="201"/>
      <c r="AQ2001" s="201"/>
      <c r="AR2001" s="201"/>
      <c r="AS2001" s="201"/>
      <c r="AT2001" s="201"/>
      <c r="AU2001" s="201"/>
      <c r="AV2001" s="201"/>
      <c r="AW2001" s="201"/>
      <c r="AX2001" s="201"/>
      <c r="AY2001" s="201"/>
      <c r="AZ2001" s="201"/>
      <c r="BA2001" s="201"/>
      <c r="BB2001" s="201"/>
      <c r="BC2001" s="20"/>
      <c r="BD2001" s="20"/>
      <c r="BE2001" s="20"/>
      <c r="BF2001" s="20"/>
      <c r="BG2001" s="20"/>
      <c r="BH2001" s="20"/>
      <c r="BI2001" s="20"/>
      <c r="BJ2001" s="20"/>
      <c r="BK2001" s="20"/>
      <c r="BL2001" s="20"/>
      <c r="BM2001" s="20"/>
      <c r="BN2001" s="20"/>
      <c r="BO2001" s="20"/>
      <c r="BP2001" s="20"/>
      <c r="BQ2001" s="20"/>
      <c r="BR2001" s="20"/>
      <c r="BS2001" s="20"/>
      <c r="BT2001" s="20"/>
      <c r="BU2001" s="20"/>
      <c r="BV2001" s="20"/>
      <c r="BW2001" s="20"/>
      <c r="BX2001" s="20"/>
      <c r="BY2001" s="20"/>
      <c r="BZ2001" s="20"/>
      <c r="CA2001" s="20"/>
      <c r="CB2001" s="20"/>
      <c r="CC2001" s="20"/>
      <c r="CD2001" s="20"/>
      <c r="CE2001" s="20"/>
      <c r="CF2001" s="20"/>
      <c r="CG2001" s="20"/>
      <c r="CH2001" s="20"/>
      <c r="CI2001" s="20"/>
      <c r="CJ2001" s="20"/>
      <c r="CK2001" s="20"/>
      <c r="CL2001" s="20"/>
      <c r="CM2001" s="20"/>
      <c r="CN2001" s="20"/>
      <c r="CO2001" s="20"/>
      <c r="CP2001" s="20"/>
      <c r="CQ2001" s="20"/>
      <c r="CR2001" s="20"/>
      <c r="CS2001" s="20"/>
      <c r="CT2001" s="20"/>
      <c r="CU2001" s="20"/>
      <c r="CV2001" s="20"/>
      <c r="CW2001" s="20"/>
      <c r="CX2001" s="20"/>
      <c r="CY2001" s="20"/>
      <c r="CZ2001" s="20"/>
      <c r="DA2001" s="20"/>
      <c r="DB2001" s="20"/>
      <c r="DC2001" s="20"/>
      <c r="DD2001" s="20"/>
      <c r="DE2001" s="20"/>
      <c r="DF2001" s="20"/>
      <c r="DG2001" s="20"/>
      <c r="DH2001" s="20"/>
      <c r="DI2001" s="20"/>
      <c r="DJ2001" s="20"/>
      <c r="DK2001" s="20"/>
      <c r="DL2001" s="20"/>
      <c r="DM2001" s="20"/>
      <c r="DN2001" s="20"/>
      <c r="DO2001" s="20"/>
      <c r="DP2001" s="20"/>
      <c r="DQ2001" s="20"/>
      <c r="DR2001" s="20"/>
      <c r="DS2001" s="20"/>
      <c r="DT2001" s="20"/>
      <c r="DU2001" s="20"/>
      <c r="DV2001" s="20"/>
      <c r="DW2001" s="20"/>
      <c r="DX2001" s="20"/>
      <c r="DY2001" s="20"/>
      <c r="DZ2001" s="20"/>
      <c r="EA2001" s="20"/>
      <c r="EB2001" s="20"/>
      <c r="EC2001" s="20"/>
      <c r="ED2001" s="20"/>
      <c r="EE2001" s="20"/>
      <c r="EF2001" s="20"/>
      <c r="EG2001" s="20"/>
      <c r="EH2001" s="20"/>
      <c r="EI2001" s="20"/>
      <c r="EJ2001" s="20"/>
      <c r="EK2001" s="20"/>
      <c r="EL2001" s="20"/>
      <c r="EM2001" s="20"/>
      <c r="EN2001" s="20"/>
      <c r="EO2001" s="20"/>
      <c r="EP2001" s="20"/>
      <c r="EQ2001" s="20"/>
      <c r="ER2001" s="20"/>
      <c r="ES2001" s="20"/>
      <c r="ET2001" s="20"/>
      <c r="EU2001" s="20"/>
      <c r="EV2001" s="20"/>
      <c r="EW2001" s="20"/>
      <c r="EX2001" s="20"/>
      <c r="EY2001" s="20"/>
      <c r="EZ2001" s="20"/>
      <c r="FA2001" s="20"/>
      <c r="FB2001" s="20"/>
      <c r="FC2001" s="20"/>
      <c r="FD2001" s="20"/>
      <c r="FE2001" s="20"/>
      <c r="FF2001" s="20"/>
      <c r="FG2001" s="20"/>
      <c r="FH2001" s="20"/>
      <c r="FI2001" s="20"/>
      <c r="FJ2001" s="20"/>
      <c r="FK2001" s="20"/>
      <c r="FL2001" s="20"/>
      <c r="FM2001" s="20"/>
      <c r="FN2001" s="20"/>
      <c r="FO2001" s="20"/>
      <c r="FP2001" s="20"/>
      <c r="FQ2001" s="20"/>
      <c r="FR2001" s="20"/>
      <c r="FS2001" s="20"/>
      <c r="FT2001" s="20"/>
      <c r="FU2001" s="20"/>
      <c r="FV2001" s="20"/>
      <c r="FW2001" s="20"/>
      <c r="FX2001" s="20"/>
      <c r="FY2001" s="20"/>
      <c r="FZ2001" s="20"/>
      <c r="GA2001" s="20"/>
      <c r="GB2001" s="20"/>
      <c r="GC2001" s="20"/>
      <c r="GD2001" s="20"/>
      <c r="GE2001" s="20"/>
      <c r="GF2001" s="20"/>
      <c r="GG2001" s="20"/>
      <c r="GH2001" s="20"/>
      <c r="GI2001" s="20"/>
      <c r="GJ2001" s="20"/>
      <c r="GK2001" s="20"/>
      <c r="GL2001" s="20"/>
      <c r="GM2001" s="20"/>
      <c r="GN2001" s="20"/>
      <c r="GO2001" s="20"/>
      <c r="GP2001" s="20"/>
      <c r="GQ2001" s="20"/>
      <c r="GR2001" s="20"/>
      <c r="GS2001" s="20"/>
      <c r="GT2001" s="20"/>
      <c r="GU2001" s="20"/>
      <c r="GV2001" s="20"/>
      <c r="GW2001" s="20"/>
      <c r="GX2001" s="20"/>
      <c r="GY2001" s="20"/>
      <c r="GZ2001" s="20"/>
      <c r="HA2001" s="20"/>
      <c r="HB2001" s="20"/>
      <c r="HC2001" s="20"/>
      <c r="HD2001" s="20"/>
      <c r="HE2001" s="20"/>
      <c r="HF2001" s="20"/>
      <c r="HG2001" s="20"/>
      <c r="HH2001" s="20"/>
      <c r="HI2001" s="20"/>
      <c r="HJ2001" s="20"/>
      <c r="HK2001" s="20"/>
      <c r="HL2001" s="20"/>
      <c r="HM2001" s="20"/>
      <c r="HN2001" s="20"/>
      <c r="HO2001" s="20"/>
      <c r="HP2001" s="20"/>
      <c r="HQ2001" s="20"/>
      <c r="HR2001" s="20"/>
      <c r="HS2001" s="20"/>
      <c r="HT2001" s="20"/>
      <c r="HU2001" s="20"/>
      <c r="HV2001" s="20"/>
      <c r="HW2001" s="20"/>
      <c r="HX2001" s="20"/>
      <c r="HY2001" s="20"/>
      <c r="HZ2001" s="20"/>
      <c r="IA2001" s="20"/>
      <c r="IB2001" s="20"/>
      <c r="IC2001" s="20"/>
      <c r="ID2001" s="20"/>
      <c r="IE2001" s="20"/>
      <c r="IF2001" s="20"/>
      <c r="IG2001" s="20"/>
      <c r="IH2001" s="20"/>
      <c r="II2001" s="20"/>
      <c r="IJ2001" s="20"/>
      <c r="IK2001" s="20"/>
      <c r="IL2001" s="20"/>
      <c r="IM2001" s="20"/>
      <c r="IN2001" s="20"/>
      <c r="IO2001" s="20"/>
    </row>
    <row r="2002" spans="1:249" s="22" customFormat="1" ht="66">
      <c r="A2002" s="2554">
        <v>26</v>
      </c>
      <c r="B2002" s="44"/>
      <c r="C2002" s="753">
        <v>4</v>
      </c>
      <c r="D2002" s="753" t="s">
        <v>34</v>
      </c>
      <c r="E2002" s="753" t="s">
        <v>25</v>
      </c>
      <c r="F2002" s="753" t="s">
        <v>542</v>
      </c>
      <c r="G2002" s="753"/>
      <c r="H2002" s="753"/>
      <c r="I2002" s="44" t="s">
        <v>1910</v>
      </c>
      <c r="J2002" s="46" t="s">
        <v>3404</v>
      </c>
      <c r="K2002" s="149">
        <v>100</v>
      </c>
      <c r="L2002" s="1901">
        <f>SUM(L2003:L2007)</f>
        <v>2458616400</v>
      </c>
      <c r="M2002" s="149">
        <v>100</v>
      </c>
      <c r="N2002" s="1901">
        <f>SUM(N2003:N2007)</f>
        <v>1551225030</v>
      </c>
      <c r="O2002" s="149">
        <v>100</v>
      </c>
      <c r="P2002" s="1901">
        <f>SUM(P2003:P2007)</f>
        <v>345015065</v>
      </c>
      <c r="Q2002" s="149">
        <v>100</v>
      </c>
      <c r="R2002" s="1901">
        <f t="shared" ref="R2002:X2002" si="598">SUM(R2003:R2007)</f>
        <v>37442850</v>
      </c>
      <c r="S2002" s="1901">
        <f t="shared" si="598"/>
        <v>108.75</v>
      </c>
      <c r="T2002" s="1901">
        <f>SUM(T2004:T2007)</f>
        <v>119985220</v>
      </c>
      <c r="U2002" s="1901">
        <f t="shared" si="598"/>
        <v>0</v>
      </c>
      <c r="V2002" s="1901">
        <f t="shared" si="598"/>
        <v>0</v>
      </c>
      <c r="W2002" s="1901">
        <f t="shared" si="598"/>
        <v>0</v>
      </c>
      <c r="X2002" s="1901">
        <f t="shared" si="598"/>
        <v>0</v>
      </c>
      <c r="Y2002" s="149">
        <v>100</v>
      </c>
      <c r="Z2002" s="1901">
        <f t="shared" si="590"/>
        <v>157428070</v>
      </c>
      <c r="AA2002" s="149">
        <v>100</v>
      </c>
      <c r="AB2002" s="1901">
        <f t="shared" si="595"/>
        <v>1708653100</v>
      </c>
      <c r="AC2002" s="821">
        <f t="shared" si="596"/>
        <v>100</v>
      </c>
      <c r="AD2002" s="821">
        <f t="shared" si="591"/>
        <v>69.496530650328367</v>
      </c>
      <c r="AE2002" s="1929" t="s">
        <v>3403</v>
      </c>
      <c r="AF2002" s="201"/>
      <c r="AG2002" s="201"/>
      <c r="AH2002" s="201"/>
      <c r="AI2002" s="201"/>
      <c r="AJ2002" s="201"/>
      <c r="AK2002" s="201"/>
      <c r="AL2002" s="201"/>
      <c r="AM2002" s="201"/>
      <c r="AN2002" s="201"/>
      <c r="AO2002" s="201"/>
      <c r="AP2002" s="201"/>
      <c r="AQ2002" s="201"/>
      <c r="AR2002" s="201"/>
      <c r="AS2002" s="201"/>
      <c r="AT2002" s="201"/>
      <c r="AU2002" s="201"/>
      <c r="AV2002" s="201"/>
      <c r="AW2002" s="201"/>
      <c r="AX2002" s="201"/>
      <c r="AY2002" s="201"/>
      <c r="AZ2002" s="201"/>
      <c r="BA2002" s="201"/>
      <c r="BB2002" s="201"/>
      <c r="BC2002" s="20"/>
      <c r="BD2002" s="20"/>
      <c r="BE2002" s="20"/>
      <c r="BF2002" s="20"/>
      <c r="BG2002" s="20"/>
      <c r="BH2002" s="20"/>
      <c r="BI2002" s="20"/>
      <c r="BJ2002" s="20"/>
      <c r="BK2002" s="20"/>
      <c r="BL2002" s="20"/>
      <c r="BM2002" s="20"/>
      <c r="BN2002" s="20"/>
      <c r="BO2002" s="20"/>
      <c r="BP2002" s="20"/>
      <c r="BQ2002" s="20"/>
      <c r="BR2002" s="20"/>
      <c r="BS2002" s="20"/>
      <c r="BT2002" s="20"/>
      <c r="BU2002" s="20"/>
      <c r="BV2002" s="20"/>
      <c r="BW2002" s="20"/>
      <c r="BX2002" s="20"/>
      <c r="BY2002" s="20"/>
      <c r="BZ2002" s="20"/>
      <c r="CA2002" s="20"/>
      <c r="CB2002" s="20"/>
      <c r="CC2002" s="20"/>
      <c r="CD2002" s="20"/>
      <c r="CE2002" s="20"/>
      <c r="CF2002" s="20"/>
      <c r="CG2002" s="20"/>
      <c r="CH2002" s="20"/>
      <c r="CI2002" s="20"/>
      <c r="CJ2002" s="20"/>
      <c r="CK2002" s="20"/>
      <c r="CL2002" s="20"/>
      <c r="CM2002" s="20"/>
      <c r="CN2002" s="20"/>
      <c r="CO2002" s="20"/>
      <c r="CP2002" s="20"/>
      <c r="CQ2002" s="20"/>
      <c r="CR2002" s="20"/>
      <c r="CS2002" s="20"/>
      <c r="CT2002" s="20"/>
      <c r="CU2002" s="20"/>
      <c r="CV2002" s="20"/>
      <c r="CW2002" s="20"/>
      <c r="CX2002" s="20"/>
      <c r="CY2002" s="20"/>
      <c r="CZ2002" s="20"/>
      <c r="DA2002" s="20"/>
      <c r="DB2002" s="20"/>
      <c r="DC2002" s="20"/>
      <c r="DD2002" s="20"/>
      <c r="DE2002" s="20"/>
      <c r="DF2002" s="20"/>
      <c r="DG2002" s="20"/>
      <c r="DH2002" s="20"/>
      <c r="DI2002" s="20"/>
      <c r="DJ2002" s="20"/>
      <c r="DK2002" s="20"/>
      <c r="DL2002" s="20"/>
      <c r="DM2002" s="20"/>
      <c r="DN2002" s="20"/>
      <c r="DO2002" s="20"/>
      <c r="DP2002" s="20"/>
      <c r="DQ2002" s="20"/>
      <c r="DR2002" s="20"/>
      <c r="DS2002" s="20"/>
      <c r="DT2002" s="20"/>
      <c r="DU2002" s="20"/>
      <c r="DV2002" s="20"/>
      <c r="DW2002" s="20"/>
      <c r="DX2002" s="20"/>
      <c r="DY2002" s="20"/>
      <c r="DZ2002" s="20"/>
      <c r="EA2002" s="20"/>
      <c r="EB2002" s="20"/>
      <c r="EC2002" s="20"/>
      <c r="ED2002" s="20"/>
      <c r="EE2002" s="20"/>
      <c r="EF2002" s="20"/>
      <c r="EG2002" s="20"/>
      <c r="EH2002" s="20"/>
      <c r="EI2002" s="20"/>
      <c r="EJ2002" s="20"/>
      <c r="EK2002" s="20"/>
      <c r="EL2002" s="20"/>
      <c r="EM2002" s="20"/>
      <c r="EN2002" s="20"/>
      <c r="EO2002" s="20"/>
      <c r="EP2002" s="20"/>
      <c r="EQ2002" s="20"/>
      <c r="ER2002" s="20"/>
      <c r="ES2002" s="20"/>
      <c r="ET2002" s="20"/>
      <c r="EU2002" s="20"/>
      <c r="EV2002" s="20"/>
      <c r="EW2002" s="20"/>
      <c r="EX2002" s="20"/>
      <c r="EY2002" s="20"/>
      <c r="EZ2002" s="20"/>
      <c r="FA2002" s="20"/>
      <c r="FB2002" s="20"/>
      <c r="FC2002" s="20"/>
      <c r="FD2002" s="20"/>
      <c r="FE2002" s="20"/>
      <c r="FF2002" s="20"/>
      <c r="FG2002" s="20"/>
      <c r="FH2002" s="20"/>
      <c r="FI2002" s="20"/>
      <c r="FJ2002" s="20"/>
      <c r="FK2002" s="20"/>
      <c r="FL2002" s="20"/>
      <c r="FM2002" s="20"/>
      <c r="FN2002" s="20"/>
      <c r="FO2002" s="20"/>
      <c r="FP2002" s="20"/>
      <c r="FQ2002" s="20"/>
      <c r="FR2002" s="20"/>
      <c r="FS2002" s="20"/>
      <c r="FT2002" s="20"/>
      <c r="FU2002" s="20"/>
      <c r="FV2002" s="20"/>
      <c r="FW2002" s="20"/>
      <c r="FX2002" s="20"/>
      <c r="FY2002" s="20"/>
      <c r="FZ2002" s="20"/>
      <c r="GA2002" s="20"/>
      <c r="GB2002" s="20"/>
      <c r="GC2002" s="20"/>
      <c r="GD2002" s="20"/>
      <c r="GE2002" s="20"/>
      <c r="GF2002" s="20"/>
      <c r="GG2002" s="20"/>
      <c r="GH2002" s="20"/>
      <c r="GI2002" s="20"/>
      <c r="GJ2002" s="20"/>
      <c r="GK2002" s="20"/>
      <c r="GL2002" s="20"/>
      <c r="GM2002" s="20"/>
      <c r="GN2002" s="20"/>
      <c r="GO2002" s="20"/>
      <c r="GP2002" s="20"/>
      <c r="GQ2002" s="20"/>
      <c r="GR2002" s="20"/>
      <c r="GS2002" s="20"/>
      <c r="GT2002" s="20"/>
      <c r="GU2002" s="20"/>
      <c r="GV2002" s="20"/>
      <c r="GW2002" s="20"/>
      <c r="GX2002" s="20"/>
      <c r="GY2002" s="20"/>
      <c r="GZ2002" s="20"/>
      <c r="HA2002" s="20"/>
      <c r="HB2002" s="20"/>
      <c r="HC2002" s="20"/>
      <c r="HD2002" s="20"/>
      <c r="HE2002" s="20"/>
      <c r="HF2002" s="20"/>
      <c r="HG2002" s="20"/>
      <c r="HH2002" s="20"/>
      <c r="HI2002" s="20"/>
      <c r="HJ2002" s="20"/>
      <c r="HK2002" s="20"/>
      <c r="HL2002" s="20"/>
      <c r="HM2002" s="20"/>
      <c r="HN2002" s="20"/>
      <c r="HO2002" s="20"/>
      <c r="HP2002" s="20"/>
      <c r="HQ2002" s="20"/>
      <c r="HR2002" s="20"/>
      <c r="HS2002" s="20"/>
      <c r="HT2002" s="20"/>
      <c r="HU2002" s="20"/>
      <c r="HV2002" s="20"/>
      <c r="HW2002" s="20"/>
      <c r="HX2002" s="20"/>
      <c r="HY2002" s="20"/>
      <c r="HZ2002" s="20"/>
      <c r="IA2002" s="20"/>
      <c r="IB2002" s="20"/>
      <c r="IC2002" s="20"/>
      <c r="ID2002" s="20"/>
      <c r="IE2002" s="20"/>
      <c r="IF2002" s="20"/>
      <c r="IG2002" s="20"/>
      <c r="IH2002" s="20"/>
      <c r="II2002" s="20"/>
      <c r="IJ2002" s="20"/>
      <c r="IK2002" s="20"/>
      <c r="IL2002" s="20"/>
      <c r="IM2002" s="20"/>
      <c r="IN2002" s="20"/>
      <c r="IO2002" s="20"/>
    </row>
    <row r="2003" spans="1:249" s="22" customFormat="1" ht="49.5">
      <c r="A2003" s="794"/>
      <c r="B2003" s="840"/>
      <c r="C2003" s="841">
        <v>4</v>
      </c>
      <c r="D2003" s="841" t="s">
        <v>34</v>
      </c>
      <c r="E2003" s="841" t="s">
        <v>25</v>
      </c>
      <c r="F2003" s="841" t="s">
        <v>542</v>
      </c>
      <c r="G2003" s="841" t="s">
        <v>39</v>
      </c>
      <c r="H2003" s="841"/>
      <c r="I2003" s="6" t="s">
        <v>1911</v>
      </c>
      <c r="J2003" s="6" t="s">
        <v>1912</v>
      </c>
      <c r="K2003" s="1903">
        <v>1020</v>
      </c>
      <c r="L2003" s="1908">
        <v>390000000</v>
      </c>
      <c r="M2003" s="1903">
        <f>500+260+260</f>
        <v>1020</v>
      </c>
      <c r="N2003" s="1930">
        <f>84271920+75100000+91953461</f>
        <v>251325381</v>
      </c>
      <c r="O2003" s="1902">
        <v>0</v>
      </c>
      <c r="P2003" s="1904">
        <v>0</v>
      </c>
      <c r="Q2003" s="1903"/>
      <c r="R2003" s="1904"/>
      <c r="S2003" s="795"/>
      <c r="T2003" s="1906"/>
      <c r="U2003" s="795"/>
      <c r="V2003" s="1906"/>
      <c r="W2003" s="795"/>
      <c r="X2003" s="1906"/>
      <c r="Y2003" s="1903">
        <f>Q2003+S2003+U2003</f>
        <v>0</v>
      </c>
      <c r="Z2003" s="1906">
        <f t="shared" si="590"/>
        <v>0</v>
      </c>
      <c r="AA2003" s="1903">
        <f t="shared" ref="AA2003:AA2022" si="599">M2003+Y2003</f>
        <v>1020</v>
      </c>
      <c r="AB2003" s="1906">
        <f t="shared" si="595"/>
        <v>251325381</v>
      </c>
      <c r="AC2003" s="1907">
        <f t="shared" si="596"/>
        <v>100</v>
      </c>
      <c r="AD2003" s="1907">
        <f t="shared" si="591"/>
        <v>64.442405384615384</v>
      </c>
      <c r="AE2003" s="794" t="s">
        <v>1984</v>
      </c>
      <c r="AF2003" s="201"/>
      <c r="AG2003" s="201"/>
      <c r="AH2003" s="201"/>
      <c r="AI2003" s="201"/>
      <c r="AJ2003" s="201"/>
      <c r="AK2003" s="201"/>
      <c r="AL2003" s="201"/>
      <c r="AM2003" s="201"/>
      <c r="AN2003" s="201"/>
      <c r="AO2003" s="201"/>
      <c r="AP2003" s="201"/>
      <c r="AQ2003" s="201"/>
      <c r="AR2003" s="201"/>
      <c r="AS2003" s="201"/>
      <c r="AT2003" s="201"/>
      <c r="AU2003" s="201"/>
      <c r="AV2003" s="201"/>
      <c r="AW2003" s="201"/>
      <c r="AX2003" s="201"/>
      <c r="AY2003" s="201"/>
      <c r="AZ2003" s="201"/>
      <c r="BA2003" s="201"/>
      <c r="BB2003" s="201"/>
      <c r="BC2003" s="20"/>
      <c r="BD2003" s="20"/>
      <c r="BE2003" s="20"/>
      <c r="BF2003" s="20"/>
      <c r="BG2003" s="20"/>
      <c r="BH2003" s="20"/>
      <c r="BI2003" s="20"/>
      <c r="BJ2003" s="20"/>
      <c r="BK2003" s="20"/>
      <c r="BL2003" s="20"/>
      <c r="BM2003" s="20"/>
      <c r="BN2003" s="20"/>
      <c r="BO2003" s="20"/>
      <c r="BP2003" s="20"/>
      <c r="BQ2003" s="20"/>
      <c r="BR2003" s="20"/>
      <c r="BS2003" s="20"/>
      <c r="BT2003" s="20"/>
      <c r="BU2003" s="20"/>
      <c r="BV2003" s="20"/>
      <c r="BW2003" s="20"/>
      <c r="BX2003" s="20"/>
      <c r="BY2003" s="20"/>
      <c r="BZ2003" s="20"/>
      <c r="CA2003" s="20"/>
      <c r="CB2003" s="20"/>
      <c r="CC2003" s="20"/>
      <c r="CD2003" s="20"/>
      <c r="CE2003" s="20"/>
      <c r="CF2003" s="20"/>
      <c r="CG2003" s="20"/>
      <c r="CH2003" s="20"/>
      <c r="CI2003" s="20"/>
      <c r="CJ2003" s="20"/>
      <c r="CK2003" s="20"/>
      <c r="CL2003" s="20"/>
      <c r="CM2003" s="20"/>
      <c r="CN2003" s="20"/>
      <c r="CO2003" s="20"/>
      <c r="CP2003" s="20"/>
      <c r="CQ2003" s="20"/>
      <c r="CR2003" s="20"/>
      <c r="CS2003" s="20"/>
      <c r="CT2003" s="20"/>
      <c r="CU2003" s="20"/>
      <c r="CV2003" s="20"/>
      <c r="CW2003" s="20"/>
      <c r="CX2003" s="20"/>
      <c r="CY2003" s="20"/>
      <c r="CZ2003" s="20"/>
      <c r="DA2003" s="20"/>
      <c r="DB2003" s="20"/>
      <c r="DC2003" s="20"/>
      <c r="DD2003" s="20"/>
      <c r="DE2003" s="20"/>
      <c r="DF2003" s="20"/>
      <c r="DG2003" s="20"/>
      <c r="DH2003" s="20"/>
      <c r="DI2003" s="20"/>
      <c r="DJ2003" s="20"/>
      <c r="DK2003" s="20"/>
      <c r="DL2003" s="20"/>
      <c r="DM2003" s="20"/>
      <c r="DN2003" s="20"/>
      <c r="DO2003" s="20"/>
      <c r="DP2003" s="20"/>
      <c r="DQ2003" s="20"/>
      <c r="DR2003" s="20"/>
      <c r="DS2003" s="20"/>
      <c r="DT2003" s="20"/>
      <c r="DU2003" s="20"/>
      <c r="DV2003" s="20"/>
      <c r="DW2003" s="20"/>
      <c r="DX2003" s="20"/>
      <c r="DY2003" s="20"/>
      <c r="DZ2003" s="20"/>
      <c r="EA2003" s="20"/>
      <c r="EB2003" s="20"/>
      <c r="EC2003" s="20"/>
      <c r="ED2003" s="20"/>
      <c r="EE2003" s="20"/>
      <c r="EF2003" s="20"/>
      <c r="EG2003" s="20"/>
      <c r="EH2003" s="20"/>
      <c r="EI2003" s="20"/>
      <c r="EJ2003" s="20"/>
      <c r="EK2003" s="20"/>
      <c r="EL2003" s="20"/>
      <c r="EM2003" s="20"/>
      <c r="EN2003" s="20"/>
      <c r="EO2003" s="20"/>
      <c r="EP2003" s="20"/>
      <c r="EQ2003" s="20"/>
      <c r="ER2003" s="20"/>
      <c r="ES2003" s="20"/>
      <c r="ET2003" s="20"/>
      <c r="EU2003" s="20"/>
      <c r="EV2003" s="20"/>
      <c r="EW2003" s="20"/>
      <c r="EX2003" s="20"/>
      <c r="EY2003" s="20"/>
      <c r="EZ2003" s="20"/>
      <c r="FA2003" s="20"/>
      <c r="FB2003" s="20"/>
      <c r="FC2003" s="20"/>
      <c r="FD2003" s="20"/>
      <c r="FE2003" s="20"/>
      <c r="FF2003" s="20"/>
      <c r="FG2003" s="20"/>
      <c r="FH2003" s="20"/>
      <c r="FI2003" s="20"/>
      <c r="FJ2003" s="20"/>
      <c r="FK2003" s="20"/>
      <c r="FL2003" s="20"/>
      <c r="FM2003" s="20"/>
      <c r="FN2003" s="20"/>
      <c r="FO2003" s="20"/>
      <c r="FP2003" s="20"/>
      <c r="FQ2003" s="20"/>
      <c r="FR2003" s="20"/>
      <c r="FS2003" s="20"/>
      <c r="FT2003" s="20"/>
      <c r="FU2003" s="20"/>
      <c r="FV2003" s="20"/>
      <c r="FW2003" s="20"/>
      <c r="FX2003" s="20"/>
      <c r="FY2003" s="20"/>
      <c r="FZ2003" s="20"/>
      <c r="GA2003" s="20"/>
      <c r="GB2003" s="20"/>
      <c r="GC2003" s="20"/>
      <c r="GD2003" s="20"/>
      <c r="GE2003" s="20"/>
      <c r="GF2003" s="20"/>
      <c r="GG2003" s="20"/>
      <c r="GH2003" s="20"/>
      <c r="GI2003" s="20"/>
      <c r="GJ2003" s="20"/>
      <c r="GK2003" s="20"/>
      <c r="GL2003" s="20"/>
      <c r="GM2003" s="20"/>
      <c r="GN2003" s="20"/>
      <c r="GO2003" s="20"/>
      <c r="GP2003" s="20"/>
      <c r="GQ2003" s="20"/>
      <c r="GR2003" s="20"/>
      <c r="GS2003" s="20"/>
      <c r="GT2003" s="20"/>
      <c r="GU2003" s="20"/>
      <c r="GV2003" s="20"/>
      <c r="GW2003" s="20"/>
      <c r="GX2003" s="20"/>
      <c r="GY2003" s="20"/>
      <c r="GZ2003" s="20"/>
      <c r="HA2003" s="20"/>
      <c r="HB2003" s="20"/>
      <c r="HC2003" s="20"/>
      <c r="HD2003" s="20"/>
      <c r="HE2003" s="20"/>
      <c r="HF2003" s="20"/>
      <c r="HG2003" s="20"/>
      <c r="HH2003" s="20"/>
      <c r="HI2003" s="20"/>
      <c r="HJ2003" s="20"/>
      <c r="HK2003" s="20"/>
      <c r="HL2003" s="20"/>
      <c r="HM2003" s="20"/>
      <c r="HN2003" s="20"/>
      <c r="HO2003" s="20"/>
      <c r="HP2003" s="20"/>
      <c r="HQ2003" s="20"/>
      <c r="HR2003" s="20"/>
      <c r="HS2003" s="20"/>
      <c r="HT2003" s="20"/>
      <c r="HU2003" s="20"/>
      <c r="HV2003" s="20"/>
      <c r="HW2003" s="20"/>
      <c r="HX2003" s="20"/>
      <c r="HY2003" s="20"/>
      <c r="HZ2003" s="20"/>
      <c r="IA2003" s="20"/>
      <c r="IB2003" s="20"/>
      <c r="IC2003" s="20"/>
      <c r="ID2003" s="20"/>
      <c r="IE2003" s="20"/>
      <c r="IF2003" s="20"/>
      <c r="IG2003" s="20"/>
      <c r="IH2003" s="20"/>
      <c r="II2003" s="20"/>
      <c r="IJ2003" s="20"/>
      <c r="IK2003" s="20"/>
      <c r="IL2003" s="20"/>
      <c r="IM2003" s="20"/>
      <c r="IN2003" s="20"/>
      <c r="IO2003" s="20"/>
    </row>
    <row r="2004" spans="1:249" s="22" customFormat="1" ht="49.5">
      <c r="A2004" s="794"/>
      <c r="B2004" s="840"/>
      <c r="C2004" s="841">
        <v>4</v>
      </c>
      <c r="D2004" s="841" t="s">
        <v>34</v>
      </c>
      <c r="E2004" s="841" t="s">
        <v>25</v>
      </c>
      <c r="F2004" s="841" t="s">
        <v>542</v>
      </c>
      <c r="G2004" s="841" t="s">
        <v>38</v>
      </c>
      <c r="H2004" s="841"/>
      <c r="I2004" s="6" t="s">
        <v>1913</v>
      </c>
      <c r="J2004" s="6" t="s">
        <v>1914</v>
      </c>
      <c r="K2004" s="1903">
        <f>270+280+540</f>
        <v>1090</v>
      </c>
      <c r="L2004" s="1908">
        <f>78616400+100000000+120000000</f>
        <v>298616400</v>
      </c>
      <c r="M2004" s="1903">
        <v>0</v>
      </c>
      <c r="N2004" s="1930">
        <v>0</v>
      </c>
      <c r="O2004" s="1902">
        <v>540</v>
      </c>
      <c r="P2004" s="1908">
        <f>78616400</f>
        <v>78616400</v>
      </c>
      <c r="Q2004" s="1903">
        <f>O2004/4</f>
        <v>135</v>
      </c>
      <c r="R2004" s="1904">
        <v>5415800</v>
      </c>
      <c r="S2004" s="795">
        <v>33.75</v>
      </c>
      <c r="T2004" s="1906">
        <v>39169820</v>
      </c>
      <c r="U2004" s="795"/>
      <c r="V2004" s="1906"/>
      <c r="W2004" s="795"/>
      <c r="X2004" s="1906"/>
      <c r="Y2004" s="1903">
        <f>Q2004+S2004+U2004+W2004</f>
        <v>168.75</v>
      </c>
      <c r="Z2004" s="1906">
        <f t="shared" si="590"/>
        <v>44585620</v>
      </c>
      <c r="AA2004" s="1903">
        <f t="shared" si="599"/>
        <v>168.75</v>
      </c>
      <c r="AB2004" s="1906">
        <f t="shared" si="595"/>
        <v>44585620</v>
      </c>
      <c r="AC2004" s="1907">
        <f t="shared" si="596"/>
        <v>15.481651376146788</v>
      </c>
      <c r="AD2004" s="1907">
        <f t="shared" si="591"/>
        <v>14.93073387797857</v>
      </c>
      <c r="AE2004" s="794" t="s">
        <v>1984</v>
      </c>
      <c r="AF2004" s="201"/>
      <c r="AG2004" s="201"/>
      <c r="AH2004" s="201"/>
      <c r="AI2004" s="201"/>
      <c r="AJ2004" s="201"/>
      <c r="AK2004" s="201"/>
      <c r="AL2004" s="201"/>
      <c r="AM2004" s="201"/>
      <c r="AN2004" s="201"/>
      <c r="AO2004" s="201"/>
      <c r="AP2004" s="201"/>
      <c r="AQ2004" s="201"/>
      <c r="AR2004" s="201"/>
      <c r="AS2004" s="201"/>
      <c r="AT2004" s="201"/>
      <c r="AU2004" s="201"/>
      <c r="AV2004" s="201"/>
      <c r="AW2004" s="201"/>
      <c r="AX2004" s="201"/>
      <c r="AY2004" s="201"/>
      <c r="AZ2004" s="201"/>
      <c r="BA2004" s="201"/>
      <c r="BB2004" s="201"/>
      <c r="BC2004" s="20"/>
      <c r="BD2004" s="20"/>
      <c r="BE2004" s="20"/>
      <c r="BF2004" s="20"/>
      <c r="BG2004" s="20"/>
      <c r="BH2004" s="20"/>
      <c r="BI2004" s="20"/>
      <c r="BJ2004" s="20"/>
      <c r="BK2004" s="20"/>
      <c r="BL2004" s="20"/>
      <c r="BM2004" s="20"/>
      <c r="BN2004" s="20"/>
      <c r="BO2004" s="20"/>
      <c r="BP2004" s="20"/>
      <c r="BQ2004" s="20"/>
      <c r="BR2004" s="20"/>
      <c r="BS2004" s="20"/>
      <c r="BT2004" s="20"/>
      <c r="BU2004" s="20"/>
      <c r="BV2004" s="20"/>
      <c r="BW2004" s="20"/>
      <c r="BX2004" s="20"/>
      <c r="BY2004" s="20"/>
      <c r="BZ2004" s="20"/>
      <c r="CA2004" s="20"/>
      <c r="CB2004" s="20"/>
      <c r="CC2004" s="20"/>
      <c r="CD2004" s="20"/>
      <c r="CE2004" s="20"/>
      <c r="CF2004" s="20"/>
      <c r="CG2004" s="20"/>
      <c r="CH2004" s="20"/>
      <c r="CI2004" s="20"/>
      <c r="CJ2004" s="20"/>
      <c r="CK2004" s="20"/>
      <c r="CL2004" s="20"/>
      <c r="CM2004" s="20"/>
      <c r="CN2004" s="20"/>
      <c r="CO2004" s="20"/>
      <c r="CP2004" s="20"/>
      <c r="CQ2004" s="20"/>
      <c r="CR2004" s="20"/>
      <c r="CS2004" s="20"/>
      <c r="CT2004" s="20"/>
      <c r="CU2004" s="20"/>
      <c r="CV2004" s="20"/>
      <c r="CW2004" s="20"/>
      <c r="CX2004" s="20"/>
      <c r="CY2004" s="20"/>
      <c r="CZ2004" s="20"/>
      <c r="DA2004" s="20"/>
      <c r="DB2004" s="20"/>
      <c r="DC2004" s="20"/>
      <c r="DD2004" s="20"/>
      <c r="DE2004" s="20"/>
      <c r="DF2004" s="20"/>
      <c r="DG2004" s="20"/>
      <c r="DH2004" s="20"/>
      <c r="DI2004" s="20"/>
      <c r="DJ2004" s="20"/>
      <c r="DK2004" s="20"/>
      <c r="DL2004" s="20"/>
      <c r="DM2004" s="20"/>
      <c r="DN2004" s="20"/>
      <c r="DO2004" s="20"/>
      <c r="DP2004" s="20"/>
      <c r="DQ2004" s="20"/>
      <c r="DR2004" s="20"/>
      <c r="DS2004" s="20"/>
      <c r="DT2004" s="20"/>
      <c r="DU2004" s="20"/>
      <c r="DV2004" s="20"/>
      <c r="DW2004" s="20"/>
      <c r="DX2004" s="20"/>
      <c r="DY2004" s="20"/>
      <c r="DZ2004" s="20"/>
      <c r="EA2004" s="20"/>
      <c r="EB2004" s="20"/>
      <c r="EC2004" s="20"/>
      <c r="ED2004" s="20"/>
      <c r="EE2004" s="20"/>
      <c r="EF2004" s="20"/>
      <c r="EG2004" s="20"/>
      <c r="EH2004" s="20"/>
      <c r="EI2004" s="20"/>
      <c r="EJ2004" s="20"/>
      <c r="EK2004" s="20"/>
      <c r="EL2004" s="20"/>
      <c r="EM2004" s="20"/>
      <c r="EN2004" s="20"/>
      <c r="EO2004" s="20"/>
      <c r="EP2004" s="20"/>
      <c r="EQ2004" s="20"/>
      <c r="ER2004" s="20"/>
      <c r="ES2004" s="20"/>
      <c r="ET2004" s="20"/>
      <c r="EU2004" s="20"/>
      <c r="EV2004" s="20"/>
      <c r="EW2004" s="20"/>
      <c r="EX2004" s="20"/>
      <c r="EY2004" s="20"/>
      <c r="EZ2004" s="20"/>
      <c r="FA2004" s="20"/>
      <c r="FB2004" s="20"/>
      <c r="FC2004" s="20"/>
      <c r="FD2004" s="20"/>
      <c r="FE2004" s="20"/>
      <c r="FF2004" s="20"/>
      <c r="FG2004" s="20"/>
      <c r="FH2004" s="20"/>
      <c r="FI2004" s="20"/>
      <c r="FJ2004" s="20"/>
      <c r="FK2004" s="20"/>
      <c r="FL2004" s="20"/>
      <c r="FM2004" s="20"/>
      <c r="FN2004" s="20"/>
      <c r="FO2004" s="20"/>
      <c r="FP2004" s="20"/>
      <c r="FQ2004" s="20"/>
      <c r="FR2004" s="20"/>
      <c r="FS2004" s="20"/>
      <c r="FT2004" s="20"/>
      <c r="FU2004" s="20"/>
      <c r="FV2004" s="20"/>
      <c r="FW2004" s="20"/>
      <c r="FX2004" s="20"/>
      <c r="FY2004" s="20"/>
      <c r="FZ2004" s="20"/>
      <c r="GA2004" s="20"/>
      <c r="GB2004" s="20"/>
      <c r="GC2004" s="20"/>
      <c r="GD2004" s="20"/>
      <c r="GE2004" s="20"/>
      <c r="GF2004" s="20"/>
      <c r="GG2004" s="20"/>
      <c r="GH2004" s="20"/>
      <c r="GI2004" s="20"/>
      <c r="GJ2004" s="20"/>
      <c r="GK2004" s="20"/>
      <c r="GL2004" s="20"/>
      <c r="GM2004" s="20"/>
      <c r="GN2004" s="20"/>
      <c r="GO2004" s="20"/>
      <c r="GP2004" s="20"/>
      <c r="GQ2004" s="20"/>
      <c r="GR2004" s="20"/>
      <c r="GS2004" s="20"/>
      <c r="GT2004" s="20"/>
      <c r="GU2004" s="20"/>
      <c r="GV2004" s="20"/>
      <c r="GW2004" s="20"/>
      <c r="GX2004" s="20"/>
      <c r="GY2004" s="20"/>
      <c r="GZ2004" s="20"/>
      <c r="HA2004" s="20"/>
      <c r="HB2004" s="20"/>
      <c r="HC2004" s="20"/>
      <c r="HD2004" s="20"/>
      <c r="HE2004" s="20"/>
      <c r="HF2004" s="20"/>
      <c r="HG2004" s="20"/>
      <c r="HH2004" s="20"/>
      <c r="HI2004" s="20"/>
      <c r="HJ2004" s="20"/>
      <c r="HK2004" s="20"/>
      <c r="HL2004" s="20"/>
      <c r="HM2004" s="20"/>
      <c r="HN2004" s="20"/>
      <c r="HO2004" s="20"/>
      <c r="HP2004" s="20"/>
      <c r="HQ2004" s="20"/>
      <c r="HR2004" s="20"/>
      <c r="HS2004" s="20"/>
      <c r="HT2004" s="20"/>
      <c r="HU2004" s="20"/>
      <c r="HV2004" s="20"/>
      <c r="HW2004" s="20"/>
      <c r="HX2004" s="20"/>
      <c r="HY2004" s="20"/>
      <c r="HZ2004" s="20"/>
      <c r="IA2004" s="20"/>
      <c r="IB2004" s="20"/>
      <c r="IC2004" s="20"/>
      <c r="ID2004" s="20"/>
      <c r="IE2004" s="20"/>
      <c r="IF2004" s="20"/>
      <c r="IG2004" s="20"/>
      <c r="IH2004" s="20"/>
      <c r="II2004" s="20"/>
      <c r="IJ2004" s="20"/>
      <c r="IK2004" s="20"/>
      <c r="IL2004" s="20"/>
      <c r="IM2004" s="20"/>
      <c r="IN2004" s="20"/>
      <c r="IO2004" s="20"/>
    </row>
    <row r="2005" spans="1:249" s="22" customFormat="1" ht="66">
      <c r="A2005" s="794"/>
      <c r="B2005" s="840"/>
      <c r="C2005" s="841">
        <v>4</v>
      </c>
      <c r="D2005" s="841" t="s">
        <v>34</v>
      </c>
      <c r="E2005" s="841" t="s">
        <v>25</v>
      </c>
      <c r="F2005" s="841" t="s">
        <v>542</v>
      </c>
      <c r="G2005" s="841">
        <v>11</v>
      </c>
      <c r="H2005" s="841"/>
      <c r="I2005" s="6" t="s">
        <v>1915</v>
      </c>
      <c r="J2005" s="6" t="s">
        <v>1916</v>
      </c>
      <c r="K2005" s="1903">
        <v>2200</v>
      </c>
      <c r="L2005" s="1908">
        <v>180000000</v>
      </c>
      <c r="M2005" s="1903">
        <f>550+600</f>
        <v>1150</v>
      </c>
      <c r="N2005" s="1904">
        <f>106221325+43422800+69371158</f>
        <v>219015283</v>
      </c>
      <c r="O2005" s="1903">
        <v>600</v>
      </c>
      <c r="P2005" s="1904">
        <v>47598965</v>
      </c>
      <c r="Q2005" s="1903">
        <f>O2005/4</f>
        <v>150</v>
      </c>
      <c r="R2005" s="1904">
        <v>14450250</v>
      </c>
      <c r="S2005" s="795">
        <v>37.5</v>
      </c>
      <c r="T2005" s="1906">
        <v>25357750</v>
      </c>
      <c r="U2005" s="795"/>
      <c r="V2005" s="1906"/>
      <c r="W2005" s="795"/>
      <c r="X2005" s="1906"/>
      <c r="Y2005" s="1903">
        <f>Q2005+S2005+U2005+W2005</f>
        <v>187.5</v>
      </c>
      <c r="Z2005" s="1906">
        <f t="shared" si="590"/>
        <v>39808000</v>
      </c>
      <c r="AA2005" s="1903">
        <f t="shared" si="599"/>
        <v>1337.5</v>
      </c>
      <c r="AB2005" s="1906">
        <f t="shared" si="595"/>
        <v>258823283</v>
      </c>
      <c r="AC2005" s="1907">
        <f t="shared" si="596"/>
        <v>60.79545454545454</v>
      </c>
      <c r="AD2005" s="1907">
        <f t="shared" si="591"/>
        <v>143.79071277777777</v>
      </c>
      <c r="AE2005" s="794" t="s">
        <v>1984</v>
      </c>
      <c r="AF2005" s="201"/>
      <c r="AG2005" s="201"/>
      <c r="AH2005" s="201"/>
      <c r="AI2005" s="201"/>
      <c r="AJ2005" s="201"/>
      <c r="AK2005" s="201"/>
      <c r="AL2005" s="201"/>
      <c r="AM2005" s="201"/>
      <c r="AN2005" s="201"/>
      <c r="AO2005" s="201"/>
      <c r="AP2005" s="201"/>
      <c r="AQ2005" s="201"/>
      <c r="AR2005" s="201"/>
      <c r="AS2005" s="201"/>
      <c r="AT2005" s="201"/>
      <c r="AU2005" s="201"/>
      <c r="AV2005" s="201"/>
      <c r="AW2005" s="201"/>
      <c r="AX2005" s="201"/>
      <c r="AY2005" s="201"/>
      <c r="AZ2005" s="201"/>
      <c r="BA2005" s="201"/>
      <c r="BB2005" s="201"/>
      <c r="BC2005" s="20"/>
      <c r="BD2005" s="20"/>
      <c r="BE2005" s="20"/>
      <c r="BF2005" s="20"/>
      <c r="BG2005" s="20"/>
      <c r="BH2005" s="20"/>
      <c r="BI2005" s="20"/>
      <c r="BJ2005" s="20"/>
      <c r="BK2005" s="20"/>
      <c r="BL2005" s="20"/>
      <c r="BM2005" s="20"/>
      <c r="BN2005" s="20"/>
      <c r="BO2005" s="20"/>
      <c r="BP2005" s="20"/>
      <c r="BQ2005" s="20"/>
      <c r="BR2005" s="20"/>
      <c r="BS2005" s="20"/>
      <c r="BT2005" s="20"/>
      <c r="BU2005" s="20"/>
      <c r="BV2005" s="20"/>
      <c r="BW2005" s="20"/>
      <c r="BX2005" s="20"/>
      <c r="BY2005" s="20"/>
      <c r="BZ2005" s="20"/>
      <c r="CA2005" s="20"/>
      <c r="CB2005" s="20"/>
      <c r="CC2005" s="20"/>
      <c r="CD2005" s="20"/>
      <c r="CE2005" s="20"/>
      <c r="CF2005" s="20"/>
      <c r="CG2005" s="20"/>
      <c r="CH2005" s="20"/>
      <c r="CI2005" s="20"/>
      <c r="CJ2005" s="20"/>
      <c r="CK2005" s="20"/>
      <c r="CL2005" s="20"/>
      <c r="CM2005" s="20"/>
      <c r="CN2005" s="20"/>
      <c r="CO2005" s="20"/>
      <c r="CP2005" s="20"/>
      <c r="CQ2005" s="20"/>
      <c r="CR2005" s="20"/>
      <c r="CS2005" s="20"/>
      <c r="CT2005" s="20"/>
      <c r="CU2005" s="20"/>
      <c r="CV2005" s="20"/>
      <c r="CW2005" s="20"/>
      <c r="CX2005" s="20"/>
      <c r="CY2005" s="20"/>
      <c r="CZ2005" s="20"/>
      <c r="DA2005" s="20"/>
      <c r="DB2005" s="20"/>
      <c r="DC2005" s="20"/>
      <c r="DD2005" s="20"/>
      <c r="DE2005" s="20"/>
      <c r="DF2005" s="20"/>
      <c r="DG2005" s="20"/>
      <c r="DH2005" s="20"/>
      <c r="DI2005" s="20"/>
      <c r="DJ2005" s="20"/>
      <c r="DK2005" s="20"/>
      <c r="DL2005" s="20"/>
      <c r="DM2005" s="20"/>
      <c r="DN2005" s="20"/>
      <c r="DO2005" s="20"/>
      <c r="DP2005" s="20"/>
      <c r="DQ2005" s="20"/>
      <c r="DR2005" s="20"/>
      <c r="DS2005" s="20"/>
      <c r="DT2005" s="20"/>
      <c r="DU2005" s="20"/>
      <c r="DV2005" s="20"/>
      <c r="DW2005" s="20"/>
      <c r="DX2005" s="20"/>
      <c r="DY2005" s="20"/>
      <c r="DZ2005" s="20"/>
      <c r="EA2005" s="20"/>
      <c r="EB2005" s="20"/>
      <c r="EC2005" s="20"/>
      <c r="ED2005" s="20"/>
      <c r="EE2005" s="20"/>
      <c r="EF2005" s="20"/>
      <c r="EG2005" s="20"/>
      <c r="EH2005" s="20"/>
      <c r="EI2005" s="20"/>
      <c r="EJ2005" s="20"/>
      <c r="EK2005" s="20"/>
      <c r="EL2005" s="20"/>
      <c r="EM2005" s="20"/>
      <c r="EN2005" s="20"/>
      <c r="EO2005" s="20"/>
      <c r="EP2005" s="20"/>
      <c r="EQ2005" s="20"/>
      <c r="ER2005" s="20"/>
      <c r="ES2005" s="20"/>
      <c r="ET2005" s="20"/>
      <c r="EU2005" s="20"/>
      <c r="EV2005" s="20"/>
      <c r="EW2005" s="20"/>
      <c r="EX2005" s="20"/>
      <c r="EY2005" s="20"/>
      <c r="EZ2005" s="20"/>
      <c r="FA2005" s="20"/>
      <c r="FB2005" s="20"/>
      <c r="FC2005" s="20"/>
      <c r="FD2005" s="20"/>
      <c r="FE2005" s="20"/>
      <c r="FF2005" s="20"/>
      <c r="FG2005" s="20"/>
      <c r="FH2005" s="20"/>
      <c r="FI2005" s="20"/>
      <c r="FJ2005" s="20"/>
      <c r="FK2005" s="20"/>
      <c r="FL2005" s="20"/>
      <c r="FM2005" s="20"/>
      <c r="FN2005" s="20"/>
      <c r="FO2005" s="20"/>
      <c r="FP2005" s="20"/>
      <c r="FQ2005" s="20"/>
      <c r="FR2005" s="20"/>
      <c r="FS2005" s="20"/>
      <c r="FT2005" s="20"/>
      <c r="FU2005" s="20"/>
      <c r="FV2005" s="20"/>
      <c r="FW2005" s="20"/>
      <c r="FX2005" s="20"/>
      <c r="FY2005" s="20"/>
      <c r="FZ2005" s="20"/>
      <c r="GA2005" s="20"/>
      <c r="GB2005" s="20"/>
      <c r="GC2005" s="20"/>
      <c r="GD2005" s="20"/>
      <c r="GE2005" s="20"/>
      <c r="GF2005" s="20"/>
      <c r="GG2005" s="20"/>
      <c r="GH2005" s="20"/>
      <c r="GI2005" s="20"/>
      <c r="GJ2005" s="20"/>
      <c r="GK2005" s="20"/>
      <c r="GL2005" s="20"/>
      <c r="GM2005" s="20"/>
      <c r="GN2005" s="20"/>
      <c r="GO2005" s="20"/>
      <c r="GP2005" s="20"/>
      <c r="GQ2005" s="20"/>
      <c r="GR2005" s="20"/>
      <c r="GS2005" s="20"/>
      <c r="GT2005" s="20"/>
      <c r="GU2005" s="20"/>
      <c r="GV2005" s="20"/>
      <c r="GW2005" s="20"/>
      <c r="GX2005" s="20"/>
      <c r="GY2005" s="20"/>
      <c r="GZ2005" s="20"/>
      <c r="HA2005" s="20"/>
      <c r="HB2005" s="20"/>
      <c r="HC2005" s="20"/>
      <c r="HD2005" s="20"/>
      <c r="HE2005" s="20"/>
      <c r="HF2005" s="20"/>
      <c r="HG2005" s="20"/>
      <c r="HH2005" s="20"/>
      <c r="HI2005" s="20"/>
      <c r="HJ2005" s="20"/>
      <c r="HK2005" s="20"/>
      <c r="HL2005" s="20"/>
      <c r="HM2005" s="20"/>
      <c r="HN2005" s="20"/>
      <c r="HO2005" s="20"/>
      <c r="HP2005" s="20"/>
      <c r="HQ2005" s="20"/>
      <c r="HR2005" s="20"/>
      <c r="HS2005" s="20"/>
      <c r="HT2005" s="20"/>
      <c r="HU2005" s="20"/>
      <c r="HV2005" s="20"/>
      <c r="HW2005" s="20"/>
      <c r="HX2005" s="20"/>
      <c r="HY2005" s="20"/>
      <c r="HZ2005" s="20"/>
      <c r="IA2005" s="20"/>
      <c r="IB2005" s="20"/>
      <c r="IC2005" s="20"/>
      <c r="ID2005" s="20"/>
      <c r="IE2005" s="20"/>
      <c r="IF2005" s="20"/>
      <c r="IG2005" s="20"/>
      <c r="IH2005" s="20"/>
      <c r="II2005" s="20"/>
      <c r="IJ2005" s="20"/>
      <c r="IK2005" s="20"/>
      <c r="IL2005" s="20"/>
      <c r="IM2005" s="20"/>
      <c r="IN2005" s="20"/>
      <c r="IO2005" s="20"/>
    </row>
    <row r="2006" spans="1:249" s="22" customFormat="1" ht="49.5">
      <c r="A2006" s="794"/>
      <c r="B2006" s="840"/>
      <c r="C2006" s="841">
        <v>4</v>
      </c>
      <c r="D2006" s="841" t="s">
        <v>34</v>
      </c>
      <c r="E2006" s="841" t="s">
        <v>25</v>
      </c>
      <c r="F2006" s="841" t="s">
        <v>542</v>
      </c>
      <c r="G2006" s="841">
        <v>16</v>
      </c>
      <c r="H2006" s="841"/>
      <c r="I2006" s="6" t="s">
        <v>1917</v>
      </c>
      <c r="J2006" s="6" t="s">
        <v>1918</v>
      </c>
      <c r="K2006" s="1903">
        <v>500</v>
      </c>
      <c r="L2006" s="1908">
        <v>780000000</v>
      </c>
      <c r="M2006" s="1903">
        <f>50+150</f>
        <v>200</v>
      </c>
      <c r="N2006" s="1930">
        <f>236041650+275239550+147179560</f>
        <v>658460760</v>
      </c>
      <c r="O2006" s="1902">
        <v>150</v>
      </c>
      <c r="P2006" s="1904">
        <v>121995700</v>
      </c>
      <c r="Q2006" s="1903">
        <v>37</v>
      </c>
      <c r="R2006" s="1904">
        <v>5545600</v>
      </c>
      <c r="S2006" s="795">
        <v>37</v>
      </c>
      <c r="T2006" s="1906">
        <v>22514100</v>
      </c>
      <c r="U2006" s="795"/>
      <c r="V2006" s="1906"/>
      <c r="W2006" s="795"/>
      <c r="X2006" s="1906"/>
      <c r="Y2006" s="1903">
        <f>Q2006+S2006+U2006+W2006</f>
        <v>74</v>
      </c>
      <c r="Z2006" s="1906">
        <f t="shared" si="590"/>
        <v>28059700</v>
      </c>
      <c r="AA2006" s="1903">
        <f t="shared" si="599"/>
        <v>274</v>
      </c>
      <c r="AB2006" s="1906">
        <f t="shared" si="595"/>
        <v>686520460</v>
      </c>
      <c r="AC2006" s="1907">
        <f t="shared" si="596"/>
        <v>54.800000000000004</v>
      </c>
      <c r="AD2006" s="1907">
        <f t="shared" si="591"/>
        <v>88.015443589743597</v>
      </c>
      <c r="AE2006" s="794" t="s">
        <v>1984</v>
      </c>
      <c r="AF2006" s="201"/>
      <c r="AG2006" s="201"/>
      <c r="AH2006" s="201"/>
      <c r="AI2006" s="201"/>
      <c r="AJ2006" s="201"/>
      <c r="AK2006" s="201"/>
      <c r="AL2006" s="201"/>
      <c r="AM2006" s="201"/>
      <c r="AN2006" s="201"/>
      <c r="AO2006" s="201"/>
      <c r="AP2006" s="201"/>
      <c r="AQ2006" s="201"/>
      <c r="AR2006" s="201"/>
      <c r="AS2006" s="201"/>
      <c r="AT2006" s="201"/>
      <c r="AU2006" s="201"/>
      <c r="AV2006" s="201"/>
      <c r="AW2006" s="201"/>
      <c r="AX2006" s="201"/>
      <c r="AY2006" s="201"/>
      <c r="AZ2006" s="201"/>
      <c r="BA2006" s="201"/>
      <c r="BB2006" s="201"/>
      <c r="BC2006" s="20"/>
      <c r="BD2006" s="20"/>
      <c r="BE2006" s="20"/>
      <c r="BF2006" s="20"/>
      <c r="BG2006" s="20"/>
      <c r="BH2006" s="20"/>
      <c r="BI2006" s="20"/>
      <c r="BJ2006" s="20"/>
      <c r="BK2006" s="20"/>
      <c r="BL2006" s="20"/>
      <c r="BM2006" s="20"/>
      <c r="BN2006" s="20"/>
      <c r="BO2006" s="20"/>
      <c r="BP2006" s="20"/>
      <c r="BQ2006" s="20"/>
      <c r="BR2006" s="20"/>
      <c r="BS2006" s="20"/>
      <c r="BT2006" s="20"/>
      <c r="BU2006" s="20"/>
      <c r="BV2006" s="20"/>
      <c r="BW2006" s="20"/>
      <c r="BX2006" s="20"/>
      <c r="BY2006" s="20"/>
      <c r="BZ2006" s="20"/>
      <c r="CA2006" s="20"/>
      <c r="CB2006" s="20"/>
      <c r="CC2006" s="20"/>
      <c r="CD2006" s="20"/>
      <c r="CE2006" s="20"/>
      <c r="CF2006" s="20"/>
      <c r="CG2006" s="20"/>
      <c r="CH2006" s="20"/>
      <c r="CI2006" s="20"/>
      <c r="CJ2006" s="20"/>
      <c r="CK2006" s="20"/>
      <c r="CL2006" s="20"/>
      <c r="CM2006" s="20"/>
      <c r="CN2006" s="20"/>
      <c r="CO2006" s="20"/>
      <c r="CP2006" s="20"/>
      <c r="CQ2006" s="20"/>
      <c r="CR2006" s="20"/>
      <c r="CS2006" s="20"/>
      <c r="CT2006" s="20"/>
      <c r="CU2006" s="20"/>
      <c r="CV2006" s="20"/>
      <c r="CW2006" s="20"/>
      <c r="CX2006" s="20"/>
      <c r="CY2006" s="20"/>
      <c r="CZ2006" s="20"/>
      <c r="DA2006" s="20"/>
      <c r="DB2006" s="20"/>
      <c r="DC2006" s="20"/>
      <c r="DD2006" s="20"/>
      <c r="DE2006" s="20"/>
      <c r="DF2006" s="20"/>
      <c r="DG2006" s="20"/>
      <c r="DH2006" s="20"/>
      <c r="DI2006" s="20"/>
      <c r="DJ2006" s="20"/>
      <c r="DK2006" s="20"/>
      <c r="DL2006" s="20"/>
      <c r="DM2006" s="20"/>
      <c r="DN2006" s="20"/>
      <c r="DO2006" s="20"/>
      <c r="DP2006" s="20"/>
      <c r="DQ2006" s="20"/>
      <c r="DR2006" s="20"/>
      <c r="DS2006" s="20"/>
      <c r="DT2006" s="20"/>
      <c r="DU2006" s="20"/>
      <c r="DV2006" s="20"/>
      <c r="DW2006" s="20"/>
      <c r="DX2006" s="20"/>
      <c r="DY2006" s="20"/>
      <c r="DZ2006" s="20"/>
      <c r="EA2006" s="20"/>
      <c r="EB2006" s="20"/>
      <c r="EC2006" s="20"/>
      <c r="ED2006" s="20"/>
      <c r="EE2006" s="20"/>
      <c r="EF2006" s="20"/>
      <c r="EG2006" s="20"/>
      <c r="EH2006" s="20"/>
      <c r="EI2006" s="20"/>
      <c r="EJ2006" s="20"/>
      <c r="EK2006" s="20"/>
      <c r="EL2006" s="20"/>
      <c r="EM2006" s="20"/>
      <c r="EN2006" s="20"/>
      <c r="EO2006" s="20"/>
      <c r="EP2006" s="20"/>
      <c r="EQ2006" s="20"/>
      <c r="ER2006" s="20"/>
      <c r="ES2006" s="20"/>
      <c r="ET2006" s="20"/>
      <c r="EU2006" s="20"/>
      <c r="EV2006" s="20"/>
      <c r="EW2006" s="20"/>
      <c r="EX2006" s="20"/>
      <c r="EY2006" s="20"/>
      <c r="EZ2006" s="20"/>
      <c r="FA2006" s="20"/>
      <c r="FB2006" s="20"/>
      <c r="FC2006" s="20"/>
      <c r="FD2006" s="20"/>
      <c r="FE2006" s="20"/>
      <c r="FF2006" s="20"/>
      <c r="FG2006" s="20"/>
      <c r="FH2006" s="20"/>
      <c r="FI2006" s="20"/>
      <c r="FJ2006" s="20"/>
      <c r="FK2006" s="20"/>
      <c r="FL2006" s="20"/>
      <c r="FM2006" s="20"/>
      <c r="FN2006" s="20"/>
      <c r="FO2006" s="20"/>
      <c r="FP2006" s="20"/>
      <c r="FQ2006" s="20"/>
      <c r="FR2006" s="20"/>
      <c r="FS2006" s="20"/>
      <c r="FT2006" s="20"/>
      <c r="FU2006" s="20"/>
      <c r="FV2006" s="20"/>
      <c r="FW2006" s="20"/>
      <c r="FX2006" s="20"/>
      <c r="FY2006" s="20"/>
      <c r="FZ2006" s="20"/>
      <c r="GA2006" s="20"/>
      <c r="GB2006" s="20"/>
      <c r="GC2006" s="20"/>
      <c r="GD2006" s="20"/>
      <c r="GE2006" s="20"/>
      <c r="GF2006" s="20"/>
      <c r="GG2006" s="20"/>
      <c r="GH2006" s="20"/>
      <c r="GI2006" s="20"/>
      <c r="GJ2006" s="20"/>
      <c r="GK2006" s="20"/>
      <c r="GL2006" s="20"/>
      <c r="GM2006" s="20"/>
      <c r="GN2006" s="20"/>
      <c r="GO2006" s="20"/>
      <c r="GP2006" s="20"/>
      <c r="GQ2006" s="20"/>
      <c r="GR2006" s="20"/>
      <c r="GS2006" s="20"/>
      <c r="GT2006" s="20"/>
      <c r="GU2006" s="20"/>
      <c r="GV2006" s="20"/>
      <c r="GW2006" s="20"/>
      <c r="GX2006" s="20"/>
      <c r="GY2006" s="20"/>
      <c r="GZ2006" s="20"/>
      <c r="HA2006" s="20"/>
      <c r="HB2006" s="20"/>
      <c r="HC2006" s="20"/>
      <c r="HD2006" s="20"/>
      <c r="HE2006" s="20"/>
      <c r="HF2006" s="20"/>
      <c r="HG2006" s="20"/>
      <c r="HH2006" s="20"/>
      <c r="HI2006" s="20"/>
      <c r="HJ2006" s="20"/>
      <c r="HK2006" s="20"/>
      <c r="HL2006" s="20"/>
      <c r="HM2006" s="20"/>
      <c r="HN2006" s="20"/>
      <c r="HO2006" s="20"/>
      <c r="HP2006" s="20"/>
      <c r="HQ2006" s="20"/>
      <c r="HR2006" s="20"/>
      <c r="HS2006" s="20"/>
      <c r="HT2006" s="20"/>
      <c r="HU2006" s="20"/>
      <c r="HV2006" s="20"/>
      <c r="HW2006" s="20"/>
      <c r="HX2006" s="20"/>
      <c r="HY2006" s="20"/>
      <c r="HZ2006" s="20"/>
      <c r="IA2006" s="20"/>
      <c r="IB2006" s="20"/>
      <c r="IC2006" s="20"/>
      <c r="ID2006" s="20"/>
      <c r="IE2006" s="20"/>
      <c r="IF2006" s="20"/>
      <c r="IG2006" s="20"/>
      <c r="IH2006" s="20"/>
      <c r="II2006" s="20"/>
      <c r="IJ2006" s="20"/>
      <c r="IK2006" s="20"/>
      <c r="IL2006" s="20"/>
      <c r="IM2006" s="20"/>
      <c r="IN2006" s="20"/>
      <c r="IO2006" s="20"/>
    </row>
    <row r="2007" spans="1:249" s="22" customFormat="1" ht="49.5">
      <c r="A2007" s="794"/>
      <c r="B2007" s="840"/>
      <c r="C2007" s="841">
        <v>4</v>
      </c>
      <c r="D2007" s="841" t="s">
        <v>34</v>
      </c>
      <c r="E2007" s="841" t="s">
        <v>25</v>
      </c>
      <c r="F2007" s="841" t="s">
        <v>542</v>
      </c>
      <c r="G2007" s="841">
        <v>17</v>
      </c>
      <c r="H2007" s="841"/>
      <c r="I2007" s="6" t="s">
        <v>1919</v>
      </c>
      <c r="J2007" s="6" t="s">
        <v>1920</v>
      </c>
      <c r="K2007" s="1903">
        <v>50</v>
      </c>
      <c r="L2007" s="1908">
        <v>810000000</v>
      </c>
      <c r="M2007" s="1903">
        <f>18+8</f>
        <v>26</v>
      </c>
      <c r="N2007" s="1930">
        <f>201408023+132817840+88197743</f>
        <v>422423606</v>
      </c>
      <c r="O2007" s="1902">
        <v>8</v>
      </c>
      <c r="P2007" s="1904">
        <v>96804000</v>
      </c>
      <c r="Q2007" s="1903">
        <f>O2007/4</f>
        <v>2</v>
      </c>
      <c r="R2007" s="1904">
        <v>12031200</v>
      </c>
      <c r="S2007" s="795">
        <v>0.5</v>
      </c>
      <c r="T2007" s="1906">
        <v>32943550</v>
      </c>
      <c r="U2007" s="795"/>
      <c r="V2007" s="1906"/>
      <c r="W2007" s="795"/>
      <c r="X2007" s="1906"/>
      <c r="Y2007" s="1903">
        <f>Q2007+S2007+W2007</f>
        <v>2.5</v>
      </c>
      <c r="Z2007" s="1906">
        <f t="shared" si="590"/>
        <v>44974750</v>
      </c>
      <c r="AA2007" s="1903">
        <f t="shared" si="599"/>
        <v>28.5</v>
      </c>
      <c r="AB2007" s="1906">
        <f t="shared" si="595"/>
        <v>467398356</v>
      </c>
      <c r="AC2007" s="1907">
        <f t="shared" si="596"/>
        <v>56.999999999999993</v>
      </c>
      <c r="AD2007" s="1907">
        <f t="shared" si="591"/>
        <v>57.703500740740743</v>
      </c>
      <c r="AE2007" s="1936" t="s">
        <v>1984</v>
      </c>
      <c r="AF2007" s="201"/>
      <c r="AG2007" s="201"/>
      <c r="AH2007" s="201"/>
      <c r="AI2007" s="201"/>
      <c r="AJ2007" s="201"/>
      <c r="AK2007" s="201"/>
      <c r="AL2007" s="201"/>
      <c r="AM2007" s="201"/>
      <c r="AN2007" s="201"/>
      <c r="AO2007" s="201"/>
      <c r="AP2007" s="201"/>
      <c r="AQ2007" s="201"/>
      <c r="AR2007" s="201"/>
      <c r="AS2007" s="201"/>
      <c r="AT2007" s="201"/>
      <c r="AU2007" s="201"/>
      <c r="AV2007" s="201"/>
      <c r="AW2007" s="201"/>
      <c r="AX2007" s="201"/>
      <c r="AY2007" s="201"/>
      <c r="AZ2007" s="201"/>
      <c r="BA2007" s="201"/>
      <c r="BB2007" s="201"/>
      <c r="BC2007" s="20"/>
      <c r="BD2007" s="20"/>
      <c r="BE2007" s="20"/>
      <c r="BF2007" s="20"/>
      <c r="BG2007" s="20"/>
      <c r="BH2007" s="20"/>
      <c r="BI2007" s="20"/>
      <c r="BJ2007" s="20"/>
      <c r="BK2007" s="20"/>
      <c r="BL2007" s="20"/>
      <c r="BM2007" s="20"/>
      <c r="BN2007" s="20"/>
      <c r="BO2007" s="20"/>
      <c r="BP2007" s="20"/>
      <c r="BQ2007" s="20"/>
      <c r="BR2007" s="20"/>
      <c r="BS2007" s="20"/>
      <c r="BT2007" s="20"/>
      <c r="BU2007" s="20"/>
      <c r="BV2007" s="20"/>
      <c r="BW2007" s="20"/>
      <c r="BX2007" s="20"/>
      <c r="BY2007" s="20"/>
      <c r="BZ2007" s="20"/>
      <c r="CA2007" s="20"/>
      <c r="CB2007" s="20"/>
      <c r="CC2007" s="20"/>
      <c r="CD2007" s="20"/>
      <c r="CE2007" s="20"/>
      <c r="CF2007" s="20"/>
      <c r="CG2007" s="20"/>
      <c r="CH2007" s="20"/>
      <c r="CI2007" s="20"/>
      <c r="CJ2007" s="20"/>
      <c r="CK2007" s="20"/>
      <c r="CL2007" s="20"/>
      <c r="CM2007" s="20"/>
      <c r="CN2007" s="20"/>
      <c r="CO2007" s="20"/>
      <c r="CP2007" s="20"/>
      <c r="CQ2007" s="20"/>
      <c r="CR2007" s="20"/>
      <c r="CS2007" s="20"/>
      <c r="CT2007" s="20"/>
      <c r="CU2007" s="20"/>
      <c r="CV2007" s="20"/>
      <c r="CW2007" s="20"/>
      <c r="CX2007" s="20"/>
      <c r="CY2007" s="20"/>
      <c r="CZ2007" s="20"/>
      <c r="DA2007" s="20"/>
      <c r="DB2007" s="20"/>
      <c r="DC2007" s="20"/>
      <c r="DD2007" s="20"/>
      <c r="DE2007" s="20"/>
      <c r="DF2007" s="20"/>
      <c r="DG2007" s="20"/>
      <c r="DH2007" s="20"/>
      <c r="DI2007" s="20"/>
      <c r="DJ2007" s="20"/>
      <c r="DK2007" s="20"/>
      <c r="DL2007" s="20"/>
      <c r="DM2007" s="20"/>
      <c r="DN2007" s="20"/>
      <c r="DO2007" s="20"/>
      <c r="DP2007" s="20"/>
      <c r="DQ2007" s="20"/>
      <c r="DR2007" s="20"/>
      <c r="DS2007" s="20"/>
      <c r="DT2007" s="20"/>
      <c r="DU2007" s="20"/>
      <c r="DV2007" s="20"/>
      <c r="DW2007" s="20"/>
      <c r="DX2007" s="20"/>
      <c r="DY2007" s="20"/>
      <c r="DZ2007" s="20"/>
      <c r="EA2007" s="20"/>
      <c r="EB2007" s="20"/>
      <c r="EC2007" s="20"/>
      <c r="ED2007" s="20"/>
      <c r="EE2007" s="20"/>
      <c r="EF2007" s="20"/>
      <c r="EG2007" s="20"/>
      <c r="EH2007" s="20"/>
      <c r="EI2007" s="20"/>
      <c r="EJ2007" s="20"/>
      <c r="EK2007" s="20"/>
      <c r="EL2007" s="20"/>
      <c r="EM2007" s="20"/>
      <c r="EN2007" s="20"/>
      <c r="EO2007" s="20"/>
      <c r="EP2007" s="20"/>
      <c r="EQ2007" s="20"/>
      <c r="ER2007" s="20"/>
      <c r="ES2007" s="20"/>
      <c r="ET2007" s="20"/>
      <c r="EU2007" s="20"/>
      <c r="EV2007" s="20"/>
      <c r="EW2007" s="20"/>
      <c r="EX2007" s="20"/>
      <c r="EY2007" s="20"/>
      <c r="EZ2007" s="20"/>
      <c r="FA2007" s="20"/>
      <c r="FB2007" s="20"/>
      <c r="FC2007" s="20"/>
      <c r="FD2007" s="20"/>
      <c r="FE2007" s="20"/>
      <c r="FF2007" s="20"/>
      <c r="FG2007" s="20"/>
      <c r="FH2007" s="20"/>
      <c r="FI2007" s="20"/>
      <c r="FJ2007" s="20"/>
      <c r="FK2007" s="20"/>
      <c r="FL2007" s="20"/>
      <c r="FM2007" s="20"/>
      <c r="FN2007" s="20"/>
      <c r="FO2007" s="20"/>
      <c r="FP2007" s="20"/>
      <c r="FQ2007" s="20"/>
      <c r="FR2007" s="20"/>
      <c r="FS2007" s="20"/>
      <c r="FT2007" s="20"/>
      <c r="FU2007" s="20"/>
      <c r="FV2007" s="20"/>
      <c r="FW2007" s="20"/>
      <c r="FX2007" s="20"/>
      <c r="FY2007" s="20"/>
      <c r="FZ2007" s="20"/>
      <c r="GA2007" s="20"/>
      <c r="GB2007" s="20"/>
      <c r="GC2007" s="20"/>
      <c r="GD2007" s="20"/>
      <c r="GE2007" s="20"/>
      <c r="GF2007" s="20"/>
      <c r="GG2007" s="20"/>
      <c r="GH2007" s="20"/>
      <c r="GI2007" s="20"/>
      <c r="GJ2007" s="20"/>
      <c r="GK2007" s="20"/>
      <c r="GL2007" s="20"/>
      <c r="GM2007" s="20"/>
      <c r="GN2007" s="20"/>
      <c r="GO2007" s="20"/>
      <c r="GP2007" s="20"/>
      <c r="GQ2007" s="20"/>
      <c r="GR2007" s="20"/>
      <c r="GS2007" s="20"/>
      <c r="GT2007" s="20"/>
      <c r="GU2007" s="20"/>
      <c r="GV2007" s="20"/>
      <c r="GW2007" s="20"/>
      <c r="GX2007" s="20"/>
      <c r="GY2007" s="20"/>
      <c r="GZ2007" s="20"/>
      <c r="HA2007" s="20"/>
      <c r="HB2007" s="20"/>
      <c r="HC2007" s="20"/>
      <c r="HD2007" s="20"/>
      <c r="HE2007" s="20"/>
      <c r="HF2007" s="20"/>
      <c r="HG2007" s="20"/>
      <c r="HH2007" s="20"/>
      <c r="HI2007" s="20"/>
      <c r="HJ2007" s="20"/>
      <c r="HK2007" s="20"/>
      <c r="HL2007" s="20"/>
      <c r="HM2007" s="20"/>
      <c r="HN2007" s="20"/>
      <c r="HO2007" s="20"/>
      <c r="HP2007" s="20"/>
      <c r="HQ2007" s="20"/>
      <c r="HR2007" s="20"/>
      <c r="HS2007" s="20"/>
      <c r="HT2007" s="20"/>
      <c r="HU2007" s="20"/>
      <c r="HV2007" s="20"/>
      <c r="HW2007" s="20"/>
      <c r="HX2007" s="20"/>
      <c r="HY2007" s="20"/>
      <c r="HZ2007" s="20"/>
      <c r="IA2007" s="20"/>
      <c r="IB2007" s="20"/>
      <c r="IC2007" s="20"/>
      <c r="ID2007" s="20"/>
      <c r="IE2007" s="20"/>
      <c r="IF2007" s="20"/>
      <c r="IG2007" s="20"/>
      <c r="IH2007" s="20"/>
      <c r="II2007" s="20"/>
      <c r="IJ2007" s="20"/>
      <c r="IK2007" s="20"/>
      <c r="IL2007" s="20"/>
      <c r="IM2007" s="20"/>
      <c r="IN2007" s="20"/>
      <c r="IO2007" s="20"/>
    </row>
    <row r="2008" spans="1:249" s="22" customFormat="1" ht="66">
      <c r="A2008" s="2554">
        <v>27</v>
      </c>
      <c r="B2008" s="44"/>
      <c r="C2008" s="753">
        <v>4</v>
      </c>
      <c r="D2008" s="753" t="s">
        <v>34</v>
      </c>
      <c r="E2008" s="753" t="s">
        <v>25</v>
      </c>
      <c r="F2008" s="753" t="s">
        <v>50</v>
      </c>
      <c r="G2008" s="753"/>
      <c r="H2008" s="753"/>
      <c r="I2008" s="44" t="s">
        <v>1921</v>
      </c>
      <c r="J2008" s="44" t="s">
        <v>3405</v>
      </c>
      <c r="K2008" s="149">
        <v>100</v>
      </c>
      <c r="L2008" s="1770">
        <f>SUM(L2009:L2012)</f>
        <v>1075928999</v>
      </c>
      <c r="M2008" s="149">
        <v>90</v>
      </c>
      <c r="N2008" s="1901">
        <f>N2012</f>
        <v>0</v>
      </c>
      <c r="O2008" s="149">
        <v>10</v>
      </c>
      <c r="P2008" s="1770">
        <f>SUM(P2009:P2012)</f>
        <v>189622085</v>
      </c>
      <c r="Q2008" s="149">
        <v>2</v>
      </c>
      <c r="R2008" s="1770">
        <f>SUM(R2010:R2012)</f>
        <v>15602050</v>
      </c>
      <c r="S2008" s="1770">
        <f t="shared" ref="S2008:X2008" si="600">SUM(S2009:S2012)</f>
        <v>12.25</v>
      </c>
      <c r="T2008" s="1770">
        <f>SUM(T2010:T2012)</f>
        <v>52169000</v>
      </c>
      <c r="U2008" s="1770">
        <f t="shared" si="600"/>
        <v>0</v>
      </c>
      <c r="V2008" s="1770">
        <f t="shared" si="600"/>
        <v>0</v>
      </c>
      <c r="W2008" s="1770">
        <f t="shared" si="600"/>
        <v>0</v>
      </c>
      <c r="X2008" s="1770">
        <f t="shared" si="600"/>
        <v>0</v>
      </c>
      <c r="Y2008" s="149">
        <f>Q2008+S2008+U2008+W2008</f>
        <v>14.25</v>
      </c>
      <c r="Z2008" s="1901">
        <f t="shared" si="590"/>
        <v>67771050</v>
      </c>
      <c r="AA2008" s="149">
        <f t="shared" si="599"/>
        <v>104.25</v>
      </c>
      <c r="AB2008" s="1901">
        <f t="shared" si="595"/>
        <v>67771050</v>
      </c>
      <c r="AC2008" s="821">
        <f t="shared" si="596"/>
        <v>104.25</v>
      </c>
      <c r="AD2008" s="821">
        <f t="shared" si="591"/>
        <v>6.2988403568440292</v>
      </c>
      <c r="AE2008" s="2558" t="s">
        <v>2252</v>
      </c>
      <c r="AF2008" s="201"/>
      <c r="AG2008" s="201"/>
      <c r="AH2008" s="201"/>
      <c r="AI2008" s="201"/>
      <c r="AJ2008" s="201"/>
      <c r="AK2008" s="201"/>
      <c r="AL2008" s="201"/>
      <c r="AM2008" s="201"/>
      <c r="AN2008" s="201"/>
      <c r="AO2008" s="201"/>
      <c r="AP2008" s="201"/>
      <c r="AQ2008" s="201"/>
      <c r="AR2008" s="201"/>
      <c r="AS2008" s="201"/>
      <c r="AT2008" s="201"/>
      <c r="AU2008" s="201"/>
      <c r="AV2008" s="201"/>
      <c r="AW2008" s="201"/>
      <c r="AX2008" s="201"/>
      <c r="AY2008" s="201"/>
      <c r="AZ2008" s="201"/>
      <c r="BA2008" s="201"/>
      <c r="BB2008" s="201"/>
      <c r="BC2008" s="20"/>
      <c r="BD2008" s="20"/>
      <c r="BE2008" s="20"/>
      <c r="BF2008" s="20"/>
      <c r="BG2008" s="20"/>
      <c r="BH2008" s="20"/>
      <c r="BI2008" s="20"/>
      <c r="BJ2008" s="20"/>
      <c r="BK2008" s="20"/>
      <c r="BL2008" s="20"/>
      <c r="BM2008" s="20"/>
      <c r="BN2008" s="20"/>
      <c r="BO2008" s="20"/>
      <c r="BP2008" s="20"/>
      <c r="BQ2008" s="20"/>
      <c r="BR2008" s="20"/>
      <c r="BS2008" s="20"/>
      <c r="BT2008" s="20"/>
      <c r="BU2008" s="20"/>
      <c r="BV2008" s="20"/>
      <c r="BW2008" s="20"/>
      <c r="BX2008" s="20"/>
      <c r="BY2008" s="20"/>
      <c r="BZ2008" s="20"/>
      <c r="CA2008" s="20"/>
      <c r="CB2008" s="20"/>
      <c r="CC2008" s="20"/>
      <c r="CD2008" s="20"/>
      <c r="CE2008" s="20"/>
      <c r="CF2008" s="20"/>
      <c r="CG2008" s="20"/>
      <c r="CH2008" s="20"/>
      <c r="CI2008" s="20"/>
      <c r="CJ2008" s="20"/>
      <c r="CK2008" s="20"/>
      <c r="CL2008" s="20"/>
      <c r="CM2008" s="20"/>
      <c r="CN2008" s="20"/>
      <c r="CO2008" s="20"/>
      <c r="CP2008" s="20"/>
      <c r="CQ2008" s="20"/>
      <c r="CR2008" s="20"/>
      <c r="CS2008" s="20"/>
      <c r="CT2008" s="20"/>
      <c r="CU2008" s="20"/>
      <c r="CV2008" s="20"/>
      <c r="CW2008" s="20"/>
      <c r="CX2008" s="20"/>
      <c r="CY2008" s="20"/>
      <c r="CZ2008" s="20"/>
      <c r="DA2008" s="20"/>
      <c r="DB2008" s="20"/>
      <c r="DC2008" s="20"/>
      <c r="DD2008" s="20"/>
      <c r="DE2008" s="20"/>
      <c r="DF2008" s="20"/>
      <c r="DG2008" s="20"/>
      <c r="DH2008" s="20"/>
      <c r="DI2008" s="20"/>
      <c r="DJ2008" s="20"/>
      <c r="DK2008" s="20"/>
      <c r="DL2008" s="20"/>
      <c r="DM2008" s="20"/>
      <c r="DN2008" s="20"/>
      <c r="DO2008" s="20"/>
      <c r="DP2008" s="20"/>
      <c r="DQ2008" s="20"/>
      <c r="DR2008" s="20"/>
      <c r="DS2008" s="20"/>
      <c r="DT2008" s="20"/>
      <c r="DU2008" s="20"/>
      <c r="DV2008" s="20"/>
      <c r="DW2008" s="20"/>
      <c r="DX2008" s="20"/>
      <c r="DY2008" s="20"/>
      <c r="DZ2008" s="20"/>
      <c r="EA2008" s="20"/>
      <c r="EB2008" s="20"/>
      <c r="EC2008" s="20"/>
      <c r="ED2008" s="20"/>
      <c r="EE2008" s="20"/>
      <c r="EF2008" s="20"/>
      <c r="EG2008" s="20"/>
      <c r="EH2008" s="20"/>
      <c r="EI2008" s="20"/>
      <c r="EJ2008" s="20"/>
      <c r="EK2008" s="20"/>
      <c r="EL2008" s="20"/>
      <c r="EM2008" s="20"/>
      <c r="EN2008" s="20"/>
      <c r="EO2008" s="20"/>
      <c r="EP2008" s="20"/>
      <c r="EQ2008" s="20"/>
      <c r="ER2008" s="20"/>
      <c r="ES2008" s="20"/>
      <c r="ET2008" s="20"/>
      <c r="EU2008" s="20"/>
      <c r="EV2008" s="20"/>
      <c r="EW2008" s="20"/>
      <c r="EX2008" s="20"/>
      <c r="EY2008" s="20"/>
      <c r="EZ2008" s="20"/>
      <c r="FA2008" s="20"/>
      <c r="FB2008" s="20"/>
      <c r="FC2008" s="20"/>
      <c r="FD2008" s="20"/>
      <c r="FE2008" s="20"/>
      <c r="FF2008" s="20"/>
      <c r="FG2008" s="20"/>
      <c r="FH2008" s="20"/>
      <c r="FI2008" s="20"/>
      <c r="FJ2008" s="20"/>
      <c r="FK2008" s="20"/>
      <c r="FL2008" s="20"/>
      <c r="FM2008" s="20"/>
      <c r="FN2008" s="20"/>
      <c r="FO2008" s="20"/>
      <c r="FP2008" s="20"/>
      <c r="FQ2008" s="20"/>
      <c r="FR2008" s="20"/>
      <c r="FS2008" s="20"/>
      <c r="FT2008" s="20"/>
      <c r="FU2008" s="20"/>
      <c r="FV2008" s="20"/>
      <c r="FW2008" s="20"/>
      <c r="FX2008" s="20"/>
      <c r="FY2008" s="20"/>
      <c r="FZ2008" s="20"/>
      <c r="GA2008" s="20"/>
      <c r="GB2008" s="20"/>
      <c r="GC2008" s="20"/>
      <c r="GD2008" s="20"/>
      <c r="GE2008" s="20"/>
      <c r="GF2008" s="20"/>
      <c r="GG2008" s="20"/>
      <c r="GH2008" s="20"/>
      <c r="GI2008" s="20"/>
      <c r="GJ2008" s="20"/>
      <c r="GK2008" s="20"/>
      <c r="GL2008" s="20"/>
      <c r="GM2008" s="20"/>
      <c r="GN2008" s="20"/>
      <c r="GO2008" s="20"/>
      <c r="GP2008" s="20"/>
      <c r="GQ2008" s="20"/>
      <c r="GR2008" s="20"/>
      <c r="GS2008" s="20"/>
      <c r="GT2008" s="20"/>
      <c r="GU2008" s="20"/>
      <c r="GV2008" s="20"/>
      <c r="GW2008" s="20"/>
      <c r="GX2008" s="20"/>
      <c r="GY2008" s="20"/>
      <c r="GZ2008" s="20"/>
      <c r="HA2008" s="20"/>
      <c r="HB2008" s="20"/>
      <c r="HC2008" s="20"/>
      <c r="HD2008" s="20"/>
      <c r="HE2008" s="20"/>
      <c r="HF2008" s="20"/>
      <c r="HG2008" s="20"/>
      <c r="HH2008" s="20"/>
      <c r="HI2008" s="20"/>
      <c r="HJ2008" s="20"/>
      <c r="HK2008" s="20"/>
      <c r="HL2008" s="20"/>
      <c r="HM2008" s="20"/>
      <c r="HN2008" s="20"/>
      <c r="HO2008" s="20"/>
      <c r="HP2008" s="20"/>
      <c r="HQ2008" s="20"/>
      <c r="HR2008" s="20"/>
      <c r="HS2008" s="20"/>
      <c r="HT2008" s="20"/>
      <c r="HU2008" s="20"/>
      <c r="HV2008" s="20"/>
      <c r="HW2008" s="20"/>
      <c r="HX2008" s="20"/>
      <c r="HY2008" s="20"/>
      <c r="HZ2008" s="20"/>
      <c r="IA2008" s="20"/>
      <c r="IB2008" s="20"/>
      <c r="IC2008" s="20"/>
      <c r="ID2008" s="20"/>
      <c r="IE2008" s="20"/>
      <c r="IF2008" s="20"/>
      <c r="IG2008" s="20"/>
      <c r="IH2008" s="20"/>
      <c r="II2008" s="20"/>
      <c r="IJ2008" s="20"/>
      <c r="IK2008" s="20"/>
      <c r="IL2008" s="20"/>
      <c r="IM2008" s="20"/>
      <c r="IN2008" s="20"/>
      <c r="IO2008" s="20"/>
    </row>
    <row r="2009" spans="1:249" s="22" customFormat="1" ht="49.5">
      <c r="A2009" s="794"/>
      <c r="B2009" s="840"/>
      <c r="C2009" s="841">
        <v>4</v>
      </c>
      <c r="D2009" s="841" t="s">
        <v>34</v>
      </c>
      <c r="E2009" s="841" t="s">
        <v>25</v>
      </c>
      <c r="F2009" s="841" t="s">
        <v>50</v>
      </c>
      <c r="G2009" s="841" t="s">
        <v>78</v>
      </c>
      <c r="H2009" s="841"/>
      <c r="I2009" s="6" t="s">
        <v>1922</v>
      </c>
      <c r="J2009" s="6" t="s">
        <v>1923</v>
      </c>
      <c r="K2009" s="1903">
        <v>45</v>
      </c>
      <c r="L2009" s="1212">
        <v>550000000</v>
      </c>
      <c r="M2009" s="1903">
        <v>45</v>
      </c>
      <c r="N2009" s="1905">
        <v>116344399</v>
      </c>
      <c r="O2009" s="1903"/>
      <c r="P2009" s="1905">
        <v>0</v>
      </c>
      <c r="Q2009" s="1903"/>
      <c r="R2009" s="1904"/>
      <c r="S2009" s="795"/>
      <c r="T2009" s="1906"/>
      <c r="U2009" s="795"/>
      <c r="V2009" s="1906"/>
      <c r="W2009" s="795"/>
      <c r="X2009" s="1906"/>
      <c r="Y2009" s="1903">
        <f t="shared" ref="Y2009" si="601">Q2009+S2009</f>
        <v>0</v>
      </c>
      <c r="Z2009" s="1906">
        <f t="shared" si="590"/>
        <v>0</v>
      </c>
      <c r="AA2009" s="1903">
        <f t="shared" si="599"/>
        <v>45</v>
      </c>
      <c r="AB2009" s="1906">
        <f t="shared" si="595"/>
        <v>116344399</v>
      </c>
      <c r="AC2009" s="1907">
        <f t="shared" si="596"/>
        <v>100</v>
      </c>
      <c r="AD2009" s="1907">
        <f t="shared" si="591"/>
        <v>21.15352709090909</v>
      </c>
      <c r="AE2009" s="2603" t="s">
        <v>1981</v>
      </c>
      <c r="AF2009" s="201"/>
      <c r="AG2009" s="201"/>
      <c r="AH2009" s="201"/>
      <c r="AI2009" s="201"/>
      <c r="AJ2009" s="201"/>
      <c r="AK2009" s="201"/>
      <c r="AL2009" s="201"/>
      <c r="AM2009" s="201"/>
      <c r="AN2009" s="201"/>
      <c r="AO2009" s="201"/>
      <c r="AP2009" s="201"/>
      <c r="AQ2009" s="201"/>
      <c r="AR2009" s="201"/>
      <c r="AS2009" s="201"/>
      <c r="AT2009" s="201"/>
      <c r="AU2009" s="201"/>
      <c r="AV2009" s="201"/>
      <c r="AW2009" s="201"/>
      <c r="AX2009" s="201"/>
      <c r="AY2009" s="201"/>
      <c r="AZ2009" s="201"/>
      <c r="BA2009" s="201"/>
      <c r="BB2009" s="201"/>
      <c r="BC2009" s="20"/>
      <c r="BD2009" s="20"/>
      <c r="BE2009" s="20"/>
      <c r="BF2009" s="20"/>
      <c r="BG2009" s="20"/>
      <c r="BH2009" s="20"/>
      <c r="BI2009" s="20"/>
      <c r="BJ2009" s="20"/>
      <c r="BK2009" s="20"/>
      <c r="BL2009" s="20"/>
      <c r="BM2009" s="20"/>
      <c r="BN2009" s="20"/>
      <c r="BO2009" s="20"/>
      <c r="BP2009" s="20"/>
      <c r="BQ2009" s="20"/>
      <c r="BR2009" s="20"/>
      <c r="BS2009" s="20"/>
      <c r="BT2009" s="20"/>
      <c r="BU2009" s="20"/>
      <c r="BV2009" s="20"/>
      <c r="BW2009" s="20"/>
      <c r="BX2009" s="20"/>
      <c r="BY2009" s="20"/>
      <c r="BZ2009" s="20"/>
      <c r="CA2009" s="20"/>
      <c r="CB2009" s="20"/>
      <c r="CC2009" s="20"/>
      <c r="CD2009" s="20"/>
      <c r="CE2009" s="20"/>
      <c r="CF2009" s="20"/>
      <c r="CG2009" s="20"/>
      <c r="CH2009" s="20"/>
      <c r="CI2009" s="20"/>
      <c r="CJ2009" s="20"/>
      <c r="CK2009" s="20"/>
      <c r="CL2009" s="20"/>
      <c r="CM2009" s="20"/>
      <c r="CN2009" s="20"/>
      <c r="CO2009" s="20"/>
      <c r="CP2009" s="20"/>
      <c r="CQ2009" s="20"/>
      <c r="CR2009" s="20"/>
      <c r="CS2009" s="20"/>
      <c r="CT2009" s="20"/>
      <c r="CU2009" s="20"/>
      <c r="CV2009" s="20"/>
      <c r="CW2009" s="20"/>
      <c r="CX2009" s="20"/>
      <c r="CY2009" s="20"/>
      <c r="CZ2009" s="20"/>
      <c r="DA2009" s="20"/>
      <c r="DB2009" s="20"/>
      <c r="DC2009" s="20"/>
      <c r="DD2009" s="20"/>
      <c r="DE2009" s="20"/>
      <c r="DF2009" s="20"/>
      <c r="DG2009" s="20"/>
      <c r="DH2009" s="20"/>
      <c r="DI2009" s="20"/>
      <c r="DJ2009" s="20"/>
      <c r="DK2009" s="20"/>
      <c r="DL2009" s="20"/>
      <c r="DM2009" s="20"/>
      <c r="DN2009" s="20"/>
      <c r="DO2009" s="20"/>
      <c r="DP2009" s="20"/>
      <c r="DQ2009" s="20"/>
      <c r="DR2009" s="20"/>
      <c r="DS2009" s="20"/>
      <c r="DT2009" s="20"/>
      <c r="DU2009" s="20"/>
      <c r="DV2009" s="20"/>
      <c r="DW2009" s="20"/>
      <c r="DX2009" s="20"/>
      <c r="DY2009" s="20"/>
      <c r="DZ2009" s="20"/>
      <c r="EA2009" s="20"/>
      <c r="EB2009" s="20"/>
      <c r="EC2009" s="20"/>
      <c r="ED2009" s="20"/>
      <c r="EE2009" s="20"/>
      <c r="EF2009" s="20"/>
      <c r="EG2009" s="20"/>
      <c r="EH2009" s="20"/>
      <c r="EI2009" s="20"/>
      <c r="EJ2009" s="20"/>
      <c r="EK2009" s="20"/>
      <c r="EL2009" s="20"/>
      <c r="EM2009" s="20"/>
      <c r="EN2009" s="20"/>
      <c r="EO2009" s="20"/>
      <c r="EP2009" s="20"/>
      <c r="EQ2009" s="20"/>
      <c r="ER2009" s="20"/>
      <c r="ES2009" s="20"/>
      <c r="ET2009" s="20"/>
      <c r="EU2009" s="20"/>
      <c r="EV2009" s="20"/>
      <c r="EW2009" s="20"/>
      <c r="EX2009" s="20"/>
      <c r="EY2009" s="20"/>
      <c r="EZ2009" s="20"/>
      <c r="FA2009" s="20"/>
      <c r="FB2009" s="20"/>
      <c r="FC2009" s="20"/>
      <c r="FD2009" s="20"/>
      <c r="FE2009" s="20"/>
      <c r="FF2009" s="20"/>
      <c r="FG2009" s="20"/>
      <c r="FH2009" s="20"/>
      <c r="FI2009" s="20"/>
      <c r="FJ2009" s="20"/>
      <c r="FK2009" s="20"/>
      <c r="FL2009" s="20"/>
      <c r="FM2009" s="20"/>
      <c r="FN2009" s="20"/>
      <c r="FO2009" s="20"/>
      <c r="FP2009" s="20"/>
      <c r="FQ2009" s="20"/>
      <c r="FR2009" s="20"/>
      <c r="FS2009" s="20"/>
      <c r="FT2009" s="20"/>
      <c r="FU2009" s="20"/>
      <c r="FV2009" s="20"/>
      <c r="FW2009" s="20"/>
      <c r="FX2009" s="20"/>
      <c r="FY2009" s="20"/>
      <c r="FZ2009" s="20"/>
      <c r="GA2009" s="20"/>
      <c r="GB2009" s="20"/>
      <c r="GC2009" s="20"/>
      <c r="GD2009" s="20"/>
      <c r="GE2009" s="20"/>
      <c r="GF2009" s="20"/>
      <c r="GG2009" s="20"/>
      <c r="GH2009" s="20"/>
      <c r="GI2009" s="20"/>
      <c r="GJ2009" s="20"/>
      <c r="GK2009" s="20"/>
      <c r="GL2009" s="20"/>
      <c r="GM2009" s="20"/>
      <c r="GN2009" s="20"/>
      <c r="GO2009" s="20"/>
      <c r="GP2009" s="20"/>
      <c r="GQ2009" s="20"/>
      <c r="GR2009" s="20"/>
      <c r="GS2009" s="20"/>
      <c r="GT2009" s="20"/>
      <c r="GU2009" s="20"/>
      <c r="GV2009" s="20"/>
      <c r="GW2009" s="20"/>
      <c r="GX2009" s="20"/>
      <c r="GY2009" s="20"/>
      <c r="GZ2009" s="20"/>
      <c r="HA2009" s="20"/>
      <c r="HB2009" s="20"/>
      <c r="HC2009" s="20"/>
      <c r="HD2009" s="20"/>
      <c r="HE2009" s="20"/>
      <c r="HF2009" s="20"/>
      <c r="HG2009" s="20"/>
      <c r="HH2009" s="20"/>
      <c r="HI2009" s="20"/>
      <c r="HJ2009" s="20"/>
      <c r="HK2009" s="20"/>
      <c r="HL2009" s="20"/>
      <c r="HM2009" s="20"/>
      <c r="HN2009" s="20"/>
      <c r="HO2009" s="20"/>
      <c r="HP2009" s="20"/>
      <c r="HQ2009" s="20"/>
      <c r="HR2009" s="20"/>
      <c r="HS2009" s="20"/>
      <c r="HT2009" s="20"/>
      <c r="HU2009" s="20"/>
      <c r="HV2009" s="20"/>
      <c r="HW2009" s="20"/>
      <c r="HX2009" s="20"/>
      <c r="HY2009" s="20"/>
      <c r="HZ2009" s="20"/>
      <c r="IA2009" s="20"/>
      <c r="IB2009" s="20"/>
      <c r="IC2009" s="20"/>
      <c r="ID2009" s="20"/>
      <c r="IE2009" s="20"/>
      <c r="IF2009" s="20"/>
      <c r="IG2009" s="20"/>
      <c r="IH2009" s="20"/>
      <c r="II2009" s="20"/>
      <c r="IJ2009" s="20"/>
      <c r="IK2009" s="20"/>
      <c r="IL2009" s="20"/>
      <c r="IM2009" s="20"/>
      <c r="IN2009" s="20"/>
      <c r="IO2009" s="20"/>
    </row>
    <row r="2010" spans="1:249" s="22" customFormat="1" ht="49.5">
      <c r="A2010" s="794"/>
      <c r="B2010" s="840"/>
      <c r="C2010" s="841">
        <v>4</v>
      </c>
      <c r="D2010" s="841" t="s">
        <v>34</v>
      </c>
      <c r="E2010" s="841" t="s">
        <v>25</v>
      </c>
      <c r="F2010" s="841">
        <v>28</v>
      </c>
      <c r="G2010" s="841" t="s">
        <v>56</v>
      </c>
      <c r="H2010" s="841"/>
      <c r="I2010" s="6" t="s">
        <v>1924</v>
      </c>
      <c r="J2010" s="6" t="s">
        <v>1925</v>
      </c>
      <c r="K2010" s="1903">
        <v>20</v>
      </c>
      <c r="L2010" s="1908">
        <v>104231804</v>
      </c>
      <c r="M2010" s="1903"/>
      <c r="N2010" s="1930"/>
      <c r="O2010" s="1903">
        <v>20</v>
      </c>
      <c r="P2010" s="1908">
        <v>104231804</v>
      </c>
      <c r="Q2010" s="1903">
        <f>O2010/4</f>
        <v>5</v>
      </c>
      <c r="R2010" s="1904">
        <v>13867000</v>
      </c>
      <c r="S2010" s="795">
        <v>1.25</v>
      </c>
      <c r="T2010" s="1906">
        <v>25722650</v>
      </c>
      <c r="U2010" s="795"/>
      <c r="V2010" s="1906"/>
      <c r="W2010" s="795"/>
      <c r="X2010" s="1906"/>
      <c r="Y2010" s="1903">
        <f>Q2010+S2010+W2010</f>
        <v>6.25</v>
      </c>
      <c r="Z2010" s="1906">
        <f t="shared" si="590"/>
        <v>39589650</v>
      </c>
      <c r="AA2010" s="1903">
        <f t="shared" si="599"/>
        <v>6.25</v>
      </c>
      <c r="AB2010" s="1906">
        <f t="shared" si="595"/>
        <v>39589650</v>
      </c>
      <c r="AC2010" s="1907">
        <f t="shared" si="596"/>
        <v>31.25</v>
      </c>
      <c r="AD2010" s="1907">
        <f t="shared" si="591"/>
        <v>37.982312960831031</v>
      </c>
      <c r="AE2010" s="509"/>
      <c r="AF2010" s="201"/>
      <c r="AG2010" s="201"/>
      <c r="AH2010" s="201"/>
      <c r="AI2010" s="201"/>
      <c r="AJ2010" s="201"/>
      <c r="AK2010" s="201"/>
      <c r="AL2010" s="201"/>
      <c r="AM2010" s="201"/>
      <c r="AN2010" s="201"/>
      <c r="AO2010" s="201"/>
      <c r="AP2010" s="201"/>
      <c r="AQ2010" s="201"/>
      <c r="AR2010" s="201"/>
      <c r="AS2010" s="201"/>
      <c r="AT2010" s="201"/>
      <c r="AU2010" s="201"/>
      <c r="AV2010" s="201"/>
      <c r="AW2010" s="201"/>
      <c r="AX2010" s="201"/>
      <c r="AY2010" s="201"/>
      <c r="AZ2010" s="201"/>
      <c r="BA2010" s="201"/>
      <c r="BB2010" s="201"/>
      <c r="BC2010" s="20"/>
      <c r="BD2010" s="20"/>
      <c r="BE2010" s="20"/>
      <c r="BF2010" s="20"/>
      <c r="BG2010" s="20"/>
      <c r="BH2010" s="20"/>
      <c r="BI2010" s="20"/>
      <c r="BJ2010" s="20"/>
      <c r="BK2010" s="20"/>
      <c r="BL2010" s="20"/>
      <c r="BM2010" s="20"/>
      <c r="BN2010" s="20"/>
      <c r="BO2010" s="20"/>
      <c r="BP2010" s="20"/>
      <c r="BQ2010" s="20"/>
      <c r="BR2010" s="20"/>
      <c r="BS2010" s="20"/>
      <c r="BT2010" s="20"/>
      <c r="BU2010" s="20"/>
      <c r="BV2010" s="20"/>
      <c r="BW2010" s="20"/>
      <c r="BX2010" s="20"/>
      <c r="BY2010" s="20"/>
      <c r="BZ2010" s="20"/>
      <c r="CA2010" s="20"/>
      <c r="CB2010" s="20"/>
      <c r="CC2010" s="20"/>
      <c r="CD2010" s="20"/>
      <c r="CE2010" s="20"/>
      <c r="CF2010" s="20"/>
      <c r="CG2010" s="20"/>
      <c r="CH2010" s="20"/>
      <c r="CI2010" s="20"/>
      <c r="CJ2010" s="20"/>
      <c r="CK2010" s="20"/>
      <c r="CL2010" s="20"/>
      <c r="CM2010" s="20"/>
      <c r="CN2010" s="20"/>
      <c r="CO2010" s="20"/>
      <c r="CP2010" s="20"/>
      <c r="CQ2010" s="20"/>
      <c r="CR2010" s="20"/>
      <c r="CS2010" s="20"/>
      <c r="CT2010" s="20"/>
      <c r="CU2010" s="20"/>
      <c r="CV2010" s="20"/>
      <c r="CW2010" s="20"/>
      <c r="CX2010" s="20"/>
      <c r="CY2010" s="20"/>
      <c r="CZ2010" s="20"/>
      <c r="DA2010" s="20"/>
      <c r="DB2010" s="20"/>
      <c r="DC2010" s="20"/>
      <c r="DD2010" s="20"/>
      <c r="DE2010" s="20"/>
      <c r="DF2010" s="20"/>
      <c r="DG2010" s="20"/>
      <c r="DH2010" s="20"/>
      <c r="DI2010" s="20"/>
      <c r="DJ2010" s="20"/>
      <c r="DK2010" s="20"/>
      <c r="DL2010" s="20"/>
      <c r="DM2010" s="20"/>
      <c r="DN2010" s="20"/>
      <c r="DO2010" s="20"/>
      <c r="DP2010" s="20"/>
      <c r="DQ2010" s="20"/>
      <c r="DR2010" s="20"/>
      <c r="DS2010" s="20"/>
      <c r="DT2010" s="20"/>
      <c r="DU2010" s="20"/>
      <c r="DV2010" s="20"/>
      <c r="DW2010" s="20"/>
      <c r="DX2010" s="20"/>
      <c r="DY2010" s="20"/>
      <c r="DZ2010" s="20"/>
      <c r="EA2010" s="20"/>
      <c r="EB2010" s="20"/>
      <c r="EC2010" s="20"/>
      <c r="ED2010" s="20"/>
      <c r="EE2010" s="20"/>
      <c r="EF2010" s="20"/>
      <c r="EG2010" s="20"/>
      <c r="EH2010" s="20"/>
      <c r="EI2010" s="20"/>
      <c r="EJ2010" s="20"/>
      <c r="EK2010" s="20"/>
      <c r="EL2010" s="20"/>
      <c r="EM2010" s="20"/>
      <c r="EN2010" s="20"/>
      <c r="EO2010" s="20"/>
      <c r="EP2010" s="20"/>
      <c r="EQ2010" s="20"/>
      <c r="ER2010" s="20"/>
      <c r="ES2010" s="20"/>
      <c r="ET2010" s="20"/>
      <c r="EU2010" s="20"/>
      <c r="EV2010" s="20"/>
      <c r="EW2010" s="20"/>
      <c r="EX2010" s="20"/>
      <c r="EY2010" s="20"/>
      <c r="EZ2010" s="20"/>
      <c r="FA2010" s="20"/>
      <c r="FB2010" s="20"/>
      <c r="FC2010" s="20"/>
      <c r="FD2010" s="20"/>
      <c r="FE2010" s="20"/>
      <c r="FF2010" s="20"/>
      <c r="FG2010" s="20"/>
      <c r="FH2010" s="20"/>
      <c r="FI2010" s="20"/>
      <c r="FJ2010" s="20"/>
      <c r="FK2010" s="20"/>
      <c r="FL2010" s="20"/>
      <c r="FM2010" s="20"/>
      <c r="FN2010" s="20"/>
      <c r="FO2010" s="20"/>
      <c r="FP2010" s="20"/>
      <c r="FQ2010" s="20"/>
      <c r="FR2010" s="20"/>
      <c r="FS2010" s="20"/>
      <c r="FT2010" s="20"/>
      <c r="FU2010" s="20"/>
      <c r="FV2010" s="20"/>
      <c r="FW2010" s="20"/>
      <c r="FX2010" s="20"/>
      <c r="FY2010" s="20"/>
      <c r="FZ2010" s="20"/>
      <c r="GA2010" s="20"/>
      <c r="GB2010" s="20"/>
      <c r="GC2010" s="20"/>
      <c r="GD2010" s="20"/>
      <c r="GE2010" s="20"/>
      <c r="GF2010" s="20"/>
      <c r="GG2010" s="20"/>
      <c r="GH2010" s="20"/>
      <c r="GI2010" s="20"/>
      <c r="GJ2010" s="20"/>
      <c r="GK2010" s="20"/>
      <c r="GL2010" s="20"/>
      <c r="GM2010" s="20"/>
      <c r="GN2010" s="20"/>
      <c r="GO2010" s="20"/>
      <c r="GP2010" s="20"/>
      <c r="GQ2010" s="20"/>
      <c r="GR2010" s="20"/>
      <c r="GS2010" s="20"/>
      <c r="GT2010" s="20"/>
      <c r="GU2010" s="20"/>
      <c r="GV2010" s="20"/>
      <c r="GW2010" s="20"/>
      <c r="GX2010" s="20"/>
      <c r="GY2010" s="20"/>
      <c r="GZ2010" s="20"/>
      <c r="HA2010" s="20"/>
      <c r="HB2010" s="20"/>
      <c r="HC2010" s="20"/>
      <c r="HD2010" s="20"/>
      <c r="HE2010" s="20"/>
      <c r="HF2010" s="20"/>
      <c r="HG2010" s="20"/>
      <c r="HH2010" s="20"/>
      <c r="HI2010" s="20"/>
      <c r="HJ2010" s="20"/>
      <c r="HK2010" s="20"/>
      <c r="HL2010" s="20"/>
      <c r="HM2010" s="20"/>
      <c r="HN2010" s="20"/>
      <c r="HO2010" s="20"/>
      <c r="HP2010" s="20"/>
      <c r="HQ2010" s="20"/>
      <c r="HR2010" s="20"/>
      <c r="HS2010" s="20"/>
      <c r="HT2010" s="20"/>
      <c r="HU2010" s="20"/>
      <c r="HV2010" s="20"/>
      <c r="HW2010" s="20"/>
      <c r="HX2010" s="20"/>
      <c r="HY2010" s="20"/>
      <c r="HZ2010" s="20"/>
      <c r="IA2010" s="20"/>
      <c r="IB2010" s="20"/>
      <c r="IC2010" s="20"/>
      <c r="ID2010" s="20"/>
      <c r="IE2010" s="20"/>
      <c r="IF2010" s="20"/>
      <c r="IG2010" s="20"/>
      <c r="IH2010" s="20"/>
      <c r="II2010" s="20"/>
      <c r="IJ2010" s="20"/>
      <c r="IK2010" s="20"/>
      <c r="IL2010" s="20"/>
      <c r="IM2010" s="20"/>
      <c r="IN2010" s="20"/>
      <c r="IO2010" s="20"/>
    </row>
    <row r="2011" spans="1:249" s="22" customFormat="1" ht="66">
      <c r="A2011" s="794"/>
      <c r="B2011" s="840"/>
      <c r="C2011" s="841">
        <v>4</v>
      </c>
      <c r="D2011" s="841" t="s">
        <v>34</v>
      </c>
      <c r="E2011" s="841" t="s">
        <v>25</v>
      </c>
      <c r="F2011" s="841" t="s">
        <v>50</v>
      </c>
      <c r="G2011" s="841" t="s">
        <v>43</v>
      </c>
      <c r="H2011" s="841"/>
      <c r="I2011" s="6" t="s">
        <v>1926</v>
      </c>
      <c r="J2011" s="6" t="s">
        <v>1927</v>
      </c>
      <c r="K2011" s="1902">
        <v>80</v>
      </c>
      <c r="L2011" s="1908">
        <f>2*N2011</f>
        <v>336306914</v>
      </c>
      <c r="M2011" s="1903">
        <v>80</v>
      </c>
      <c r="N2011" s="1904">
        <f>81589450+86564007</f>
        <v>168153457</v>
      </c>
      <c r="O2011" s="1903"/>
      <c r="P2011" s="1905">
        <v>0</v>
      </c>
      <c r="Q2011" s="1903"/>
      <c r="R2011" s="1904"/>
      <c r="S2011" s="795"/>
      <c r="T2011" s="1906"/>
      <c r="U2011" s="795"/>
      <c r="V2011" s="1906"/>
      <c r="W2011" s="795"/>
      <c r="X2011" s="1906"/>
      <c r="Y2011" s="1903">
        <f>Q2011+S2011+W2011</f>
        <v>0</v>
      </c>
      <c r="Z2011" s="1906">
        <f t="shared" si="590"/>
        <v>0</v>
      </c>
      <c r="AA2011" s="1903">
        <f t="shared" si="599"/>
        <v>80</v>
      </c>
      <c r="AB2011" s="1906">
        <f t="shared" si="595"/>
        <v>168153457</v>
      </c>
      <c r="AC2011" s="1907">
        <f t="shared" si="596"/>
        <v>100</v>
      </c>
      <c r="AD2011" s="1907">
        <f t="shared" si="591"/>
        <v>50</v>
      </c>
      <c r="AE2011" s="2603" t="s">
        <v>1981</v>
      </c>
      <c r="AF2011" s="201"/>
      <c r="AG2011" s="201"/>
      <c r="AH2011" s="201"/>
      <c r="AI2011" s="201"/>
      <c r="AJ2011" s="201"/>
      <c r="AK2011" s="201"/>
      <c r="AL2011" s="201"/>
      <c r="AM2011" s="201"/>
      <c r="AN2011" s="201"/>
      <c r="AO2011" s="201"/>
      <c r="AP2011" s="201"/>
      <c r="AQ2011" s="201"/>
      <c r="AR2011" s="201"/>
      <c r="AS2011" s="201"/>
      <c r="AT2011" s="201"/>
      <c r="AU2011" s="201"/>
      <c r="AV2011" s="201"/>
      <c r="AW2011" s="201"/>
      <c r="AX2011" s="201"/>
      <c r="AY2011" s="201"/>
      <c r="AZ2011" s="201"/>
      <c r="BA2011" s="201"/>
      <c r="BB2011" s="201"/>
      <c r="BC2011" s="20"/>
      <c r="BD2011" s="20"/>
      <c r="BE2011" s="20"/>
      <c r="BF2011" s="20"/>
      <c r="BG2011" s="20"/>
      <c r="BH2011" s="20"/>
      <c r="BI2011" s="20"/>
      <c r="BJ2011" s="20"/>
      <c r="BK2011" s="20"/>
      <c r="BL2011" s="20"/>
      <c r="BM2011" s="20"/>
      <c r="BN2011" s="20"/>
      <c r="BO2011" s="20"/>
      <c r="BP2011" s="20"/>
      <c r="BQ2011" s="20"/>
      <c r="BR2011" s="20"/>
      <c r="BS2011" s="20"/>
      <c r="BT2011" s="20"/>
      <c r="BU2011" s="20"/>
      <c r="BV2011" s="20"/>
      <c r="BW2011" s="20"/>
      <c r="BX2011" s="20"/>
      <c r="BY2011" s="20"/>
      <c r="BZ2011" s="20"/>
      <c r="CA2011" s="20"/>
      <c r="CB2011" s="20"/>
      <c r="CC2011" s="20"/>
      <c r="CD2011" s="20"/>
      <c r="CE2011" s="20"/>
      <c r="CF2011" s="20"/>
      <c r="CG2011" s="20"/>
      <c r="CH2011" s="20"/>
      <c r="CI2011" s="20"/>
      <c r="CJ2011" s="20"/>
      <c r="CK2011" s="20"/>
      <c r="CL2011" s="20"/>
      <c r="CM2011" s="20"/>
      <c r="CN2011" s="20"/>
      <c r="CO2011" s="20"/>
      <c r="CP2011" s="20"/>
      <c r="CQ2011" s="20"/>
      <c r="CR2011" s="20"/>
      <c r="CS2011" s="20"/>
      <c r="CT2011" s="20"/>
      <c r="CU2011" s="20"/>
      <c r="CV2011" s="20"/>
      <c r="CW2011" s="20"/>
      <c r="CX2011" s="20"/>
      <c r="CY2011" s="20"/>
      <c r="CZ2011" s="20"/>
      <c r="DA2011" s="20"/>
      <c r="DB2011" s="20"/>
      <c r="DC2011" s="20"/>
      <c r="DD2011" s="20"/>
      <c r="DE2011" s="20"/>
      <c r="DF2011" s="20"/>
      <c r="DG2011" s="20"/>
      <c r="DH2011" s="20"/>
      <c r="DI2011" s="20"/>
      <c r="DJ2011" s="20"/>
      <c r="DK2011" s="20"/>
      <c r="DL2011" s="20"/>
      <c r="DM2011" s="20"/>
      <c r="DN2011" s="20"/>
      <c r="DO2011" s="20"/>
      <c r="DP2011" s="20"/>
      <c r="DQ2011" s="20"/>
      <c r="DR2011" s="20"/>
      <c r="DS2011" s="20"/>
      <c r="DT2011" s="20"/>
      <c r="DU2011" s="20"/>
      <c r="DV2011" s="20"/>
      <c r="DW2011" s="20"/>
      <c r="DX2011" s="20"/>
      <c r="DY2011" s="20"/>
      <c r="DZ2011" s="20"/>
      <c r="EA2011" s="20"/>
      <c r="EB2011" s="20"/>
      <c r="EC2011" s="20"/>
      <c r="ED2011" s="20"/>
      <c r="EE2011" s="20"/>
      <c r="EF2011" s="20"/>
      <c r="EG2011" s="20"/>
      <c r="EH2011" s="20"/>
      <c r="EI2011" s="20"/>
      <c r="EJ2011" s="20"/>
      <c r="EK2011" s="20"/>
      <c r="EL2011" s="20"/>
      <c r="EM2011" s="20"/>
      <c r="EN2011" s="20"/>
      <c r="EO2011" s="20"/>
      <c r="EP2011" s="20"/>
      <c r="EQ2011" s="20"/>
      <c r="ER2011" s="20"/>
      <c r="ES2011" s="20"/>
      <c r="ET2011" s="20"/>
      <c r="EU2011" s="20"/>
      <c r="EV2011" s="20"/>
      <c r="EW2011" s="20"/>
      <c r="EX2011" s="20"/>
      <c r="EY2011" s="20"/>
      <c r="EZ2011" s="20"/>
      <c r="FA2011" s="20"/>
      <c r="FB2011" s="20"/>
      <c r="FC2011" s="20"/>
      <c r="FD2011" s="20"/>
      <c r="FE2011" s="20"/>
      <c r="FF2011" s="20"/>
      <c r="FG2011" s="20"/>
      <c r="FH2011" s="20"/>
      <c r="FI2011" s="20"/>
      <c r="FJ2011" s="20"/>
      <c r="FK2011" s="20"/>
      <c r="FL2011" s="20"/>
      <c r="FM2011" s="20"/>
      <c r="FN2011" s="20"/>
      <c r="FO2011" s="20"/>
      <c r="FP2011" s="20"/>
      <c r="FQ2011" s="20"/>
      <c r="FR2011" s="20"/>
      <c r="FS2011" s="20"/>
      <c r="FT2011" s="20"/>
      <c r="FU2011" s="20"/>
      <c r="FV2011" s="20"/>
      <c r="FW2011" s="20"/>
      <c r="FX2011" s="20"/>
      <c r="FY2011" s="20"/>
      <c r="FZ2011" s="20"/>
      <c r="GA2011" s="20"/>
      <c r="GB2011" s="20"/>
      <c r="GC2011" s="20"/>
      <c r="GD2011" s="20"/>
      <c r="GE2011" s="20"/>
      <c r="GF2011" s="20"/>
      <c r="GG2011" s="20"/>
      <c r="GH2011" s="20"/>
      <c r="GI2011" s="20"/>
      <c r="GJ2011" s="20"/>
      <c r="GK2011" s="20"/>
      <c r="GL2011" s="20"/>
      <c r="GM2011" s="20"/>
      <c r="GN2011" s="20"/>
      <c r="GO2011" s="20"/>
      <c r="GP2011" s="20"/>
      <c r="GQ2011" s="20"/>
      <c r="GR2011" s="20"/>
      <c r="GS2011" s="20"/>
      <c r="GT2011" s="20"/>
      <c r="GU2011" s="20"/>
      <c r="GV2011" s="20"/>
      <c r="GW2011" s="20"/>
      <c r="GX2011" s="20"/>
      <c r="GY2011" s="20"/>
      <c r="GZ2011" s="20"/>
      <c r="HA2011" s="20"/>
      <c r="HB2011" s="20"/>
      <c r="HC2011" s="20"/>
      <c r="HD2011" s="20"/>
      <c r="HE2011" s="20"/>
      <c r="HF2011" s="20"/>
      <c r="HG2011" s="20"/>
      <c r="HH2011" s="20"/>
      <c r="HI2011" s="20"/>
      <c r="HJ2011" s="20"/>
      <c r="HK2011" s="20"/>
      <c r="HL2011" s="20"/>
      <c r="HM2011" s="20"/>
      <c r="HN2011" s="20"/>
      <c r="HO2011" s="20"/>
      <c r="HP2011" s="20"/>
      <c r="HQ2011" s="20"/>
      <c r="HR2011" s="20"/>
      <c r="HS2011" s="20"/>
      <c r="HT2011" s="20"/>
      <c r="HU2011" s="20"/>
      <c r="HV2011" s="20"/>
      <c r="HW2011" s="20"/>
      <c r="HX2011" s="20"/>
      <c r="HY2011" s="20"/>
      <c r="HZ2011" s="20"/>
      <c r="IA2011" s="20"/>
      <c r="IB2011" s="20"/>
      <c r="IC2011" s="20"/>
      <c r="ID2011" s="20"/>
      <c r="IE2011" s="20"/>
      <c r="IF2011" s="20"/>
      <c r="IG2011" s="20"/>
      <c r="IH2011" s="20"/>
      <c r="II2011" s="20"/>
      <c r="IJ2011" s="20"/>
      <c r="IK2011" s="20"/>
      <c r="IL2011" s="20"/>
      <c r="IM2011" s="20"/>
      <c r="IN2011" s="20"/>
      <c r="IO2011" s="20"/>
    </row>
    <row r="2012" spans="1:249" s="22" customFormat="1" ht="33">
      <c r="A2012" s="794"/>
      <c r="B2012" s="840"/>
      <c r="C2012" s="841">
        <v>4</v>
      </c>
      <c r="D2012" s="841" t="s">
        <v>34</v>
      </c>
      <c r="E2012" s="841" t="s">
        <v>25</v>
      </c>
      <c r="F2012" s="841">
        <v>28</v>
      </c>
      <c r="G2012" s="841">
        <v>10</v>
      </c>
      <c r="H2012" s="841"/>
      <c r="I2012" s="6" t="s">
        <v>1928</v>
      </c>
      <c r="J2012" s="6" t="s">
        <v>3406</v>
      </c>
      <c r="K2012" s="1902">
        <v>45</v>
      </c>
      <c r="L2012" s="1904">
        <v>85390281</v>
      </c>
      <c r="M2012" s="1903"/>
      <c r="N2012" s="1930"/>
      <c r="O2012" s="1902">
        <v>45</v>
      </c>
      <c r="P2012" s="1904">
        <v>85390281</v>
      </c>
      <c r="Q2012" s="1903">
        <v>11</v>
      </c>
      <c r="R2012" s="1904">
        <v>1735050</v>
      </c>
      <c r="S2012" s="795">
        <v>11</v>
      </c>
      <c r="T2012" s="1906">
        <v>26446350</v>
      </c>
      <c r="U2012" s="795"/>
      <c r="V2012" s="1906"/>
      <c r="W2012" s="795"/>
      <c r="X2012" s="1906"/>
      <c r="Y2012" s="1903">
        <f>Q2012+S2012+W2012</f>
        <v>22</v>
      </c>
      <c r="Z2012" s="1906">
        <f t="shared" si="590"/>
        <v>28181400</v>
      </c>
      <c r="AA2012" s="1903">
        <f t="shared" si="599"/>
        <v>22</v>
      </c>
      <c r="AB2012" s="1906">
        <f t="shared" si="595"/>
        <v>28181400</v>
      </c>
      <c r="AC2012" s="1907">
        <f t="shared" si="596"/>
        <v>48.888888888888886</v>
      </c>
      <c r="AD2012" s="1907">
        <f t="shared" si="591"/>
        <v>33.003053356856853</v>
      </c>
      <c r="AE2012" s="2603" t="s">
        <v>1981</v>
      </c>
      <c r="AF2012" s="201"/>
      <c r="AG2012" s="201"/>
      <c r="AH2012" s="201"/>
      <c r="AI2012" s="201"/>
      <c r="AJ2012" s="201"/>
      <c r="AK2012" s="201"/>
      <c r="AL2012" s="201"/>
      <c r="AM2012" s="201"/>
      <c r="AN2012" s="201"/>
      <c r="AO2012" s="201"/>
      <c r="AP2012" s="201"/>
      <c r="AQ2012" s="201"/>
      <c r="AR2012" s="201"/>
      <c r="AS2012" s="201"/>
      <c r="AT2012" s="201"/>
      <c r="AU2012" s="201"/>
      <c r="AV2012" s="201"/>
      <c r="AW2012" s="201"/>
      <c r="AX2012" s="201"/>
      <c r="AY2012" s="201"/>
      <c r="AZ2012" s="201"/>
      <c r="BA2012" s="201"/>
      <c r="BB2012" s="201"/>
      <c r="BC2012" s="20"/>
      <c r="BD2012" s="20"/>
      <c r="BE2012" s="20"/>
      <c r="BF2012" s="20"/>
      <c r="BG2012" s="20"/>
      <c r="BH2012" s="20"/>
      <c r="BI2012" s="20"/>
      <c r="BJ2012" s="20"/>
      <c r="BK2012" s="20"/>
      <c r="BL2012" s="20"/>
      <c r="BM2012" s="20"/>
      <c r="BN2012" s="20"/>
      <c r="BO2012" s="20"/>
      <c r="BP2012" s="20"/>
      <c r="BQ2012" s="20"/>
      <c r="BR2012" s="20"/>
      <c r="BS2012" s="20"/>
      <c r="BT2012" s="20"/>
      <c r="BU2012" s="20"/>
      <c r="BV2012" s="20"/>
      <c r="BW2012" s="20"/>
      <c r="BX2012" s="20"/>
      <c r="BY2012" s="20"/>
      <c r="BZ2012" s="20"/>
      <c r="CA2012" s="20"/>
      <c r="CB2012" s="20"/>
      <c r="CC2012" s="20"/>
      <c r="CD2012" s="20"/>
      <c r="CE2012" s="20"/>
      <c r="CF2012" s="20"/>
      <c r="CG2012" s="20"/>
      <c r="CH2012" s="20"/>
      <c r="CI2012" s="20"/>
      <c r="CJ2012" s="20"/>
      <c r="CK2012" s="20"/>
      <c r="CL2012" s="20"/>
      <c r="CM2012" s="20"/>
      <c r="CN2012" s="20"/>
      <c r="CO2012" s="20"/>
      <c r="CP2012" s="20"/>
      <c r="CQ2012" s="20"/>
      <c r="CR2012" s="20"/>
      <c r="CS2012" s="20"/>
      <c r="CT2012" s="20"/>
      <c r="CU2012" s="20"/>
      <c r="CV2012" s="20"/>
      <c r="CW2012" s="20"/>
      <c r="CX2012" s="20"/>
      <c r="CY2012" s="20"/>
      <c r="CZ2012" s="20"/>
      <c r="DA2012" s="20"/>
      <c r="DB2012" s="20"/>
      <c r="DC2012" s="20"/>
      <c r="DD2012" s="20"/>
      <c r="DE2012" s="20"/>
      <c r="DF2012" s="20"/>
      <c r="DG2012" s="20"/>
      <c r="DH2012" s="20"/>
      <c r="DI2012" s="20"/>
      <c r="DJ2012" s="20"/>
      <c r="DK2012" s="20"/>
      <c r="DL2012" s="20"/>
      <c r="DM2012" s="20"/>
      <c r="DN2012" s="20"/>
      <c r="DO2012" s="20"/>
      <c r="DP2012" s="20"/>
      <c r="DQ2012" s="20"/>
      <c r="DR2012" s="20"/>
      <c r="DS2012" s="20"/>
      <c r="DT2012" s="20"/>
      <c r="DU2012" s="20"/>
      <c r="DV2012" s="20"/>
      <c r="DW2012" s="20"/>
      <c r="DX2012" s="20"/>
      <c r="DY2012" s="20"/>
      <c r="DZ2012" s="20"/>
      <c r="EA2012" s="20"/>
      <c r="EB2012" s="20"/>
      <c r="EC2012" s="20"/>
      <c r="ED2012" s="20"/>
      <c r="EE2012" s="20"/>
      <c r="EF2012" s="20"/>
      <c r="EG2012" s="20"/>
      <c r="EH2012" s="20"/>
      <c r="EI2012" s="20"/>
      <c r="EJ2012" s="20"/>
      <c r="EK2012" s="20"/>
      <c r="EL2012" s="20"/>
      <c r="EM2012" s="20"/>
      <c r="EN2012" s="20"/>
      <c r="EO2012" s="20"/>
      <c r="EP2012" s="20"/>
      <c r="EQ2012" s="20"/>
      <c r="ER2012" s="20"/>
      <c r="ES2012" s="20"/>
      <c r="ET2012" s="20"/>
      <c r="EU2012" s="20"/>
      <c r="EV2012" s="20"/>
      <c r="EW2012" s="20"/>
      <c r="EX2012" s="20"/>
      <c r="EY2012" s="20"/>
      <c r="EZ2012" s="20"/>
      <c r="FA2012" s="20"/>
      <c r="FB2012" s="20"/>
      <c r="FC2012" s="20"/>
      <c r="FD2012" s="20"/>
      <c r="FE2012" s="20"/>
      <c r="FF2012" s="20"/>
      <c r="FG2012" s="20"/>
      <c r="FH2012" s="20"/>
      <c r="FI2012" s="20"/>
      <c r="FJ2012" s="20"/>
      <c r="FK2012" s="20"/>
      <c r="FL2012" s="20"/>
      <c r="FM2012" s="20"/>
      <c r="FN2012" s="20"/>
      <c r="FO2012" s="20"/>
      <c r="FP2012" s="20"/>
      <c r="FQ2012" s="20"/>
      <c r="FR2012" s="20"/>
      <c r="FS2012" s="20"/>
      <c r="FT2012" s="20"/>
      <c r="FU2012" s="20"/>
      <c r="FV2012" s="20"/>
      <c r="FW2012" s="20"/>
      <c r="FX2012" s="20"/>
      <c r="FY2012" s="20"/>
      <c r="FZ2012" s="20"/>
      <c r="GA2012" s="20"/>
      <c r="GB2012" s="20"/>
      <c r="GC2012" s="20"/>
      <c r="GD2012" s="20"/>
      <c r="GE2012" s="20"/>
      <c r="GF2012" s="20"/>
      <c r="GG2012" s="20"/>
      <c r="GH2012" s="20"/>
      <c r="GI2012" s="20"/>
      <c r="GJ2012" s="20"/>
      <c r="GK2012" s="20"/>
      <c r="GL2012" s="20"/>
      <c r="GM2012" s="20"/>
      <c r="GN2012" s="20"/>
      <c r="GO2012" s="20"/>
      <c r="GP2012" s="20"/>
      <c r="GQ2012" s="20"/>
      <c r="GR2012" s="20"/>
      <c r="GS2012" s="20"/>
      <c r="GT2012" s="20"/>
      <c r="GU2012" s="20"/>
      <c r="GV2012" s="20"/>
      <c r="GW2012" s="20"/>
      <c r="GX2012" s="20"/>
      <c r="GY2012" s="20"/>
      <c r="GZ2012" s="20"/>
      <c r="HA2012" s="20"/>
      <c r="HB2012" s="20"/>
      <c r="HC2012" s="20"/>
      <c r="HD2012" s="20"/>
      <c r="HE2012" s="20"/>
      <c r="HF2012" s="20"/>
      <c r="HG2012" s="20"/>
      <c r="HH2012" s="20"/>
      <c r="HI2012" s="20"/>
      <c r="HJ2012" s="20"/>
      <c r="HK2012" s="20"/>
      <c r="HL2012" s="20"/>
      <c r="HM2012" s="20"/>
      <c r="HN2012" s="20"/>
      <c r="HO2012" s="20"/>
      <c r="HP2012" s="20"/>
      <c r="HQ2012" s="20"/>
      <c r="HR2012" s="20"/>
      <c r="HS2012" s="20"/>
      <c r="HT2012" s="20"/>
      <c r="HU2012" s="20"/>
      <c r="HV2012" s="20"/>
      <c r="HW2012" s="20"/>
      <c r="HX2012" s="20"/>
      <c r="HY2012" s="20"/>
      <c r="HZ2012" s="20"/>
      <c r="IA2012" s="20"/>
      <c r="IB2012" s="20"/>
      <c r="IC2012" s="20"/>
      <c r="ID2012" s="20"/>
      <c r="IE2012" s="20"/>
      <c r="IF2012" s="20"/>
      <c r="IG2012" s="20"/>
      <c r="IH2012" s="20"/>
      <c r="II2012" s="20"/>
      <c r="IJ2012" s="20"/>
      <c r="IK2012" s="20"/>
      <c r="IL2012" s="20"/>
      <c r="IM2012" s="20"/>
      <c r="IN2012" s="20"/>
      <c r="IO2012" s="20"/>
    </row>
    <row r="2013" spans="1:249" s="22" customFormat="1" ht="66">
      <c r="A2013" s="2554">
        <v>28</v>
      </c>
      <c r="B2013" s="588"/>
      <c r="C2013" s="753">
        <v>4</v>
      </c>
      <c r="D2013" s="753" t="s">
        <v>34</v>
      </c>
      <c r="E2013" s="753" t="s">
        <v>25</v>
      </c>
      <c r="F2013" s="753">
        <v>46</v>
      </c>
      <c r="G2013" s="753"/>
      <c r="H2013" s="753"/>
      <c r="I2013" s="44" t="s">
        <v>1929</v>
      </c>
      <c r="J2013" s="44" t="s">
        <v>1930</v>
      </c>
      <c r="K2013" s="149">
        <v>100</v>
      </c>
      <c r="L2013" s="1770">
        <f>L2014</f>
        <v>2350000000</v>
      </c>
      <c r="M2013" s="149">
        <v>85</v>
      </c>
      <c r="N2013" s="1901">
        <f>N2014</f>
        <v>585588940</v>
      </c>
      <c r="O2013" s="149">
        <v>5</v>
      </c>
      <c r="P2013" s="1901">
        <f>P2014</f>
        <v>274685000</v>
      </c>
      <c r="Q2013" s="149">
        <f t="shared" ref="Q2013:X2013" si="602">Q2014</f>
        <v>2</v>
      </c>
      <c r="R2013" s="1901">
        <f t="shared" si="602"/>
        <v>26680100</v>
      </c>
      <c r="S2013" s="1901">
        <f t="shared" si="602"/>
        <v>2</v>
      </c>
      <c r="T2013" s="1901">
        <f t="shared" si="602"/>
        <v>42847150</v>
      </c>
      <c r="U2013" s="1901">
        <f t="shared" si="602"/>
        <v>0</v>
      </c>
      <c r="V2013" s="1901">
        <f t="shared" si="602"/>
        <v>0</v>
      </c>
      <c r="W2013" s="1901">
        <f t="shared" si="602"/>
        <v>0</v>
      </c>
      <c r="X2013" s="1901">
        <f t="shared" si="602"/>
        <v>0</v>
      </c>
      <c r="Y2013" s="149">
        <f>Q2013+S2013+U2013+W2013</f>
        <v>4</v>
      </c>
      <c r="Z2013" s="1901">
        <f t="shared" si="590"/>
        <v>69527250</v>
      </c>
      <c r="AA2013" s="149">
        <f t="shared" si="599"/>
        <v>89</v>
      </c>
      <c r="AB2013" s="1901">
        <f t="shared" si="595"/>
        <v>655116190</v>
      </c>
      <c r="AC2013" s="821">
        <f t="shared" si="596"/>
        <v>89</v>
      </c>
      <c r="AD2013" s="821">
        <f t="shared" si="591"/>
        <v>27.877284680851066</v>
      </c>
      <c r="AE2013" s="2558" t="s">
        <v>2252</v>
      </c>
      <c r="AF2013" s="201"/>
      <c r="AG2013" s="201"/>
      <c r="AH2013" s="201"/>
      <c r="AI2013" s="201"/>
      <c r="AJ2013" s="201"/>
      <c r="AK2013" s="201"/>
      <c r="AL2013" s="201"/>
      <c r="AM2013" s="201"/>
      <c r="AN2013" s="201"/>
      <c r="AO2013" s="201"/>
      <c r="AP2013" s="201"/>
      <c r="AQ2013" s="201"/>
      <c r="AR2013" s="201"/>
      <c r="AS2013" s="201"/>
      <c r="AT2013" s="201"/>
      <c r="AU2013" s="201"/>
      <c r="AV2013" s="201"/>
      <c r="AW2013" s="201"/>
      <c r="AX2013" s="201"/>
      <c r="AY2013" s="201"/>
      <c r="AZ2013" s="201"/>
      <c r="BA2013" s="201"/>
      <c r="BB2013" s="201"/>
      <c r="BC2013" s="20"/>
      <c r="BD2013" s="20"/>
      <c r="BE2013" s="20"/>
      <c r="BF2013" s="20"/>
      <c r="BG2013" s="20"/>
      <c r="BH2013" s="20"/>
      <c r="BI2013" s="20"/>
      <c r="BJ2013" s="20"/>
      <c r="BK2013" s="20"/>
      <c r="BL2013" s="20"/>
      <c r="BM2013" s="20"/>
      <c r="BN2013" s="20"/>
      <c r="BO2013" s="20"/>
      <c r="BP2013" s="20"/>
      <c r="BQ2013" s="20"/>
      <c r="BR2013" s="20"/>
      <c r="BS2013" s="20"/>
      <c r="BT2013" s="20"/>
      <c r="BU2013" s="20"/>
      <c r="BV2013" s="20"/>
      <c r="BW2013" s="20"/>
      <c r="BX2013" s="20"/>
      <c r="BY2013" s="20"/>
      <c r="BZ2013" s="20"/>
      <c r="CA2013" s="20"/>
      <c r="CB2013" s="20"/>
      <c r="CC2013" s="20"/>
      <c r="CD2013" s="20"/>
      <c r="CE2013" s="20"/>
      <c r="CF2013" s="20"/>
      <c r="CG2013" s="20"/>
      <c r="CH2013" s="20"/>
      <c r="CI2013" s="20"/>
      <c r="CJ2013" s="20"/>
      <c r="CK2013" s="20"/>
      <c r="CL2013" s="20"/>
      <c r="CM2013" s="20"/>
      <c r="CN2013" s="20"/>
      <c r="CO2013" s="20"/>
      <c r="CP2013" s="20"/>
      <c r="CQ2013" s="20"/>
      <c r="CR2013" s="20"/>
      <c r="CS2013" s="20"/>
      <c r="CT2013" s="20"/>
      <c r="CU2013" s="20"/>
      <c r="CV2013" s="20"/>
      <c r="CW2013" s="20"/>
      <c r="CX2013" s="20"/>
      <c r="CY2013" s="20"/>
      <c r="CZ2013" s="20"/>
      <c r="DA2013" s="20"/>
      <c r="DB2013" s="20"/>
      <c r="DC2013" s="20"/>
      <c r="DD2013" s="20"/>
      <c r="DE2013" s="20"/>
      <c r="DF2013" s="20"/>
      <c r="DG2013" s="20"/>
      <c r="DH2013" s="20"/>
      <c r="DI2013" s="20"/>
      <c r="DJ2013" s="20"/>
      <c r="DK2013" s="20"/>
      <c r="DL2013" s="20"/>
      <c r="DM2013" s="20"/>
      <c r="DN2013" s="20"/>
      <c r="DO2013" s="20"/>
      <c r="DP2013" s="20"/>
      <c r="DQ2013" s="20"/>
      <c r="DR2013" s="20"/>
      <c r="DS2013" s="20"/>
      <c r="DT2013" s="20"/>
      <c r="DU2013" s="20"/>
      <c r="DV2013" s="20"/>
      <c r="DW2013" s="20"/>
      <c r="DX2013" s="20"/>
      <c r="DY2013" s="20"/>
      <c r="DZ2013" s="20"/>
      <c r="EA2013" s="20"/>
      <c r="EB2013" s="20"/>
      <c r="EC2013" s="20"/>
      <c r="ED2013" s="20"/>
      <c r="EE2013" s="20"/>
      <c r="EF2013" s="20"/>
      <c r="EG2013" s="20"/>
      <c r="EH2013" s="20"/>
      <c r="EI2013" s="20"/>
      <c r="EJ2013" s="20"/>
      <c r="EK2013" s="20"/>
      <c r="EL2013" s="20"/>
      <c r="EM2013" s="20"/>
      <c r="EN2013" s="20"/>
      <c r="EO2013" s="20"/>
      <c r="EP2013" s="20"/>
      <c r="EQ2013" s="20"/>
      <c r="ER2013" s="20"/>
      <c r="ES2013" s="20"/>
      <c r="ET2013" s="20"/>
      <c r="EU2013" s="20"/>
      <c r="EV2013" s="20"/>
      <c r="EW2013" s="20"/>
      <c r="EX2013" s="20"/>
      <c r="EY2013" s="20"/>
      <c r="EZ2013" s="20"/>
      <c r="FA2013" s="20"/>
      <c r="FB2013" s="20"/>
      <c r="FC2013" s="20"/>
      <c r="FD2013" s="20"/>
      <c r="FE2013" s="20"/>
      <c r="FF2013" s="20"/>
      <c r="FG2013" s="20"/>
      <c r="FH2013" s="20"/>
      <c r="FI2013" s="20"/>
      <c r="FJ2013" s="20"/>
      <c r="FK2013" s="20"/>
      <c r="FL2013" s="20"/>
      <c r="FM2013" s="20"/>
      <c r="FN2013" s="20"/>
      <c r="FO2013" s="20"/>
      <c r="FP2013" s="20"/>
      <c r="FQ2013" s="20"/>
      <c r="FR2013" s="20"/>
      <c r="FS2013" s="20"/>
      <c r="FT2013" s="20"/>
      <c r="FU2013" s="20"/>
      <c r="FV2013" s="20"/>
      <c r="FW2013" s="20"/>
      <c r="FX2013" s="20"/>
      <c r="FY2013" s="20"/>
      <c r="FZ2013" s="20"/>
      <c r="GA2013" s="20"/>
      <c r="GB2013" s="20"/>
      <c r="GC2013" s="20"/>
      <c r="GD2013" s="20"/>
      <c r="GE2013" s="20"/>
      <c r="GF2013" s="20"/>
      <c r="GG2013" s="20"/>
      <c r="GH2013" s="20"/>
      <c r="GI2013" s="20"/>
      <c r="GJ2013" s="20"/>
      <c r="GK2013" s="20"/>
      <c r="GL2013" s="20"/>
      <c r="GM2013" s="20"/>
      <c r="GN2013" s="20"/>
      <c r="GO2013" s="20"/>
      <c r="GP2013" s="20"/>
      <c r="GQ2013" s="20"/>
      <c r="GR2013" s="20"/>
      <c r="GS2013" s="20"/>
      <c r="GT2013" s="20"/>
      <c r="GU2013" s="20"/>
      <c r="GV2013" s="20"/>
      <c r="GW2013" s="20"/>
      <c r="GX2013" s="20"/>
      <c r="GY2013" s="20"/>
      <c r="GZ2013" s="20"/>
      <c r="HA2013" s="20"/>
      <c r="HB2013" s="20"/>
      <c r="HC2013" s="20"/>
      <c r="HD2013" s="20"/>
      <c r="HE2013" s="20"/>
      <c r="HF2013" s="20"/>
      <c r="HG2013" s="20"/>
      <c r="HH2013" s="20"/>
      <c r="HI2013" s="20"/>
      <c r="HJ2013" s="20"/>
      <c r="HK2013" s="20"/>
      <c r="HL2013" s="20"/>
      <c r="HM2013" s="20"/>
      <c r="HN2013" s="20"/>
      <c r="HO2013" s="20"/>
      <c r="HP2013" s="20"/>
      <c r="HQ2013" s="20"/>
      <c r="HR2013" s="20"/>
      <c r="HS2013" s="20"/>
      <c r="HT2013" s="20"/>
      <c r="HU2013" s="20"/>
      <c r="HV2013" s="20"/>
      <c r="HW2013" s="20"/>
      <c r="HX2013" s="20"/>
      <c r="HY2013" s="20"/>
      <c r="HZ2013" s="20"/>
      <c r="IA2013" s="20"/>
      <c r="IB2013" s="20"/>
      <c r="IC2013" s="20"/>
      <c r="ID2013" s="20"/>
      <c r="IE2013" s="20"/>
      <c r="IF2013" s="20"/>
      <c r="IG2013" s="20"/>
      <c r="IH2013" s="20"/>
      <c r="II2013" s="20"/>
      <c r="IJ2013" s="20"/>
      <c r="IK2013" s="20"/>
      <c r="IL2013" s="20"/>
      <c r="IM2013" s="20"/>
      <c r="IN2013" s="20"/>
      <c r="IO2013" s="20"/>
    </row>
    <row r="2014" spans="1:249" s="22" customFormat="1" ht="49.5">
      <c r="A2014" s="794"/>
      <c r="B2014" s="840"/>
      <c r="C2014" s="841">
        <v>4</v>
      </c>
      <c r="D2014" s="841" t="s">
        <v>34</v>
      </c>
      <c r="E2014" s="841" t="s">
        <v>25</v>
      </c>
      <c r="F2014" s="841">
        <v>46</v>
      </c>
      <c r="G2014" s="841" t="s">
        <v>25</v>
      </c>
      <c r="H2014" s="841"/>
      <c r="I2014" s="6" t="s">
        <v>1931</v>
      </c>
      <c r="J2014" s="6" t="s">
        <v>1932</v>
      </c>
      <c r="K2014" s="1902">
        <v>58</v>
      </c>
      <c r="L2014" s="1908">
        <v>2350000000</v>
      </c>
      <c r="M2014" s="1922">
        <f>12+10</f>
        <v>22</v>
      </c>
      <c r="N2014" s="1904">
        <f>237987414+213006458+134595068</f>
        <v>585588940</v>
      </c>
      <c r="O2014" s="1902">
        <v>10</v>
      </c>
      <c r="P2014" s="1904">
        <v>274685000</v>
      </c>
      <c r="Q2014" s="1903">
        <v>2</v>
      </c>
      <c r="R2014" s="1904">
        <v>26680100</v>
      </c>
      <c r="S2014" s="795">
        <v>2</v>
      </c>
      <c r="T2014" s="207">
        <v>42847150</v>
      </c>
      <c r="U2014" s="795"/>
      <c r="V2014" s="1906"/>
      <c r="W2014" s="795"/>
      <c r="X2014" s="1906"/>
      <c r="Y2014" s="1903">
        <f>Q2014+U2014+W2014</f>
        <v>2</v>
      </c>
      <c r="Z2014" s="1906">
        <f t="shared" si="590"/>
        <v>69527250</v>
      </c>
      <c r="AA2014" s="1903">
        <f t="shared" si="599"/>
        <v>24</v>
      </c>
      <c r="AB2014" s="1906">
        <f t="shared" si="595"/>
        <v>655116190</v>
      </c>
      <c r="AC2014" s="1907">
        <f t="shared" si="596"/>
        <v>41.379310344827587</v>
      </c>
      <c r="AD2014" s="1907">
        <f t="shared" si="591"/>
        <v>27.877284680851066</v>
      </c>
      <c r="AE2014" s="1936" t="s">
        <v>1984</v>
      </c>
      <c r="AF2014" s="201"/>
      <c r="AG2014" s="201"/>
      <c r="AH2014" s="201"/>
      <c r="AI2014" s="201"/>
      <c r="AJ2014" s="201"/>
      <c r="AK2014" s="201"/>
      <c r="AL2014" s="201"/>
      <c r="AM2014" s="201"/>
      <c r="AN2014" s="201"/>
      <c r="AO2014" s="201"/>
      <c r="AP2014" s="201"/>
      <c r="AQ2014" s="201"/>
      <c r="AR2014" s="201"/>
      <c r="AS2014" s="201"/>
      <c r="AT2014" s="201"/>
      <c r="AU2014" s="201"/>
      <c r="AV2014" s="201"/>
      <c r="AW2014" s="201"/>
      <c r="AX2014" s="201"/>
      <c r="AY2014" s="201"/>
      <c r="AZ2014" s="201"/>
      <c r="BA2014" s="201"/>
      <c r="BB2014" s="201"/>
      <c r="BC2014" s="20"/>
      <c r="BD2014" s="20"/>
      <c r="BE2014" s="20"/>
      <c r="BF2014" s="20"/>
      <c r="BG2014" s="20"/>
      <c r="BH2014" s="20"/>
      <c r="BI2014" s="20"/>
      <c r="BJ2014" s="20"/>
      <c r="BK2014" s="20"/>
      <c r="BL2014" s="20"/>
      <c r="BM2014" s="20"/>
      <c r="BN2014" s="20"/>
      <c r="BO2014" s="20"/>
      <c r="BP2014" s="20"/>
      <c r="BQ2014" s="20"/>
      <c r="BR2014" s="20"/>
      <c r="BS2014" s="20"/>
      <c r="BT2014" s="20"/>
      <c r="BU2014" s="20"/>
      <c r="BV2014" s="20"/>
      <c r="BW2014" s="20"/>
      <c r="BX2014" s="20"/>
      <c r="BY2014" s="20"/>
      <c r="BZ2014" s="20"/>
      <c r="CA2014" s="20"/>
      <c r="CB2014" s="20"/>
      <c r="CC2014" s="20"/>
      <c r="CD2014" s="20"/>
      <c r="CE2014" s="20"/>
      <c r="CF2014" s="20"/>
      <c r="CG2014" s="20"/>
      <c r="CH2014" s="20"/>
      <c r="CI2014" s="20"/>
      <c r="CJ2014" s="20"/>
      <c r="CK2014" s="20"/>
      <c r="CL2014" s="20"/>
      <c r="CM2014" s="20"/>
      <c r="CN2014" s="20"/>
      <c r="CO2014" s="20"/>
      <c r="CP2014" s="20"/>
      <c r="CQ2014" s="20"/>
      <c r="CR2014" s="20"/>
      <c r="CS2014" s="20"/>
      <c r="CT2014" s="20"/>
      <c r="CU2014" s="20"/>
      <c r="CV2014" s="20"/>
      <c r="CW2014" s="20"/>
      <c r="CX2014" s="20"/>
      <c r="CY2014" s="20"/>
      <c r="CZ2014" s="20"/>
      <c r="DA2014" s="20"/>
      <c r="DB2014" s="20"/>
      <c r="DC2014" s="20"/>
      <c r="DD2014" s="20"/>
      <c r="DE2014" s="20"/>
      <c r="DF2014" s="20"/>
      <c r="DG2014" s="20"/>
      <c r="DH2014" s="20"/>
      <c r="DI2014" s="20"/>
      <c r="DJ2014" s="20"/>
      <c r="DK2014" s="20"/>
      <c r="DL2014" s="20"/>
      <c r="DM2014" s="20"/>
      <c r="DN2014" s="20"/>
      <c r="DO2014" s="20"/>
      <c r="DP2014" s="20"/>
      <c r="DQ2014" s="20"/>
      <c r="DR2014" s="20"/>
      <c r="DS2014" s="20"/>
      <c r="DT2014" s="20"/>
      <c r="DU2014" s="20"/>
      <c r="DV2014" s="20"/>
      <c r="DW2014" s="20"/>
      <c r="DX2014" s="20"/>
      <c r="DY2014" s="20"/>
      <c r="DZ2014" s="20"/>
      <c r="EA2014" s="20"/>
      <c r="EB2014" s="20"/>
      <c r="EC2014" s="20"/>
      <c r="ED2014" s="20"/>
      <c r="EE2014" s="20"/>
      <c r="EF2014" s="20"/>
      <c r="EG2014" s="20"/>
      <c r="EH2014" s="20"/>
      <c r="EI2014" s="20"/>
      <c r="EJ2014" s="20"/>
      <c r="EK2014" s="20"/>
      <c r="EL2014" s="20"/>
      <c r="EM2014" s="20"/>
      <c r="EN2014" s="20"/>
      <c r="EO2014" s="20"/>
      <c r="EP2014" s="20"/>
      <c r="EQ2014" s="20"/>
      <c r="ER2014" s="20"/>
      <c r="ES2014" s="20"/>
      <c r="ET2014" s="20"/>
      <c r="EU2014" s="20"/>
      <c r="EV2014" s="20"/>
      <c r="EW2014" s="20"/>
      <c r="EX2014" s="20"/>
      <c r="EY2014" s="20"/>
      <c r="EZ2014" s="20"/>
      <c r="FA2014" s="20"/>
      <c r="FB2014" s="20"/>
      <c r="FC2014" s="20"/>
      <c r="FD2014" s="20"/>
      <c r="FE2014" s="20"/>
      <c r="FF2014" s="20"/>
      <c r="FG2014" s="20"/>
      <c r="FH2014" s="20"/>
      <c r="FI2014" s="20"/>
      <c r="FJ2014" s="20"/>
      <c r="FK2014" s="20"/>
      <c r="FL2014" s="20"/>
      <c r="FM2014" s="20"/>
      <c r="FN2014" s="20"/>
      <c r="FO2014" s="20"/>
      <c r="FP2014" s="20"/>
      <c r="FQ2014" s="20"/>
      <c r="FR2014" s="20"/>
      <c r="FS2014" s="20"/>
      <c r="FT2014" s="20"/>
      <c r="FU2014" s="20"/>
      <c r="FV2014" s="20"/>
      <c r="FW2014" s="20"/>
      <c r="FX2014" s="20"/>
      <c r="FY2014" s="20"/>
      <c r="FZ2014" s="20"/>
      <c r="GA2014" s="20"/>
      <c r="GB2014" s="20"/>
      <c r="GC2014" s="20"/>
      <c r="GD2014" s="20"/>
      <c r="GE2014" s="20"/>
      <c r="GF2014" s="20"/>
      <c r="GG2014" s="20"/>
      <c r="GH2014" s="20"/>
      <c r="GI2014" s="20"/>
      <c r="GJ2014" s="20"/>
      <c r="GK2014" s="20"/>
      <c r="GL2014" s="20"/>
      <c r="GM2014" s="20"/>
      <c r="GN2014" s="20"/>
      <c r="GO2014" s="20"/>
      <c r="GP2014" s="20"/>
      <c r="GQ2014" s="20"/>
      <c r="GR2014" s="20"/>
      <c r="GS2014" s="20"/>
      <c r="GT2014" s="20"/>
      <c r="GU2014" s="20"/>
      <c r="GV2014" s="20"/>
      <c r="GW2014" s="20"/>
      <c r="GX2014" s="20"/>
      <c r="GY2014" s="20"/>
      <c r="GZ2014" s="20"/>
      <c r="HA2014" s="20"/>
      <c r="HB2014" s="20"/>
      <c r="HC2014" s="20"/>
      <c r="HD2014" s="20"/>
      <c r="HE2014" s="20"/>
      <c r="HF2014" s="20"/>
      <c r="HG2014" s="20"/>
      <c r="HH2014" s="20"/>
      <c r="HI2014" s="20"/>
      <c r="HJ2014" s="20"/>
      <c r="HK2014" s="20"/>
      <c r="HL2014" s="20"/>
      <c r="HM2014" s="20"/>
      <c r="HN2014" s="20"/>
      <c r="HO2014" s="20"/>
      <c r="HP2014" s="20"/>
      <c r="HQ2014" s="20"/>
      <c r="HR2014" s="20"/>
      <c r="HS2014" s="20"/>
      <c r="HT2014" s="20"/>
      <c r="HU2014" s="20"/>
      <c r="HV2014" s="20"/>
      <c r="HW2014" s="20"/>
      <c r="HX2014" s="20"/>
      <c r="HY2014" s="20"/>
      <c r="HZ2014" s="20"/>
      <c r="IA2014" s="20"/>
      <c r="IB2014" s="20"/>
      <c r="IC2014" s="20"/>
      <c r="ID2014" s="20"/>
      <c r="IE2014" s="20"/>
      <c r="IF2014" s="20"/>
      <c r="IG2014" s="20"/>
      <c r="IH2014" s="20"/>
      <c r="II2014" s="20"/>
      <c r="IJ2014" s="20"/>
      <c r="IK2014" s="20"/>
      <c r="IL2014" s="20"/>
      <c r="IM2014" s="20"/>
      <c r="IN2014" s="20"/>
      <c r="IO2014" s="20"/>
    </row>
    <row r="2015" spans="1:249" s="22" customFormat="1" ht="38.25" customHeight="1">
      <c r="A2015" s="2554">
        <v>29</v>
      </c>
      <c r="B2015" s="44"/>
      <c r="C2015" s="753">
        <v>4</v>
      </c>
      <c r="D2015" s="753" t="s">
        <v>34</v>
      </c>
      <c r="E2015" s="753" t="s">
        <v>25</v>
      </c>
      <c r="F2015" s="753" t="s">
        <v>1817</v>
      </c>
      <c r="G2015" s="753"/>
      <c r="H2015" s="753"/>
      <c r="I2015" s="44" t="s">
        <v>237</v>
      </c>
      <c r="J2015" s="44" t="s">
        <v>3407</v>
      </c>
      <c r="K2015" s="1770">
        <v>3350</v>
      </c>
      <c r="L2015" s="1899">
        <f>SUM(L2016:L2022)</f>
        <v>4794110192</v>
      </c>
      <c r="M2015" s="1770">
        <v>3180</v>
      </c>
      <c r="N2015" s="1899">
        <f>SUM(N2016:N2022)</f>
        <v>1413079123</v>
      </c>
      <c r="O2015" s="1770">
        <f>3230-M2015</f>
        <v>50</v>
      </c>
      <c r="P2015" s="1899">
        <f>SUM(P2016:P2022)</f>
        <v>359227580</v>
      </c>
      <c r="Q2015" s="149">
        <v>0</v>
      </c>
      <c r="R2015" s="1899">
        <f t="shared" ref="R2015:X2015" si="603">SUM(R2016:R2022)</f>
        <v>59862850</v>
      </c>
      <c r="S2015" s="1899">
        <f t="shared" si="603"/>
        <v>1.75</v>
      </c>
      <c r="T2015" s="1899">
        <f>SUM(T2016:T2022)</f>
        <v>76656150</v>
      </c>
      <c r="U2015" s="1899">
        <f t="shared" si="603"/>
        <v>0</v>
      </c>
      <c r="V2015" s="1899">
        <f t="shared" si="603"/>
        <v>0</v>
      </c>
      <c r="W2015" s="1899">
        <f t="shared" si="603"/>
        <v>0</v>
      </c>
      <c r="X2015" s="1899">
        <f t="shared" si="603"/>
        <v>0</v>
      </c>
      <c r="Y2015" s="149">
        <f>Q2015+S2015+U2015</f>
        <v>1.75</v>
      </c>
      <c r="Z2015" s="1901">
        <f t="shared" si="590"/>
        <v>136519000</v>
      </c>
      <c r="AA2015" s="149">
        <f t="shared" si="599"/>
        <v>3181.75</v>
      </c>
      <c r="AB2015" s="1901">
        <f t="shared" si="595"/>
        <v>1549598123</v>
      </c>
      <c r="AC2015" s="821">
        <f t="shared" si="596"/>
        <v>94.977611940298516</v>
      </c>
      <c r="AD2015" s="821">
        <f t="shared" si="591"/>
        <v>32.32295589671336</v>
      </c>
      <c r="AE2015" s="2558" t="s">
        <v>2252</v>
      </c>
      <c r="AF2015" s="201"/>
      <c r="AG2015" s="201"/>
      <c r="AH2015" s="201"/>
      <c r="AI2015" s="201"/>
      <c r="AJ2015" s="201"/>
      <c r="AK2015" s="201"/>
      <c r="AL2015" s="201"/>
      <c r="AM2015" s="201"/>
      <c r="AN2015" s="201"/>
      <c r="AO2015" s="201"/>
      <c r="AP2015" s="201"/>
      <c r="AQ2015" s="201"/>
      <c r="AR2015" s="201"/>
      <c r="AS2015" s="201"/>
      <c r="AT2015" s="201"/>
      <c r="AU2015" s="201"/>
      <c r="AV2015" s="201"/>
      <c r="AW2015" s="201"/>
      <c r="AX2015" s="201"/>
      <c r="AY2015" s="201"/>
      <c r="AZ2015" s="201"/>
      <c r="BA2015" s="201"/>
      <c r="BB2015" s="201"/>
      <c r="BC2015" s="20"/>
      <c r="BD2015" s="20"/>
      <c r="BE2015" s="20"/>
      <c r="BF2015" s="20"/>
      <c r="BG2015" s="20"/>
      <c r="BH2015" s="20"/>
      <c r="BI2015" s="20"/>
      <c r="BJ2015" s="20"/>
      <c r="BK2015" s="20"/>
      <c r="BL2015" s="20"/>
      <c r="BM2015" s="20"/>
      <c r="BN2015" s="20"/>
      <c r="BO2015" s="20"/>
      <c r="BP2015" s="20"/>
      <c r="BQ2015" s="20"/>
      <c r="BR2015" s="20"/>
      <c r="BS2015" s="20"/>
      <c r="BT2015" s="20"/>
      <c r="BU2015" s="20"/>
      <c r="BV2015" s="20"/>
      <c r="BW2015" s="20"/>
      <c r="BX2015" s="20"/>
      <c r="BY2015" s="20"/>
      <c r="BZ2015" s="20"/>
      <c r="CA2015" s="20"/>
      <c r="CB2015" s="20"/>
      <c r="CC2015" s="20"/>
      <c r="CD2015" s="20"/>
      <c r="CE2015" s="20"/>
      <c r="CF2015" s="20"/>
      <c r="CG2015" s="20"/>
      <c r="CH2015" s="20"/>
      <c r="CI2015" s="20"/>
      <c r="CJ2015" s="20"/>
      <c r="CK2015" s="20"/>
      <c r="CL2015" s="20"/>
      <c r="CM2015" s="20"/>
      <c r="CN2015" s="20"/>
      <c r="CO2015" s="20"/>
      <c r="CP2015" s="20"/>
      <c r="CQ2015" s="20"/>
      <c r="CR2015" s="20"/>
      <c r="CS2015" s="20"/>
      <c r="CT2015" s="20"/>
      <c r="CU2015" s="20"/>
      <c r="CV2015" s="20"/>
      <c r="CW2015" s="20"/>
      <c r="CX2015" s="20"/>
      <c r="CY2015" s="20"/>
      <c r="CZ2015" s="20"/>
      <c r="DA2015" s="20"/>
      <c r="DB2015" s="20"/>
      <c r="DC2015" s="20"/>
      <c r="DD2015" s="20"/>
      <c r="DE2015" s="20"/>
      <c r="DF2015" s="20"/>
      <c r="DG2015" s="20"/>
      <c r="DH2015" s="20"/>
      <c r="DI2015" s="20"/>
      <c r="DJ2015" s="20"/>
      <c r="DK2015" s="20"/>
      <c r="DL2015" s="20"/>
      <c r="DM2015" s="20"/>
      <c r="DN2015" s="20"/>
      <c r="DO2015" s="20"/>
      <c r="DP2015" s="20"/>
      <c r="DQ2015" s="20"/>
      <c r="DR2015" s="20"/>
      <c r="DS2015" s="20"/>
      <c r="DT2015" s="20"/>
      <c r="DU2015" s="20"/>
      <c r="DV2015" s="20"/>
      <c r="DW2015" s="20"/>
      <c r="DX2015" s="20"/>
      <c r="DY2015" s="20"/>
      <c r="DZ2015" s="20"/>
      <c r="EA2015" s="20"/>
      <c r="EB2015" s="20"/>
      <c r="EC2015" s="20"/>
      <c r="ED2015" s="20"/>
      <c r="EE2015" s="20"/>
      <c r="EF2015" s="20"/>
      <c r="EG2015" s="20"/>
      <c r="EH2015" s="20"/>
      <c r="EI2015" s="20"/>
      <c r="EJ2015" s="20"/>
      <c r="EK2015" s="20"/>
      <c r="EL2015" s="20"/>
      <c r="EM2015" s="20"/>
      <c r="EN2015" s="20"/>
      <c r="EO2015" s="20"/>
      <c r="EP2015" s="20"/>
      <c r="EQ2015" s="20"/>
      <c r="ER2015" s="20"/>
      <c r="ES2015" s="20"/>
      <c r="ET2015" s="20"/>
      <c r="EU2015" s="20"/>
      <c r="EV2015" s="20"/>
      <c r="EW2015" s="20"/>
      <c r="EX2015" s="20"/>
      <c r="EY2015" s="20"/>
      <c r="EZ2015" s="20"/>
      <c r="FA2015" s="20"/>
      <c r="FB2015" s="20"/>
      <c r="FC2015" s="20"/>
      <c r="FD2015" s="20"/>
      <c r="FE2015" s="20"/>
      <c r="FF2015" s="20"/>
      <c r="FG2015" s="20"/>
      <c r="FH2015" s="20"/>
      <c r="FI2015" s="20"/>
      <c r="FJ2015" s="20"/>
      <c r="FK2015" s="20"/>
      <c r="FL2015" s="20"/>
      <c r="FM2015" s="20"/>
      <c r="FN2015" s="20"/>
      <c r="FO2015" s="20"/>
      <c r="FP2015" s="20"/>
      <c r="FQ2015" s="20"/>
      <c r="FR2015" s="20"/>
      <c r="FS2015" s="20"/>
      <c r="FT2015" s="20"/>
      <c r="FU2015" s="20"/>
      <c r="FV2015" s="20"/>
      <c r="FW2015" s="20"/>
      <c r="FX2015" s="20"/>
      <c r="FY2015" s="20"/>
      <c r="FZ2015" s="20"/>
      <c r="GA2015" s="20"/>
      <c r="GB2015" s="20"/>
      <c r="GC2015" s="20"/>
      <c r="GD2015" s="20"/>
      <c r="GE2015" s="20"/>
      <c r="GF2015" s="20"/>
      <c r="GG2015" s="20"/>
      <c r="GH2015" s="20"/>
      <c r="GI2015" s="20"/>
      <c r="GJ2015" s="20"/>
      <c r="GK2015" s="20"/>
      <c r="GL2015" s="20"/>
      <c r="GM2015" s="20"/>
      <c r="GN2015" s="20"/>
      <c r="GO2015" s="20"/>
      <c r="GP2015" s="20"/>
      <c r="GQ2015" s="20"/>
      <c r="GR2015" s="20"/>
      <c r="GS2015" s="20"/>
      <c r="GT2015" s="20"/>
      <c r="GU2015" s="20"/>
      <c r="GV2015" s="20"/>
      <c r="GW2015" s="20"/>
      <c r="GX2015" s="20"/>
      <c r="GY2015" s="20"/>
      <c r="GZ2015" s="20"/>
      <c r="HA2015" s="20"/>
      <c r="HB2015" s="20"/>
      <c r="HC2015" s="20"/>
      <c r="HD2015" s="20"/>
      <c r="HE2015" s="20"/>
      <c r="HF2015" s="20"/>
      <c r="HG2015" s="20"/>
      <c r="HH2015" s="20"/>
      <c r="HI2015" s="20"/>
      <c r="HJ2015" s="20"/>
      <c r="HK2015" s="20"/>
      <c r="HL2015" s="20"/>
      <c r="HM2015" s="20"/>
      <c r="HN2015" s="20"/>
      <c r="HO2015" s="20"/>
      <c r="HP2015" s="20"/>
      <c r="HQ2015" s="20"/>
      <c r="HR2015" s="20"/>
      <c r="HS2015" s="20"/>
      <c r="HT2015" s="20"/>
      <c r="HU2015" s="20"/>
      <c r="HV2015" s="20"/>
      <c r="HW2015" s="20"/>
      <c r="HX2015" s="20"/>
      <c r="HY2015" s="20"/>
      <c r="HZ2015" s="20"/>
      <c r="IA2015" s="20"/>
      <c r="IB2015" s="20"/>
      <c r="IC2015" s="20"/>
      <c r="ID2015" s="20"/>
      <c r="IE2015" s="20"/>
      <c r="IF2015" s="20"/>
      <c r="IG2015" s="20"/>
      <c r="IH2015" s="20"/>
      <c r="II2015" s="20"/>
      <c r="IJ2015" s="20"/>
      <c r="IK2015" s="20"/>
      <c r="IL2015" s="20"/>
      <c r="IM2015" s="20"/>
      <c r="IN2015" s="20"/>
      <c r="IO2015" s="20"/>
    </row>
    <row r="2016" spans="1:249" s="22" customFormat="1" ht="66">
      <c r="A2016" s="794"/>
      <c r="B2016" s="840"/>
      <c r="C2016" s="841">
        <v>4</v>
      </c>
      <c r="D2016" s="841" t="s">
        <v>34</v>
      </c>
      <c r="E2016" s="841" t="s">
        <v>25</v>
      </c>
      <c r="F2016" s="841" t="s">
        <v>1817</v>
      </c>
      <c r="G2016" s="841" t="s">
        <v>28</v>
      </c>
      <c r="H2016" s="841"/>
      <c r="I2016" s="6" t="s">
        <v>1933</v>
      </c>
      <c r="J2016" s="6" t="s">
        <v>1934</v>
      </c>
      <c r="K2016" s="1902">
        <f>4*6</f>
        <v>24</v>
      </c>
      <c r="L2016" s="1908">
        <v>1200000000</v>
      </c>
      <c r="M2016" s="1903">
        <f>8+4</f>
        <v>12</v>
      </c>
      <c r="N2016" s="1904">
        <f>135677700+178656404+135561632</f>
        <v>449895736</v>
      </c>
      <c r="O2016" s="1902">
        <v>4</v>
      </c>
      <c r="P2016" s="1905">
        <v>101486200</v>
      </c>
      <c r="Q2016" s="1903">
        <f>O2016/4</f>
        <v>1</v>
      </c>
      <c r="R2016" s="1904">
        <v>12004500</v>
      </c>
      <c r="S2016" s="795">
        <v>0.25</v>
      </c>
      <c r="T2016" s="1906">
        <v>42177250</v>
      </c>
      <c r="U2016" s="795"/>
      <c r="V2016" s="1906"/>
      <c r="W2016" s="795"/>
      <c r="X2016" s="1906"/>
      <c r="Y2016" s="1903">
        <f>Q2016+U2016+W2016</f>
        <v>1</v>
      </c>
      <c r="Z2016" s="1906">
        <f t="shared" si="590"/>
        <v>54181750</v>
      </c>
      <c r="AA2016" s="1903">
        <f t="shared" si="599"/>
        <v>13</v>
      </c>
      <c r="AB2016" s="1906">
        <f t="shared" si="595"/>
        <v>504077486</v>
      </c>
      <c r="AC2016" s="1907">
        <f t="shared" si="596"/>
        <v>54.166666666666664</v>
      </c>
      <c r="AD2016" s="1907">
        <f t="shared" si="591"/>
        <v>42.006457166666664</v>
      </c>
      <c r="AE2016" s="2604" t="s">
        <v>1996</v>
      </c>
      <c r="AF2016" s="201"/>
      <c r="AG2016" s="201"/>
      <c r="AH2016" s="201"/>
      <c r="AI2016" s="201"/>
      <c r="AJ2016" s="201"/>
      <c r="AK2016" s="201"/>
      <c r="AL2016" s="201"/>
      <c r="AM2016" s="201"/>
      <c r="AN2016" s="201"/>
      <c r="AO2016" s="201"/>
      <c r="AP2016" s="201"/>
      <c r="AQ2016" s="201"/>
      <c r="AR2016" s="201"/>
      <c r="AS2016" s="201"/>
      <c r="AT2016" s="201"/>
      <c r="AU2016" s="201"/>
      <c r="AV2016" s="201"/>
      <c r="AW2016" s="201"/>
      <c r="AX2016" s="201"/>
      <c r="AY2016" s="201"/>
      <c r="AZ2016" s="201"/>
      <c r="BA2016" s="201"/>
      <c r="BB2016" s="201"/>
      <c r="BC2016" s="20"/>
      <c r="BD2016" s="20"/>
      <c r="BE2016" s="20"/>
      <c r="BF2016" s="20"/>
      <c r="BG2016" s="20"/>
      <c r="BH2016" s="20"/>
      <c r="BI2016" s="20"/>
      <c r="BJ2016" s="20"/>
      <c r="BK2016" s="20"/>
      <c r="BL2016" s="20"/>
      <c r="BM2016" s="20"/>
      <c r="BN2016" s="20"/>
      <c r="BO2016" s="20"/>
      <c r="BP2016" s="20"/>
      <c r="BQ2016" s="20"/>
      <c r="BR2016" s="20"/>
      <c r="BS2016" s="20"/>
      <c r="BT2016" s="20"/>
      <c r="BU2016" s="20"/>
      <c r="BV2016" s="20"/>
      <c r="BW2016" s="20"/>
      <c r="BX2016" s="20"/>
      <c r="BY2016" s="20"/>
      <c r="BZ2016" s="20"/>
      <c r="CA2016" s="20"/>
      <c r="CB2016" s="20"/>
      <c r="CC2016" s="20"/>
      <c r="CD2016" s="20"/>
      <c r="CE2016" s="20"/>
      <c r="CF2016" s="20"/>
      <c r="CG2016" s="20"/>
      <c r="CH2016" s="20"/>
      <c r="CI2016" s="20"/>
      <c r="CJ2016" s="20"/>
      <c r="CK2016" s="20"/>
      <c r="CL2016" s="20"/>
      <c r="CM2016" s="20"/>
      <c r="CN2016" s="20"/>
      <c r="CO2016" s="20"/>
      <c r="CP2016" s="20"/>
      <c r="CQ2016" s="20"/>
      <c r="CR2016" s="20"/>
      <c r="CS2016" s="20"/>
      <c r="CT2016" s="20"/>
      <c r="CU2016" s="20"/>
      <c r="CV2016" s="20"/>
      <c r="CW2016" s="20"/>
      <c r="CX2016" s="20"/>
      <c r="CY2016" s="20"/>
      <c r="CZ2016" s="20"/>
      <c r="DA2016" s="20"/>
      <c r="DB2016" s="20"/>
      <c r="DC2016" s="20"/>
      <c r="DD2016" s="20"/>
      <c r="DE2016" s="20"/>
      <c r="DF2016" s="20"/>
      <c r="DG2016" s="20"/>
      <c r="DH2016" s="20"/>
      <c r="DI2016" s="20"/>
      <c r="DJ2016" s="20"/>
      <c r="DK2016" s="20"/>
      <c r="DL2016" s="20"/>
      <c r="DM2016" s="20"/>
      <c r="DN2016" s="20"/>
      <c r="DO2016" s="20"/>
      <c r="DP2016" s="20"/>
      <c r="DQ2016" s="20"/>
      <c r="DR2016" s="20"/>
      <c r="DS2016" s="20"/>
      <c r="DT2016" s="20"/>
      <c r="DU2016" s="20"/>
      <c r="DV2016" s="20"/>
      <c r="DW2016" s="20"/>
      <c r="DX2016" s="20"/>
      <c r="DY2016" s="20"/>
      <c r="DZ2016" s="20"/>
      <c r="EA2016" s="20"/>
      <c r="EB2016" s="20"/>
      <c r="EC2016" s="20"/>
      <c r="ED2016" s="20"/>
      <c r="EE2016" s="20"/>
      <c r="EF2016" s="20"/>
      <c r="EG2016" s="20"/>
      <c r="EH2016" s="20"/>
      <c r="EI2016" s="20"/>
      <c r="EJ2016" s="20"/>
      <c r="EK2016" s="20"/>
      <c r="EL2016" s="20"/>
      <c r="EM2016" s="20"/>
      <c r="EN2016" s="20"/>
      <c r="EO2016" s="20"/>
      <c r="EP2016" s="20"/>
      <c r="EQ2016" s="20"/>
      <c r="ER2016" s="20"/>
      <c r="ES2016" s="20"/>
      <c r="ET2016" s="20"/>
      <c r="EU2016" s="20"/>
      <c r="EV2016" s="20"/>
      <c r="EW2016" s="20"/>
      <c r="EX2016" s="20"/>
      <c r="EY2016" s="20"/>
      <c r="EZ2016" s="20"/>
      <c r="FA2016" s="20"/>
      <c r="FB2016" s="20"/>
      <c r="FC2016" s="20"/>
      <c r="FD2016" s="20"/>
      <c r="FE2016" s="20"/>
      <c r="FF2016" s="20"/>
      <c r="FG2016" s="20"/>
      <c r="FH2016" s="20"/>
      <c r="FI2016" s="20"/>
      <c r="FJ2016" s="20"/>
      <c r="FK2016" s="20"/>
      <c r="FL2016" s="20"/>
      <c r="FM2016" s="20"/>
      <c r="FN2016" s="20"/>
      <c r="FO2016" s="20"/>
      <c r="FP2016" s="20"/>
      <c r="FQ2016" s="20"/>
      <c r="FR2016" s="20"/>
      <c r="FS2016" s="20"/>
      <c r="FT2016" s="20"/>
      <c r="FU2016" s="20"/>
      <c r="FV2016" s="20"/>
      <c r="FW2016" s="20"/>
      <c r="FX2016" s="20"/>
      <c r="FY2016" s="20"/>
      <c r="FZ2016" s="20"/>
      <c r="GA2016" s="20"/>
      <c r="GB2016" s="20"/>
      <c r="GC2016" s="20"/>
      <c r="GD2016" s="20"/>
      <c r="GE2016" s="20"/>
      <c r="GF2016" s="20"/>
      <c r="GG2016" s="20"/>
      <c r="GH2016" s="20"/>
      <c r="GI2016" s="20"/>
      <c r="GJ2016" s="20"/>
      <c r="GK2016" s="20"/>
      <c r="GL2016" s="20"/>
      <c r="GM2016" s="20"/>
      <c r="GN2016" s="20"/>
      <c r="GO2016" s="20"/>
      <c r="GP2016" s="20"/>
      <c r="GQ2016" s="20"/>
      <c r="GR2016" s="20"/>
      <c r="GS2016" s="20"/>
      <c r="GT2016" s="20"/>
      <c r="GU2016" s="20"/>
      <c r="GV2016" s="20"/>
      <c r="GW2016" s="20"/>
      <c r="GX2016" s="20"/>
      <c r="GY2016" s="20"/>
      <c r="GZ2016" s="20"/>
      <c r="HA2016" s="20"/>
      <c r="HB2016" s="20"/>
      <c r="HC2016" s="20"/>
      <c r="HD2016" s="20"/>
      <c r="HE2016" s="20"/>
      <c r="HF2016" s="20"/>
      <c r="HG2016" s="20"/>
      <c r="HH2016" s="20"/>
      <c r="HI2016" s="20"/>
      <c r="HJ2016" s="20"/>
      <c r="HK2016" s="20"/>
      <c r="HL2016" s="20"/>
      <c r="HM2016" s="20"/>
      <c r="HN2016" s="20"/>
      <c r="HO2016" s="20"/>
      <c r="HP2016" s="20"/>
      <c r="HQ2016" s="20"/>
      <c r="HR2016" s="20"/>
      <c r="HS2016" s="20"/>
      <c r="HT2016" s="20"/>
      <c r="HU2016" s="20"/>
      <c r="HV2016" s="20"/>
      <c r="HW2016" s="20"/>
      <c r="HX2016" s="20"/>
      <c r="HY2016" s="20"/>
      <c r="HZ2016" s="20"/>
      <c r="IA2016" s="20"/>
      <c r="IB2016" s="20"/>
      <c r="IC2016" s="20"/>
      <c r="ID2016" s="20"/>
      <c r="IE2016" s="20"/>
      <c r="IF2016" s="20"/>
      <c r="IG2016" s="20"/>
      <c r="IH2016" s="20"/>
      <c r="II2016" s="20"/>
      <c r="IJ2016" s="20"/>
      <c r="IK2016" s="20"/>
      <c r="IL2016" s="20"/>
      <c r="IM2016" s="20"/>
      <c r="IN2016" s="20"/>
      <c r="IO2016" s="20"/>
    </row>
    <row r="2017" spans="1:249" s="22" customFormat="1" ht="66">
      <c r="A2017" s="794"/>
      <c r="B2017" s="840"/>
      <c r="C2017" s="841">
        <v>4</v>
      </c>
      <c r="D2017" s="841" t="s">
        <v>34</v>
      </c>
      <c r="E2017" s="841" t="s">
        <v>25</v>
      </c>
      <c r="F2017" s="841" t="s">
        <v>1817</v>
      </c>
      <c r="G2017" s="841" t="s">
        <v>39</v>
      </c>
      <c r="H2017" s="841"/>
      <c r="I2017" s="6" t="s">
        <v>1935</v>
      </c>
      <c r="J2017" s="6" t="s">
        <v>1936</v>
      </c>
      <c r="K2017" s="1928">
        <f>8*4+1</f>
        <v>33</v>
      </c>
      <c r="L2017" s="1908">
        <f>2*N2017</f>
        <v>252110192</v>
      </c>
      <c r="M2017" s="1903">
        <v>9</v>
      </c>
      <c r="N2017" s="1904">
        <f>78521841+47533255</f>
        <v>126055096</v>
      </c>
      <c r="O2017" s="1928">
        <v>8</v>
      </c>
      <c r="P2017" s="1905">
        <v>39112500</v>
      </c>
      <c r="Q2017" s="1903">
        <f>O2017/4</f>
        <v>2</v>
      </c>
      <c r="R2017" s="1904">
        <v>6524500</v>
      </c>
      <c r="S2017" s="795"/>
      <c r="T2017" s="1906"/>
      <c r="U2017" s="795"/>
      <c r="V2017" s="1906"/>
      <c r="W2017" s="795"/>
      <c r="X2017" s="1906"/>
      <c r="Y2017" s="1903">
        <f>U2017+Q2017+W2017</f>
        <v>2</v>
      </c>
      <c r="Z2017" s="1906">
        <f t="shared" si="590"/>
        <v>6524500</v>
      </c>
      <c r="AA2017" s="1903">
        <f t="shared" si="599"/>
        <v>11</v>
      </c>
      <c r="AB2017" s="1906">
        <f t="shared" si="595"/>
        <v>132579596</v>
      </c>
      <c r="AC2017" s="1907">
        <f t="shared" si="596"/>
        <v>33.333333333333329</v>
      </c>
      <c r="AD2017" s="1907">
        <f t="shared" si="591"/>
        <v>52.587955666623742</v>
      </c>
      <c r="AE2017" s="2604" t="s">
        <v>1996</v>
      </c>
      <c r="AF2017" s="201"/>
      <c r="AG2017" s="201"/>
      <c r="AH2017" s="201"/>
      <c r="AI2017" s="201"/>
      <c r="AJ2017" s="201"/>
      <c r="AK2017" s="201"/>
      <c r="AL2017" s="201"/>
      <c r="AM2017" s="201"/>
      <c r="AN2017" s="201"/>
      <c r="AO2017" s="201"/>
      <c r="AP2017" s="201"/>
      <c r="AQ2017" s="201"/>
      <c r="AR2017" s="201"/>
      <c r="AS2017" s="201"/>
      <c r="AT2017" s="201"/>
      <c r="AU2017" s="201"/>
      <c r="AV2017" s="201"/>
      <c r="AW2017" s="201"/>
      <c r="AX2017" s="201"/>
      <c r="AY2017" s="201"/>
      <c r="AZ2017" s="201"/>
      <c r="BA2017" s="201"/>
      <c r="BB2017" s="201"/>
      <c r="BC2017" s="20"/>
      <c r="BD2017" s="20"/>
      <c r="BE2017" s="20"/>
      <c r="BF2017" s="20"/>
      <c r="BG2017" s="20"/>
      <c r="BH2017" s="20"/>
      <c r="BI2017" s="20"/>
      <c r="BJ2017" s="20"/>
      <c r="BK2017" s="20"/>
      <c r="BL2017" s="20"/>
      <c r="BM2017" s="20"/>
      <c r="BN2017" s="20"/>
      <c r="BO2017" s="20"/>
      <c r="BP2017" s="20"/>
      <c r="BQ2017" s="20"/>
      <c r="BR2017" s="20"/>
      <c r="BS2017" s="20"/>
      <c r="BT2017" s="20"/>
      <c r="BU2017" s="20"/>
      <c r="BV2017" s="20"/>
      <c r="BW2017" s="20"/>
      <c r="BX2017" s="20"/>
      <c r="BY2017" s="20"/>
      <c r="BZ2017" s="20"/>
      <c r="CA2017" s="20"/>
      <c r="CB2017" s="20"/>
      <c r="CC2017" s="20"/>
      <c r="CD2017" s="20"/>
      <c r="CE2017" s="20"/>
      <c r="CF2017" s="20"/>
      <c r="CG2017" s="20"/>
      <c r="CH2017" s="20"/>
      <c r="CI2017" s="20"/>
      <c r="CJ2017" s="20"/>
      <c r="CK2017" s="20"/>
      <c r="CL2017" s="20"/>
      <c r="CM2017" s="20"/>
      <c r="CN2017" s="20"/>
      <c r="CO2017" s="20"/>
      <c r="CP2017" s="20"/>
      <c r="CQ2017" s="20"/>
      <c r="CR2017" s="20"/>
      <c r="CS2017" s="20"/>
      <c r="CT2017" s="20"/>
      <c r="CU2017" s="20"/>
      <c r="CV2017" s="20"/>
      <c r="CW2017" s="20"/>
      <c r="CX2017" s="20"/>
      <c r="CY2017" s="20"/>
      <c r="CZ2017" s="20"/>
      <c r="DA2017" s="20"/>
      <c r="DB2017" s="20"/>
      <c r="DC2017" s="20"/>
      <c r="DD2017" s="20"/>
      <c r="DE2017" s="20"/>
      <c r="DF2017" s="20"/>
      <c r="DG2017" s="20"/>
      <c r="DH2017" s="20"/>
      <c r="DI2017" s="20"/>
      <c r="DJ2017" s="20"/>
      <c r="DK2017" s="20"/>
      <c r="DL2017" s="20"/>
      <c r="DM2017" s="20"/>
      <c r="DN2017" s="20"/>
      <c r="DO2017" s="20"/>
      <c r="DP2017" s="20"/>
      <c r="DQ2017" s="20"/>
      <c r="DR2017" s="20"/>
      <c r="DS2017" s="20"/>
      <c r="DT2017" s="20"/>
      <c r="DU2017" s="20"/>
      <c r="DV2017" s="20"/>
      <c r="DW2017" s="20"/>
      <c r="DX2017" s="20"/>
      <c r="DY2017" s="20"/>
      <c r="DZ2017" s="20"/>
      <c r="EA2017" s="20"/>
      <c r="EB2017" s="20"/>
      <c r="EC2017" s="20"/>
      <c r="ED2017" s="20"/>
      <c r="EE2017" s="20"/>
      <c r="EF2017" s="20"/>
      <c r="EG2017" s="20"/>
      <c r="EH2017" s="20"/>
      <c r="EI2017" s="20"/>
      <c r="EJ2017" s="20"/>
      <c r="EK2017" s="20"/>
      <c r="EL2017" s="20"/>
      <c r="EM2017" s="20"/>
      <c r="EN2017" s="20"/>
      <c r="EO2017" s="20"/>
      <c r="EP2017" s="20"/>
      <c r="EQ2017" s="20"/>
      <c r="ER2017" s="20"/>
      <c r="ES2017" s="20"/>
      <c r="ET2017" s="20"/>
      <c r="EU2017" s="20"/>
      <c r="EV2017" s="20"/>
      <c r="EW2017" s="20"/>
      <c r="EX2017" s="20"/>
      <c r="EY2017" s="20"/>
      <c r="EZ2017" s="20"/>
      <c r="FA2017" s="20"/>
      <c r="FB2017" s="20"/>
      <c r="FC2017" s="20"/>
      <c r="FD2017" s="20"/>
      <c r="FE2017" s="20"/>
      <c r="FF2017" s="20"/>
      <c r="FG2017" s="20"/>
      <c r="FH2017" s="20"/>
      <c r="FI2017" s="20"/>
      <c r="FJ2017" s="20"/>
      <c r="FK2017" s="20"/>
      <c r="FL2017" s="20"/>
      <c r="FM2017" s="20"/>
      <c r="FN2017" s="20"/>
      <c r="FO2017" s="20"/>
      <c r="FP2017" s="20"/>
      <c r="FQ2017" s="20"/>
      <c r="FR2017" s="20"/>
      <c r="FS2017" s="20"/>
      <c r="FT2017" s="20"/>
      <c r="FU2017" s="20"/>
      <c r="FV2017" s="20"/>
      <c r="FW2017" s="20"/>
      <c r="FX2017" s="20"/>
      <c r="FY2017" s="20"/>
      <c r="FZ2017" s="20"/>
      <c r="GA2017" s="20"/>
      <c r="GB2017" s="20"/>
      <c r="GC2017" s="20"/>
      <c r="GD2017" s="20"/>
      <c r="GE2017" s="20"/>
      <c r="GF2017" s="20"/>
      <c r="GG2017" s="20"/>
      <c r="GH2017" s="20"/>
      <c r="GI2017" s="20"/>
      <c r="GJ2017" s="20"/>
      <c r="GK2017" s="20"/>
      <c r="GL2017" s="20"/>
      <c r="GM2017" s="20"/>
      <c r="GN2017" s="20"/>
      <c r="GO2017" s="20"/>
      <c r="GP2017" s="20"/>
      <c r="GQ2017" s="20"/>
      <c r="GR2017" s="20"/>
      <c r="GS2017" s="20"/>
      <c r="GT2017" s="20"/>
      <c r="GU2017" s="20"/>
      <c r="GV2017" s="20"/>
      <c r="GW2017" s="20"/>
      <c r="GX2017" s="20"/>
      <c r="GY2017" s="20"/>
      <c r="GZ2017" s="20"/>
      <c r="HA2017" s="20"/>
      <c r="HB2017" s="20"/>
      <c r="HC2017" s="20"/>
      <c r="HD2017" s="20"/>
      <c r="HE2017" s="20"/>
      <c r="HF2017" s="20"/>
      <c r="HG2017" s="20"/>
      <c r="HH2017" s="20"/>
      <c r="HI2017" s="20"/>
      <c r="HJ2017" s="20"/>
      <c r="HK2017" s="20"/>
      <c r="HL2017" s="20"/>
      <c r="HM2017" s="20"/>
      <c r="HN2017" s="20"/>
      <c r="HO2017" s="20"/>
      <c r="HP2017" s="20"/>
      <c r="HQ2017" s="20"/>
      <c r="HR2017" s="20"/>
      <c r="HS2017" s="20"/>
      <c r="HT2017" s="20"/>
      <c r="HU2017" s="20"/>
      <c r="HV2017" s="20"/>
      <c r="HW2017" s="20"/>
      <c r="HX2017" s="20"/>
      <c r="HY2017" s="20"/>
      <c r="HZ2017" s="20"/>
      <c r="IA2017" s="20"/>
      <c r="IB2017" s="20"/>
      <c r="IC2017" s="20"/>
      <c r="ID2017" s="20"/>
      <c r="IE2017" s="20"/>
      <c r="IF2017" s="20"/>
      <c r="IG2017" s="20"/>
      <c r="IH2017" s="20"/>
      <c r="II2017" s="20"/>
      <c r="IJ2017" s="20"/>
      <c r="IK2017" s="20"/>
      <c r="IL2017" s="20"/>
      <c r="IM2017" s="20"/>
      <c r="IN2017" s="20"/>
      <c r="IO2017" s="20"/>
    </row>
    <row r="2018" spans="1:249" s="22" customFormat="1" ht="66">
      <c r="A2018" s="794"/>
      <c r="B2018" s="840"/>
      <c r="C2018" s="841">
        <v>4</v>
      </c>
      <c r="D2018" s="841" t="s">
        <v>34</v>
      </c>
      <c r="E2018" s="841" t="s">
        <v>25</v>
      </c>
      <c r="F2018" s="841" t="s">
        <v>1817</v>
      </c>
      <c r="G2018" s="841" t="s">
        <v>78</v>
      </c>
      <c r="H2018" s="841"/>
      <c r="I2018" s="6" t="s">
        <v>1937</v>
      </c>
      <c r="J2018" s="6" t="s">
        <v>1938</v>
      </c>
      <c r="K2018" s="1902">
        <v>12</v>
      </c>
      <c r="L2018" s="1908">
        <v>550000000</v>
      </c>
      <c r="M2018" s="1903">
        <v>3</v>
      </c>
      <c r="N2018" s="1905">
        <v>38073934</v>
      </c>
      <c r="O2018" s="1902">
        <v>3</v>
      </c>
      <c r="P2018" s="1905">
        <v>41662500</v>
      </c>
      <c r="Q2018" s="1903">
        <v>1</v>
      </c>
      <c r="R2018" s="1904">
        <v>2823300</v>
      </c>
      <c r="S2018" s="795"/>
      <c r="T2018" s="207"/>
      <c r="U2018" s="795"/>
      <c r="V2018" s="1906"/>
      <c r="W2018" s="795"/>
      <c r="X2018" s="1906"/>
      <c r="Y2018" s="1903">
        <f>Q2018+S2018+W2018</f>
        <v>1</v>
      </c>
      <c r="Z2018" s="1906">
        <f t="shared" si="590"/>
        <v>2823300</v>
      </c>
      <c r="AA2018" s="1903">
        <f t="shared" si="599"/>
        <v>4</v>
      </c>
      <c r="AB2018" s="1906">
        <f t="shared" si="595"/>
        <v>40897234</v>
      </c>
      <c r="AC2018" s="1907">
        <f t="shared" si="596"/>
        <v>33.333333333333329</v>
      </c>
      <c r="AD2018" s="1907">
        <f t="shared" si="591"/>
        <v>7.4358607272727282</v>
      </c>
      <c r="AE2018" s="2604" t="s">
        <v>1996</v>
      </c>
      <c r="AF2018" s="201"/>
      <c r="AG2018" s="201"/>
      <c r="AH2018" s="201"/>
      <c r="AI2018" s="201"/>
      <c r="AJ2018" s="201"/>
      <c r="AK2018" s="201"/>
      <c r="AL2018" s="201"/>
      <c r="AM2018" s="201"/>
      <c r="AN2018" s="201"/>
      <c r="AO2018" s="201"/>
      <c r="AP2018" s="201"/>
      <c r="AQ2018" s="201"/>
      <c r="AR2018" s="201"/>
      <c r="AS2018" s="201"/>
      <c r="AT2018" s="201"/>
      <c r="AU2018" s="201"/>
      <c r="AV2018" s="201"/>
      <c r="AW2018" s="201"/>
      <c r="AX2018" s="201"/>
      <c r="AY2018" s="201"/>
      <c r="AZ2018" s="201"/>
      <c r="BA2018" s="201"/>
      <c r="BB2018" s="201"/>
      <c r="BC2018" s="20"/>
      <c r="BD2018" s="20"/>
      <c r="BE2018" s="20"/>
      <c r="BF2018" s="20"/>
      <c r="BG2018" s="20"/>
      <c r="BH2018" s="20"/>
      <c r="BI2018" s="20"/>
      <c r="BJ2018" s="20"/>
      <c r="BK2018" s="20"/>
      <c r="BL2018" s="20"/>
      <c r="BM2018" s="20"/>
      <c r="BN2018" s="20"/>
      <c r="BO2018" s="20"/>
      <c r="BP2018" s="20"/>
      <c r="BQ2018" s="20"/>
      <c r="BR2018" s="20"/>
      <c r="BS2018" s="20"/>
      <c r="BT2018" s="20"/>
      <c r="BU2018" s="20"/>
      <c r="BV2018" s="20"/>
      <c r="BW2018" s="20"/>
      <c r="BX2018" s="20"/>
      <c r="BY2018" s="20"/>
      <c r="BZ2018" s="20"/>
      <c r="CA2018" s="20"/>
      <c r="CB2018" s="20"/>
      <c r="CC2018" s="20"/>
      <c r="CD2018" s="20"/>
      <c r="CE2018" s="20"/>
      <c r="CF2018" s="20"/>
      <c r="CG2018" s="20"/>
      <c r="CH2018" s="20"/>
      <c r="CI2018" s="20"/>
      <c r="CJ2018" s="20"/>
      <c r="CK2018" s="20"/>
      <c r="CL2018" s="20"/>
      <c r="CM2018" s="20"/>
      <c r="CN2018" s="20"/>
      <c r="CO2018" s="20"/>
      <c r="CP2018" s="20"/>
      <c r="CQ2018" s="20"/>
      <c r="CR2018" s="20"/>
      <c r="CS2018" s="20"/>
      <c r="CT2018" s="20"/>
      <c r="CU2018" s="20"/>
      <c r="CV2018" s="20"/>
      <c r="CW2018" s="20"/>
      <c r="CX2018" s="20"/>
      <c r="CY2018" s="20"/>
      <c r="CZ2018" s="20"/>
      <c r="DA2018" s="20"/>
      <c r="DB2018" s="20"/>
      <c r="DC2018" s="20"/>
      <c r="DD2018" s="20"/>
      <c r="DE2018" s="20"/>
      <c r="DF2018" s="20"/>
      <c r="DG2018" s="20"/>
      <c r="DH2018" s="20"/>
      <c r="DI2018" s="20"/>
      <c r="DJ2018" s="20"/>
      <c r="DK2018" s="20"/>
      <c r="DL2018" s="20"/>
      <c r="DM2018" s="20"/>
      <c r="DN2018" s="20"/>
      <c r="DO2018" s="20"/>
      <c r="DP2018" s="20"/>
      <c r="DQ2018" s="20"/>
      <c r="DR2018" s="20"/>
      <c r="DS2018" s="20"/>
      <c r="DT2018" s="20"/>
      <c r="DU2018" s="20"/>
      <c r="DV2018" s="20"/>
      <c r="DW2018" s="20"/>
      <c r="DX2018" s="20"/>
      <c r="DY2018" s="20"/>
      <c r="DZ2018" s="20"/>
      <c r="EA2018" s="20"/>
      <c r="EB2018" s="20"/>
      <c r="EC2018" s="20"/>
      <c r="ED2018" s="20"/>
      <c r="EE2018" s="20"/>
      <c r="EF2018" s="20"/>
      <c r="EG2018" s="20"/>
      <c r="EH2018" s="20"/>
      <c r="EI2018" s="20"/>
      <c r="EJ2018" s="20"/>
      <c r="EK2018" s="20"/>
      <c r="EL2018" s="20"/>
      <c r="EM2018" s="20"/>
      <c r="EN2018" s="20"/>
      <c r="EO2018" s="20"/>
      <c r="EP2018" s="20"/>
      <c r="EQ2018" s="20"/>
      <c r="ER2018" s="20"/>
      <c r="ES2018" s="20"/>
      <c r="ET2018" s="20"/>
      <c r="EU2018" s="20"/>
      <c r="EV2018" s="20"/>
      <c r="EW2018" s="20"/>
      <c r="EX2018" s="20"/>
      <c r="EY2018" s="20"/>
      <c r="EZ2018" s="20"/>
      <c r="FA2018" s="20"/>
      <c r="FB2018" s="20"/>
      <c r="FC2018" s="20"/>
      <c r="FD2018" s="20"/>
      <c r="FE2018" s="20"/>
      <c r="FF2018" s="20"/>
      <c r="FG2018" s="20"/>
      <c r="FH2018" s="20"/>
      <c r="FI2018" s="20"/>
      <c r="FJ2018" s="20"/>
      <c r="FK2018" s="20"/>
      <c r="FL2018" s="20"/>
      <c r="FM2018" s="20"/>
      <c r="FN2018" s="20"/>
      <c r="FO2018" s="20"/>
      <c r="FP2018" s="20"/>
      <c r="FQ2018" s="20"/>
      <c r="FR2018" s="20"/>
      <c r="FS2018" s="20"/>
      <c r="FT2018" s="20"/>
      <c r="FU2018" s="20"/>
      <c r="FV2018" s="20"/>
      <c r="FW2018" s="20"/>
      <c r="FX2018" s="20"/>
      <c r="FY2018" s="20"/>
      <c r="FZ2018" s="20"/>
      <c r="GA2018" s="20"/>
      <c r="GB2018" s="20"/>
      <c r="GC2018" s="20"/>
      <c r="GD2018" s="20"/>
      <c r="GE2018" s="20"/>
      <c r="GF2018" s="20"/>
      <c r="GG2018" s="20"/>
      <c r="GH2018" s="20"/>
      <c r="GI2018" s="20"/>
      <c r="GJ2018" s="20"/>
      <c r="GK2018" s="20"/>
      <c r="GL2018" s="20"/>
      <c r="GM2018" s="20"/>
      <c r="GN2018" s="20"/>
      <c r="GO2018" s="20"/>
      <c r="GP2018" s="20"/>
      <c r="GQ2018" s="20"/>
      <c r="GR2018" s="20"/>
      <c r="GS2018" s="20"/>
      <c r="GT2018" s="20"/>
      <c r="GU2018" s="20"/>
      <c r="GV2018" s="20"/>
      <c r="GW2018" s="20"/>
      <c r="GX2018" s="20"/>
      <c r="GY2018" s="20"/>
      <c r="GZ2018" s="20"/>
      <c r="HA2018" s="20"/>
      <c r="HB2018" s="20"/>
      <c r="HC2018" s="20"/>
      <c r="HD2018" s="20"/>
      <c r="HE2018" s="20"/>
      <c r="HF2018" s="20"/>
      <c r="HG2018" s="20"/>
      <c r="HH2018" s="20"/>
      <c r="HI2018" s="20"/>
      <c r="HJ2018" s="20"/>
      <c r="HK2018" s="20"/>
      <c r="HL2018" s="20"/>
      <c r="HM2018" s="20"/>
      <c r="HN2018" s="20"/>
      <c r="HO2018" s="20"/>
      <c r="HP2018" s="20"/>
      <c r="HQ2018" s="20"/>
      <c r="HR2018" s="20"/>
      <c r="HS2018" s="20"/>
      <c r="HT2018" s="20"/>
      <c r="HU2018" s="20"/>
      <c r="HV2018" s="20"/>
      <c r="HW2018" s="20"/>
      <c r="HX2018" s="20"/>
      <c r="HY2018" s="20"/>
      <c r="HZ2018" s="20"/>
      <c r="IA2018" s="20"/>
      <c r="IB2018" s="20"/>
      <c r="IC2018" s="20"/>
      <c r="ID2018" s="20"/>
      <c r="IE2018" s="20"/>
      <c r="IF2018" s="20"/>
      <c r="IG2018" s="20"/>
      <c r="IH2018" s="20"/>
      <c r="II2018" s="20"/>
      <c r="IJ2018" s="20"/>
      <c r="IK2018" s="20"/>
      <c r="IL2018" s="20"/>
      <c r="IM2018" s="20"/>
      <c r="IN2018" s="20"/>
      <c r="IO2018" s="20"/>
    </row>
    <row r="2019" spans="1:249" s="22" customFormat="1" ht="66">
      <c r="A2019" s="794"/>
      <c r="B2019" s="840"/>
      <c r="C2019" s="841">
        <v>4</v>
      </c>
      <c r="D2019" s="841" t="s">
        <v>34</v>
      </c>
      <c r="E2019" s="841" t="s">
        <v>25</v>
      </c>
      <c r="F2019" s="841" t="s">
        <v>1817</v>
      </c>
      <c r="G2019" s="841" t="s">
        <v>38</v>
      </c>
      <c r="H2019" s="841"/>
      <c r="I2019" s="6" t="s">
        <v>1939</v>
      </c>
      <c r="J2019" s="6" t="s">
        <v>1940</v>
      </c>
      <c r="K2019" s="1902">
        <v>150</v>
      </c>
      <c r="L2019" s="1908">
        <v>520000000</v>
      </c>
      <c r="M2019" s="1903">
        <v>45</v>
      </c>
      <c r="N2019" s="1905">
        <v>129443279</v>
      </c>
      <c r="O2019" s="1902">
        <v>45</v>
      </c>
      <c r="P2019" s="1905">
        <v>44635000</v>
      </c>
      <c r="Q2019" s="1903">
        <v>11</v>
      </c>
      <c r="R2019" s="1904">
        <v>5055300</v>
      </c>
      <c r="S2019" s="795">
        <v>0.5</v>
      </c>
      <c r="T2019" s="207">
        <v>14510000</v>
      </c>
      <c r="U2019" s="795"/>
      <c r="V2019" s="1906"/>
      <c r="W2019" s="795"/>
      <c r="X2019" s="1906"/>
      <c r="Y2019" s="1903">
        <f>Q2019+S2019</f>
        <v>11.5</v>
      </c>
      <c r="Z2019" s="1906">
        <f t="shared" si="590"/>
        <v>19565300</v>
      </c>
      <c r="AA2019" s="1903">
        <f t="shared" si="599"/>
        <v>56.5</v>
      </c>
      <c r="AB2019" s="1906">
        <f t="shared" si="595"/>
        <v>149008579</v>
      </c>
      <c r="AC2019" s="1907">
        <f t="shared" si="596"/>
        <v>37.666666666666664</v>
      </c>
      <c r="AD2019" s="1907">
        <f t="shared" si="591"/>
        <v>28.655495961538463</v>
      </c>
      <c r="AE2019" s="2604" t="s">
        <v>1996</v>
      </c>
      <c r="AF2019" s="201"/>
      <c r="AG2019" s="201"/>
      <c r="AH2019" s="201"/>
      <c r="AI2019" s="201"/>
      <c r="AJ2019" s="201"/>
      <c r="AK2019" s="201"/>
      <c r="AL2019" s="201"/>
      <c r="AM2019" s="201"/>
      <c r="AN2019" s="201"/>
      <c r="AO2019" s="201"/>
      <c r="AP2019" s="201"/>
      <c r="AQ2019" s="201"/>
      <c r="AR2019" s="201"/>
      <c r="AS2019" s="201"/>
      <c r="AT2019" s="201"/>
      <c r="AU2019" s="201"/>
      <c r="AV2019" s="201"/>
      <c r="AW2019" s="201"/>
      <c r="AX2019" s="201"/>
      <c r="AY2019" s="201"/>
      <c r="AZ2019" s="201"/>
      <c r="BA2019" s="201"/>
      <c r="BB2019" s="201"/>
      <c r="BC2019" s="20"/>
      <c r="BD2019" s="20"/>
      <c r="BE2019" s="20"/>
      <c r="BF2019" s="20"/>
      <c r="BG2019" s="20"/>
      <c r="BH2019" s="20"/>
      <c r="BI2019" s="20"/>
      <c r="BJ2019" s="20"/>
      <c r="BK2019" s="20"/>
      <c r="BL2019" s="20"/>
      <c r="BM2019" s="20"/>
      <c r="BN2019" s="20"/>
      <c r="BO2019" s="20"/>
      <c r="BP2019" s="20"/>
      <c r="BQ2019" s="20"/>
      <c r="BR2019" s="20"/>
      <c r="BS2019" s="20"/>
      <c r="BT2019" s="20"/>
      <c r="BU2019" s="20"/>
      <c r="BV2019" s="20"/>
      <c r="BW2019" s="20"/>
      <c r="BX2019" s="20"/>
      <c r="BY2019" s="20"/>
      <c r="BZ2019" s="20"/>
      <c r="CA2019" s="20"/>
      <c r="CB2019" s="20"/>
      <c r="CC2019" s="20"/>
      <c r="CD2019" s="20"/>
      <c r="CE2019" s="20"/>
      <c r="CF2019" s="20"/>
      <c r="CG2019" s="20"/>
      <c r="CH2019" s="20"/>
      <c r="CI2019" s="20"/>
      <c r="CJ2019" s="20"/>
      <c r="CK2019" s="20"/>
      <c r="CL2019" s="20"/>
      <c r="CM2019" s="20"/>
      <c r="CN2019" s="20"/>
      <c r="CO2019" s="20"/>
      <c r="CP2019" s="20"/>
      <c r="CQ2019" s="20"/>
      <c r="CR2019" s="20"/>
      <c r="CS2019" s="20"/>
      <c r="CT2019" s="20"/>
      <c r="CU2019" s="20"/>
      <c r="CV2019" s="20"/>
      <c r="CW2019" s="20"/>
      <c r="CX2019" s="20"/>
      <c r="CY2019" s="20"/>
      <c r="CZ2019" s="20"/>
      <c r="DA2019" s="20"/>
      <c r="DB2019" s="20"/>
      <c r="DC2019" s="20"/>
      <c r="DD2019" s="20"/>
      <c r="DE2019" s="20"/>
      <c r="DF2019" s="20"/>
      <c r="DG2019" s="20"/>
      <c r="DH2019" s="20"/>
      <c r="DI2019" s="20"/>
      <c r="DJ2019" s="20"/>
      <c r="DK2019" s="20"/>
      <c r="DL2019" s="20"/>
      <c r="DM2019" s="20"/>
      <c r="DN2019" s="20"/>
      <c r="DO2019" s="20"/>
      <c r="DP2019" s="20"/>
      <c r="DQ2019" s="20"/>
      <c r="DR2019" s="20"/>
      <c r="DS2019" s="20"/>
      <c r="DT2019" s="20"/>
      <c r="DU2019" s="20"/>
      <c r="DV2019" s="20"/>
      <c r="DW2019" s="20"/>
      <c r="DX2019" s="20"/>
      <c r="DY2019" s="20"/>
      <c r="DZ2019" s="20"/>
      <c r="EA2019" s="20"/>
      <c r="EB2019" s="20"/>
      <c r="EC2019" s="20"/>
      <c r="ED2019" s="20"/>
      <c r="EE2019" s="20"/>
      <c r="EF2019" s="20"/>
      <c r="EG2019" s="20"/>
      <c r="EH2019" s="20"/>
      <c r="EI2019" s="20"/>
      <c r="EJ2019" s="20"/>
      <c r="EK2019" s="20"/>
      <c r="EL2019" s="20"/>
      <c r="EM2019" s="20"/>
      <c r="EN2019" s="20"/>
      <c r="EO2019" s="20"/>
      <c r="EP2019" s="20"/>
      <c r="EQ2019" s="20"/>
      <c r="ER2019" s="20"/>
      <c r="ES2019" s="20"/>
      <c r="ET2019" s="20"/>
      <c r="EU2019" s="20"/>
      <c r="EV2019" s="20"/>
      <c r="EW2019" s="20"/>
      <c r="EX2019" s="20"/>
      <c r="EY2019" s="20"/>
      <c r="EZ2019" s="20"/>
      <c r="FA2019" s="20"/>
      <c r="FB2019" s="20"/>
      <c r="FC2019" s="20"/>
      <c r="FD2019" s="20"/>
      <c r="FE2019" s="20"/>
      <c r="FF2019" s="20"/>
      <c r="FG2019" s="20"/>
      <c r="FH2019" s="20"/>
      <c r="FI2019" s="20"/>
      <c r="FJ2019" s="20"/>
      <c r="FK2019" s="20"/>
      <c r="FL2019" s="20"/>
      <c r="FM2019" s="20"/>
      <c r="FN2019" s="20"/>
      <c r="FO2019" s="20"/>
      <c r="FP2019" s="20"/>
      <c r="FQ2019" s="20"/>
      <c r="FR2019" s="20"/>
      <c r="FS2019" s="20"/>
      <c r="FT2019" s="20"/>
      <c r="FU2019" s="20"/>
      <c r="FV2019" s="20"/>
      <c r="FW2019" s="20"/>
      <c r="FX2019" s="20"/>
      <c r="FY2019" s="20"/>
      <c r="FZ2019" s="20"/>
      <c r="GA2019" s="20"/>
      <c r="GB2019" s="20"/>
      <c r="GC2019" s="20"/>
      <c r="GD2019" s="20"/>
      <c r="GE2019" s="20"/>
      <c r="GF2019" s="20"/>
      <c r="GG2019" s="20"/>
      <c r="GH2019" s="20"/>
      <c r="GI2019" s="20"/>
      <c r="GJ2019" s="20"/>
      <c r="GK2019" s="20"/>
      <c r="GL2019" s="20"/>
      <c r="GM2019" s="20"/>
      <c r="GN2019" s="20"/>
      <c r="GO2019" s="20"/>
      <c r="GP2019" s="20"/>
      <c r="GQ2019" s="20"/>
      <c r="GR2019" s="20"/>
      <c r="GS2019" s="20"/>
      <c r="GT2019" s="20"/>
      <c r="GU2019" s="20"/>
      <c r="GV2019" s="20"/>
      <c r="GW2019" s="20"/>
      <c r="GX2019" s="20"/>
      <c r="GY2019" s="20"/>
      <c r="GZ2019" s="20"/>
      <c r="HA2019" s="20"/>
      <c r="HB2019" s="20"/>
      <c r="HC2019" s="20"/>
      <c r="HD2019" s="20"/>
      <c r="HE2019" s="20"/>
      <c r="HF2019" s="20"/>
      <c r="HG2019" s="20"/>
      <c r="HH2019" s="20"/>
      <c r="HI2019" s="20"/>
      <c r="HJ2019" s="20"/>
      <c r="HK2019" s="20"/>
      <c r="HL2019" s="20"/>
      <c r="HM2019" s="20"/>
      <c r="HN2019" s="20"/>
      <c r="HO2019" s="20"/>
      <c r="HP2019" s="20"/>
      <c r="HQ2019" s="20"/>
      <c r="HR2019" s="20"/>
      <c r="HS2019" s="20"/>
      <c r="HT2019" s="20"/>
      <c r="HU2019" s="20"/>
      <c r="HV2019" s="20"/>
      <c r="HW2019" s="20"/>
      <c r="HX2019" s="20"/>
      <c r="HY2019" s="20"/>
      <c r="HZ2019" s="20"/>
      <c r="IA2019" s="20"/>
      <c r="IB2019" s="20"/>
      <c r="IC2019" s="20"/>
      <c r="ID2019" s="20"/>
      <c r="IE2019" s="20"/>
      <c r="IF2019" s="20"/>
      <c r="IG2019" s="20"/>
      <c r="IH2019" s="20"/>
      <c r="II2019" s="20"/>
      <c r="IJ2019" s="20"/>
      <c r="IK2019" s="20"/>
      <c r="IL2019" s="20"/>
      <c r="IM2019" s="20"/>
      <c r="IN2019" s="20"/>
      <c r="IO2019" s="20"/>
    </row>
    <row r="2020" spans="1:249" s="22" customFormat="1" ht="66">
      <c r="A2020" s="794"/>
      <c r="B2020" s="840"/>
      <c r="C2020" s="841">
        <v>4</v>
      </c>
      <c r="D2020" s="841" t="s">
        <v>34</v>
      </c>
      <c r="E2020" s="841" t="s">
        <v>25</v>
      </c>
      <c r="F2020" s="841" t="s">
        <v>1817</v>
      </c>
      <c r="G2020" s="841" t="s">
        <v>30</v>
      </c>
      <c r="H2020" s="841"/>
      <c r="I2020" s="6" t="s">
        <v>1941</v>
      </c>
      <c r="J2020" s="6" t="s">
        <v>3408</v>
      </c>
      <c r="K2020" s="1902">
        <v>5</v>
      </c>
      <c r="L2020" s="1908">
        <v>495000000</v>
      </c>
      <c r="M2020" s="1903">
        <v>2</v>
      </c>
      <c r="N2020" s="1904">
        <f>129120950+46093669</f>
        <v>175214619</v>
      </c>
      <c r="O2020" s="1902">
        <v>1</v>
      </c>
      <c r="P2020" s="1905">
        <v>41466380</v>
      </c>
      <c r="Q2020" s="1903"/>
      <c r="R2020" s="1904">
        <v>0</v>
      </c>
      <c r="S2020" s="795"/>
      <c r="T2020" s="207"/>
      <c r="U2020" s="795"/>
      <c r="V2020" s="1906"/>
      <c r="W2020" s="795"/>
      <c r="X2020" s="1906"/>
      <c r="Y2020" s="1903">
        <v>1</v>
      </c>
      <c r="Z2020" s="1906">
        <f t="shared" si="590"/>
        <v>0</v>
      </c>
      <c r="AA2020" s="1903">
        <f t="shared" si="599"/>
        <v>3</v>
      </c>
      <c r="AB2020" s="1906">
        <f t="shared" si="595"/>
        <v>175214619</v>
      </c>
      <c r="AC2020" s="1907">
        <f t="shared" si="596"/>
        <v>60</v>
      </c>
      <c r="AD2020" s="1907">
        <f t="shared" si="591"/>
        <v>35.396892727272729</v>
      </c>
      <c r="AE2020" s="2604" t="s">
        <v>1996</v>
      </c>
      <c r="AF2020" s="201"/>
      <c r="AG2020" s="201"/>
      <c r="AH2020" s="201"/>
      <c r="AI2020" s="201"/>
      <c r="AJ2020" s="201"/>
      <c r="AK2020" s="201"/>
      <c r="AL2020" s="201"/>
      <c r="AM2020" s="201"/>
      <c r="AN2020" s="201"/>
      <c r="AO2020" s="201"/>
      <c r="AP2020" s="201"/>
      <c r="AQ2020" s="201"/>
      <c r="AR2020" s="201"/>
      <c r="AS2020" s="201"/>
      <c r="AT2020" s="201"/>
      <c r="AU2020" s="201"/>
      <c r="AV2020" s="201"/>
      <c r="AW2020" s="201"/>
      <c r="AX2020" s="201"/>
      <c r="AY2020" s="201"/>
      <c r="AZ2020" s="201"/>
      <c r="BA2020" s="201"/>
      <c r="BB2020" s="201"/>
      <c r="BC2020" s="20"/>
      <c r="BD2020" s="20"/>
      <c r="BE2020" s="20"/>
      <c r="BF2020" s="20"/>
      <c r="BG2020" s="20"/>
      <c r="BH2020" s="20"/>
      <c r="BI2020" s="20"/>
      <c r="BJ2020" s="20"/>
      <c r="BK2020" s="20"/>
      <c r="BL2020" s="20"/>
      <c r="BM2020" s="20"/>
      <c r="BN2020" s="20"/>
      <c r="BO2020" s="20"/>
      <c r="BP2020" s="20"/>
      <c r="BQ2020" s="20"/>
      <c r="BR2020" s="20"/>
      <c r="BS2020" s="20"/>
      <c r="BT2020" s="20"/>
      <c r="BU2020" s="20"/>
      <c r="BV2020" s="20"/>
      <c r="BW2020" s="20"/>
      <c r="BX2020" s="20"/>
      <c r="BY2020" s="20"/>
      <c r="BZ2020" s="20"/>
      <c r="CA2020" s="20"/>
      <c r="CB2020" s="20"/>
      <c r="CC2020" s="20"/>
      <c r="CD2020" s="20"/>
      <c r="CE2020" s="20"/>
      <c r="CF2020" s="20"/>
      <c r="CG2020" s="20"/>
      <c r="CH2020" s="20"/>
      <c r="CI2020" s="20"/>
      <c r="CJ2020" s="20"/>
      <c r="CK2020" s="20"/>
      <c r="CL2020" s="20"/>
      <c r="CM2020" s="20"/>
      <c r="CN2020" s="20"/>
      <c r="CO2020" s="20"/>
      <c r="CP2020" s="20"/>
      <c r="CQ2020" s="20"/>
      <c r="CR2020" s="20"/>
      <c r="CS2020" s="20"/>
      <c r="CT2020" s="20"/>
      <c r="CU2020" s="20"/>
      <c r="CV2020" s="20"/>
      <c r="CW2020" s="20"/>
      <c r="CX2020" s="20"/>
      <c r="CY2020" s="20"/>
      <c r="CZ2020" s="20"/>
      <c r="DA2020" s="20"/>
      <c r="DB2020" s="20"/>
      <c r="DC2020" s="20"/>
      <c r="DD2020" s="20"/>
      <c r="DE2020" s="20"/>
      <c r="DF2020" s="20"/>
      <c r="DG2020" s="20"/>
      <c r="DH2020" s="20"/>
      <c r="DI2020" s="20"/>
      <c r="DJ2020" s="20"/>
      <c r="DK2020" s="20"/>
      <c r="DL2020" s="20"/>
      <c r="DM2020" s="20"/>
      <c r="DN2020" s="20"/>
      <c r="DO2020" s="20"/>
      <c r="DP2020" s="20"/>
      <c r="DQ2020" s="20"/>
      <c r="DR2020" s="20"/>
      <c r="DS2020" s="20"/>
      <c r="DT2020" s="20"/>
      <c r="DU2020" s="20"/>
      <c r="DV2020" s="20"/>
      <c r="DW2020" s="20"/>
      <c r="DX2020" s="20"/>
      <c r="DY2020" s="20"/>
      <c r="DZ2020" s="20"/>
      <c r="EA2020" s="20"/>
      <c r="EB2020" s="20"/>
      <c r="EC2020" s="20"/>
      <c r="ED2020" s="20"/>
      <c r="EE2020" s="20"/>
      <c r="EF2020" s="20"/>
      <c r="EG2020" s="20"/>
      <c r="EH2020" s="20"/>
      <c r="EI2020" s="20"/>
      <c r="EJ2020" s="20"/>
      <c r="EK2020" s="20"/>
      <c r="EL2020" s="20"/>
      <c r="EM2020" s="20"/>
      <c r="EN2020" s="20"/>
      <c r="EO2020" s="20"/>
      <c r="EP2020" s="20"/>
      <c r="EQ2020" s="20"/>
      <c r="ER2020" s="20"/>
      <c r="ES2020" s="20"/>
      <c r="ET2020" s="20"/>
      <c r="EU2020" s="20"/>
      <c r="EV2020" s="20"/>
      <c r="EW2020" s="20"/>
      <c r="EX2020" s="20"/>
      <c r="EY2020" s="20"/>
      <c r="EZ2020" s="20"/>
      <c r="FA2020" s="20"/>
      <c r="FB2020" s="20"/>
      <c r="FC2020" s="20"/>
      <c r="FD2020" s="20"/>
      <c r="FE2020" s="20"/>
      <c r="FF2020" s="20"/>
      <c r="FG2020" s="20"/>
      <c r="FH2020" s="20"/>
      <c r="FI2020" s="20"/>
      <c r="FJ2020" s="20"/>
      <c r="FK2020" s="20"/>
      <c r="FL2020" s="20"/>
      <c r="FM2020" s="20"/>
      <c r="FN2020" s="20"/>
      <c r="FO2020" s="20"/>
      <c r="FP2020" s="20"/>
      <c r="FQ2020" s="20"/>
      <c r="FR2020" s="20"/>
      <c r="FS2020" s="20"/>
      <c r="FT2020" s="20"/>
      <c r="FU2020" s="20"/>
      <c r="FV2020" s="20"/>
      <c r="FW2020" s="20"/>
      <c r="FX2020" s="20"/>
      <c r="FY2020" s="20"/>
      <c r="FZ2020" s="20"/>
      <c r="GA2020" s="20"/>
      <c r="GB2020" s="20"/>
      <c r="GC2020" s="20"/>
      <c r="GD2020" s="20"/>
      <c r="GE2020" s="20"/>
      <c r="GF2020" s="20"/>
      <c r="GG2020" s="20"/>
      <c r="GH2020" s="20"/>
      <c r="GI2020" s="20"/>
      <c r="GJ2020" s="20"/>
      <c r="GK2020" s="20"/>
      <c r="GL2020" s="20"/>
      <c r="GM2020" s="20"/>
      <c r="GN2020" s="20"/>
      <c r="GO2020" s="20"/>
      <c r="GP2020" s="20"/>
      <c r="GQ2020" s="20"/>
      <c r="GR2020" s="20"/>
      <c r="GS2020" s="20"/>
      <c r="GT2020" s="20"/>
      <c r="GU2020" s="20"/>
      <c r="GV2020" s="20"/>
      <c r="GW2020" s="20"/>
      <c r="GX2020" s="20"/>
      <c r="GY2020" s="20"/>
      <c r="GZ2020" s="20"/>
      <c r="HA2020" s="20"/>
      <c r="HB2020" s="20"/>
      <c r="HC2020" s="20"/>
      <c r="HD2020" s="20"/>
      <c r="HE2020" s="20"/>
      <c r="HF2020" s="20"/>
      <c r="HG2020" s="20"/>
      <c r="HH2020" s="20"/>
      <c r="HI2020" s="20"/>
      <c r="HJ2020" s="20"/>
      <c r="HK2020" s="20"/>
      <c r="HL2020" s="20"/>
      <c r="HM2020" s="20"/>
      <c r="HN2020" s="20"/>
      <c r="HO2020" s="20"/>
      <c r="HP2020" s="20"/>
      <c r="HQ2020" s="20"/>
      <c r="HR2020" s="20"/>
      <c r="HS2020" s="20"/>
      <c r="HT2020" s="20"/>
      <c r="HU2020" s="20"/>
      <c r="HV2020" s="20"/>
      <c r="HW2020" s="20"/>
      <c r="HX2020" s="20"/>
      <c r="HY2020" s="20"/>
      <c r="HZ2020" s="20"/>
      <c r="IA2020" s="20"/>
      <c r="IB2020" s="20"/>
      <c r="IC2020" s="20"/>
      <c r="ID2020" s="20"/>
      <c r="IE2020" s="20"/>
      <c r="IF2020" s="20"/>
      <c r="IG2020" s="20"/>
      <c r="IH2020" s="20"/>
      <c r="II2020" s="20"/>
      <c r="IJ2020" s="20"/>
      <c r="IK2020" s="20"/>
      <c r="IL2020" s="20"/>
      <c r="IM2020" s="20"/>
      <c r="IN2020" s="20"/>
      <c r="IO2020" s="20"/>
    </row>
    <row r="2021" spans="1:249" s="22" customFormat="1" ht="49.5">
      <c r="A2021" s="794"/>
      <c r="B2021" s="840"/>
      <c r="C2021" s="841">
        <v>4</v>
      </c>
      <c r="D2021" s="841" t="s">
        <v>34</v>
      </c>
      <c r="E2021" s="841" t="s">
        <v>25</v>
      </c>
      <c r="F2021" s="841" t="s">
        <v>1817</v>
      </c>
      <c r="G2021" s="841" t="s">
        <v>43</v>
      </c>
      <c r="H2021" s="841"/>
      <c r="I2021" s="6" t="s">
        <v>1942</v>
      </c>
      <c r="J2021" s="6" t="s">
        <v>3409</v>
      </c>
      <c r="K2021" s="1902">
        <v>72</v>
      </c>
      <c r="L2021" s="1908">
        <v>1180000000</v>
      </c>
      <c r="M2021" s="1903">
        <v>36</v>
      </c>
      <c r="N2021" s="1212">
        <f>127025300+161638647+54386347</f>
        <v>343050294</v>
      </c>
      <c r="O2021" s="1902">
        <v>12</v>
      </c>
      <c r="P2021" s="1905">
        <v>39165000</v>
      </c>
      <c r="Q2021" s="1903">
        <v>3</v>
      </c>
      <c r="R2021" s="1904">
        <v>13355750</v>
      </c>
      <c r="S2021" s="795">
        <v>1</v>
      </c>
      <c r="T2021" s="1906">
        <v>8678350</v>
      </c>
      <c r="U2021" s="795"/>
      <c r="V2021" s="1906"/>
      <c r="W2021" s="795"/>
      <c r="X2021" s="1906"/>
      <c r="Y2021" s="1903">
        <f>Q2021+S2021+U2021+W2021</f>
        <v>4</v>
      </c>
      <c r="Z2021" s="1906">
        <f t="shared" si="590"/>
        <v>22034100</v>
      </c>
      <c r="AA2021" s="1903">
        <f t="shared" si="599"/>
        <v>40</v>
      </c>
      <c r="AB2021" s="1906">
        <f t="shared" si="595"/>
        <v>365084394</v>
      </c>
      <c r="AC2021" s="1907">
        <f t="shared" si="596"/>
        <v>55.555555555555557</v>
      </c>
      <c r="AD2021" s="1907">
        <f t="shared" si="591"/>
        <v>30.939355423728816</v>
      </c>
      <c r="AE2021" s="2604" t="s">
        <v>1996</v>
      </c>
      <c r="AF2021" s="201"/>
      <c r="AG2021" s="201"/>
      <c r="AH2021" s="201"/>
      <c r="AI2021" s="201"/>
      <c r="AJ2021" s="201"/>
      <c r="AK2021" s="201"/>
      <c r="AL2021" s="201"/>
      <c r="AM2021" s="201"/>
      <c r="AN2021" s="201"/>
      <c r="AO2021" s="201"/>
      <c r="AP2021" s="201"/>
      <c r="AQ2021" s="201"/>
      <c r="AR2021" s="201"/>
      <c r="AS2021" s="201"/>
      <c r="AT2021" s="201"/>
      <c r="AU2021" s="201"/>
      <c r="AV2021" s="201"/>
      <c r="AW2021" s="201"/>
      <c r="AX2021" s="201"/>
      <c r="AY2021" s="201"/>
      <c r="AZ2021" s="201"/>
      <c r="BA2021" s="201"/>
      <c r="BB2021" s="201"/>
      <c r="BC2021" s="20"/>
      <c r="BD2021" s="20"/>
      <c r="BE2021" s="20"/>
      <c r="BF2021" s="20"/>
      <c r="BG2021" s="20"/>
      <c r="BH2021" s="20"/>
      <c r="BI2021" s="20"/>
      <c r="BJ2021" s="20"/>
      <c r="BK2021" s="20"/>
      <c r="BL2021" s="20"/>
      <c r="BM2021" s="20"/>
      <c r="BN2021" s="20"/>
      <c r="BO2021" s="20"/>
      <c r="BP2021" s="20"/>
      <c r="BQ2021" s="20"/>
      <c r="BR2021" s="20"/>
      <c r="BS2021" s="20"/>
      <c r="BT2021" s="20"/>
      <c r="BU2021" s="20"/>
      <c r="BV2021" s="20"/>
      <c r="BW2021" s="20"/>
      <c r="BX2021" s="20"/>
      <c r="BY2021" s="20"/>
      <c r="BZ2021" s="20"/>
      <c r="CA2021" s="20"/>
      <c r="CB2021" s="20"/>
      <c r="CC2021" s="20"/>
      <c r="CD2021" s="20"/>
      <c r="CE2021" s="20"/>
      <c r="CF2021" s="20"/>
      <c r="CG2021" s="20"/>
      <c r="CH2021" s="20"/>
      <c r="CI2021" s="20"/>
      <c r="CJ2021" s="20"/>
      <c r="CK2021" s="20"/>
      <c r="CL2021" s="20"/>
      <c r="CM2021" s="20"/>
      <c r="CN2021" s="20"/>
      <c r="CO2021" s="20"/>
      <c r="CP2021" s="20"/>
      <c r="CQ2021" s="20"/>
      <c r="CR2021" s="20"/>
      <c r="CS2021" s="20"/>
      <c r="CT2021" s="20"/>
      <c r="CU2021" s="20"/>
      <c r="CV2021" s="20"/>
      <c r="CW2021" s="20"/>
      <c r="CX2021" s="20"/>
      <c r="CY2021" s="20"/>
      <c r="CZ2021" s="20"/>
      <c r="DA2021" s="20"/>
      <c r="DB2021" s="20"/>
      <c r="DC2021" s="20"/>
      <c r="DD2021" s="20"/>
      <c r="DE2021" s="20"/>
      <c r="DF2021" s="20"/>
      <c r="DG2021" s="20"/>
      <c r="DH2021" s="20"/>
      <c r="DI2021" s="20"/>
      <c r="DJ2021" s="20"/>
      <c r="DK2021" s="20"/>
      <c r="DL2021" s="20"/>
      <c r="DM2021" s="20"/>
      <c r="DN2021" s="20"/>
      <c r="DO2021" s="20"/>
      <c r="DP2021" s="20"/>
      <c r="DQ2021" s="20"/>
      <c r="DR2021" s="20"/>
      <c r="DS2021" s="20"/>
      <c r="DT2021" s="20"/>
      <c r="DU2021" s="20"/>
      <c r="DV2021" s="20"/>
      <c r="DW2021" s="20"/>
      <c r="DX2021" s="20"/>
      <c r="DY2021" s="20"/>
      <c r="DZ2021" s="20"/>
      <c r="EA2021" s="20"/>
      <c r="EB2021" s="20"/>
      <c r="EC2021" s="20"/>
      <c r="ED2021" s="20"/>
      <c r="EE2021" s="20"/>
      <c r="EF2021" s="20"/>
      <c r="EG2021" s="20"/>
      <c r="EH2021" s="20"/>
      <c r="EI2021" s="20"/>
      <c r="EJ2021" s="20"/>
      <c r="EK2021" s="20"/>
      <c r="EL2021" s="20"/>
      <c r="EM2021" s="20"/>
      <c r="EN2021" s="20"/>
      <c r="EO2021" s="20"/>
      <c r="EP2021" s="20"/>
      <c r="EQ2021" s="20"/>
      <c r="ER2021" s="20"/>
      <c r="ES2021" s="20"/>
      <c r="ET2021" s="20"/>
      <c r="EU2021" s="20"/>
      <c r="EV2021" s="20"/>
      <c r="EW2021" s="20"/>
      <c r="EX2021" s="20"/>
      <c r="EY2021" s="20"/>
      <c r="EZ2021" s="20"/>
      <c r="FA2021" s="20"/>
      <c r="FB2021" s="20"/>
      <c r="FC2021" s="20"/>
      <c r="FD2021" s="20"/>
      <c r="FE2021" s="20"/>
      <c r="FF2021" s="20"/>
      <c r="FG2021" s="20"/>
      <c r="FH2021" s="20"/>
      <c r="FI2021" s="20"/>
      <c r="FJ2021" s="20"/>
      <c r="FK2021" s="20"/>
      <c r="FL2021" s="20"/>
      <c r="FM2021" s="20"/>
      <c r="FN2021" s="20"/>
      <c r="FO2021" s="20"/>
      <c r="FP2021" s="20"/>
      <c r="FQ2021" s="20"/>
      <c r="FR2021" s="20"/>
      <c r="FS2021" s="20"/>
      <c r="FT2021" s="20"/>
      <c r="FU2021" s="20"/>
      <c r="FV2021" s="20"/>
      <c r="FW2021" s="20"/>
      <c r="FX2021" s="20"/>
      <c r="FY2021" s="20"/>
      <c r="FZ2021" s="20"/>
      <c r="GA2021" s="20"/>
      <c r="GB2021" s="20"/>
      <c r="GC2021" s="20"/>
      <c r="GD2021" s="20"/>
      <c r="GE2021" s="20"/>
      <c r="GF2021" s="20"/>
      <c r="GG2021" s="20"/>
      <c r="GH2021" s="20"/>
      <c r="GI2021" s="20"/>
      <c r="GJ2021" s="20"/>
      <c r="GK2021" s="20"/>
      <c r="GL2021" s="20"/>
      <c r="GM2021" s="20"/>
      <c r="GN2021" s="20"/>
      <c r="GO2021" s="20"/>
      <c r="GP2021" s="20"/>
      <c r="GQ2021" s="20"/>
      <c r="GR2021" s="20"/>
      <c r="GS2021" s="20"/>
      <c r="GT2021" s="20"/>
      <c r="GU2021" s="20"/>
      <c r="GV2021" s="20"/>
      <c r="GW2021" s="20"/>
      <c r="GX2021" s="20"/>
      <c r="GY2021" s="20"/>
      <c r="GZ2021" s="20"/>
      <c r="HA2021" s="20"/>
      <c r="HB2021" s="20"/>
      <c r="HC2021" s="20"/>
      <c r="HD2021" s="20"/>
      <c r="HE2021" s="20"/>
      <c r="HF2021" s="20"/>
      <c r="HG2021" s="20"/>
      <c r="HH2021" s="20"/>
      <c r="HI2021" s="20"/>
      <c r="HJ2021" s="20"/>
      <c r="HK2021" s="20"/>
      <c r="HL2021" s="20"/>
      <c r="HM2021" s="20"/>
      <c r="HN2021" s="20"/>
      <c r="HO2021" s="20"/>
      <c r="HP2021" s="20"/>
      <c r="HQ2021" s="20"/>
      <c r="HR2021" s="20"/>
      <c r="HS2021" s="20"/>
      <c r="HT2021" s="20"/>
      <c r="HU2021" s="20"/>
      <c r="HV2021" s="20"/>
      <c r="HW2021" s="20"/>
      <c r="HX2021" s="20"/>
      <c r="HY2021" s="20"/>
      <c r="HZ2021" s="20"/>
      <c r="IA2021" s="20"/>
      <c r="IB2021" s="20"/>
      <c r="IC2021" s="20"/>
      <c r="ID2021" s="20"/>
      <c r="IE2021" s="20"/>
      <c r="IF2021" s="20"/>
      <c r="IG2021" s="20"/>
      <c r="IH2021" s="20"/>
      <c r="II2021" s="20"/>
      <c r="IJ2021" s="20"/>
      <c r="IK2021" s="20"/>
      <c r="IL2021" s="20"/>
      <c r="IM2021" s="20"/>
      <c r="IN2021" s="20"/>
      <c r="IO2021" s="20"/>
    </row>
    <row r="2022" spans="1:249" s="22" customFormat="1" ht="49.5">
      <c r="A2022" s="794"/>
      <c r="B2022" s="840"/>
      <c r="C2022" s="841">
        <v>4</v>
      </c>
      <c r="D2022" s="841" t="s">
        <v>34</v>
      </c>
      <c r="E2022" s="841" t="s">
        <v>25</v>
      </c>
      <c r="F2022" s="841" t="s">
        <v>1817</v>
      </c>
      <c r="G2022" s="841">
        <v>15</v>
      </c>
      <c r="H2022" s="841"/>
      <c r="I2022" s="6" t="s">
        <v>1943</v>
      </c>
      <c r="J2022" s="407" t="s">
        <v>3410</v>
      </c>
      <c r="K2022" s="1902">
        <v>10</v>
      </c>
      <c r="L2022" s="1908">
        <v>597000000</v>
      </c>
      <c r="M2022" s="1903">
        <v>4</v>
      </c>
      <c r="N2022" s="1904">
        <f>63582900+87763265</f>
        <v>151346165</v>
      </c>
      <c r="O2022" s="1902">
        <v>2</v>
      </c>
      <c r="P2022" s="1905">
        <v>51700000</v>
      </c>
      <c r="Q2022" s="1903">
        <v>1</v>
      </c>
      <c r="R2022" s="1904">
        <v>20099500</v>
      </c>
      <c r="S2022" s="795">
        <v>0</v>
      </c>
      <c r="T2022" s="1906">
        <v>11290550</v>
      </c>
      <c r="U2022" s="795"/>
      <c r="V2022" s="1906"/>
      <c r="W2022" s="795"/>
      <c r="X2022" s="1906"/>
      <c r="Y2022" s="1903">
        <f>Q2022+S2022+W2022</f>
        <v>1</v>
      </c>
      <c r="Z2022" s="1906">
        <f t="shared" si="590"/>
        <v>31390050</v>
      </c>
      <c r="AA2022" s="1903">
        <f t="shared" si="599"/>
        <v>5</v>
      </c>
      <c r="AB2022" s="1906">
        <f t="shared" si="595"/>
        <v>182736215</v>
      </c>
      <c r="AC2022" s="1907">
        <f t="shared" si="596"/>
        <v>50</v>
      </c>
      <c r="AD2022" s="1907">
        <f t="shared" si="591"/>
        <v>30.609081239530987</v>
      </c>
      <c r="AE2022" s="2604" t="s">
        <v>1996</v>
      </c>
      <c r="AF2022" s="201"/>
      <c r="AG2022" s="201"/>
      <c r="AH2022" s="201"/>
      <c r="AI2022" s="201"/>
      <c r="AJ2022" s="201"/>
      <c r="AK2022" s="201"/>
      <c r="AL2022" s="201"/>
      <c r="AM2022" s="201"/>
      <c r="AN2022" s="201"/>
      <c r="AO2022" s="201"/>
      <c r="AP2022" s="201"/>
      <c r="AQ2022" s="201"/>
      <c r="AR2022" s="201"/>
      <c r="AS2022" s="201"/>
      <c r="AT2022" s="201"/>
      <c r="AU2022" s="201"/>
      <c r="AV2022" s="201"/>
      <c r="AW2022" s="201"/>
      <c r="AX2022" s="201"/>
      <c r="AY2022" s="201"/>
      <c r="AZ2022" s="201"/>
      <c r="BA2022" s="201"/>
      <c r="BB2022" s="201"/>
      <c r="BC2022" s="20"/>
      <c r="BD2022" s="20"/>
      <c r="BE2022" s="20"/>
      <c r="BF2022" s="20"/>
      <c r="BG2022" s="20"/>
      <c r="BH2022" s="20"/>
      <c r="BI2022" s="20"/>
      <c r="BJ2022" s="20"/>
      <c r="BK2022" s="20"/>
      <c r="BL2022" s="20"/>
      <c r="BM2022" s="20"/>
      <c r="BN2022" s="20"/>
      <c r="BO2022" s="20"/>
      <c r="BP2022" s="20"/>
      <c r="BQ2022" s="20"/>
      <c r="BR2022" s="20"/>
      <c r="BS2022" s="20"/>
      <c r="BT2022" s="20"/>
      <c r="BU2022" s="20"/>
      <c r="BV2022" s="20"/>
      <c r="BW2022" s="20"/>
      <c r="BX2022" s="20"/>
      <c r="BY2022" s="20"/>
      <c r="BZ2022" s="20"/>
      <c r="CA2022" s="20"/>
      <c r="CB2022" s="20"/>
      <c r="CC2022" s="20"/>
      <c r="CD2022" s="20"/>
      <c r="CE2022" s="20"/>
      <c r="CF2022" s="20"/>
      <c r="CG2022" s="20"/>
      <c r="CH2022" s="20"/>
      <c r="CI2022" s="20"/>
      <c r="CJ2022" s="20"/>
      <c r="CK2022" s="20"/>
      <c r="CL2022" s="20"/>
      <c r="CM2022" s="20"/>
      <c r="CN2022" s="20"/>
      <c r="CO2022" s="20"/>
      <c r="CP2022" s="20"/>
      <c r="CQ2022" s="20"/>
      <c r="CR2022" s="20"/>
      <c r="CS2022" s="20"/>
      <c r="CT2022" s="20"/>
      <c r="CU2022" s="20"/>
      <c r="CV2022" s="20"/>
      <c r="CW2022" s="20"/>
      <c r="CX2022" s="20"/>
      <c r="CY2022" s="20"/>
      <c r="CZ2022" s="20"/>
      <c r="DA2022" s="20"/>
      <c r="DB2022" s="20"/>
      <c r="DC2022" s="20"/>
      <c r="DD2022" s="20"/>
      <c r="DE2022" s="20"/>
      <c r="DF2022" s="20"/>
      <c r="DG2022" s="20"/>
      <c r="DH2022" s="20"/>
      <c r="DI2022" s="20"/>
      <c r="DJ2022" s="20"/>
      <c r="DK2022" s="20"/>
      <c r="DL2022" s="20"/>
      <c r="DM2022" s="20"/>
      <c r="DN2022" s="20"/>
      <c r="DO2022" s="20"/>
      <c r="DP2022" s="20"/>
      <c r="DQ2022" s="20"/>
      <c r="DR2022" s="20"/>
      <c r="DS2022" s="20"/>
      <c r="DT2022" s="20"/>
      <c r="DU2022" s="20"/>
      <c r="DV2022" s="20"/>
      <c r="DW2022" s="20"/>
      <c r="DX2022" s="20"/>
      <c r="DY2022" s="20"/>
      <c r="DZ2022" s="20"/>
      <c r="EA2022" s="20"/>
      <c r="EB2022" s="20"/>
      <c r="EC2022" s="20"/>
      <c r="ED2022" s="20"/>
      <c r="EE2022" s="20"/>
      <c r="EF2022" s="20"/>
      <c r="EG2022" s="20"/>
      <c r="EH2022" s="20"/>
      <c r="EI2022" s="20"/>
      <c r="EJ2022" s="20"/>
      <c r="EK2022" s="20"/>
      <c r="EL2022" s="20"/>
      <c r="EM2022" s="20"/>
      <c r="EN2022" s="20"/>
      <c r="EO2022" s="20"/>
      <c r="EP2022" s="20"/>
      <c r="EQ2022" s="20"/>
      <c r="ER2022" s="20"/>
      <c r="ES2022" s="20"/>
      <c r="ET2022" s="20"/>
      <c r="EU2022" s="20"/>
      <c r="EV2022" s="20"/>
      <c r="EW2022" s="20"/>
      <c r="EX2022" s="20"/>
      <c r="EY2022" s="20"/>
      <c r="EZ2022" s="20"/>
      <c r="FA2022" s="20"/>
      <c r="FB2022" s="20"/>
      <c r="FC2022" s="20"/>
      <c r="FD2022" s="20"/>
      <c r="FE2022" s="20"/>
      <c r="FF2022" s="20"/>
      <c r="FG2022" s="20"/>
      <c r="FH2022" s="20"/>
      <c r="FI2022" s="20"/>
      <c r="FJ2022" s="20"/>
      <c r="FK2022" s="20"/>
      <c r="FL2022" s="20"/>
      <c r="FM2022" s="20"/>
      <c r="FN2022" s="20"/>
      <c r="FO2022" s="20"/>
      <c r="FP2022" s="20"/>
      <c r="FQ2022" s="20"/>
      <c r="FR2022" s="20"/>
      <c r="FS2022" s="20"/>
      <c r="FT2022" s="20"/>
      <c r="FU2022" s="20"/>
      <c r="FV2022" s="20"/>
      <c r="FW2022" s="20"/>
      <c r="FX2022" s="20"/>
      <c r="FY2022" s="20"/>
      <c r="FZ2022" s="20"/>
      <c r="GA2022" s="20"/>
      <c r="GB2022" s="20"/>
      <c r="GC2022" s="20"/>
      <c r="GD2022" s="20"/>
      <c r="GE2022" s="20"/>
      <c r="GF2022" s="20"/>
      <c r="GG2022" s="20"/>
      <c r="GH2022" s="20"/>
      <c r="GI2022" s="20"/>
      <c r="GJ2022" s="20"/>
      <c r="GK2022" s="20"/>
      <c r="GL2022" s="20"/>
      <c r="GM2022" s="20"/>
      <c r="GN2022" s="20"/>
      <c r="GO2022" s="20"/>
      <c r="GP2022" s="20"/>
      <c r="GQ2022" s="20"/>
      <c r="GR2022" s="20"/>
      <c r="GS2022" s="20"/>
      <c r="GT2022" s="20"/>
      <c r="GU2022" s="20"/>
      <c r="GV2022" s="20"/>
      <c r="GW2022" s="20"/>
      <c r="GX2022" s="20"/>
      <c r="GY2022" s="20"/>
      <c r="GZ2022" s="20"/>
      <c r="HA2022" s="20"/>
      <c r="HB2022" s="20"/>
      <c r="HC2022" s="20"/>
      <c r="HD2022" s="20"/>
      <c r="HE2022" s="20"/>
      <c r="HF2022" s="20"/>
      <c r="HG2022" s="20"/>
      <c r="HH2022" s="20"/>
      <c r="HI2022" s="20"/>
      <c r="HJ2022" s="20"/>
      <c r="HK2022" s="20"/>
      <c r="HL2022" s="20"/>
      <c r="HM2022" s="20"/>
      <c r="HN2022" s="20"/>
      <c r="HO2022" s="20"/>
      <c r="HP2022" s="20"/>
      <c r="HQ2022" s="20"/>
      <c r="HR2022" s="20"/>
      <c r="HS2022" s="20"/>
      <c r="HT2022" s="20"/>
      <c r="HU2022" s="20"/>
      <c r="HV2022" s="20"/>
      <c r="HW2022" s="20"/>
      <c r="HX2022" s="20"/>
      <c r="HY2022" s="20"/>
      <c r="HZ2022" s="20"/>
      <c r="IA2022" s="20"/>
      <c r="IB2022" s="20"/>
      <c r="IC2022" s="20"/>
      <c r="ID2022" s="20"/>
      <c r="IE2022" s="20"/>
      <c r="IF2022" s="20"/>
      <c r="IG2022" s="20"/>
      <c r="IH2022" s="20"/>
      <c r="II2022" s="20"/>
      <c r="IJ2022" s="20"/>
      <c r="IK2022" s="20"/>
      <c r="IL2022" s="20"/>
      <c r="IM2022" s="20"/>
      <c r="IN2022" s="20"/>
      <c r="IO2022" s="20"/>
    </row>
    <row r="2023" spans="1:249" s="22" customFormat="1" ht="49.5">
      <c r="A2023" s="2554">
        <v>30</v>
      </c>
      <c r="B2023" s="44"/>
      <c r="C2023" s="753">
        <v>4</v>
      </c>
      <c r="D2023" s="753" t="s">
        <v>34</v>
      </c>
      <c r="E2023" s="753" t="s">
        <v>25</v>
      </c>
      <c r="F2023" s="753" t="s">
        <v>104</v>
      </c>
      <c r="G2023" s="753"/>
      <c r="H2023" s="753"/>
      <c r="I2023" s="46" t="s">
        <v>1944</v>
      </c>
      <c r="J2023" s="44" t="s">
        <v>3411</v>
      </c>
      <c r="K2023" s="1937" t="s">
        <v>3063</v>
      </c>
      <c r="L2023" s="1770">
        <f>L2025</f>
        <v>1450000000</v>
      </c>
      <c r="M2023" s="1937" t="s">
        <v>3412</v>
      </c>
      <c r="N2023" s="1901">
        <f>N2025</f>
        <v>530779633</v>
      </c>
      <c r="O2023" s="1937" t="s">
        <v>3063</v>
      </c>
      <c r="P2023" s="1899">
        <f>SUM(P2025:P2034)</f>
        <v>2035407000.3499999</v>
      </c>
      <c r="Q2023" s="149">
        <v>0</v>
      </c>
      <c r="R2023" s="1901">
        <f t="shared" ref="R2023:X2023" si="604">SUM(R2025:R2034)</f>
        <v>77190850</v>
      </c>
      <c r="S2023" s="1899"/>
      <c r="T2023" s="1901">
        <f>SUM(T2025:T2034)</f>
        <v>896163600</v>
      </c>
      <c r="U2023" s="1899">
        <f t="shared" si="604"/>
        <v>0</v>
      </c>
      <c r="V2023" s="1899">
        <f t="shared" si="604"/>
        <v>0</v>
      </c>
      <c r="W2023" s="1899">
        <f t="shared" si="604"/>
        <v>0</v>
      </c>
      <c r="X2023" s="1899">
        <f t="shared" si="604"/>
        <v>0</v>
      </c>
      <c r="Y2023" s="149">
        <v>0</v>
      </c>
      <c r="Z2023" s="1901">
        <f t="shared" si="590"/>
        <v>973354450</v>
      </c>
      <c r="AA2023" s="149" t="s">
        <v>3412</v>
      </c>
      <c r="AB2023" s="1901">
        <f t="shared" si="595"/>
        <v>1504134083</v>
      </c>
      <c r="AC2023" s="821">
        <v>50</v>
      </c>
      <c r="AD2023" s="821">
        <f t="shared" si="591"/>
        <v>103.73338503448275</v>
      </c>
      <c r="AE2023" s="2558" t="s">
        <v>2252</v>
      </c>
      <c r="AF2023" s="201"/>
      <c r="AG2023" s="201"/>
      <c r="AH2023" s="201"/>
      <c r="AI2023" s="201"/>
      <c r="AJ2023" s="201"/>
      <c r="AK2023" s="201"/>
      <c r="AL2023" s="201"/>
      <c r="AM2023" s="201"/>
      <c r="AN2023" s="201"/>
      <c r="AO2023" s="201"/>
      <c r="AP2023" s="201"/>
      <c r="AQ2023" s="201"/>
      <c r="AR2023" s="201"/>
      <c r="AS2023" s="201"/>
      <c r="AT2023" s="201"/>
      <c r="AU2023" s="201"/>
      <c r="AV2023" s="201"/>
      <c r="AW2023" s="201"/>
      <c r="AX2023" s="201"/>
      <c r="AY2023" s="201"/>
      <c r="AZ2023" s="201"/>
      <c r="BA2023" s="201"/>
      <c r="BB2023" s="201"/>
      <c r="BC2023" s="20"/>
      <c r="BD2023" s="20"/>
      <c r="BE2023" s="20"/>
      <c r="BF2023" s="20"/>
      <c r="BG2023" s="20"/>
      <c r="BH2023" s="20"/>
      <c r="BI2023" s="20"/>
      <c r="BJ2023" s="20"/>
      <c r="BK2023" s="20"/>
      <c r="BL2023" s="20"/>
      <c r="BM2023" s="20"/>
      <c r="BN2023" s="20"/>
      <c r="BO2023" s="20"/>
      <c r="BP2023" s="20"/>
      <c r="BQ2023" s="20"/>
      <c r="BR2023" s="20"/>
      <c r="BS2023" s="20"/>
      <c r="BT2023" s="20"/>
      <c r="BU2023" s="20"/>
      <c r="BV2023" s="20"/>
      <c r="BW2023" s="20"/>
      <c r="BX2023" s="20"/>
      <c r="BY2023" s="20"/>
      <c r="BZ2023" s="20"/>
      <c r="CA2023" s="20"/>
      <c r="CB2023" s="20"/>
      <c r="CC2023" s="20"/>
      <c r="CD2023" s="20"/>
      <c r="CE2023" s="20"/>
      <c r="CF2023" s="20"/>
      <c r="CG2023" s="20"/>
      <c r="CH2023" s="20"/>
      <c r="CI2023" s="20"/>
      <c r="CJ2023" s="20"/>
      <c r="CK2023" s="20"/>
      <c r="CL2023" s="20"/>
      <c r="CM2023" s="20"/>
      <c r="CN2023" s="20"/>
      <c r="CO2023" s="20"/>
      <c r="CP2023" s="20"/>
      <c r="CQ2023" s="20"/>
      <c r="CR2023" s="20"/>
      <c r="CS2023" s="20"/>
      <c r="CT2023" s="20"/>
      <c r="CU2023" s="20"/>
      <c r="CV2023" s="20"/>
      <c r="CW2023" s="20"/>
      <c r="CX2023" s="20"/>
      <c r="CY2023" s="20"/>
      <c r="CZ2023" s="20"/>
      <c r="DA2023" s="20"/>
      <c r="DB2023" s="20"/>
      <c r="DC2023" s="20"/>
      <c r="DD2023" s="20"/>
      <c r="DE2023" s="20"/>
      <c r="DF2023" s="20"/>
      <c r="DG2023" s="20"/>
      <c r="DH2023" s="20"/>
      <c r="DI2023" s="20"/>
      <c r="DJ2023" s="20"/>
      <c r="DK2023" s="20"/>
      <c r="DL2023" s="20"/>
      <c r="DM2023" s="20"/>
      <c r="DN2023" s="20"/>
      <c r="DO2023" s="20"/>
      <c r="DP2023" s="20"/>
      <c r="DQ2023" s="20"/>
      <c r="DR2023" s="20"/>
      <c r="DS2023" s="20"/>
      <c r="DT2023" s="20"/>
      <c r="DU2023" s="20"/>
      <c r="DV2023" s="20"/>
      <c r="DW2023" s="20"/>
      <c r="DX2023" s="20"/>
      <c r="DY2023" s="20"/>
      <c r="DZ2023" s="20"/>
      <c r="EA2023" s="20"/>
      <c r="EB2023" s="20"/>
      <c r="EC2023" s="20"/>
      <c r="ED2023" s="20"/>
      <c r="EE2023" s="20"/>
      <c r="EF2023" s="20"/>
      <c r="EG2023" s="20"/>
      <c r="EH2023" s="20"/>
      <c r="EI2023" s="20"/>
      <c r="EJ2023" s="20"/>
      <c r="EK2023" s="20"/>
      <c r="EL2023" s="20"/>
      <c r="EM2023" s="20"/>
      <c r="EN2023" s="20"/>
      <c r="EO2023" s="20"/>
      <c r="EP2023" s="20"/>
      <c r="EQ2023" s="20"/>
      <c r="ER2023" s="20"/>
      <c r="ES2023" s="20"/>
      <c r="ET2023" s="20"/>
      <c r="EU2023" s="20"/>
      <c r="EV2023" s="20"/>
      <c r="EW2023" s="20"/>
      <c r="EX2023" s="20"/>
      <c r="EY2023" s="20"/>
      <c r="EZ2023" s="20"/>
      <c r="FA2023" s="20"/>
      <c r="FB2023" s="20"/>
      <c r="FC2023" s="20"/>
      <c r="FD2023" s="20"/>
      <c r="FE2023" s="20"/>
      <c r="FF2023" s="20"/>
      <c r="FG2023" s="20"/>
      <c r="FH2023" s="20"/>
      <c r="FI2023" s="20"/>
      <c r="FJ2023" s="20"/>
      <c r="FK2023" s="20"/>
      <c r="FL2023" s="20"/>
      <c r="FM2023" s="20"/>
      <c r="FN2023" s="20"/>
      <c r="FO2023" s="20"/>
      <c r="FP2023" s="20"/>
      <c r="FQ2023" s="20"/>
      <c r="FR2023" s="20"/>
      <c r="FS2023" s="20"/>
      <c r="FT2023" s="20"/>
      <c r="FU2023" s="20"/>
      <c r="FV2023" s="20"/>
      <c r="FW2023" s="20"/>
      <c r="FX2023" s="20"/>
      <c r="FY2023" s="20"/>
      <c r="FZ2023" s="20"/>
      <c r="GA2023" s="20"/>
      <c r="GB2023" s="20"/>
      <c r="GC2023" s="20"/>
      <c r="GD2023" s="20"/>
      <c r="GE2023" s="20"/>
      <c r="GF2023" s="20"/>
      <c r="GG2023" s="20"/>
      <c r="GH2023" s="20"/>
      <c r="GI2023" s="20"/>
      <c r="GJ2023" s="20"/>
      <c r="GK2023" s="20"/>
      <c r="GL2023" s="20"/>
      <c r="GM2023" s="20"/>
      <c r="GN2023" s="20"/>
      <c r="GO2023" s="20"/>
      <c r="GP2023" s="20"/>
      <c r="GQ2023" s="20"/>
      <c r="GR2023" s="20"/>
      <c r="GS2023" s="20"/>
      <c r="GT2023" s="20"/>
      <c r="GU2023" s="20"/>
      <c r="GV2023" s="20"/>
      <c r="GW2023" s="20"/>
      <c r="GX2023" s="20"/>
      <c r="GY2023" s="20"/>
      <c r="GZ2023" s="20"/>
      <c r="HA2023" s="20"/>
      <c r="HB2023" s="20"/>
      <c r="HC2023" s="20"/>
      <c r="HD2023" s="20"/>
      <c r="HE2023" s="20"/>
      <c r="HF2023" s="20"/>
      <c r="HG2023" s="20"/>
      <c r="HH2023" s="20"/>
      <c r="HI2023" s="20"/>
      <c r="HJ2023" s="20"/>
      <c r="HK2023" s="20"/>
      <c r="HL2023" s="20"/>
      <c r="HM2023" s="20"/>
      <c r="HN2023" s="20"/>
      <c r="HO2023" s="20"/>
      <c r="HP2023" s="20"/>
      <c r="HQ2023" s="20"/>
      <c r="HR2023" s="20"/>
      <c r="HS2023" s="20"/>
      <c r="HT2023" s="20"/>
      <c r="HU2023" s="20"/>
      <c r="HV2023" s="20"/>
      <c r="HW2023" s="20"/>
      <c r="HX2023" s="20"/>
      <c r="HY2023" s="20"/>
      <c r="HZ2023" s="20"/>
      <c r="IA2023" s="20"/>
      <c r="IB2023" s="20"/>
      <c r="IC2023" s="20"/>
      <c r="ID2023" s="20"/>
      <c r="IE2023" s="20"/>
      <c r="IF2023" s="20"/>
      <c r="IG2023" s="20"/>
      <c r="IH2023" s="20"/>
      <c r="II2023" s="20"/>
      <c r="IJ2023" s="20"/>
      <c r="IK2023" s="20"/>
      <c r="IL2023" s="20"/>
      <c r="IM2023" s="20"/>
      <c r="IN2023" s="20"/>
      <c r="IO2023" s="20"/>
    </row>
    <row r="2024" spans="1:249" s="22" customFormat="1" ht="33">
      <c r="A2024" s="794"/>
      <c r="B2024" s="840"/>
      <c r="C2024" s="841"/>
      <c r="D2024" s="841"/>
      <c r="E2024" s="841"/>
      <c r="F2024" s="841"/>
      <c r="G2024" s="841"/>
      <c r="H2024" s="841"/>
      <c r="I2024" s="808"/>
      <c r="J2024" s="840" t="s">
        <v>1945</v>
      </c>
      <c r="K2024" s="1902">
        <v>5</v>
      </c>
      <c r="L2024" s="1931"/>
      <c r="M2024" s="1920">
        <v>11</v>
      </c>
      <c r="N2024" s="1931"/>
      <c r="O2024" s="1902">
        <v>5</v>
      </c>
      <c r="P2024" s="1932"/>
      <c r="Q2024" s="1902">
        <v>5</v>
      </c>
      <c r="R2024" s="1933"/>
      <c r="S2024" s="1931">
        <v>3</v>
      </c>
      <c r="T2024" s="1931">
        <v>0</v>
      </c>
      <c r="U2024" s="1931"/>
      <c r="V2024" s="1931"/>
      <c r="W2024" s="1931"/>
      <c r="X2024" s="1931"/>
      <c r="Y2024" s="1903">
        <f t="shared" ref="Y2024:Z2024" si="605">Q2024</f>
        <v>5</v>
      </c>
      <c r="Z2024" s="1906">
        <f t="shared" si="605"/>
        <v>0</v>
      </c>
      <c r="AA2024" s="1920">
        <f t="shared" ref="AA2024:AA2034" si="606">M2024+Y2024</f>
        <v>16</v>
      </c>
      <c r="AB2024" s="1934">
        <f t="shared" si="595"/>
        <v>0</v>
      </c>
      <c r="AC2024" s="807">
        <f t="shared" ref="AC2024:AC2034" si="607">AA2024/K2024*100</f>
        <v>320</v>
      </c>
      <c r="AD2024" s="1907"/>
      <c r="AE2024" s="513"/>
      <c r="AF2024" s="201"/>
      <c r="AG2024" s="201"/>
      <c r="AH2024" s="201"/>
      <c r="AI2024" s="201"/>
      <c r="AJ2024" s="201"/>
      <c r="AK2024" s="201"/>
      <c r="AL2024" s="201"/>
      <c r="AM2024" s="201"/>
      <c r="AN2024" s="201"/>
      <c r="AO2024" s="201"/>
      <c r="AP2024" s="201"/>
      <c r="AQ2024" s="201"/>
      <c r="AR2024" s="201"/>
      <c r="AS2024" s="201"/>
      <c r="AT2024" s="201"/>
      <c r="AU2024" s="201"/>
      <c r="AV2024" s="201"/>
      <c r="AW2024" s="201"/>
      <c r="AX2024" s="201"/>
      <c r="AY2024" s="201"/>
      <c r="AZ2024" s="201"/>
      <c r="BA2024" s="201"/>
      <c r="BB2024" s="201"/>
      <c r="BC2024" s="20"/>
      <c r="BD2024" s="20"/>
      <c r="BE2024" s="20"/>
      <c r="BF2024" s="20"/>
      <c r="BG2024" s="20"/>
      <c r="BH2024" s="20"/>
      <c r="BI2024" s="20"/>
      <c r="BJ2024" s="20"/>
      <c r="BK2024" s="20"/>
      <c r="BL2024" s="20"/>
      <c r="BM2024" s="20"/>
      <c r="BN2024" s="20"/>
      <c r="BO2024" s="20"/>
      <c r="BP2024" s="20"/>
      <c r="BQ2024" s="20"/>
      <c r="BR2024" s="20"/>
      <c r="BS2024" s="20"/>
      <c r="BT2024" s="20"/>
      <c r="BU2024" s="20"/>
      <c r="BV2024" s="20"/>
      <c r="BW2024" s="20"/>
      <c r="BX2024" s="20"/>
      <c r="BY2024" s="20"/>
      <c r="BZ2024" s="20"/>
      <c r="CA2024" s="20"/>
      <c r="CB2024" s="20"/>
      <c r="CC2024" s="20"/>
      <c r="CD2024" s="20"/>
      <c r="CE2024" s="20"/>
      <c r="CF2024" s="20"/>
      <c r="CG2024" s="20"/>
      <c r="CH2024" s="20"/>
      <c r="CI2024" s="20"/>
      <c r="CJ2024" s="20"/>
      <c r="CK2024" s="20"/>
      <c r="CL2024" s="20"/>
      <c r="CM2024" s="20"/>
      <c r="CN2024" s="20"/>
      <c r="CO2024" s="20"/>
      <c r="CP2024" s="20"/>
      <c r="CQ2024" s="20"/>
      <c r="CR2024" s="20"/>
      <c r="CS2024" s="20"/>
      <c r="CT2024" s="20"/>
      <c r="CU2024" s="20"/>
      <c r="CV2024" s="20"/>
      <c r="CW2024" s="20"/>
      <c r="CX2024" s="20"/>
      <c r="CY2024" s="20"/>
      <c r="CZ2024" s="20"/>
      <c r="DA2024" s="20"/>
      <c r="DB2024" s="20"/>
      <c r="DC2024" s="20"/>
      <c r="DD2024" s="20"/>
      <c r="DE2024" s="20"/>
      <c r="DF2024" s="20"/>
      <c r="DG2024" s="20"/>
      <c r="DH2024" s="20"/>
      <c r="DI2024" s="20"/>
      <c r="DJ2024" s="20"/>
      <c r="DK2024" s="20"/>
      <c r="DL2024" s="20"/>
      <c r="DM2024" s="20"/>
      <c r="DN2024" s="20"/>
      <c r="DO2024" s="20"/>
      <c r="DP2024" s="20"/>
      <c r="DQ2024" s="20"/>
      <c r="DR2024" s="20"/>
      <c r="DS2024" s="20"/>
      <c r="DT2024" s="20"/>
      <c r="DU2024" s="20"/>
      <c r="DV2024" s="20"/>
      <c r="DW2024" s="20"/>
      <c r="DX2024" s="20"/>
      <c r="DY2024" s="20"/>
      <c r="DZ2024" s="20"/>
      <c r="EA2024" s="20"/>
      <c r="EB2024" s="20"/>
      <c r="EC2024" s="20"/>
      <c r="ED2024" s="20"/>
      <c r="EE2024" s="20"/>
      <c r="EF2024" s="20"/>
      <c r="EG2024" s="20"/>
      <c r="EH2024" s="20"/>
      <c r="EI2024" s="20"/>
      <c r="EJ2024" s="20"/>
      <c r="EK2024" s="20"/>
      <c r="EL2024" s="20"/>
      <c r="EM2024" s="20"/>
      <c r="EN2024" s="20"/>
      <c r="EO2024" s="20"/>
      <c r="EP2024" s="20"/>
      <c r="EQ2024" s="20"/>
      <c r="ER2024" s="20"/>
      <c r="ES2024" s="20"/>
      <c r="ET2024" s="20"/>
      <c r="EU2024" s="20"/>
      <c r="EV2024" s="20"/>
      <c r="EW2024" s="20"/>
      <c r="EX2024" s="20"/>
      <c r="EY2024" s="20"/>
      <c r="EZ2024" s="20"/>
      <c r="FA2024" s="20"/>
      <c r="FB2024" s="20"/>
      <c r="FC2024" s="20"/>
      <c r="FD2024" s="20"/>
      <c r="FE2024" s="20"/>
      <c r="FF2024" s="20"/>
      <c r="FG2024" s="20"/>
      <c r="FH2024" s="20"/>
      <c r="FI2024" s="20"/>
      <c r="FJ2024" s="20"/>
      <c r="FK2024" s="20"/>
      <c r="FL2024" s="20"/>
      <c r="FM2024" s="20"/>
      <c r="FN2024" s="20"/>
      <c r="FO2024" s="20"/>
      <c r="FP2024" s="20"/>
      <c r="FQ2024" s="20"/>
      <c r="FR2024" s="20"/>
      <c r="FS2024" s="20"/>
      <c r="FT2024" s="20"/>
      <c r="FU2024" s="20"/>
      <c r="FV2024" s="20"/>
      <c r="FW2024" s="20"/>
      <c r="FX2024" s="20"/>
      <c r="FY2024" s="20"/>
      <c r="FZ2024" s="20"/>
      <c r="GA2024" s="20"/>
      <c r="GB2024" s="20"/>
      <c r="GC2024" s="20"/>
      <c r="GD2024" s="20"/>
      <c r="GE2024" s="20"/>
      <c r="GF2024" s="20"/>
      <c r="GG2024" s="20"/>
      <c r="GH2024" s="20"/>
      <c r="GI2024" s="20"/>
      <c r="GJ2024" s="20"/>
      <c r="GK2024" s="20"/>
      <c r="GL2024" s="20"/>
      <c r="GM2024" s="20"/>
      <c r="GN2024" s="20"/>
      <c r="GO2024" s="20"/>
      <c r="GP2024" s="20"/>
      <c r="GQ2024" s="20"/>
      <c r="GR2024" s="20"/>
      <c r="GS2024" s="20"/>
      <c r="GT2024" s="20"/>
      <c r="GU2024" s="20"/>
      <c r="GV2024" s="20"/>
      <c r="GW2024" s="20"/>
      <c r="GX2024" s="20"/>
      <c r="GY2024" s="20"/>
      <c r="GZ2024" s="20"/>
      <c r="HA2024" s="20"/>
      <c r="HB2024" s="20"/>
      <c r="HC2024" s="20"/>
      <c r="HD2024" s="20"/>
      <c r="HE2024" s="20"/>
      <c r="HF2024" s="20"/>
      <c r="HG2024" s="20"/>
      <c r="HH2024" s="20"/>
      <c r="HI2024" s="20"/>
      <c r="HJ2024" s="20"/>
      <c r="HK2024" s="20"/>
      <c r="HL2024" s="20"/>
      <c r="HM2024" s="20"/>
      <c r="HN2024" s="20"/>
      <c r="HO2024" s="20"/>
      <c r="HP2024" s="20"/>
      <c r="HQ2024" s="20"/>
      <c r="HR2024" s="20"/>
      <c r="HS2024" s="20"/>
      <c r="HT2024" s="20"/>
      <c r="HU2024" s="20"/>
      <c r="HV2024" s="20"/>
      <c r="HW2024" s="20"/>
      <c r="HX2024" s="20"/>
      <c r="HY2024" s="20"/>
      <c r="HZ2024" s="20"/>
      <c r="IA2024" s="20"/>
      <c r="IB2024" s="20"/>
      <c r="IC2024" s="20"/>
      <c r="ID2024" s="20"/>
      <c r="IE2024" s="20"/>
      <c r="IF2024" s="20"/>
      <c r="IG2024" s="20"/>
      <c r="IH2024" s="20"/>
      <c r="II2024" s="20"/>
      <c r="IJ2024" s="20"/>
      <c r="IK2024" s="20"/>
      <c r="IL2024" s="20"/>
      <c r="IM2024" s="20"/>
      <c r="IN2024" s="20"/>
      <c r="IO2024" s="20"/>
    </row>
    <row r="2025" spans="1:249" s="22" customFormat="1" ht="82.5">
      <c r="A2025" s="794"/>
      <c r="B2025" s="840"/>
      <c r="C2025" s="841">
        <v>4</v>
      </c>
      <c r="D2025" s="841" t="s">
        <v>34</v>
      </c>
      <c r="E2025" s="841" t="s">
        <v>25</v>
      </c>
      <c r="F2025" s="841" t="s">
        <v>104</v>
      </c>
      <c r="G2025" s="841" t="s">
        <v>25</v>
      </c>
      <c r="H2025" s="841"/>
      <c r="I2025" s="6" t="s">
        <v>1946</v>
      </c>
      <c r="J2025" s="6" t="s">
        <v>1947</v>
      </c>
      <c r="K2025" s="1902">
        <f>24*6</f>
        <v>144</v>
      </c>
      <c r="L2025" s="1908">
        <v>1450000000</v>
      </c>
      <c r="M2025" s="1903">
        <f>24*3</f>
        <v>72</v>
      </c>
      <c r="N2025" s="1904">
        <f>183419238+158443880+188916515</f>
        <v>530779633</v>
      </c>
      <c r="O2025" s="1902">
        <v>24</v>
      </c>
      <c r="P2025" s="1905">
        <v>120004600</v>
      </c>
      <c r="Q2025" s="1903">
        <f>O2025/4</f>
        <v>6</v>
      </c>
      <c r="R2025" s="1904">
        <v>34952500</v>
      </c>
      <c r="S2025" s="795">
        <v>1.5</v>
      </c>
      <c r="T2025" s="207">
        <v>81107800</v>
      </c>
      <c r="U2025" s="795"/>
      <c r="V2025" s="1906"/>
      <c r="W2025" s="795"/>
      <c r="X2025" s="1906"/>
      <c r="Y2025" s="1903">
        <f>Q2025+S2025+U2025+W2025</f>
        <v>7.5</v>
      </c>
      <c r="Z2025" s="1906">
        <f>R2025+T2025+V2025+X2025</f>
        <v>116060300</v>
      </c>
      <c r="AA2025" s="1903">
        <f t="shared" si="606"/>
        <v>79.5</v>
      </c>
      <c r="AB2025" s="1906">
        <f t="shared" si="595"/>
        <v>646839933</v>
      </c>
      <c r="AC2025" s="1907">
        <f t="shared" si="607"/>
        <v>55.208333333333336</v>
      </c>
      <c r="AD2025" s="1907">
        <f t="shared" ref="AD2025:AD2043" si="608">AB2025/L2025*100</f>
        <v>44.609650551724137</v>
      </c>
      <c r="AE2025" s="102" t="s">
        <v>1982</v>
      </c>
      <c r="AF2025" s="201"/>
      <c r="AG2025" s="201"/>
      <c r="AH2025" s="201"/>
      <c r="AI2025" s="201"/>
      <c r="AJ2025" s="201"/>
      <c r="AK2025" s="201"/>
      <c r="AL2025" s="201"/>
      <c r="AM2025" s="201"/>
      <c r="AN2025" s="201"/>
      <c r="AO2025" s="201"/>
      <c r="AP2025" s="201"/>
      <c r="AQ2025" s="201"/>
      <c r="AR2025" s="201"/>
      <c r="AS2025" s="201"/>
      <c r="AT2025" s="201"/>
      <c r="AU2025" s="201"/>
      <c r="AV2025" s="201"/>
      <c r="AW2025" s="201"/>
      <c r="AX2025" s="201"/>
      <c r="AY2025" s="201"/>
      <c r="AZ2025" s="201"/>
      <c r="BA2025" s="201"/>
      <c r="BB2025" s="201"/>
      <c r="BC2025" s="20"/>
      <c r="BD2025" s="20"/>
      <c r="BE2025" s="20"/>
      <c r="BF2025" s="20"/>
      <c r="BG2025" s="20"/>
      <c r="BH2025" s="20"/>
      <c r="BI2025" s="20"/>
      <c r="BJ2025" s="20"/>
      <c r="BK2025" s="20"/>
      <c r="BL2025" s="20"/>
      <c r="BM2025" s="20"/>
      <c r="BN2025" s="20"/>
      <c r="BO2025" s="20"/>
      <c r="BP2025" s="20"/>
      <c r="BQ2025" s="20"/>
      <c r="BR2025" s="20"/>
      <c r="BS2025" s="20"/>
      <c r="BT2025" s="20"/>
      <c r="BU2025" s="20"/>
      <c r="BV2025" s="20"/>
      <c r="BW2025" s="20"/>
      <c r="BX2025" s="20"/>
      <c r="BY2025" s="20"/>
      <c r="BZ2025" s="20"/>
      <c r="CA2025" s="20"/>
      <c r="CB2025" s="20"/>
      <c r="CC2025" s="20"/>
      <c r="CD2025" s="20"/>
      <c r="CE2025" s="20"/>
      <c r="CF2025" s="20"/>
      <c r="CG2025" s="20"/>
      <c r="CH2025" s="20"/>
      <c r="CI2025" s="20"/>
      <c r="CJ2025" s="20"/>
      <c r="CK2025" s="20"/>
      <c r="CL2025" s="20"/>
      <c r="CM2025" s="20"/>
      <c r="CN2025" s="20"/>
      <c r="CO2025" s="20"/>
      <c r="CP2025" s="20"/>
      <c r="CQ2025" s="20"/>
      <c r="CR2025" s="20"/>
      <c r="CS2025" s="20"/>
      <c r="CT2025" s="20"/>
      <c r="CU2025" s="20"/>
      <c r="CV2025" s="20"/>
      <c r="CW2025" s="20"/>
      <c r="CX2025" s="20"/>
      <c r="CY2025" s="20"/>
      <c r="CZ2025" s="20"/>
      <c r="DA2025" s="20"/>
      <c r="DB2025" s="20"/>
      <c r="DC2025" s="20"/>
      <c r="DD2025" s="20"/>
      <c r="DE2025" s="20"/>
      <c r="DF2025" s="20"/>
      <c r="DG2025" s="20"/>
      <c r="DH2025" s="20"/>
      <c r="DI2025" s="20"/>
      <c r="DJ2025" s="20"/>
      <c r="DK2025" s="20"/>
      <c r="DL2025" s="20"/>
      <c r="DM2025" s="20"/>
      <c r="DN2025" s="20"/>
      <c r="DO2025" s="20"/>
      <c r="DP2025" s="20"/>
      <c r="DQ2025" s="20"/>
      <c r="DR2025" s="20"/>
      <c r="DS2025" s="20"/>
      <c r="DT2025" s="20"/>
      <c r="DU2025" s="20"/>
      <c r="DV2025" s="20"/>
      <c r="DW2025" s="20"/>
      <c r="DX2025" s="20"/>
      <c r="DY2025" s="20"/>
      <c r="DZ2025" s="20"/>
      <c r="EA2025" s="20"/>
      <c r="EB2025" s="20"/>
      <c r="EC2025" s="20"/>
      <c r="ED2025" s="20"/>
      <c r="EE2025" s="20"/>
      <c r="EF2025" s="20"/>
      <c r="EG2025" s="20"/>
      <c r="EH2025" s="20"/>
      <c r="EI2025" s="20"/>
      <c r="EJ2025" s="20"/>
      <c r="EK2025" s="20"/>
      <c r="EL2025" s="20"/>
      <c r="EM2025" s="20"/>
      <c r="EN2025" s="20"/>
      <c r="EO2025" s="20"/>
      <c r="EP2025" s="20"/>
      <c r="EQ2025" s="20"/>
      <c r="ER2025" s="20"/>
      <c r="ES2025" s="20"/>
      <c r="ET2025" s="20"/>
      <c r="EU2025" s="20"/>
      <c r="EV2025" s="20"/>
      <c r="EW2025" s="20"/>
      <c r="EX2025" s="20"/>
      <c r="EY2025" s="20"/>
      <c r="EZ2025" s="20"/>
      <c r="FA2025" s="20"/>
      <c r="FB2025" s="20"/>
      <c r="FC2025" s="20"/>
      <c r="FD2025" s="20"/>
      <c r="FE2025" s="20"/>
      <c r="FF2025" s="20"/>
      <c r="FG2025" s="20"/>
      <c r="FH2025" s="20"/>
      <c r="FI2025" s="20"/>
      <c r="FJ2025" s="20"/>
      <c r="FK2025" s="20"/>
      <c r="FL2025" s="20"/>
      <c r="FM2025" s="20"/>
      <c r="FN2025" s="20"/>
      <c r="FO2025" s="20"/>
      <c r="FP2025" s="20"/>
      <c r="FQ2025" s="20"/>
      <c r="FR2025" s="20"/>
      <c r="FS2025" s="20"/>
      <c r="FT2025" s="20"/>
      <c r="FU2025" s="20"/>
      <c r="FV2025" s="20"/>
      <c r="FW2025" s="20"/>
      <c r="FX2025" s="20"/>
      <c r="FY2025" s="20"/>
      <c r="FZ2025" s="20"/>
      <c r="GA2025" s="20"/>
      <c r="GB2025" s="20"/>
      <c r="GC2025" s="20"/>
      <c r="GD2025" s="20"/>
      <c r="GE2025" s="20"/>
      <c r="GF2025" s="20"/>
      <c r="GG2025" s="20"/>
      <c r="GH2025" s="20"/>
      <c r="GI2025" s="20"/>
      <c r="GJ2025" s="20"/>
      <c r="GK2025" s="20"/>
      <c r="GL2025" s="20"/>
      <c r="GM2025" s="20"/>
      <c r="GN2025" s="20"/>
      <c r="GO2025" s="20"/>
      <c r="GP2025" s="20"/>
      <c r="GQ2025" s="20"/>
      <c r="GR2025" s="20"/>
      <c r="GS2025" s="20"/>
      <c r="GT2025" s="20"/>
      <c r="GU2025" s="20"/>
      <c r="GV2025" s="20"/>
      <c r="GW2025" s="20"/>
      <c r="GX2025" s="20"/>
      <c r="GY2025" s="20"/>
      <c r="GZ2025" s="20"/>
      <c r="HA2025" s="20"/>
      <c r="HB2025" s="20"/>
      <c r="HC2025" s="20"/>
      <c r="HD2025" s="20"/>
      <c r="HE2025" s="20"/>
      <c r="HF2025" s="20"/>
      <c r="HG2025" s="20"/>
      <c r="HH2025" s="20"/>
      <c r="HI2025" s="20"/>
      <c r="HJ2025" s="20"/>
      <c r="HK2025" s="20"/>
      <c r="HL2025" s="20"/>
      <c r="HM2025" s="20"/>
      <c r="HN2025" s="20"/>
      <c r="HO2025" s="20"/>
      <c r="HP2025" s="20"/>
      <c r="HQ2025" s="20"/>
      <c r="HR2025" s="20"/>
      <c r="HS2025" s="20"/>
      <c r="HT2025" s="20"/>
      <c r="HU2025" s="20"/>
      <c r="HV2025" s="20"/>
      <c r="HW2025" s="20"/>
      <c r="HX2025" s="20"/>
      <c r="HY2025" s="20"/>
      <c r="HZ2025" s="20"/>
      <c r="IA2025" s="20"/>
      <c r="IB2025" s="20"/>
      <c r="IC2025" s="20"/>
      <c r="ID2025" s="20"/>
      <c r="IE2025" s="20"/>
      <c r="IF2025" s="20"/>
      <c r="IG2025" s="20"/>
      <c r="IH2025" s="20"/>
      <c r="II2025" s="20"/>
      <c r="IJ2025" s="20"/>
      <c r="IK2025" s="20"/>
      <c r="IL2025" s="20"/>
      <c r="IM2025" s="20"/>
      <c r="IN2025" s="20"/>
      <c r="IO2025" s="20"/>
    </row>
    <row r="2026" spans="1:249" s="22" customFormat="1" ht="36" customHeight="1">
      <c r="A2026" s="794"/>
      <c r="B2026" s="840"/>
      <c r="C2026" s="841">
        <v>4</v>
      </c>
      <c r="D2026" s="841" t="s">
        <v>34</v>
      </c>
      <c r="E2026" s="841" t="s">
        <v>25</v>
      </c>
      <c r="F2026" s="841" t="s">
        <v>104</v>
      </c>
      <c r="G2026" s="841" t="s">
        <v>38</v>
      </c>
      <c r="H2026" s="841"/>
      <c r="I2026" s="407" t="s">
        <v>1948</v>
      </c>
      <c r="J2026" s="6" t="s">
        <v>1949</v>
      </c>
      <c r="K2026" s="1902">
        <v>200</v>
      </c>
      <c r="L2026" s="1908">
        <v>801800000</v>
      </c>
      <c r="M2026" s="1903">
        <f>55+60</f>
        <v>115</v>
      </c>
      <c r="N2026" s="1904">
        <f>383367800+398540051</f>
        <v>781907851</v>
      </c>
      <c r="O2026" s="1903">
        <v>60</v>
      </c>
      <c r="P2026" s="1905">
        <v>395290100</v>
      </c>
      <c r="Q2026" s="1903"/>
      <c r="R2026" s="1904">
        <v>0</v>
      </c>
      <c r="S2026" s="795"/>
      <c r="T2026" s="1906">
        <v>279781600</v>
      </c>
      <c r="U2026" s="795"/>
      <c r="V2026" s="1906"/>
      <c r="W2026" s="795"/>
      <c r="X2026" s="1906"/>
      <c r="Y2026" s="1903">
        <f t="shared" ref="Y2026:Y2027" si="609">Q2026+S2026</f>
        <v>0</v>
      </c>
      <c r="Z2026" s="1906">
        <f>R2026+T2026+V2026+X2026</f>
        <v>279781600</v>
      </c>
      <c r="AA2026" s="1903">
        <f t="shared" si="606"/>
        <v>115</v>
      </c>
      <c r="AB2026" s="1906">
        <f t="shared" si="595"/>
        <v>1061689451</v>
      </c>
      <c r="AC2026" s="1907">
        <f t="shared" si="607"/>
        <v>57.499999999999993</v>
      </c>
      <c r="AD2026" s="1907">
        <f t="shared" si="608"/>
        <v>132.41325155899227</v>
      </c>
      <c r="AE2026" s="102" t="s">
        <v>1982</v>
      </c>
      <c r="AF2026" s="201"/>
      <c r="AG2026" s="201"/>
      <c r="AH2026" s="201"/>
      <c r="AI2026" s="201"/>
      <c r="AJ2026" s="201"/>
      <c r="AK2026" s="201"/>
      <c r="AL2026" s="201"/>
      <c r="AM2026" s="201"/>
      <c r="AN2026" s="201"/>
      <c r="AO2026" s="201"/>
      <c r="AP2026" s="201"/>
      <c r="AQ2026" s="201"/>
      <c r="AR2026" s="201"/>
      <c r="AS2026" s="201"/>
      <c r="AT2026" s="201"/>
      <c r="AU2026" s="201"/>
      <c r="AV2026" s="201"/>
      <c r="AW2026" s="201"/>
      <c r="AX2026" s="201"/>
      <c r="AY2026" s="201"/>
      <c r="AZ2026" s="201"/>
      <c r="BA2026" s="201"/>
      <c r="BB2026" s="201"/>
      <c r="BC2026" s="20"/>
      <c r="BD2026" s="20"/>
      <c r="BE2026" s="20"/>
      <c r="BF2026" s="20"/>
      <c r="BG2026" s="20"/>
      <c r="BH2026" s="20"/>
      <c r="BI2026" s="20"/>
      <c r="BJ2026" s="20"/>
      <c r="BK2026" s="20"/>
      <c r="BL2026" s="20"/>
      <c r="BM2026" s="20"/>
      <c r="BN2026" s="20"/>
      <c r="BO2026" s="20"/>
      <c r="BP2026" s="20"/>
      <c r="BQ2026" s="20"/>
      <c r="BR2026" s="20"/>
      <c r="BS2026" s="20"/>
      <c r="BT2026" s="20"/>
      <c r="BU2026" s="20"/>
      <c r="BV2026" s="20"/>
      <c r="BW2026" s="20"/>
      <c r="BX2026" s="20"/>
      <c r="BY2026" s="20"/>
      <c r="BZ2026" s="20"/>
      <c r="CA2026" s="20"/>
      <c r="CB2026" s="20"/>
      <c r="CC2026" s="20"/>
      <c r="CD2026" s="20"/>
      <c r="CE2026" s="20"/>
      <c r="CF2026" s="20"/>
      <c r="CG2026" s="20"/>
      <c r="CH2026" s="20"/>
      <c r="CI2026" s="20"/>
      <c r="CJ2026" s="20"/>
      <c r="CK2026" s="20"/>
      <c r="CL2026" s="20"/>
      <c r="CM2026" s="20"/>
      <c r="CN2026" s="20"/>
      <c r="CO2026" s="20"/>
      <c r="CP2026" s="20"/>
      <c r="CQ2026" s="20"/>
      <c r="CR2026" s="20"/>
      <c r="CS2026" s="20"/>
      <c r="CT2026" s="20"/>
      <c r="CU2026" s="20"/>
      <c r="CV2026" s="20"/>
      <c r="CW2026" s="20"/>
      <c r="CX2026" s="20"/>
      <c r="CY2026" s="20"/>
      <c r="CZ2026" s="20"/>
      <c r="DA2026" s="20"/>
      <c r="DB2026" s="20"/>
      <c r="DC2026" s="20"/>
      <c r="DD2026" s="20"/>
      <c r="DE2026" s="20"/>
      <c r="DF2026" s="20"/>
      <c r="DG2026" s="20"/>
      <c r="DH2026" s="20"/>
      <c r="DI2026" s="20"/>
      <c r="DJ2026" s="20"/>
      <c r="DK2026" s="20"/>
      <c r="DL2026" s="20"/>
      <c r="DM2026" s="20"/>
      <c r="DN2026" s="20"/>
      <c r="DO2026" s="20"/>
      <c r="DP2026" s="20"/>
      <c r="DQ2026" s="20"/>
      <c r="DR2026" s="20"/>
      <c r="DS2026" s="20"/>
      <c r="DT2026" s="20"/>
      <c r="DU2026" s="20"/>
      <c r="DV2026" s="20"/>
      <c r="DW2026" s="20"/>
      <c r="DX2026" s="20"/>
      <c r="DY2026" s="20"/>
      <c r="DZ2026" s="20"/>
      <c r="EA2026" s="20"/>
      <c r="EB2026" s="20"/>
      <c r="EC2026" s="20"/>
      <c r="ED2026" s="20"/>
      <c r="EE2026" s="20"/>
      <c r="EF2026" s="20"/>
      <c r="EG2026" s="20"/>
      <c r="EH2026" s="20"/>
      <c r="EI2026" s="20"/>
      <c r="EJ2026" s="20"/>
      <c r="EK2026" s="20"/>
      <c r="EL2026" s="20"/>
      <c r="EM2026" s="20"/>
      <c r="EN2026" s="20"/>
      <c r="EO2026" s="20"/>
      <c r="EP2026" s="20"/>
      <c r="EQ2026" s="20"/>
      <c r="ER2026" s="20"/>
      <c r="ES2026" s="20"/>
      <c r="ET2026" s="20"/>
      <c r="EU2026" s="20"/>
      <c r="EV2026" s="20"/>
      <c r="EW2026" s="20"/>
      <c r="EX2026" s="20"/>
      <c r="EY2026" s="20"/>
      <c r="EZ2026" s="20"/>
      <c r="FA2026" s="20"/>
      <c r="FB2026" s="20"/>
      <c r="FC2026" s="20"/>
      <c r="FD2026" s="20"/>
      <c r="FE2026" s="20"/>
      <c r="FF2026" s="20"/>
      <c r="FG2026" s="20"/>
      <c r="FH2026" s="20"/>
      <c r="FI2026" s="20"/>
      <c r="FJ2026" s="20"/>
      <c r="FK2026" s="20"/>
      <c r="FL2026" s="20"/>
      <c r="FM2026" s="20"/>
      <c r="FN2026" s="20"/>
      <c r="FO2026" s="20"/>
      <c r="FP2026" s="20"/>
      <c r="FQ2026" s="20"/>
      <c r="FR2026" s="20"/>
      <c r="FS2026" s="20"/>
      <c r="FT2026" s="20"/>
      <c r="FU2026" s="20"/>
      <c r="FV2026" s="20"/>
      <c r="FW2026" s="20"/>
      <c r="FX2026" s="20"/>
      <c r="FY2026" s="20"/>
      <c r="FZ2026" s="20"/>
      <c r="GA2026" s="20"/>
      <c r="GB2026" s="20"/>
      <c r="GC2026" s="20"/>
      <c r="GD2026" s="20"/>
      <c r="GE2026" s="20"/>
      <c r="GF2026" s="20"/>
      <c r="GG2026" s="20"/>
      <c r="GH2026" s="20"/>
      <c r="GI2026" s="20"/>
      <c r="GJ2026" s="20"/>
      <c r="GK2026" s="20"/>
      <c r="GL2026" s="20"/>
      <c r="GM2026" s="20"/>
      <c r="GN2026" s="20"/>
      <c r="GO2026" s="20"/>
      <c r="GP2026" s="20"/>
      <c r="GQ2026" s="20"/>
      <c r="GR2026" s="20"/>
      <c r="GS2026" s="20"/>
      <c r="GT2026" s="20"/>
      <c r="GU2026" s="20"/>
      <c r="GV2026" s="20"/>
      <c r="GW2026" s="20"/>
      <c r="GX2026" s="20"/>
      <c r="GY2026" s="20"/>
      <c r="GZ2026" s="20"/>
      <c r="HA2026" s="20"/>
      <c r="HB2026" s="20"/>
      <c r="HC2026" s="20"/>
      <c r="HD2026" s="20"/>
      <c r="HE2026" s="20"/>
      <c r="HF2026" s="20"/>
      <c r="HG2026" s="20"/>
      <c r="HH2026" s="20"/>
      <c r="HI2026" s="20"/>
      <c r="HJ2026" s="20"/>
      <c r="HK2026" s="20"/>
      <c r="HL2026" s="20"/>
      <c r="HM2026" s="20"/>
      <c r="HN2026" s="20"/>
      <c r="HO2026" s="20"/>
      <c r="HP2026" s="20"/>
      <c r="HQ2026" s="20"/>
      <c r="HR2026" s="20"/>
      <c r="HS2026" s="20"/>
      <c r="HT2026" s="20"/>
      <c r="HU2026" s="20"/>
      <c r="HV2026" s="20"/>
      <c r="HW2026" s="20"/>
      <c r="HX2026" s="20"/>
      <c r="HY2026" s="20"/>
      <c r="HZ2026" s="20"/>
      <c r="IA2026" s="20"/>
      <c r="IB2026" s="20"/>
      <c r="IC2026" s="20"/>
      <c r="ID2026" s="20"/>
      <c r="IE2026" s="20"/>
      <c r="IF2026" s="20"/>
      <c r="IG2026" s="20"/>
      <c r="IH2026" s="20"/>
      <c r="II2026" s="20"/>
      <c r="IJ2026" s="20"/>
      <c r="IK2026" s="20"/>
      <c r="IL2026" s="20"/>
      <c r="IM2026" s="20"/>
      <c r="IN2026" s="20"/>
      <c r="IO2026" s="20"/>
    </row>
    <row r="2027" spans="1:249" s="22" customFormat="1" ht="36" customHeight="1">
      <c r="A2027" s="794"/>
      <c r="B2027" s="840"/>
      <c r="C2027" s="841">
        <v>4</v>
      </c>
      <c r="D2027" s="841" t="s">
        <v>34</v>
      </c>
      <c r="E2027" s="841" t="s">
        <v>25</v>
      </c>
      <c r="F2027" s="841" t="s">
        <v>104</v>
      </c>
      <c r="G2027" s="841" t="s">
        <v>43</v>
      </c>
      <c r="H2027" s="841"/>
      <c r="I2027" s="407" t="s">
        <v>1950</v>
      </c>
      <c r="J2027" s="6" t="s">
        <v>1951</v>
      </c>
      <c r="K2027" s="1902">
        <v>37</v>
      </c>
      <c r="L2027" s="1905">
        <f>27023445+50000000+55000000</f>
        <v>132023445</v>
      </c>
      <c r="M2027" s="1903"/>
      <c r="N2027" s="1904"/>
      <c r="O2027" s="1903">
        <v>37</v>
      </c>
      <c r="P2027" s="2686">
        <v>27023445</v>
      </c>
      <c r="Q2027" s="1903">
        <v>9</v>
      </c>
      <c r="R2027" s="1904">
        <v>457000</v>
      </c>
      <c r="S2027" s="795">
        <v>9</v>
      </c>
      <c r="T2027" s="1906">
        <v>3311700</v>
      </c>
      <c r="U2027" s="795"/>
      <c r="V2027" s="1906"/>
      <c r="W2027" s="795"/>
      <c r="X2027" s="1906"/>
      <c r="Y2027" s="1903">
        <f t="shared" si="609"/>
        <v>18</v>
      </c>
      <c r="Z2027" s="1906">
        <v>457000</v>
      </c>
      <c r="AA2027" s="1903">
        <f t="shared" si="606"/>
        <v>18</v>
      </c>
      <c r="AB2027" s="1906">
        <f t="shared" si="595"/>
        <v>457000</v>
      </c>
      <c r="AC2027" s="1907">
        <f t="shared" si="607"/>
        <v>48.648648648648653</v>
      </c>
      <c r="AD2027" s="1907">
        <f t="shared" si="608"/>
        <v>0.34615064013819669</v>
      </c>
      <c r="AE2027" s="102" t="s">
        <v>1982</v>
      </c>
      <c r="AF2027" s="201"/>
      <c r="AG2027" s="201"/>
      <c r="AH2027" s="201"/>
      <c r="AI2027" s="201"/>
      <c r="AJ2027" s="201"/>
      <c r="AK2027" s="201"/>
      <c r="AL2027" s="201"/>
      <c r="AM2027" s="201"/>
      <c r="AN2027" s="201"/>
      <c r="AO2027" s="201"/>
      <c r="AP2027" s="201"/>
      <c r="AQ2027" s="201"/>
      <c r="AR2027" s="201"/>
      <c r="AS2027" s="201"/>
      <c r="AT2027" s="201"/>
      <c r="AU2027" s="201"/>
      <c r="AV2027" s="201"/>
      <c r="AW2027" s="201"/>
      <c r="AX2027" s="201"/>
      <c r="AY2027" s="201"/>
      <c r="AZ2027" s="201"/>
      <c r="BA2027" s="201"/>
      <c r="BB2027" s="201"/>
      <c r="BC2027" s="20"/>
      <c r="BD2027" s="20"/>
      <c r="BE2027" s="20"/>
      <c r="BF2027" s="20"/>
      <c r="BG2027" s="20"/>
      <c r="BH2027" s="20"/>
      <c r="BI2027" s="20"/>
      <c r="BJ2027" s="20"/>
      <c r="BK2027" s="20"/>
      <c r="BL2027" s="20"/>
      <c r="BM2027" s="20"/>
      <c r="BN2027" s="20"/>
      <c r="BO2027" s="20"/>
      <c r="BP2027" s="20"/>
      <c r="BQ2027" s="20"/>
      <c r="BR2027" s="20"/>
      <c r="BS2027" s="20"/>
      <c r="BT2027" s="20"/>
      <c r="BU2027" s="20"/>
      <c r="BV2027" s="20"/>
      <c r="BW2027" s="20"/>
      <c r="BX2027" s="20"/>
      <c r="BY2027" s="20"/>
      <c r="BZ2027" s="20"/>
      <c r="CA2027" s="20"/>
      <c r="CB2027" s="20"/>
      <c r="CC2027" s="20"/>
      <c r="CD2027" s="20"/>
      <c r="CE2027" s="20"/>
      <c r="CF2027" s="20"/>
      <c r="CG2027" s="20"/>
      <c r="CH2027" s="20"/>
      <c r="CI2027" s="20"/>
      <c r="CJ2027" s="20"/>
      <c r="CK2027" s="20"/>
      <c r="CL2027" s="20"/>
      <c r="CM2027" s="20"/>
      <c r="CN2027" s="20"/>
      <c r="CO2027" s="20"/>
      <c r="CP2027" s="20"/>
      <c r="CQ2027" s="20"/>
      <c r="CR2027" s="20"/>
      <c r="CS2027" s="20"/>
      <c r="CT2027" s="20"/>
      <c r="CU2027" s="20"/>
      <c r="CV2027" s="20"/>
      <c r="CW2027" s="20"/>
      <c r="CX2027" s="20"/>
      <c r="CY2027" s="20"/>
      <c r="CZ2027" s="20"/>
      <c r="DA2027" s="20"/>
      <c r="DB2027" s="20"/>
      <c r="DC2027" s="20"/>
      <c r="DD2027" s="20"/>
      <c r="DE2027" s="20"/>
      <c r="DF2027" s="20"/>
      <c r="DG2027" s="20"/>
      <c r="DH2027" s="20"/>
      <c r="DI2027" s="20"/>
      <c r="DJ2027" s="20"/>
      <c r="DK2027" s="20"/>
      <c r="DL2027" s="20"/>
      <c r="DM2027" s="20"/>
      <c r="DN2027" s="20"/>
      <c r="DO2027" s="20"/>
      <c r="DP2027" s="20"/>
      <c r="DQ2027" s="20"/>
      <c r="DR2027" s="20"/>
      <c r="DS2027" s="20"/>
      <c r="DT2027" s="20"/>
      <c r="DU2027" s="20"/>
      <c r="DV2027" s="20"/>
      <c r="DW2027" s="20"/>
      <c r="DX2027" s="20"/>
      <c r="DY2027" s="20"/>
      <c r="DZ2027" s="20"/>
      <c r="EA2027" s="20"/>
      <c r="EB2027" s="20"/>
      <c r="EC2027" s="20"/>
      <c r="ED2027" s="20"/>
      <c r="EE2027" s="20"/>
      <c r="EF2027" s="20"/>
      <c r="EG2027" s="20"/>
      <c r="EH2027" s="20"/>
      <c r="EI2027" s="20"/>
      <c r="EJ2027" s="20"/>
      <c r="EK2027" s="20"/>
      <c r="EL2027" s="20"/>
      <c r="EM2027" s="20"/>
      <c r="EN2027" s="20"/>
      <c r="EO2027" s="20"/>
      <c r="EP2027" s="20"/>
      <c r="EQ2027" s="20"/>
      <c r="ER2027" s="20"/>
      <c r="ES2027" s="20"/>
      <c r="ET2027" s="20"/>
      <c r="EU2027" s="20"/>
      <c r="EV2027" s="20"/>
      <c r="EW2027" s="20"/>
      <c r="EX2027" s="20"/>
      <c r="EY2027" s="20"/>
      <c r="EZ2027" s="20"/>
      <c r="FA2027" s="20"/>
      <c r="FB2027" s="20"/>
      <c r="FC2027" s="20"/>
      <c r="FD2027" s="20"/>
      <c r="FE2027" s="20"/>
      <c r="FF2027" s="20"/>
      <c r="FG2027" s="20"/>
      <c r="FH2027" s="20"/>
      <c r="FI2027" s="20"/>
      <c r="FJ2027" s="20"/>
      <c r="FK2027" s="20"/>
      <c r="FL2027" s="20"/>
      <c r="FM2027" s="20"/>
      <c r="FN2027" s="20"/>
      <c r="FO2027" s="20"/>
      <c r="FP2027" s="20"/>
      <c r="FQ2027" s="20"/>
      <c r="FR2027" s="20"/>
      <c r="FS2027" s="20"/>
      <c r="FT2027" s="20"/>
      <c r="FU2027" s="20"/>
      <c r="FV2027" s="20"/>
      <c r="FW2027" s="20"/>
      <c r="FX2027" s="20"/>
      <c r="FY2027" s="20"/>
      <c r="FZ2027" s="20"/>
      <c r="GA2027" s="20"/>
      <c r="GB2027" s="20"/>
      <c r="GC2027" s="20"/>
      <c r="GD2027" s="20"/>
      <c r="GE2027" s="20"/>
      <c r="GF2027" s="20"/>
      <c r="GG2027" s="20"/>
      <c r="GH2027" s="20"/>
      <c r="GI2027" s="20"/>
      <c r="GJ2027" s="20"/>
      <c r="GK2027" s="20"/>
      <c r="GL2027" s="20"/>
      <c r="GM2027" s="20"/>
      <c r="GN2027" s="20"/>
      <c r="GO2027" s="20"/>
      <c r="GP2027" s="20"/>
      <c r="GQ2027" s="20"/>
      <c r="GR2027" s="20"/>
      <c r="GS2027" s="20"/>
      <c r="GT2027" s="20"/>
      <c r="GU2027" s="20"/>
      <c r="GV2027" s="20"/>
      <c r="GW2027" s="20"/>
      <c r="GX2027" s="20"/>
      <c r="GY2027" s="20"/>
      <c r="GZ2027" s="20"/>
      <c r="HA2027" s="20"/>
      <c r="HB2027" s="20"/>
      <c r="HC2027" s="20"/>
      <c r="HD2027" s="20"/>
      <c r="HE2027" s="20"/>
      <c r="HF2027" s="20"/>
      <c r="HG2027" s="20"/>
      <c r="HH2027" s="20"/>
      <c r="HI2027" s="20"/>
      <c r="HJ2027" s="20"/>
      <c r="HK2027" s="20"/>
      <c r="HL2027" s="20"/>
      <c r="HM2027" s="20"/>
      <c r="HN2027" s="20"/>
      <c r="HO2027" s="20"/>
      <c r="HP2027" s="20"/>
      <c r="HQ2027" s="20"/>
      <c r="HR2027" s="20"/>
      <c r="HS2027" s="20"/>
      <c r="HT2027" s="20"/>
      <c r="HU2027" s="20"/>
      <c r="HV2027" s="20"/>
      <c r="HW2027" s="20"/>
      <c r="HX2027" s="20"/>
      <c r="HY2027" s="20"/>
      <c r="HZ2027" s="20"/>
      <c r="IA2027" s="20"/>
      <c r="IB2027" s="20"/>
      <c r="IC2027" s="20"/>
      <c r="ID2027" s="20"/>
      <c r="IE2027" s="20"/>
      <c r="IF2027" s="20"/>
      <c r="IG2027" s="20"/>
      <c r="IH2027" s="20"/>
      <c r="II2027" s="20"/>
      <c r="IJ2027" s="20"/>
      <c r="IK2027" s="20"/>
      <c r="IL2027" s="20"/>
      <c r="IM2027" s="20"/>
      <c r="IN2027" s="20"/>
      <c r="IO2027" s="20"/>
    </row>
    <row r="2028" spans="1:249" s="22" customFormat="1" ht="36" customHeight="1">
      <c r="A2028" s="794"/>
      <c r="B2028" s="840"/>
      <c r="C2028" s="841">
        <v>4</v>
      </c>
      <c r="D2028" s="841" t="s">
        <v>34</v>
      </c>
      <c r="E2028" s="841" t="s">
        <v>25</v>
      </c>
      <c r="F2028" s="841" t="s">
        <v>104</v>
      </c>
      <c r="G2028" s="841">
        <v>10</v>
      </c>
      <c r="H2028" s="841"/>
      <c r="I2028" s="407" t="s">
        <v>1952</v>
      </c>
      <c r="J2028" s="6" t="s">
        <v>1953</v>
      </c>
      <c r="K2028" s="1902">
        <v>500</v>
      </c>
      <c r="L2028" s="1908">
        <v>200000000</v>
      </c>
      <c r="M2028" s="1903">
        <f>150+150</f>
        <v>300</v>
      </c>
      <c r="N2028" s="1904">
        <f>19725850+25697450+48299511</f>
        <v>93722811</v>
      </c>
      <c r="O2028" s="1902">
        <v>150</v>
      </c>
      <c r="P2028" s="2686">
        <v>17186000</v>
      </c>
      <c r="Q2028" s="1903">
        <v>37</v>
      </c>
      <c r="R2028" s="1904">
        <v>2688750</v>
      </c>
      <c r="S2028" s="795">
        <v>37</v>
      </c>
      <c r="T2028" s="1906">
        <v>7732200</v>
      </c>
      <c r="U2028" s="795"/>
      <c r="V2028" s="1906"/>
      <c r="W2028" s="795"/>
      <c r="X2028" s="1906"/>
      <c r="Y2028" s="1903">
        <f t="shared" ref="Y2028:Z2033" si="610">Q2028+S2028+U2028+W2028</f>
        <v>74</v>
      </c>
      <c r="Z2028" s="1906">
        <f t="shared" si="610"/>
        <v>10420950</v>
      </c>
      <c r="AA2028" s="1903">
        <f t="shared" si="606"/>
        <v>374</v>
      </c>
      <c r="AB2028" s="1906">
        <f t="shared" si="595"/>
        <v>104143761</v>
      </c>
      <c r="AC2028" s="1907">
        <f t="shared" si="607"/>
        <v>74.8</v>
      </c>
      <c r="AD2028" s="1907">
        <f t="shared" si="608"/>
        <v>52.071880499999999</v>
      </c>
      <c r="AE2028" s="102" t="s">
        <v>1982</v>
      </c>
      <c r="AF2028" s="201"/>
      <c r="AG2028" s="201"/>
      <c r="AH2028" s="201"/>
      <c r="AI2028" s="201"/>
      <c r="AJ2028" s="201"/>
      <c r="AK2028" s="201"/>
      <c r="AL2028" s="201"/>
      <c r="AM2028" s="201"/>
      <c r="AN2028" s="201"/>
      <c r="AO2028" s="201"/>
      <c r="AP2028" s="201"/>
      <c r="AQ2028" s="201"/>
      <c r="AR2028" s="201"/>
      <c r="AS2028" s="201"/>
      <c r="AT2028" s="201"/>
      <c r="AU2028" s="201"/>
      <c r="AV2028" s="201"/>
      <c r="AW2028" s="201"/>
      <c r="AX2028" s="201"/>
      <c r="AY2028" s="201"/>
      <c r="AZ2028" s="201"/>
      <c r="BA2028" s="201"/>
      <c r="BB2028" s="201"/>
      <c r="BC2028" s="20"/>
      <c r="BD2028" s="20"/>
      <c r="BE2028" s="20"/>
      <c r="BF2028" s="20"/>
      <c r="BG2028" s="20"/>
      <c r="BH2028" s="20"/>
      <c r="BI2028" s="20"/>
      <c r="BJ2028" s="20"/>
      <c r="BK2028" s="20"/>
      <c r="BL2028" s="20"/>
      <c r="BM2028" s="20"/>
      <c r="BN2028" s="20"/>
      <c r="BO2028" s="20"/>
      <c r="BP2028" s="20"/>
      <c r="BQ2028" s="20"/>
      <c r="BR2028" s="20"/>
      <c r="BS2028" s="20"/>
      <c r="BT2028" s="20"/>
      <c r="BU2028" s="20"/>
      <c r="BV2028" s="20"/>
      <c r="BW2028" s="20"/>
      <c r="BX2028" s="20"/>
      <c r="BY2028" s="20"/>
      <c r="BZ2028" s="20"/>
      <c r="CA2028" s="20"/>
      <c r="CB2028" s="20"/>
      <c r="CC2028" s="20"/>
      <c r="CD2028" s="20"/>
      <c r="CE2028" s="20"/>
      <c r="CF2028" s="20"/>
      <c r="CG2028" s="20"/>
      <c r="CH2028" s="20"/>
      <c r="CI2028" s="20"/>
      <c r="CJ2028" s="20"/>
      <c r="CK2028" s="20"/>
      <c r="CL2028" s="20"/>
      <c r="CM2028" s="20"/>
      <c r="CN2028" s="20"/>
      <c r="CO2028" s="20"/>
      <c r="CP2028" s="20"/>
      <c r="CQ2028" s="20"/>
      <c r="CR2028" s="20"/>
      <c r="CS2028" s="20"/>
      <c r="CT2028" s="20"/>
      <c r="CU2028" s="20"/>
      <c r="CV2028" s="20"/>
      <c r="CW2028" s="20"/>
      <c r="CX2028" s="20"/>
      <c r="CY2028" s="20"/>
      <c r="CZ2028" s="20"/>
      <c r="DA2028" s="20"/>
      <c r="DB2028" s="20"/>
      <c r="DC2028" s="20"/>
      <c r="DD2028" s="20"/>
      <c r="DE2028" s="20"/>
      <c r="DF2028" s="20"/>
      <c r="DG2028" s="20"/>
      <c r="DH2028" s="20"/>
      <c r="DI2028" s="20"/>
      <c r="DJ2028" s="20"/>
      <c r="DK2028" s="20"/>
      <c r="DL2028" s="20"/>
      <c r="DM2028" s="20"/>
      <c r="DN2028" s="20"/>
      <c r="DO2028" s="20"/>
      <c r="DP2028" s="20"/>
      <c r="DQ2028" s="20"/>
      <c r="DR2028" s="20"/>
      <c r="DS2028" s="20"/>
      <c r="DT2028" s="20"/>
      <c r="DU2028" s="20"/>
      <c r="DV2028" s="20"/>
      <c r="DW2028" s="20"/>
      <c r="DX2028" s="20"/>
      <c r="DY2028" s="20"/>
      <c r="DZ2028" s="20"/>
      <c r="EA2028" s="20"/>
      <c r="EB2028" s="20"/>
      <c r="EC2028" s="20"/>
      <c r="ED2028" s="20"/>
      <c r="EE2028" s="20"/>
      <c r="EF2028" s="20"/>
      <c r="EG2028" s="20"/>
      <c r="EH2028" s="20"/>
      <c r="EI2028" s="20"/>
      <c r="EJ2028" s="20"/>
      <c r="EK2028" s="20"/>
      <c r="EL2028" s="20"/>
      <c r="EM2028" s="20"/>
      <c r="EN2028" s="20"/>
      <c r="EO2028" s="20"/>
      <c r="EP2028" s="20"/>
      <c r="EQ2028" s="20"/>
      <c r="ER2028" s="20"/>
      <c r="ES2028" s="20"/>
      <c r="ET2028" s="20"/>
      <c r="EU2028" s="20"/>
      <c r="EV2028" s="20"/>
      <c r="EW2028" s="20"/>
      <c r="EX2028" s="20"/>
      <c r="EY2028" s="20"/>
      <c r="EZ2028" s="20"/>
      <c r="FA2028" s="20"/>
      <c r="FB2028" s="20"/>
      <c r="FC2028" s="20"/>
      <c r="FD2028" s="20"/>
      <c r="FE2028" s="20"/>
      <c r="FF2028" s="20"/>
      <c r="FG2028" s="20"/>
      <c r="FH2028" s="20"/>
      <c r="FI2028" s="20"/>
      <c r="FJ2028" s="20"/>
      <c r="FK2028" s="20"/>
      <c r="FL2028" s="20"/>
      <c r="FM2028" s="20"/>
      <c r="FN2028" s="20"/>
      <c r="FO2028" s="20"/>
      <c r="FP2028" s="20"/>
      <c r="FQ2028" s="20"/>
      <c r="FR2028" s="20"/>
      <c r="FS2028" s="20"/>
      <c r="FT2028" s="20"/>
      <c r="FU2028" s="20"/>
      <c r="FV2028" s="20"/>
      <c r="FW2028" s="20"/>
      <c r="FX2028" s="20"/>
      <c r="FY2028" s="20"/>
      <c r="FZ2028" s="20"/>
      <c r="GA2028" s="20"/>
      <c r="GB2028" s="20"/>
      <c r="GC2028" s="20"/>
      <c r="GD2028" s="20"/>
      <c r="GE2028" s="20"/>
      <c r="GF2028" s="20"/>
      <c r="GG2028" s="20"/>
      <c r="GH2028" s="20"/>
      <c r="GI2028" s="20"/>
      <c r="GJ2028" s="20"/>
      <c r="GK2028" s="20"/>
      <c r="GL2028" s="20"/>
      <c r="GM2028" s="20"/>
      <c r="GN2028" s="20"/>
      <c r="GO2028" s="20"/>
      <c r="GP2028" s="20"/>
      <c r="GQ2028" s="20"/>
      <c r="GR2028" s="20"/>
      <c r="GS2028" s="20"/>
      <c r="GT2028" s="20"/>
      <c r="GU2028" s="20"/>
      <c r="GV2028" s="20"/>
      <c r="GW2028" s="20"/>
      <c r="GX2028" s="20"/>
      <c r="GY2028" s="20"/>
      <c r="GZ2028" s="20"/>
      <c r="HA2028" s="20"/>
      <c r="HB2028" s="20"/>
      <c r="HC2028" s="20"/>
      <c r="HD2028" s="20"/>
      <c r="HE2028" s="20"/>
      <c r="HF2028" s="20"/>
      <c r="HG2028" s="20"/>
      <c r="HH2028" s="20"/>
      <c r="HI2028" s="20"/>
      <c r="HJ2028" s="20"/>
      <c r="HK2028" s="20"/>
      <c r="HL2028" s="20"/>
      <c r="HM2028" s="20"/>
      <c r="HN2028" s="20"/>
      <c r="HO2028" s="20"/>
      <c r="HP2028" s="20"/>
      <c r="HQ2028" s="20"/>
      <c r="HR2028" s="20"/>
      <c r="HS2028" s="20"/>
      <c r="HT2028" s="20"/>
      <c r="HU2028" s="20"/>
      <c r="HV2028" s="20"/>
      <c r="HW2028" s="20"/>
      <c r="HX2028" s="20"/>
      <c r="HY2028" s="20"/>
      <c r="HZ2028" s="20"/>
      <c r="IA2028" s="20"/>
      <c r="IB2028" s="20"/>
      <c r="IC2028" s="20"/>
      <c r="ID2028" s="20"/>
      <c r="IE2028" s="20"/>
      <c r="IF2028" s="20"/>
      <c r="IG2028" s="20"/>
      <c r="IH2028" s="20"/>
      <c r="II2028" s="20"/>
      <c r="IJ2028" s="20"/>
      <c r="IK2028" s="20"/>
      <c r="IL2028" s="20"/>
      <c r="IM2028" s="20"/>
      <c r="IN2028" s="20"/>
      <c r="IO2028" s="20"/>
    </row>
    <row r="2029" spans="1:249" s="22" customFormat="1" ht="36" customHeight="1">
      <c r="A2029" s="794"/>
      <c r="B2029" s="840"/>
      <c r="C2029" s="841">
        <v>4</v>
      </c>
      <c r="D2029" s="841" t="s">
        <v>34</v>
      </c>
      <c r="E2029" s="841" t="s">
        <v>25</v>
      </c>
      <c r="F2029" s="841" t="s">
        <v>104</v>
      </c>
      <c r="G2029" s="841">
        <v>11</v>
      </c>
      <c r="H2029" s="841"/>
      <c r="I2029" s="6" t="s">
        <v>1954</v>
      </c>
      <c r="J2029" s="6" t="s">
        <v>1949</v>
      </c>
      <c r="K2029" s="1902">
        <v>30</v>
      </c>
      <c r="L2029" s="1908">
        <v>210000000</v>
      </c>
      <c r="M2029" s="1903">
        <v>30</v>
      </c>
      <c r="N2029" s="1904">
        <f>95122000+104636188</f>
        <v>199758188</v>
      </c>
      <c r="O2029" s="1902">
        <v>15</v>
      </c>
      <c r="P2029" s="2686">
        <v>56325000</v>
      </c>
      <c r="Q2029" s="1903">
        <v>3</v>
      </c>
      <c r="R2029" s="1904">
        <v>9731950</v>
      </c>
      <c r="S2029" s="795">
        <v>3</v>
      </c>
      <c r="T2029" s="1906">
        <v>35095700</v>
      </c>
      <c r="U2029" s="795"/>
      <c r="V2029" s="1906"/>
      <c r="W2029" s="795"/>
      <c r="X2029" s="1906"/>
      <c r="Y2029" s="1903">
        <f t="shared" si="610"/>
        <v>6</v>
      </c>
      <c r="Z2029" s="1906">
        <f t="shared" si="610"/>
        <v>44827650</v>
      </c>
      <c r="AA2029" s="1903">
        <f t="shared" si="606"/>
        <v>36</v>
      </c>
      <c r="AB2029" s="1906">
        <f t="shared" si="595"/>
        <v>244585838</v>
      </c>
      <c r="AC2029" s="1907">
        <f t="shared" si="607"/>
        <v>120</v>
      </c>
      <c r="AD2029" s="1907">
        <f t="shared" si="608"/>
        <v>116.46944666666667</v>
      </c>
      <c r="AE2029" s="102" t="s">
        <v>1982</v>
      </c>
      <c r="AF2029" s="201"/>
      <c r="AG2029" s="201"/>
      <c r="AH2029" s="201"/>
      <c r="AI2029" s="201"/>
      <c r="AJ2029" s="201"/>
      <c r="AK2029" s="201"/>
      <c r="AL2029" s="201"/>
      <c r="AM2029" s="201"/>
      <c r="AN2029" s="201"/>
      <c r="AO2029" s="201"/>
      <c r="AP2029" s="201"/>
      <c r="AQ2029" s="201"/>
      <c r="AR2029" s="201"/>
      <c r="AS2029" s="201"/>
      <c r="AT2029" s="201"/>
      <c r="AU2029" s="201"/>
      <c r="AV2029" s="201"/>
      <c r="AW2029" s="201"/>
      <c r="AX2029" s="201"/>
      <c r="AY2029" s="201"/>
      <c r="AZ2029" s="201"/>
      <c r="BA2029" s="201"/>
      <c r="BB2029" s="201"/>
      <c r="BC2029" s="20"/>
      <c r="BD2029" s="20"/>
      <c r="BE2029" s="20"/>
      <c r="BF2029" s="20"/>
      <c r="BG2029" s="20"/>
      <c r="BH2029" s="20"/>
      <c r="BI2029" s="20"/>
      <c r="BJ2029" s="20"/>
      <c r="BK2029" s="20"/>
      <c r="BL2029" s="20"/>
      <c r="BM2029" s="20"/>
      <c r="BN2029" s="20"/>
      <c r="BO2029" s="20"/>
      <c r="BP2029" s="20"/>
      <c r="BQ2029" s="20"/>
      <c r="BR2029" s="20"/>
      <c r="BS2029" s="20"/>
      <c r="BT2029" s="20"/>
      <c r="BU2029" s="20"/>
      <c r="BV2029" s="20"/>
      <c r="BW2029" s="20"/>
      <c r="BX2029" s="20"/>
      <c r="BY2029" s="20"/>
      <c r="BZ2029" s="20"/>
      <c r="CA2029" s="20"/>
      <c r="CB2029" s="20"/>
      <c r="CC2029" s="20"/>
      <c r="CD2029" s="20"/>
      <c r="CE2029" s="20"/>
      <c r="CF2029" s="20"/>
      <c r="CG2029" s="20"/>
      <c r="CH2029" s="20"/>
      <c r="CI2029" s="20"/>
      <c r="CJ2029" s="20"/>
      <c r="CK2029" s="20"/>
      <c r="CL2029" s="20"/>
      <c r="CM2029" s="20"/>
      <c r="CN2029" s="20"/>
      <c r="CO2029" s="20"/>
      <c r="CP2029" s="20"/>
      <c r="CQ2029" s="20"/>
      <c r="CR2029" s="20"/>
      <c r="CS2029" s="20"/>
      <c r="CT2029" s="20"/>
      <c r="CU2029" s="20"/>
      <c r="CV2029" s="20"/>
      <c r="CW2029" s="20"/>
      <c r="CX2029" s="20"/>
      <c r="CY2029" s="20"/>
      <c r="CZ2029" s="20"/>
      <c r="DA2029" s="20"/>
      <c r="DB2029" s="20"/>
      <c r="DC2029" s="20"/>
      <c r="DD2029" s="20"/>
      <c r="DE2029" s="20"/>
      <c r="DF2029" s="20"/>
      <c r="DG2029" s="20"/>
      <c r="DH2029" s="20"/>
      <c r="DI2029" s="20"/>
      <c r="DJ2029" s="20"/>
      <c r="DK2029" s="20"/>
      <c r="DL2029" s="20"/>
      <c r="DM2029" s="20"/>
      <c r="DN2029" s="20"/>
      <c r="DO2029" s="20"/>
      <c r="DP2029" s="20"/>
      <c r="DQ2029" s="20"/>
      <c r="DR2029" s="20"/>
      <c r="DS2029" s="20"/>
      <c r="DT2029" s="20"/>
      <c r="DU2029" s="20"/>
      <c r="DV2029" s="20"/>
      <c r="DW2029" s="20"/>
      <c r="DX2029" s="20"/>
      <c r="DY2029" s="20"/>
      <c r="DZ2029" s="20"/>
      <c r="EA2029" s="20"/>
      <c r="EB2029" s="20"/>
      <c r="EC2029" s="20"/>
      <c r="ED2029" s="20"/>
      <c r="EE2029" s="20"/>
      <c r="EF2029" s="20"/>
      <c r="EG2029" s="20"/>
      <c r="EH2029" s="20"/>
      <c r="EI2029" s="20"/>
      <c r="EJ2029" s="20"/>
      <c r="EK2029" s="20"/>
      <c r="EL2029" s="20"/>
      <c r="EM2029" s="20"/>
      <c r="EN2029" s="20"/>
      <c r="EO2029" s="20"/>
      <c r="EP2029" s="20"/>
      <c r="EQ2029" s="20"/>
      <c r="ER2029" s="20"/>
      <c r="ES2029" s="20"/>
      <c r="ET2029" s="20"/>
      <c r="EU2029" s="20"/>
      <c r="EV2029" s="20"/>
      <c r="EW2029" s="20"/>
      <c r="EX2029" s="20"/>
      <c r="EY2029" s="20"/>
      <c r="EZ2029" s="20"/>
      <c r="FA2029" s="20"/>
      <c r="FB2029" s="20"/>
      <c r="FC2029" s="20"/>
      <c r="FD2029" s="20"/>
      <c r="FE2029" s="20"/>
      <c r="FF2029" s="20"/>
      <c r="FG2029" s="20"/>
      <c r="FH2029" s="20"/>
      <c r="FI2029" s="20"/>
      <c r="FJ2029" s="20"/>
      <c r="FK2029" s="20"/>
      <c r="FL2029" s="20"/>
      <c r="FM2029" s="20"/>
      <c r="FN2029" s="20"/>
      <c r="FO2029" s="20"/>
      <c r="FP2029" s="20"/>
      <c r="FQ2029" s="20"/>
      <c r="FR2029" s="20"/>
      <c r="FS2029" s="20"/>
      <c r="FT2029" s="20"/>
      <c r="FU2029" s="20"/>
      <c r="FV2029" s="20"/>
      <c r="FW2029" s="20"/>
      <c r="FX2029" s="20"/>
      <c r="FY2029" s="20"/>
      <c r="FZ2029" s="20"/>
      <c r="GA2029" s="20"/>
      <c r="GB2029" s="20"/>
      <c r="GC2029" s="20"/>
      <c r="GD2029" s="20"/>
      <c r="GE2029" s="20"/>
      <c r="GF2029" s="20"/>
      <c r="GG2029" s="20"/>
      <c r="GH2029" s="20"/>
      <c r="GI2029" s="20"/>
      <c r="GJ2029" s="20"/>
      <c r="GK2029" s="20"/>
      <c r="GL2029" s="20"/>
      <c r="GM2029" s="20"/>
      <c r="GN2029" s="20"/>
      <c r="GO2029" s="20"/>
      <c r="GP2029" s="20"/>
      <c r="GQ2029" s="20"/>
      <c r="GR2029" s="20"/>
      <c r="GS2029" s="20"/>
      <c r="GT2029" s="20"/>
      <c r="GU2029" s="20"/>
      <c r="GV2029" s="20"/>
      <c r="GW2029" s="20"/>
      <c r="GX2029" s="20"/>
      <c r="GY2029" s="20"/>
      <c r="GZ2029" s="20"/>
      <c r="HA2029" s="20"/>
      <c r="HB2029" s="20"/>
      <c r="HC2029" s="20"/>
      <c r="HD2029" s="20"/>
      <c r="HE2029" s="20"/>
      <c r="HF2029" s="20"/>
      <c r="HG2029" s="20"/>
      <c r="HH2029" s="20"/>
      <c r="HI2029" s="20"/>
      <c r="HJ2029" s="20"/>
      <c r="HK2029" s="20"/>
      <c r="HL2029" s="20"/>
      <c r="HM2029" s="20"/>
      <c r="HN2029" s="20"/>
      <c r="HO2029" s="20"/>
      <c r="HP2029" s="20"/>
      <c r="HQ2029" s="20"/>
      <c r="HR2029" s="20"/>
      <c r="HS2029" s="20"/>
      <c r="HT2029" s="20"/>
      <c r="HU2029" s="20"/>
      <c r="HV2029" s="20"/>
      <c r="HW2029" s="20"/>
      <c r="HX2029" s="20"/>
      <c r="HY2029" s="20"/>
      <c r="HZ2029" s="20"/>
      <c r="IA2029" s="20"/>
      <c r="IB2029" s="20"/>
      <c r="IC2029" s="20"/>
      <c r="ID2029" s="20"/>
      <c r="IE2029" s="20"/>
      <c r="IF2029" s="20"/>
      <c r="IG2029" s="20"/>
      <c r="IH2029" s="20"/>
      <c r="II2029" s="20"/>
      <c r="IJ2029" s="20"/>
      <c r="IK2029" s="20"/>
      <c r="IL2029" s="20"/>
      <c r="IM2029" s="20"/>
      <c r="IN2029" s="20"/>
      <c r="IO2029" s="20"/>
    </row>
    <row r="2030" spans="1:249" s="22" customFormat="1" ht="69.75" customHeight="1">
      <c r="A2030" s="794"/>
      <c r="B2030" s="840"/>
      <c r="C2030" s="841">
        <v>4</v>
      </c>
      <c r="D2030" s="841" t="s">
        <v>34</v>
      </c>
      <c r="E2030" s="841" t="s">
        <v>25</v>
      </c>
      <c r="F2030" s="841" t="s">
        <v>104</v>
      </c>
      <c r="G2030" s="841">
        <v>12</v>
      </c>
      <c r="H2030" s="841"/>
      <c r="I2030" s="6" t="s">
        <v>1955</v>
      </c>
      <c r="J2030" s="6" t="s">
        <v>1956</v>
      </c>
      <c r="K2030" s="1902">
        <v>10</v>
      </c>
      <c r="L2030" s="1908">
        <v>195000000</v>
      </c>
      <c r="M2030" s="1903">
        <v>6</v>
      </c>
      <c r="N2030" s="1904">
        <f>77714350+89042712</f>
        <v>166757062</v>
      </c>
      <c r="O2030" s="1902">
        <v>3</v>
      </c>
      <c r="P2030" s="2686">
        <v>6643000</v>
      </c>
      <c r="Q2030" s="1903"/>
      <c r="R2030" s="1904">
        <v>0</v>
      </c>
      <c r="S2030" s="795"/>
      <c r="T2030" s="1906">
        <v>0</v>
      </c>
      <c r="U2030" s="795"/>
      <c r="V2030" s="1906"/>
      <c r="W2030" s="795"/>
      <c r="X2030" s="1906"/>
      <c r="Y2030" s="1903">
        <f t="shared" si="610"/>
        <v>0</v>
      </c>
      <c r="Z2030" s="1906">
        <f t="shared" si="610"/>
        <v>0</v>
      </c>
      <c r="AA2030" s="1903">
        <f t="shared" si="606"/>
        <v>6</v>
      </c>
      <c r="AB2030" s="1906">
        <f t="shared" si="595"/>
        <v>166757062</v>
      </c>
      <c r="AC2030" s="1214">
        <f t="shared" si="607"/>
        <v>60</v>
      </c>
      <c r="AD2030" s="1214">
        <f t="shared" si="608"/>
        <v>85.516442051282056</v>
      </c>
      <c r="AE2030" s="102" t="s">
        <v>1982</v>
      </c>
      <c r="AF2030" s="201"/>
      <c r="AG2030" s="201"/>
      <c r="AH2030" s="201"/>
      <c r="AI2030" s="201"/>
      <c r="AJ2030" s="201"/>
      <c r="AK2030" s="201"/>
      <c r="AL2030" s="201"/>
      <c r="AM2030" s="201"/>
      <c r="AN2030" s="201"/>
      <c r="AO2030" s="201"/>
      <c r="AP2030" s="201"/>
      <c r="AQ2030" s="201"/>
      <c r="AR2030" s="201"/>
      <c r="AS2030" s="201"/>
      <c r="AT2030" s="201"/>
      <c r="AU2030" s="201"/>
      <c r="AV2030" s="201"/>
      <c r="AW2030" s="201"/>
      <c r="AX2030" s="201"/>
      <c r="AY2030" s="201"/>
      <c r="AZ2030" s="201"/>
      <c r="BA2030" s="201"/>
      <c r="BB2030" s="201"/>
      <c r="BC2030" s="20"/>
      <c r="BD2030" s="20"/>
      <c r="BE2030" s="20"/>
      <c r="BF2030" s="20"/>
      <c r="BG2030" s="20"/>
      <c r="BH2030" s="20"/>
      <c r="BI2030" s="20"/>
      <c r="BJ2030" s="20"/>
      <c r="BK2030" s="20"/>
      <c r="BL2030" s="20"/>
      <c r="BM2030" s="20"/>
      <c r="BN2030" s="20"/>
      <c r="BO2030" s="20"/>
      <c r="BP2030" s="20"/>
      <c r="BQ2030" s="20"/>
      <c r="BR2030" s="20"/>
      <c r="BS2030" s="20"/>
      <c r="BT2030" s="20"/>
      <c r="BU2030" s="20"/>
      <c r="BV2030" s="20"/>
      <c r="BW2030" s="20"/>
      <c r="BX2030" s="20"/>
      <c r="BY2030" s="20"/>
      <c r="BZ2030" s="20"/>
      <c r="CA2030" s="20"/>
      <c r="CB2030" s="20"/>
      <c r="CC2030" s="20"/>
      <c r="CD2030" s="20"/>
      <c r="CE2030" s="20"/>
      <c r="CF2030" s="20"/>
      <c r="CG2030" s="20"/>
      <c r="CH2030" s="20"/>
      <c r="CI2030" s="20"/>
      <c r="CJ2030" s="20"/>
      <c r="CK2030" s="20"/>
      <c r="CL2030" s="20"/>
      <c r="CM2030" s="20"/>
      <c r="CN2030" s="20"/>
      <c r="CO2030" s="20"/>
      <c r="CP2030" s="20"/>
      <c r="CQ2030" s="20"/>
      <c r="CR2030" s="20"/>
      <c r="CS2030" s="20"/>
      <c r="CT2030" s="20"/>
      <c r="CU2030" s="20"/>
      <c r="CV2030" s="20"/>
      <c r="CW2030" s="20"/>
      <c r="CX2030" s="20"/>
      <c r="CY2030" s="20"/>
      <c r="CZ2030" s="20"/>
      <c r="DA2030" s="20"/>
      <c r="DB2030" s="20"/>
      <c r="DC2030" s="20"/>
      <c r="DD2030" s="20"/>
      <c r="DE2030" s="20"/>
      <c r="DF2030" s="20"/>
      <c r="DG2030" s="20"/>
      <c r="DH2030" s="20"/>
      <c r="DI2030" s="20"/>
      <c r="DJ2030" s="20"/>
      <c r="DK2030" s="20"/>
      <c r="DL2030" s="20"/>
      <c r="DM2030" s="20"/>
      <c r="DN2030" s="20"/>
      <c r="DO2030" s="20"/>
      <c r="DP2030" s="20"/>
      <c r="DQ2030" s="20"/>
      <c r="DR2030" s="20"/>
      <c r="DS2030" s="20"/>
      <c r="DT2030" s="20"/>
      <c r="DU2030" s="20"/>
      <c r="DV2030" s="20"/>
      <c r="DW2030" s="20"/>
      <c r="DX2030" s="20"/>
      <c r="DY2030" s="20"/>
      <c r="DZ2030" s="20"/>
      <c r="EA2030" s="20"/>
      <c r="EB2030" s="20"/>
      <c r="EC2030" s="20"/>
      <c r="ED2030" s="20"/>
      <c r="EE2030" s="20"/>
      <c r="EF2030" s="20"/>
      <c r="EG2030" s="20"/>
      <c r="EH2030" s="20"/>
      <c r="EI2030" s="20"/>
      <c r="EJ2030" s="20"/>
      <c r="EK2030" s="20"/>
      <c r="EL2030" s="20"/>
      <c r="EM2030" s="20"/>
      <c r="EN2030" s="20"/>
      <c r="EO2030" s="20"/>
      <c r="EP2030" s="20"/>
      <c r="EQ2030" s="20"/>
      <c r="ER2030" s="20"/>
      <c r="ES2030" s="20"/>
      <c r="ET2030" s="20"/>
      <c r="EU2030" s="20"/>
      <c r="EV2030" s="20"/>
      <c r="EW2030" s="20"/>
      <c r="EX2030" s="20"/>
      <c r="EY2030" s="20"/>
      <c r="EZ2030" s="20"/>
      <c r="FA2030" s="20"/>
      <c r="FB2030" s="20"/>
      <c r="FC2030" s="20"/>
      <c r="FD2030" s="20"/>
      <c r="FE2030" s="20"/>
      <c r="FF2030" s="20"/>
      <c r="FG2030" s="20"/>
      <c r="FH2030" s="20"/>
      <c r="FI2030" s="20"/>
      <c r="FJ2030" s="20"/>
      <c r="FK2030" s="20"/>
      <c r="FL2030" s="20"/>
      <c r="FM2030" s="20"/>
      <c r="FN2030" s="20"/>
      <c r="FO2030" s="20"/>
      <c r="FP2030" s="20"/>
      <c r="FQ2030" s="20"/>
      <c r="FR2030" s="20"/>
      <c r="FS2030" s="20"/>
      <c r="FT2030" s="20"/>
      <c r="FU2030" s="20"/>
      <c r="FV2030" s="20"/>
      <c r="FW2030" s="20"/>
      <c r="FX2030" s="20"/>
      <c r="FY2030" s="20"/>
      <c r="FZ2030" s="20"/>
      <c r="GA2030" s="20"/>
      <c r="GB2030" s="20"/>
      <c r="GC2030" s="20"/>
      <c r="GD2030" s="20"/>
      <c r="GE2030" s="20"/>
      <c r="GF2030" s="20"/>
      <c r="GG2030" s="20"/>
      <c r="GH2030" s="20"/>
      <c r="GI2030" s="20"/>
      <c r="GJ2030" s="20"/>
      <c r="GK2030" s="20"/>
      <c r="GL2030" s="20"/>
      <c r="GM2030" s="20"/>
      <c r="GN2030" s="20"/>
      <c r="GO2030" s="20"/>
      <c r="GP2030" s="20"/>
      <c r="GQ2030" s="20"/>
      <c r="GR2030" s="20"/>
      <c r="GS2030" s="20"/>
      <c r="GT2030" s="20"/>
      <c r="GU2030" s="20"/>
      <c r="GV2030" s="20"/>
      <c r="GW2030" s="20"/>
      <c r="GX2030" s="20"/>
      <c r="GY2030" s="20"/>
      <c r="GZ2030" s="20"/>
      <c r="HA2030" s="20"/>
      <c r="HB2030" s="20"/>
      <c r="HC2030" s="20"/>
      <c r="HD2030" s="20"/>
      <c r="HE2030" s="20"/>
      <c r="HF2030" s="20"/>
      <c r="HG2030" s="20"/>
      <c r="HH2030" s="20"/>
      <c r="HI2030" s="20"/>
      <c r="HJ2030" s="20"/>
      <c r="HK2030" s="20"/>
      <c r="HL2030" s="20"/>
      <c r="HM2030" s="20"/>
      <c r="HN2030" s="20"/>
      <c r="HO2030" s="20"/>
      <c r="HP2030" s="20"/>
      <c r="HQ2030" s="20"/>
      <c r="HR2030" s="20"/>
      <c r="HS2030" s="20"/>
      <c r="HT2030" s="20"/>
      <c r="HU2030" s="20"/>
      <c r="HV2030" s="20"/>
      <c r="HW2030" s="20"/>
      <c r="HX2030" s="20"/>
      <c r="HY2030" s="20"/>
      <c r="HZ2030" s="20"/>
      <c r="IA2030" s="20"/>
      <c r="IB2030" s="20"/>
      <c r="IC2030" s="20"/>
      <c r="ID2030" s="20"/>
      <c r="IE2030" s="20"/>
      <c r="IF2030" s="20"/>
      <c r="IG2030" s="20"/>
      <c r="IH2030" s="20"/>
      <c r="II2030" s="20"/>
      <c r="IJ2030" s="20"/>
      <c r="IK2030" s="20"/>
      <c r="IL2030" s="20"/>
      <c r="IM2030" s="20"/>
      <c r="IN2030" s="20"/>
      <c r="IO2030" s="20"/>
    </row>
    <row r="2031" spans="1:249" s="22" customFormat="1" ht="43.5" customHeight="1">
      <c r="A2031" s="794"/>
      <c r="B2031" s="840"/>
      <c r="C2031" s="841">
        <v>4</v>
      </c>
      <c r="D2031" s="841" t="s">
        <v>34</v>
      </c>
      <c r="E2031" s="841" t="s">
        <v>25</v>
      </c>
      <c r="F2031" s="841" t="s">
        <v>104</v>
      </c>
      <c r="G2031" s="841">
        <v>13</v>
      </c>
      <c r="H2031" s="841"/>
      <c r="I2031" s="407" t="s">
        <v>1957</v>
      </c>
      <c r="J2031" s="6" t="s">
        <v>3413</v>
      </c>
      <c r="K2031" s="1909">
        <v>6</v>
      </c>
      <c r="L2031" s="1908">
        <v>500000000</v>
      </c>
      <c r="M2031" s="1903">
        <v>3</v>
      </c>
      <c r="N2031" s="1904">
        <v>678264494</v>
      </c>
      <c r="O2031" s="1903">
        <v>1</v>
      </c>
      <c r="P2031" s="2686">
        <v>1128473455.3499999</v>
      </c>
      <c r="Q2031" s="1903">
        <v>0</v>
      </c>
      <c r="R2031" s="1904">
        <v>7917950</v>
      </c>
      <c r="S2031" s="795">
        <v>2</v>
      </c>
      <c r="T2031" s="1906">
        <v>369558700</v>
      </c>
      <c r="U2031" s="795"/>
      <c r="V2031" s="1906"/>
      <c r="W2031" s="795"/>
      <c r="X2031" s="1906"/>
      <c r="Y2031" s="1903">
        <f t="shared" si="610"/>
        <v>2</v>
      </c>
      <c r="Z2031" s="1906">
        <f t="shared" si="610"/>
        <v>377476650</v>
      </c>
      <c r="AA2031" s="1903">
        <f t="shared" si="606"/>
        <v>5</v>
      </c>
      <c r="AB2031" s="1906">
        <f t="shared" si="595"/>
        <v>1055741144</v>
      </c>
      <c r="AC2031" s="1907">
        <f t="shared" si="607"/>
        <v>83.333333333333343</v>
      </c>
      <c r="AD2031" s="1907">
        <f t="shared" si="608"/>
        <v>211.1482288</v>
      </c>
      <c r="AE2031" s="102" t="s">
        <v>1982</v>
      </c>
      <c r="AF2031" s="201"/>
      <c r="AG2031" s="201"/>
      <c r="AH2031" s="201"/>
      <c r="AI2031" s="201"/>
      <c r="AJ2031" s="201"/>
      <c r="AK2031" s="201"/>
      <c r="AL2031" s="201"/>
      <c r="AM2031" s="201"/>
      <c r="AN2031" s="201"/>
      <c r="AO2031" s="201"/>
      <c r="AP2031" s="201"/>
      <c r="AQ2031" s="201"/>
      <c r="AR2031" s="201"/>
      <c r="AS2031" s="201"/>
      <c r="AT2031" s="201"/>
      <c r="AU2031" s="201"/>
      <c r="AV2031" s="201"/>
      <c r="AW2031" s="201"/>
      <c r="AX2031" s="201"/>
      <c r="AY2031" s="201"/>
      <c r="AZ2031" s="201"/>
      <c r="BA2031" s="201"/>
      <c r="BB2031" s="201"/>
      <c r="BC2031" s="20"/>
      <c r="BD2031" s="20"/>
      <c r="BE2031" s="20"/>
      <c r="BF2031" s="20"/>
      <c r="BG2031" s="20"/>
      <c r="BH2031" s="20"/>
      <c r="BI2031" s="20"/>
      <c r="BJ2031" s="20"/>
      <c r="BK2031" s="20"/>
      <c r="BL2031" s="20"/>
      <c r="BM2031" s="20"/>
      <c r="BN2031" s="20"/>
      <c r="BO2031" s="20"/>
      <c r="BP2031" s="20"/>
      <c r="BQ2031" s="20"/>
      <c r="BR2031" s="20"/>
      <c r="BS2031" s="20"/>
      <c r="BT2031" s="20"/>
      <c r="BU2031" s="20"/>
      <c r="BV2031" s="20"/>
      <c r="BW2031" s="20"/>
      <c r="BX2031" s="20"/>
      <c r="BY2031" s="20"/>
      <c r="BZ2031" s="20"/>
      <c r="CA2031" s="20"/>
      <c r="CB2031" s="20"/>
      <c r="CC2031" s="20"/>
      <c r="CD2031" s="20"/>
      <c r="CE2031" s="20"/>
      <c r="CF2031" s="20"/>
      <c r="CG2031" s="20"/>
      <c r="CH2031" s="20"/>
      <c r="CI2031" s="20"/>
      <c r="CJ2031" s="20"/>
      <c r="CK2031" s="20"/>
      <c r="CL2031" s="20"/>
      <c r="CM2031" s="20"/>
      <c r="CN2031" s="20"/>
      <c r="CO2031" s="20"/>
      <c r="CP2031" s="20"/>
      <c r="CQ2031" s="20"/>
      <c r="CR2031" s="20"/>
      <c r="CS2031" s="20"/>
      <c r="CT2031" s="20"/>
      <c r="CU2031" s="20"/>
      <c r="CV2031" s="20"/>
      <c r="CW2031" s="20"/>
      <c r="CX2031" s="20"/>
      <c r="CY2031" s="20"/>
      <c r="CZ2031" s="20"/>
      <c r="DA2031" s="20"/>
      <c r="DB2031" s="20"/>
      <c r="DC2031" s="20"/>
      <c r="DD2031" s="20"/>
      <c r="DE2031" s="20"/>
      <c r="DF2031" s="20"/>
      <c r="DG2031" s="20"/>
      <c r="DH2031" s="20"/>
      <c r="DI2031" s="20"/>
      <c r="DJ2031" s="20"/>
      <c r="DK2031" s="20"/>
      <c r="DL2031" s="20"/>
      <c r="DM2031" s="20"/>
      <c r="DN2031" s="20"/>
      <c r="DO2031" s="20"/>
      <c r="DP2031" s="20"/>
      <c r="DQ2031" s="20"/>
      <c r="DR2031" s="20"/>
      <c r="DS2031" s="20"/>
      <c r="DT2031" s="20"/>
      <c r="DU2031" s="20"/>
      <c r="DV2031" s="20"/>
      <c r="DW2031" s="20"/>
      <c r="DX2031" s="20"/>
      <c r="DY2031" s="20"/>
      <c r="DZ2031" s="20"/>
      <c r="EA2031" s="20"/>
      <c r="EB2031" s="20"/>
      <c r="EC2031" s="20"/>
      <c r="ED2031" s="20"/>
      <c r="EE2031" s="20"/>
      <c r="EF2031" s="20"/>
      <c r="EG2031" s="20"/>
      <c r="EH2031" s="20"/>
      <c r="EI2031" s="20"/>
      <c r="EJ2031" s="20"/>
      <c r="EK2031" s="20"/>
      <c r="EL2031" s="20"/>
      <c r="EM2031" s="20"/>
      <c r="EN2031" s="20"/>
      <c r="EO2031" s="20"/>
      <c r="EP2031" s="20"/>
      <c r="EQ2031" s="20"/>
      <c r="ER2031" s="20"/>
      <c r="ES2031" s="20"/>
      <c r="ET2031" s="20"/>
      <c r="EU2031" s="20"/>
      <c r="EV2031" s="20"/>
      <c r="EW2031" s="20"/>
      <c r="EX2031" s="20"/>
      <c r="EY2031" s="20"/>
      <c r="EZ2031" s="20"/>
      <c r="FA2031" s="20"/>
      <c r="FB2031" s="20"/>
      <c r="FC2031" s="20"/>
      <c r="FD2031" s="20"/>
      <c r="FE2031" s="20"/>
      <c r="FF2031" s="20"/>
      <c r="FG2031" s="20"/>
      <c r="FH2031" s="20"/>
      <c r="FI2031" s="20"/>
      <c r="FJ2031" s="20"/>
      <c r="FK2031" s="20"/>
      <c r="FL2031" s="20"/>
      <c r="FM2031" s="20"/>
      <c r="FN2031" s="20"/>
      <c r="FO2031" s="20"/>
      <c r="FP2031" s="20"/>
      <c r="FQ2031" s="20"/>
      <c r="FR2031" s="20"/>
      <c r="FS2031" s="20"/>
      <c r="FT2031" s="20"/>
      <c r="FU2031" s="20"/>
      <c r="FV2031" s="20"/>
      <c r="FW2031" s="20"/>
      <c r="FX2031" s="20"/>
      <c r="FY2031" s="20"/>
      <c r="FZ2031" s="20"/>
      <c r="GA2031" s="20"/>
      <c r="GB2031" s="20"/>
      <c r="GC2031" s="20"/>
      <c r="GD2031" s="20"/>
      <c r="GE2031" s="20"/>
      <c r="GF2031" s="20"/>
      <c r="GG2031" s="20"/>
      <c r="GH2031" s="20"/>
      <c r="GI2031" s="20"/>
      <c r="GJ2031" s="20"/>
      <c r="GK2031" s="20"/>
      <c r="GL2031" s="20"/>
      <c r="GM2031" s="20"/>
      <c r="GN2031" s="20"/>
      <c r="GO2031" s="20"/>
      <c r="GP2031" s="20"/>
      <c r="GQ2031" s="20"/>
      <c r="GR2031" s="20"/>
      <c r="GS2031" s="20"/>
      <c r="GT2031" s="20"/>
      <c r="GU2031" s="20"/>
      <c r="GV2031" s="20"/>
      <c r="GW2031" s="20"/>
      <c r="GX2031" s="20"/>
      <c r="GY2031" s="20"/>
      <c r="GZ2031" s="20"/>
      <c r="HA2031" s="20"/>
      <c r="HB2031" s="20"/>
      <c r="HC2031" s="20"/>
      <c r="HD2031" s="20"/>
      <c r="HE2031" s="20"/>
      <c r="HF2031" s="20"/>
      <c r="HG2031" s="20"/>
      <c r="HH2031" s="20"/>
      <c r="HI2031" s="20"/>
      <c r="HJ2031" s="20"/>
      <c r="HK2031" s="20"/>
      <c r="HL2031" s="20"/>
      <c r="HM2031" s="20"/>
      <c r="HN2031" s="20"/>
      <c r="HO2031" s="20"/>
      <c r="HP2031" s="20"/>
      <c r="HQ2031" s="20"/>
      <c r="HR2031" s="20"/>
      <c r="HS2031" s="20"/>
      <c r="HT2031" s="20"/>
      <c r="HU2031" s="20"/>
      <c r="HV2031" s="20"/>
      <c r="HW2031" s="20"/>
      <c r="HX2031" s="20"/>
      <c r="HY2031" s="20"/>
      <c r="HZ2031" s="20"/>
      <c r="IA2031" s="20"/>
      <c r="IB2031" s="20"/>
      <c r="IC2031" s="20"/>
      <c r="ID2031" s="20"/>
      <c r="IE2031" s="20"/>
      <c r="IF2031" s="20"/>
      <c r="IG2031" s="20"/>
      <c r="IH2031" s="20"/>
      <c r="II2031" s="20"/>
      <c r="IJ2031" s="20"/>
      <c r="IK2031" s="20"/>
      <c r="IL2031" s="20"/>
      <c r="IM2031" s="20"/>
      <c r="IN2031" s="20"/>
      <c r="IO2031" s="20"/>
    </row>
    <row r="2032" spans="1:249" s="22" customFormat="1" ht="66">
      <c r="A2032" s="794"/>
      <c r="B2032" s="840"/>
      <c r="C2032" s="841">
        <v>4</v>
      </c>
      <c r="D2032" s="841" t="s">
        <v>34</v>
      </c>
      <c r="E2032" s="841" t="s">
        <v>25</v>
      </c>
      <c r="F2032" s="841" t="s">
        <v>104</v>
      </c>
      <c r="G2032" s="841">
        <v>14</v>
      </c>
      <c r="H2032" s="841"/>
      <c r="I2032" s="407" t="s">
        <v>1958</v>
      </c>
      <c r="J2032" s="6" t="s">
        <v>3414</v>
      </c>
      <c r="K2032" s="1902">
        <v>72</v>
      </c>
      <c r="L2032" s="1908">
        <v>675000000</v>
      </c>
      <c r="M2032" s="1903">
        <v>36</v>
      </c>
      <c r="N2032" s="1904">
        <f>170097657+162704410+158438814</f>
        <v>491240881</v>
      </c>
      <c r="O2032" s="1903">
        <v>12</v>
      </c>
      <c r="P2032" s="2686">
        <v>84830000</v>
      </c>
      <c r="Q2032" s="1903">
        <f t="shared" ref="Q2032" si="611">O2032/4</f>
        <v>3</v>
      </c>
      <c r="R2032" s="1904">
        <v>17264950</v>
      </c>
      <c r="S2032" s="795">
        <v>0.75</v>
      </c>
      <c r="T2032" s="1906">
        <v>34384050</v>
      </c>
      <c r="U2032" s="795"/>
      <c r="V2032" s="1906"/>
      <c r="W2032" s="795"/>
      <c r="X2032" s="1906"/>
      <c r="Y2032" s="1903">
        <f t="shared" si="610"/>
        <v>3.75</v>
      </c>
      <c r="Z2032" s="1906">
        <f t="shared" si="610"/>
        <v>51649000</v>
      </c>
      <c r="AA2032" s="1903">
        <f t="shared" si="606"/>
        <v>39.75</v>
      </c>
      <c r="AB2032" s="1906">
        <f t="shared" si="595"/>
        <v>542889881</v>
      </c>
      <c r="AC2032" s="1907">
        <f t="shared" si="607"/>
        <v>55.208333333333336</v>
      </c>
      <c r="AD2032" s="1907">
        <f t="shared" si="608"/>
        <v>80.428130518518515</v>
      </c>
      <c r="AE2032" s="102" t="s">
        <v>1982</v>
      </c>
      <c r="AF2032" s="201"/>
      <c r="AG2032" s="201"/>
      <c r="AH2032" s="201"/>
      <c r="AI2032" s="201"/>
      <c r="AJ2032" s="201"/>
      <c r="AK2032" s="201"/>
      <c r="AL2032" s="201"/>
      <c r="AM2032" s="201"/>
      <c r="AN2032" s="201"/>
      <c r="AO2032" s="201"/>
      <c r="AP2032" s="201"/>
      <c r="AQ2032" s="201"/>
      <c r="AR2032" s="201"/>
      <c r="AS2032" s="201"/>
      <c r="AT2032" s="201"/>
      <c r="AU2032" s="201"/>
      <c r="AV2032" s="201"/>
      <c r="AW2032" s="201"/>
      <c r="AX2032" s="201"/>
      <c r="AY2032" s="201"/>
      <c r="AZ2032" s="201"/>
      <c r="BA2032" s="201"/>
      <c r="BB2032" s="201"/>
      <c r="BC2032" s="20"/>
      <c r="BD2032" s="20"/>
      <c r="BE2032" s="20"/>
      <c r="BF2032" s="20"/>
      <c r="BG2032" s="20"/>
      <c r="BH2032" s="20"/>
      <c r="BI2032" s="20"/>
      <c r="BJ2032" s="20"/>
      <c r="BK2032" s="20"/>
      <c r="BL2032" s="20"/>
      <c r="BM2032" s="20"/>
      <c r="BN2032" s="20"/>
      <c r="BO2032" s="20"/>
      <c r="BP2032" s="20"/>
      <c r="BQ2032" s="20"/>
      <c r="BR2032" s="20"/>
      <c r="BS2032" s="20"/>
      <c r="BT2032" s="20"/>
      <c r="BU2032" s="20"/>
      <c r="BV2032" s="20"/>
      <c r="BW2032" s="20"/>
      <c r="BX2032" s="20"/>
      <c r="BY2032" s="20"/>
      <c r="BZ2032" s="20"/>
      <c r="CA2032" s="20"/>
      <c r="CB2032" s="20"/>
      <c r="CC2032" s="20"/>
      <c r="CD2032" s="20"/>
      <c r="CE2032" s="20"/>
      <c r="CF2032" s="20"/>
      <c r="CG2032" s="20"/>
      <c r="CH2032" s="20"/>
      <c r="CI2032" s="20"/>
      <c r="CJ2032" s="20"/>
      <c r="CK2032" s="20"/>
      <c r="CL2032" s="20"/>
      <c r="CM2032" s="20"/>
      <c r="CN2032" s="20"/>
      <c r="CO2032" s="20"/>
      <c r="CP2032" s="20"/>
      <c r="CQ2032" s="20"/>
      <c r="CR2032" s="20"/>
      <c r="CS2032" s="20"/>
      <c r="CT2032" s="20"/>
      <c r="CU2032" s="20"/>
      <c r="CV2032" s="20"/>
      <c r="CW2032" s="20"/>
      <c r="CX2032" s="20"/>
      <c r="CY2032" s="20"/>
      <c r="CZ2032" s="20"/>
      <c r="DA2032" s="20"/>
      <c r="DB2032" s="20"/>
      <c r="DC2032" s="20"/>
      <c r="DD2032" s="20"/>
      <c r="DE2032" s="20"/>
      <c r="DF2032" s="20"/>
      <c r="DG2032" s="20"/>
      <c r="DH2032" s="20"/>
      <c r="DI2032" s="20"/>
      <c r="DJ2032" s="20"/>
      <c r="DK2032" s="20"/>
      <c r="DL2032" s="20"/>
      <c r="DM2032" s="20"/>
      <c r="DN2032" s="20"/>
      <c r="DO2032" s="20"/>
      <c r="DP2032" s="20"/>
      <c r="DQ2032" s="20"/>
      <c r="DR2032" s="20"/>
      <c r="DS2032" s="20"/>
      <c r="DT2032" s="20"/>
      <c r="DU2032" s="20"/>
      <c r="DV2032" s="20"/>
      <c r="DW2032" s="20"/>
      <c r="DX2032" s="20"/>
      <c r="DY2032" s="20"/>
      <c r="DZ2032" s="20"/>
      <c r="EA2032" s="20"/>
      <c r="EB2032" s="20"/>
      <c r="EC2032" s="20"/>
      <c r="ED2032" s="20"/>
      <c r="EE2032" s="20"/>
      <c r="EF2032" s="20"/>
      <c r="EG2032" s="20"/>
      <c r="EH2032" s="20"/>
      <c r="EI2032" s="20"/>
      <c r="EJ2032" s="20"/>
      <c r="EK2032" s="20"/>
      <c r="EL2032" s="20"/>
      <c r="EM2032" s="20"/>
      <c r="EN2032" s="20"/>
      <c r="EO2032" s="20"/>
      <c r="EP2032" s="20"/>
      <c r="EQ2032" s="20"/>
      <c r="ER2032" s="20"/>
      <c r="ES2032" s="20"/>
      <c r="ET2032" s="20"/>
      <c r="EU2032" s="20"/>
      <c r="EV2032" s="20"/>
      <c r="EW2032" s="20"/>
      <c r="EX2032" s="20"/>
      <c r="EY2032" s="20"/>
      <c r="EZ2032" s="20"/>
      <c r="FA2032" s="20"/>
      <c r="FB2032" s="20"/>
      <c r="FC2032" s="20"/>
      <c r="FD2032" s="20"/>
      <c r="FE2032" s="20"/>
      <c r="FF2032" s="20"/>
      <c r="FG2032" s="20"/>
      <c r="FH2032" s="20"/>
      <c r="FI2032" s="20"/>
      <c r="FJ2032" s="20"/>
      <c r="FK2032" s="20"/>
      <c r="FL2032" s="20"/>
      <c r="FM2032" s="20"/>
      <c r="FN2032" s="20"/>
      <c r="FO2032" s="20"/>
      <c r="FP2032" s="20"/>
      <c r="FQ2032" s="20"/>
      <c r="FR2032" s="20"/>
      <c r="FS2032" s="20"/>
      <c r="FT2032" s="20"/>
      <c r="FU2032" s="20"/>
      <c r="FV2032" s="20"/>
      <c r="FW2032" s="20"/>
      <c r="FX2032" s="20"/>
      <c r="FY2032" s="20"/>
      <c r="FZ2032" s="20"/>
      <c r="GA2032" s="20"/>
      <c r="GB2032" s="20"/>
      <c r="GC2032" s="20"/>
      <c r="GD2032" s="20"/>
      <c r="GE2032" s="20"/>
      <c r="GF2032" s="20"/>
      <c r="GG2032" s="20"/>
      <c r="GH2032" s="20"/>
      <c r="GI2032" s="20"/>
      <c r="GJ2032" s="20"/>
      <c r="GK2032" s="20"/>
      <c r="GL2032" s="20"/>
      <c r="GM2032" s="20"/>
      <c r="GN2032" s="20"/>
      <c r="GO2032" s="20"/>
      <c r="GP2032" s="20"/>
      <c r="GQ2032" s="20"/>
      <c r="GR2032" s="20"/>
      <c r="GS2032" s="20"/>
      <c r="GT2032" s="20"/>
      <c r="GU2032" s="20"/>
      <c r="GV2032" s="20"/>
      <c r="GW2032" s="20"/>
      <c r="GX2032" s="20"/>
      <c r="GY2032" s="20"/>
      <c r="GZ2032" s="20"/>
      <c r="HA2032" s="20"/>
      <c r="HB2032" s="20"/>
      <c r="HC2032" s="20"/>
      <c r="HD2032" s="20"/>
      <c r="HE2032" s="20"/>
      <c r="HF2032" s="20"/>
      <c r="HG2032" s="20"/>
      <c r="HH2032" s="20"/>
      <c r="HI2032" s="20"/>
      <c r="HJ2032" s="20"/>
      <c r="HK2032" s="20"/>
      <c r="HL2032" s="20"/>
      <c r="HM2032" s="20"/>
      <c r="HN2032" s="20"/>
      <c r="HO2032" s="20"/>
      <c r="HP2032" s="20"/>
      <c r="HQ2032" s="20"/>
      <c r="HR2032" s="20"/>
      <c r="HS2032" s="20"/>
      <c r="HT2032" s="20"/>
      <c r="HU2032" s="20"/>
      <c r="HV2032" s="20"/>
      <c r="HW2032" s="20"/>
      <c r="HX2032" s="20"/>
      <c r="HY2032" s="20"/>
      <c r="HZ2032" s="20"/>
      <c r="IA2032" s="20"/>
      <c r="IB2032" s="20"/>
      <c r="IC2032" s="20"/>
      <c r="ID2032" s="20"/>
      <c r="IE2032" s="20"/>
      <c r="IF2032" s="20"/>
      <c r="IG2032" s="20"/>
      <c r="IH2032" s="20"/>
      <c r="II2032" s="20"/>
      <c r="IJ2032" s="20"/>
      <c r="IK2032" s="20"/>
      <c r="IL2032" s="20"/>
      <c r="IM2032" s="20"/>
      <c r="IN2032" s="20"/>
      <c r="IO2032" s="20"/>
    </row>
    <row r="2033" spans="1:249" s="22" customFormat="1" ht="82.5">
      <c r="A2033" s="794"/>
      <c r="B2033" s="840"/>
      <c r="C2033" s="841">
        <v>4</v>
      </c>
      <c r="D2033" s="841" t="s">
        <v>34</v>
      </c>
      <c r="E2033" s="841" t="s">
        <v>25</v>
      </c>
      <c r="F2033" s="841" t="s">
        <v>104</v>
      </c>
      <c r="G2033" s="841">
        <v>15</v>
      </c>
      <c r="H2033" s="841"/>
      <c r="I2033" s="407" t="s">
        <v>1959</v>
      </c>
      <c r="J2033" s="6" t="s">
        <v>1960</v>
      </c>
      <c r="K2033" s="1902">
        <v>45</v>
      </c>
      <c r="L2033" s="1908">
        <v>130000000</v>
      </c>
      <c r="M2033" s="1903">
        <v>15</v>
      </c>
      <c r="N2033" s="1905">
        <v>101594000</v>
      </c>
      <c r="O2033" s="1902">
        <v>15</v>
      </c>
      <c r="P2033" s="2686">
        <v>47106400</v>
      </c>
      <c r="Q2033" s="1903">
        <v>3</v>
      </c>
      <c r="R2033" s="1904">
        <v>4177750</v>
      </c>
      <c r="S2033" s="795">
        <v>3</v>
      </c>
      <c r="T2033" s="1906">
        <v>21303700</v>
      </c>
      <c r="U2033" s="795"/>
      <c r="V2033" s="1906"/>
      <c r="W2033" s="795"/>
      <c r="X2033" s="1906"/>
      <c r="Y2033" s="1903">
        <f t="shared" si="610"/>
        <v>6</v>
      </c>
      <c r="Z2033" s="1906">
        <f t="shared" si="610"/>
        <v>25481450</v>
      </c>
      <c r="AA2033" s="1903">
        <f t="shared" si="606"/>
        <v>21</v>
      </c>
      <c r="AB2033" s="1906">
        <f t="shared" si="595"/>
        <v>127075450</v>
      </c>
      <c r="AC2033" s="1907">
        <f t="shared" si="607"/>
        <v>46.666666666666664</v>
      </c>
      <c r="AD2033" s="1907">
        <f t="shared" si="608"/>
        <v>97.750346153846152</v>
      </c>
      <c r="AE2033" s="102" t="s">
        <v>1982</v>
      </c>
      <c r="AF2033" s="201"/>
      <c r="AG2033" s="201"/>
      <c r="AH2033" s="201"/>
      <c r="AI2033" s="201"/>
      <c r="AJ2033" s="201"/>
      <c r="AK2033" s="201"/>
      <c r="AL2033" s="201"/>
      <c r="AM2033" s="201"/>
      <c r="AN2033" s="201"/>
      <c r="AO2033" s="201"/>
      <c r="AP2033" s="201"/>
      <c r="AQ2033" s="201"/>
      <c r="AR2033" s="201"/>
      <c r="AS2033" s="201"/>
      <c r="AT2033" s="201"/>
      <c r="AU2033" s="201"/>
      <c r="AV2033" s="201"/>
      <c r="AW2033" s="201"/>
      <c r="AX2033" s="201"/>
      <c r="AY2033" s="201"/>
      <c r="AZ2033" s="201"/>
      <c r="BA2033" s="201"/>
      <c r="BB2033" s="201"/>
      <c r="BC2033" s="20"/>
      <c r="BD2033" s="20"/>
      <c r="BE2033" s="20"/>
      <c r="BF2033" s="20"/>
      <c r="BG2033" s="20"/>
      <c r="BH2033" s="20"/>
      <c r="BI2033" s="20"/>
      <c r="BJ2033" s="20"/>
      <c r="BK2033" s="20"/>
      <c r="BL2033" s="20"/>
      <c r="BM2033" s="20"/>
      <c r="BN2033" s="20"/>
      <c r="BO2033" s="20"/>
      <c r="BP2033" s="20"/>
      <c r="BQ2033" s="20"/>
      <c r="BR2033" s="20"/>
      <c r="BS2033" s="20"/>
      <c r="BT2033" s="20"/>
      <c r="BU2033" s="20"/>
      <c r="BV2033" s="20"/>
      <c r="BW2033" s="20"/>
      <c r="BX2033" s="20"/>
      <c r="BY2033" s="20"/>
      <c r="BZ2033" s="20"/>
      <c r="CA2033" s="20"/>
      <c r="CB2033" s="20"/>
      <c r="CC2033" s="20"/>
      <c r="CD2033" s="20"/>
      <c r="CE2033" s="20"/>
      <c r="CF2033" s="20"/>
      <c r="CG2033" s="20"/>
      <c r="CH2033" s="20"/>
      <c r="CI2033" s="20"/>
      <c r="CJ2033" s="20"/>
      <c r="CK2033" s="20"/>
      <c r="CL2033" s="20"/>
      <c r="CM2033" s="20"/>
      <c r="CN2033" s="20"/>
      <c r="CO2033" s="20"/>
      <c r="CP2033" s="20"/>
      <c r="CQ2033" s="20"/>
      <c r="CR2033" s="20"/>
      <c r="CS2033" s="20"/>
      <c r="CT2033" s="20"/>
      <c r="CU2033" s="20"/>
      <c r="CV2033" s="20"/>
      <c r="CW2033" s="20"/>
      <c r="CX2033" s="20"/>
      <c r="CY2033" s="20"/>
      <c r="CZ2033" s="20"/>
      <c r="DA2033" s="20"/>
      <c r="DB2033" s="20"/>
      <c r="DC2033" s="20"/>
      <c r="DD2033" s="20"/>
      <c r="DE2033" s="20"/>
      <c r="DF2033" s="20"/>
      <c r="DG2033" s="20"/>
      <c r="DH2033" s="20"/>
      <c r="DI2033" s="20"/>
      <c r="DJ2033" s="20"/>
      <c r="DK2033" s="20"/>
      <c r="DL2033" s="20"/>
      <c r="DM2033" s="20"/>
      <c r="DN2033" s="20"/>
      <c r="DO2033" s="20"/>
      <c r="DP2033" s="20"/>
      <c r="DQ2033" s="20"/>
      <c r="DR2033" s="20"/>
      <c r="DS2033" s="20"/>
      <c r="DT2033" s="20"/>
      <c r="DU2033" s="20"/>
      <c r="DV2033" s="20"/>
      <c r="DW2033" s="20"/>
      <c r="DX2033" s="20"/>
      <c r="DY2033" s="20"/>
      <c r="DZ2033" s="20"/>
      <c r="EA2033" s="20"/>
      <c r="EB2033" s="20"/>
      <c r="EC2033" s="20"/>
      <c r="ED2033" s="20"/>
      <c r="EE2033" s="20"/>
      <c r="EF2033" s="20"/>
      <c r="EG2033" s="20"/>
      <c r="EH2033" s="20"/>
      <c r="EI2033" s="20"/>
      <c r="EJ2033" s="20"/>
      <c r="EK2033" s="20"/>
      <c r="EL2033" s="20"/>
      <c r="EM2033" s="20"/>
      <c r="EN2033" s="20"/>
      <c r="EO2033" s="20"/>
      <c r="EP2033" s="20"/>
      <c r="EQ2033" s="20"/>
      <c r="ER2033" s="20"/>
      <c r="ES2033" s="20"/>
      <c r="ET2033" s="20"/>
      <c r="EU2033" s="20"/>
      <c r="EV2033" s="20"/>
      <c r="EW2033" s="20"/>
      <c r="EX2033" s="20"/>
      <c r="EY2033" s="20"/>
      <c r="EZ2033" s="20"/>
      <c r="FA2033" s="20"/>
      <c r="FB2033" s="20"/>
      <c r="FC2033" s="20"/>
      <c r="FD2033" s="20"/>
      <c r="FE2033" s="20"/>
      <c r="FF2033" s="20"/>
      <c r="FG2033" s="20"/>
      <c r="FH2033" s="20"/>
      <c r="FI2033" s="20"/>
      <c r="FJ2033" s="20"/>
      <c r="FK2033" s="20"/>
      <c r="FL2033" s="20"/>
      <c r="FM2033" s="20"/>
      <c r="FN2033" s="20"/>
      <c r="FO2033" s="20"/>
      <c r="FP2033" s="20"/>
      <c r="FQ2033" s="20"/>
      <c r="FR2033" s="20"/>
      <c r="FS2033" s="20"/>
      <c r="FT2033" s="20"/>
      <c r="FU2033" s="20"/>
      <c r="FV2033" s="20"/>
      <c r="FW2033" s="20"/>
      <c r="FX2033" s="20"/>
      <c r="FY2033" s="20"/>
      <c r="FZ2033" s="20"/>
      <c r="GA2033" s="20"/>
      <c r="GB2033" s="20"/>
      <c r="GC2033" s="20"/>
      <c r="GD2033" s="20"/>
      <c r="GE2033" s="20"/>
      <c r="GF2033" s="20"/>
      <c r="GG2033" s="20"/>
      <c r="GH2033" s="20"/>
      <c r="GI2033" s="20"/>
      <c r="GJ2033" s="20"/>
      <c r="GK2033" s="20"/>
      <c r="GL2033" s="20"/>
      <c r="GM2033" s="20"/>
      <c r="GN2033" s="20"/>
      <c r="GO2033" s="20"/>
      <c r="GP2033" s="20"/>
      <c r="GQ2033" s="20"/>
      <c r="GR2033" s="20"/>
      <c r="GS2033" s="20"/>
      <c r="GT2033" s="20"/>
      <c r="GU2033" s="20"/>
      <c r="GV2033" s="20"/>
      <c r="GW2033" s="20"/>
      <c r="GX2033" s="20"/>
      <c r="GY2033" s="20"/>
      <c r="GZ2033" s="20"/>
      <c r="HA2033" s="20"/>
      <c r="HB2033" s="20"/>
      <c r="HC2033" s="20"/>
      <c r="HD2033" s="20"/>
      <c r="HE2033" s="20"/>
      <c r="HF2033" s="20"/>
      <c r="HG2033" s="20"/>
      <c r="HH2033" s="20"/>
      <c r="HI2033" s="20"/>
      <c r="HJ2033" s="20"/>
      <c r="HK2033" s="20"/>
      <c r="HL2033" s="20"/>
      <c r="HM2033" s="20"/>
      <c r="HN2033" s="20"/>
      <c r="HO2033" s="20"/>
      <c r="HP2033" s="20"/>
      <c r="HQ2033" s="20"/>
      <c r="HR2033" s="20"/>
      <c r="HS2033" s="20"/>
      <c r="HT2033" s="20"/>
      <c r="HU2033" s="20"/>
      <c r="HV2033" s="20"/>
      <c r="HW2033" s="20"/>
      <c r="HX2033" s="20"/>
      <c r="HY2033" s="20"/>
      <c r="HZ2033" s="20"/>
      <c r="IA2033" s="20"/>
      <c r="IB2033" s="20"/>
      <c r="IC2033" s="20"/>
      <c r="ID2033" s="20"/>
      <c r="IE2033" s="20"/>
      <c r="IF2033" s="20"/>
      <c r="IG2033" s="20"/>
      <c r="IH2033" s="20"/>
      <c r="II2033" s="20"/>
      <c r="IJ2033" s="20"/>
      <c r="IK2033" s="20"/>
      <c r="IL2033" s="20"/>
      <c r="IM2033" s="20"/>
      <c r="IN2033" s="20"/>
      <c r="IO2033" s="20"/>
    </row>
    <row r="2034" spans="1:249" s="22" customFormat="1" ht="49.5">
      <c r="A2034" s="794"/>
      <c r="B2034" s="840"/>
      <c r="C2034" s="841">
        <v>4</v>
      </c>
      <c r="D2034" s="841" t="s">
        <v>34</v>
      </c>
      <c r="E2034" s="841" t="s">
        <v>25</v>
      </c>
      <c r="F2034" s="841" t="s">
        <v>104</v>
      </c>
      <c r="G2034" s="841">
        <v>16</v>
      </c>
      <c r="H2034" s="841"/>
      <c r="I2034" s="407" t="s">
        <v>1961</v>
      </c>
      <c r="J2034" s="6" t="s">
        <v>3415</v>
      </c>
      <c r="K2034" s="1928">
        <v>6</v>
      </c>
      <c r="L2034" s="1908">
        <v>453000000</v>
      </c>
      <c r="M2034" s="1903">
        <v>3</v>
      </c>
      <c r="N2034" s="1904">
        <f>143437050+121164099+174479545</f>
        <v>439080694</v>
      </c>
      <c r="O2034" s="1903">
        <v>1</v>
      </c>
      <c r="P2034" s="1904">
        <v>152525000</v>
      </c>
      <c r="Q2034" s="1903">
        <v>0</v>
      </c>
      <c r="R2034" s="1904">
        <v>0</v>
      </c>
      <c r="S2034" s="795"/>
      <c r="T2034" s="1906">
        <v>63888150</v>
      </c>
      <c r="U2034" s="795"/>
      <c r="V2034" s="1906"/>
      <c r="W2034" s="795"/>
      <c r="X2034" s="1906"/>
      <c r="Y2034" s="1903">
        <f>U2034</f>
        <v>0</v>
      </c>
      <c r="Z2034" s="1906">
        <f t="shared" ref="Z2034:Z2043" si="612">R2034+T2034+V2034+X2034</f>
        <v>63888150</v>
      </c>
      <c r="AA2034" s="1903">
        <f t="shared" si="606"/>
        <v>3</v>
      </c>
      <c r="AB2034" s="1906">
        <f t="shared" si="595"/>
        <v>502968844</v>
      </c>
      <c r="AC2034" s="1907">
        <f t="shared" si="607"/>
        <v>50</v>
      </c>
      <c r="AD2034" s="1907">
        <f t="shared" si="608"/>
        <v>111.03064988962473</v>
      </c>
      <c r="AE2034" s="102" t="s">
        <v>1982</v>
      </c>
      <c r="AF2034" s="201"/>
      <c r="AG2034" s="201"/>
      <c r="AH2034" s="201"/>
      <c r="AI2034" s="201"/>
      <c r="AJ2034" s="201"/>
      <c r="AK2034" s="201"/>
      <c r="AL2034" s="201"/>
      <c r="AM2034" s="201"/>
      <c r="AN2034" s="201"/>
      <c r="AO2034" s="201"/>
      <c r="AP2034" s="201"/>
      <c r="AQ2034" s="201"/>
      <c r="AR2034" s="201"/>
      <c r="AS2034" s="201"/>
      <c r="AT2034" s="201"/>
      <c r="AU2034" s="201"/>
      <c r="AV2034" s="201"/>
      <c r="AW2034" s="201"/>
      <c r="AX2034" s="201"/>
      <c r="AY2034" s="201"/>
      <c r="AZ2034" s="201"/>
      <c r="BA2034" s="201"/>
      <c r="BB2034" s="201"/>
      <c r="BC2034" s="20"/>
      <c r="BD2034" s="20"/>
      <c r="BE2034" s="20"/>
      <c r="BF2034" s="20"/>
      <c r="BG2034" s="20"/>
      <c r="BH2034" s="20"/>
      <c r="BI2034" s="20"/>
      <c r="BJ2034" s="20"/>
      <c r="BK2034" s="20"/>
      <c r="BL2034" s="20"/>
      <c r="BM2034" s="20"/>
      <c r="BN2034" s="20"/>
      <c r="BO2034" s="20"/>
      <c r="BP2034" s="20"/>
      <c r="BQ2034" s="20"/>
      <c r="BR2034" s="20"/>
      <c r="BS2034" s="20"/>
      <c r="BT2034" s="20"/>
      <c r="BU2034" s="20"/>
      <c r="BV2034" s="20"/>
      <c r="BW2034" s="20"/>
      <c r="BX2034" s="20"/>
      <c r="BY2034" s="20"/>
      <c r="BZ2034" s="20"/>
      <c r="CA2034" s="20"/>
      <c r="CB2034" s="20"/>
      <c r="CC2034" s="20"/>
      <c r="CD2034" s="20"/>
      <c r="CE2034" s="20"/>
      <c r="CF2034" s="20"/>
      <c r="CG2034" s="20"/>
      <c r="CH2034" s="20"/>
      <c r="CI2034" s="20"/>
      <c r="CJ2034" s="20"/>
      <c r="CK2034" s="20"/>
      <c r="CL2034" s="20"/>
      <c r="CM2034" s="20"/>
      <c r="CN2034" s="20"/>
      <c r="CO2034" s="20"/>
      <c r="CP2034" s="20"/>
      <c r="CQ2034" s="20"/>
      <c r="CR2034" s="20"/>
      <c r="CS2034" s="20"/>
      <c r="CT2034" s="20"/>
      <c r="CU2034" s="20"/>
      <c r="CV2034" s="20"/>
      <c r="CW2034" s="20"/>
      <c r="CX2034" s="20"/>
      <c r="CY2034" s="20"/>
      <c r="CZ2034" s="20"/>
      <c r="DA2034" s="20"/>
      <c r="DB2034" s="20"/>
      <c r="DC2034" s="20"/>
      <c r="DD2034" s="20"/>
      <c r="DE2034" s="20"/>
      <c r="DF2034" s="20"/>
      <c r="DG2034" s="20"/>
      <c r="DH2034" s="20"/>
      <c r="DI2034" s="20"/>
      <c r="DJ2034" s="20"/>
      <c r="DK2034" s="20"/>
      <c r="DL2034" s="20"/>
      <c r="DM2034" s="20"/>
      <c r="DN2034" s="20"/>
      <c r="DO2034" s="20"/>
      <c r="DP2034" s="20"/>
      <c r="DQ2034" s="20"/>
      <c r="DR2034" s="20"/>
      <c r="DS2034" s="20"/>
      <c r="DT2034" s="20"/>
      <c r="DU2034" s="20"/>
      <c r="DV2034" s="20"/>
      <c r="DW2034" s="20"/>
      <c r="DX2034" s="20"/>
      <c r="DY2034" s="20"/>
      <c r="DZ2034" s="20"/>
      <c r="EA2034" s="20"/>
      <c r="EB2034" s="20"/>
      <c r="EC2034" s="20"/>
      <c r="ED2034" s="20"/>
      <c r="EE2034" s="20"/>
      <c r="EF2034" s="20"/>
      <c r="EG2034" s="20"/>
      <c r="EH2034" s="20"/>
      <c r="EI2034" s="20"/>
      <c r="EJ2034" s="20"/>
      <c r="EK2034" s="20"/>
      <c r="EL2034" s="20"/>
      <c r="EM2034" s="20"/>
      <c r="EN2034" s="20"/>
      <c r="EO2034" s="20"/>
      <c r="EP2034" s="20"/>
      <c r="EQ2034" s="20"/>
      <c r="ER2034" s="20"/>
      <c r="ES2034" s="20"/>
      <c r="ET2034" s="20"/>
      <c r="EU2034" s="20"/>
      <c r="EV2034" s="20"/>
      <c r="EW2034" s="20"/>
      <c r="EX2034" s="20"/>
      <c r="EY2034" s="20"/>
      <c r="EZ2034" s="20"/>
      <c r="FA2034" s="20"/>
      <c r="FB2034" s="20"/>
      <c r="FC2034" s="20"/>
      <c r="FD2034" s="20"/>
      <c r="FE2034" s="20"/>
      <c r="FF2034" s="20"/>
      <c r="FG2034" s="20"/>
      <c r="FH2034" s="20"/>
      <c r="FI2034" s="20"/>
      <c r="FJ2034" s="20"/>
      <c r="FK2034" s="20"/>
      <c r="FL2034" s="20"/>
      <c r="FM2034" s="20"/>
      <c r="FN2034" s="20"/>
      <c r="FO2034" s="20"/>
      <c r="FP2034" s="20"/>
      <c r="FQ2034" s="20"/>
      <c r="FR2034" s="20"/>
      <c r="FS2034" s="20"/>
      <c r="FT2034" s="20"/>
      <c r="FU2034" s="20"/>
      <c r="FV2034" s="20"/>
      <c r="FW2034" s="20"/>
      <c r="FX2034" s="20"/>
      <c r="FY2034" s="20"/>
      <c r="FZ2034" s="20"/>
      <c r="GA2034" s="20"/>
      <c r="GB2034" s="20"/>
      <c r="GC2034" s="20"/>
      <c r="GD2034" s="20"/>
      <c r="GE2034" s="20"/>
      <c r="GF2034" s="20"/>
      <c r="GG2034" s="20"/>
      <c r="GH2034" s="20"/>
      <c r="GI2034" s="20"/>
      <c r="GJ2034" s="20"/>
      <c r="GK2034" s="20"/>
      <c r="GL2034" s="20"/>
      <c r="GM2034" s="20"/>
      <c r="GN2034" s="20"/>
      <c r="GO2034" s="20"/>
      <c r="GP2034" s="20"/>
      <c r="GQ2034" s="20"/>
      <c r="GR2034" s="20"/>
      <c r="GS2034" s="20"/>
      <c r="GT2034" s="20"/>
      <c r="GU2034" s="20"/>
      <c r="GV2034" s="20"/>
      <c r="GW2034" s="20"/>
      <c r="GX2034" s="20"/>
      <c r="GY2034" s="20"/>
      <c r="GZ2034" s="20"/>
      <c r="HA2034" s="20"/>
      <c r="HB2034" s="20"/>
      <c r="HC2034" s="20"/>
      <c r="HD2034" s="20"/>
      <c r="HE2034" s="20"/>
      <c r="HF2034" s="20"/>
      <c r="HG2034" s="20"/>
      <c r="HH2034" s="20"/>
      <c r="HI2034" s="20"/>
      <c r="HJ2034" s="20"/>
      <c r="HK2034" s="20"/>
      <c r="HL2034" s="20"/>
      <c r="HM2034" s="20"/>
      <c r="HN2034" s="20"/>
      <c r="HO2034" s="20"/>
      <c r="HP2034" s="20"/>
      <c r="HQ2034" s="20"/>
      <c r="HR2034" s="20"/>
      <c r="HS2034" s="20"/>
      <c r="HT2034" s="20"/>
      <c r="HU2034" s="20"/>
      <c r="HV2034" s="20"/>
      <c r="HW2034" s="20"/>
      <c r="HX2034" s="20"/>
      <c r="HY2034" s="20"/>
      <c r="HZ2034" s="20"/>
      <c r="IA2034" s="20"/>
      <c r="IB2034" s="20"/>
      <c r="IC2034" s="20"/>
      <c r="ID2034" s="20"/>
      <c r="IE2034" s="20"/>
      <c r="IF2034" s="20"/>
      <c r="IG2034" s="20"/>
      <c r="IH2034" s="20"/>
      <c r="II2034" s="20"/>
      <c r="IJ2034" s="20"/>
      <c r="IK2034" s="20"/>
      <c r="IL2034" s="20"/>
      <c r="IM2034" s="20"/>
      <c r="IN2034" s="20"/>
      <c r="IO2034" s="20"/>
    </row>
    <row r="2035" spans="1:249" s="22" customFormat="1" ht="49.5">
      <c r="A2035" s="2554">
        <v>31</v>
      </c>
      <c r="B2035" s="44"/>
      <c r="C2035" s="753">
        <v>4</v>
      </c>
      <c r="D2035" s="753" t="s">
        <v>34</v>
      </c>
      <c r="E2035" s="753" t="s">
        <v>25</v>
      </c>
      <c r="F2035" s="753" t="s">
        <v>601</v>
      </c>
      <c r="G2035" s="753"/>
      <c r="H2035" s="753"/>
      <c r="I2035" s="44" t="s">
        <v>1962</v>
      </c>
      <c r="J2035" s="44" t="s">
        <v>1963</v>
      </c>
      <c r="K2035" s="149" t="s">
        <v>113</v>
      </c>
      <c r="L2035" s="879">
        <f>SUM(L2036:L2039)</f>
        <v>1962734150</v>
      </c>
      <c r="M2035" s="149" t="s">
        <v>114</v>
      </c>
      <c r="N2035" s="879">
        <f>SUM(N2036:N2039)</f>
        <v>555621792</v>
      </c>
      <c r="O2035" s="149" t="s">
        <v>1964</v>
      </c>
      <c r="P2035" s="879">
        <f>SUM(P2036:P2039)</f>
        <v>200872609</v>
      </c>
      <c r="Q2035" s="1926">
        <v>0</v>
      </c>
      <c r="R2035" s="879">
        <f t="shared" ref="R2035:X2035" si="613">SUM(R2036:R2039)</f>
        <v>38402900</v>
      </c>
      <c r="S2035" s="879">
        <f t="shared" si="613"/>
        <v>0</v>
      </c>
      <c r="T2035" s="879">
        <f t="shared" si="613"/>
        <v>0</v>
      </c>
      <c r="U2035" s="879">
        <f t="shared" si="613"/>
        <v>0</v>
      </c>
      <c r="V2035" s="879">
        <f t="shared" si="613"/>
        <v>0</v>
      </c>
      <c r="W2035" s="879">
        <f t="shared" si="613"/>
        <v>0</v>
      </c>
      <c r="X2035" s="879">
        <f t="shared" si="613"/>
        <v>0</v>
      </c>
      <c r="Y2035" s="149">
        <v>0</v>
      </c>
      <c r="Z2035" s="1901">
        <f t="shared" si="612"/>
        <v>38402900</v>
      </c>
      <c r="AA2035" s="149" t="s">
        <v>114</v>
      </c>
      <c r="AB2035" s="1901">
        <f t="shared" si="595"/>
        <v>594024692</v>
      </c>
      <c r="AC2035" s="821">
        <v>70</v>
      </c>
      <c r="AD2035" s="821">
        <f t="shared" si="608"/>
        <v>30.265163114423828</v>
      </c>
      <c r="AE2035" s="2558"/>
      <c r="AF2035" s="201"/>
      <c r="AG2035" s="201"/>
      <c r="AH2035" s="201"/>
      <c r="AI2035" s="201"/>
      <c r="AJ2035" s="201"/>
      <c r="AK2035" s="201"/>
      <c r="AL2035" s="201"/>
      <c r="AM2035" s="201"/>
      <c r="AN2035" s="201"/>
      <c r="AO2035" s="201"/>
      <c r="AP2035" s="201"/>
      <c r="AQ2035" s="201"/>
      <c r="AR2035" s="201"/>
      <c r="AS2035" s="201"/>
      <c r="AT2035" s="201"/>
      <c r="AU2035" s="201"/>
      <c r="AV2035" s="201"/>
      <c r="AW2035" s="201"/>
      <c r="AX2035" s="201"/>
      <c r="AY2035" s="201"/>
      <c r="AZ2035" s="201"/>
      <c r="BA2035" s="201"/>
      <c r="BB2035" s="201"/>
      <c r="BC2035" s="20"/>
      <c r="BD2035" s="20"/>
      <c r="BE2035" s="20"/>
      <c r="BF2035" s="20"/>
      <c r="BG2035" s="20"/>
      <c r="BH2035" s="20"/>
      <c r="BI2035" s="20"/>
      <c r="BJ2035" s="20"/>
      <c r="BK2035" s="20"/>
      <c r="BL2035" s="20"/>
      <c r="BM2035" s="20"/>
      <c r="BN2035" s="20"/>
      <c r="BO2035" s="20"/>
      <c r="BP2035" s="20"/>
      <c r="BQ2035" s="20"/>
      <c r="BR2035" s="20"/>
      <c r="BS2035" s="20"/>
      <c r="BT2035" s="20"/>
      <c r="BU2035" s="20"/>
      <c r="BV2035" s="20"/>
      <c r="BW2035" s="20"/>
      <c r="BX2035" s="20"/>
      <c r="BY2035" s="20"/>
      <c r="BZ2035" s="20"/>
      <c r="CA2035" s="20"/>
      <c r="CB2035" s="20"/>
      <c r="CC2035" s="20"/>
      <c r="CD2035" s="20"/>
      <c r="CE2035" s="20"/>
      <c r="CF2035" s="20"/>
      <c r="CG2035" s="20"/>
      <c r="CH2035" s="20"/>
      <c r="CI2035" s="20"/>
      <c r="CJ2035" s="20"/>
      <c r="CK2035" s="20"/>
      <c r="CL2035" s="20"/>
      <c r="CM2035" s="20"/>
      <c r="CN2035" s="20"/>
      <c r="CO2035" s="20"/>
      <c r="CP2035" s="20"/>
      <c r="CQ2035" s="20"/>
      <c r="CR2035" s="20"/>
      <c r="CS2035" s="20"/>
      <c r="CT2035" s="20"/>
      <c r="CU2035" s="20"/>
      <c r="CV2035" s="20"/>
      <c r="CW2035" s="20"/>
      <c r="CX2035" s="20"/>
      <c r="CY2035" s="20"/>
      <c r="CZ2035" s="20"/>
      <c r="DA2035" s="20"/>
      <c r="DB2035" s="20"/>
      <c r="DC2035" s="20"/>
      <c r="DD2035" s="20"/>
      <c r="DE2035" s="20"/>
      <c r="DF2035" s="20"/>
      <c r="DG2035" s="20"/>
      <c r="DH2035" s="20"/>
      <c r="DI2035" s="20"/>
      <c r="DJ2035" s="20"/>
      <c r="DK2035" s="20"/>
      <c r="DL2035" s="20"/>
      <c r="DM2035" s="20"/>
      <c r="DN2035" s="20"/>
      <c r="DO2035" s="20"/>
      <c r="DP2035" s="20"/>
      <c r="DQ2035" s="20"/>
      <c r="DR2035" s="20"/>
      <c r="DS2035" s="20"/>
      <c r="DT2035" s="20"/>
      <c r="DU2035" s="20"/>
      <c r="DV2035" s="20"/>
      <c r="DW2035" s="20"/>
      <c r="DX2035" s="20"/>
      <c r="DY2035" s="20"/>
      <c r="DZ2035" s="20"/>
      <c r="EA2035" s="20"/>
      <c r="EB2035" s="20"/>
      <c r="EC2035" s="20"/>
      <c r="ED2035" s="20"/>
      <c r="EE2035" s="20"/>
      <c r="EF2035" s="20"/>
      <c r="EG2035" s="20"/>
      <c r="EH2035" s="20"/>
      <c r="EI2035" s="20"/>
      <c r="EJ2035" s="20"/>
      <c r="EK2035" s="20"/>
      <c r="EL2035" s="20"/>
      <c r="EM2035" s="20"/>
      <c r="EN2035" s="20"/>
      <c r="EO2035" s="20"/>
      <c r="EP2035" s="20"/>
      <c r="EQ2035" s="20"/>
      <c r="ER2035" s="20"/>
      <c r="ES2035" s="20"/>
      <c r="ET2035" s="20"/>
      <c r="EU2035" s="20"/>
      <c r="EV2035" s="20"/>
      <c r="EW2035" s="20"/>
      <c r="EX2035" s="20"/>
      <c r="EY2035" s="20"/>
      <c r="EZ2035" s="20"/>
      <c r="FA2035" s="20"/>
      <c r="FB2035" s="20"/>
      <c r="FC2035" s="20"/>
      <c r="FD2035" s="20"/>
      <c r="FE2035" s="20"/>
      <c r="FF2035" s="20"/>
      <c r="FG2035" s="20"/>
      <c r="FH2035" s="20"/>
      <c r="FI2035" s="20"/>
      <c r="FJ2035" s="20"/>
      <c r="FK2035" s="20"/>
      <c r="FL2035" s="20"/>
      <c r="FM2035" s="20"/>
      <c r="FN2035" s="20"/>
      <c r="FO2035" s="20"/>
      <c r="FP2035" s="20"/>
      <c r="FQ2035" s="20"/>
      <c r="FR2035" s="20"/>
      <c r="FS2035" s="20"/>
      <c r="FT2035" s="20"/>
      <c r="FU2035" s="20"/>
      <c r="FV2035" s="20"/>
      <c r="FW2035" s="20"/>
      <c r="FX2035" s="20"/>
      <c r="FY2035" s="20"/>
      <c r="FZ2035" s="20"/>
      <c r="GA2035" s="20"/>
      <c r="GB2035" s="20"/>
      <c r="GC2035" s="20"/>
      <c r="GD2035" s="20"/>
      <c r="GE2035" s="20"/>
      <c r="GF2035" s="20"/>
      <c r="GG2035" s="20"/>
      <c r="GH2035" s="20"/>
      <c r="GI2035" s="20"/>
      <c r="GJ2035" s="20"/>
      <c r="GK2035" s="20"/>
      <c r="GL2035" s="20"/>
      <c r="GM2035" s="20"/>
      <c r="GN2035" s="20"/>
      <c r="GO2035" s="20"/>
      <c r="GP2035" s="20"/>
      <c r="GQ2035" s="20"/>
      <c r="GR2035" s="20"/>
      <c r="GS2035" s="20"/>
      <c r="GT2035" s="20"/>
      <c r="GU2035" s="20"/>
      <c r="GV2035" s="20"/>
      <c r="GW2035" s="20"/>
      <c r="GX2035" s="20"/>
      <c r="GY2035" s="20"/>
      <c r="GZ2035" s="20"/>
      <c r="HA2035" s="20"/>
      <c r="HB2035" s="20"/>
      <c r="HC2035" s="20"/>
      <c r="HD2035" s="20"/>
      <c r="HE2035" s="20"/>
      <c r="HF2035" s="20"/>
      <c r="HG2035" s="20"/>
      <c r="HH2035" s="20"/>
      <c r="HI2035" s="20"/>
      <c r="HJ2035" s="20"/>
      <c r="HK2035" s="20"/>
      <c r="HL2035" s="20"/>
      <c r="HM2035" s="20"/>
      <c r="HN2035" s="20"/>
      <c r="HO2035" s="20"/>
      <c r="HP2035" s="20"/>
      <c r="HQ2035" s="20"/>
      <c r="HR2035" s="20"/>
      <c r="HS2035" s="20"/>
      <c r="HT2035" s="20"/>
      <c r="HU2035" s="20"/>
      <c r="HV2035" s="20"/>
      <c r="HW2035" s="20"/>
      <c r="HX2035" s="20"/>
      <c r="HY2035" s="20"/>
      <c r="HZ2035" s="20"/>
      <c r="IA2035" s="20"/>
      <c r="IB2035" s="20"/>
      <c r="IC2035" s="20"/>
      <c r="ID2035" s="20"/>
      <c r="IE2035" s="20"/>
      <c r="IF2035" s="20"/>
      <c r="IG2035" s="20"/>
      <c r="IH2035" s="20"/>
      <c r="II2035" s="20"/>
      <c r="IJ2035" s="20"/>
      <c r="IK2035" s="20"/>
      <c r="IL2035" s="20"/>
      <c r="IM2035" s="20"/>
      <c r="IN2035" s="20"/>
      <c r="IO2035" s="20"/>
    </row>
    <row r="2036" spans="1:249" s="22" customFormat="1" ht="49.5">
      <c r="A2036" s="794"/>
      <c r="B2036" s="840"/>
      <c r="C2036" s="841">
        <v>4</v>
      </c>
      <c r="D2036" s="841" t="s">
        <v>34</v>
      </c>
      <c r="E2036" s="841" t="s">
        <v>25</v>
      </c>
      <c r="F2036" s="841" t="s">
        <v>601</v>
      </c>
      <c r="G2036" s="841" t="s">
        <v>25</v>
      </c>
      <c r="H2036" s="841"/>
      <c r="I2036" s="6" t="s">
        <v>1965</v>
      </c>
      <c r="J2036" s="6" t="s">
        <v>3416</v>
      </c>
      <c r="K2036" s="1903">
        <v>6</v>
      </c>
      <c r="L2036" s="1904">
        <v>955000000</v>
      </c>
      <c r="M2036" s="1903">
        <v>3</v>
      </c>
      <c r="N2036" s="1904">
        <f>149183985+65466803</f>
        <v>214650788</v>
      </c>
      <c r="O2036" s="1903">
        <v>1</v>
      </c>
      <c r="P2036" s="1905">
        <v>82490503</v>
      </c>
      <c r="Q2036" s="1903">
        <v>1</v>
      </c>
      <c r="R2036" s="1904">
        <v>18075900</v>
      </c>
      <c r="S2036" s="795"/>
      <c r="T2036" s="207"/>
      <c r="U2036" s="795"/>
      <c r="V2036" s="1906"/>
      <c r="W2036" s="795"/>
      <c r="X2036" s="1906"/>
      <c r="Y2036" s="1903">
        <f t="shared" ref="Y2036:Y2037" si="614">Q2036+S2036</f>
        <v>1</v>
      </c>
      <c r="Z2036" s="1906">
        <f t="shared" si="612"/>
        <v>18075900</v>
      </c>
      <c r="AA2036" s="1903">
        <f>M2036+Y2036</f>
        <v>4</v>
      </c>
      <c r="AB2036" s="1906">
        <f t="shared" si="595"/>
        <v>232726688</v>
      </c>
      <c r="AC2036" s="1907">
        <f>AA2036/K2036*100</f>
        <v>66.666666666666657</v>
      </c>
      <c r="AD2036" s="1907">
        <f t="shared" si="608"/>
        <v>24.36928670157068</v>
      </c>
      <c r="AE2036" s="102" t="s">
        <v>1981</v>
      </c>
      <c r="AF2036" s="201"/>
      <c r="AG2036" s="201"/>
      <c r="AH2036" s="201"/>
      <c r="AI2036" s="201"/>
      <c r="AJ2036" s="201"/>
      <c r="AK2036" s="201"/>
      <c r="AL2036" s="201"/>
      <c r="AM2036" s="201"/>
      <c r="AN2036" s="201"/>
      <c r="AO2036" s="201"/>
      <c r="AP2036" s="201"/>
      <c r="AQ2036" s="201"/>
      <c r="AR2036" s="201"/>
      <c r="AS2036" s="201"/>
      <c r="AT2036" s="201"/>
      <c r="AU2036" s="201"/>
      <c r="AV2036" s="201"/>
      <c r="AW2036" s="201"/>
      <c r="AX2036" s="201"/>
      <c r="AY2036" s="201"/>
      <c r="AZ2036" s="201"/>
      <c r="BA2036" s="201"/>
      <c r="BB2036" s="201"/>
      <c r="BC2036" s="20"/>
      <c r="BD2036" s="20"/>
      <c r="BE2036" s="20"/>
      <c r="BF2036" s="20"/>
      <c r="BG2036" s="20"/>
      <c r="BH2036" s="20"/>
      <c r="BI2036" s="20"/>
      <c r="BJ2036" s="20"/>
      <c r="BK2036" s="20"/>
      <c r="BL2036" s="20"/>
      <c r="BM2036" s="20"/>
      <c r="BN2036" s="20"/>
      <c r="BO2036" s="20"/>
      <c r="BP2036" s="20"/>
      <c r="BQ2036" s="20"/>
      <c r="BR2036" s="20"/>
      <c r="BS2036" s="20"/>
      <c r="BT2036" s="20"/>
      <c r="BU2036" s="20"/>
      <c r="BV2036" s="20"/>
      <c r="BW2036" s="20"/>
      <c r="BX2036" s="20"/>
      <c r="BY2036" s="20"/>
      <c r="BZ2036" s="20"/>
      <c r="CA2036" s="20"/>
      <c r="CB2036" s="20"/>
      <c r="CC2036" s="20"/>
      <c r="CD2036" s="20"/>
      <c r="CE2036" s="20"/>
      <c r="CF2036" s="20"/>
      <c r="CG2036" s="20"/>
      <c r="CH2036" s="20"/>
      <c r="CI2036" s="20"/>
      <c r="CJ2036" s="20"/>
      <c r="CK2036" s="20"/>
      <c r="CL2036" s="20"/>
      <c r="CM2036" s="20"/>
      <c r="CN2036" s="20"/>
      <c r="CO2036" s="20"/>
      <c r="CP2036" s="20"/>
      <c r="CQ2036" s="20"/>
      <c r="CR2036" s="20"/>
      <c r="CS2036" s="20"/>
      <c r="CT2036" s="20"/>
      <c r="CU2036" s="20"/>
      <c r="CV2036" s="20"/>
      <c r="CW2036" s="20"/>
      <c r="CX2036" s="20"/>
      <c r="CY2036" s="20"/>
      <c r="CZ2036" s="20"/>
      <c r="DA2036" s="20"/>
      <c r="DB2036" s="20"/>
      <c r="DC2036" s="20"/>
      <c r="DD2036" s="20"/>
      <c r="DE2036" s="20"/>
      <c r="DF2036" s="20"/>
      <c r="DG2036" s="20"/>
      <c r="DH2036" s="20"/>
      <c r="DI2036" s="20"/>
      <c r="DJ2036" s="20"/>
      <c r="DK2036" s="20"/>
      <c r="DL2036" s="20"/>
      <c r="DM2036" s="20"/>
      <c r="DN2036" s="20"/>
      <c r="DO2036" s="20"/>
      <c r="DP2036" s="20"/>
      <c r="DQ2036" s="20"/>
      <c r="DR2036" s="20"/>
      <c r="DS2036" s="20"/>
      <c r="DT2036" s="20"/>
      <c r="DU2036" s="20"/>
      <c r="DV2036" s="20"/>
      <c r="DW2036" s="20"/>
      <c r="DX2036" s="20"/>
      <c r="DY2036" s="20"/>
      <c r="DZ2036" s="20"/>
      <c r="EA2036" s="20"/>
      <c r="EB2036" s="20"/>
      <c r="EC2036" s="20"/>
      <c r="ED2036" s="20"/>
      <c r="EE2036" s="20"/>
      <c r="EF2036" s="20"/>
      <c r="EG2036" s="20"/>
      <c r="EH2036" s="20"/>
      <c r="EI2036" s="20"/>
      <c r="EJ2036" s="20"/>
      <c r="EK2036" s="20"/>
      <c r="EL2036" s="20"/>
      <c r="EM2036" s="20"/>
      <c r="EN2036" s="20"/>
      <c r="EO2036" s="20"/>
      <c r="EP2036" s="20"/>
      <c r="EQ2036" s="20"/>
      <c r="ER2036" s="20"/>
      <c r="ES2036" s="20"/>
      <c r="ET2036" s="20"/>
      <c r="EU2036" s="20"/>
      <c r="EV2036" s="20"/>
      <c r="EW2036" s="20"/>
      <c r="EX2036" s="20"/>
      <c r="EY2036" s="20"/>
      <c r="EZ2036" s="20"/>
      <c r="FA2036" s="20"/>
      <c r="FB2036" s="20"/>
      <c r="FC2036" s="20"/>
      <c r="FD2036" s="20"/>
      <c r="FE2036" s="20"/>
      <c r="FF2036" s="20"/>
      <c r="FG2036" s="20"/>
      <c r="FH2036" s="20"/>
      <c r="FI2036" s="20"/>
      <c r="FJ2036" s="20"/>
      <c r="FK2036" s="20"/>
      <c r="FL2036" s="20"/>
      <c r="FM2036" s="20"/>
      <c r="FN2036" s="20"/>
      <c r="FO2036" s="20"/>
      <c r="FP2036" s="20"/>
      <c r="FQ2036" s="20"/>
      <c r="FR2036" s="20"/>
      <c r="FS2036" s="20"/>
      <c r="FT2036" s="20"/>
      <c r="FU2036" s="20"/>
      <c r="FV2036" s="20"/>
      <c r="FW2036" s="20"/>
      <c r="FX2036" s="20"/>
      <c r="FY2036" s="20"/>
      <c r="FZ2036" s="20"/>
      <c r="GA2036" s="20"/>
      <c r="GB2036" s="20"/>
      <c r="GC2036" s="20"/>
      <c r="GD2036" s="20"/>
      <c r="GE2036" s="20"/>
      <c r="GF2036" s="20"/>
      <c r="GG2036" s="20"/>
      <c r="GH2036" s="20"/>
      <c r="GI2036" s="20"/>
      <c r="GJ2036" s="20"/>
      <c r="GK2036" s="20"/>
      <c r="GL2036" s="20"/>
      <c r="GM2036" s="20"/>
      <c r="GN2036" s="20"/>
      <c r="GO2036" s="20"/>
      <c r="GP2036" s="20"/>
      <c r="GQ2036" s="20"/>
      <c r="GR2036" s="20"/>
      <c r="GS2036" s="20"/>
      <c r="GT2036" s="20"/>
      <c r="GU2036" s="20"/>
      <c r="GV2036" s="20"/>
      <c r="GW2036" s="20"/>
      <c r="GX2036" s="20"/>
      <c r="GY2036" s="20"/>
      <c r="GZ2036" s="20"/>
      <c r="HA2036" s="20"/>
      <c r="HB2036" s="20"/>
      <c r="HC2036" s="20"/>
      <c r="HD2036" s="20"/>
      <c r="HE2036" s="20"/>
      <c r="HF2036" s="20"/>
      <c r="HG2036" s="20"/>
      <c r="HH2036" s="20"/>
      <c r="HI2036" s="20"/>
      <c r="HJ2036" s="20"/>
      <c r="HK2036" s="20"/>
      <c r="HL2036" s="20"/>
      <c r="HM2036" s="20"/>
      <c r="HN2036" s="20"/>
      <c r="HO2036" s="20"/>
      <c r="HP2036" s="20"/>
      <c r="HQ2036" s="20"/>
      <c r="HR2036" s="20"/>
      <c r="HS2036" s="20"/>
      <c r="HT2036" s="20"/>
      <c r="HU2036" s="20"/>
      <c r="HV2036" s="20"/>
      <c r="HW2036" s="20"/>
      <c r="HX2036" s="20"/>
      <c r="HY2036" s="20"/>
      <c r="HZ2036" s="20"/>
      <c r="IA2036" s="20"/>
      <c r="IB2036" s="20"/>
      <c r="IC2036" s="20"/>
      <c r="ID2036" s="20"/>
      <c r="IE2036" s="20"/>
      <c r="IF2036" s="20"/>
      <c r="IG2036" s="20"/>
      <c r="IH2036" s="20"/>
      <c r="II2036" s="20"/>
      <c r="IJ2036" s="20"/>
      <c r="IK2036" s="20"/>
      <c r="IL2036" s="20"/>
      <c r="IM2036" s="20"/>
      <c r="IN2036" s="20"/>
      <c r="IO2036" s="20"/>
    </row>
    <row r="2037" spans="1:249" s="22" customFormat="1" ht="66">
      <c r="A2037" s="794"/>
      <c r="B2037" s="840"/>
      <c r="C2037" s="841">
        <v>4</v>
      </c>
      <c r="D2037" s="841" t="s">
        <v>34</v>
      </c>
      <c r="E2037" s="841" t="s">
        <v>25</v>
      </c>
      <c r="F2037" s="841" t="s">
        <v>601</v>
      </c>
      <c r="G2037" s="841" t="s">
        <v>38</v>
      </c>
      <c r="H2037" s="841"/>
      <c r="I2037" s="6" t="s">
        <v>1966</v>
      </c>
      <c r="J2037" s="6" t="s">
        <v>3417</v>
      </c>
      <c r="K2037" s="1902">
        <v>24</v>
      </c>
      <c r="L2037" s="1212">
        <v>540000000</v>
      </c>
      <c r="M2037" s="1922">
        <v>12</v>
      </c>
      <c r="N2037" s="1904">
        <f>52205750+54898179</f>
        <v>107103929</v>
      </c>
      <c r="O2037" s="1903">
        <v>4</v>
      </c>
      <c r="P2037" s="1904">
        <v>40630566</v>
      </c>
      <c r="Q2037" s="1903">
        <v>1</v>
      </c>
      <c r="R2037" s="1904">
        <v>6162000</v>
      </c>
      <c r="S2037" s="795"/>
      <c r="T2037" s="207"/>
      <c r="U2037" s="795"/>
      <c r="V2037" s="1906"/>
      <c r="W2037" s="795"/>
      <c r="X2037" s="1906"/>
      <c r="Y2037" s="1903">
        <f t="shared" si="614"/>
        <v>1</v>
      </c>
      <c r="Z2037" s="1906">
        <f t="shared" si="612"/>
        <v>6162000</v>
      </c>
      <c r="AA2037" s="1903">
        <f>M2037+Y2037</f>
        <v>13</v>
      </c>
      <c r="AB2037" s="1906">
        <f t="shared" si="595"/>
        <v>113265929</v>
      </c>
      <c r="AC2037" s="1907">
        <f>AA2037/K2037*100</f>
        <v>54.166666666666664</v>
      </c>
      <c r="AD2037" s="1907">
        <f t="shared" si="608"/>
        <v>20.975172037037037</v>
      </c>
      <c r="AE2037" s="102" t="s">
        <v>1981</v>
      </c>
      <c r="AF2037" s="201"/>
      <c r="AG2037" s="201"/>
      <c r="AH2037" s="201"/>
      <c r="AI2037" s="201"/>
      <c r="AJ2037" s="201"/>
      <c r="AK2037" s="201"/>
      <c r="AL2037" s="201"/>
      <c r="AM2037" s="201"/>
      <c r="AN2037" s="201"/>
      <c r="AO2037" s="201"/>
      <c r="AP2037" s="201"/>
      <c r="AQ2037" s="201"/>
      <c r="AR2037" s="201"/>
      <c r="AS2037" s="201"/>
      <c r="AT2037" s="201"/>
      <c r="AU2037" s="201"/>
      <c r="AV2037" s="201"/>
      <c r="AW2037" s="201"/>
      <c r="AX2037" s="201"/>
      <c r="AY2037" s="201"/>
      <c r="AZ2037" s="201"/>
      <c r="BA2037" s="201"/>
      <c r="BB2037" s="201"/>
      <c r="BC2037" s="20"/>
      <c r="BD2037" s="20"/>
      <c r="BE2037" s="20"/>
      <c r="BF2037" s="20"/>
      <c r="BG2037" s="20"/>
      <c r="BH2037" s="20"/>
      <c r="BI2037" s="20"/>
      <c r="BJ2037" s="20"/>
      <c r="BK2037" s="20"/>
      <c r="BL2037" s="20"/>
      <c r="BM2037" s="20"/>
      <c r="BN2037" s="20"/>
      <c r="BO2037" s="20"/>
      <c r="BP2037" s="20"/>
      <c r="BQ2037" s="20"/>
      <c r="BR2037" s="20"/>
      <c r="BS2037" s="20"/>
      <c r="BT2037" s="20"/>
      <c r="BU2037" s="20"/>
      <c r="BV2037" s="20"/>
      <c r="BW2037" s="20"/>
      <c r="BX2037" s="20"/>
      <c r="BY2037" s="20"/>
      <c r="BZ2037" s="20"/>
      <c r="CA2037" s="20"/>
      <c r="CB2037" s="20"/>
      <c r="CC2037" s="20"/>
      <c r="CD2037" s="20"/>
      <c r="CE2037" s="20"/>
      <c r="CF2037" s="20"/>
      <c r="CG2037" s="20"/>
      <c r="CH2037" s="20"/>
      <c r="CI2037" s="20"/>
      <c r="CJ2037" s="20"/>
      <c r="CK2037" s="20"/>
      <c r="CL2037" s="20"/>
      <c r="CM2037" s="20"/>
      <c r="CN2037" s="20"/>
      <c r="CO2037" s="20"/>
      <c r="CP2037" s="20"/>
      <c r="CQ2037" s="20"/>
      <c r="CR2037" s="20"/>
      <c r="CS2037" s="20"/>
      <c r="CT2037" s="20"/>
      <c r="CU2037" s="20"/>
      <c r="CV2037" s="20"/>
      <c r="CW2037" s="20"/>
      <c r="CX2037" s="20"/>
      <c r="CY2037" s="20"/>
      <c r="CZ2037" s="20"/>
      <c r="DA2037" s="20"/>
      <c r="DB2037" s="20"/>
      <c r="DC2037" s="20"/>
      <c r="DD2037" s="20"/>
      <c r="DE2037" s="20"/>
      <c r="DF2037" s="20"/>
      <c r="DG2037" s="20"/>
      <c r="DH2037" s="20"/>
      <c r="DI2037" s="20"/>
      <c r="DJ2037" s="20"/>
      <c r="DK2037" s="20"/>
      <c r="DL2037" s="20"/>
      <c r="DM2037" s="20"/>
      <c r="DN2037" s="20"/>
      <c r="DO2037" s="20"/>
      <c r="DP2037" s="20"/>
      <c r="DQ2037" s="20"/>
      <c r="DR2037" s="20"/>
      <c r="DS2037" s="20"/>
      <c r="DT2037" s="20"/>
      <c r="DU2037" s="20"/>
      <c r="DV2037" s="20"/>
      <c r="DW2037" s="20"/>
      <c r="DX2037" s="20"/>
      <c r="DY2037" s="20"/>
      <c r="DZ2037" s="20"/>
      <c r="EA2037" s="20"/>
      <c r="EB2037" s="20"/>
      <c r="EC2037" s="20"/>
      <c r="ED2037" s="20"/>
      <c r="EE2037" s="20"/>
      <c r="EF2037" s="20"/>
      <c r="EG2037" s="20"/>
      <c r="EH2037" s="20"/>
      <c r="EI2037" s="20"/>
      <c r="EJ2037" s="20"/>
      <c r="EK2037" s="20"/>
      <c r="EL2037" s="20"/>
      <c r="EM2037" s="20"/>
      <c r="EN2037" s="20"/>
      <c r="EO2037" s="20"/>
      <c r="EP2037" s="20"/>
      <c r="EQ2037" s="20"/>
      <c r="ER2037" s="20"/>
      <c r="ES2037" s="20"/>
      <c r="ET2037" s="20"/>
      <c r="EU2037" s="20"/>
      <c r="EV2037" s="20"/>
      <c r="EW2037" s="20"/>
      <c r="EX2037" s="20"/>
      <c r="EY2037" s="20"/>
      <c r="EZ2037" s="20"/>
      <c r="FA2037" s="20"/>
      <c r="FB2037" s="20"/>
      <c r="FC2037" s="20"/>
      <c r="FD2037" s="20"/>
      <c r="FE2037" s="20"/>
      <c r="FF2037" s="20"/>
      <c r="FG2037" s="20"/>
      <c r="FH2037" s="20"/>
      <c r="FI2037" s="20"/>
      <c r="FJ2037" s="20"/>
      <c r="FK2037" s="20"/>
      <c r="FL2037" s="20"/>
      <c r="FM2037" s="20"/>
      <c r="FN2037" s="20"/>
      <c r="FO2037" s="20"/>
      <c r="FP2037" s="20"/>
      <c r="FQ2037" s="20"/>
      <c r="FR2037" s="20"/>
      <c r="FS2037" s="20"/>
      <c r="FT2037" s="20"/>
      <c r="FU2037" s="20"/>
      <c r="FV2037" s="20"/>
      <c r="FW2037" s="20"/>
      <c r="FX2037" s="20"/>
      <c r="FY2037" s="20"/>
      <c r="FZ2037" s="20"/>
      <c r="GA2037" s="20"/>
      <c r="GB2037" s="20"/>
      <c r="GC2037" s="20"/>
      <c r="GD2037" s="20"/>
      <c r="GE2037" s="20"/>
      <c r="GF2037" s="20"/>
      <c r="GG2037" s="20"/>
      <c r="GH2037" s="20"/>
      <c r="GI2037" s="20"/>
      <c r="GJ2037" s="20"/>
      <c r="GK2037" s="20"/>
      <c r="GL2037" s="20"/>
      <c r="GM2037" s="20"/>
      <c r="GN2037" s="20"/>
      <c r="GO2037" s="20"/>
      <c r="GP2037" s="20"/>
      <c r="GQ2037" s="20"/>
      <c r="GR2037" s="20"/>
      <c r="GS2037" s="20"/>
      <c r="GT2037" s="20"/>
      <c r="GU2037" s="20"/>
      <c r="GV2037" s="20"/>
      <c r="GW2037" s="20"/>
      <c r="GX2037" s="20"/>
      <c r="GY2037" s="20"/>
      <c r="GZ2037" s="20"/>
      <c r="HA2037" s="20"/>
      <c r="HB2037" s="20"/>
      <c r="HC2037" s="20"/>
      <c r="HD2037" s="20"/>
      <c r="HE2037" s="20"/>
      <c r="HF2037" s="20"/>
      <c r="HG2037" s="20"/>
      <c r="HH2037" s="20"/>
      <c r="HI2037" s="20"/>
      <c r="HJ2037" s="20"/>
      <c r="HK2037" s="20"/>
      <c r="HL2037" s="20"/>
      <c r="HM2037" s="20"/>
      <c r="HN2037" s="20"/>
      <c r="HO2037" s="20"/>
      <c r="HP2037" s="20"/>
      <c r="HQ2037" s="20"/>
      <c r="HR2037" s="20"/>
      <c r="HS2037" s="20"/>
      <c r="HT2037" s="20"/>
      <c r="HU2037" s="20"/>
      <c r="HV2037" s="20"/>
      <c r="HW2037" s="20"/>
      <c r="HX2037" s="20"/>
      <c r="HY2037" s="20"/>
      <c r="HZ2037" s="20"/>
      <c r="IA2037" s="20"/>
      <c r="IB2037" s="20"/>
      <c r="IC2037" s="20"/>
      <c r="ID2037" s="20"/>
      <c r="IE2037" s="20"/>
      <c r="IF2037" s="20"/>
      <c r="IG2037" s="20"/>
      <c r="IH2037" s="20"/>
      <c r="II2037" s="20"/>
      <c r="IJ2037" s="20"/>
      <c r="IK2037" s="20"/>
      <c r="IL2037" s="20"/>
      <c r="IM2037" s="20"/>
      <c r="IN2037" s="20"/>
      <c r="IO2037" s="20"/>
    </row>
    <row r="2038" spans="1:249" s="22" customFormat="1" ht="49.5">
      <c r="A2038" s="794"/>
      <c r="B2038" s="840"/>
      <c r="C2038" s="841">
        <v>4</v>
      </c>
      <c r="D2038" s="841" t="s">
        <v>34</v>
      </c>
      <c r="E2038" s="841" t="s">
        <v>25</v>
      </c>
      <c r="F2038" s="841" t="s">
        <v>1817</v>
      </c>
      <c r="G2038" s="841" t="s">
        <v>29</v>
      </c>
      <c r="H2038" s="841"/>
      <c r="I2038" s="6" t="s">
        <v>1967</v>
      </c>
      <c r="J2038" s="6" t="s">
        <v>1968</v>
      </c>
      <c r="K2038" s="1902">
        <v>6</v>
      </c>
      <c r="L2038" s="1908">
        <f>2*N2038</f>
        <v>410743766</v>
      </c>
      <c r="M2038" s="1903">
        <v>3</v>
      </c>
      <c r="N2038" s="1904">
        <f>69652800+76491427+59227656</f>
        <v>205371883</v>
      </c>
      <c r="O2038" s="1902">
        <v>1</v>
      </c>
      <c r="P2038" s="1905">
        <v>51837660</v>
      </c>
      <c r="Q2038" s="1903">
        <v>1</v>
      </c>
      <c r="R2038" s="1904">
        <v>10977500</v>
      </c>
      <c r="S2038" s="795"/>
      <c r="T2038" s="1906"/>
      <c r="U2038" s="795"/>
      <c r="V2038" s="1906"/>
      <c r="W2038" s="795"/>
      <c r="X2038" s="1906"/>
      <c r="Y2038" s="1903">
        <f>Q2038+S2038</f>
        <v>1</v>
      </c>
      <c r="Z2038" s="1906">
        <f t="shared" si="612"/>
        <v>10977500</v>
      </c>
      <c r="AA2038" s="1903">
        <f>M2038+Y2038</f>
        <v>4</v>
      </c>
      <c r="AB2038" s="1906">
        <f t="shared" si="595"/>
        <v>216349383</v>
      </c>
      <c r="AC2038" s="1907">
        <f>AA2038/K2038*100</f>
        <v>66.666666666666657</v>
      </c>
      <c r="AD2038" s="1907">
        <f t="shared" si="608"/>
        <v>52.67259077524259</v>
      </c>
      <c r="AE2038" s="102" t="s">
        <v>1996</v>
      </c>
      <c r="AF2038" s="201"/>
      <c r="AG2038" s="201"/>
      <c r="AH2038" s="201"/>
      <c r="AI2038" s="201"/>
      <c r="AJ2038" s="201"/>
      <c r="AK2038" s="201"/>
      <c r="AL2038" s="201"/>
      <c r="AM2038" s="201"/>
      <c r="AN2038" s="201"/>
      <c r="AO2038" s="201"/>
      <c r="AP2038" s="201"/>
      <c r="AQ2038" s="201"/>
      <c r="AR2038" s="201"/>
      <c r="AS2038" s="201"/>
      <c r="AT2038" s="201"/>
      <c r="AU2038" s="201"/>
      <c r="AV2038" s="201"/>
      <c r="AW2038" s="201"/>
      <c r="AX2038" s="201"/>
      <c r="AY2038" s="201"/>
      <c r="AZ2038" s="201"/>
      <c r="BA2038" s="201"/>
      <c r="BB2038" s="201"/>
      <c r="BC2038" s="20"/>
      <c r="BD2038" s="20"/>
      <c r="BE2038" s="20"/>
      <c r="BF2038" s="20"/>
      <c r="BG2038" s="20"/>
      <c r="BH2038" s="20"/>
      <c r="BI2038" s="20"/>
      <c r="BJ2038" s="20"/>
      <c r="BK2038" s="20"/>
      <c r="BL2038" s="20"/>
      <c r="BM2038" s="20"/>
      <c r="BN2038" s="20"/>
      <c r="BO2038" s="20"/>
      <c r="BP2038" s="20"/>
      <c r="BQ2038" s="20"/>
      <c r="BR2038" s="20"/>
      <c r="BS2038" s="20"/>
      <c r="BT2038" s="20"/>
      <c r="BU2038" s="20"/>
      <c r="BV2038" s="20"/>
      <c r="BW2038" s="20"/>
      <c r="BX2038" s="20"/>
      <c r="BY2038" s="20"/>
      <c r="BZ2038" s="20"/>
      <c r="CA2038" s="20"/>
      <c r="CB2038" s="20"/>
      <c r="CC2038" s="20"/>
      <c r="CD2038" s="20"/>
      <c r="CE2038" s="20"/>
      <c r="CF2038" s="20"/>
      <c r="CG2038" s="20"/>
      <c r="CH2038" s="20"/>
      <c r="CI2038" s="20"/>
      <c r="CJ2038" s="20"/>
      <c r="CK2038" s="20"/>
      <c r="CL2038" s="20"/>
      <c r="CM2038" s="20"/>
      <c r="CN2038" s="20"/>
      <c r="CO2038" s="20"/>
      <c r="CP2038" s="20"/>
      <c r="CQ2038" s="20"/>
      <c r="CR2038" s="20"/>
      <c r="CS2038" s="20"/>
      <c r="CT2038" s="20"/>
      <c r="CU2038" s="20"/>
      <c r="CV2038" s="20"/>
      <c r="CW2038" s="20"/>
      <c r="CX2038" s="20"/>
      <c r="CY2038" s="20"/>
      <c r="CZ2038" s="20"/>
      <c r="DA2038" s="20"/>
      <c r="DB2038" s="20"/>
      <c r="DC2038" s="20"/>
      <c r="DD2038" s="20"/>
      <c r="DE2038" s="20"/>
      <c r="DF2038" s="20"/>
      <c r="DG2038" s="20"/>
      <c r="DH2038" s="20"/>
      <c r="DI2038" s="20"/>
      <c r="DJ2038" s="20"/>
      <c r="DK2038" s="20"/>
      <c r="DL2038" s="20"/>
      <c r="DM2038" s="20"/>
      <c r="DN2038" s="20"/>
      <c r="DO2038" s="20"/>
      <c r="DP2038" s="20"/>
      <c r="DQ2038" s="20"/>
      <c r="DR2038" s="20"/>
      <c r="DS2038" s="20"/>
      <c r="DT2038" s="20"/>
      <c r="DU2038" s="20"/>
      <c r="DV2038" s="20"/>
      <c r="DW2038" s="20"/>
      <c r="DX2038" s="20"/>
      <c r="DY2038" s="20"/>
      <c r="DZ2038" s="20"/>
      <c r="EA2038" s="20"/>
      <c r="EB2038" s="20"/>
      <c r="EC2038" s="20"/>
      <c r="ED2038" s="20"/>
      <c r="EE2038" s="20"/>
      <c r="EF2038" s="20"/>
      <c r="EG2038" s="20"/>
      <c r="EH2038" s="20"/>
      <c r="EI2038" s="20"/>
      <c r="EJ2038" s="20"/>
      <c r="EK2038" s="20"/>
      <c r="EL2038" s="20"/>
      <c r="EM2038" s="20"/>
      <c r="EN2038" s="20"/>
      <c r="EO2038" s="20"/>
      <c r="EP2038" s="20"/>
      <c r="EQ2038" s="20"/>
      <c r="ER2038" s="20"/>
      <c r="ES2038" s="20"/>
      <c r="ET2038" s="20"/>
      <c r="EU2038" s="20"/>
      <c r="EV2038" s="20"/>
      <c r="EW2038" s="20"/>
      <c r="EX2038" s="20"/>
      <c r="EY2038" s="20"/>
      <c r="EZ2038" s="20"/>
      <c r="FA2038" s="20"/>
      <c r="FB2038" s="20"/>
      <c r="FC2038" s="20"/>
      <c r="FD2038" s="20"/>
      <c r="FE2038" s="20"/>
      <c r="FF2038" s="20"/>
      <c r="FG2038" s="20"/>
      <c r="FH2038" s="20"/>
      <c r="FI2038" s="20"/>
      <c r="FJ2038" s="20"/>
      <c r="FK2038" s="20"/>
      <c r="FL2038" s="20"/>
      <c r="FM2038" s="20"/>
      <c r="FN2038" s="20"/>
      <c r="FO2038" s="20"/>
      <c r="FP2038" s="20"/>
      <c r="FQ2038" s="20"/>
      <c r="FR2038" s="20"/>
      <c r="FS2038" s="20"/>
      <c r="FT2038" s="20"/>
      <c r="FU2038" s="20"/>
      <c r="FV2038" s="20"/>
      <c r="FW2038" s="20"/>
      <c r="FX2038" s="20"/>
      <c r="FY2038" s="20"/>
      <c r="FZ2038" s="20"/>
      <c r="GA2038" s="20"/>
      <c r="GB2038" s="20"/>
      <c r="GC2038" s="20"/>
      <c r="GD2038" s="20"/>
      <c r="GE2038" s="20"/>
      <c r="GF2038" s="20"/>
      <c r="GG2038" s="20"/>
      <c r="GH2038" s="20"/>
      <c r="GI2038" s="20"/>
      <c r="GJ2038" s="20"/>
      <c r="GK2038" s="20"/>
      <c r="GL2038" s="20"/>
      <c r="GM2038" s="20"/>
      <c r="GN2038" s="20"/>
      <c r="GO2038" s="20"/>
      <c r="GP2038" s="20"/>
      <c r="GQ2038" s="20"/>
      <c r="GR2038" s="20"/>
      <c r="GS2038" s="20"/>
      <c r="GT2038" s="20"/>
      <c r="GU2038" s="20"/>
      <c r="GV2038" s="20"/>
      <c r="GW2038" s="20"/>
      <c r="GX2038" s="20"/>
      <c r="GY2038" s="20"/>
      <c r="GZ2038" s="20"/>
      <c r="HA2038" s="20"/>
      <c r="HB2038" s="20"/>
      <c r="HC2038" s="20"/>
      <c r="HD2038" s="20"/>
      <c r="HE2038" s="20"/>
      <c r="HF2038" s="20"/>
      <c r="HG2038" s="20"/>
      <c r="HH2038" s="20"/>
      <c r="HI2038" s="20"/>
      <c r="HJ2038" s="20"/>
      <c r="HK2038" s="20"/>
      <c r="HL2038" s="20"/>
      <c r="HM2038" s="20"/>
      <c r="HN2038" s="20"/>
      <c r="HO2038" s="20"/>
      <c r="HP2038" s="20"/>
      <c r="HQ2038" s="20"/>
      <c r="HR2038" s="20"/>
      <c r="HS2038" s="20"/>
      <c r="HT2038" s="20"/>
      <c r="HU2038" s="20"/>
      <c r="HV2038" s="20"/>
      <c r="HW2038" s="20"/>
      <c r="HX2038" s="20"/>
      <c r="HY2038" s="20"/>
      <c r="HZ2038" s="20"/>
      <c r="IA2038" s="20"/>
      <c r="IB2038" s="20"/>
      <c r="IC2038" s="20"/>
      <c r="ID2038" s="20"/>
      <c r="IE2038" s="20"/>
      <c r="IF2038" s="20"/>
      <c r="IG2038" s="20"/>
      <c r="IH2038" s="20"/>
      <c r="II2038" s="20"/>
      <c r="IJ2038" s="20"/>
      <c r="IK2038" s="20"/>
      <c r="IL2038" s="20"/>
      <c r="IM2038" s="20"/>
      <c r="IN2038" s="20"/>
      <c r="IO2038" s="20"/>
    </row>
    <row r="2039" spans="1:249" s="22" customFormat="1" ht="49.5">
      <c r="A2039" s="794"/>
      <c r="B2039" s="840"/>
      <c r="C2039" s="841">
        <v>4</v>
      </c>
      <c r="D2039" s="841" t="s">
        <v>34</v>
      </c>
      <c r="E2039" s="841" t="s">
        <v>25</v>
      </c>
      <c r="F2039" s="841" t="s">
        <v>1817</v>
      </c>
      <c r="G2039" s="841" t="s">
        <v>30</v>
      </c>
      <c r="H2039" s="841"/>
      <c r="I2039" s="6" t="s">
        <v>1969</v>
      </c>
      <c r="J2039" s="6" t="s">
        <v>1970</v>
      </c>
      <c r="K2039" s="1903">
        <v>5</v>
      </c>
      <c r="L2039" s="1908">
        <f>2*N2039</f>
        <v>56990384</v>
      </c>
      <c r="M2039" s="1903">
        <v>2</v>
      </c>
      <c r="N2039" s="1905">
        <v>28495192</v>
      </c>
      <c r="O2039" s="1902">
        <v>1</v>
      </c>
      <c r="P2039" s="1905">
        <v>25913880</v>
      </c>
      <c r="Q2039" s="1903">
        <v>0</v>
      </c>
      <c r="R2039" s="1904">
        <v>3187500</v>
      </c>
      <c r="S2039" s="795"/>
      <c r="T2039" s="207"/>
      <c r="U2039" s="795"/>
      <c r="V2039" s="1906"/>
      <c r="W2039" s="795"/>
      <c r="X2039" s="1906"/>
      <c r="Y2039" s="1903">
        <f>Q2039+S2039</f>
        <v>0</v>
      </c>
      <c r="Z2039" s="1906">
        <f t="shared" si="612"/>
        <v>3187500</v>
      </c>
      <c r="AA2039" s="1903">
        <f>M2039+Y2039</f>
        <v>2</v>
      </c>
      <c r="AB2039" s="1906">
        <f t="shared" si="595"/>
        <v>31682692</v>
      </c>
      <c r="AC2039" s="1907">
        <f>AA2039/K2039*100</f>
        <v>40</v>
      </c>
      <c r="AD2039" s="1907">
        <f t="shared" si="608"/>
        <v>55.593048820306244</v>
      </c>
      <c r="AE2039" s="102" t="s">
        <v>1996</v>
      </c>
      <c r="AF2039" s="201"/>
      <c r="AG2039" s="201"/>
      <c r="AH2039" s="201"/>
      <c r="AI2039" s="201"/>
      <c r="AJ2039" s="201"/>
      <c r="AK2039" s="201"/>
      <c r="AL2039" s="201"/>
      <c r="AM2039" s="201"/>
      <c r="AN2039" s="201"/>
      <c r="AO2039" s="201"/>
      <c r="AP2039" s="201"/>
      <c r="AQ2039" s="201"/>
      <c r="AR2039" s="201"/>
      <c r="AS2039" s="201"/>
      <c r="AT2039" s="201"/>
      <c r="AU2039" s="201"/>
      <c r="AV2039" s="201"/>
      <c r="AW2039" s="201"/>
      <c r="AX2039" s="201"/>
      <c r="AY2039" s="201"/>
      <c r="AZ2039" s="201"/>
      <c r="BA2039" s="201"/>
      <c r="BB2039" s="201"/>
      <c r="BC2039" s="20"/>
      <c r="BD2039" s="20"/>
      <c r="BE2039" s="20"/>
      <c r="BF2039" s="20"/>
      <c r="BG2039" s="20"/>
      <c r="BH2039" s="20"/>
      <c r="BI2039" s="20"/>
      <c r="BJ2039" s="20"/>
      <c r="BK2039" s="20"/>
      <c r="BL2039" s="20"/>
      <c r="BM2039" s="20"/>
      <c r="BN2039" s="20"/>
      <c r="BO2039" s="20"/>
      <c r="BP2039" s="20"/>
      <c r="BQ2039" s="20"/>
      <c r="BR2039" s="20"/>
      <c r="BS2039" s="20"/>
      <c r="BT2039" s="20"/>
      <c r="BU2039" s="20"/>
      <c r="BV2039" s="20"/>
      <c r="BW2039" s="20"/>
      <c r="BX2039" s="20"/>
      <c r="BY2039" s="20"/>
      <c r="BZ2039" s="20"/>
      <c r="CA2039" s="20"/>
      <c r="CB2039" s="20"/>
      <c r="CC2039" s="20"/>
      <c r="CD2039" s="20"/>
      <c r="CE2039" s="20"/>
      <c r="CF2039" s="20"/>
      <c r="CG2039" s="20"/>
      <c r="CH2039" s="20"/>
      <c r="CI2039" s="20"/>
      <c r="CJ2039" s="20"/>
      <c r="CK2039" s="20"/>
      <c r="CL2039" s="20"/>
      <c r="CM2039" s="20"/>
      <c r="CN2039" s="20"/>
      <c r="CO2039" s="20"/>
      <c r="CP2039" s="20"/>
      <c r="CQ2039" s="20"/>
      <c r="CR2039" s="20"/>
      <c r="CS2039" s="20"/>
      <c r="CT2039" s="20"/>
      <c r="CU2039" s="20"/>
      <c r="CV2039" s="20"/>
      <c r="CW2039" s="20"/>
      <c r="CX2039" s="20"/>
      <c r="CY2039" s="20"/>
      <c r="CZ2039" s="20"/>
      <c r="DA2039" s="20"/>
      <c r="DB2039" s="20"/>
      <c r="DC2039" s="20"/>
      <c r="DD2039" s="20"/>
      <c r="DE2039" s="20"/>
      <c r="DF2039" s="20"/>
      <c r="DG2039" s="20"/>
      <c r="DH2039" s="20"/>
      <c r="DI2039" s="20"/>
      <c r="DJ2039" s="20"/>
      <c r="DK2039" s="20"/>
      <c r="DL2039" s="20"/>
      <c r="DM2039" s="20"/>
      <c r="DN2039" s="20"/>
      <c r="DO2039" s="20"/>
      <c r="DP2039" s="20"/>
      <c r="DQ2039" s="20"/>
      <c r="DR2039" s="20"/>
      <c r="DS2039" s="20"/>
      <c r="DT2039" s="20"/>
      <c r="DU2039" s="20"/>
      <c r="DV2039" s="20"/>
      <c r="DW2039" s="20"/>
      <c r="DX2039" s="20"/>
      <c r="DY2039" s="20"/>
      <c r="DZ2039" s="20"/>
      <c r="EA2039" s="20"/>
      <c r="EB2039" s="20"/>
      <c r="EC2039" s="20"/>
      <c r="ED2039" s="20"/>
      <c r="EE2039" s="20"/>
      <c r="EF2039" s="20"/>
      <c r="EG2039" s="20"/>
      <c r="EH2039" s="20"/>
      <c r="EI2039" s="20"/>
      <c r="EJ2039" s="20"/>
      <c r="EK2039" s="20"/>
      <c r="EL2039" s="20"/>
      <c r="EM2039" s="20"/>
      <c r="EN2039" s="20"/>
      <c r="EO2039" s="20"/>
      <c r="EP2039" s="20"/>
      <c r="EQ2039" s="20"/>
      <c r="ER2039" s="20"/>
      <c r="ES2039" s="20"/>
      <c r="ET2039" s="20"/>
      <c r="EU2039" s="20"/>
      <c r="EV2039" s="20"/>
      <c r="EW2039" s="20"/>
      <c r="EX2039" s="20"/>
      <c r="EY2039" s="20"/>
      <c r="EZ2039" s="20"/>
      <c r="FA2039" s="20"/>
      <c r="FB2039" s="20"/>
      <c r="FC2039" s="20"/>
      <c r="FD2039" s="20"/>
      <c r="FE2039" s="20"/>
      <c r="FF2039" s="20"/>
      <c r="FG2039" s="20"/>
      <c r="FH2039" s="20"/>
      <c r="FI2039" s="20"/>
      <c r="FJ2039" s="20"/>
      <c r="FK2039" s="20"/>
      <c r="FL2039" s="20"/>
      <c r="FM2039" s="20"/>
      <c r="FN2039" s="20"/>
      <c r="FO2039" s="20"/>
      <c r="FP2039" s="20"/>
      <c r="FQ2039" s="20"/>
      <c r="FR2039" s="20"/>
      <c r="FS2039" s="20"/>
      <c r="FT2039" s="20"/>
      <c r="FU2039" s="20"/>
      <c r="FV2039" s="20"/>
      <c r="FW2039" s="20"/>
      <c r="FX2039" s="20"/>
      <c r="FY2039" s="20"/>
      <c r="FZ2039" s="20"/>
      <c r="GA2039" s="20"/>
      <c r="GB2039" s="20"/>
      <c r="GC2039" s="20"/>
      <c r="GD2039" s="20"/>
      <c r="GE2039" s="20"/>
      <c r="GF2039" s="20"/>
      <c r="GG2039" s="20"/>
      <c r="GH2039" s="20"/>
      <c r="GI2039" s="20"/>
      <c r="GJ2039" s="20"/>
      <c r="GK2039" s="20"/>
      <c r="GL2039" s="20"/>
      <c r="GM2039" s="20"/>
      <c r="GN2039" s="20"/>
      <c r="GO2039" s="20"/>
      <c r="GP2039" s="20"/>
      <c r="GQ2039" s="20"/>
      <c r="GR2039" s="20"/>
      <c r="GS2039" s="20"/>
      <c r="GT2039" s="20"/>
      <c r="GU2039" s="20"/>
      <c r="GV2039" s="20"/>
      <c r="GW2039" s="20"/>
      <c r="GX2039" s="20"/>
      <c r="GY2039" s="20"/>
      <c r="GZ2039" s="20"/>
      <c r="HA2039" s="20"/>
      <c r="HB2039" s="20"/>
      <c r="HC2039" s="20"/>
      <c r="HD2039" s="20"/>
      <c r="HE2039" s="20"/>
      <c r="HF2039" s="20"/>
      <c r="HG2039" s="20"/>
      <c r="HH2039" s="20"/>
      <c r="HI2039" s="20"/>
      <c r="HJ2039" s="20"/>
      <c r="HK2039" s="20"/>
      <c r="HL2039" s="20"/>
      <c r="HM2039" s="20"/>
      <c r="HN2039" s="20"/>
      <c r="HO2039" s="20"/>
      <c r="HP2039" s="20"/>
      <c r="HQ2039" s="20"/>
      <c r="HR2039" s="20"/>
      <c r="HS2039" s="20"/>
      <c r="HT2039" s="20"/>
      <c r="HU2039" s="20"/>
      <c r="HV2039" s="20"/>
      <c r="HW2039" s="20"/>
      <c r="HX2039" s="20"/>
      <c r="HY2039" s="20"/>
      <c r="HZ2039" s="20"/>
      <c r="IA2039" s="20"/>
      <c r="IB2039" s="20"/>
      <c r="IC2039" s="20"/>
      <c r="ID2039" s="20"/>
      <c r="IE2039" s="20"/>
      <c r="IF2039" s="20"/>
      <c r="IG2039" s="20"/>
      <c r="IH2039" s="20"/>
      <c r="II2039" s="20"/>
      <c r="IJ2039" s="20"/>
      <c r="IK2039" s="20"/>
      <c r="IL2039" s="20"/>
      <c r="IM2039" s="20"/>
      <c r="IN2039" s="20"/>
      <c r="IO2039" s="20"/>
    </row>
    <row r="2040" spans="1:249" s="22" customFormat="1" ht="49.5">
      <c r="A2040" s="2554">
        <v>32</v>
      </c>
      <c r="B2040" s="44"/>
      <c r="C2040" s="753">
        <v>4</v>
      </c>
      <c r="D2040" s="753" t="s">
        <v>34</v>
      </c>
      <c r="E2040" s="753" t="s">
        <v>25</v>
      </c>
      <c r="F2040" s="753" t="s">
        <v>603</v>
      </c>
      <c r="G2040" s="753"/>
      <c r="H2040" s="753"/>
      <c r="I2040" s="44" t="s">
        <v>1971</v>
      </c>
      <c r="J2040" s="44" t="s">
        <v>1972</v>
      </c>
      <c r="K2040" s="149" t="s">
        <v>113</v>
      </c>
      <c r="L2040" s="1899">
        <f>SUM(L2041:L2043)</f>
        <v>1790000000</v>
      </c>
      <c r="M2040" s="149" t="s">
        <v>1964</v>
      </c>
      <c r="N2040" s="1899">
        <f>SUM(N2041:N2043)</f>
        <v>214465773</v>
      </c>
      <c r="O2040" s="149" t="s">
        <v>1964</v>
      </c>
      <c r="P2040" s="1899">
        <f>SUM(P2041:P2043)</f>
        <v>229938843</v>
      </c>
      <c r="Q2040" s="149"/>
      <c r="R2040" s="1899">
        <f t="shared" ref="R2040:X2040" si="615">SUM(R2041:R2043)</f>
        <v>25862097</v>
      </c>
      <c r="S2040" s="1899">
        <f t="shared" si="615"/>
        <v>0</v>
      </c>
      <c r="T2040" s="1899">
        <f t="shared" si="615"/>
        <v>0</v>
      </c>
      <c r="U2040" s="1899">
        <f t="shared" si="615"/>
        <v>0</v>
      </c>
      <c r="V2040" s="1899">
        <f t="shared" si="615"/>
        <v>0</v>
      </c>
      <c r="W2040" s="1899">
        <f t="shared" si="615"/>
        <v>0</v>
      </c>
      <c r="X2040" s="1899">
        <f t="shared" si="615"/>
        <v>0</v>
      </c>
      <c r="Y2040" s="149"/>
      <c r="Z2040" s="1901">
        <f t="shared" si="612"/>
        <v>25862097</v>
      </c>
      <c r="AA2040" s="149" t="s">
        <v>1964</v>
      </c>
      <c r="AB2040" s="1901">
        <f t="shared" si="595"/>
        <v>240327870</v>
      </c>
      <c r="AC2040" s="821">
        <v>90</v>
      </c>
      <c r="AD2040" s="821">
        <f t="shared" si="608"/>
        <v>13.426137988826817</v>
      </c>
      <c r="AE2040" s="2558"/>
      <c r="AF2040" s="201"/>
      <c r="AG2040" s="201"/>
      <c r="AH2040" s="201"/>
      <c r="AI2040" s="201"/>
      <c r="AJ2040" s="201"/>
      <c r="AK2040" s="201"/>
      <c r="AL2040" s="201"/>
      <c r="AM2040" s="201"/>
      <c r="AN2040" s="201"/>
      <c r="AO2040" s="201"/>
      <c r="AP2040" s="201"/>
      <c r="AQ2040" s="201"/>
      <c r="AR2040" s="201"/>
      <c r="AS2040" s="201"/>
      <c r="AT2040" s="201"/>
      <c r="AU2040" s="201"/>
      <c r="AV2040" s="201"/>
      <c r="AW2040" s="201"/>
      <c r="AX2040" s="201"/>
      <c r="AY2040" s="201"/>
      <c r="AZ2040" s="201"/>
      <c r="BA2040" s="201"/>
      <c r="BB2040" s="201"/>
      <c r="BC2040" s="20"/>
      <c r="BD2040" s="20"/>
      <c r="BE2040" s="20"/>
      <c r="BF2040" s="20"/>
      <c r="BG2040" s="20"/>
      <c r="BH2040" s="20"/>
      <c r="BI2040" s="20"/>
      <c r="BJ2040" s="20"/>
      <c r="BK2040" s="20"/>
      <c r="BL2040" s="20"/>
      <c r="BM2040" s="20"/>
      <c r="BN2040" s="20"/>
      <c r="BO2040" s="20"/>
      <c r="BP2040" s="20"/>
      <c r="BQ2040" s="20"/>
      <c r="BR2040" s="20"/>
      <c r="BS2040" s="20"/>
      <c r="BT2040" s="20"/>
      <c r="BU2040" s="20"/>
      <c r="BV2040" s="20"/>
      <c r="BW2040" s="20"/>
      <c r="BX2040" s="20"/>
      <c r="BY2040" s="20"/>
      <c r="BZ2040" s="20"/>
      <c r="CA2040" s="20"/>
      <c r="CB2040" s="20"/>
      <c r="CC2040" s="20"/>
      <c r="CD2040" s="20"/>
      <c r="CE2040" s="20"/>
      <c r="CF2040" s="20"/>
      <c r="CG2040" s="20"/>
      <c r="CH2040" s="20"/>
      <c r="CI2040" s="20"/>
      <c r="CJ2040" s="20"/>
      <c r="CK2040" s="20"/>
      <c r="CL2040" s="20"/>
      <c r="CM2040" s="20"/>
      <c r="CN2040" s="20"/>
      <c r="CO2040" s="20"/>
      <c r="CP2040" s="20"/>
      <c r="CQ2040" s="20"/>
      <c r="CR2040" s="20"/>
      <c r="CS2040" s="20"/>
      <c r="CT2040" s="20"/>
      <c r="CU2040" s="20"/>
      <c r="CV2040" s="20"/>
      <c r="CW2040" s="20"/>
      <c r="CX2040" s="20"/>
      <c r="CY2040" s="20"/>
      <c r="CZ2040" s="20"/>
      <c r="DA2040" s="20"/>
      <c r="DB2040" s="20"/>
      <c r="DC2040" s="20"/>
      <c r="DD2040" s="20"/>
      <c r="DE2040" s="20"/>
      <c r="DF2040" s="20"/>
      <c r="DG2040" s="20"/>
      <c r="DH2040" s="20"/>
      <c r="DI2040" s="20"/>
      <c r="DJ2040" s="20"/>
      <c r="DK2040" s="20"/>
      <c r="DL2040" s="20"/>
      <c r="DM2040" s="20"/>
      <c r="DN2040" s="20"/>
      <c r="DO2040" s="20"/>
      <c r="DP2040" s="20"/>
      <c r="DQ2040" s="20"/>
      <c r="DR2040" s="20"/>
      <c r="DS2040" s="20"/>
      <c r="DT2040" s="20"/>
      <c r="DU2040" s="20"/>
      <c r="DV2040" s="20"/>
      <c r="DW2040" s="20"/>
      <c r="DX2040" s="20"/>
      <c r="DY2040" s="20"/>
      <c r="DZ2040" s="20"/>
      <c r="EA2040" s="20"/>
      <c r="EB2040" s="20"/>
      <c r="EC2040" s="20"/>
      <c r="ED2040" s="20"/>
      <c r="EE2040" s="20"/>
      <c r="EF2040" s="20"/>
      <c r="EG2040" s="20"/>
      <c r="EH2040" s="20"/>
      <c r="EI2040" s="20"/>
      <c r="EJ2040" s="20"/>
      <c r="EK2040" s="20"/>
      <c r="EL2040" s="20"/>
      <c r="EM2040" s="20"/>
      <c r="EN2040" s="20"/>
      <c r="EO2040" s="20"/>
      <c r="EP2040" s="20"/>
      <c r="EQ2040" s="20"/>
      <c r="ER2040" s="20"/>
      <c r="ES2040" s="20"/>
      <c r="ET2040" s="20"/>
      <c r="EU2040" s="20"/>
      <c r="EV2040" s="20"/>
      <c r="EW2040" s="20"/>
      <c r="EX2040" s="20"/>
      <c r="EY2040" s="20"/>
      <c r="EZ2040" s="20"/>
      <c r="FA2040" s="20"/>
      <c r="FB2040" s="20"/>
      <c r="FC2040" s="20"/>
      <c r="FD2040" s="20"/>
      <c r="FE2040" s="20"/>
      <c r="FF2040" s="20"/>
      <c r="FG2040" s="20"/>
      <c r="FH2040" s="20"/>
      <c r="FI2040" s="20"/>
      <c r="FJ2040" s="20"/>
      <c r="FK2040" s="20"/>
      <c r="FL2040" s="20"/>
      <c r="FM2040" s="20"/>
      <c r="FN2040" s="20"/>
      <c r="FO2040" s="20"/>
      <c r="FP2040" s="20"/>
      <c r="FQ2040" s="20"/>
      <c r="FR2040" s="20"/>
      <c r="FS2040" s="20"/>
      <c r="FT2040" s="20"/>
      <c r="FU2040" s="20"/>
      <c r="FV2040" s="20"/>
      <c r="FW2040" s="20"/>
      <c r="FX2040" s="20"/>
      <c r="FY2040" s="20"/>
      <c r="FZ2040" s="20"/>
      <c r="GA2040" s="20"/>
      <c r="GB2040" s="20"/>
      <c r="GC2040" s="20"/>
      <c r="GD2040" s="20"/>
      <c r="GE2040" s="20"/>
      <c r="GF2040" s="20"/>
      <c r="GG2040" s="20"/>
      <c r="GH2040" s="20"/>
      <c r="GI2040" s="20"/>
      <c r="GJ2040" s="20"/>
      <c r="GK2040" s="20"/>
      <c r="GL2040" s="20"/>
      <c r="GM2040" s="20"/>
      <c r="GN2040" s="20"/>
      <c r="GO2040" s="20"/>
      <c r="GP2040" s="20"/>
      <c r="GQ2040" s="20"/>
      <c r="GR2040" s="20"/>
      <c r="GS2040" s="20"/>
      <c r="GT2040" s="20"/>
      <c r="GU2040" s="20"/>
      <c r="GV2040" s="20"/>
      <c r="GW2040" s="20"/>
      <c r="GX2040" s="20"/>
      <c r="GY2040" s="20"/>
      <c r="GZ2040" s="20"/>
      <c r="HA2040" s="20"/>
      <c r="HB2040" s="20"/>
      <c r="HC2040" s="20"/>
      <c r="HD2040" s="20"/>
      <c r="HE2040" s="20"/>
      <c r="HF2040" s="20"/>
      <c r="HG2040" s="20"/>
      <c r="HH2040" s="20"/>
      <c r="HI2040" s="20"/>
      <c r="HJ2040" s="20"/>
      <c r="HK2040" s="20"/>
      <c r="HL2040" s="20"/>
      <c r="HM2040" s="20"/>
      <c r="HN2040" s="20"/>
      <c r="HO2040" s="20"/>
      <c r="HP2040" s="20"/>
      <c r="HQ2040" s="20"/>
      <c r="HR2040" s="20"/>
      <c r="HS2040" s="20"/>
      <c r="HT2040" s="20"/>
      <c r="HU2040" s="20"/>
      <c r="HV2040" s="20"/>
      <c r="HW2040" s="20"/>
      <c r="HX2040" s="20"/>
      <c r="HY2040" s="20"/>
      <c r="HZ2040" s="20"/>
      <c r="IA2040" s="20"/>
      <c r="IB2040" s="20"/>
      <c r="IC2040" s="20"/>
      <c r="ID2040" s="20"/>
      <c r="IE2040" s="20"/>
      <c r="IF2040" s="20"/>
      <c r="IG2040" s="20"/>
      <c r="IH2040" s="20"/>
      <c r="II2040" s="20"/>
      <c r="IJ2040" s="20"/>
      <c r="IK2040" s="20"/>
      <c r="IL2040" s="20"/>
      <c r="IM2040" s="20"/>
      <c r="IN2040" s="20"/>
      <c r="IO2040" s="20"/>
    </row>
    <row r="2041" spans="1:249" s="22" customFormat="1" ht="49.5">
      <c r="A2041" s="794"/>
      <c r="B2041" s="840"/>
      <c r="C2041" s="841">
        <v>4</v>
      </c>
      <c r="D2041" s="841" t="s">
        <v>34</v>
      </c>
      <c r="E2041" s="841" t="s">
        <v>25</v>
      </c>
      <c r="F2041" s="841" t="s">
        <v>603</v>
      </c>
      <c r="G2041" s="841" t="s">
        <v>25</v>
      </c>
      <c r="H2041" s="841"/>
      <c r="I2041" s="407" t="s">
        <v>1973</v>
      </c>
      <c r="J2041" s="6" t="s">
        <v>1974</v>
      </c>
      <c r="K2041" s="1902">
        <v>8</v>
      </c>
      <c r="L2041" s="1908">
        <v>820000000</v>
      </c>
      <c r="M2041" s="1935">
        <v>2</v>
      </c>
      <c r="N2041" s="1905">
        <v>57736824</v>
      </c>
      <c r="O2041" s="1902">
        <v>2</v>
      </c>
      <c r="P2041" s="1905">
        <v>69339430</v>
      </c>
      <c r="Q2041" s="1903">
        <v>1</v>
      </c>
      <c r="R2041" s="1904">
        <v>17427597</v>
      </c>
      <c r="S2041" s="795"/>
      <c r="T2041" s="207"/>
      <c r="U2041" s="795"/>
      <c r="V2041" s="1906"/>
      <c r="W2041" s="795"/>
      <c r="X2041" s="1906"/>
      <c r="Y2041" s="1903">
        <f>Q2041+S2041</f>
        <v>1</v>
      </c>
      <c r="Z2041" s="1906">
        <f t="shared" si="612"/>
        <v>17427597</v>
      </c>
      <c r="AA2041" s="1903">
        <f>M2041+Y2041</f>
        <v>3</v>
      </c>
      <c r="AB2041" s="1906">
        <f t="shared" si="595"/>
        <v>75164421</v>
      </c>
      <c r="AC2041" s="1907">
        <f>AA2041/K2041*100</f>
        <v>37.5</v>
      </c>
      <c r="AD2041" s="1907">
        <f t="shared" si="608"/>
        <v>9.1663928048780488</v>
      </c>
      <c r="AE2041" s="102" t="s">
        <v>1981</v>
      </c>
      <c r="AF2041" s="201"/>
      <c r="AG2041" s="201"/>
      <c r="AH2041" s="201"/>
      <c r="AI2041" s="201"/>
      <c r="AJ2041" s="201"/>
      <c r="AK2041" s="201"/>
      <c r="AL2041" s="201"/>
      <c r="AM2041" s="201"/>
      <c r="AN2041" s="201"/>
      <c r="AO2041" s="201"/>
      <c r="AP2041" s="201"/>
      <c r="AQ2041" s="201"/>
      <c r="AR2041" s="201"/>
      <c r="AS2041" s="201"/>
      <c r="AT2041" s="201"/>
      <c r="AU2041" s="201"/>
      <c r="AV2041" s="201"/>
      <c r="AW2041" s="201"/>
      <c r="AX2041" s="201"/>
      <c r="AY2041" s="201"/>
      <c r="AZ2041" s="201"/>
      <c r="BA2041" s="201"/>
      <c r="BB2041" s="201"/>
      <c r="BC2041" s="20"/>
      <c r="BD2041" s="20"/>
      <c r="BE2041" s="20"/>
      <c r="BF2041" s="20"/>
      <c r="BG2041" s="20"/>
      <c r="BH2041" s="20"/>
      <c r="BI2041" s="20"/>
      <c r="BJ2041" s="20"/>
      <c r="BK2041" s="20"/>
      <c r="BL2041" s="20"/>
      <c r="BM2041" s="20"/>
      <c r="BN2041" s="20"/>
      <c r="BO2041" s="20"/>
      <c r="BP2041" s="20"/>
      <c r="BQ2041" s="20"/>
      <c r="BR2041" s="20"/>
      <c r="BS2041" s="20"/>
      <c r="BT2041" s="20"/>
      <c r="BU2041" s="20"/>
      <c r="BV2041" s="20"/>
      <c r="BW2041" s="20"/>
      <c r="BX2041" s="20"/>
      <c r="BY2041" s="20"/>
      <c r="BZ2041" s="20"/>
      <c r="CA2041" s="20"/>
      <c r="CB2041" s="20"/>
      <c r="CC2041" s="20"/>
      <c r="CD2041" s="20"/>
      <c r="CE2041" s="20"/>
      <c r="CF2041" s="20"/>
      <c r="CG2041" s="20"/>
      <c r="CH2041" s="20"/>
      <c r="CI2041" s="20"/>
      <c r="CJ2041" s="20"/>
      <c r="CK2041" s="20"/>
      <c r="CL2041" s="20"/>
      <c r="CM2041" s="20"/>
      <c r="CN2041" s="20"/>
      <c r="CO2041" s="20"/>
      <c r="CP2041" s="20"/>
      <c r="CQ2041" s="20"/>
      <c r="CR2041" s="20"/>
      <c r="CS2041" s="20"/>
      <c r="CT2041" s="20"/>
      <c r="CU2041" s="20"/>
      <c r="CV2041" s="20"/>
      <c r="CW2041" s="20"/>
      <c r="CX2041" s="20"/>
      <c r="CY2041" s="20"/>
      <c r="CZ2041" s="20"/>
      <c r="DA2041" s="20"/>
      <c r="DB2041" s="20"/>
      <c r="DC2041" s="20"/>
      <c r="DD2041" s="20"/>
      <c r="DE2041" s="20"/>
      <c r="DF2041" s="20"/>
      <c r="DG2041" s="20"/>
      <c r="DH2041" s="20"/>
      <c r="DI2041" s="20"/>
      <c r="DJ2041" s="20"/>
      <c r="DK2041" s="20"/>
      <c r="DL2041" s="20"/>
      <c r="DM2041" s="20"/>
      <c r="DN2041" s="20"/>
      <c r="DO2041" s="20"/>
      <c r="DP2041" s="20"/>
      <c r="DQ2041" s="20"/>
      <c r="DR2041" s="20"/>
      <c r="DS2041" s="20"/>
      <c r="DT2041" s="20"/>
      <c r="DU2041" s="20"/>
      <c r="DV2041" s="20"/>
      <c r="DW2041" s="20"/>
      <c r="DX2041" s="20"/>
      <c r="DY2041" s="20"/>
      <c r="DZ2041" s="20"/>
      <c r="EA2041" s="20"/>
      <c r="EB2041" s="20"/>
      <c r="EC2041" s="20"/>
      <c r="ED2041" s="20"/>
      <c r="EE2041" s="20"/>
      <c r="EF2041" s="20"/>
      <c r="EG2041" s="20"/>
      <c r="EH2041" s="20"/>
      <c r="EI2041" s="20"/>
      <c r="EJ2041" s="20"/>
      <c r="EK2041" s="20"/>
      <c r="EL2041" s="20"/>
      <c r="EM2041" s="20"/>
      <c r="EN2041" s="20"/>
      <c r="EO2041" s="20"/>
      <c r="EP2041" s="20"/>
      <c r="EQ2041" s="20"/>
      <c r="ER2041" s="20"/>
      <c r="ES2041" s="20"/>
      <c r="ET2041" s="20"/>
      <c r="EU2041" s="20"/>
      <c r="EV2041" s="20"/>
      <c r="EW2041" s="20"/>
      <c r="EX2041" s="20"/>
      <c r="EY2041" s="20"/>
      <c r="EZ2041" s="20"/>
      <c r="FA2041" s="20"/>
      <c r="FB2041" s="20"/>
      <c r="FC2041" s="20"/>
      <c r="FD2041" s="20"/>
      <c r="FE2041" s="20"/>
      <c r="FF2041" s="20"/>
      <c r="FG2041" s="20"/>
      <c r="FH2041" s="20"/>
      <c r="FI2041" s="20"/>
      <c r="FJ2041" s="20"/>
      <c r="FK2041" s="20"/>
      <c r="FL2041" s="20"/>
      <c r="FM2041" s="20"/>
      <c r="FN2041" s="20"/>
      <c r="FO2041" s="20"/>
      <c r="FP2041" s="20"/>
      <c r="FQ2041" s="20"/>
      <c r="FR2041" s="20"/>
      <c r="FS2041" s="20"/>
      <c r="FT2041" s="20"/>
      <c r="FU2041" s="20"/>
      <c r="FV2041" s="20"/>
      <c r="FW2041" s="20"/>
      <c r="FX2041" s="20"/>
      <c r="FY2041" s="20"/>
      <c r="FZ2041" s="20"/>
      <c r="GA2041" s="20"/>
      <c r="GB2041" s="20"/>
      <c r="GC2041" s="20"/>
      <c r="GD2041" s="20"/>
      <c r="GE2041" s="20"/>
      <c r="GF2041" s="20"/>
      <c r="GG2041" s="20"/>
      <c r="GH2041" s="20"/>
      <c r="GI2041" s="20"/>
      <c r="GJ2041" s="20"/>
      <c r="GK2041" s="20"/>
      <c r="GL2041" s="20"/>
      <c r="GM2041" s="20"/>
      <c r="GN2041" s="20"/>
      <c r="GO2041" s="20"/>
      <c r="GP2041" s="20"/>
      <c r="GQ2041" s="20"/>
      <c r="GR2041" s="20"/>
      <c r="GS2041" s="20"/>
      <c r="GT2041" s="20"/>
      <c r="GU2041" s="20"/>
      <c r="GV2041" s="20"/>
      <c r="GW2041" s="20"/>
      <c r="GX2041" s="20"/>
      <c r="GY2041" s="20"/>
      <c r="GZ2041" s="20"/>
      <c r="HA2041" s="20"/>
      <c r="HB2041" s="20"/>
      <c r="HC2041" s="20"/>
      <c r="HD2041" s="20"/>
      <c r="HE2041" s="20"/>
      <c r="HF2041" s="20"/>
      <c r="HG2041" s="20"/>
      <c r="HH2041" s="20"/>
      <c r="HI2041" s="20"/>
      <c r="HJ2041" s="20"/>
      <c r="HK2041" s="20"/>
      <c r="HL2041" s="20"/>
      <c r="HM2041" s="20"/>
      <c r="HN2041" s="20"/>
      <c r="HO2041" s="20"/>
      <c r="HP2041" s="20"/>
      <c r="HQ2041" s="20"/>
      <c r="HR2041" s="20"/>
      <c r="HS2041" s="20"/>
      <c r="HT2041" s="20"/>
      <c r="HU2041" s="20"/>
      <c r="HV2041" s="20"/>
      <c r="HW2041" s="20"/>
      <c r="HX2041" s="20"/>
      <c r="HY2041" s="20"/>
      <c r="HZ2041" s="20"/>
      <c r="IA2041" s="20"/>
      <c r="IB2041" s="20"/>
      <c r="IC2041" s="20"/>
      <c r="ID2041" s="20"/>
      <c r="IE2041" s="20"/>
      <c r="IF2041" s="20"/>
      <c r="IG2041" s="20"/>
      <c r="IH2041" s="20"/>
      <c r="II2041" s="20"/>
      <c r="IJ2041" s="20"/>
      <c r="IK2041" s="20"/>
      <c r="IL2041" s="20"/>
      <c r="IM2041" s="20"/>
      <c r="IN2041" s="20"/>
      <c r="IO2041" s="20"/>
    </row>
    <row r="2042" spans="1:249" s="22" customFormat="1" ht="49.5">
      <c r="A2042" s="794"/>
      <c r="B2042" s="840"/>
      <c r="C2042" s="841">
        <v>4</v>
      </c>
      <c r="D2042" s="841" t="s">
        <v>34</v>
      </c>
      <c r="E2042" s="841" t="s">
        <v>25</v>
      </c>
      <c r="F2042" s="841" t="s">
        <v>603</v>
      </c>
      <c r="G2042" s="841" t="s">
        <v>78</v>
      </c>
      <c r="H2042" s="841"/>
      <c r="I2042" s="6" t="s">
        <v>1975</v>
      </c>
      <c r="J2042" s="6" t="s">
        <v>1976</v>
      </c>
      <c r="K2042" s="1902">
        <v>124</v>
      </c>
      <c r="L2042" s="1212">
        <v>530000000</v>
      </c>
      <c r="M2042" s="1903">
        <v>19</v>
      </c>
      <c r="N2042" s="1904">
        <f>33621900+64737902</f>
        <v>98359802</v>
      </c>
      <c r="O2042" s="1902">
        <v>17</v>
      </c>
      <c r="P2042" s="1905">
        <v>76933947</v>
      </c>
      <c r="Q2042" s="1935"/>
      <c r="R2042" s="1904">
        <v>0</v>
      </c>
      <c r="S2042" s="795"/>
      <c r="T2042" s="207"/>
      <c r="U2042" s="795"/>
      <c r="V2042" s="1906"/>
      <c r="W2042" s="795"/>
      <c r="X2042" s="1906"/>
      <c r="Y2042" s="1903">
        <f t="shared" ref="Y2042:Y2043" si="616">Q2042+S2042</f>
        <v>0</v>
      </c>
      <c r="Z2042" s="1906">
        <f t="shared" si="612"/>
        <v>0</v>
      </c>
      <c r="AA2042" s="1903">
        <f>M2042+Y2042</f>
        <v>19</v>
      </c>
      <c r="AB2042" s="1906">
        <f t="shared" si="595"/>
        <v>98359802</v>
      </c>
      <c r="AC2042" s="1907">
        <f>AA2042/K2042*100</f>
        <v>15.32258064516129</v>
      </c>
      <c r="AD2042" s="1907">
        <f t="shared" si="608"/>
        <v>18.558453207547171</v>
      </c>
      <c r="AE2042" s="102" t="s">
        <v>1981</v>
      </c>
      <c r="AF2042" s="201"/>
      <c r="AG2042" s="201"/>
      <c r="AH2042" s="201"/>
      <c r="AI2042" s="201"/>
      <c r="AJ2042" s="201"/>
      <c r="AK2042" s="201"/>
      <c r="AL2042" s="201"/>
      <c r="AM2042" s="201"/>
      <c r="AN2042" s="201"/>
      <c r="AO2042" s="201"/>
      <c r="AP2042" s="201"/>
      <c r="AQ2042" s="201"/>
      <c r="AR2042" s="201"/>
      <c r="AS2042" s="201"/>
      <c r="AT2042" s="201"/>
      <c r="AU2042" s="201"/>
      <c r="AV2042" s="201"/>
      <c r="AW2042" s="201"/>
      <c r="AX2042" s="201"/>
      <c r="AY2042" s="201"/>
      <c r="AZ2042" s="201"/>
      <c r="BA2042" s="201"/>
      <c r="BB2042" s="201"/>
      <c r="BC2042" s="20"/>
      <c r="BD2042" s="20"/>
      <c r="BE2042" s="20"/>
      <c r="BF2042" s="20"/>
      <c r="BG2042" s="20"/>
      <c r="BH2042" s="20"/>
      <c r="BI2042" s="20"/>
      <c r="BJ2042" s="20"/>
      <c r="BK2042" s="20"/>
      <c r="BL2042" s="20"/>
      <c r="BM2042" s="20"/>
      <c r="BN2042" s="20"/>
      <c r="BO2042" s="20"/>
      <c r="BP2042" s="20"/>
      <c r="BQ2042" s="20"/>
      <c r="BR2042" s="20"/>
      <c r="BS2042" s="20"/>
      <c r="BT2042" s="20"/>
      <c r="BU2042" s="20"/>
      <c r="BV2042" s="20"/>
      <c r="BW2042" s="20"/>
      <c r="BX2042" s="20"/>
      <c r="BY2042" s="20"/>
      <c r="BZ2042" s="20"/>
      <c r="CA2042" s="20"/>
      <c r="CB2042" s="20"/>
      <c r="CC2042" s="20"/>
      <c r="CD2042" s="20"/>
      <c r="CE2042" s="20"/>
      <c r="CF2042" s="20"/>
      <c r="CG2042" s="20"/>
      <c r="CH2042" s="20"/>
      <c r="CI2042" s="20"/>
      <c r="CJ2042" s="20"/>
      <c r="CK2042" s="20"/>
      <c r="CL2042" s="20"/>
      <c r="CM2042" s="20"/>
      <c r="CN2042" s="20"/>
      <c r="CO2042" s="20"/>
      <c r="CP2042" s="20"/>
      <c r="CQ2042" s="20"/>
      <c r="CR2042" s="20"/>
      <c r="CS2042" s="20"/>
      <c r="CT2042" s="20"/>
      <c r="CU2042" s="20"/>
      <c r="CV2042" s="20"/>
      <c r="CW2042" s="20"/>
      <c r="CX2042" s="20"/>
      <c r="CY2042" s="20"/>
      <c r="CZ2042" s="20"/>
      <c r="DA2042" s="20"/>
      <c r="DB2042" s="20"/>
      <c r="DC2042" s="20"/>
      <c r="DD2042" s="20"/>
      <c r="DE2042" s="20"/>
      <c r="DF2042" s="20"/>
      <c r="DG2042" s="20"/>
      <c r="DH2042" s="20"/>
      <c r="DI2042" s="20"/>
      <c r="DJ2042" s="20"/>
      <c r="DK2042" s="20"/>
      <c r="DL2042" s="20"/>
      <c r="DM2042" s="20"/>
      <c r="DN2042" s="20"/>
      <c r="DO2042" s="20"/>
      <c r="DP2042" s="20"/>
      <c r="DQ2042" s="20"/>
      <c r="DR2042" s="20"/>
      <c r="DS2042" s="20"/>
      <c r="DT2042" s="20"/>
      <c r="DU2042" s="20"/>
      <c r="DV2042" s="20"/>
      <c r="DW2042" s="20"/>
      <c r="DX2042" s="20"/>
      <c r="DY2042" s="20"/>
      <c r="DZ2042" s="20"/>
      <c r="EA2042" s="20"/>
      <c r="EB2042" s="20"/>
      <c r="EC2042" s="20"/>
      <c r="ED2042" s="20"/>
      <c r="EE2042" s="20"/>
      <c r="EF2042" s="20"/>
      <c r="EG2042" s="20"/>
      <c r="EH2042" s="20"/>
      <c r="EI2042" s="20"/>
      <c r="EJ2042" s="20"/>
      <c r="EK2042" s="20"/>
      <c r="EL2042" s="20"/>
      <c r="EM2042" s="20"/>
      <c r="EN2042" s="20"/>
      <c r="EO2042" s="20"/>
      <c r="EP2042" s="20"/>
      <c r="EQ2042" s="20"/>
      <c r="ER2042" s="20"/>
      <c r="ES2042" s="20"/>
      <c r="ET2042" s="20"/>
      <c r="EU2042" s="20"/>
      <c r="EV2042" s="20"/>
      <c r="EW2042" s="20"/>
      <c r="EX2042" s="20"/>
      <c r="EY2042" s="20"/>
      <c r="EZ2042" s="20"/>
      <c r="FA2042" s="20"/>
      <c r="FB2042" s="20"/>
      <c r="FC2042" s="20"/>
      <c r="FD2042" s="20"/>
      <c r="FE2042" s="20"/>
      <c r="FF2042" s="20"/>
      <c r="FG2042" s="20"/>
      <c r="FH2042" s="20"/>
      <c r="FI2042" s="20"/>
      <c r="FJ2042" s="20"/>
      <c r="FK2042" s="20"/>
      <c r="FL2042" s="20"/>
      <c r="FM2042" s="20"/>
      <c r="FN2042" s="20"/>
      <c r="FO2042" s="20"/>
      <c r="FP2042" s="20"/>
      <c r="FQ2042" s="20"/>
      <c r="FR2042" s="20"/>
      <c r="FS2042" s="20"/>
      <c r="FT2042" s="20"/>
      <c r="FU2042" s="20"/>
      <c r="FV2042" s="20"/>
      <c r="FW2042" s="20"/>
      <c r="FX2042" s="20"/>
      <c r="FY2042" s="20"/>
      <c r="FZ2042" s="20"/>
      <c r="GA2042" s="20"/>
      <c r="GB2042" s="20"/>
      <c r="GC2042" s="20"/>
      <c r="GD2042" s="20"/>
      <c r="GE2042" s="20"/>
      <c r="GF2042" s="20"/>
      <c r="GG2042" s="20"/>
      <c r="GH2042" s="20"/>
      <c r="GI2042" s="20"/>
      <c r="GJ2042" s="20"/>
      <c r="GK2042" s="20"/>
      <c r="GL2042" s="20"/>
      <c r="GM2042" s="20"/>
      <c r="GN2042" s="20"/>
      <c r="GO2042" s="20"/>
      <c r="GP2042" s="20"/>
      <c r="GQ2042" s="20"/>
      <c r="GR2042" s="20"/>
      <c r="GS2042" s="20"/>
      <c r="GT2042" s="20"/>
      <c r="GU2042" s="20"/>
      <c r="GV2042" s="20"/>
      <c r="GW2042" s="20"/>
      <c r="GX2042" s="20"/>
      <c r="GY2042" s="20"/>
      <c r="GZ2042" s="20"/>
      <c r="HA2042" s="20"/>
      <c r="HB2042" s="20"/>
      <c r="HC2042" s="20"/>
      <c r="HD2042" s="20"/>
      <c r="HE2042" s="20"/>
      <c r="HF2042" s="20"/>
      <c r="HG2042" s="20"/>
      <c r="HH2042" s="20"/>
      <c r="HI2042" s="20"/>
      <c r="HJ2042" s="20"/>
      <c r="HK2042" s="20"/>
      <c r="HL2042" s="20"/>
      <c r="HM2042" s="20"/>
      <c r="HN2042" s="20"/>
      <c r="HO2042" s="20"/>
      <c r="HP2042" s="20"/>
      <c r="HQ2042" s="20"/>
      <c r="HR2042" s="20"/>
      <c r="HS2042" s="20"/>
      <c r="HT2042" s="20"/>
      <c r="HU2042" s="20"/>
      <c r="HV2042" s="20"/>
      <c r="HW2042" s="20"/>
      <c r="HX2042" s="20"/>
      <c r="HY2042" s="20"/>
      <c r="HZ2042" s="20"/>
      <c r="IA2042" s="20"/>
      <c r="IB2042" s="20"/>
      <c r="IC2042" s="20"/>
      <c r="ID2042" s="20"/>
      <c r="IE2042" s="20"/>
      <c r="IF2042" s="20"/>
      <c r="IG2042" s="20"/>
      <c r="IH2042" s="20"/>
      <c r="II2042" s="20"/>
      <c r="IJ2042" s="20"/>
      <c r="IK2042" s="20"/>
      <c r="IL2042" s="20"/>
      <c r="IM2042" s="20"/>
      <c r="IN2042" s="20"/>
      <c r="IO2042" s="20"/>
    </row>
    <row r="2043" spans="1:249" s="22" customFormat="1" ht="33">
      <c r="A2043" s="794"/>
      <c r="B2043" s="840"/>
      <c r="C2043" s="841">
        <v>4</v>
      </c>
      <c r="D2043" s="841" t="s">
        <v>34</v>
      </c>
      <c r="E2043" s="841" t="s">
        <v>25</v>
      </c>
      <c r="F2043" s="841" t="s">
        <v>603</v>
      </c>
      <c r="G2043" s="841" t="s">
        <v>30</v>
      </c>
      <c r="H2043" s="841"/>
      <c r="I2043" s="407" t="s">
        <v>1977</v>
      </c>
      <c r="J2043" s="6" t="s">
        <v>1978</v>
      </c>
      <c r="K2043" s="1902">
        <v>16</v>
      </c>
      <c r="L2043" s="1908">
        <v>440000000</v>
      </c>
      <c r="M2043" s="1935">
        <v>4</v>
      </c>
      <c r="N2043" s="1904">
        <v>58369147</v>
      </c>
      <c r="O2043" s="1902">
        <v>4</v>
      </c>
      <c r="P2043" s="1904">
        <v>83665466</v>
      </c>
      <c r="Q2043" s="1903">
        <f>O2043/4</f>
        <v>1</v>
      </c>
      <c r="R2043" s="1904">
        <v>8434500</v>
      </c>
      <c r="S2043" s="795"/>
      <c r="T2043" s="207"/>
      <c r="U2043" s="795"/>
      <c r="V2043" s="1906"/>
      <c r="W2043" s="795"/>
      <c r="X2043" s="1906"/>
      <c r="Y2043" s="1903">
        <f t="shared" si="616"/>
        <v>1</v>
      </c>
      <c r="Z2043" s="1906">
        <f t="shared" si="612"/>
        <v>8434500</v>
      </c>
      <c r="AA2043" s="1903">
        <f>M2043+Y2043</f>
        <v>5</v>
      </c>
      <c r="AB2043" s="1906">
        <f t="shared" si="595"/>
        <v>66803647</v>
      </c>
      <c r="AC2043" s="1907">
        <f>AA2043/K2043*100</f>
        <v>31.25</v>
      </c>
      <c r="AD2043" s="1907">
        <f t="shared" si="608"/>
        <v>15.182647045454544</v>
      </c>
      <c r="AE2043" s="102" t="s">
        <v>1981</v>
      </c>
      <c r="AF2043" s="201"/>
      <c r="AG2043" s="201"/>
      <c r="AH2043" s="201"/>
      <c r="AI2043" s="201"/>
      <c r="AJ2043" s="201"/>
      <c r="AK2043" s="201"/>
      <c r="AL2043" s="201"/>
      <c r="AM2043" s="201"/>
      <c r="AN2043" s="201"/>
      <c r="AO2043" s="201"/>
      <c r="AP2043" s="201"/>
      <c r="AQ2043" s="201"/>
      <c r="AR2043" s="201"/>
      <c r="AS2043" s="201"/>
      <c r="AT2043" s="201"/>
      <c r="AU2043" s="201"/>
      <c r="AV2043" s="201"/>
      <c r="AW2043" s="201"/>
      <c r="AX2043" s="201"/>
      <c r="AY2043" s="201"/>
      <c r="AZ2043" s="201"/>
      <c r="BA2043" s="201"/>
      <c r="BB2043" s="201"/>
      <c r="BC2043" s="20"/>
      <c r="BD2043" s="20"/>
      <c r="BE2043" s="20"/>
      <c r="BF2043" s="20"/>
      <c r="BG2043" s="20"/>
      <c r="BH2043" s="20"/>
      <c r="BI2043" s="20"/>
      <c r="BJ2043" s="20"/>
      <c r="BK2043" s="20"/>
      <c r="BL2043" s="20"/>
      <c r="BM2043" s="20"/>
      <c r="BN2043" s="20"/>
      <c r="BO2043" s="20"/>
      <c r="BP2043" s="20"/>
      <c r="BQ2043" s="20"/>
      <c r="BR2043" s="20"/>
      <c r="BS2043" s="20"/>
      <c r="BT2043" s="20"/>
      <c r="BU2043" s="20"/>
      <c r="BV2043" s="20"/>
      <c r="BW2043" s="20"/>
      <c r="BX2043" s="20"/>
      <c r="BY2043" s="20"/>
      <c r="BZ2043" s="20"/>
      <c r="CA2043" s="20"/>
      <c r="CB2043" s="20"/>
      <c r="CC2043" s="20"/>
      <c r="CD2043" s="20"/>
      <c r="CE2043" s="20"/>
      <c r="CF2043" s="20"/>
      <c r="CG2043" s="20"/>
      <c r="CH2043" s="20"/>
      <c r="CI2043" s="20"/>
      <c r="CJ2043" s="20"/>
      <c r="CK2043" s="20"/>
      <c r="CL2043" s="20"/>
      <c r="CM2043" s="20"/>
      <c r="CN2043" s="20"/>
      <c r="CO2043" s="20"/>
      <c r="CP2043" s="20"/>
      <c r="CQ2043" s="20"/>
      <c r="CR2043" s="20"/>
      <c r="CS2043" s="20"/>
      <c r="CT2043" s="20"/>
      <c r="CU2043" s="20"/>
      <c r="CV2043" s="20"/>
      <c r="CW2043" s="20"/>
      <c r="CX2043" s="20"/>
      <c r="CY2043" s="20"/>
      <c r="CZ2043" s="20"/>
      <c r="DA2043" s="20"/>
      <c r="DB2043" s="20"/>
      <c r="DC2043" s="20"/>
      <c r="DD2043" s="20"/>
      <c r="DE2043" s="20"/>
      <c r="DF2043" s="20"/>
      <c r="DG2043" s="20"/>
      <c r="DH2043" s="20"/>
      <c r="DI2043" s="20"/>
      <c r="DJ2043" s="20"/>
      <c r="DK2043" s="20"/>
      <c r="DL2043" s="20"/>
      <c r="DM2043" s="20"/>
      <c r="DN2043" s="20"/>
      <c r="DO2043" s="20"/>
      <c r="DP2043" s="20"/>
      <c r="DQ2043" s="20"/>
      <c r="DR2043" s="20"/>
      <c r="DS2043" s="20"/>
      <c r="DT2043" s="20"/>
      <c r="DU2043" s="20"/>
      <c r="DV2043" s="20"/>
      <c r="DW2043" s="20"/>
      <c r="DX2043" s="20"/>
      <c r="DY2043" s="20"/>
      <c r="DZ2043" s="20"/>
      <c r="EA2043" s="20"/>
      <c r="EB2043" s="20"/>
      <c r="EC2043" s="20"/>
      <c r="ED2043" s="20"/>
      <c r="EE2043" s="20"/>
      <c r="EF2043" s="20"/>
      <c r="EG2043" s="20"/>
      <c r="EH2043" s="20"/>
      <c r="EI2043" s="20"/>
      <c r="EJ2043" s="20"/>
      <c r="EK2043" s="20"/>
      <c r="EL2043" s="20"/>
      <c r="EM2043" s="20"/>
      <c r="EN2043" s="20"/>
      <c r="EO2043" s="20"/>
      <c r="EP2043" s="20"/>
      <c r="EQ2043" s="20"/>
      <c r="ER2043" s="20"/>
      <c r="ES2043" s="20"/>
      <c r="ET2043" s="20"/>
      <c r="EU2043" s="20"/>
      <c r="EV2043" s="20"/>
      <c r="EW2043" s="20"/>
      <c r="EX2043" s="20"/>
      <c r="EY2043" s="20"/>
      <c r="EZ2043" s="20"/>
      <c r="FA2043" s="20"/>
      <c r="FB2043" s="20"/>
      <c r="FC2043" s="20"/>
      <c r="FD2043" s="20"/>
      <c r="FE2043" s="20"/>
      <c r="FF2043" s="20"/>
      <c r="FG2043" s="20"/>
      <c r="FH2043" s="20"/>
      <c r="FI2043" s="20"/>
      <c r="FJ2043" s="20"/>
      <c r="FK2043" s="20"/>
      <c r="FL2043" s="20"/>
      <c r="FM2043" s="20"/>
      <c r="FN2043" s="20"/>
      <c r="FO2043" s="20"/>
      <c r="FP2043" s="20"/>
      <c r="FQ2043" s="20"/>
      <c r="FR2043" s="20"/>
      <c r="FS2043" s="20"/>
      <c r="FT2043" s="20"/>
      <c r="FU2043" s="20"/>
      <c r="FV2043" s="20"/>
      <c r="FW2043" s="20"/>
      <c r="FX2043" s="20"/>
      <c r="FY2043" s="20"/>
      <c r="FZ2043" s="20"/>
      <c r="GA2043" s="20"/>
      <c r="GB2043" s="20"/>
      <c r="GC2043" s="20"/>
      <c r="GD2043" s="20"/>
      <c r="GE2043" s="20"/>
      <c r="GF2043" s="20"/>
      <c r="GG2043" s="20"/>
      <c r="GH2043" s="20"/>
      <c r="GI2043" s="20"/>
      <c r="GJ2043" s="20"/>
      <c r="GK2043" s="20"/>
      <c r="GL2043" s="20"/>
      <c r="GM2043" s="20"/>
      <c r="GN2043" s="20"/>
      <c r="GO2043" s="20"/>
      <c r="GP2043" s="20"/>
      <c r="GQ2043" s="20"/>
      <c r="GR2043" s="20"/>
      <c r="GS2043" s="20"/>
      <c r="GT2043" s="20"/>
      <c r="GU2043" s="20"/>
      <c r="GV2043" s="20"/>
      <c r="GW2043" s="20"/>
      <c r="GX2043" s="20"/>
      <c r="GY2043" s="20"/>
      <c r="GZ2043" s="20"/>
      <c r="HA2043" s="20"/>
      <c r="HB2043" s="20"/>
      <c r="HC2043" s="20"/>
      <c r="HD2043" s="20"/>
      <c r="HE2043" s="20"/>
      <c r="HF2043" s="20"/>
      <c r="HG2043" s="20"/>
      <c r="HH2043" s="20"/>
      <c r="HI2043" s="20"/>
      <c r="HJ2043" s="20"/>
      <c r="HK2043" s="20"/>
      <c r="HL2043" s="20"/>
      <c r="HM2043" s="20"/>
      <c r="HN2043" s="20"/>
      <c r="HO2043" s="20"/>
      <c r="HP2043" s="20"/>
      <c r="HQ2043" s="20"/>
      <c r="HR2043" s="20"/>
      <c r="HS2043" s="20"/>
      <c r="HT2043" s="20"/>
      <c r="HU2043" s="20"/>
      <c r="HV2043" s="20"/>
      <c r="HW2043" s="20"/>
      <c r="HX2043" s="20"/>
      <c r="HY2043" s="20"/>
      <c r="HZ2043" s="20"/>
      <c r="IA2043" s="20"/>
      <c r="IB2043" s="20"/>
      <c r="IC2043" s="20"/>
      <c r="ID2043" s="20"/>
      <c r="IE2043" s="20"/>
      <c r="IF2043" s="20"/>
      <c r="IG2043" s="20"/>
      <c r="IH2043" s="20"/>
      <c r="II2043" s="20"/>
      <c r="IJ2043" s="20"/>
      <c r="IK2043" s="20"/>
      <c r="IL2043" s="20"/>
      <c r="IM2043" s="20"/>
      <c r="IN2043" s="20"/>
      <c r="IO2043" s="20"/>
    </row>
    <row r="2044" spans="1:249" s="1235" customFormat="1" ht="19.5" customHeight="1">
      <c r="A2044" s="2737" t="s">
        <v>63</v>
      </c>
      <c r="B2044" s="2737"/>
      <c r="C2044" s="2737"/>
      <c r="D2044" s="2737"/>
      <c r="E2044" s="2737"/>
      <c r="F2044" s="2737"/>
      <c r="G2044" s="2737"/>
      <c r="H2044" s="2737"/>
      <c r="I2044" s="2737"/>
      <c r="J2044" s="2737"/>
      <c r="K2044" s="2737"/>
      <c r="L2044" s="2737"/>
      <c r="M2044" s="2737"/>
      <c r="N2044" s="2737"/>
      <c r="O2044" s="2737"/>
      <c r="P2044" s="2737"/>
      <c r="Q2044" s="2737"/>
      <c r="R2044" s="2737"/>
      <c r="S2044" s="2737"/>
      <c r="T2044" s="2737"/>
      <c r="U2044" s="2737"/>
      <c r="V2044" s="2737"/>
      <c r="W2044" s="2737"/>
      <c r="X2044" s="2737"/>
      <c r="Y2044" s="2737"/>
      <c r="Z2044" s="2737"/>
      <c r="AA2044" s="2737"/>
      <c r="AB2044" s="2737"/>
      <c r="AC2044" s="965">
        <f>(AC1888+AC1908+AC1922+AC1924+AC1927+AC1929+AC1933+AC1934+AC1938+AC1943+AC1945+AC1947+AC1951+AC1956+AC1958+AC1960+AC1962+AC1964+AC1966+AC1967+AC1970+AC1973+AC1983+AC1984+AC1992+AC1994+AC1996+AC1998+AC2002+AC2008+AC2013+AC2015+AC2023+AC2035+AC2040)/35</f>
        <v>86.260288663371512</v>
      </c>
      <c r="AD2044" s="965">
        <f>(AD1888+AD1908+AD1922+AD1924+AD1927+AD1929+AD1933+AD1938+AD1943+AD1945+AD1951+AD1956+AD1958+AD1960+AD1962+AD1964+AD1966+AD1970+AD1973+AD1983+AD1992+AD1994+AD1996+AD1998+AD2002+AD2008+AD2013+AD2015+AD2023+AD2035+AD2040)/31</f>
        <v>56.515551651013702</v>
      </c>
      <c r="AE2044" s="131"/>
      <c r="AF2044" s="200"/>
      <c r="AG2044" s="200"/>
      <c r="AH2044" s="200"/>
      <c r="AI2044" s="200"/>
      <c r="AJ2044" s="200"/>
      <c r="AK2044" s="200"/>
      <c r="AL2044" s="200"/>
      <c r="AM2044" s="200"/>
      <c r="AN2044" s="200"/>
      <c r="AO2044" s="200"/>
      <c r="AP2044" s="200"/>
      <c r="AQ2044" s="200"/>
      <c r="AR2044" s="200"/>
      <c r="AS2044" s="200"/>
      <c r="AT2044" s="200"/>
      <c r="AU2044" s="200"/>
      <c r="AV2044" s="200"/>
      <c r="AW2044" s="200"/>
      <c r="AX2044" s="200"/>
      <c r="AY2044" s="200"/>
      <c r="AZ2044" s="200"/>
      <c r="BA2044" s="200"/>
      <c r="BB2044" s="200"/>
      <c r="BC2044" s="970"/>
      <c r="BD2044" s="970"/>
      <c r="BE2044" s="970"/>
      <c r="BF2044" s="970"/>
      <c r="BG2044" s="970"/>
      <c r="BH2044" s="970"/>
      <c r="BI2044" s="970"/>
      <c r="BJ2044" s="970"/>
      <c r="BK2044" s="970"/>
      <c r="BL2044" s="970"/>
      <c r="BM2044" s="970"/>
      <c r="BN2044" s="970"/>
      <c r="BO2044" s="970"/>
      <c r="BP2044" s="970"/>
      <c r="BQ2044" s="970"/>
      <c r="BR2044" s="970"/>
      <c r="BS2044" s="970"/>
      <c r="BT2044" s="970"/>
      <c r="BU2044" s="970"/>
      <c r="BV2044" s="970"/>
      <c r="BW2044" s="970"/>
      <c r="BX2044" s="970"/>
      <c r="BY2044" s="970"/>
      <c r="BZ2044" s="970"/>
      <c r="CA2044" s="970"/>
      <c r="CB2044" s="970"/>
      <c r="CC2044" s="970"/>
      <c r="CD2044" s="970"/>
      <c r="CE2044" s="970"/>
      <c r="CF2044" s="970"/>
      <c r="CG2044" s="970"/>
      <c r="CH2044" s="970"/>
      <c r="CI2044" s="970"/>
      <c r="CJ2044" s="970"/>
      <c r="CK2044" s="970"/>
      <c r="CL2044" s="970"/>
      <c r="CM2044" s="970"/>
      <c r="CN2044" s="970"/>
      <c r="CO2044" s="970"/>
      <c r="CP2044" s="970"/>
      <c r="CQ2044" s="970"/>
      <c r="CR2044" s="970"/>
      <c r="CS2044" s="970"/>
      <c r="CT2044" s="970"/>
      <c r="CU2044" s="970"/>
      <c r="CV2044" s="970"/>
      <c r="CW2044" s="970"/>
      <c r="CX2044" s="970"/>
      <c r="CY2044" s="970"/>
      <c r="CZ2044" s="970"/>
      <c r="DA2044" s="970"/>
      <c r="DB2044" s="970"/>
      <c r="DC2044" s="970"/>
      <c r="DD2044" s="970"/>
      <c r="DE2044" s="970"/>
      <c r="DF2044" s="970"/>
      <c r="DG2044" s="970"/>
      <c r="DH2044" s="970"/>
      <c r="DI2044" s="970"/>
      <c r="DJ2044" s="970"/>
      <c r="DK2044" s="970"/>
      <c r="DL2044" s="970"/>
      <c r="DM2044" s="970"/>
      <c r="DN2044" s="970"/>
      <c r="DO2044" s="970"/>
      <c r="DP2044" s="970"/>
      <c r="DQ2044" s="970"/>
      <c r="DR2044" s="970"/>
      <c r="DS2044" s="970"/>
      <c r="DT2044" s="970"/>
      <c r="DU2044" s="970"/>
      <c r="DV2044" s="970"/>
      <c r="DW2044" s="970"/>
      <c r="DX2044" s="970"/>
      <c r="DY2044" s="970"/>
      <c r="DZ2044" s="970"/>
      <c r="EA2044" s="970"/>
      <c r="EB2044" s="970"/>
      <c r="EC2044" s="970"/>
      <c r="ED2044" s="970"/>
      <c r="EE2044" s="970"/>
      <c r="EF2044" s="970"/>
      <c r="EG2044" s="970"/>
      <c r="EH2044" s="970"/>
      <c r="EI2044" s="970"/>
      <c r="EJ2044" s="970"/>
      <c r="EK2044" s="970"/>
      <c r="EL2044" s="970"/>
      <c r="EM2044" s="970"/>
      <c r="EN2044" s="970"/>
      <c r="EO2044" s="970"/>
      <c r="EP2044" s="970"/>
      <c r="EQ2044" s="970"/>
      <c r="ER2044" s="970"/>
      <c r="ES2044" s="970"/>
      <c r="ET2044" s="970"/>
      <c r="EU2044" s="970"/>
      <c r="EV2044" s="970"/>
      <c r="EW2044" s="970"/>
      <c r="EX2044" s="970"/>
      <c r="EY2044" s="970"/>
      <c r="EZ2044" s="970"/>
      <c r="FA2044" s="970"/>
      <c r="FB2044" s="970"/>
      <c r="FC2044" s="970"/>
      <c r="FD2044" s="970"/>
      <c r="FE2044" s="970"/>
      <c r="FF2044" s="970"/>
      <c r="FG2044" s="970"/>
      <c r="FH2044" s="970"/>
      <c r="FI2044" s="970"/>
      <c r="FJ2044" s="970"/>
      <c r="FK2044" s="970"/>
      <c r="FL2044" s="970"/>
      <c r="FM2044" s="970"/>
      <c r="FN2044" s="970"/>
      <c r="FO2044" s="970"/>
      <c r="FP2044" s="970"/>
      <c r="FQ2044" s="970"/>
      <c r="FR2044" s="970"/>
      <c r="FS2044" s="970"/>
      <c r="FT2044" s="970"/>
      <c r="FU2044" s="970"/>
      <c r="FV2044" s="970"/>
      <c r="FW2044" s="970"/>
      <c r="FX2044" s="970"/>
      <c r="FY2044" s="970"/>
      <c r="FZ2044" s="970"/>
      <c r="GA2044" s="970"/>
      <c r="GB2044" s="970"/>
      <c r="GC2044" s="970"/>
      <c r="GD2044" s="970"/>
      <c r="GE2044" s="970"/>
      <c r="GF2044" s="970"/>
      <c r="GG2044" s="970"/>
      <c r="GH2044" s="970"/>
      <c r="GI2044" s="970"/>
      <c r="GJ2044" s="970"/>
      <c r="GK2044" s="970"/>
      <c r="GL2044" s="970"/>
      <c r="GM2044" s="970"/>
      <c r="GN2044" s="970"/>
      <c r="GO2044" s="970"/>
      <c r="GP2044" s="970"/>
      <c r="GQ2044" s="970"/>
      <c r="GR2044" s="970"/>
      <c r="GS2044" s="970"/>
      <c r="GT2044" s="970"/>
      <c r="GU2044" s="970"/>
      <c r="GV2044" s="970"/>
      <c r="GW2044" s="970"/>
      <c r="GX2044" s="970"/>
      <c r="GY2044" s="970"/>
      <c r="GZ2044" s="970"/>
      <c r="HA2044" s="970"/>
      <c r="HB2044" s="970"/>
      <c r="HC2044" s="970"/>
      <c r="HD2044" s="970"/>
      <c r="HE2044" s="970"/>
      <c r="HF2044" s="970"/>
      <c r="HG2044" s="970"/>
      <c r="HH2044" s="970"/>
      <c r="HI2044" s="970"/>
      <c r="HJ2044" s="970"/>
      <c r="HK2044" s="970"/>
      <c r="HL2044" s="970"/>
      <c r="HM2044" s="970"/>
      <c r="HN2044" s="970"/>
      <c r="HO2044" s="970"/>
      <c r="HP2044" s="970"/>
      <c r="HQ2044" s="970"/>
      <c r="HR2044" s="970"/>
      <c r="HS2044" s="970"/>
      <c r="HT2044" s="970"/>
      <c r="HU2044" s="970"/>
      <c r="HV2044" s="970"/>
      <c r="HW2044" s="970"/>
      <c r="HX2044" s="970"/>
      <c r="HY2044" s="970"/>
      <c r="HZ2044" s="970"/>
      <c r="IA2044" s="970"/>
      <c r="IB2044" s="970"/>
      <c r="IC2044" s="970"/>
      <c r="ID2044" s="970"/>
      <c r="IE2044" s="970"/>
      <c r="IF2044" s="970"/>
      <c r="IG2044" s="970"/>
      <c r="IH2044" s="970"/>
      <c r="II2044" s="970"/>
      <c r="IJ2044" s="970"/>
      <c r="IK2044" s="970"/>
      <c r="IL2044" s="970"/>
      <c r="IM2044" s="970"/>
      <c r="IN2044" s="970"/>
      <c r="IO2044" s="970"/>
    </row>
    <row r="2045" spans="1:249" s="1235" customFormat="1" ht="21" customHeight="1">
      <c r="A2045" s="2737" t="s">
        <v>64</v>
      </c>
      <c r="B2045" s="2737"/>
      <c r="C2045" s="2737"/>
      <c r="D2045" s="2737"/>
      <c r="E2045" s="2737"/>
      <c r="F2045" s="2737"/>
      <c r="G2045" s="2737"/>
      <c r="H2045" s="2737"/>
      <c r="I2045" s="2737"/>
      <c r="J2045" s="2737"/>
      <c r="K2045" s="2737"/>
      <c r="L2045" s="2737"/>
      <c r="M2045" s="2737"/>
      <c r="N2045" s="2737"/>
      <c r="O2045" s="2737"/>
      <c r="P2045" s="2737"/>
      <c r="Q2045" s="2737"/>
      <c r="R2045" s="2737"/>
      <c r="S2045" s="2737"/>
      <c r="T2045" s="2737"/>
      <c r="U2045" s="2737"/>
      <c r="V2045" s="2737"/>
      <c r="W2045" s="2737"/>
      <c r="X2045" s="2737"/>
      <c r="Y2045" s="2737"/>
      <c r="Z2045" s="2737"/>
      <c r="AA2045" s="2737"/>
      <c r="AB2045" s="2737"/>
      <c r="AC2045" s="1861" t="str">
        <f>IF(AC2044&gt;=91,"ST",IF(AC2044&gt;=76,"T",IF(AC2044&gt;=66,"S",IF(AC2044&gt;=51,"R","SR"))))</f>
        <v>T</v>
      </c>
      <c r="AD2045" s="1861" t="str">
        <f>IF(AD2044&gt;=91,"ST",IF(AD2044&gt;=76,"T",IF(AD2044&gt;=66,"S",IF(AD2044&gt;=51,"R","SR"))))</f>
        <v>R</v>
      </c>
      <c r="AE2045" s="131"/>
      <c r="AF2045" s="200"/>
      <c r="AG2045" s="200"/>
      <c r="AH2045" s="200"/>
      <c r="AI2045" s="200"/>
      <c r="AJ2045" s="200"/>
      <c r="AK2045" s="200"/>
      <c r="AL2045" s="200"/>
      <c r="AM2045" s="200"/>
      <c r="AN2045" s="200"/>
      <c r="AO2045" s="200"/>
      <c r="AP2045" s="200"/>
      <c r="AQ2045" s="200"/>
      <c r="AR2045" s="200"/>
      <c r="AS2045" s="200"/>
      <c r="AT2045" s="200"/>
      <c r="AU2045" s="200"/>
      <c r="AV2045" s="200"/>
      <c r="AW2045" s="200"/>
      <c r="AX2045" s="200"/>
      <c r="AY2045" s="200"/>
      <c r="AZ2045" s="200"/>
      <c r="BA2045" s="200"/>
      <c r="BB2045" s="200"/>
      <c r="BC2045" s="970"/>
      <c r="BD2045" s="970"/>
      <c r="BE2045" s="970"/>
      <c r="BF2045" s="970"/>
      <c r="BG2045" s="970"/>
      <c r="BH2045" s="970"/>
      <c r="BI2045" s="970"/>
      <c r="BJ2045" s="970"/>
      <c r="BK2045" s="970"/>
      <c r="BL2045" s="970"/>
      <c r="BM2045" s="970"/>
      <c r="BN2045" s="970"/>
      <c r="BO2045" s="970"/>
      <c r="BP2045" s="970"/>
      <c r="BQ2045" s="970"/>
      <c r="BR2045" s="970"/>
      <c r="BS2045" s="970"/>
      <c r="BT2045" s="970"/>
      <c r="BU2045" s="970"/>
      <c r="BV2045" s="970"/>
      <c r="BW2045" s="970"/>
      <c r="BX2045" s="970"/>
      <c r="BY2045" s="970"/>
      <c r="BZ2045" s="970"/>
      <c r="CA2045" s="970"/>
      <c r="CB2045" s="970"/>
      <c r="CC2045" s="970"/>
      <c r="CD2045" s="970"/>
      <c r="CE2045" s="970"/>
      <c r="CF2045" s="970"/>
      <c r="CG2045" s="970"/>
      <c r="CH2045" s="970"/>
      <c r="CI2045" s="970"/>
      <c r="CJ2045" s="970"/>
      <c r="CK2045" s="970"/>
      <c r="CL2045" s="970"/>
      <c r="CM2045" s="970"/>
      <c r="CN2045" s="970"/>
      <c r="CO2045" s="970"/>
      <c r="CP2045" s="970"/>
      <c r="CQ2045" s="970"/>
      <c r="CR2045" s="970"/>
      <c r="CS2045" s="970"/>
      <c r="CT2045" s="970"/>
      <c r="CU2045" s="970"/>
      <c r="CV2045" s="970"/>
      <c r="CW2045" s="970"/>
      <c r="CX2045" s="970"/>
      <c r="CY2045" s="970"/>
      <c r="CZ2045" s="970"/>
      <c r="DA2045" s="970"/>
      <c r="DB2045" s="970"/>
      <c r="DC2045" s="970"/>
      <c r="DD2045" s="970"/>
      <c r="DE2045" s="970"/>
      <c r="DF2045" s="970"/>
      <c r="DG2045" s="970"/>
      <c r="DH2045" s="970"/>
      <c r="DI2045" s="970"/>
      <c r="DJ2045" s="970"/>
      <c r="DK2045" s="970"/>
      <c r="DL2045" s="970"/>
      <c r="DM2045" s="970"/>
      <c r="DN2045" s="970"/>
      <c r="DO2045" s="970"/>
      <c r="DP2045" s="970"/>
      <c r="DQ2045" s="970"/>
      <c r="DR2045" s="970"/>
      <c r="DS2045" s="970"/>
      <c r="DT2045" s="970"/>
      <c r="DU2045" s="970"/>
      <c r="DV2045" s="970"/>
      <c r="DW2045" s="970"/>
      <c r="DX2045" s="970"/>
      <c r="DY2045" s="970"/>
      <c r="DZ2045" s="970"/>
      <c r="EA2045" s="970"/>
      <c r="EB2045" s="970"/>
      <c r="EC2045" s="970"/>
      <c r="ED2045" s="970"/>
      <c r="EE2045" s="970"/>
      <c r="EF2045" s="970"/>
      <c r="EG2045" s="970"/>
      <c r="EH2045" s="970"/>
      <c r="EI2045" s="970"/>
      <c r="EJ2045" s="970"/>
      <c r="EK2045" s="970"/>
      <c r="EL2045" s="970"/>
      <c r="EM2045" s="970"/>
      <c r="EN2045" s="970"/>
      <c r="EO2045" s="970"/>
      <c r="EP2045" s="970"/>
      <c r="EQ2045" s="970"/>
      <c r="ER2045" s="970"/>
      <c r="ES2045" s="970"/>
      <c r="ET2045" s="970"/>
      <c r="EU2045" s="970"/>
      <c r="EV2045" s="970"/>
      <c r="EW2045" s="970"/>
      <c r="EX2045" s="970"/>
      <c r="EY2045" s="970"/>
      <c r="EZ2045" s="970"/>
      <c r="FA2045" s="970"/>
      <c r="FB2045" s="970"/>
      <c r="FC2045" s="970"/>
      <c r="FD2045" s="970"/>
      <c r="FE2045" s="970"/>
      <c r="FF2045" s="970"/>
      <c r="FG2045" s="970"/>
      <c r="FH2045" s="970"/>
      <c r="FI2045" s="970"/>
      <c r="FJ2045" s="970"/>
      <c r="FK2045" s="970"/>
      <c r="FL2045" s="970"/>
      <c r="FM2045" s="970"/>
      <c r="FN2045" s="970"/>
      <c r="FO2045" s="970"/>
      <c r="FP2045" s="970"/>
      <c r="FQ2045" s="970"/>
      <c r="FR2045" s="970"/>
      <c r="FS2045" s="970"/>
      <c r="FT2045" s="970"/>
      <c r="FU2045" s="970"/>
      <c r="FV2045" s="970"/>
      <c r="FW2045" s="970"/>
      <c r="FX2045" s="970"/>
      <c r="FY2045" s="970"/>
      <c r="FZ2045" s="970"/>
      <c r="GA2045" s="970"/>
      <c r="GB2045" s="970"/>
      <c r="GC2045" s="970"/>
      <c r="GD2045" s="970"/>
      <c r="GE2045" s="970"/>
      <c r="GF2045" s="970"/>
      <c r="GG2045" s="970"/>
      <c r="GH2045" s="970"/>
      <c r="GI2045" s="970"/>
      <c r="GJ2045" s="970"/>
      <c r="GK2045" s="970"/>
      <c r="GL2045" s="970"/>
      <c r="GM2045" s="970"/>
      <c r="GN2045" s="970"/>
      <c r="GO2045" s="970"/>
      <c r="GP2045" s="970"/>
      <c r="GQ2045" s="970"/>
      <c r="GR2045" s="970"/>
      <c r="GS2045" s="970"/>
      <c r="GT2045" s="970"/>
      <c r="GU2045" s="970"/>
      <c r="GV2045" s="970"/>
      <c r="GW2045" s="970"/>
      <c r="GX2045" s="970"/>
      <c r="GY2045" s="970"/>
      <c r="GZ2045" s="970"/>
      <c r="HA2045" s="970"/>
      <c r="HB2045" s="970"/>
      <c r="HC2045" s="970"/>
      <c r="HD2045" s="970"/>
      <c r="HE2045" s="970"/>
      <c r="HF2045" s="970"/>
      <c r="HG2045" s="970"/>
      <c r="HH2045" s="970"/>
      <c r="HI2045" s="970"/>
      <c r="HJ2045" s="970"/>
      <c r="HK2045" s="970"/>
      <c r="HL2045" s="970"/>
      <c r="HM2045" s="970"/>
      <c r="HN2045" s="970"/>
      <c r="HO2045" s="970"/>
      <c r="HP2045" s="970"/>
      <c r="HQ2045" s="970"/>
      <c r="HR2045" s="970"/>
      <c r="HS2045" s="970"/>
      <c r="HT2045" s="970"/>
      <c r="HU2045" s="970"/>
      <c r="HV2045" s="970"/>
      <c r="HW2045" s="970"/>
      <c r="HX2045" s="970"/>
      <c r="HY2045" s="970"/>
      <c r="HZ2045" s="970"/>
      <c r="IA2045" s="970"/>
      <c r="IB2045" s="970"/>
      <c r="IC2045" s="970"/>
      <c r="ID2045" s="970"/>
      <c r="IE2045" s="970"/>
      <c r="IF2045" s="970"/>
      <c r="IG2045" s="970"/>
      <c r="IH2045" s="970"/>
      <c r="II2045" s="970"/>
      <c r="IJ2045" s="970"/>
      <c r="IK2045" s="970"/>
      <c r="IL2045" s="970"/>
      <c r="IM2045" s="970"/>
      <c r="IN2045" s="970"/>
      <c r="IO2045" s="970"/>
    </row>
    <row r="2046" spans="1:249" ht="32.25" customHeight="1">
      <c r="A2046" s="863" t="s">
        <v>14</v>
      </c>
      <c r="B2046" s="1618"/>
      <c r="C2046" s="863"/>
      <c r="D2046" s="863"/>
      <c r="E2046" s="863"/>
      <c r="F2046" s="863"/>
      <c r="G2046" s="863"/>
      <c r="H2046" s="863"/>
      <c r="I2046" s="2746" t="s">
        <v>238</v>
      </c>
      <c r="J2046" s="2747"/>
      <c r="K2046" s="1618"/>
      <c r="L2046" s="1619">
        <f>SUM(L2047+L2062+L2075+L2077+L2079)</f>
        <v>179394260314</v>
      </c>
      <c r="M2046" s="1618"/>
      <c r="N2046" s="1619">
        <f>SUM(N2047+N2062+N2075+N2077+N2079)</f>
        <v>74556853000</v>
      </c>
      <c r="O2046" s="1882"/>
      <c r="P2046" s="1517">
        <f>SUM(P2047+P2062+P2077+P2079)</f>
        <v>18925594198</v>
      </c>
      <c r="Q2046" s="1883"/>
      <c r="R2046" s="1517">
        <f>SUM(R2047+R2062+R2077+R2079)</f>
        <v>4057069000</v>
      </c>
      <c r="S2046" s="1618"/>
      <c r="T2046" s="1320">
        <f>T2047+T2062+T2079</f>
        <v>3726464000</v>
      </c>
      <c r="U2046" s="1618"/>
      <c r="V2046" s="1680"/>
      <c r="W2046" s="1618"/>
      <c r="X2046" s="1680"/>
      <c r="Y2046" s="1866"/>
      <c r="Z2046" s="1517">
        <f>R2046+T2046</f>
        <v>7783533000</v>
      </c>
      <c r="AA2046" s="1618"/>
      <c r="AB2046" s="1517">
        <f>SUM(AB2047+AB2062+AB2077+AB2079)</f>
        <v>79111247000</v>
      </c>
      <c r="AC2046" s="1618"/>
      <c r="AD2046" s="1618"/>
      <c r="AE2046" s="1814"/>
      <c r="AF2046" s="200"/>
      <c r="AG2046" s="200"/>
      <c r="AH2046" s="200"/>
      <c r="AI2046" s="200"/>
      <c r="AJ2046" s="200"/>
      <c r="AK2046" s="200"/>
      <c r="AL2046" s="200"/>
      <c r="AM2046" s="200"/>
      <c r="AN2046" s="200"/>
      <c r="AO2046" s="200"/>
      <c r="AP2046" s="200"/>
      <c r="AQ2046" s="200"/>
      <c r="AR2046" s="200"/>
      <c r="AS2046" s="200"/>
      <c r="AT2046" s="200"/>
      <c r="AU2046" s="200"/>
      <c r="AV2046" s="200"/>
      <c r="AW2046" s="200"/>
      <c r="AX2046" s="200"/>
      <c r="AY2046" s="200"/>
      <c r="AZ2046" s="200"/>
      <c r="BA2046" s="200"/>
      <c r="BB2046" s="200"/>
      <c r="BC2046" s="970"/>
      <c r="BD2046" s="970"/>
      <c r="BE2046" s="970"/>
      <c r="BF2046" s="970"/>
      <c r="BG2046" s="970"/>
      <c r="BH2046" s="970"/>
      <c r="BI2046" s="970"/>
      <c r="BJ2046" s="970"/>
      <c r="BK2046" s="970"/>
      <c r="BL2046" s="970"/>
      <c r="BM2046" s="970"/>
      <c r="BN2046" s="970"/>
      <c r="BO2046" s="970"/>
      <c r="BP2046" s="970"/>
      <c r="BQ2046" s="970"/>
      <c r="BR2046" s="970"/>
      <c r="BS2046" s="970"/>
      <c r="BT2046" s="970"/>
      <c r="BU2046" s="970"/>
      <c r="BV2046" s="970"/>
      <c r="BW2046" s="970"/>
      <c r="BX2046" s="970"/>
      <c r="BY2046" s="970"/>
      <c r="BZ2046" s="970"/>
      <c r="CA2046" s="970"/>
      <c r="CB2046" s="970"/>
      <c r="CC2046" s="970"/>
      <c r="CD2046" s="970"/>
      <c r="CE2046" s="970"/>
      <c r="CF2046" s="970"/>
      <c r="CG2046" s="970"/>
      <c r="CH2046" s="970"/>
      <c r="CI2046" s="970"/>
      <c r="CJ2046" s="970"/>
      <c r="CK2046" s="970"/>
      <c r="CL2046" s="970"/>
      <c r="CM2046" s="970"/>
      <c r="CN2046" s="970"/>
      <c r="CO2046" s="970"/>
      <c r="CP2046" s="970"/>
      <c r="CQ2046" s="970"/>
      <c r="CR2046" s="970"/>
      <c r="CS2046" s="970"/>
      <c r="CT2046" s="970"/>
      <c r="CU2046" s="970"/>
      <c r="CV2046" s="970"/>
      <c r="CW2046" s="970"/>
      <c r="CX2046" s="970"/>
      <c r="CY2046" s="970"/>
      <c r="CZ2046" s="970"/>
      <c r="DA2046" s="970"/>
      <c r="DB2046" s="970"/>
      <c r="DC2046" s="970"/>
      <c r="DD2046" s="970"/>
      <c r="DE2046" s="970"/>
      <c r="DF2046" s="970"/>
      <c r="DG2046" s="970"/>
      <c r="DH2046" s="970"/>
      <c r="DI2046" s="970"/>
      <c r="DJ2046" s="970"/>
      <c r="DK2046" s="970"/>
      <c r="DL2046" s="970"/>
      <c r="DM2046" s="970"/>
      <c r="DN2046" s="970"/>
      <c r="DO2046" s="970"/>
      <c r="DP2046" s="970"/>
      <c r="DQ2046" s="970"/>
      <c r="DR2046" s="970"/>
      <c r="DS2046" s="970"/>
      <c r="DT2046" s="970"/>
      <c r="DU2046" s="970"/>
      <c r="DV2046" s="970"/>
      <c r="DW2046" s="970"/>
      <c r="DX2046" s="970"/>
      <c r="DY2046" s="970"/>
      <c r="DZ2046" s="970"/>
      <c r="EA2046" s="970"/>
      <c r="EB2046" s="970"/>
      <c r="EC2046" s="970"/>
      <c r="ED2046" s="970"/>
      <c r="EE2046" s="970"/>
      <c r="EF2046" s="970"/>
      <c r="EG2046" s="970"/>
      <c r="EH2046" s="970"/>
      <c r="EI2046" s="970"/>
      <c r="EJ2046" s="970"/>
      <c r="EK2046" s="970"/>
      <c r="EL2046" s="970"/>
      <c r="EM2046" s="970"/>
      <c r="EN2046" s="970"/>
      <c r="EO2046" s="970"/>
      <c r="EP2046" s="970"/>
      <c r="EQ2046" s="970"/>
      <c r="ER2046" s="970"/>
      <c r="ES2046" s="970"/>
      <c r="ET2046" s="970"/>
      <c r="EU2046" s="970"/>
      <c r="EV2046" s="970"/>
      <c r="EW2046" s="970"/>
      <c r="EX2046" s="970"/>
      <c r="EY2046" s="970"/>
      <c r="EZ2046" s="970"/>
      <c r="FA2046" s="970"/>
      <c r="FB2046" s="970"/>
      <c r="FC2046" s="970"/>
      <c r="FD2046" s="970"/>
      <c r="FE2046" s="970"/>
      <c r="FF2046" s="970"/>
      <c r="FG2046" s="970"/>
      <c r="FH2046" s="970"/>
      <c r="FI2046" s="970"/>
      <c r="FJ2046" s="970"/>
      <c r="FK2046" s="970"/>
      <c r="FL2046" s="970"/>
      <c r="FM2046" s="970"/>
      <c r="FN2046" s="970"/>
      <c r="FO2046" s="970"/>
      <c r="FP2046" s="970"/>
      <c r="FQ2046" s="970"/>
      <c r="FR2046" s="970"/>
      <c r="FS2046" s="970"/>
      <c r="FT2046" s="970"/>
      <c r="FU2046" s="970"/>
      <c r="FV2046" s="970"/>
      <c r="FW2046" s="970"/>
      <c r="FX2046" s="970"/>
      <c r="FY2046" s="970"/>
      <c r="FZ2046" s="970"/>
      <c r="GA2046" s="970"/>
      <c r="GB2046" s="970"/>
      <c r="GC2046" s="970"/>
      <c r="GD2046" s="970"/>
      <c r="GE2046" s="970"/>
      <c r="GF2046" s="970"/>
      <c r="GG2046" s="970"/>
      <c r="GH2046" s="970"/>
      <c r="GI2046" s="970"/>
      <c r="GJ2046" s="970"/>
      <c r="GK2046" s="970"/>
      <c r="GL2046" s="970"/>
      <c r="GM2046" s="970"/>
      <c r="GN2046" s="970"/>
      <c r="GO2046" s="970"/>
      <c r="GP2046" s="970"/>
      <c r="GQ2046" s="970"/>
      <c r="GR2046" s="970"/>
      <c r="GS2046" s="970"/>
      <c r="GT2046" s="970"/>
      <c r="GU2046" s="970"/>
      <c r="GV2046" s="970"/>
      <c r="GW2046" s="970"/>
      <c r="GX2046" s="970"/>
      <c r="GY2046" s="970"/>
      <c r="GZ2046" s="970"/>
      <c r="HA2046" s="970"/>
      <c r="HB2046" s="970"/>
      <c r="HC2046" s="970"/>
      <c r="HD2046" s="970"/>
      <c r="HE2046" s="970"/>
      <c r="HF2046" s="970"/>
      <c r="HG2046" s="970"/>
      <c r="HH2046" s="970"/>
      <c r="HI2046" s="970"/>
      <c r="HJ2046" s="970"/>
      <c r="HK2046" s="970"/>
      <c r="HL2046" s="970"/>
      <c r="HM2046" s="970"/>
      <c r="HN2046" s="970"/>
      <c r="HO2046" s="970"/>
      <c r="HP2046" s="970"/>
      <c r="HQ2046" s="970"/>
      <c r="HR2046" s="970"/>
      <c r="HS2046" s="970"/>
      <c r="HT2046" s="970"/>
      <c r="HU2046" s="970"/>
      <c r="HV2046" s="970"/>
      <c r="HW2046" s="970"/>
      <c r="HX2046" s="970"/>
      <c r="HY2046" s="970"/>
      <c r="HZ2046" s="970"/>
      <c r="IA2046" s="970"/>
      <c r="IB2046" s="970"/>
      <c r="IC2046" s="970"/>
      <c r="ID2046" s="970"/>
      <c r="IE2046" s="970"/>
      <c r="IF2046" s="970"/>
      <c r="IG2046" s="970"/>
      <c r="IH2046" s="970"/>
      <c r="II2046" s="970"/>
      <c r="IJ2046" s="970"/>
      <c r="IK2046" s="970"/>
      <c r="IL2046" s="970"/>
      <c r="IM2046" s="970"/>
      <c r="IN2046" s="970"/>
      <c r="IO2046" s="970"/>
    </row>
    <row r="2047" spans="1:249" s="1315" customFormat="1" ht="51" customHeight="1">
      <c r="A2047" s="2558">
        <v>1</v>
      </c>
      <c r="B2047" s="629"/>
      <c r="C2047" s="303">
        <v>4</v>
      </c>
      <c r="D2047" s="303" t="s">
        <v>34</v>
      </c>
      <c r="E2047" s="303" t="s">
        <v>28</v>
      </c>
      <c r="F2047" s="303" t="s">
        <v>25</v>
      </c>
      <c r="G2047" s="303" t="s">
        <v>25</v>
      </c>
      <c r="H2047" s="989"/>
      <c r="I2047" s="33" t="s">
        <v>26</v>
      </c>
      <c r="J2047" s="33" t="s">
        <v>3418</v>
      </c>
      <c r="K2047" s="545">
        <v>72</v>
      </c>
      <c r="L2047" s="230">
        <f t="shared" ref="L2047:R2047" si="617">SUM(L2048:L2061)</f>
        <v>23618641314</v>
      </c>
      <c r="M2047" s="545">
        <v>36</v>
      </c>
      <c r="N2047" s="230">
        <f t="shared" si="617"/>
        <v>7919297000</v>
      </c>
      <c r="O2047" s="545">
        <v>12</v>
      </c>
      <c r="P2047" s="230">
        <f t="shared" si="617"/>
        <v>2897023144</v>
      </c>
      <c r="Q2047" s="230">
        <v>3</v>
      </c>
      <c r="R2047" s="160">
        <f t="shared" si="617"/>
        <v>136965000</v>
      </c>
      <c r="S2047" s="230">
        <f>SUM(S2048:S2061)</f>
        <v>39</v>
      </c>
      <c r="T2047" s="160">
        <f>SUM(T2048:T2061)</f>
        <v>637325000</v>
      </c>
      <c r="U2047" s="545"/>
      <c r="V2047" s="545"/>
      <c r="W2047" s="545"/>
      <c r="X2047" s="545"/>
      <c r="Y2047" s="545">
        <f>SUM(Y2048:Y2061)</f>
        <v>69</v>
      </c>
      <c r="Z2047" s="160">
        <f t="shared" ref="Z2047:Z2061" si="618">R2047+T2047+V2047+X2047</f>
        <v>774290000</v>
      </c>
      <c r="AA2047" s="545">
        <f>Y2047+M2047</f>
        <v>105</v>
      </c>
      <c r="AB2047" s="230">
        <f>N2047+Z2047</f>
        <v>8693587000</v>
      </c>
      <c r="AC2047" s="148">
        <f t="shared" ref="AC2047:AC2059" si="619">AA2047/K2047*100</f>
        <v>145.83333333333331</v>
      </c>
      <c r="AD2047" s="148">
        <f t="shared" ref="AD2047:AD2059" si="620">AB2047/L2047*100</f>
        <v>36.808158794667236</v>
      </c>
      <c r="AE2047" s="2558" t="s">
        <v>1710</v>
      </c>
      <c r="AF2047" s="200"/>
      <c r="AG2047" s="200"/>
      <c r="AH2047" s="200"/>
      <c r="AI2047" s="1128"/>
      <c r="AJ2047" s="200"/>
      <c r="AK2047" s="1128"/>
      <c r="AL2047" s="1128"/>
      <c r="AM2047" s="1128"/>
      <c r="AN2047" s="1128"/>
      <c r="AO2047" s="1128"/>
      <c r="AP2047" s="200"/>
      <c r="AQ2047" s="200"/>
      <c r="AR2047" s="200"/>
      <c r="AS2047" s="200"/>
      <c r="AT2047" s="200"/>
      <c r="AU2047" s="200"/>
      <c r="AV2047" s="200"/>
      <c r="AW2047" s="200"/>
      <c r="AX2047" s="200"/>
      <c r="AY2047" s="200"/>
      <c r="AZ2047" s="200"/>
      <c r="BA2047" s="200"/>
      <c r="BB2047" s="200"/>
      <c r="BC2047" s="970"/>
      <c r="BD2047" s="970"/>
      <c r="BE2047" s="970"/>
      <c r="BF2047" s="970"/>
      <c r="BG2047" s="970"/>
      <c r="BH2047" s="970"/>
      <c r="BI2047" s="970"/>
      <c r="BJ2047" s="970"/>
      <c r="BK2047" s="970"/>
      <c r="BL2047" s="970"/>
      <c r="BM2047" s="970"/>
      <c r="BN2047" s="970"/>
      <c r="BO2047" s="970"/>
      <c r="BP2047" s="970"/>
      <c r="BQ2047" s="970"/>
      <c r="BR2047" s="970"/>
      <c r="BS2047" s="970"/>
      <c r="BT2047" s="970"/>
      <c r="BU2047" s="970"/>
      <c r="BV2047" s="970"/>
      <c r="BW2047" s="970"/>
      <c r="BX2047" s="970"/>
      <c r="BY2047" s="970"/>
      <c r="BZ2047" s="970"/>
      <c r="CA2047" s="970"/>
      <c r="CB2047" s="970"/>
      <c r="CC2047" s="970"/>
      <c r="CD2047" s="970"/>
      <c r="CE2047" s="970"/>
      <c r="CF2047" s="970"/>
      <c r="CG2047" s="970"/>
      <c r="CH2047" s="970"/>
      <c r="CI2047" s="970"/>
      <c r="CJ2047" s="970"/>
      <c r="CK2047" s="970"/>
      <c r="CL2047" s="970"/>
      <c r="CM2047" s="970"/>
      <c r="CN2047" s="970"/>
      <c r="CO2047" s="970"/>
      <c r="CP2047" s="970"/>
      <c r="CQ2047" s="970"/>
      <c r="CR2047" s="970"/>
      <c r="CS2047" s="970"/>
      <c r="CT2047" s="970"/>
      <c r="CU2047" s="970"/>
      <c r="CV2047" s="970"/>
      <c r="CW2047" s="970"/>
      <c r="CX2047" s="970"/>
      <c r="CY2047" s="970"/>
      <c r="CZ2047" s="970"/>
      <c r="DA2047" s="970"/>
      <c r="DB2047" s="970"/>
      <c r="DC2047" s="970"/>
      <c r="DD2047" s="970"/>
      <c r="DE2047" s="970"/>
      <c r="DF2047" s="970"/>
      <c r="DG2047" s="970"/>
      <c r="DH2047" s="970"/>
      <c r="DI2047" s="970"/>
      <c r="DJ2047" s="970"/>
      <c r="DK2047" s="970"/>
      <c r="DL2047" s="970"/>
      <c r="DM2047" s="970"/>
      <c r="DN2047" s="970"/>
      <c r="DO2047" s="970"/>
      <c r="DP2047" s="970"/>
      <c r="DQ2047" s="970"/>
      <c r="DR2047" s="970"/>
      <c r="DS2047" s="970"/>
      <c r="DT2047" s="970"/>
      <c r="DU2047" s="970"/>
      <c r="DV2047" s="970"/>
      <c r="DW2047" s="970"/>
      <c r="DX2047" s="970"/>
      <c r="DY2047" s="970"/>
      <c r="DZ2047" s="970"/>
      <c r="EA2047" s="970"/>
      <c r="EB2047" s="970"/>
      <c r="EC2047" s="970"/>
      <c r="ED2047" s="970"/>
      <c r="EE2047" s="970"/>
      <c r="EF2047" s="970"/>
      <c r="EG2047" s="970"/>
      <c r="EH2047" s="970"/>
      <c r="EI2047" s="970"/>
      <c r="EJ2047" s="970"/>
      <c r="EK2047" s="970"/>
      <c r="EL2047" s="970"/>
      <c r="EM2047" s="970"/>
      <c r="EN2047" s="970"/>
      <c r="EO2047" s="970"/>
      <c r="EP2047" s="970"/>
      <c r="EQ2047" s="970"/>
      <c r="ER2047" s="970"/>
      <c r="ES2047" s="970"/>
      <c r="ET2047" s="970"/>
      <c r="EU2047" s="970"/>
      <c r="EV2047" s="970"/>
      <c r="EW2047" s="970"/>
      <c r="EX2047" s="970"/>
      <c r="EY2047" s="970"/>
      <c r="EZ2047" s="970"/>
      <c r="FA2047" s="970"/>
      <c r="FB2047" s="970"/>
      <c r="FC2047" s="970"/>
      <c r="FD2047" s="970"/>
      <c r="FE2047" s="970"/>
      <c r="FF2047" s="970"/>
      <c r="FG2047" s="970"/>
      <c r="FH2047" s="970"/>
      <c r="FI2047" s="970"/>
      <c r="FJ2047" s="970"/>
      <c r="FK2047" s="970"/>
      <c r="FL2047" s="970"/>
      <c r="FM2047" s="970"/>
      <c r="FN2047" s="970"/>
      <c r="FO2047" s="970"/>
      <c r="FP2047" s="970"/>
      <c r="FQ2047" s="970"/>
      <c r="FR2047" s="970"/>
      <c r="FS2047" s="970"/>
      <c r="FT2047" s="970"/>
      <c r="FU2047" s="970"/>
      <c r="FV2047" s="970"/>
      <c r="FW2047" s="970"/>
      <c r="FX2047" s="970"/>
      <c r="FY2047" s="970"/>
      <c r="FZ2047" s="970"/>
      <c r="GA2047" s="970"/>
      <c r="GB2047" s="970"/>
      <c r="GC2047" s="970"/>
      <c r="GD2047" s="970"/>
      <c r="GE2047" s="970"/>
      <c r="GF2047" s="970"/>
      <c r="GG2047" s="970"/>
      <c r="GH2047" s="970"/>
      <c r="GI2047" s="970"/>
      <c r="GJ2047" s="970"/>
      <c r="GK2047" s="970"/>
      <c r="GL2047" s="970"/>
      <c r="GM2047" s="970"/>
      <c r="GN2047" s="970"/>
      <c r="GO2047" s="970"/>
      <c r="GP2047" s="970"/>
      <c r="GQ2047" s="970"/>
      <c r="GR2047" s="970"/>
      <c r="GS2047" s="970"/>
      <c r="GT2047" s="970"/>
      <c r="GU2047" s="970"/>
      <c r="GV2047" s="970"/>
      <c r="GW2047" s="970"/>
      <c r="GX2047" s="970"/>
      <c r="GY2047" s="970"/>
      <c r="GZ2047" s="970"/>
      <c r="HA2047" s="970"/>
      <c r="HB2047" s="970"/>
      <c r="HC2047" s="970"/>
      <c r="HD2047" s="970"/>
      <c r="HE2047" s="970"/>
      <c r="HF2047" s="970"/>
      <c r="HG2047" s="970"/>
      <c r="HH2047" s="970"/>
      <c r="HI2047" s="970"/>
      <c r="HJ2047" s="970"/>
      <c r="HK2047" s="970"/>
      <c r="HL2047" s="970"/>
      <c r="HM2047" s="970"/>
      <c r="HN2047" s="970"/>
      <c r="HO2047" s="970"/>
      <c r="HP2047" s="970"/>
      <c r="HQ2047" s="970"/>
      <c r="HR2047" s="970"/>
      <c r="HS2047" s="970"/>
      <c r="HT2047" s="970"/>
      <c r="HU2047" s="970"/>
      <c r="HV2047" s="970"/>
      <c r="HW2047" s="970"/>
      <c r="HX2047" s="970"/>
      <c r="HY2047" s="970"/>
      <c r="HZ2047" s="970"/>
      <c r="IA2047" s="970"/>
      <c r="IB2047" s="970"/>
      <c r="IC2047" s="970"/>
      <c r="ID2047" s="970"/>
      <c r="IE2047" s="970"/>
      <c r="IF2047" s="970"/>
      <c r="IG2047" s="970"/>
      <c r="IH2047" s="970"/>
      <c r="II2047" s="970"/>
      <c r="IJ2047" s="970"/>
      <c r="IK2047" s="970"/>
      <c r="IL2047" s="970"/>
      <c r="IM2047" s="970"/>
      <c r="IN2047" s="970"/>
      <c r="IO2047" s="970"/>
    </row>
    <row r="2048" spans="1:249" ht="52.5" customHeight="1">
      <c r="A2048" s="102"/>
      <c r="B2048" s="10"/>
      <c r="C2048" s="628">
        <v>4</v>
      </c>
      <c r="D2048" s="628" t="s">
        <v>34</v>
      </c>
      <c r="E2048" s="628" t="s">
        <v>28</v>
      </c>
      <c r="F2048" s="628" t="s">
        <v>25</v>
      </c>
      <c r="G2048" s="628" t="s">
        <v>25</v>
      </c>
      <c r="H2048" s="628" t="s">
        <v>25</v>
      </c>
      <c r="I2048" s="8" t="s">
        <v>224</v>
      </c>
      <c r="J2048" s="8" t="s">
        <v>1711</v>
      </c>
      <c r="K2048" s="107">
        <v>72</v>
      </c>
      <c r="L2048" s="238">
        <v>6154909314</v>
      </c>
      <c r="M2048" s="107">
        <v>36</v>
      </c>
      <c r="N2048" s="238">
        <v>39685000</v>
      </c>
      <c r="O2048" s="107">
        <v>12</v>
      </c>
      <c r="P2048" s="238">
        <v>10120000</v>
      </c>
      <c r="Q2048" s="238">
        <v>3</v>
      </c>
      <c r="R2048" s="204">
        <v>1350000</v>
      </c>
      <c r="S2048" s="107"/>
      <c r="T2048" s="204">
        <v>900000</v>
      </c>
      <c r="U2048" s="107"/>
      <c r="V2048" s="107"/>
      <c r="W2048" s="107"/>
      <c r="X2048" s="107"/>
      <c r="Y2048" s="107">
        <f t="shared" ref="Y2048:Y2061" si="621">Q2048+S2048+U2048+W2048</f>
        <v>3</v>
      </c>
      <c r="Z2048" s="204">
        <f t="shared" si="618"/>
        <v>2250000</v>
      </c>
      <c r="AA2048" s="107">
        <f>Y2048+M2048</f>
        <v>39</v>
      </c>
      <c r="AB2048" s="204">
        <f>Z2048+N2048</f>
        <v>41935000</v>
      </c>
      <c r="AC2048" s="499">
        <f t="shared" si="619"/>
        <v>54.166666666666664</v>
      </c>
      <c r="AD2048" s="117">
        <f t="shared" si="620"/>
        <v>0.68132604171135958</v>
      </c>
      <c r="AE2048" s="102"/>
      <c r="AF2048" s="200"/>
      <c r="AG2048" s="200"/>
      <c r="AH2048" s="200"/>
      <c r="AI2048" s="1128"/>
      <c r="AJ2048" s="200"/>
      <c r="AK2048" s="1128"/>
      <c r="AL2048" s="200"/>
      <c r="AM2048" s="1128"/>
      <c r="AN2048" s="200"/>
      <c r="AO2048" s="1128"/>
      <c r="AP2048" s="200"/>
      <c r="AQ2048" s="200"/>
      <c r="AR2048" s="200"/>
      <c r="AS2048" s="200"/>
      <c r="AT2048" s="200"/>
      <c r="AU2048" s="200"/>
      <c r="AV2048" s="200"/>
      <c r="AW2048" s="200"/>
      <c r="AX2048" s="200"/>
      <c r="AY2048" s="200"/>
      <c r="AZ2048" s="200"/>
      <c r="BA2048" s="200"/>
      <c r="BB2048" s="200"/>
      <c r="BC2048" s="970"/>
      <c r="BD2048" s="970"/>
      <c r="BE2048" s="970"/>
      <c r="BF2048" s="970"/>
      <c r="BG2048" s="970"/>
      <c r="BH2048" s="970"/>
      <c r="BI2048" s="970"/>
      <c r="BJ2048" s="970"/>
      <c r="BK2048" s="970"/>
      <c r="BL2048" s="970"/>
      <c r="BM2048" s="970"/>
      <c r="BN2048" s="970"/>
      <c r="BO2048" s="970"/>
      <c r="BP2048" s="970"/>
      <c r="BQ2048" s="970"/>
      <c r="BR2048" s="970"/>
      <c r="BS2048" s="970"/>
      <c r="BT2048" s="970"/>
      <c r="BU2048" s="970"/>
      <c r="BV2048" s="970"/>
      <c r="BW2048" s="970"/>
      <c r="BX2048" s="970"/>
      <c r="BY2048" s="970"/>
      <c r="BZ2048" s="970"/>
      <c r="CA2048" s="970"/>
      <c r="CB2048" s="970"/>
      <c r="CC2048" s="970"/>
      <c r="CD2048" s="970"/>
      <c r="CE2048" s="970"/>
      <c r="CF2048" s="970"/>
      <c r="CG2048" s="970"/>
      <c r="CH2048" s="970"/>
      <c r="CI2048" s="970"/>
      <c r="CJ2048" s="970"/>
      <c r="CK2048" s="970"/>
      <c r="CL2048" s="970"/>
      <c r="CM2048" s="970"/>
      <c r="CN2048" s="970"/>
      <c r="CO2048" s="970"/>
      <c r="CP2048" s="970"/>
      <c r="CQ2048" s="970"/>
      <c r="CR2048" s="970"/>
      <c r="CS2048" s="970"/>
      <c r="CT2048" s="970"/>
      <c r="CU2048" s="970"/>
      <c r="CV2048" s="970"/>
      <c r="CW2048" s="970"/>
      <c r="CX2048" s="970"/>
      <c r="CY2048" s="970"/>
      <c r="CZ2048" s="970"/>
      <c r="DA2048" s="970"/>
      <c r="DB2048" s="970"/>
      <c r="DC2048" s="970"/>
      <c r="DD2048" s="970"/>
      <c r="DE2048" s="970"/>
      <c r="DF2048" s="970"/>
      <c r="DG2048" s="970"/>
      <c r="DH2048" s="970"/>
      <c r="DI2048" s="970"/>
      <c r="DJ2048" s="970"/>
      <c r="DK2048" s="970"/>
      <c r="DL2048" s="970"/>
      <c r="DM2048" s="970"/>
      <c r="DN2048" s="970"/>
      <c r="DO2048" s="970"/>
      <c r="DP2048" s="970"/>
      <c r="DQ2048" s="970"/>
      <c r="DR2048" s="970"/>
      <c r="DS2048" s="970"/>
      <c r="DT2048" s="970"/>
      <c r="DU2048" s="970"/>
      <c r="DV2048" s="970"/>
      <c r="DW2048" s="970"/>
      <c r="DX2048" s="970"/>
      <c r="DY2048" s="970"/>
      <c r="DZ2048" s="970"/>
      <c r="EA2048" s="970"/>
      <c r="EB2048" s="970"/>
      <c r="EC2048" s="970"/>
      <c r="ED2048" s="970"/>
      <c r="EE2048" s="970"/>
      <c r="EF2048" s="970"/>
      <c r="EG2048" s="970"/>
      <c r="EH2048" s="970"/>
      <c r="EI2048" s="970"/>
      <c r="EJ2048" s="970"/>
      <c r="EK2048" s="970"/>
      <c r="EL2048" s="970"/>
      <c r="EM2048" s="970"/>
      <c r="EN2048" s="970"/>
      <c r="EO2048" s="970"/>
      <c r="EP2048" s="970"/>
      <c r="EQ2048" s="970"/>
      <c r="ER2048" s="970"/>
      <c r="ES2048" s="970"/>
      <c r="ET2048" s="970"/>
      <c r="EU2048" s="970"/>
      <c r="EV2048" s="970"/>
      <c r="EW2048" s="970"/>
      <c r="EX2048" s="970"/>
      <c r="EY2048" s="970"/>
      <c r="EZ2048" s="970"/>
      <c r="FA2048" s="970"/>
      <c r="FB2048" s="970"/>
      <c r="FC2048" s="970"/>
      <c r="FD2048" s="970"/>
      <c r="FE2048" s="970"/>
      <c r="FF2048" s="970"/>
      <c r="FG2048" s="970"/>
      <c r="FH2048" s="970"/>
      <c r="FI2048" s="970"/>
      <c r="FJ2048" s="970"/>
      <c r="FK2048" s="970"/>
      <c r="FL2048" s="970"/>
      <c r="FM2048" s="970"/>
      <c r="FN2048" s="970"/>
      <c r="FO2048" s="970"/>
      <c r="FP2048" s="970"/>
      <c r="FQ2048" s="970"/>
      <c r="FR2048" s="970"/>
      <c r="FS2048" s="970"/>
      <c r="FT2048" s="970"/>
      <c r="FU2048" s="970"/>
      <c r="FV2048" s="970"/>
      <c r="FW2048" s="970"/>
      <c r="FX2048" s="970"/>
      <c r="FY2048" s="970"/>
      <c r="FZ2048" s="970"/>
      <c r="GA2048" s="970"/>
      <c r="GB2048" s="970"/>
      <c r="GC2048" s="970"/>
      <c r="GD2048" s="970"/>
      <c r="GE2048" s="970"/>
      <c r="GF2048" s="970"/>
      <c r="GG2048" s="970"/>
      <c r="GH2048" s="970"/>
      <c r="GI2048" s="970"/>
      <c r="GJ2048" s="970"/>
      <c r="GK2048" s="970"/>
      <c r="GL2048" s="970"/>
      <c r="GM2048" s="970"/>
      <c r="GN2048" s="970"/>
      <c r="GO2048" s="970"/>
      <c r="GP2048" s="970"/>
      <c r="GQ2048" s="970"/>
      <c r="GR2048" s="970"/>
      <c r="GS2048" s="970"/>
      <c r="GT2048" s="970"/>
      <c r="GU2048" s="970"/>
      <c r="GV2048" s="970"/>
      <c r="GW2048" s="970"/>
      <c r="GX2048" s="970"/>
      <c r="GY2048" s="970"/>
      <c r="GZ2048" s="970"/>
      <c r="HA2048" s="970"/>
      <c r="HB2048" s="970"/>
      <c r="HC2048" s="970"/>
      <c r="HD2048" s="970"/>
      <c r="HE2048" s="970"/>
      <c r="HF2048" s="970"/>
      <c r="HG2048" s="970"/>
      <c r="HH2048" s="970"/>
      <c r="HI2048" s="970"/>
      <c r="HJ2048" s="970"/>
      <c r="HK2048" s="970"/>
      <c r="HL2048" s="970"/>
      <c r="HM2048" s="970"/>
      <c r="HN2048" s="970"/>
      <c r="HO2048" s="970"/>
      <c r="HP2048" s="970"/>
      <c r="HQ2048" s="970"/>
      <c r="HR2048" s="970"/>
      <c r="HS2048" s="970"/>
      <c r="HT2048" s="970"/>
      <c r="HU2048" s="970"/>
      <c r="HV2048" s="970"/>
      <c r="HW2048" s="970"/>
      <c r="HX2048" s="970"/>
      <c r="HY2048" s="970"/>
      <c r="HZ2048" s="970"/>
      <c r="IA2048" s="970"/>
      <c r="IB2048" s="970"/>
      <c r="IC2048" s="970"/>
      <c r="ID2048" s="970"/>
      <c r="IE2048" s="970"/>
      <c r="IF2048" s="970"/>
      <c r="IG2048" s="970"/>
      <c r="IH2048" s="970"/>
      <c r="II2048" s="970"/>
      <c r="IJ2048" s="970"/>
      <c r="IK2048" s="970"/>
      <c r="IL2048" s="970"/>
      <c r="IM2048" s="970"/>
      <c r="IN2048" s="970"/>
      <c r="IO2048" s="970"/>
    </row>
    <row r="2049" spans="1:249" ht="84.75" customHeight="1">
      <c r="A2049" s="102"/>
      <c r="B2049" s="10"/>
      <c r="C2049" s="628">
        <v>4</v>
      </c>
      <c r="D2049" s="628" t="s">
        <v>34</v>
      </c>
      <c r="E2049" s="628" t="s">
        <v>28</v>
      </c>
      <c r="F2049" s="628" t="s">
        <v>25</v>
      </c>
      <c r="G2049" s="628" t="s">
        <v>25</v>
      </c>
      <c r="H2049" s="628" t="s">
        <v>28</v>
      </c>
      <c r="I2049" s="10" t="s">
        <v>613</v>
      </c>
      <c r="J2049" s="8" t="s">
        <v>1021</v>
      </c>
      <c r="K2049" s="107">
        <v>72</v>
      </c>
      <c r="L2049" s="238">
        <v>49416000</v>
      </c>
      <c r="M2049" s="107">
        <v>36</v>
      </c>
      <c r="N2049" s="238">
        <v>598713000</v>
      </c>
      <c r="O2049" s="107">
        <v>12</v>
      </c>
      <c r="P2049" s="238">
        <v>229200000</v>
      </c>
      <c r="Q2049" s="238">
        <v>3</v>
      </c>
      <c r="R2049" s="204">
        <v>43295000</v>
      </c>
      <c r="S2049" s="107">
        <v>3</v>
      </c>
      <c r="T2049" s="204">
        <v>51583000</v>
      </c>
      <c r="U2049" s="107"/>
      <c r="V2049" s="107"/>
      <c r="W2049" s="107"/>
      <c r="X2049" s="107"/>
      <c r="Y2049" s="107">
        <f t="shared" si="621"/>
        <v>6</v>
      </c>
      <c r="Z2049" s="204">
        <f t="shared" si="618"/>
        <v>94878000</v>
      </c>
      <c r="AA2049" s="107">
        <f t="shared" ref="AA2049:AA2073" si="622">M2049+Y2049</f>
        <v>42</v>
      </c>
      <c r="AB2049" s="238">
        <f t="shared" ref="AB2049:AB2073" si="623">N2049+Z2049</f>
        <v>693591000</v>
      </c>
      <c r="AC2049" s="109">
        <f t="shared" si="619"/>
        <v>58.333333333333336</v>
      </c>
      <c r="AD2049" s="117">
        <f t="shared" si="620"/>
        <v>1403.5757649344341</v>
      </c>
      <c r="AE2049" s="102"/>
      <c r="AF2049" s="200"/>
      <c r="AG2049" s="200"/>
      <c r="AH2049" s="200"/>
      <c r="AI2049" s="1128"/>
      <c r="AJ2049" s="200"/>
      <c r="AK2049" s="1128"/>
      <c r="AL2049" s="200"/>
      <c r="AM2049" s="1128"/>
      <c r="AN2049" s="200"/>
      <c r="AO2049" s="1128"/>
      <c r="AP2049" s="200"/>
      <c r="AQ2049" s="200"/>
      <c r="AR2049" s="200"/>
      <c r="AS2049" s="200"/>
      <c r="AT2049" s="200"/>
      <c r="AU2049" s="200"/>
      <c r="AV2049" s="200"/>
      <c r="AW2049" s="200"/>
      <c r="AX2049" s="200"/>
      <c r="AY2049" s="200"/>
      <c r="AZ2049" s="200"/>
      <c r="BA2049" s="200"/>
      <c r="BB2049" s="200"/>
      <c r="BC2049" s="970"/>
      <c r="BD2049" s="970"/>
      <c r="BE2049" s="970"/>
      <c r="BF2049" s="970"/>
      <c r="BG2049" s="970"/>
      <c r="BH2049" s="970"/>
      <c r="BI2049" s="970"/>
      <c r="BJ2049" s="970"/>
      <c r="BK2049" s="970"/>
      <c r="BL2049" s="970"/>
      <c r="BM2049" s="970"/>
      <c r="BN2049" s="970"/>
      <c r="BO2049" s="970"/>
      <c r="BP2049" s="970"/>
      <c r="BQ2049" s="970"/>
      <c r="BR2049" s="970"/>
      <c r="BS2049" s="970"/>
      <c r="BT2049" s="970"/>
      <c r="BU2049" s="970"/>
      <c r="BV2049" s="970"/>
      <c r="BW2049" s="970"/>
      <c r="BX2049" s="970"/>
      <c r="BY2049" s="970"/>
      <c r="BZ2049" s="970"/>
      <c r="CA2049" s="970"/>
      <c r="CB2049" s="970"/>
      <c r="CC2049" s="970"/>
      <c r="CD2049" s="970"/>
      <c r="CE2049" s="970"/>
      <c r="CF2049" s="970"/>
      <c r="CG2049" s="970"/>
      <c r="CH2049" s="970"/>
      <c r="CI2049" s="970"/>
      <c r="CJ2049" s="970"/>
      <c r="CK2049" s="970"/>
      <c r="CL2049" s="970"/>
      <c r="CM2049" s="970"/>
      <c r="CN2049" s="970"/>
      <c r="CO2049" s="970"/>
      <c r="CP2049" s="970"/>
      <c r="CQ2049" s="970"/>
      <c r="CR2049" s="970"/>
      <c r="CS2049" s="970"/>
      <c r="CT2049" s="970"/>
      <c r="CU2049" s="970"/>
      <c r="CV2049" s="970"/>
      <c r="CW2049" s="970"/>
      <c r="CX2049" s="970"/>
      <c r="CY2049" s="970"/>
      <c r="CZ2049" s="970"/>
      <c r="DA2049" s="970"/>
      <c r="DB2049" s="970"/>
      <c r="DC2049" s="970"/>
      <c r="DD2049" s="970"/>
      <c r="DE2049" s="970"/>
      <c r="DF2049" s="970"/>
      <c r="DG2049" s="970"/>
      <c r="DH2049" s="970"/>
      <c r="DI2049" s="970"/>
      <c r="DJ2049" s="970"/>
      <c r="DK2049" s="970"/>
      <c r="DL2049" s="970"/>
      <c r="DM2049" s="970"/>
      <c r="DN2049" s="970"/>
      <c r="DO2049" s="970"/>
      <c r="DP2049" s="970"/>
      <c r="DQ2049" s="970"/>
      <c r="DR2049" s="970"/>
      <c r="DS2049" s="970"/>
      <c r="DT2049" s="970"/>
      <c r="DU2049" s="970"/>
      <c r="DV2049" s="970"/>
      <c r="DW2049" s="970"/>
      <c r="DX2049" s="970"/>
      <c r="DY2049" s="970"/>
      <c r="DZ2049" s="970"/>
      <c r="EA2049" s="970"/>
      <c r="EB2049" s="970"/>
      <c r="EC2049" s="970"/>
      <c r="ED2049" s="970"/>
      <c r="EE2049" s="970"/>
      <c r="EF2049" s="970"/>
      <c r="EG2049" s="970"/>
      <c r="EH2049" s="970"/>
      <c r="EI2049" s="970"/>
      <c r="EJ2049" s="970"/>
      <c r="EK2049" s="970"/>
      <c r="EL2049" s="970"/>
      <c r="EM2049" s="970"/>
      <c r="EN2049" s="970"/>
      <c r="EO2049" s="970"/>
      <c r="EP2049" s="970"/>
      <c r="EQ2049" s="970"/>
      <c r="ER2049" s="970"/>
      <c r="ES2049" s="970"/>
      <c r="ET2049" s="970"/>
      <c r="EU2049" s="970"/>
      <c r="EV2049" s="970"/>
      <c r="EW2049" s="970"/>
      <c r="EX2049" s="970"/>
      <c r="EY2049" s="970"/>
      <c r="EZ2049" s="970"/>
      <c r="FA2049" s="970"/>
      <c r="FB2049" s="970"/>
      <c r="FC2049" s="970"/>
      <c r="FD2049" s="970"/>
      <c r="FE2049" s="970"/>
      <c r="FF2049" s="970"/>
      <c r="FG2049" s="970"/>
      <c r="FH2049" s="970"/>
      <c r="FI2049" s="970"/>
      <c r="FJ2049" s="970"/>
      <c r="FK2049" s="970"/>
      <c r="FL2049" s="970"/>
      <c r="FM2049" s="970"/>
      <c r="FN2049" s="970"/>
      <c r="FO2049" s="970"/>
      <c r="FP2049" s="970"/>
      <c r="FQ2049" s="970"/>
      <c r="FR2049" s="970"/>
      <c r="FS2049" s="970"/>
      <c r="FT2049" s="970"/>
      <c r="FU2049" s="970"/>
      <c r="FV2049" s="970"/>
      <c r="FW2049" s="970"/>
      <c r="FX2049" s="970"/>
      <c r="FY2049" s="970"/>
      <c r="FZ2049" s="970"/>
      <c r="GA2049" s="970"/>
      <c r="GB2049" s="970"/>
      <c r="GC2049" s="970"/>
      <c r="GD2049" s="970"/>
      <c r="GE2049" s="970"/>
      <c r="GF2049" s="970"/>
      <c r="GG2049" s="970"/>
      <c r="GH2049" s="970"/>
      <c r="GI2049" s="970"/>
      <c r="GJ2049" s="970"/>
      <c r="GK2049" s="970"/>
      <c r="GL2049" s="970"/>
      <c r="GM2049" s="970"/>
      <c r="GN2049" s="970"/>
      <c r="GO2049" s="970"/>
      <c r="GP2049" s="970"/>
      <c r="GQ2049" s="970"/>
      <c r="GR2049" s="970"/>
      <c r="GS2049" s="970"/>
      <c r="GT2049" s="970"/>
      <c r="GU2049" s="970"/>
      <c r="GV2049" s="970"/>
      <c r="GW2049" s="970"/>
      <c r="GX2049" s="970"/>
      <c r="GY2049" s="970"/>
      <c r="GZ2049" s="970"/>
      <c r="HA2049" s="970"/>
      <c r="HB2049" s="970"/>
      <c r="HC2049" s="970"/>
      <c r="HD2049" s="970"/>
      <c r="HE2049" s="970"/>
      <c r="HF2049" s="970"/>
      <c r="HG2049" s="970"/>
      <c r="HH2049" s="970"/>
      <c r="HI2049" s="970"/>
      <c r="HJ2049" s="970"/>
      <c r="HK2049" s="970"/>
      <c r="HL2049" s="970"/>
      <c r="HM2049" s="970"/>
      <c r="HN2049" s="970"/>
      <c r="HO2049" s="970"/>
      <c r="HP2049" s="970"/>
      <c r="HQ2049" s="970"/>
      <c r="HR2049" s="970"/>
      <c r="HS2049" s="970"/>
      <c r="HT2049" s="970"/>
      <c r="HU2049" s="970"/>
      <c r="HV2049" s="970"/>
      <c r="HW2049" s="970"/>
      <c r="HX2049" s="970"/>
      <c r="HY2049" s="970"/>
      <c r="HZ2049" s="970"/>
      <c r="IA2049" s="970"/>
      <c r="IB2049" s="970"/>
      <c r="IC2049" s="970"/>
      <c r="ID2049" s="970"/>
      <c r="IE2049" s="970"/>
      <c r="IF2049" s="970"/>
      <c r="IG2049" s="970"/>
      <c r="IH2049" s="970"/>
      <c r="II2049" s="970"/>
      <c r="IJ2049" s="970"/>
      <c r="IK2049" s="970"/>
      <c r="IL2049" s="970"/>
      <c r="IM2049" s="970"/>
      <c r="IN2049" s="970"/>
      <c r="IO2049" s="970"/>
    </row>
    <row r="2050" spans="1:249" ht="99">
      <c r="A2050" s="102"/>
      <c r="B2050" s="10"/>
      <c r="C2050" s="628">
        <v>4</v>
      </c>
      <c r="D2050" s="628" t="s">
        <v>34</v>
      </c>
      <c r="E2050" s="628" t="s">
        <v>28</v>
      </c>
      <c r="F2050" s="628" t="s">
        <v>25</v>
      </c>
      <c r="G2050" s="628" t="s">
        <v>25</v>
      </c>
      <c r="H2050" s="628" t="s">
        <v>29</v>
      </c>
      <c r="I2050" s="10" t="s">
        <v>102</v>
      </c>
      <c r="J2050" s="8" t="s">
        <v>1022</v>
      </c>
      <c r="K2050" s="107">
        <v>72</v>
      </c>
      <c r="L2050" s="238">
        <v>1514716000</v>
      </c>
      <c r="M2050" s="107">
        <v>36</v>
      </c>
      <c r="N2050" s="238">
        <v>909702000</v>
      </c>
      <c r="O2050" s="107">
        <v>12</v>
      </c>
      <c r="P2050" s="238">
        <v>205157386</v>
      </c>
      <c r="Q2050" s="238">
        <v>0</v>
      </c>
      <c r="R2050" s="204">
        <v>0</v>
      </c>
      <c r="S2050" s="107">
        <v>3</v>
      </c>
      <c r="T2050" s="204">
        <v>8948000</v>
      </c>
      <c r="U2050" s="107"/>
      <c r="V2050" s="107"/>
      <c r="W2050" s="107"/>
      <c r="X2050" s="107"/>
      <c r="Y2050" s="107">
        <f t="shared" si="621"/>
        <v>3</v>
      </c>
      <c r="Z2050" s="204">
        <f t="shared" si="618"/>
        <v>8948000</v>
      </c>
      <c r="AA2050" s="107">
        <f t="shared" si="622"/>
        <v>39</v>
      </c>
      <c r="AB2050" s="238">
        <f t="shared" si="623"/>
        <v>918650000</v>
      </c>
      <c r="AC2050" s="109">
        <f t="shared" si="619"/>
        <v>54.166666666666664</v>
      </c>
      <c r="AD2050" s="117">
        <f t="shared" si="620"/>
        <v>60.648332756767608</v>
      </c>
      <c r="AE2050" s="102"/>
      <c r="AF2050" s="200"/>
      <c r="AG2050" s="200"/>
      <c r="AH2050" s="200"/>
      <c r="AI2050" s="1128"/>
      <c r="AJ2050" s="200"/>
      <c r="AK2050" s="1128"/>
      <c r="AL2050" s="200"/>
      <c r="AM2050" s="1128"/>
      <c r="AN2050" s="200"/>
      <c r="AO2050" s="1128"/>
      <c r="AP2050" s="200"/>
      <c r="AQ2050" s="200"/>
      <c r="AR2050" s="200"/>
      <c r="AS2050" s="200"/>
      <c r="AT2050" s="200"/>
      <c r="AU2050" s="200"/>
      <c r="AV2050" s="200"/>
      <c r="AW2050" s="200"/>
      <c r="AX2050" s="200"/>
      <c r="AY2050" s="200"/>
      <c r="AZ2050" s="200"/>
      <c r="BA2050" s="200"/>
      <c r="BB2050" s="200"/>
      <c r="BC2050" s="970"/>
      <c r="BD2050" s="970"/>
      <c r="BE2050" s="970"/>
      <c r="BF2050" s="970"/>
      <c r="BG2050" s="970"/>
      <c r="BH2050" s="970"/>
      <c r="BI2050" s="970"/>
      <c r="BJ2050" s="970"/>
      <c r="BK2050" s="970"/>
      <c r="BL2050" s="970"/>
      <c r="BM2050" s="970"/>
      <c r="BN2050" s="970"/>
      <c r="BO2050" s="970"/>
      <c r="BP2050" s="970"/>
      <c r="BQ2050" s="970"/>
      <c r="BR2050" s="970"/>
      <c r="BS2050" s="970"/>
      <c r="BT2050" s="970"/>
      <c r="BU2050" s="970"/>
      <c r="BV2050" s="970"/>
      <c r="BW2050" s="970"/>
      <c r="BX2050" s="970"/>
      <c r="BY2050" s="970"/>
      <c r="BZ2050" s="970"/>
      <c r="CA2050" s="970"/>
      <c r="CB2050" s="970"/>
      <c r="CC2050" s="970"/>
      <c r="CD2050" s="970"/>
      <c r="CE2050" s="970"/>
      <c r="CF2050" s="970"/>
      <c r="CG2050" s="970"/>
      <c r="CH2050" s="970"/>
      <c r="CI2050" s="970"/>
      <c r="CJ2050" s="970"/>
      <c r="CK2050" s="970"/>
      <c r="CL2050" s="970"/>
      <c r="CM2050" s="970"/>
      <c r="CN2050" s="970"/>
      <c r="CO2050" s="970"/>
      <c r="CP2050" s="970"/>
      <c r="CQ2050" s="970"/>
      <c r="CR2050" s="970"/>
      <c r="CS2050" s="970"/>
      <c r="CT2050" s="970"/>
      <c r="CU2050" s="970"/>
      <c r="CV2050" s="970"/>
      <c r="CW2050" s="970"/>
      <c r="CX2050" s="970"/>
      <c r="CY2050" s="970"/>
      <c r="CZ2050" s="970"/>
      <c r="DA2050" s="970"/>
      <c r="DB2050" s="970"/>
      <c r="DC2050" s="970"/>
      <c r="DD2050" s="970"/>
      <c r="DE2050" s="970"/>
      <c r="DF2050" s="970"/>
      <c r="DG2050" s="970"/>
      <c r="DH2050" s="970"/>
      <c r="DI2050" s="970"/>
      <c r="DJ2050" s="970"/>
      <c r="DK2050" s="970"/>
      <c r="DL2050" s="970"/>
      <c r="DM2050" s="970"/>
      <c r="DN2050" s="970"/>
      <c r="DO2050" s="970"/>
      <c r="DP2050" s="970"/>
      <c r="DQ2050" s="970"/>
      <c r="DR2050" s="970"/>
      <c r="DS2050" s="970"/>
      <c r="DT2050" s="970"/>
      <c r="DU2050" s="970"/>
      <c r="DV2050" s="970"/>
      <c r="DW2050" s="970"/>
      <c r="DX2050" s="970"/>
      <c r="DY2050" s="970"/>
      <c r="DZ2050" s="970"/>
      <c r="EA2050" s="970"/>
      <c r="EB2050" s="970"/>
      <c r="EC2050" s="970"/>
      <c r="ED2050" s="970"/>
      <c r="EE2050" s="970"/>
      <c r="EF2050" s="970"/>
      <c r="EG2050" s="970"/>
      <c r="EH2050" s="970"/>
      <c r="EI2050" s="970"/>
      <c r="EJ2050" s="970"/>
      <c r="EK2050" s="970"/>
      <c r="EL2050" s="970"/>
      <c r="EM2050" s="970"/>
      <c r="EN2050" s="970"/>
      <c r="EO2050" s="970"/>
      <c r="EP2050" s="970"/>
      <c r="EQ2050" s="970"/>
      <c r="ER2050" s="970"/>
      <c r="ES2050" s="970"/>
      <c r="ET2050" s="970"/>
      <c r="EU2050" s="970"/>
      <c r="EV2050" s="970"/>
      <c r="EW2050" s="970"/>
      <c r="EX2050" s="970"/>
      <c r="EY2050" s="970"/>
      <c r="EZ2050" s="970"/>
      <c r="FA2050" s="970"/>
      <c r="FB2050" s="970"/>
      <c r="FC2050" s="970"/>
      <c r="FD2050" s="970"/>
      <c r="FE2050" s="970"/>
      <c r="FF2050" s="970"/>
      <c r="FG2050" s="970"/>
      <c r="FH2050" s="970"/>
      <c r="FI2050" s="970"/>
      <c r="FJ2050" s="970"/>
      <c r="FK2050" s="970"/>
      <c r="FL2050" s="970"/>
      <c r="FM2050" s="970"/>
      <c r="FN2050" s="970"/>
      <c r="FO2050" s="970"/>
      <c r="FP2050" s="970"/>
      <c r="FQ2050" s="970"/>
      <c r="FR2050" s="970"/>
      <c r="FS2050" s="970"/>
      <c r="FT2050" s="970"/>
      <c r="FU2050" s="970"/>
      <c r="FV2050" s="970"/>
      <c r="FW2050" s="970"/>
      <c r="FX2050" s="970"/>
      <c r="FY2050" s="970"/>
      <c r="FZ2050" s="970"/>
      <c r="GA2050" s="970"/>
      <c r="GB2050" s="970"/>
      <c r="GC2050" s="970"/>
      <c r="GD2050" s="970"/>
      <c r="GE2050" s="970"/>
      <c r="GF2050" s="970"/>
      <c r="GG2050" s="970"/>
      <c r="GH2050" s="970"/>
      <c r="GI2050" s="970"/>
      <c r="GJ2050" s="970"/>
      <c r="GK2050" s="970"/>
      <c r="GL2050" s="970"/>
      <c r="GM2050" s="970"/>
      <c r="GN2050" s="970"/>
      <c r="GO2050" s="970"/>
      <c r="GP2050" s="970"/>
      <c r="GQ2050" s="970"/>
      <c r="GR2050" s="970"/>
      <c r="GS2050" s="970"/>
      <c r="GT2050" s="970"/>
      <c r="GU2050" s="970"/>
      <c r="GV2050" s="970"/>
      <c r="GW2050" s="970"/>
      <c r="GX2050" s="970"/>
      <c r="GY2050" s="970"/>
      <c r="GZ2050" s="970"/>
      <c r="HA2050" s="970"/>
      <c r="HB2050" s="970"/>
      <c r="HC2050" s="970"/>
      <c r="HD2050" s="970"/>
      <c r="HE2050" s="970"/>
      <c r="HF2050" s="970"/>
      <c r="HG2050" s="970"/>
      <c r="HH2050" s="970"/>
      <c r="HI2050" s="970"/>
      <c r="HJ2050" s="970"/>
      <c r="HK2050" s="970"/>
      <c r="HL2050" s="970"/>
      <c r="HM2050" s="970"/>
      <c r="HN2050" s="970"/>
      <c r="HO2050" s="970"/>
      <c r="HP2050" s="970"/>
      <c r="HQ2050" s="970"/>
      <c r="HR2050" s="970"/>
      <c r="HS2050" s="970"/>
      <c r="HT2050" s="970"/>
      <c r="HU2050" s="970"/>
      <c r="HV2050" s="970"/>
      <c r="HW2050" s="970"/>
      <c r="HX2050" s="970"/>
      <c r="HY2050" s="970"/>
      <c r="HZ2050" s="970"/>
      <c r="IA2050" s="970"/>
      <c r="IB2050" s="970"/>
      <c r="IC2050" s="970"/>
      <c r="ID2050" s="970"/>
      <c r="IE2050" s="970"/>
      <c r="IF2050" s="970"/>
      <c r="IG2050" s="970"/>
      <c r="IH2050" s="970"/>
      <c r="II2050" s="970"/>
      <c r="IJ2050" s="970"/>
      <c r="IK2050" s="970"/>
      <c r="IL2050" s="970"/>
      <c r="IM2050" s="970"/>
      <c r="IN2050" s="970"/>
      <c r="IO2050" s="970"/>
    </row>
    <row r="2051" spans="1:249" ht="66">
      <c r="A2051" s="102"/>
      <c r="B2051" s="10"/>
      <c r="C2051" s="628">
        <v>4</v>
      </c>
      <c r="D2051" s="628" t="s">
        <v>34</v>
      </c>
      <c r="E2051" s="628" t="s">
        <v>28</v>
      </c>
      <c r="F2051" s="628" t="s">
        <v>25</v>
      </c>
      <c r="G2051" s="628" t="s">
        <v>25</v>
      </c>
      <c r="H2051" s="628" t="s">
        <v>30</v>
      </c>
      <c r="I2051" s="10" t="s">
        <v>616</v>
      </c>
      <c r="J2051" s="10" t="s">
        <v>1025</v>
      </c>
      <c r="K2051" s="107">
        <v>72</v>
      </c>
      <c r="L2051" s="238">
        <v>4577604000</v>
      </c>
      <c r="M2051" s="107">
        <v>36</v>
      </c>
      <c r="N2051" s="238">
        <v>593582000</v>
      </c>
      <c r="O2051" s="107">
        <v>12</v>
      </c>
      <c r="P2051" s="238">
        <v>199150000</v>
      </c>
      <c r="Q2051" s="238">
        <v>0</v>
      </c>
      <c r="R2051" s="204">
        <v>0</v>
      </c>
      <c r="S2051" s="107">
        <v>3</v>
      </c>
      <c r="T2051" s="204">
        <v>40000000</v>
      </c>
      <c r="U2051" s="107"/>
      <c r="V2051" s="107"/>
      <c r="W2051" s="107"/>
      <c r="X2051" s="107"/>
      <c r="Y2051" s="107">
        <f t="shared" si="621"/>
        <v>3</v>
      </c>
      <c r="Z2051" s="204">
        <f t="shared" si="618"/>
        <v>40000000</v>
      </c>
      <c r="AA2051" s="107">
        <f t="shared" si="622"/>
        <v>39</v>
      </c>
      <c r="AB2051" s="238">
        <f t="shared" si="623"/>
        <v>633582000</v>
      </c>
      <c r="AC2051" s="109">
        <f t="shared" si="619"/>
        <v>54.166666666666664</v>
      </c>
      <c r="AD2051" s="117">
        <f t="shared" si="620"/>
        <v>13.840908912173269</v>
      </c>
      <c r="AE2051" s="102"/>
      <c r="AF2051" s="200"/>
      <c r="AG2051" s="200"/>
      <c r="AH2051" s="200"/>
      <c r="AI2051" s="1128"/>
      <c r="AJ2051" s="200"/>
      <c r="AK2051" s="1128"/>
      <c r="AL2051" s="200"/>
      <c r="AM2051" s="1128"/>
      <c r="AN2051" s="200"/>
      <c r="AO2051" s="1128"/>
      <c r="AP2051" s="200"/>
      <c r="AQ2051" s="200"/>
      <c r="AR2051" s="200"/>
      <c r="AS2051" s="200"/>
      <c r="AT2051" s="200"/>
      <c r="AU2051" s="200"/>
      <c r="AV2051" s="200"/>
      <c r="AW2051" s="200"/>
      <c r="AX2051" s="200"/>
      <c r="AY2051" s="200"/>
      <c r="AZ2051" s="200"/>
      <c r="BA2051" s="200"/>
      <c r="BB2051" s="200"/>
      <c r="BC2051" s="970"/>
      <c r="BD2051" s="970"/>
      <c r="BE2051" s="970"/>
      <c r="BF2051" s="970"/>
      <c r="BG2051" s="970"/>
      <c r="BH2051" s="970"/>
      <c r="BI2051" s="970"/>
      <c r="BJ2051" s="970"/>
      <c r="BK2051" s="970"/>
      <c r="BL2051" s="970"/>
      <c r="BM2051" s="970"/>
      <c r="BN2051" s="970"/>
      <c r="BO2051" s="970"/>
      <c r="BP2051" s="970"/>
      <c r="BQ2051" s="970"/>
      <c r="BR2051" s="970"/>
      <c r="BS2051" s="970"/>
      <c r="BT2051" s="970"/>
      <c r="BU2051" s="970"/>
      <c r="BV2051" s="970"/>
      <c r="BW2051" s="970"/>
      <c r="BX2051" s="970"/>
      <c r="BY2051" s="970"/>
      <c r="BZ2051" s="970"/>
      <c r="CA2051" s="970"/>
      <c r="CB2051" s="970"/>
      <c r="CC2051" s="970"/>
      <c r="CD2051" s="970"/>
      <c r="CE2051" s="970"/>
      <c r="CF2051" s="970"/>
      <c r="CG2051" s="970"/>
      <c r="CH2051" s="970"/>
      <c r="CI2051" s="970"/>
      <c r="CJ2051" s="970"/>
      <c r="CK2051" s="970"/>
      <c r="CL2051" s="970"/>
      <c r="CM2051" s="970"/>
      <c r="CN2051" s="970"/>
      <c r="CO2051" s="970"/>
      <c r="CP2051" s="970"/>
      <c r="CQ2051" s="970"/>
      <c r="CR2051" s="970"/>
      <c r="CS2051" s="970"/>
      <c r="CT2051" s="970"/>
      <c r="CU2051" s="970"/>
      <c r="CV2051" s="970"/>
      <c r="CW2051" s="970"/>
      <c r="CX2051" s="970"/>
      <c r="CY2051" s="970"/>
      <c r="CZ2051" s="970"/>
      <c r="DA2051" s="970"/>
      <c r="DB2051" s="970"/>
      <c r="DC2051" s="970"/>
      <c r="DD2051" s="970"/>
      <c r="DE2051" s="970"/>
      <c r="DF2051" s="970"/>
      <c r="DG2051" s="970"/>
      <c r="DH2051" s="970"/>
      <c r="DI2051" s="970"/>
      <c r="DJ2051" s="970"/>
      <c r="DK2051" s="970"/>
      <c r="DL2051" s="970"/>
      <c r="DM2051" s="970"/>
      <c r="DN2051" s="970"/>
      <c r="DO2051" s="970"/>
      <c r="DP2051" s="970"/>
      <c r="DQ2051" s="970"/>
      <c r="DR2051" s="970"/>
      <c r="DS2051" s="970"/>
      <c r="DT2051" s="970"/>
      <c r="DU2051" s="970"/>
      <c r="DV2051" s="970"/>
      <c r="DW2051" s="970"/>
      <c r="DX2051" s="970"/>
      <c r="DY2051" s="970"/>
      <c r="DZ2051" s="970"/>
      <c r="EA2051" s="970"/>
      <c r="EB2051" s="970"/>
      <c r="EC2051" s="970"/>
      <c r="ED2051" s="970"/>
      <c r="EE2051" s="970"/>
      <c r="EF2051" s="970"/>
      <c r="EG2051" s="970"/>
      <c r="EH2051" s="970"/>
      <c r="EI2051" s="970"/>
      <c r="EJ2051" s="970"/>
      <c r="EK2051" s="970"/>
      <c r="EL2051" s="970"/>
      <c r="EM2051" s="970"/>
      <c r="EN2051" s="970"/>
      <c r="EO2051" s="970"/>
      <c r="EP2051" s="970"/>
      <c r="EQ2051" s="970"/>
      <c r="ER2051" s="970"/>
      <c r="ES2051" s="970"/>
      <c r="ET2051" s="970"/>
      <c r="EU2051" s="970"/>
      <c r="EV2051" s="970"/>
      <c r="EW2051" s="970"/>
      <c r="EX2051" s="970"/>
      <c r="EY2051" s="970"/>
      <c r="EZ2051" s="970"/>
      <c r="FA2051" s="970"/>
      <c r="FB2051" s="970"/>
      <c r="FC2051" s="970"/>
      <c r="FD2051" s="970"/>
      <c r="FE2051" s="970"/>
      <c r="FF2051" s="970"/>
      <c r="FG2051" s="970"/>
      <c r="FH2051" s="970"/>
      <c r="FI2051" s="970"/>
      <c r="FJ2051" s="970"/>
      <c r="FK2051" s="970"/>
      <c r="FL2051" s="970"/>
      <c r="FM2051" s="970"/>
      <c r="FN2051" s="970"/>
      <c r="FO2051" s="970"/>
      <c r="FP2051" s="970"/>
      <c r="FQ2051" s="970"/>
      <c r="FR2051" s="970"/>
      <c r="FS2051" s="970"/>
      <c r="FT2051" s="970"/>
      <c r="FU2051" s="970"/>
      <c r="FV2051" s="970"/>
      <c r="FW2051" s="970"/>
      <c r="FX2051" s="970"/>
      <c r="FY2051" s="970"/>
      <c r="FZ2051" s="970"/>
      <c r="GA2051" s="970"/>
      <c r="GB2051" s="970"/>
      <c r="GC2051" s="970"/>
      <c r="GD2051" s="970"/>
      <c r="GE2051" s="970"/>
      <c r="GF2051" s="970"/>
      <c r="GG2051" s="970"/>
      <c r="GH2051" s="970"/>
      <c r="GI2051" s="970"/>
      <c r="GJ2051" s="970"/>
      <c r="GK2051" s="970"/>
      <c r="GL2051" s="970"/>
      <c r="GM2051" s="970"/>
      <c r="GN2051" s="970"/>
      <c r="GO2051" s="970"/>
      <c r="GP2051" s="970"/>
      <c r="GQ2051" s="970"/>
      <c r="GR2051" s="970"/>
      <c r="GS2051" s="970"/>
      <c r="GT2051" s="970"/>
      <c r="GU2051" s="970"/>
      <c r="GV2051" s="970"/>
      <c r="GW2051" s="970"/>
      <c r="GX2051" s="970"/>
      <c r="GY2051" s="970"/>
      <c r="GZ2051" s="970"/>
      <c r="HA2051" s="970"/>
      <c r="HB2051" s="970"/>
      <c r="HC2051" s="970"/>
      <c r="HD2051" s="970"/>
      <c r="HE2051" s="970"/>
      <c r="HF2051" s="970"/>
      <c r="HG2051" s="970"/>
      <c r="HH2051" s="970"/>
      <c r="HI2051" s="970"/>
      <c r="HJ2051" s="970"/>
      <c r="HK2051" s="970"/>
      <c r="HL2051" s="970"/>
      <c r="HM2051" s="970"/>
      <c r="HN2051" s="970"/>
      <c r="HO2051" s="970"/>
      <c r="HP2051" s="970"/>
      <c r="HQ2051" s="970"/>
      <c r="HR2051" s="970"/>
      <c r="HS2051" s="970"/>
      <c r="HT2051" s="970"/>
      <c r="HU2051" s="970"/>
      <c r="HV2051" s="970"/>
      <c r="HW2051" s="970"/>
      <c r="HX2051" s="970"/>
      <c r="HY2051" s="970"/>
      <c r="HZ2051" s="970"/>
      <c r="IA2051" s="970"/>
      <c r="IB2051" s="970"/>
      <c r="IC2051" s="970"/>
      <c r="ID2051" s="970"/>
      <c r="IE2051" s="970"/>
      <c r="IF2051" s="970"/>
      <c r="IG2051" s="970"/>
      <c r="IH2051" s="970"/>
      <c r="II2051" s="970"/>
      <c r="IJ2051" s="970"/>
      <c r="IK2051" s="970"/>
      <c r="IL2051" s="970"/>
      <c r="IM2051" s="970"/>
      <c r="IN2051" s="970"/>
      <c r="IO2051" s="970"/>
    </row>
    <row r="2052" spans="1:249" ht="49.5">
      <c r="A2052" s="102"/>
      <c r="B2052" s="10"/>
      <c r="C2052" s="628">
        <v>4</v>
      </c>
      <c r="D2052" s="628" t="s">
        <v>34</v>
      </c>
      <c r="E2052" s="628" t="s">
        <v>28</v>
      </c>
      <c r="F2052" s="628" t="s">
        <v>25</v>
      </c>
      <c r="G2052" s="628" t="s">
        <v>25</v>
      </c>
      <c r="H2052" s="628" t="s">
        <v>31</v>
      </c>
      <c r="I2052" s="10" t="s">
        <v>32</v>
      </c>
      <c r="J2052" s="10" t="s">
        <v>103</v>
      </c>
      <c r="K2052" s="107">
        <v>72</v>
      </c>
      <c r="L2052" s="238">
        <v>1272150000</v>
      </c>
      <c r="M2052" s="107">
        <v>36</v>
      </c>
      <c r="N2052" s="238">
        <v>212353000</v>
      </c>
      <c r="O2052" s="107">
        <v>12</v>
      </c>
      <c r="P2052" s="238">
        <v>73650719</v>
      </c>
      <c r="Q2052" s="238">
        <v>3</v>
      </c>
      <c r="R2052" s="204">
        <v>0</v>
      </c>
      <c r="S2052" s="107">
        <v>3</v>
      </c>
      <c r="T2052" s="204">
        <v>31225000</v>
      </c>
      <c r="U2052" s="107"/>
      <c r="V2052" s="107"/>
      <c r="W2052" s="107"/>
      <c r="X2052" s="107"/>
      <c r="Y2052" s="107">
        <f t="shared" si="621"/>
        <v>6</v>
      </c>
      <c r="Z2052" s="204">
        <f t="shared" si="618"/>
        <v>31225000</v>
      </c>
      <c r="AA2052" s="107">
        <f t="shared" si="622"/>
        <v>42</v>
      </c>
      <c r="AB2052" s="238">
        <f t="shared" si="623"/>
        <v>243578000</v>
      </c>
      <c r="AC2052" s="109">
        <f t="shared" si="619"/>
        <v>58.333333333333336</v>
      </c>
      <c r="AD2052" s="117">
        <f t="shared" si="620"/>
        <v>19.146955940730258</v>
      </c>
      <c r="AE2052" s="102"/>
      <c r="AF2052" s="200"/>
      <c r="AG2052" s="200"/>
      <c r="AH2052" s="200"/>
      <c r="AI2052" s="1128"/>
      <c r="AJ2052" s="200"/>
      <c r="AK2052" s="1128"/>
      <c r="AL2052" s="200"/>
      <c r="AM2052" s="1128"/>
      <c r="AN2052" s="200"/>
      <c r="AO2052" s="1128"/>
      <c r="AP2052" s="200"/>
      <c r="AQ2052" s="200"/>
      <c r="AR2052" s="200"/>
      <c r="AS2052" s="200"/>
      <c r="AT2052" s="200"/>
      <c r="AU2052" s="200"/>
      <c r="AV2052" s="200"/>
      <c r="AW2052" s="200"/>
      <c r="AX2052" s="200"/>
      <c r="AY2052" s="200"/>
      <c r="AZ2052" s="200"/>
      <c r="BA2052" s="200"/>
      <c r="BB2052" s="200"/>
      <c r="BC2052" s="970"/>
      <c r="BD2052" s="970"/>
      <c r="BE2052" s="970"/>
      <c r="BF2052" s="970"/>
      <c r="BG2052" s="970"/>
      <c r="BH2052" s="970"/>
      <c r="BI2052" s="970"/>
      <c r="BJ2052" s="970"/>
      <c r="BK2052" s="970"/>
      <c r="BL2052" s="970"/>
      <c r="BM2052" s="970"/>
      <c r="BN2052" s="970"/>
      <c r="BO2052" s="970"/>
      <c r="BP2052" s="970"/>
      <c r="BQ2052" s="970"/>
      <c r="BR2052" s="970"/>
      <c r="BS2052" s="970"/>
      <c r="BT2052" s="970"/>
      <c r="BU2052" s="970"/>
      <c r="BV2052" s="970"/>
      <c r="BW2052" s="970"/>
      <c r="BX2052" s="970"/>
      <c r="BY2052" s="970"/>
      <c r="BZ2052" s="970"/>
      <c r="CA2052" s="970"/>
      <c r="CB2052" s="970"/>
      <c r="CC2052" s="970"/>
      <c r="CD2052" s="970"/>
      <c r="CE2052" s="970"/>
      <c r="CF2052" s="970"/>
      <c r="CG2052" s="970"/>
      <c r="CH2052" s="970"/>
      <c r="CI2052" s="970"/>
      <c r="CJ2052" s="970"/>
      <c r="CK2052" s="970"/>
      <c r="CL2052" s="970"/>
      <c r="CM2052" s="970"/>
      <c r="CN2052" s="970"/>
      <c r="CO2052" s="970"/>
      <c r="CP2052" s="970"/>
      <c r="CQ2052" s="970"/>
      <c r="CR2052" s="970"/>
      <c r="CS2052" s="970"/>
      <c r="CT2052" s="970"/>
      <c r="CU2052" s="970"/>
      <c r="CV2052" s="970"/>
      <c r="CW2052" s="970"/>
      <c r="CX2052" s="970"/>
      <c r="CY2052" s="970"/>
      <c r="CZ2052" s="970"/>
      <c r="DA2052" s="970"/>
      <c r="DB2052" s="970"/>
      <c r="DC2052" s="970"/>
      <c r="DD2052" s="970"/>
      <c r="DE2052" s="970"/>
      <c r="DF2052" s="970"/>
      <c r="DG2052" s="970"/>
      <c r="DH2052" s="970"/>
      <c r="DI2052" s="970"/>
      <c r="DJ2052" s="970"/>
      <c r="DK2052" s="970"/>
      <c r="DL2052" s="970"/>
      <c r="DM2052" s="970"/>
      <c r="DN2052" s="970"/>
      <c r="DO2052" s="970"/>
      <c r="DP2052" s="970"/>
      <c r="DQ2052" s="970"/>
      <c r="DR2052" s="970"/>
      <c r="DS2052" s="970"/>
      <c r="DT2052" s="970"/>
      <c r="DU2052" s="970"/>
      <c r="DV2052" s="970"/>
      <c r="DW2052" s="970"/>
      <c r="DX2052" s="970"/>
      <c r="DY2052" s="970"/>
      <c r="DZ2052" s="970"/>
      <c r="EA2052" s="970"/>
      <c r="EB2052" s="970"/>
      <c r="EC2052" s="970"/>
      <c r="ED2052" s="970"/>
      <c r="EE2052" s="970"/>
      <c r="EF2052" s="970"/>
      <c r="EG2052" s="970"/>
      <c r="EH2052" s="970"/>
      <c r="EI2052" s="970"/>
      <c r="EJ2052" s="970"/>
      <c r="EK2052" s="970"/>
      <c r="EL2052" s="970"/>
      <c r="EM2052" s="970"/>
      <c r="EN2052" s="970"/>
      <c r="EO2052" s="970"/>
      <c r="EP2052" s="970"/>
      <c r="EQ2052" s="970"/>
      <c r="ER2052" s="970"/>
      <c r="ES2052" s="970"/>
      <c r="ET2052" s="970"/>
      <c r="EU2052" s="970"/>
      <c r="EV2052" s="970"/>
      <c r="EW2052" s="970"/>
      <c r="EX2052" s="970"/>
      <c r="EY2052" s="970"/>
      <c r="EZ2052" s="970"/>
      <c r="FA2052" s="970"/>
      <c r="FB2052" s="970"/>
      <c r="FC2052" s="970"/>
      <c r="FD2052" s="970"/>
      <c r="FE2052" s="970"/>
      <c r="FF2052" s="970"/>
      <c r="FG2052" s="970"/>
      <c r="FH2052" s="970"/>
      <c r="FI2052" s="970"/>
      <c r="FJ2052" s="970"/>
      <c r="FK2052" s="970"/>
      <c r="FL2052" s="970"/>
      <c r="FM2052" s="970"/>
      <c r="FN2052" s="970"/>
      <c r="FO2052" s="970"/>
      <c r="FP2052" s="970"/>
      <c r="FQ2052" s="970"/>
      <c r="FR2052" s="970"/>
      <c r="FS2052" s="970"/>
      <c r="FT2052" s="970"/>
      <c r="FU2052" s="970"/>
      <c r="FV2052" s="970"/>
      <c r="FW2052" s="970"/>
      <c r="FX2052" s="970"/>
      <c r="FY2052" s="970"/>
      <c r="FZ2052" s="970"/>
      <c r="GA2052" s="970"/>
      <c r="GB2052" s="970"/>
      <c r="GC2052" s="970"/>
      <c r="GD2052" s="970"/>
      <c r="GE2052" s="970"/>
      <c r="GF2052" s="970"/>
      <c r="GG2052" s="970"/>
      <c r="GH2052" s="970"/>
      <c r="GI2052" s="970"/>
      <c r="GJ2052" s="970"/>
      <c r="GK2052" s="970"/>
      <c r="GL2052" s="970"/>
      <c r="GM2052" s="970"/>
      <c r="GN2052" s="970"/>
      <c r="GO2052" s="970"/>
      <c r="GP2052" s="970"/>
      <c r="GQ2052" s="970"/>
      <c r="GR2052" s="970"/>
      <c r="GS2052" s="970"/>
      <c r="GT2052" s="970"/>
      <c r="GU2052" s="970"/>
      <c r="GV2052" s="970"/>
      <c r="GW2052" s="970"/>
      <c r="GX2052" s="970"/>
      <c r="GY2052" s="970"/>
      <c r="GZ2052" s="970"/>
      <c r="HA2052" s="970"/>
      <c r="HB2052" s="970"/>
      <c r="HC2052" s="970"/>
      <c r="HD2052" s="970"/>
      <c r="HE2052" s="970"/>
      <c r="HF2052" s="970"/>
      <c r="HG2052" s="970"/>
      <c r="HH2052" s="970"/>
      <c r="HI2052" s="970"/>
      <c r="HJ2052" s="970"/>
      <c r="HK2052" s="970"/>
      <c r="HL2052" s="970"/>
      <c r="HM2052" s="970"/>
      <c r="HN2052" s="970"/>
      <c r="HO2052" s="970"/>
      <c r="HP2052" s="970"/>
      <c r="HQ2052" s="970"/>
      <c r="HR2052" s="970"/>
      <c r="HS2052" s="970"/>
      <c r="HT2052" s="970"/>
      <c r="HU2052" s="970"/>
      <c r="HV2052" s="970"/>
      <c r="HW2052" s="970"/>
      <c r="HX2052" s="970"/>
      <c r="HY2052" s="970"/>
      <c r="HZ2052" s="970"/>
      <c r="IA2052" s="970"/>
      <c r="IB2052" s="970"/>
      <c r="IC2052" s="970"/>
      <c r="ID2052" s="970"/>
      <c r="IE2052" s="970"/>
      <c r="IF2052" s="970"/>
      <c r="IG2052" s="970"/>
      <c r="IH2052" s="970"/>
      <c r="II2052" s="970"/>
      <c r="IJ2052" s="970"/>
      <c r="IK2052" s="970"/>
      <c r="IL2052" s="970"/>
      <c r="IM2052" s="970"/>
      <c r="IN2052" s="970"/>
      <c r="IO2052" s="970"/>
    </row>
    <row r="2053" spans="1:249" ht="82.5">
      <c r="A2053" s="102"/>
      <c r="B2053" s="10"/>
      <c r="C2053" s="628">
        <v>4</v>
      </c>
      <c r="D2053" s="628" t="s">
        <v>34</v>
      </c>
      <c r="E2053" s="628" t="s">
        <v>28</v>
      </c>
      <c r="F2053" s="628" t="s">
        <v>25</v>
      </c>
      <c r="G2053" s="628" t="s">
        <v>25</v>
      </c>
      <c r="H2053" s="628" t="s">
        <v>62</v>
      </c>
      <c r="I2053" s="10" t="s">
        <v>617</v>
      </c>
      <c r="J2053" s="10" t="s">
        <v>1023</v>
      </c>
      <c r="K2053" s="107">
        <v>72</v>
      </c>
      <c r="L2053" s="238">
        <v>357768000</v>
      </c>
      <c r="M2053" s="107">
        <v>36</v>
      </c>
      <c r="N2053" s="238">
        <v>210856000</v>
      </c>
      <c r="O2053" s="107">
        <v>12</v>
      </c>
      <c r="P2053" s="238">
        <v>17460000</v>
      </c>
      <c r="Q2053" s="238">
        <v>3</v>
      </c>
      <c r="R2053" s="204">
        <v>5258000</v>
      </c>
      <c r="S2053" s="107">
        <v>3</v>
      </c>
      <c r="T2053" s="204">
        <v>4991000</v>
      </c>
      <c r="U2053" s="107"/>
      <c r="V2053" s="107"/>
      <c r="W2053" s="107"/>
      <c r="X2053" s="107"/>
      <c r="Y2053" s="107">
        <f t="shared" si="621"/>
        <v>6</v>
      </c>
      <c r="Z2053" s="204">
        <f t="shared" si="618"/>
        <v>10249000</v>
      </c>
      <c r="AA2053" s="107">
        <f t="shared" si="622"/>
        <v>42</v>
      </c>
      <c r="AB2053" s="238">
        <f t="shared" si="623"/>
        <v>221105000</v>
      </c>
      <c r="AC2053" s="109">
        <f t="shared" si="619"/>
        <v>58.333333333333336</v>
      </c>
      <c r="AD2053" s="117">
        <f t="shared" si="620"/>
        <v>61.801223139017466</v>
      </c>
      <c r="AE2053" s="102"/>
      <c r="AF2053" s="200"/>
      <c r="AG2053" s="200"/>
      <c r="AH2053" s="200"/>
      <c r="AI2053" s="1128"/>
      <c r="AJ2053" s="200"/>
      <c r="AK2053" s="1128"/>
      <c r="AL2053" s="200"/>
      <c r="AM2053" s="1128"/>
      <c r="AN2053" s="200"/>
      <c r="AO2053" s="1128"/>
      <c r="AP2053" s="200"/>
      <c r="AQ2053" s="200"/>
      <c r="AR2053" s="200"/>
      <c r="AS2053" s="200"/>
      <c r="AT2053" s="200"/>
      <c r="AU2053" s="200"/>
      <c r="AV2053" s="200"/>
      <c r="AW2053" s="200"/>
      <c r="AX2053" s="200"/>
      <c r="AY2053" s="200"/>
      <c r="AZ2053" s="200"/>
      <c r="BA2053" s="200"/>
      <c r="BB2053" s="200"/>
      <c r="BC2053" s="970"/>
      <c r="BD2053" s="970"/>
      <c r="BE2053" s="970"/>
      <c r="BF2053" s="970"/>
      <c r="BG2053" s="970"/>
      <c r="BH2053" s="970"/>
      <c r="BI2053" s="970"/>
      <c r="BJ2053" s="970"/>
      <c r="BK2053" s="970"/>
      <c r="BL2053" s="970"/>
      <c r="BM2053" s="970"/>
      <c r="BN2053" s="970"/>
      <c r="BO2053" s="970"/>
      <c r="BP2053" s="970"/>
      <c r="BQ2053" s="970"/>
      <c r="BR2053" s="970"/>
      <c r="BS2053" s="970"/>
      <c r="BT2053" s="970"/>
      <c r="BU2053" s="970"/>
      <c r="BV2053" s="970"/>
      <c r="BW2053" s="970"/>
      <c r="BX2053" s="970"/>
      <c r="BY2053" s="970"/>
      <c r="BZ2053" s="970"/>
      <c r="CA2053" s="970"/>
      <c r="CB2053" s="970"/>
      <c r="CC2053" s="970"/>
      <c r="CD2053" s="970"/>
      <c r="CE2053" s="970"/>
      <c r="CF2053" s="970"/>
      <c r="CG2053" s="970"/>
      <c r="CH2053" s="970"/>
      <c r="CI2053" s="970"/>
      <c r="CJ2053" s="970"/>
      <c r="CK2053" s="970"/>
      <c r="CL2053" s="970"/>
      <c r="CM2053" s="970"/>
      <c r="CN2053" s="970"/>
      <c r="CO2053" s="970"/>
      <c r="CP2053" s="970"/>
      <c r="CQ2053" s="970"/>
      <c r="CR2053" s="970"/>
      <c r="CS2053" s="970"/>
      <c r="CT2053" s="970"/>
      <c r="CU2053" s="970"/>
      <c r="CV2053" s="970"/>
      <c r="CW2053" s="970"/>
      <c r="CX2053" s="970"/>
      <c r="CY2053" s="970"/>
      <c r="CZ2053" s="970"/>
      <c r="DA2053" s="970"/>
      <c r="DB2053" s="970"/>
      <c r="DC2053" s="970"/>
      <c r="DD2053" s="970"/>
      <c r="DE2053" s="970"/>
      <c r="DF2053" s="970"/>
      <c r="DG2053" s="970"/>
      <c r="DH2053" s="970"/>
      <c r="DI2053" s="970"/>
      <c r="DJ2053" s="970"/>
      <c r="DK2053" s="970"/>
      <c r="DL2053" s="970"/>
      <c r="DM2053" s="970"/>
      <c r="DN2053" s="970"/>
      <c r="DO2053" s="970"/>
      <c r="DP2053" s="970"/>
      <c r="DQ2053" s="970"/>
      <c r="DR2053" s="970"/>
      <c r="DS2053" s="970"/>
      <c r="DT2053" s="970"/>
      <c r="DU2053" s="970"/>
      <c r="DV2053" s="970"/>
      <c r="DW2053" s="970"/>
      <c r="DX2053" s="970"/>
      <c r="DY2053" s="970"/>
      <c r="DZ2053" s="970"/>
      <c r="EA2053" s="970"/>
      <c r="EB2053" s="970"/>
      <c r="EC2053" s="970"/>
      <c r="ED2053" s="970"/>
      <c r="EE2053" s="970"/>
      <c r="EF2053" s="970"/>
      <c r="EG2053" s="970"/>
      <c r="EH2053" s="970"/>
      <c r="EI2053" s="970"/>
      <c r="EJ2053" s="970"/>
      <c r="EK2053" s="970"/>
      <c r="EL2053" s="970"/>
      <c r="EM2053" s="970"/>
      <c r="EN2053" s="970"/>
      <c r="EO2053" s="970"/>
      <c r="EP2053" s="970"/>
      <c r="EQ2053" s="970"/>
      <c r="ER2053" s="970"/>
      <c r="ES2053" s="970"/>
      <c r="ET2053" s="970"/>
      <c r="EU2053" s="970"/>
      <c r="EV2053" s="970"/>
      <c r="EW2053" s="970"/>
      <c r="EX2053" s="970"/>
      <c r="EY2053" s="970"/>
      <c r="EZ2053" s="970"/>
      <c r="FA2053" s="970"/>
      <c r="FB2053" s="970"/>
      <c r="FC2053" s="970"/>
      <c r="FD2053" s="970"/>
      <c r="FE2053" s="970"/>
      <c r="FF2053" s="970"/>
      <c r="FG2053" s="970"/>
      <c r="FH2053" s="970"/>
      <c r="FI2053" s="970"/>
      <c r="FJ2053" s="970"/>
      <c r="FK2053" s="970"/>
      <c r="FL2053" s="970"/>
      <c r="FM2053" s="970"/>
      <c r="FN2053" s="970"/>
      <c r="FO2053" s="970"/>
      <c r="FP2053" s="970"/>
      <c r="FQ2053" s="970"/>
      <c r="FR2053" s="970"/>
      <c r="FS2053" s="970"/>
      <c r="FT2053" s="970"/>
      <c r="FU2053" s="970"/>
      <c r="FV2053" s="970"/>
      <c r="FW2053" s="970"/>
      <c r="FX2053" s="970"/>
      <c r="FY2053" s="970"/>
      <c r="FZ2053" s="970"/>
      <c r="GA2053" s="970"/>
      <c r="GB2053" s="970"/>
      <c r="GC2053" s="970"/>
      <c r="GD2053" s="970"/>
      <c r="GE2053" s="970"/>
      <c r="GF2053" s="970"/>
      <c r="GG2053" s="970"/>
      <c r="GH2053" s="970"/>
      <c r="GI2053" s="970"/>
      <c r="GJ2053" s="970"/>
      <c r="GK2053" s="970"/>
      <c r="GL2053" s="970"/>
      <c r="GM2053" s="970"/>
      <c r="GN2053" s="970"/>
      <c r="GO2053" s="970"/>
      <c r="GP2053" s="970"/>
      <c r="GQ2053" s="970"/>
      <c r="GR2053" s="970"/>
      <c r="GS2053" s="970"/>
      <c r="GT2053" s="970"/>
      <c r="GU2053" s="970"/>
      <c r="GV2053" s="970"/>
      <c r="GW2053" s="970"/>
      <c r="GX2053" s="970"/>
      <c r="GY2053" s="970"/>
      <c r="GZ2053" s="970"/>
      <c r="HA2053" s="970"/>
      <c r="HB2053" s="970"/>
      <c r="HC2053" s="970"/>
      <c r="HD2053" s="970"/>
      <c r="HE2053" s="970"/>
      <c r="HF2053" s="970"/>
      <c r="HG2053" s="970"/>
      <c r="HH2053" s="970"/>
      <c r="HI2053" s="970"/>
      <c r="HJ2053" s="970"/>
      <c r="HK2053" s="970"/>
      <c r="HL2053" s="970"/>
      <c r="HM2053" s="970"/>
      <c r="HN2053" s="970"/>
      <c r="HO2053" s="970"/>
      <c r="HP2053" s="970"/>
      <c r="HQ2053" s="970"/>
      <c r="HR2053" s="970"/>
      <c r="HS2053" s="970"/>
      <c r="HT2053" s="970"/>
      <c r="HU2053" s="970"/>
      <c r="HV2053" s="970"/>
      <c r="HW2053" s="970"/>
      <c r="HX2053" s="970"/>
      <c r="HY2053" s="970"/>
      <c r="HZ2053" s="970"/>
      <c r="IA2053" s="970"/>
      <c r="IB2053" s="970"/>
      <c r="IC2053" s="970"/>
      <c r="ID2053" s="970"/>
      <c r="IE2053" s="970"/>
      <c r="IF2053" s="970"/>
      <c r="IG2053" s="970"/>
      <c r="IH2053" s="970"/>
      <c r="II2053" s="970"/>
      <c r="IJ2053" s="970"/>
      <c r="IK2053" s="970"/>
      <c r="IL2053" s="970"/>
      <c r="IM2053" s="970"/>
      <c r="IN2053" s="970"/>
      <c r="IO2053" s="970"/>
    </row>
    <row r="2054" spans="1:249" ht="82.5">
      <c r="A2054" s="102"/>
      <c r="B2054" s="10"/>
      <c r="C2054" s="628">
        <v>4</v>
      </c>
      <c r="D2054" s="628" t="s">
        <v>34</v>
      </c>
      <c r="E2054" s="628" t="s">
        <v>28</v>
      </c>
      <c r="F2054" s="628" t="s">
        <v>25</v>
      </c>
      <c r="G2054" s="628" t="s">
        <v>25</v>
      </c>
      <c r="H2054" s="628" t="s">
        <v>52</v>
      </c>
      <c r="I2054" s="10" t="s">
        <v>618</v>
      </c>
      <c r="J2054" s="10" t="s">
        <v>1024</v>
      </c>
      <c r="K2054" s="107">
        <v>72</v>
      </c>
      <c r="L2054" s="238">
        <v>349598000</v>
      </c>
      <c r="M2054" s="107">
        <v>36</v>
      </c>
      <c r="N2054" s="238">
        <v>211220000</v>
      </c>
      <c r="O2054" s="107">
        <v>12</v>
      </c>
      <c r="P2054" s="238">
        <v>44200000</v>
      </c>
      <c r="Q2054" s="238">
        <v>3</v>
      </c>
      <c r="R2054" s="204">
        <v>0</v>
      </c>
      <c r="S2054" s="107">
        <v>3</v>
      </c>
      <c r="T2054" s="204">
        <v>30979000</v>
      </c>
      <c r="U2054" s="107"/>
      <c r="V2054" s="107"/>
      <c r="W2054" s="107"/>
      <c r="X2054" s="107"/>
      <c r="Y2054" s="107">
        <f t="shared" si="621"/>
        <v>6</v>
      </c>
      <c r="Z2054" s="204">
        <f t="shared" si="618"/>
        <v>30979000</v>
      </c>
      <c r="AA2054" s="107">
        <f t="shared" si="622"/>
        <v>42</v>
      </c>
      <c r="AB2054" s="238">
        <f t="shared" si="623"/>
        <v>242199000</v>
      </c>
      <c r="AC2054" s="109">
        <f t="shared" si="619"/>
        <v>58.333333333333336</v>
      </c>
      <c r="AD2054" s="117">
        <f t="shared" si="620"/>
        <v>69.279286494773999</v>
      </c>
      <c r="AE2054" s="102"/>
      <c r="AF2054" s="200"/>
      <c r="AG2054" s="200"/>
      <c r="AH2054" s="200"/>
      <c r="AI2054" s="1128"/>
      <c r="AJ2054" s="200"/>
      <c r="AK2054" s="1128"/>
      <c r="AL2054" s="200"/>
      <c r="AM2054" s="1128"/>
      <c r="AN2054" s="200"/>
      <c r="AO2054" s="1128"/>
      <c r="AP2054" s="200"/>
      <c r="AQ2054" s="200"/>
      <c r="AR2054" s="200"/>
      <c r="AS2054" s="200"/>
      <c r="AT2054" s="200"/>
      <c r="AU2054" s="200"/>
      <c r="AV2054" s="200"/>
      <c r="AW2054" s="200"/>
      <c r="AX2054" s="200"/>
      <c r="AY2054" s="200"/>
      <c r="AZ2054" s="200"/>
      <c r="BA2054" s="200"/>
      <c r="BB2054" s="200"/>
      <c r="BC2054" s="970"/>
      <c r="BD2054" s="970"/>
      <c r="BE2054" s="970"/>
      <c r="BF2054" s="970"/>
      <c r="BG2054" s="970"/>
      <c r="BH2054" s="970"/>
      <c r="BI2054" s="970"/>
      <c r="BJ2054" s="970"/>
      <c r="BK2054" s="970"/>
      <c r="BL2054" s="970"/>
      <c r="BM2054" s="970"/>
      <c r="BN2054" s="970"/>
      <c r="BO2054" s="970"/>
      <c r="BP2054" s="970"/>
      <c r="BQ2054" s="970"/>
      <c r="BR2054" s="970"/>
      <c r="BS2054" s="970"/>
      <c r="BT2054" s="970"/>
      <c r="BU2054" s="970"/>
      <c r="BV2054" s="970"/>
      <c r="BW2054" s="970"/>
      <c r="BX2054" s="970"/>
      <c r="BY2054" s="970"/>
      <c r="BZ2054" s="970"/>
      <c r="CA2054" s="970"/>
      <c r="CB2054" s="970"/>
      <c r="CC2054" s="970"/>
      <c r="CD2054" s="970"/>
      <c r="CE2054" s="970"/>
      <c r="CF2054" s="970"/>
      <c r="CG2054" s="970"/>
      <c r="CH2054" s="970"/>
      <c r="CI2054" s="970"/>
      <c r="CJ2054" s="970"/>
      <c r="CK2054" s="970"/>
      <c r="CL2054" s="970"/>
      <c r="CM2054" s="970"/>
      <c r="CN2054" s="970"/>
      <c r="CO2054" s="970"/>
      <c r="CP2054" s="970"/>
      <c r="CQ2054" s="970"/>
      <c r="CR2054" s="970"/>
      <c r="CS2054" s="970"/>
      <c r="CT2054" s="970"/>
      <c r="CU2054" s="970"/>
      <c r="CV2054" s="970"/>
      <c r="CW2054" s="970"/>
      <c r="CX2054" s="970"/>
      <c r="CY2054" s="970"/>
      <c r="CZ2054" s="970"/>
      <c r="DA2054" s="970"/>
      <c r="DB2054" s="970"/>
      <c r="DC2054" s="970"/>
      <c r="DD2054" s="970"/>
      <c r="DE2054" s="970"/>
      <c r="DF2054" s="970"/>
      <c r="DG2054" s="970"/>
      <c r="DH2054" s="970"/>
      <c r="DI2054" s="970"/>
      <c r="DJ2054" s="970"/>
      <c r="DK2054" s="970"/>
      <c r="DL2054" s="970"/>
      <c r="DM2054" s="970"/>
      <c r="DN2054" s="970"/>
      <c r="DO2054" s="970"/>
      <c r="DP2054" s="970"/>
      <c r="DQ2054" s="970"/>
      <c r="DR2054" s="970"/>
      <c r="DS2054" s="970"/>
      <c r="DT2054" s="970"/>
      <c r="DU2054" s="970"/>
      <c r="DV2054" s="970"/>
      <c r="DW2054" s="970"/>
      <c r="DX2054" s="970"/>
      <c r="DY2054" s="970"/>
      <c r="DZ2054" s="970"/>
      <c r="EA2054" s="970"/>
      <c r="EB2054" s="970"/>
      <c r="EC2054" s="970"/>
      <c r="ED2054" s="970"/>
      <c r="EE2054" s="970"/>
      <c r="EF2054" s="970"/>
      <c r="EG2054" s="970"/>
      <c r="EH2054" s="970"/>
      <c r="EI2054" s="970"/>
      <c r="EJ2054" s="970"/>
      <c r="EK2054" s="970"/>
      <c r="EL2054" s="970"/>
      <c r="EM2054" s="970"/>
      <c r="EN2054" s="970"/>
      <c r="EO2054" s="970"/>
      <c r="EP2054" s="970"/>
      <c r="EQ2054" s="970"/>
      <c r="ER2054" s="970"/>
      <c r="ES2054" s="970"/>
      <c r="ET2054" s="970"/>
      <c r="EU2054" s="970"/>
      <c r="EV2054" s="970"/>
      <c r="EW2054" s="970"/>
      <c r="EX2054" s="970"/>
      <c r="EY2054" s="970"/>
      <c r="EZ2054" s="970"/>
      <c r="FA2054" s="970"/>
      <c r="FB2054" s="970"/>
      <c r="FC2054" s="970"/>
      <c r="FD2054" s="970"/>
      <c r="FE2054" s="970"/>
      <c r="FF2054" s="970"/>
      <c r="FG2054" s="970"/>
      <c r="FH2054" s="970"/>
      <c r="FI2054" s="970"/>
      <c r="FJ2054" s="970"/>
      <c r="FK2054" s="970"/>
      <c r="FL2054" s="970"/>
      <c r="FM2054" s="970"/>
      <c r="FN2054" s="970"/>
      <c r="FO2054" s="970"/>
      <c r="FP2054" s="970"/>
      <c r="FQ2054" s="970"/>
      <c r="FR2054" s="970"/>
      <c r="FS2054" s="970"/>
      <c r="FT2054" s="970"/>
      <c r="FU2054" s="970"/>
      <c r="FV2054" s="970"/>
      <c r="FW2054" s="970"/>
      <c r="FX2054" s="970"/>
      <c r="FY2054" s="970"/>
      <c r="FZ2054" s="970"/>
      <c r="GA2054" s="970"/>
      <c r="GB2054" s="970"/>
      <c r="GC2054" s="970"/>
      <c r="GD2054" s="970"/>
      <c r="GE2054" s="970"/>
      <c r="GF2054" s="970"/>
      <c r="GG2054" s="970"/>
      <c r="GH2054" s="970"/>
      <c r="GI2054" s="970"/>
      <c r="GJ2054" s="970"/>
      <c r="GK2054" s="970"/>
      <c r="GL2054" s="970"/>
      <c r="GM2054" s="970"/>
      <c r="GN2054" s="970"/>
      <c r="GO2054" s="970"/>
      <c r="GP2054" s="970"/>
      <c r="GQ2054" s="970"/>
      <c r="GR2054" s="970"/>
      <c r="GS2054" s="970"/>
      <c r="GT2054" s="970"/>
      <c r="GU2054" s="970"/>
      <c r="GV2054" s="970"/>
      <c r="GW2054" s="970"/>
      <c r="GX2054" s="970"/>
      <c r="GY2054" s="970"/>
      <c r="GZ2054" s="970"/>
      <c r="HA2054" s="970"/>
      <c r="HB2054" s="970"/>
      <c r="HC2054" s="970"/>
      <c r="HD2054" s="970"/>
      <c r="HE2054" s="970"/>
      <c r="HF2054" s="970"/>
      <c r="HG2054" s="970"/>
      <c r="HH2054" s="970"/>
      <c r="HI2054" s="970"/>
      <c r="HJ2054" s="970"/>
      <c r="HK2054" s="970"/>
      <c r="HL2054" s="970"/>
      <c r="HM2054" s="970"/>
      <c r="HN2054" s="970"/>
      <c r="HO2054" s="970"/>
      <c r="HP2054" s="970"/>
      <c r="HQ2054" s="970"/>
      <c r="HR2054" s="970"/>
      <c r="HS2054" s="970"/>
      <c r="HT2054" s="970"/>
      <c r="HU2054" s="970"/>
      <c r="HV2054" s="970"/>
      <c r="HW2054" s="970"/>
      <c r="HX2054" s="970"/>
      <c r="HY2054" s="970"/>
      <c r="HZ2054" s="970"/>
      <c r="IA2054" s="970"/>
      <c r="IB2054" s="970"/>
      <c r="IC2054" s="970"/>
      <c r="ID2054" s="970"/>
      <c r="IE2054" s="970"/>
      <c r="IF2054" s="970"/>
      <c r="IG2054" s="970"/>
      <c r="IH2054" s="970"/>
      <c r="II2054" s="970"/>
      <c r="IJ2054" s="970"/>
      <c r="IK2054" s="970"/>
      <c r="IL2054" s="970"/>
      <c r="IM2054" s="970"/>
      <c r="IN2054" s="970"/>
      <c r="IO2054" s="970"/>
    </row>
    <row r="2055" spans="1:249" ht="82.5">
      <c r="A2055" s="102"/>
      <c r="B2055" s="10"/>
      <c r="C2055" s="628">
        <v>4</v>
      </c>
      <c r="D2055" s="628" t="s">
        <v>34</v>
      </c>
      <c r="E2055" s="628" t="s">
        <v>28</v>
      </c>
      <c r="F2055" s="628" t="s">
        <v>25</v>
      </c>
      <c r="G2055" s="628" t="s">
        <v>25</v>
      </c>
      <c r="H2055" s="628" t="s">
        <v>45</v>
      </c>
      <c r="I2055" s="10" t="s">
        <v>619</v>
      </c>
      <c r="J2055" s="10" t="s">
        <v>1026</v>
      </c>
      <c r="K2055" s="107">
        <v>72</v>
      </c>
      <c r="L2055" s="238">
        <f>2*N2055</f>
        <v>1332430000</v>
      </c>
      <c r="M2055" s="107">
        <v>36</v>
      </c>
      <c r="N2055" s="238">
        <v>666215000</v>
      </c>
      <c r="O2055" s="107">
        <v>12</v>
      </c>
      <c r="P2055" s="238">
        <v>156000000</v>
      </c>
      <c r="Q2055" s="238">
        <v>3</v>
      </c>
      <c r="R2055" s="204">
        <v>5925000</v>
      </c>
      <c r="S2055" s="107">
        <v>3</v>
      </c>
      <c r="T2055" s="204">
        <v>29880000</v>
      </c>
      <c r="U2055" s="107"/>
      <c r="V2055" s="107"/>
      <c r="W2055" s="107"/>
      <c r="X2055" s="107"/>
      <c r="Y2055" s="107">
        <f t="shared" si="621"/>
        <v>6</v>
      </c>
      <c r="Z2055" s="204">
        <f t="shared" si="618"/>
        <v>35805000</v>
      </c>
      <c r="AA2055" s="107">
        <f t="shared" si="622"/>
        <v>42</v>
      </c>
      <c r="AB2055" s="238">
        <f t="shared" si="623"/>
        <v>702020000</v>
      </c>
      <c r="AC2055" s="109">
        <f t="shared" si="619"/>
        <v>58.333333333333336</v>
      </c>
      <c r="AD2055" s="117">
        <f t="shared" si="620"/>
        <v>52.687195575002065</v>
      </c>
      <c r="AE2055" s="102"/>
      <c r="AF2055" s="200"/>
      <c r="AG2055" s="200"/>
      <c r="AH2055" s="200"/>
      <c r="AI2055" s="1128"/>
      <c r="AJ2055" s="200"/>
      <c r="AK2055" s="1128"/>
      <c r="AL2055" s="200"/>
      <c r="AM2055" s="1128"/>
      <c r="AN2055" s="200"/>
      <c r="AO2055" s="1128"/>
      <c r="AP2055" s="200"/>
      <c r="AQ2055" s="200"/>
      <c r="AR2055" s="200"/>
      <c r="AS2055" s="200"/>
      <c r="AT2055" s="200"/>
      <c r="AU2055" s="200"/>
      <c r="AV2055" s="200"/>
      <c r="AW2055" s="200"/>
      <c r="AX2055" s="200"/>
      <c r="AY2055" s="200"/>
      <c r="AZ2055" s="200"/>
      <c r="BA2055" s="200"/>
      <c r="BB2055" s="200"/>
      <c r="BC2055" s="970"/>
      <c r="BD2055" s="970"/>
      <c r="BE2055" s="970"/>
      <c r="BF2055" s="970"/>
      <c r="BG2055" s="970"/>
      <c r="BH2055" s="970"/>
      <c r="BI2055" s="970"/>
      <c r="BJ2055" s="970"/>
      <c r="BK2055" s="970"/>
      <c r="BL2055" s="970"/>
      <c r="BM2055" s="970"/>
      <c r="BN2055" s="970"/>
      <c r="BO2055" s="970"/>
      <c r="BP2055" s="970"/>
      <c r="BQ2055" s="970"/>
      <c r="BR2055" s="970"/>
      <c r="BS2055" s="970"/>
      <c r="BT2055" s="970"/>
      <c r="BU2055" s="970"/>
      <c r="BV2055" s="970"/>
      <c r="BW2055" s="970"/>
      <c r="BX2055" s="970"/>
      <c r="BY2055" s="970"/>
      <c r="BZ2055" s="970"/>
      <c r="CA2055" s="970"/>
      <c r="CB2055" s="970"/>
      <c r="CC2055" s="970"/>
      <c r="CD2055" s="970"/>
      <c r="CE2055" s="970"/>
      <c r="CF2055" s="970"/>
      <c r="CG2055" s="970"/>
      <c r="CH2055" s="970"/>
      <c r="CI2055" s="970"/>
      <c r="CJ2055" s="970"/>
      <c r="CK2055" s="970"/>
      <c r="CL2055" s="970"/>
      <c r="CM2055" s="970"/>
      <c r="CN2055" s="970"/>
      <c r="CO2055" s="970"/>
      <c r="CP2055" s="970"/>
      <c r="CQ2055" s="970"/>
      <c r="CR2055" s="970"/>
      <c r="CS2055" s="970"/>
      <c r="CT2055" s="970"/>
      <c r="CU2055" s="970"/>
      <c r="CV2055" s="970"/>
      <c r="CW2055" s="970"/>
      <c r="CX2055" s="970"/>
      <c r="CY2055" s="970"/>
      <c r="CZ2055" s="970"/>
      <c r="DA2055" s="970"/>
      <c r="DB2055" s="970"/>
      <c r="DC2055" s="970"/>
      <c r="DD2055" s="970"/>
      <c r="DE2055" s="970"/>
      <c r="DF2055" s="970"/>
      <c r="DG2055" s="970"/>
      <c r="DH2055" s="970"/>
      <c r="DI2055" s="970"/>
      <c r="DJ2055" s="970"/>
      <c r="DK2055" s="970"/>
      <c r="DL2055" s="970"/>
      <c r="DM2055" s="970"/>
      <c r="DN2055" s="970"/>
      <c r="DO2055" s="970"/>
      <c r="DP2055" s="970"/>
      <c r="DQ2055" s="970"/>
      <c r="DR2055" s="970"/>
      <c r="DS2055" s="970"/>
      <c r="DT2055" s="970"/>
      <c r="DU2055" s="970"/>
      <c r="DV2055" s="970"/>
      <c r="DW2055" s="970"/>
      <c r="DX2055" s="970"/>
      <c r="DY2055" s="970"/>
      <c r="DZ2055" s="970"/>
      <c r="EA2055" s="970"/>
      <c r="EB2055" s="970"/>
      <c r="EC2055" s="970"/>
      <c r="ED2055" s="970"/>
      <c r="EE2055" s="970"/>
      <c r="EF2055" s="970"/>
      <c r="EG2055" s="970"/>
      <c r="EH2055" s="970"/>
      <c r="EI2055" s="970"/>
      <c r="EJ2055" s="970"/>
      <c r="EK2055" s="970"/>
      <c r="EL2055" s="970"/>
      <c r="EM2055" s="970"/>
      <c r="EN2055" s="970"/>
      <c r="EO2055" s="970"/>
      <c r="EP2055" s="970"/>
      <c r="EQ2055" s="970"/>
      <c r="ER2055" s="970"/>
      <c r="ES2055" s="970"/>
      <c r="ET2055" s="970"/>
      <c r="EU2055" s="970"/>
      <c r="EV2055" s="970"/>
      <c r="EW2055" s="970"/>
      <c r="EX2055" s="970"/>
      <c r="EY2055" s="970"/>
      <c r="EZ2055" s="970"/>
      <c r="FA2055" s="970"/>
      <c r="FB2055" s="970"/>
      <c r="FC2055" s="970"/>
      <c r="FD2055" s="970"/>
      <c r="FE2055" s="970"/>
      <c r="FF2055" s="970"/>
      <c r="FG2055" s="970"/>
      <c r="FH2055" s="970"/>
      <c r="FI2055" s="970"/>
      <c r="FJ2055" s="970"/>
      <c r="FK2055" s="970"/>
      <c r="FL2055" s="970"/>
      <c r="FM2055" s="970"/>
      <c r="FN2055" s="970"/>
      <c r="FO2055" s="970"/>
      <c r="FP2055" s="970"/>
      <c r="FQ2055" s="970"/>
      <c r="FR2055" s="970"/>
      <c r="FS2055" s="970"/>
      <c r="FT2055" s="970"/>
      <c r="FU2055" s="970"/>
      <c r="FV2055" s="970"/>
      <c r="FW2055" s="970"/>
      <c r="FX2055" s="970"/>
      <c r="FY2055" s="970"/>
      <c r="FZ2055" s="970"/>
      <c r="GA2055" s="970"/>
      <c r="GB2055" s="970"/>
      <c r="GC2055" s="970"/>
      <c r="GD2055" s="970"/>
      <c r="GE2055" s="970"/>
      <c r="GF2055" s="970"/>
      <c r="GG2055" s="970"/>
      <c r="GH2055" s="970"/>
      <c r="GI2055" s="970"/>
      <c r="GJ2055" s="970"/>
      <c r="GK2055" s="970"/>
      <c r="GL2055" s="970"/>
      <c r="GM2055" s="970"/>
      <c r="GN2055" s="970"/>
      <c r="GO2055" s="970"/>
      <c r="GP2055" s="970"/>
      <c r="GQ2055" s="970"/>
      <c r="GR2055" s="970"/>
      <c r="GS2055" s="970"/>
      <c r="GT2055" s="970"/>
      <c r="GU2055" s="970"/>
      <c r="GV2055" s="970"/>
      <c r="GW2055" s="970"/>
      <c r="GX2055" s="970"/>
      <c r="GY2055" s="970"/>
      <c r="GZ2055" s="970"/>
      <c r="HA2055" s="970"/>
      <c r="HB2055" s="970"/>
      <c r="HC2055" s="970"/>
      <c r="HD2055" s="970"/>
      <c r="HE2055" s="970"/>
      <c r="HF2055" s="970"/>
      <c r="HG2055" s="970"/>
      <c r="HH2055" s="970"/>
      <c r="HI2055" s="970"/>
      <c r="HJ2055" s="970"/>
      <c r="HK2055" s="970"/>
      <c r="HL2055" s="970"/>
      <c r="HM2055" s="970"/>
      <c r="HN2055" s="970"/>
      <c r="HO2055" s="970"/>
      <c r="HP2055" s="970"/>
      <c r="HQ2055" s="970"/>
      <c r="HR2055" s="970"/>
      <c r="HS2055" s="970"/>
      <c r="HT2055" s="970"/>
      <c r="HU2055" s="970"/>
      <c r="HV2055" s="970"/>
      <c r="HW2055" s="970"/>
      <c r="HX2055" s="970"/>
      <c r="HY2055" s="970"/>
      <c r="HZ2055" s="970"/>
      <c r="IA2055" s="970"/>
      <c r="IB2055" s="970"/>
      <c r="IC2055" s="970"/>
      <c r="ID2055" s="970"/>
      <c r="IE2055" s="970"/>
      <c r="IF2055" s="970"/>
      <c r="IG2055" s="970"/>
      <c r="IH2055" s="970"/>
      <c r="II2055" s="970"/>
      <c r="IJ2055" s="970"/>
      <c r="IK2055" s="970"/>
      <c r="IL2055" s="970"/>
      <c r="IM2055" s="970"/>
      <c r="IN2055" s="970"/>
      <c r="IO2055" s="970"/>
    </row>
    <row r="2056" spans="1:249" s="1288" customFormat="1" ht="49.5">
      <c r="A2056" s="102"/>
      <c r="B2056" s="10"/>
      <c r="C2056" s="628">
        <v>4</v>
      </c>
      <c r="D2056" s="628" t="s">
        <v>34</v>
      </c>
      <c r="E2056" s="628" t="s">
        <v>28</v>
      </c>
      <c r="F2056" s="628" t="s">
        <v>25</v>
      </c>
      <c r="G2056" s="628" t="s">
        <v>25</v>
      </c>
      <c r="H2056" s="628" t="s">
        <v>74</v>
      </c>
      <c r="I2056" s="10" t="s">
        <v>620</v>
      </c>
      <c r="J2056" s="10" t="s">
        <v>1027</v>
      </c>
      <c r="K2056" s="107">
        <v>72</v>
      </c>
      <c r="L2056" s="238">
        <v>1321000000</v>
      </c>
      <c r="M2056" s="107">
        <v>36</v>
      </c>
      <c r="N2056" s="238">
        <v>1456591000</v>
      </c>
      <c r="O2056" s="107">
        <v>12</v>
      </c>
      <c r="P2056" s="238">
        <v>378800000</v>
      </c>
      <c r="Q2056" s="238">
        <v>3</v>
      </c>
      <c r="R2056" s="204">
        <v>4000000</v>
      </c>
      <c r="S2056" s="107">
        <v>3</v>
      </c>
      <c r="T2056" s="204">
        <v>48106000</v>
      </c>
      <c r="U2056" s="107"/>
      <c r="V2056" s="107"/>
      <c r="W2056" s="107"/>
      <c r="X2056" s="107"/>
      <c r="Y2056" s="107">
        <f t="shared" si="621"/>
        <v>6</v>
      </c>
      <c r="Z2056" s="204">
        <f t="shared" si="618"/>
        <v>52106000</v>
      </c>
      <c r="AA2056" s="107">
        <f t="shared" si="622"/>
        <v>42</v>
      </c>
      <c r="AB2056" s="238">
        <f t="shared" si="623"/>
        <v>1508697000</v>
      </c>
      <c r="AC2056" s="109">
        <f t="shared" si="619"/>
        <v>58.333333333333336</v>
      </c>
      <c r="AD2056" s="117">
        <f t="shared" si="620"/>
        <v>114.20870552611657</v>
      </c>
      <c r="AE2056" s="102"/>
      <c r="AF2056" s="200"/>
      <c r="AG2056" s="200"/>
      <c r="AH2056" s="200"/>
      <c r="AI2056" s="1128"/>
      <c r="AJ2056" s="200"/>
      <c r="AK2056" s="1128"/>
      <c r="AL2056" s="200"/>
      <c r="AM2056" s="1128"/>
      <c r="AN2056" s="200"/>
      <c r="AO2056" s="1128"/>
      <c r="AP2056" s="200"/>
      <c r="AQ2056" s="200"/>
      <c r="AR2056" s="200"/>
      <c r="AS2056" s="200"/>
      <c r="AT2056" s="200"/>
      <c r="AU2056" s="200"/>
      <c r="AV2056" s="200"/>
      <c r="AW2056" s="200"/>
      <c r="AX2056" s="200"/>
      <c r="AY2056" s="200"/>
      <c r="AZ2056" s="200"/>
      <c r="BA2056" s="200"/>
      <c r="BB2056" s="200"/>
      <c r="BC2056" s="970"/>
      <c r="BD2056" s="970"/>
      <c r="BE2056" s="970"/>
      <c r="BF2056" s="970"/>
      <c r="BG2056" s="970"/>
      <c r="BH2056" s="970"/>
      <c r="BI2056" s="970"/>
      <c r="BJ2056" s="970"/>
      <c r="BK2056" s="970"/>
      <c r="BL2056" s="970"/>
      <c r="BM2056" s="970"/>
      <c r="BN2056" s="970"/>
      <c r="BO2056" s="970"/>
      <c r="BP2056" s="970"/>
      <c r="BQ2056" s="970"/>
      <c r="BR2056" s="970"/>
      <c r="BS2056" s="970"/>
      <c r="BT2056" s="970"/>
      <c r="BU2056" s="970"/>
      <c r="BV2056" s="970"/>
      <c r="BW2056" s="970"/>
      <c r="BX2056" s="970"/>
      <c r="BY2056" s="970"/>
      <c r="BZ2056" s="970"/>
      <c r="CA2056" s="970"/>
      <c r="CB2056" s="970"/>
      <c r="CC2056" s="970"/>
      <c r="CD2056" s="970"/>
      <c r="CE2056" s="970"/>
      <c r="CF2056" s="970"/>
      <c r="CG2056" s="970"/>
      <c r="CH2056" s="970"/>
      <c r="CI2056" s="970"/>
      <c r="CJ2056" s="970"/>
      <c r="CK2056" s="970"/>
      <c r="CL2056" s="970"/>
      <c r="CM2056" s="970"/>
      <c r="CN2056" s="970"/>
      <c r="CO2056" s="970"/>
      <c r="CP2056" s="970"/>
      <c r="CQ2056" s="970"/>
      <c r="CR2056" s="970"/>
      <c r="CS2056" s="970"/>
      <c r="CT2056" s="970"/>
      <c r="CU2056" s="970"/>
      <c r="CV2056" s="970"/>
      <c r="CW2056" s="970"/>
      <c r="CX2056" s="970"/>
      <c r="CY2056" s="970"/>
      <c r="CZ2056" s="970"/>
      <c r="DA2056" s="970"/>
      <c r="DB2056" s="970"/>
      <c r="DC2056" s="970"/>
      <c r="DD2056" s="970"/>
      <c r="DE2056" s="970"/>
      <c r="DF2056" s="970"/>
      <c r="DG2056" s="970"/>
      <c r="DH2056" s="970"/>
      <c r="DI2056" s="970"/>
      <c r="DJ2056" s="970"/>
      <c r="DK2056" s="970"/>
      <c r="DL2056" s="970"/>
      <c r="DM2056" s="970"/>
      <c r="DN2056" s="970"/>
      <c r="DO2056" s="970"/>
      <c r="DP2056" s="970"/>
      <c r="DQ2056" s="970"/>
      <c r="DR2056" s="970"/>
      <c r="DS2056" s="970"/>
      <c r="DT2056" s="970"/>
      <c r="DU2056" s="970"/>
      <c r="DV2056" s="970"/>
      <c r="DW2056" s="970"/>
      <c r="DX2056" s="970"/>
      <c r="DY2056" s="970"/>
      <c r="DZ2056" s="970"/>
      <c r="EA2056" s="970"/>
      <c r="EB2056" s="970"/>
      <c r="EC2056" s="970"/>
      <c r="ED2056" s="970"/>
      <c r="EE2056" s="970"/>
      <c r="EF2056" s="970"/>
      <c r="EG2056" s="970"/>
      <c r="EH2056" s="970"/>
      <c r="EI2056" s="970"/>
      <c r="EJ2056" s="970"/>
      <c r="EK2056" s="970"/>
      <c r="EL2056" s="970"/>
      <c r="EM2056" s="970"/>
      <c r="EN2056" s="970"/>
      <c r="EO2056" s="970"/>
      <c r="EP2056" s="970"/>
      <c r="EQ2056" s="970"/>
      <c r="ER2056" s="970"/>
      <c r="ES2056" s="970"/>
      <c r="ET2056" s="970"/>
      <c r="EU2056" s="970"/>
      <c r="EV2056" s="970"/>
      <c r="EW2056" s="970"/>
      <c r="EX2056" s="970"/>
      <c r="EY2056" s="970"/>
      <c r="EZ2056" s="970"/>
      <c r="FA2056" s="970"/>
      <c r="FB2056" s="970"/>
      <c r="FC2056" s="970"/>
      <c r="FD2056" s="970"/>
      <c r="FE2056" s="970"/>
      <c r="FF2056" s="970"/>
      <c r="FG2056" s="970"/>
      <c r="FH2056" s="970"/>
      <c r="FI2056" s="970"/>
      <c r="FJ2056" s="970"/>
      <c r="FK2056" s="970"/>
      <c r="FL2056" s="970"/>
      <c r="FM2056" s="970"/>
      <c r="FN2056" s="970"/>
      <c r="FO2056" s="970"/>
      <c r="FP2056" s="970"/>
      <c r="FQ2056" s="970"/>
      <c r="FR2056" s="970"/>
      <c r="FS2056" s="970"/>
      <c r="FT2056" s="970"/>
      <c r="FU2056" s="970"/>
      <c r="FV2056" s="970"/>
      <c r="FW2056" s="970"/>
      <c r="FX2056" s="970"/>
      <c r="FY2056" s="970"/>
      <c r="FZ2056" s="970"/>
      <c r="GA2056" s="970"/>
      <c r="GB2056" s="970"/>
      <c r="GC2056" s="970"/>
      <c r="GD2056" s="970"/>
      <c r="GE2056" s="970"/>
      <c r="GF2056" s="970"/>
      <c r="GG2056" s="970"/>
      <c r="GH2056" s="970"/>
      <c r="GI2056" s="970"/>
      <c r="GJ2056" s="970"/>
      <c r="GK2056" s="970"/>
      <c r="GL2056" s="970"/>
      <c r="GM2056" s="970"/>
      <c r="GN2056" s="970"/>
      <c r="GO2056" s="970"/>
      <c r="GP2056" s="970"/>
      <c r="GQ2056" s="970"/>
      <c r="GR2056" s="970"/>
      <c r="GS2056" s="970"/>
      <c r="GT2056" s="970"/>
      <c r="GU2056" s="970"/>
      <c r="GV2056" s="970"/>
      <c r="GW2056" s="970"/>
      <c r="GX2056" s="970"/>
      <c r="GY2056" s="970"/>
      <c r="GZ2056" s="970"/>
      <c r="HA2056" s="970"/>
      <c r="HB2056" s="970"/>
      <c r="HC2056" s="970"/>
      <c r="HD2056" s="970"/>
      <c r="HE2056" s="970"/>
      <c r="HF2056" s="970"/>
      <c r="HG2056" s="970"/>
      <c r="HH2056" s="970"/>
      <c r="HI2056" s="970"/>
      <c r="HJ2056" s="970"/>
      <c r="HK2056" s="970"/>
      <c r="HL2056" s="970"/>
      <c r="HM2056" s="970"/>
      <c r="HN2056" s="970"/>
      <c r="HO2056" s="970"/>
      <c r="HP2056" s="970"/>
      <c r="HQ2056" s="970"/>
      <c r="HR2056" s="970"/>
      <c r="HS2056" s="970"/>
      <c r="HT2056" s="970"/>
      <c r="HU2056" s="970"/>
      <c r="HV2056" s="970"/>
      <c r="HW2056" s="970"/>
      <c r="HX2056" s="970"/>
      <c r="HY2056" s="970"/>
      <c r="HZ2056" s="970"/>
      <c r="IA2056" s="970"/>
      <c r="IB2056" s="970"/>
      <c r="IC2056" s="970"/>
      <c r="ID2056" s="970"/>
      <c r="IE2056" s="970"/>
      <c r="IF2056" s="970"/>
      <c r="IG2056" s="970"/>
      <c r="IH2056" s="970"/>
      <c r="II2056" s="970"/>
      <c r="IJ2056" s="970"/>
      <c r="IK2056" s="970"/>
      <c r="IL2056" s="970"/>
      <c r="IM2056" s="970"/>
      <c r="IN2056" s="970"/>
      <c r="IO2056" s="970"/>
    </row>
    <row r="2057" spans="1:249" s="1288" customFormat="1" ht="99">
      <c r="A2057" s="102"/>
      <c r="B2057" s="10"/>
      <c r="C2057" s="628">
        <v>4</v>
      </c>
      <c r="D2057" s="628" t="s">
        <v>34</v>
      </c>
      <c r="E2057" s="628" t="s">
        <v>28</v>
      </c>
      <c r="F2057" s="628" t="s">
        <v>25</v>
      </c>
      <c r="G2057" s="628" t="s">
        <v>25</v>
      </c>
      <c r="H2057" s="628" t="s">
        <v>44</v>
      </c>
      <c r="I2057" s="10" t="s">
        <v>621</v>
      </c>
      <c r="J2057" s="10" t="s">
        <v>1028</v>
      </c>
      <c r="K2057" s="107">
        <v>72</v>
      </c>
      <c r="L2057" s="238">
        <v>2950080000</v>
      </c>
      <c r="M2057" s="107">
        <v>36</v>
      </c>
      <c r="N2057" s="238">
        <v>887191000</v>
      </c>
      <c r="O2057" s="107">
        <v>12</v>
      </c>
      <c r="P2057" s="238">
        <v>99200000</v>
      </c>
      <c r="Q2057" s="238">
        <v>3</v>
      </c>
      <c r="R2057" s="204">
        <v>35256000</v>
      </c>
      <c r="S2057" s="107">
        <v>3</v>
      </c>
      <c r="T2057" s="204">
        <v>25197000</v>
      </c>
      <c r="U2057" s="107"/>
      <c r="V2057" s="107"/>
      <c r="W2057" s="107"/>
      <c r="X2057" s="107"/>
      <c r="Y2057" s="107">
        <f t="shared" si="621"/>
        <v>6</v>
      </c>
      <c r="Z2057" s="204">
        <f t="shared" si="618"/>
        <v>60453000</v>
      </c>
      <c r="AA2057" s="107">
        <f t="shared" si="622"/>
        <v>42</v>
      </c>
      <c r="AB2057" s="238">
        <f t="shared" si="623"/>
        <v>947644000</v>
      </c>
      <c r="AC2057" s="109">
        <f t="shared" si="619"/>
        <v>58.333333333333336</v>
      </c>
      <c r="AD2057" s="117">
        <f t="shared" si="620"/>
        <v>32.122654300900315</v>
      </c>
      <c r="AE2057" s="102"/>
      <c r="AF2057" s="200"/>
      <c r="AG2057" s="200"/>
      <c r="AH2057" s="200"/>
      <c r="AI2057" s="1128"/>
      <c r="AJ2057" s="200"/>
      <c r="AK2057" s="1128"/>
      <c r="AL2057" s="200"/>
      <c r="AM2057" s="1128"/>
      <c r="AN2057" s="200"/>
      <c r="AO2057" s="1128"/>
      <c r="AP2057" s="200"/>
      <c r="AQ2057" s="200"/>
      <c r="AR2057" s="200"/>
      <c r="AS2057" s="200"/>
      <c r="AT2057" s="200"/>
      <c r="AU2057" s="200"/>
      <c r="AV2057" s="200"/>
      <c r="AW2057" s="200"/>
      <c r="AX2057" s="200"/>
      <c r="AY2057" s="200"/>
      <c r="AZ2057" s="200"/>
      <c r="BA2057" s="200"/>
      <c r="BB2057" s="200"/>
      <c r="BC2057" s="970"/>
      <c r="BD2057" s="970"/>
      <c r="BE2057" s="970"/>
      <c r="BF2057" s="970"/>
      <c r="BG2057" s="970"/>
      <c r="BH2057" s="970"/>
      <c r="BI2057" s="970"/>
      <c r="BJ2057" s="970"/>
      <c r="BK2057" s="970"/>
      <c r="BL2057" s="970"/>
      <c r="BM2057" s="970"/>
      <c r="BN2057" s="970"/>
      <c r="BO2057" s="970"/>
      <c r="BP2057" s="970"/>
      <c r="BQ2057" s="970"/>
      <c r="BR2057" s="970"/>
      <c r="BS2057" s="970"/>
      <c r="BT2057" s="970"/>
      <c r="BU2057" s="970"/>
      <c r="BV2057" s="970"/>
      <c r="BW2057" s="970"/>
      <c r="BX2057" s="970"/>
      <c r="BY2057" s="970"/>
      <c r="BZ2057" s="970"/>
      <c r="CA2057" s="970"/>
      <c r="CB2057" s="970"/>
      <c r="CC2057" s="970"/>
      <c r="CD2057" s="970"/>
      <c r="CE2057" s="970"/>
      <c r="CF2057" s="970"/>
      <c r="CG2057" s="970"/>
      <c r="CH2057" s="970"/>
      <c r="CI2057" s="970"/>
      <c r="CJ2057" s="970"/>
      <c r="CK2057" s="970"/>
      <c r="CL2057" s="970"/>
      <c r="CM2057" s="970"/>
      <c r="CN2057" s="970"/>
      <c r="CO2057" s="970"/>
      <c r="CP2057" s="970"/>
      <c r="CQ2057" s="970"/>
      <c r="CR2057" s="970"/>
      <c r="CS2057" s="970"/>
      <c r="CT2057" s="970"/>
      <c r="CU2057" s="970"/>
      <c r="CV2057" s="970"/>
      <c r="CW2057" s="970"/>
      <c r="CX2057" s="970"/>
      <c r="CY2057" s="970"/>
      <c r="CZ2057" s="970"/>
      <c r="DA2057" s="970"/>
      <c r="DB2057" s="970"/>
      <c r="DC2057" s="970"/>
      <c r="DD2057" s="970"/>
      <c r="DE2057" s="970"/>
      <c r="DF2057" s="970"/>
      <c r="DG2057" s="970"/>
      <c r="DH2057" s="970"/>
      <c r="DI2057" s="970"/>
      <c r="DJ2057" s="970"/>
      <c r="DK2057" s="970"/>
      <c r="DL2057" s="970"/>
      <c r="DM2057" s="970"/>
      <c r="DN2057" s="970"/>
      <c r="DO2057" s="970"/>
      <c r="DP2057" s="970"/>
      <c r="DQ2057" s="970"/>
      <c r="DR2057" s="970"/>
      <c r="DS2057" s="970"/>
      <c r="DT2057" s="970"/>
      <c r="DU2057" s="970"/>
      <c r="DV2057" s="970"/>
      <c r="DW2057" s="970"/>
      <c r="DX2057" s="970"/>
      <c r="DY2057" s="970"/>
      <c r="DZ2057" s="970"/>
      <c r="EA2057" s="970"/>
      <c r="EB2057" s="970"/>
      <c r="EC2057" s="970"/>
      <c r="ED2057" s="970"/>
      <c r="EE2057" s="970"/>
      <c r="EF2057" s="970"/>
      <c r="EG2057" s="970"/>
      <c r="EH2057" s="970"/>
      <c r="EI2057" s="970"/>
      <c r="EJ2057" s="970"/>
      <c r="EK2057" s="970"/>
      <c r="EL2057" s="970"/>
      <c r="EM2057" s="970"/>
      <c r="EN2057" s="970"/>
      <c r="EO2057" s="970"/>
      <c r="EP2057" s="970"/>
      <c r="EQ2057" s="970"/>
      <c r="ER2057" s="970"/>
      <c r="ES2057" s="970"/>
      <c r="ET2057" s="970"/>
      <c r="EU2057" s="970"/>
      <c r="EV2057" s="970"/>
      <c r="EW2057" s="970"/>
      <c r="EX2057" s="970"/>
      <c r="EY2057" s="970"/>
      <c r="EZ2057" s="970"/>
      <c r="FA2057" s="970"/>
      <c r="FB2057" s="970"/>
      <c r="FC2057" s="970"/>
      <c r="FD2057" s="970"/>
      <c r="FE2057" s="970"/>
      <c r="FF2057" s="970"/>
      <c r="FG2057" s="970"/>
      <c r="FH2057" s="970"/>
      <c r="FI2057" s="970"/>
      <c r="FJ2057" s="970"/>
      <c r="FK2057" s="970"/>
      <c r="FL2057" s="970"/>
      <c r="FM2057" s="970"/>
      <c r="FN2057" s="970"/>
      <c r="FO2057" s="970"/>
      <c r="FP2057" s="970"/>
      <c r="FQ2057" s="970"/>
      <c r="FR2057" s="970"/>
      <c r="FS2057" s="970"/>
      <c r="FT2057" s="970"/>
      <c r="FU2057" s="970"/>
      <c r="FV2057" s="970"/>
      <c r="FW2057" s="970"/>
      <c r="FX2057" s="970"/>
      <c r="FY2057" s="970"/>
      <c r="FZ2057" s="970"/>
      <c r="GA2057" s="970"/>
      <c r="GB2057" s="970"/>
      <c r="GC2057" s="970"/>
      <c r="GD2057" s="970"/>
      <c r="GE2057" s="970"/>
      <c r="GF2057" s="970"/>
      <c r="GG2057" s="970"/>
      <c r="GH2057" s="970"/>
      <c r="GI2057" s="970"/>
      <c r="GJ2057" s="970"/>
      <c r="GK2057" s="970"/>
      <c r="GL2057" s="970"/>
      <c r="GM2057" s="970"/>
      <c r="GN2057" s="970"/>
      <c r="GO2057" s="970"/>
      <c r="GP2057" s="970"/>
      <c r="GQ2057" s="970"/>
      <c r="GR2057" s="970"/>
      <c r="GS2057" s="970"/>
      <c r="GT2057" s="970"/>
      <c r="GU2057" s="970"/>
      <c r="GV2057" s="970"/>
      <c r="GW2057" s="970"/>
      <c r="GX2057" s="970"/>
      <c r="GY2057" s="970"/>
      <c r="GZ2057" s="970"/>
      <c r="HA2057" s="970"/>
      <c r="HB2057" s="970"/>
      <c r="HC2057" s="970"/>
      <c r="HD2057" s="970"/>
      <c r="HE2057" s="970"/>
      <c r="HF2057" s="970"/>
      <c r="HG2057" s="970"/>
      <c r="HH2057" s="970"/>
      <c r="HI2057" s="970"/>
      <c r="HJ2057" s="970"/>
      <c r="HK2057" s="970"/>
      <c r="HL2057" s="970"/>
      <c r="HM2057" s="970"/>
      <c r="HN2057" s="970"/>
      <c r="HO2057" s="970"/>
      <c r="HP2057" s="970"/>
      <c r="HQ2057" s="970"/>
      <c r="HR2057" s="970"/>
      <c r="HS2057" s="970"/>
      <c r="HT2057" s="970"/>
      <c r="HU2057" s="970"/>
      <c r="HV2057" s="970"/>
      <c r="HW2057" s="970"/>
      <c r="HX2057" s="970"/>
      <c r="HY2057" s="970"/>
      <c r="HZ2057" s="970"/>
      <c r="IA2057" s="970"/>
      <c r="IB2057" s="970"/>
      <c r="IC2057" s="970"/>
      <c r="ID2057" s="970"/>
      <c r="IE2057" s="970"/>
      <c r="IF2057" s="970"/>
      <c r="IG2057" s="970"/>
      <c r="IH2057" s="970"/>
      <c r="II2057" s="970"/>
      <c r="IJ2057" s="970"/>
      <c r="IK2057" s="970"/>
      <c r="IL2057" s="970"/>
      <c r="IM2057" s="970"/>
      <c r="IN2057" s="970"/>
      <c r="IO2057" s="970"/>
    </row>
    <row r="2058" spans="1:249" s="1288" customFormat="1" ht="49.5">
      <c r="A2058" s="102"/>
      <c r="B2058" s="10"/>
      <c r="C2058" s="628">
        <v>4</v>
      </c>
      <c r="D2058" s="628" t="s">
        <v>34</v>
      </c>
      <c r="E2058" s="628" t="s">
        <v>28</v>
      </c>
      <c r="F2058" s="628" t="s">
        <v>25</v>
      </c>
      <c r="G2058" s="628" t="s">
        <v>25</v>
      </c>
      <c r="H2058" s="628" t="s">
        <v>47</v>
      </c>
      <c r="I2058" s="10" t="s">
        <v>925</v>
      </c>
      <c r="J2058" s="10" t="s">
        <v>1712</v>
      </c>
      <c r="K2058" s="107">
        <v>72</v>
      </c>
      <c r="L2058" s="238">
        <v>1713296000</v>
      </c>
      <c r="M2058" s="107">
        <v>36</v>
      </c>
      <c r="N2058" s="238">
        <v>431400000</v>
      </c>
      <c r="O2058" s="107">
        <v>12</v>
      </c>
      <c r="P2058" s="238">
        <v>203000000</v>
      </c>
      <c r="Q2058" s="238">
        <v>0</v>
      </c>
      <c r="R2058" s="204">
        <v>0</v>
      </c>
      <c r="S2058" s="107">
        <v>3</v>
      </c>
      <c r="T2058" s="204">
        <v>32240000</v>
      </c>
      <c r="U2058" s="107"/>
      <c r="V2058" s="107"/>
      <c r="W2058" s="107"/>
      <c r="X2058" s="107"/>
      <c r="Y2058" s="107">
        <f t="shared" si="621"/>
        <v>3</v>
      </c>
      <c r="Z2058" s="204">
        <f t="shared" si="618"/>
        <v>32240000</v>
      </c>
      <c r="AA2058" s="107">
        <f t="shared" si="622"/>
        <v>39</v>
      </c>
      <c r="AB2058" s="238">
        <f t="shared" si="623"/>
        <v>463640000</v>
      </c>
      <c r="AC2058" s="109">
        <f t="shared" si="619"/>
        <v>54.166666666666664</v>
      </c>
      <c r="AD2058" s="117">
        <f t="shared" si="620"/>
        <v>27.061290051456371</v>
      </c>
      <c r="AE2058" s="102"/>
      <c r="AF2058" s="200"/>
      <c r="AG2058" s="200"/>
      <c r="AH2058" s="200"/>
      <c r="AI2058" s="1128"/>
      <c r="AJ2058" s="200"/>
      <c r="AK2058" s="1128"/>
      <c r="AL2058" s="200"/>
      <c r="AM2058" s="1128"/>
      <c r="AN2058" s="200"/>
      <c r="AO2058" s="1128"/>
      <c r="AP2058" s="200"/>
      <c r="AQ2058" s="200"/>
      <c r="AR2058" s="200"/>
      <c r="AS2058" s="200"/>
      <c r="AT2058" s="200"/>
      <c r="AU2058" s="200"/>
      <c r="AV2058" s="200"/>
      <c r="AW2058" s="200"/>
      <c r="AX2058" s="200"/>
      <c r="AY2058" s="200"/>
      <c r="AZ2058" s="200"/>
      <c r="BA2058" s="200"/>
      <c r="BB2058" s="200"/>
      <c r="BC2058" s="970"/>
      <c r="BD2058" s="970"/>
      <c r="BE2058" s="970"/>
      <c r="BF2058" s="970"/>
      <c r="BG2058" s="970"/>
      <c r="BH2058" s="970"/>
      <c r="BI2058" s="970"/>
      <c r="BJ2058" s="970"/>
      <c r="BK2058" s="970"/>
      <c r="BL2058" s="970"/>
      <c r="BM2058" s="970"/>
      <c r="BN2058" s="970"/>
      <c r="BO2058" s="970"/>
      <c r="BP2058" s="970"/>
      <c r="BQ2058" s="970"/>
      <c r="BR2058" s="970"/>
      <c r="BS2058" s="970"/>
      <c r="BT2058" s="970"/>
      <c r="BU2058" s="970"/>
      <c r="BV2058" s="970"/>
      <c r="BW2058" s="970"/>
      <c r="BX2058" s="970"/>
      <c r="BY2058" s="970"/>
      <c r="BZ2058" s="970"/>
      <c r="CA2058" s="970"/>
      <c r="CB2058" s="970"/>
      <c r="CC2058" s="970"/>
      <c r="CD2058" s="970"/>
      <c r="CE2058" s="970"/>
      <c r="CF2058" s="970"/>
      <c r="CG2058" s="970"/>
      <c r="CH2058" s="970"/>
      <c r="CI2058" s="970"/>
      <c r="CJ2058" s="970"/>
      <c r="CK2058" s="970"/>
      <c r="CL2058" s="970"/>
      <c r="CM2058" s="970"/>
      <c r="CN2058" s="970"/>
      <c r="CO2058" s="970"/>
      <c r="CP2058" s="970"/>
      <c r="CQ2058" s="970"/>
      <c r="CR2058" s="970"/>
      <c r="CS2058" s="970"/>
      <c r="CT2058" s="970"/>
      <c r="CU2058" s="970"/>
      <c r="CV2058" s="970"/>
      <c r="CW2058" s="970"/>
      <c r="CX2058" s="970"/>
      <c r="CY2058" s="970"/>
      <c r="CZ2058" s="970"/>
      <c r="DA2058" s="970"/>
      <c r="DB2058" s="970"/>
      <c r="DC2058" s="970"/>
      <c r="DD2058" s="970"/>
      <c r="DE2058" s="970"/>
      <c r="DF2058" s="970"/>
      <c r="DG2058" s="970"/>
      <c r="DH2058" s="970"/>
      <c r="DI2058" s="970"/>
      <c r="DJ2058" s="970"/>
      <c r="DK2058" s="970"/>
      <c r="DL2058" s="970"/>
      <c r="DM2058" s="970"/>
      <c r="DN2058" s="970"/>
      <c r="DO2058" s="970"/>
      <c r="DP2058" s="970"/>
      <c r="DQ2058" s="970"/>
      <c r="DR2058" s="970"/>
      <c r="DS2058" s="970"/>
      <c r="DT2058" s="970"/>
      <c r="DU2058" s="970"/>
      <c r="DV2058" s="970"/>
      <c r="DW2058" s="970"/>
      <c r="DX2058" s="970"/>
      <c r="DY2058" s="970"/>
      <c r="DZ2058" s="970"/>
      <c r="EA2058" s="970"/>
      <c r="EB2058" s="970"/>
      <c r="EC2058" s="970"/>
      <c r="ED2058" s="970"/>
      <c r="EE2058" s="970"/>
      <c r="EF2058" s="970"/>
      <c r="EG2058" s="970"/>
      <c r="EH2058" s="970"/>
      <c r="EI2058" s="970"/>
      <c r="EJ2058" s="970"/>
      <c r="EK2058" s="970"/>
      <c r="EL2058" s="970"/>
      <c r="EM2058" s="970"/>
      <c r="EN2058" s="970"/>
      <c r="EO2058" s="970"/>
      <c r="EP2058" s="970"/>
      <c r="EQ2058" s="970"/>
      <c r="ER2058" s="970"/>
      <c r="ES2058" s="970"/>
      <c r="ET2058" s="970"/>
      <c r="EU2058" s="970"/>
      <c r="EV2058" s="970"/>
      <c r="EW2058" s="970"/>
      <c r="EX2058" s="970"/>
      <c r="EY2058" s="970"/>
      <c r="EZ2058" s="970"/>
      <c r="FA2058" s="970"/>
      <c r="FB2058" s="970"/>
      <c r="FC2058" s="970"/>
      <c r="FD2058" s="970"/>
      <c r="FE2058" s="970"/>
      <c r="FF2058" s="970"/>
      <c r="FG2058" s="970"/>
      <c r="FH2058" s="970"/>
      <c r="FI2058" s="970"/>
      <c r="FJ2058" s="970"/>
      <c r="FK2058" s="970"/>
      <c r="FL2058" s="970"/>
      <c r="FM2058" s="970"/>
      <c r="FN2058" s="970"/>
      <c r="FO2058" s="970"/>
      <c r="FP2058" s="970"/>
      <c r="FQ2058" s="970"/>
      <c r="FR2058" s="970"/>
      <c r="FS2058" s="970"/>
      <c r="FT2058" s="970"/>
      <c r="FU2058" s="970"/>
      <c r="FV2058" s="970"/>
      <c r="FW2058" s="970"/>
      <c r="FX2058" s="970"/>
      <c r="FY2058" s="970"/>
      <c r="FZ2058" s="970"/>
      <c r="GA2058" s="970"/>
      <c r="GB2058" s="970"/>
      <c r="GC2058" s="970"/>
      <c r="GD2058" s="970"/>
      <c r="GE2058" s="970"/>
      <c r="GF2058" s="970"/>
      <c r="GG2058" s="970"/>
      <c r="GH2058" s="970"/>
      <c r="GI2058" s="970"/>
      <c r="GJ2058" s="970"/>
      <c r="GK2058" s="970"/>
      <c r="GL2058" s="970"/>
      <c r="GM2058" s="970"/>
      <c r="GN2058" s="970"/>
      <c r="GO2058" s="970"/>
      <c r="GP2058" s="970"/>
      <c r="GQ2058" s="970"/>
      <c r="GR2058" s="970"/>
      <c r="GS2058" s="970"/>
      <c r="GT2058" s="970"/>
      <c r="GU2058" s="970"/>
      <c r="GV2058" s="970"/>
      <c r="GW2058" s="970"/>
      <c r="GX2058" s="970"/>
      <c r="GY2058" s="970"/>
      <c r="GZ2058" s="970"/>
      <c r="HA2058" s="970"/>
      <c r="HB2058" s="970"/>
      <c r="HC2058" s="970"/>
      <c r="HD2058" s="970"/>
      <c r="HE2058" s="970"/>
      <c r="HF2058" s="970"/>
      <c r="HG2058" s="970"/>
      <c r="HH2058" s="970"/>
      <c r="HI2058" s="970"/>
      <c r="HJ2058" s="970"/>
      <c r="HK2058" s="970"/>
      <c r="HL2058" s="970"/>
      <c r="HM2058" s="970"/>
      <c r="HN2058" s="970"/>
      <c r="HO2058" s="970"/>
      <c r="HP2058" s="970"/>
      <c r="HQ2058" s="970"/>
      <c r="HR2058" s="970"/>
      <c r="HS2058" s="970"/>
      <c r="HT2058" s="970"/>
      <c r="HU2058" s="970"/>
      <c r="HV2058" s="970"/>
      <c r="HW2058" s="970"/>
      <c r="HX2058" s="970"/>
      <c r="HY2058" s="970"/>
      <c r="HZ2058" s="970"/>
      <c r="IA2058" s="970"/>
      <c r="IB2058" s="970"/>
      <c r="IC2058" s="970"/>
      <c r="ID2058" s="970"/>
      <c r="IE2058" s="970"/>
      <c r="IF2058" s="970"/>
      <c r="IG2058" s="970"/>
      <c r="IH2058" s="970"/>
      <c r="II2058" s="970"/>
      <c r="IJ2058" s="970"/>
      <c r="IK2058" s="970"/>
      <c r="IL2058" s="970"/>
      <c r="IM2058" s="970"/>
      <c r="IN2058" s="970"/>
      <c r="IO2058" s="970"/>
    </row>
    <row r="2059" spans="1:249" s="1288" customFormat="1" ht="99">
      <c r="A2059" s="102"/>
      <c r="B2059" s="846"/>
      <c r="C2059" s="628">
        <v>4</v>
      </c>
      <c r="D2059" s="628" t="s">
        <v>34</v>
      </c>
      <c r="E2059" s="628" t="s">
        <v>28</v>
      </c>
      <c r="F2059" s="628" t="s">
        <v>25</v>
      </c>
      <c r="G2059" s="628" t="s">
        <v>25</v>
      </c>
      <c r="H2059" s="628" t="s">
        <v>54</v>
      </c>
      <c r="I2059" s="10" t="s">
        <v>1713</v>
      </c>
      <c r="J2059" s="10" t="s">
        <v>1714</v>
      </c>
      <c r="K2059" s="107">
        <v>72</v>
      </c>
      <c r="L2059" s="238">
        <v>585150000</v>
      </c>
      <c r="M2059" s="107">
        <v>36</v>
      </c>
      <c r="N2059" s="238">
        <v>193846000</v>
      </c>
      <c r="O2059" s="107">
        <v>12</v>
      </c>
      <c r="P2059" s="238">
        <v>72480000</v>
      </c>
      <c r="Q2059" s="238">
        <v>3</v>
      </c>
      <c r="R2059" s="204">
        <v>14781000</v>
      </c>
      <c r="S2059" s="107">
        <v>3</v>
      </c>
      <c r="T2059" s="204">
        <v>20834000</v>
      </c>
      <c r="U2059" s="107"/>
      <c r="V2059" s="107"/>
      <c r="W2059" s="107"/>
      <c r="X2059" s="107"/>
      <c r="Y2059" s="107">
        <f t="shared" si="621"/>
        <v>6</v>
      </c>
      <c r="Z2059" s="204">
        <f t="shared" si="618"/>
        <v>35615000</v>
      </c>
      <c r="AA2059" s="107">
        <f t="shared" si="622"/>
        <v>42</v>
      </c>
      <c r="AB2059" s="238">
        <f t="shared" si="623"/>
        <v>229461000</v>
      </c>
      <c r="AC2059" s="109">
        <f t="shared" si="619"/>
        <v>58.333333333333336</v>
      </c>
      <c r="AD2059" s="117">
        <f t="shared" si="620"/>
        <v>39.214047680082032</v>
      </c>
      <c r="AE2059" s="102"/>
      <c r="AF2059" s="200"/>
      <c r="AG2059" s="200"/>
      <c r="AH2059" s="200"/>
      <c r="AI2059" s="1128"/>
      <c r="AJ2059" s="200"/>
      <c r="AK2059" s="1128"/>
      <c r="AL2059" s="200"/>
      <c r="AM2059" s="1128"/>
      <c r="AN2059" s="200"/>
      <c r="AO2059" s="1128"/>
      <c r="AP2059" s="200"/>
      <c r="AQ2059" s="200"/>
      <c r="AR2059" s="200"/>
      <c r="AS2059" s="200"/>
      <c r="AT2059" s="200"/>
      <c r="AU2059" s="200"/>
      <c r="AV2059" s="200"/>
      <c r="AW2059" s="200"/>
      <c r="AX2059" s="200"/>
      <c r="AY2059" s="200"/>
      <c r="AZ2059" s="200"/>
      <c r="BA2059" s="200"/>
      <c r="BB2059" s="200"/>
      <c r="BC2059" s="970"/>
      <c r="BD2059" s="970"/>
      <c r="BE2059" s="970"/>
      <c r="BF2059" s="970"/>
      <c r="BG2059" s="970"/>
      <c r="BH2059" s="970"/>
      <c r="BI2059" s="970"/>
      <c r="BJ2059" s="970"/>
      <c r="BK2059" s="970"/>
      <c r="BL2059" s="970"/>
      <c r="BM2059" s="970"/>
      <c r="BN2059" s="970"/>
      <c r="BO2059" s="970"/>
      <c r="BP2059" s="970"/>
      <c r="BQ2059" s="970"/>
      <c r="BR2059" s="970"/>
      <c r="BS2059" s="970"/>
      <c r="BT2059" s="970"/>
      <c r="BU2059" s="970"/>
      <c r="BV2059" s="970"/>
      <c r="BW2059" s="970"/>
      <c r="BX2059" s="970"/>
      <c r="BY2059" s="970"/>
      <c r="BZ2059" s="970"/>
      <c r="CA2059" s="970"/>
      <c r="CB2059" s="970"/>
      <c r="CC2059" s="970"/>
      <c r="CD2059" s="970"/>
      <c r="CE2059" s="970"/>
      <c r="CF2059" s="970"/>
      <c r="CG2059" s="970"/>
      <c r="CH2059" s="970"/>
      <c r="CI2059" s="970"/>
      <c r="CJ2059" s="970"/>
      <c r="CK2059" s="970"/>
      <c r="CL2059" s="970"/>
      <c r="CM2059" s="970"/>
      <c r="CN2059" s="970"/>
      <c r="CO2059" s="970"/>
      <c r="CP2059" s="970"/>
      <c r="CQ2059" s="970"/>
      <c r="CR2059" s="970"/>
      <c r="CS2059" s="970"/>
      <c r="CT2059" s="970"/>
      <c r="CU2059" s="970"/>
      <c r="CV2059" s="970"/>
      <c r="CW2059" s="970"/>
      <c r="CX2059" s="970"/>
      <c r="CY2059" s="970"/>
      <c r="CZ2059" s="970"/>
      <c r="DA2059" s="970"/>
      <c r="DB2059" s="970"/>
      <c r="DC2059" s="970"/>
      <c r="DD2059" s="970"/>
      <c r="DE2059" s="970"/>
      <c r="DF2059" s="970"/>
      <c r="DG2059" s="970"/>
      <c r="DH2059" s="970"/>
      <c r="DI2059" s="970"/>
      <c r="DJ2059" s="970"/>
      <c r="DK2059" s="970"/>
      <c r="DL2059" s="970"/>
      <c r="DM2059" s="970"/>
      <c r="DN2059" s="970"/>
      <c r="DO2059" s="970"/>
      <c r="DP2059" s="970"/>
      <c r="DQ2059" s="970"/>
      <c r="DR2059" s="970"/>
      <c r="DS2059" s="970"/>
      <c r="DT2059" s="970"/>
      <c r="DU2059" s="970"/>
      <c r="DV2059" s="970"/>
      <c r="DW2059" s="970"/>
      <c r="DX2059" s="970"/>
      <c r="DY2059" s="970"/>
      <c r="DZ2059" s="970"/>
      <c r="EA2059" s="970"/>
      <c r="EB2059" s="970"/>
      <c r="EC2059" s="970"/>
      <c r="ED2059" s="970"/>
      <c r="EE2059" s="970"/>
      <c r="EF2059" s="970"/>
      <c r="EG2059" s="970"/>
      <c r="EH2059" s="970"/>
      <c r="EI2059" s="970"/>
      <c r="EJ2059" s="970"/>
      <c r="EK2059" s="970"/>
      <c r="EL2059" s="970"/>
      <c r="EM2059" s="970"/>
      <c r="EN2059" s="970"/>
      <c r="EO2059" s="970"/>
      <c r="EP2059" s="970"/>
      <c r="EQ2059" s="970"/>
      <c r="ER2059" s="970"/>
      <c r="ES2059" s="970"/>
      <c r="ET2059" s="970"/>
      <c r="EU2059" s="970"/>
      <c r="EV2059" s="970"/>
      <c r="EW2059" s="970"/>
      <c r="EX2059" s="970"/>
      <c r="EY2059" s="970"/>
      <c r="EZ2059" s="970"/>
      <c r="FA2059" s="970"/>
      <c r="FB2059" s="970"/>
      <c r="FC2059" s="970"/>
      <c r="FD2059" s="970"/>
      <c r="FE2059" s="970"/>
      <c r="FF2059" s="970"/>
      <c r="FG2059" s="970"/>
      <c r="FH2059" s="970"/>
      <c r="FI2059" s="970"/>
      <c r="FJ2059" s="970"/>
      <c r="FK2059" s="970"/>
      <c r="FL2059" s="970"/>
      <c r="FM2059" s="970"/>
      <c r="FN2059" s="970"/>
      <c r="FO2059" s="970"/>
      <c r="FP2059" s="970"/>
      <c r="FQ2059" s="970"/>
      <c r="FR2059" s="970"/>
      <c r="FS2059" s="970"/>
      <c r="FT2059" s="970"/>
      <c r="FU2059" s="970"/>
      <c r="FV2059" s="970"/>
      <c r="FW2059" s="970"/>
      <c r="FX2059" s="970"/>
      <c r="FY2059" s="970"/>
      <c r="FZ2059" s="970"/>
      <c r="GA2059" s="970"/>
      <c r="GB2059" s="970"/>
      <c r="GC2059" s="970"/>
      <c r="GD2059" s="970"/>
      <c r="GE2059" s="970"/>
      <c r="GF2059" s="970"/>
      <c r="GG2059" s="970"/>
      <c r="GH2059" s="970"/>
      <c r="GI2059" s="970"/>
      <c r="GJ2059" s="970"/>
      <c r="GK2059" s="970"/>
      <c r="GL2059" s="970"/>
      <c r="GM2059" s="970"/>
      <c r="GN2059" s="970"/>
      <c r="GO2059" s="970"/>
      <c r="GP2059" s="970"/>
      <c r="GQ2059" s="970"/>
      <c r="GR2059" s="970"/>
      <c r="GS2059" s="970"/>
      <c r="GT2059" s="970"/>
      <c r="GU2059" s="970"/>
      <c r="GV2059" s="970"/>
      <c r="GW2059" s="970"/>
      <c r="GX2059" s="970"/>
      <c r="GY2059" s="970"/>
      <c r="GZ2059" s="970"/>
      <c r="HA2059" s="970"/>
      <c r="HB2059" s="970"/>
      <c r="HC2059" s="970"/>
      <c r="HD2059" s="970"/>
      <c r="HE2059" s="970"/>
      <c r="HF2059" s="970"/>
      <c r="HG2059" s="970"/>
      <c r="HH2059" s="970"/>
      <c r="HI2059" s="970"/>
      <c r="HJ2059" s="970"/>
      <c r="HK2059" s="970"/>
      <c r="HL2059" s="970"/>
      <c r="HM2059" s="970"/>
      <c r="HN2059" s="970"/>
      <c r="HO2059" s="970"/>
      <c r="HP2059" s="970"/>
      <c r="HQ2059" s="970"/>
      <c r="HR2059" s="970"/>
      <c r="HS2059" s="970"/>
      <c r="HT2059" s="970"/>
      <c r="HU2059" s="970"/>
      <c r="HV2059" s="970"/>
      <c r="HW2059" s="970"/>
      <c r="HX2059" s="970"/>
      <c r="HY2059" s="970"/>
      <c r="HZ2059" s="970"/>
      <c r="IA2059" s="970"/>
      <c r="IB2059" s="970"/>
      <c r="IC2059" s="970"/>
      <c r="ID2059" s="970"/>
      <c r="IE2059" s="970"/>
      <c r="IF2059" s="970"/>
      <c r="IG2059" s="970"/>
      <c r="IH2059" s="970"/>
      <c r="II2059" s="970"/>
      <c r="IJ2059" s="970"/>
      <c r="IK2059" s="970"/>
      <c r="IL2059" s="970"/>
      <c r="IM2059" s="970"/>
      <c r="IN2059" s="970"/>
      <c r="IO2059" s="970"/>
    </row>
    <row r="2060" spans="1:249" s="1288" customFormat="1" ht="82.5">
      <c r="A2060" s="102"/>
      <c r="B2060" s="846"/>
      <c r="C2060" s="628">
        <v>4</v>
      </c>
      <c r="D2060" s="628" t="s">
        <v>34</v>
      </c>
      <c r="E2060" s="628" t="s">
        <v>28</v>
      </c>
      <c r="F2060" s="628" t="s">
        <v>25</v>
      </c>
      <c r="G2060" s="628" t="s">
        <v>25</v>
      </c>
      <c r="H2060" s="628" t="s">
        <v>61</v>
      </c>
      <c r="I2060" s="10" t="s">
        <v>424</v>
      </c>
      <c r="J2060" s="10" t="s">
        <v>1715</v>
      </c>
      <c r="K2060" s="1938">
        <v>72</v>
      </c>
      <c r="L2060" s="238">
        <v>1241120000</v>
      </c>
      <c r="M2060" s="107">
        <v>36</v>
      </c>
      <c r="N2060" s="238">
        <v>52610000</v>
      </c>
      <c r="O2060" s="107">
        <v>12</v>
      </c>
      <c r="P2060" s="238">
        <v>22059342</v>
      </c>
      <c r="Q2060" s="238">
        <v>0</v>
      </c>
      <c r="R2060" s="204">
        <v>0</v>
      </c>
      <c r="S2060" s="107">
        <v>3</v>
      </c>
      <c r="T2060" s="204">
        <v>8352000</v>
      </c>
      <c r="U2060" s="107"/>
      <c r="V2060" s="107"/>
      <c r="W2060" s="107"/>
      <c r="X2060" s="107"/>
      <c r="Y2060" s="107">
        <f t="shared" si="621"/>
        <v>3</v>
      </c>
      <c r="Z2060" s="204">
        <f t="shared" si="618"/>
        <v>8352000</v>
      </c>
      <c r="AA2060" s="107">
        <f t="shared" si="622"/>
        <v>39</v>
      </c>
      <c r="AB2060" s="107">
        <f t="shared" si="623"/>
        <v>60962000</v>
      </c>
      <c r="AC2060" s="109">
        <f>AA2060/K2060*100</f>
        <v>54.166666666666664</v>
      </c>
      <c r="AD2060" s="117">
        <v>0</v>
      </c>
      <c r="AE2060" s="102"/>
      <c r="AF2060" s="200"/>
      <c r="AG2060" s="200"/>
      <c r="AH2060" s="200"/>
      <c r="AI2060" s="1128"/>
      <c r="AJ2060" s="200"/>
      <c r="AK2060" s="1128"/>
      <c r="AL2060" s="200"/>
      <c r="AM2060" s="1128"/>
      <c r="AN2060" s="200"/>
      <c r="AO2060" s="1128"/>
      <c r="AP2060" s="200"/>
      <c r="AQ2060" s="200"/>
      <c r="AR2060" s="200"/>
      <c r="AS2060" s="200"/>
      <c r="AT2060" s="200"/>
      <c r="AU2060" s="200"/>
      <c r="AV2060" s="200"/>
      <c r="AW2060" s="200"/>
      <c r="AX2060" s="200"/>
      <c r="AY2060" s="200"/>
      <c r="AZ2060" s="200"/>
      <c r="BA2060" s="200"/>
      <c r="BB2060" s="200"/>
      <c r="BC2060" s="970"/>
      <c r="BD2060" s="970"/>
      <c r="BE2060" s="970"/>
      <c r="BF2060" s="970"/>
      <c r="BG2060" s="970"/>
      <c r="BH2060" s="970"/>
      <c r="BI2060" s="970"/>
      <c r="BJ2060" s="970"/>
      <c r="BK2060" s="970"/>
      <c r="BL2060" s="970"/>
      <c r="BM2060" s="970"/>
      <c r="BN2060" s="970"/>
      <c r="BO2060" s="970"/>
      <c r="BP2060" s="970"/>
      <c r="BQ2060" s="970"/>
      <c r="BR2060" s="970"/>
      <c r="BS2060" s="970"/>
      <c r="BT2060" s="970"/>
      <c r="BU2060" s="970"/>
      <c r="BV2060" s="970"/>
      <c r="BW2060" s="970"/>
      <c r="BX2060" s="970"/>
      <c r="BY2060" s="970"/>
      <c r="BZ2060" s="970"/>
      <c r="CA2060" s="970"/>
      <c r="CB2060" s="970"/>
      <c r="CC2060" s="970"/>
      <c r="CD2060" s="970"/>
      <c r="CE2060" s="970"/>
      <c r="CF2060" s="970"/>
      <c r="CG2060" s="970"/>
      <c r="CH2060" s="970"/>
      <c r="CI2060" s="970"/>
      <c r="CJ2060" s="970"/>
      <c r="CK2060" s="970"/>
      <c r="CL2060" s="970"/>
      <c r="CM2060" s="970"/>
      <c r="CN2060" s="970"/>
      <c r="CO2060" s="970"/>
      <c r="CP2060" s="970"/>
      <c r="CQ2060" s="970"/>
      <c r="CR2060" s="970"/>
      <c r="CS2060" s="970"/>
      <c r="CT2060" s="970"/>
      <c r="CU2060" s="970"/>
      <c r="CV2060" s="970"/>
      <c r="CW2060" s="970"/>
      <c r="CX2060" s="970"/>
      <c r="CY2060" s="970"/>
      <c r="CZ2060" s="970"/>
      <c r="DA2060" s="970"/>
      <c r="DB2060" s="970"/>
      <c r="DC2060" s="970"/>
      <c r="DD2060" s="970"/>
      <c r="DE2060" s="970"/>
      <c r="DF2060" s="970"/>
      <c r="DG2060" s="970"/>
      <c r="DH2060" s="970"/>
      <c r="DI2060" s="970"/>
      <c r="DJ2060" s="970"/>
      <c r="DK2060" s="970"/>
      <c r="DL2060" s="970"/>
      <c r="DM2060" s="970"/>
      <c r="DN2060" s="970"/>
      <c r="DO2060" s="970"/>
      <c r="DP2060" s="970"/>
      <c r="DQ2060" s="970"/>
      <c r="DR2060" s="970"/>
      <c r="DS2060" s="970"/>
      <c r="DT2060" s="970"/>
      <c r="DU2060" s="970"/>
      <c r="DV2060" s="970"/>
      <c r="DW2060" s="970"/>
      <c r="DX2060" s="970"/>
      <c r="DY2060" s="970"/>
      <c r="DZ2060" s="970"/>
      <c r="EA2060" s="970"/>
      <c r="EB2060" s="970"/>
      <c r="EC2060" s="970"/>
      <c r="ED2060" s="970"/>
      <c r="EE2060" s="970"/>
      <c r="EF2060" s="970"/>
      <c r="EG2060" s="970"/>
      <c r="EH2060" s="970"/>
      <c r="EI2060" s="970"/>
      <c r="EJ2060" s="970"/>
      <c r="EK2060" s="970"/>
      <c r="EL2060" s="970"/>
      <c r="EM2060" s="970"/>
      <c r="EN2060" s="970"/>
      <c r="EO2060" s="970"/>
      <c r="EP2060" s="970"/>
      <c r="EQ2060" s="970"/>
      <c r="ER2060" s="970"/>
      <c r="ES2060" s="970"/>
      <c r="ET2060" s="970"/>
      <c r="EU2060" s="970"/>
      <c r="EV2060" s="970"/>
      <c r="EW2060" s="970"/>
      <c r="EX2060" s="970"/>
      <c r="EY2060" s="970"/>
      <c r="EZ2060" s="970"/>
      <c r="FA2060" s="970"/>
      <c r="FB2060" s="970"/>
      <c r="FC2060" s="970"/>
      <c r="FD2060" s="970"/>
      <c r="FE2060" s="970"/>
      <c r="FF2060" s="970"/>
      <c r="FG2060" s="970"/>
      <c r="FH2060" s="970"/>
      <c r="FI2060" s="970"/>
      <c r="FJ2060" s="970"/>
      <c r="FK2060" s="970"/>
      <c r="FL2060" s="970"/>
      <c r="FM2060" s="970"/>
      <c r="FN2060" s="970"/>
      <c r="FO2060" s="970"/>
      <c r="FP2060" s="970"/>
      <c r="FQ2060" s="970"/>
      <c r="FR2060" s="970"/>
      <c r="FS2060" s="970"/>
      <c r="FT2060" s="970"/>
      <c r="FU2060" s="970"/>
      <c r="FV2060" s="970"/>
      <c r="FW2060" s="970"/>
      <c r="FX2060" s="970"/>
      <c r="FY2060" s="970"/>
      <c r="FZ2060" s="970"/>
      <c r="GA2060" s="970"/>
      <c r="GB2060" s="970"/>
      <c r="GC2060" s="970"/>
      <c r="GD2060" s="970"/>
      <c r="GE2060" s="970"/>
      <c r="GF2060" s="970"/>
      <c r="GG2060" s="970"/>
      <c r="GH2060" s="970"/>
      <c r="GI2060" s="970"/>
      <c r="GJ2060" s="970"/>
      <c r="GK2060" s="970"/>
      <c r="GL2060" s="970"/>
      <c r="GM2060" s="970"/>
      <c r="GN2060" s="970"/>
      <c r="GO2060" s="970"/>
      <c r="GP2060" s="970"/>
      <c r="GQ2060" s="970"/>
      <c r="GR2060" s="970"/>
      <c r="GS2060" s="970"/>
      <c r="GT2060" s="970"/>
      <c r="GU2060" s="970"/>
      <c r="GV2060" s="970"/>
      <c r="GW2060" s="970"/>
      <c r="GX2060" s="970"/>
      <c r="GY2060" s="970"/>
      <c r="GZ2060" s="970"/>
      <c r="HA2060" s="970"/>
      <c r="HB2060" s="970"/>
      <c r="HC2060" s="970"/>
      <c r="HD2060" s="970"/>
      <c r="HE2060" s="970"/>
      <c r="HF2060" s="970"/>
      <c r="HG2060" s="970"/>
      <c r="HH2060" s="970"/>
      <c r="HI2060" s="970"/>
      <c r="HJ2060" s="970"/>
      <c r="HK2060" s="970"/>
      <c r="HL2060" s="970"/>
      <c r="HM2060" s="970"/>
      <c r="HN2060" s="970"/>
      <c r="HO2060" s="970"/>
      <c r="HP2060" s="970"/>
      <c r="HQ2060" s="970"/>
      <c r="HR2060" s="970"/>
      <c r="HS2060" s="970"/>
      <c r="HT2060" s="970"/>
      <c r="HU2060" s="970"/>
      <c r="HV2060" s="970"/>
      <c r="HW2060" s="970"/>
      <c r="HX2060" s="970"/>
      <c r="HY2060" s="970"/>
      <c r="HZ2060" s="970"/>
      <c r="IA2060" s="970"/>
      <c r="IB2060" s="970"/>
      <c r="IC2060" s="970"/>
      <c r="ID2060" s="970"/>
      <c r="IE2060" s="970"/>
      <c r="IF2060" s="970"/>
      <c r="IG2060" s="970"/>
      <c r="IH2060" s="970"/>
      <c r="II2060" s="970"/>
      <c r="IJ2060" s="970"/>
      <c r="IK2060" s="970"/>
      <c r="IL2060" s="970"/>
      <c r="IM2060" s="970"/>
      <c r="IN2060" s="970"/>
      <c r="IO2060" s="970"/>
    </row>
    <row r="2061" spans="1:249" s="1288" customFormat="1" ht="66">
      <c r="A2061" s="102"/>
      <c r="B2061" s="846"/>
      <c r="C2061" s="628">
        <v>4</v>
      </c>
      <c r="D2061" s="628" t="s">
        <v>34</v>
      </c>
      <c r="E2061" s="628" t="s">
        <v>28</v>
      </c>
      <c r="F2061" s="628" t="s">
        <v>25</v>
      </c>
      <c r="G2061" s="628" t="s">
        <v>25</v>
      </c>
      <c r="H2061" s="628" t="s">
        <v>84</v>
      </c>
      <c r="I2061" s="10" t="s">
        <v>1716</v>
      </c>
      <c r="J2061" s="10" t="s">
        <v>1717</v>
      </c>
      <c r="K2061" s="1938">
        <v>72</v>
      </c>
      <c r="L2061" s="238">
        <v>199404000</v>
      </c>
      <c r="M2061" s="107">
        <v>36</v>
      </c>
      <c r="N2061" s="238">
        <v>1455333000</v>
      </c>
      <c r="O2061" s="107">
        <v>12</v>
      </c>
      <c r="P2061" s="238">
        <v>1186545697</v>
      </c>
      <c r="Q2061" s="238">
        <v>3</v>
      </c>
      <c r="R2061" s="204">
        <v>27100000</v>
      </c>
      <c r="S2061" s="107">
        <v>3</v>
      </c>
      <c r="T2061" s="204">
        <v>304090000</v>
      </c>
      <c r="U2061" s="107"/>
      <c r="V2061" s="107"/>
      <c r="W2061" s="107"/>
      <c r="X2061" s="107"/>
      <c r="Y2061" s="107">
        <f t="shared" si="621"/>
        <v>6</v>
      </c>
      <c r="Z2061" s="204">
        <f t="shared" si="618"/>
        <v>331190000</v>
      </c>
      <c r="AA2061" s="107">
        <f t="shared" si="622"/>
        <v>42</v>
      </c>
      <c r="AB2061" s="107">
        <f t="shared" si="623"/>
        <v>1786523000</v>
      </c>
      <c r="AC2061" s="109">
        <f>AA2061/K2061*100</f>
        <v>58.333333333333336</v>
      </c>
      <c r="AD2061" s="117">
        <v>0</v>
      </c>
      <c r="AE2061" s="102"/>
      <c r="AF2061" s="200"/>
      <c r="AG2061" s="200"/>
      <c r="AH2061" s="200"/>
      <c r="AI2061" s="1128"/>
      <c r="AJ2061" s="200"/>
      <c r="AK2061" s="1128"/>
      <c r="AL2061" s="200"/>
      <c r="AM2061" s="1128"/>
      <c r="AN2061" s="200"/>
      <c r="AO2061" s="1128"/>
      <c r="AP2061" s="200"/>
      <c r="AQ2061" s="200"/>
      <c r="AR2061" s="200"/>
      <c r="AS2061" s="200"/>
      <c r="AT2061" s="200"/>
      <c r="AU2061" s="200"/>
      <c r="AV2061" s="200"/>
      <c r="AW2061" s="200"/>
      <c r="AX2061" s="200"/>
      <c r="AY2061" s="200"/>
      <c r="AZ2061" s="200"/>
      <c r="BA2061" s="200"/>
      <c r="BB2061" s="200"/>
      <c r="BC2061" s="970"/>
      <c r="BD2061" s="970"/>
      <c r="BE2061" s="970"/>
      <c r="BF2061" s="970"/>
      <c r="BG2061" s="970"/>
      <c r="BH2061" s="970"/>
      <c r="BI2061" s="970"/>
      <c r="BJ2061" s="970"/>
      <c r="BK2061" s="970"/>
      <c r="BL2061" s="970"/>
      <c r="BM2061" s="970"/>
      <c r="BN2061" s="970"/>
      <c r="BO2061" s="970"/>
      <c r="BP2061" s="970"/>
      <c r="BQ2061" s="970"/>
      <c r="BR2061" s="970"/>
      <c r="BS2061" s="970"/>
      <c r="BT2061" s="970"/>
      <c r="BU2061" s="970"/>
      <c r="BV2061" s="970"/>
      <c r="BW2061" s="970"/>
      <c r="BX2061" s="970"/>
      <c r="BY2061" s="970"/>
      <c r="BZ2061" s="970"/>
      <c r="CA2061" s="970"/>
      <c r="CB2061" s="970"/>
      <c r="CC2061" s="970"/>
      <c r="CD2061" s="970"/>
      <c r="CE2061" s="970"/>
      <c r="CF2061" s="970"/>
      <c r="CG2061" s="970"/>
      <c r="CH2061" s="970"/>
      <c r="CI2061" s="970"/>
      <c r="CJ2061" s="970"/>
      <c r="CK2061" s="970"/>
      <c r="CL2061" s="970"/>
      <c r="CM2061" s="970"/>
      <c r="CN2061" s="970"/>
      <c r="CO2061" s="970"/>
      <c r="CP2061" s="970"/>
      <c r="CQ2061" s="970"/>
      <c r="CR2061" s="970"/>
      <c r="CS2061" s="970"/>
      <c r="CT2061" s="970"/>
      <c r="CU2061" s="970"/>
      <c r="CV2061" s="970"/>
      <c r="CW2061" s="970"/>
      <c r="CX2061" s="970"/>
      <c r="CY2061" s="970"/>
      <c r="CZ2061" s="970"/>
      <c r="DA2061" s="970"/>
      <c r="DB2061" s="970"/>
      <c r="DC2061" s="970"/>
      <c r="DD2061" s="970"/>
      <c r="DE2061" s="970"/>
      <c r="DF2061" s="970"/>
      <c r="DG2061" s="970"/>
      <c r="DH2061" s="970"/>
      <c r="DI2061" s="970"/>
      <c r="DJ2061" s="970"/>
      <c r="DK2061" s="970"/>
      <c r="DL2061" s="970"/>
      <c r="DM2061" s="970"/>
      <c r="DN2061" s="970"/>
      <c r="DO2061" s="970"/>
      <c r="DP2061" s="970"/>
      <c r="DQ2061" s="970"/>
      <c r="DR2061" s="970"/>
      <c r="DS2061" s="970"/>
      <c r="DT2061" s="970"/>
      <c r="DU2061" s="970"/>
      <c r="DV2061" s="970"/>
      <c r="DW2061" s="970"/>
      <c r="DX2061" s="970"/>
      <c r="DY2061" s="970"/>
      <c r="DZ2061" s="970"/>
      <c r="EA2061" s="970"/>
      <c r="EB2061" s="970"/>
      <c r="EC2061" s="970"/>
      <c r="ED2061" s="970"/>
      <c r="EE2061" s="970"/>
      <c r="EF2061" s="970"/>
      <c r="EG2061" s="970"/>
      <c r="EH2061" s="970"/>
      <c r="EI2061" s="970"/>
      <c r="EJ2061" s="970"/>
      <c r="EK2061" s="970"/>
      <c r="EL2061" s="970"/>
      <c r="EM2061" s="970"/>
      <c r="EN2061" s="970"/>
      <c r="EO2061" s="970"/>
      <c r="EP2061" s="970"/>
      <c r="EQ2061" s="970"/>
      <c r="ER2061" s="970"/>
      <c r="ES2061" s="970"/>
      <c r="ET2061" s="970"/>
      <c r="EU2061" s="970"/>
      <c r="EV2061" s="970"/>
      <c r="EW2061" s="970"/>
      <c r="EX2061" s="970"/>
      <c r="EY2061" s="970"/>
      <c r="EZ2061" s="970"/>
      <c r="FA2061" s="970"/>
      <c r="FB2061" s="970"/>
      <c r="FC2061" s="970"/>
      <c r="FD2061" s="970"/>
      <c r="FE2061" s="970"/>
      <c r="FF2061" s="970"/>
      <c r="FG2061" s="970"/>
      <c r="FH2061" s="970"/>
      <c r="FI2061" s="970"/>
      <c r="FJ2061" s="970"/>
      <c r="FK2061" s="970"/>
      <c r="FL2061" s="970"/>
      <c r="FM2061" s="970"/>
      <c r="FN2061" s="970"/>
      <c r="FO2061" s="970"/>
      <c r="FP2061" s="970"/>
      <c r="FQ2061" s="970"/>
      <c r="FR2061" s="970"/>
      <c r="FS2061" s="970"/>
      <c r="FT2061" s="970"/>
      <c r="FU2061" s="970"/>
      <c r="FV2061" s="970"/>
      <c r="FW2061" s="970"/>
      <c r="FX2061" s="970"/>
      <c r="FY2061" s="970"/>
      <c r="FZ2061" s="970"/>
      <c r="GA2061" s="970"/>
      <c r="GB2061" s="970"/>
      <c r="GC2061" s="970"/>
      <c r="GD2061" s="970"/>
      <c r="GE2061" s="970"/>
      <c r="GF2061" s="970"/>
      <c r="GG2061" s="970"/>
      <c r="GH2061" s="970"/>
      <c r="GI2061" s="970"/>
      <c r="GJ2061" s="970"/>
      <c r="GK2061" s="970"/>
      <c r="GL2061" s="970"/>
      <c r="GM2061" s="970"/>
      <c r="GN2061" s="970"/>
      <c r="GO2061" s="970"/>
      <c r="GP2061" s="970"/>
      <c r="GQ2061" s="970"/>
      <c r="GR2061" s="970"/>
      <c r="GS2061" s="970"/>
      <c r="GT2061" s="970"/>
      <c r="GU2061" s="970"/>
      <c r="GV2061" s="970"/>
      <c r="GW2061" s="970"/>
      <c r="GX2061" s="970"/>
      <c r="GY2061" s="970"/>
      <c r="GZ2061" s="970"/>
      <c r="HA2061" s="970"/>
      <c r="HB2061" s="970"/>
      <c r="HC2061" s="970"/>
      <c r="HD2061" s="970"/>
      <c r="HE2061" s="970"/>
      <c r="HF2061" s="970"/>
      <c r="HG2061" s="970"/>
      <c r="HH2061" s="970"/>
      <c r="HI2061" s="970"/>
      <c r="HJ2061" s="970"/>
      <c r="HK2061" s="970"/>
      <c r="HL2061" s="970"/>
      <c r="HM2061" s="970"/>
      <c r="HN2061" s="970"/>
      <c r="HO2061" s="970"/>
      <c r="HP2061" s="970"/>
      <c r="HQ2061" s="970"/>
      <c r="HR2061" s="970"/>
      <c r="HS2061" s="970"/>
      <c r="HT2061" s="970"/>
      <c r="HU2061" s="970"/>
      <c r="HV2061" s="970"/>
      <c r="HW2061" s="970"/>
      <c r="HX2061" s="970"/>
      <c r="HY2061" s="970"/>
      <c r="HZ2061" s="970"/>
      <c r="IA2061" s="970"/>
      <c r="IB2061" s="970"/>
      <c r="IC2061" s="970"/>
      <c r="ID2061" s="970"/>
      <c r="IE2061" s="970"/>
      <c r="IF2061" s="970"/>
      <c r="IG2061" s="970"/>
      <c r="IH2061" s="970"/>
      <c r="II2061" s="970"/>
      <c r="IJ2061" s="970"/>
      <c r="IK2061" s="970"/>
      <c r="IL2061" s="970"/>
      <c r="IM2061" s="970"/>
      <c r="IN2061" s="970"/>
      <c r="IO2061" s="970"/>
    </row>
    <row r="2062" spans="1:249" s="1346" customFormat="1" ht="66">
      <c r="A2062" s="2558">
        <v>2</v>
      </c>
      <c r="B2062" s="1939"/>
      <c r="C2062" s="303">
        <v>4</v>
      </c>
      <c r="D2062" s="303" t="s">
        <v>34</v>
      </c>
      <c r="E2062" s="303" t="s">
        <v>28</v>
      </c>
      <c r="F2062" s="303" t="s">
        <v>25</v>
      </c>
      <c r="G2062" s="303" t="s">
        <v>28</v>
      </c>
      <c r="H2062" s="303"/>
      <c r="I2062" s="629" t="s">
        <v>36</v>
      </c>
      <c r="J2062" s="629" t="s">
        <v>3419</v>
      </c>
      <c r="K2062" s="230">
        <v>72</v>
      </c>
      <c r="L2062" s="230">
        <v>2818608000</v>
      </c>
      <c r="M2062" s="230">
        <v>36</v>
      </c>
      <c r="N2062" s="230">
        <f>SUM(N2063:N2074)</f>
        <v>5143447000</v>
      </c>
      <c r="O2062" s="230">
        <v>12</v>
      </c>
      <c r="P2062" s="230">
        <f>SUM(P2063:P2074)</f>
        <v>2523863500</v>
      </c>
      <c r="Q2062" s="230">
        <v>3</v>
      </c>
      <c r="R2062" s="230">
        <f>SUM(R2063:R2073)</f>
        <v>64439000</v>
      </c>
      <c r="S2062" s="230">
        <f>SUM(S2064:S2076)</f>
        <v>17</v>
      </c>
      <c r="T2062" s="230">
        <f>SUM(T2063:T2074)</f>
        <v>173587000</v>
      </c>
      <c r="U2062" s="545"/>
      <c r="V2062" s="545"/>
      <c r="W2062" s="545"/>
      <c r="X2062" s="545"/>
      <c r="Y2062" s="545">
        <v>3</v>
      </c>
      <c r="Z2062" s="160">
        <f>R2062</f>
        <v>64439000</v>
      </c>
      <c r="AA2062" s="545">
        <f t="shared" si="622"/>
        <v>39</v>
      </c>
      <c r="AB2062" s="230">
        <f t="shared" si="623"/>
        <v>5207886000</v>
      </c>
      <c r="AC2062" s="140">
        <f>AA2062/K2062*100</f>
        <v>54.166666666666664</v>
      </c>
      <c r="AD2062" s="148">
        <f>AB2062/L2062*100</f>
        <v>184.76801314691505</v>
      </c>
      <c r="AE2062" s="2558" t="s">
        <v>1710</v>
      </c>
      <c r="AF2062" s="200"/>
      <c r="AG2062" s="200"/>
      <c r="AH2062" s="200"/>
      <c r="AI2062" s="1128"/>
      <c r="AJ2062" s="200"/>
      <c r="AK2062" s="1128"/>
      <c r="AL2062" s="200"/>
      <c r="AM2062" s="1128"/>
      <c r="AN2062" s="200"/>
      <c r="AO2062" s="1128"/>
      <c r="AP2062" s="200"/>
      <c r="AQ2062" s="200"/>
      <c r="AR2062" s="200"/>
      <c r="AS2062" s="200"/>
      <c r="AT2062" s="200"/>
      <c r="AU2062" s="200"/>
      <c r="AV2062" s="200"/>
      <c r="AW2062" s="200"/>
      <c r="AX2062" s="200"/>
      <c r="AY2062" s="200"/>
      <c r="AZ2062" s="200"/>
      <c r="BA2062" s="200"/>
      <c r="BB2062" s="200"/>
      <c r="BC2062" s="970"/>
      <c r="BD2062" s="970"/>
      <c r="BE2062" s="970"/>
      <c r="BF2062" s="970"/>
      <c r="BG2062" s="970"/>
      <c r="BH2062" s="970"/>
      <c r="BI2062" s="970"/>
      <c r="BJ2062" s="970"/>
      <c r="BK2062" s="970"/>
      <c r="BL2062" s="970"/>
      <c r="BM2062" s="970"/>
      <c r="BN2062" s="970"/>
      <c r="BO2062" s="970"/>
      <c r="BP2062" s="970"/>
      <c r="BQ2062" s="970"/>
      <c r="BR2062" s="970"/>
      <c r="BS2062" s="970"/>
      <c r="BT2062" s="970"/>
      <c r="BU2062" s="970"/>
      <c r="BV2062" s="970"/>
      <c r="BW2062" s="970"/>
      <c r="BX2062" s="970"/>
      <c r="BY2062" s="970"/>
      <c r="BZ2062" s="970"/>
      <c r="CA2062" s="970"/>
      <c r="CB2062" s="970"/>
      <c r="CC2062" s="970"/>
      <c r="CD2062" s="970"/>
      <c r="CE2062" s="970"/>
      <c r="CF2062" s="970"/>
      <c r="CG2062" s="970"/>
      <c r="CH2062" s="970"/>
      <c r="CI2062" s="970"/>
      <c r="CJ2062" s="970"/>
      <c r="CK2062" s="970"/>
      <c r="CL2062" s="970"/>
      <c r="CM2062" s="970"/>
      <c r="CN2062" s="970"/>
      <c r="CO2062" s="970"/>
      <c r="CP2062" s="970"/>
      <c r="CQ2062" s="970"/>
      <c r="CR2062" s="970"/>
      <c r="CS2062" s="970"/>
      <c r="CT2062" s="970"/>
      <c r="CU2062" s="970"/>
      <c r="CV2062" s="970"/>
      <c r="CW2062" s="970"/>
      <c r="CX2062" s="970"/>
      <c r="CY2062" s="970"/>
      <c r="CZ2062" s="970"/>
      <c r="DA2062" s="970"/>
      <c r="DB2062" s="970"/>
      <c r="DC2062" s="970"/>
      <c r="DD2062" s="970"/>
      <c r="DE2062" s="970"/>
      <c r="DF2062" s="970"/>
      <c r="DG2062" s="970"/>
      <c r="DH2062" s="970"/>
      <c r="DI2062" s="970"/>
      <c r="DJ2062" s="970"/>
      <c r="DK2062" s="970"/>
      <c r="DL2062" s="970"/>
      <c r="DM2062" s="970"/>
      <c r="DN2062" s="970"/>
      <c r="DO2062" s="970"/>
      <c r="DP2062" s="970"/>
      <c r="DQ2062" s="970"/>
      <c r="DR2062" s="970"/>
      <c r="DS2062" s="970"/>
      <c r="DT2062" s="970"/>
      <c r="DU2062" s="970"/>
      <c r="DV2062" s="970"/>
      <c r="DW2062" s="970"/>
      <c r="DX2062" s="970"/>
      <c r="DY2062" s="970"/>
      <c r="DZ2062" s="970"/>
      <c r="EA2062" s="970"/>
      <c r="EB2062" s="970"/>
      <c r="EC2062" s="970"/>
      <c r="ED2062" s="970"/>
      <c r="EE2062" s="970"/>
      <c r="EF2062" s="970"/>
      <c r="EG2062" s="970"/>
      <c r="EH2062" s="970"/>
      <c r="EI2062" s="970"/>
      <c r="EJ2062" s="970"/>
      <c r="EK2062" s="970"/>
      <c r="EL2062" s="970"/>
      <c r="EM2062" s="970"/>
      <c r="EN2062" s="970"/>
      <c r="EO2062" s="970"/>
      <c r="EP2062" s="970"/>
      <c r="EQ2062" s="970"/>
      <c r="ER2062" s="970"/>
      <c r="ES2062" s="970"/>
      <c r="ET2062" s="970"/>
      <c r="EU2062" s="970"/>
      <c r="EV2062" s="970"/>
      <c r="EW2062" s="970"/>
      <c r="EX2062" s="970"/>
      <c r="EY2062" s="970"/>
      <c r="EZ2062" s="970"/>
      <c r="FA2062" s="970"/>
      <c r="FB2062" s="970"/>
      <c r="FC2062" s="970"/>
      <c r="FD2062" s="970"/>
      <c r="FE2062" s="970"/>
      <c r="FF2062" s="970"/>
      <c r="FG2062" s="970"/>
      <c r="FH2062" s="970"/>
      <c r="FI2062" s="970"/>
      <c r="FJ2062" s="970"/>
      <c r="FK2062" s="970"/>
      <c r="FL2062" s="970"/>
      <c r="FM2062" s="970"/>
      <c r="FN2062" s="970"/>
      <c r="FO2062" s="970"/>
      <c r="FP2062" s="970"/>
      <c r="FQ2062" s="970"/>
      <c r="FR2062" s="970"/>
      <c r="FS2062" s="970"/>
      <c r="FT2062" s="970"/>
      <c r="FU2062" s="970"/>
      <c r="FV2062" s="970"/>
      <c r="FW2062" s="970"/>
      <c r="FX2062" s="970"/>
      <c r="FY2062" s="970"/>
      <c r="FZ2062" s="970"/>
      <c r="GA2062" s="970"/>
      <c r="GB2062" s="970"/>
      <c r="GC2062" s="970"/>
      <c r="GD2062" s="970"/>
      <c r="GE2062" s="970"/>
      <c r="GF2062" s="970"/>
      <c r="GG2062" s="970"/>
      <c r="GH2062" s="970"/>
      <c r="GI2062" s="970"/>
      <c r="GJ2062" s="970"/>
      <c r="GK2062" s="970"/>
      <c r="GL2062" s="970"/>
      <c r="GM2062" s="970"/>
      <c r="GN2062" s="970"/>
      <c r="GO2062" s="970"/>
      <c r="GP2062" s="970"/>
      <c r="GQ2062" s="970"/>
      <c r="GR2062" s="970"/>
      <c r="GS2062" s="970"/>
      <c r="GT2062" s="970"/>
      <c r="GU2062" s="970"/>
      <c r="GV2062" s="970"/>
      <c r="GW2062" s="970"/>
      <c r="GX2062" s="970"/>
      <c r="GY2062" s="970"/>
      <c r="GZ2062" s="970"/>
      <c r="HA2062" s="970"/>
      <c r="HB2062" s="970"/>
      <c r="HC2062" s="970"/>
      <c r="HD2062" s="970"/>
      <c r="HE2062" s="970"/>
      <c r="HF2062" s="970"/>
      <c r="HG2062" s="970"/>
      <c r="HH2062" s="970"/>
      <c r="HI2062" s="970"/>
      <c r="HJ2062" s="970"/>
      <c r="HK2062" s="970"/>
      <c r="HL2062" s="970"/>
      <c r="HM2062" s="970"/>
      <c r="HN2062" s="970"/>
      <c r="HO2062" s="970"/>
      <c r="HP2062" s="970"/>
      <c r="HQ2062" s="970"/>
      <c r="HR2062" s="970"/>
      <c r="HS2062" s="970"/>
      <c r="HT2062" s="970"/>
      <c r="HU2062" s="970"/>
      <c r="HV2062" s="970"/>
      <c r="HW2062" s="970"/>
      <c r="HX2062" s="970"/>
      <c r="HY2062" s="970"/>
      <c r="HZ2062" s="970"/>
      <c r="IA2062" s="970"/>
      <c r="IB2062" s="970"/>
      <c r="IC2062" s="970"/>
      <c r="ID2062" s="970"/>
      <c r="IE2062" s="970"/>
      <c r="IF2062" s="970"/>
      <c r="IG2062" s="970"/>
      <c r="IH2062" s="970"/>
      <c r="II2062" s="970"/>
      <c r="IJ2062" s="970"/>
      <c r="IK2062" s="970"/>
      <c r="IL2062" s="970"/>
      <c r="IM2062" s="970"/>
      <c r="IN2062" s="970"/>
      <c r="IO2062" s="970"/>
    </row>
    <row r="2063" spans="1:249" s="1288" customFormat="1" ht="33">
      <c r="A2063" s="102"/>
      <c r="B2063" s="847"/>
      <c r="C2063" s="628">
        <v>4</v>
      </c>
      <c r="D2063" s="628" t="s">
        <v>34</v>
      </c>
      <c r="E2063" s="628" t="s">
        <v>28</v>
      </c>
      <c r="F2063" s="628" t="s">
        <v>25</v>
      </c>
      <c r="G2063" s="628" t="s">
        <v>28</v>
      </c>
      <c r="H2063" s="628"/>
      <c r="I2063" s="10" t="s">
        <v>514</v>
      </c>
      <c r="J2063" s="10" t="s">
        <v>1718</v>
      </c>
      <c r="K2063" s="1132">
        <v>4</v>
      </c>
      <c r="L2063" s="238">
        <v>1800000000</v>
      </c>
      <c r="M2063" s="1762">
        <v>2</v>
      </c>
      <c r="N2063" s="238">
        <v>70750000</v>
      </c>
      <c r="O2063" s="1762">
        <v>1</v>
      </c>
      <c r="P2063" s="238">
        <v>30250000</v>
      </c>
      <c r="Q2063" s="238">
        <v>0</v>
      </c>
      <c r="R2063" s="238">
        <v>0</v>
      </c>
      <c r="S2063" s="238">
        <v>1</v>
      </c>
      <c r="T2063" s="238">
        <v>0</v>
      </c>
      <c r="U2063" s="107"/>
      <c r="V2063" s="107"/>
      <c r="W2063" s="107"/>
      <c r="X2063" s="107"/>
      <c r="Y2063" s="107">
        <f>Q2063+S2063+U2063+W2063</f>
        <v>1</v>
      </c>
      <c r="Z2063" s="204">
        <f>R2063+T2063+V2063+X2063</f>
        <v>0</v>
      </c>
      <c r="AA2063" s="107">
        <f t="shared" si="622"/>
        <v>3</v>
      </c>
      <c r="AB2063" s="107">
        <f t="shared" si="623"/>
        <v>70750000</v>
      </c>
      <c r="AC2063" s="109">
        <f>AA2063/K2063*100</f>
        <v>75</v>
      </c>
      <c r="AD2063" s="117"/>
      <c r="AE2063" s="102"/>
      <c r="AF2063" s="200"/>
      <c r="AG2063" s="200"/>
      <c r="AH2063" s="200"/>
      <c r="AI2063" s="1128"/>
      <c r="AJ2063" s="1128"/>
      <c r="AK2063" s="1128"/>
      <c r="AL2063" s="200"/>
      <c r="AM2063" s="1128"/>
      <c r="AN2063" s="200"/>
      <c r="AO2063" s="1128"/>
      <c r="AP2063" s="200"/>
      <c r="AQ2063" s="200"/>
      <c r="AR2063" s="200"/>
      <c r="AS2063" s="200"/>
      <c r="AT2063" s="200"/>
      <c r="AU2063" s="200"/>
      <c r="AV2063" s="200"/>
      <c r="AW2063" s="200"/>
      <c r="AX2063" s="200"/>
      <c r="AY2063" s="200"/>
      <c r="AZ2063" s="200"/>
      <c r="BA2063" s="200"/>
      <c r="BB2063" s="200"/>
      <c r="BC2063" s="970"/>
      <c r="BD2063" s="970"/>
      <c r="BE2063" s="970"/>
      <c r="BF2063" s="970"/>
      <c r="BG2063" s="970"/>
      <c r="BH2063" s="970"/>
      <c r="BI2063" s="970"/>
      <c r="BJ2063" s="970"/>
      <c r="BK2063" s="970"/>
      <c r="BL2063" s="970"/>
      <c r="BM2063" s="970"/>
      <c r="BN2063" s="970"/>
      <c r="BO2063" s="970"/>
      <c r="BP2063" s="970"/>
      <c r="BQ2063" s="970"/>
      <c r="BR2063" s="970"/>
      <c r="BS2063" s="970"/>
      <c r="BT2063" s="970"/>
      <c r="BU2063" s="970"/>
      <c r="BV2063" s="970"/>
      <c r="BW2063" s="970"/>
      <c r="BX2063" s="970"/>
      <c r="BY2063" s="970"/>
      <c r="BZ2063" s="970"/>
      <c r="CA2063" s="970"/>
      <c r="CB2063" s="970"/>
      <c r="CC2063" s="970"/>
      <c r="CD2063" s="970"/>
      <c r="CE2063" s="970"/>
      <c r="CF2063" s="970"/>
      <c r="CG2063" s="970"/>
      <c r="CH2063" s="970"/>
      <c r="CI2063" s="970"/>
      <c r="CJ2063" s="970"/>
      <c r="CK2063" s="970"/>
      <c r="CL2063" s="970"/>
      <c r="CM2063" s="970"/>
      <c r="CN2063" s="970"/>
      <c r="CO2063" s="970"/>
      <c r="CP2063" s="970"/>
      <c r="CQ2063" s="970"/>
      <c r="CR2063" s="970"/>
      <c r="CS2063" s="970"/>
      <c r="CT2063" s="970"/>
      <c r="CU2063" s="970"/>
      <c r="CV2063" s="970"/>
      <c r="CW2063" s="970"/>
      <c r="CX2063" s="970"/>
      <c r="CY2063" s="970"/>
      <c r="CZ2063" s="970"/>
      <c r="DA2063" s="970"/>
      <c r="DB2063" s="970"/>
      <c r="DC2063" s="970"/>
      <c r="DD2063" s="970"/>
      <c r="DE2063" s="970"/>
      <c r="DF2063" s="970"/>
      <c r="DG2063" s="970"/>
      <c r="DH2063" s="970"/>
      <c r="DI2063" s="970"/>
      <c r="DJ2063" s="970"/>
      <c r="DK2063" s="970"/>
      <c r="DL2063" s="970"/>
      <c r="DM2063" s="970"/>
      <c r="DN2063" s="970"/>
      <c r="DO2063" s="970"/>
      <c r="DP2063" s="970"/>
      <c r="DQ2063" s="970"/>
      <c r="DR2063" s="970"/>
      <c r="DS2063" s="970"/>
      <c r="DT2063" s="970"/>
      <c r="DU2063" s="970"/>
      <c r="DV2063" s="970"/>
      <c r="DW2063" s="970"/>
      <c r="DX2063" s="970"/>
      <c r="DY2063" s="970"/>
      <c r="DZ2063" s="970"/>
      <c r="EA2063" s="970"/>
      <c r="EB2063" s="970"/>
      <c r="EC2063" s="970"/>
      <c r="ED2063" s="970"/>
      <c r="EE2063" s="970"/>
      <c r="EF2063" s="970"/>
      <c r="EG2063" s="970"/>
      <c r="EH2063" s="970"/>
      <c r="EI2063" s="970"/>
      <c r="EJ2063" s="970"/>
      <c r="EK2063" s="970"/>
      <c r="EL2063" s="970"/>
      <c r="EM2063" s="970"/>
      <c r="EN2063" s="970"/>
      <c r="EO2063" s="970"/>
      <c r="EP2063" s="970"/>
      <c r="EQ2063" s="970"/>
      <c r="ER2063" s="970"/>
      <c r="ES2063" s="970"/>
      <c r="ET2063" s="970"/>
      <c r="EU2063" s="970"/>
      <c r="EV2063" s="970"/>
      <c r="EW2063" s="970"/>
      <c r="EX2063" s="970"/>
      <c r="EY2063" s="970"/>
      <c r="EZ2063" s="970"/>
      <c r="FA2063" s="970"/>
      <c r="FB2063" s="970"/>
      <c r="FC2063" s="970"/>
      <c r="FD2063" s="970"/>
      <c r="FE2063" s="970"/>
      <c r="FF2063" s="970"/>
      <c r="FG2063" s="970"/>
      <c r="FH2063" s="970"/>
      <c r="FI2063" s="970"/>
      <c r="FJ2063" s="970"/>
      <c r="FK2063" s="970"/>
      <c r="FL2063" s="970"/>
      <c r="FM2063" s="970"/>
      <c r="FN2063" s="970"/>
      <c r="FO2063" s="970"/>
      <c r="FP2063" s="970"/>
      <c r="FQ2063" s="970"/>
      <c r="FR2063" s="970"/>
      <c r="FS2063" s="970"/>
      <c r="FT2063" s="970"/>
      <c r="FU2063" s="970"/>
      <c r="FV2063" s="970"/>
      <c r="FW2063" s="970"/>
      <c r="FX2063" s="970"/>
      <c r="FY2063" s="970"/>
      <c r="FZ2063" s="970"/>
      <c r="GA2063" s="970"/>
      <c r="GB2063" s="970"/>
      <c r="GC2063" s="970"/>
      <c r="GD2063" s="970"/>
      <c r="GE2063" s="970"/>
      <c r="GF2063" s="970"/>
      <c r="GG2063" s="970"/>
      <c r="GH2063" s="970"/>
      <c r="GI2063" s="970"/>
      <c r="GJ2063" s="970"/>
      <c r="GK2063" s="970"/>
      <c r="GL2063" s="970"/>
      <c r="GM2063" s="970"/>
      <c r="GN2063" s="970"/>
      <c r="GO2063" s="970"/>
      <c r="GP2063" s="970"/>
      <c r="GQ2063" s="970"/>
      <c r="GR2063" s="970"/>
      <c r="GS2063" s="970"/>
      <c r="GT2063" s="970"/>
      <c r="GU2063" s="970"/>
      <c r="GV2063" s="970"/>
      <c r="GW2063" s="970"/>
      <c r="GX2063" s="970"/>
      <c r="GY2063" s="970"/>
      <c r="GZ2063" s="970"/>
      <c r="HA2063" s="970"/>
      <c r="HB2063" s="970"/>
      <c r="HC2063" s="970"/>
      <c r="HD2063" s="970"/>
      <c r="HE2063" s="970"/>
      <c r="HF2063" s="970"/>
      <c r="HG2063" s="970"/>
      <c r="HH2063" s="970"/>
      <c r="HI2063" s="970"/>
      <c r="HJ2063" s="970"/>
      <c r="HK2063" s="970"/>
      <c r="HL2063" s="970"/>
      <c r="HM2063" s="970"/>
      <c r="HN2063" s="970"/>
      <c r="HO2063" s="970"/>
      <c r="HP2063" s="970"/>
      <c r="HQ2063" s="970"/>
      <c r="HR2063" s="970"/>
      <c r="HS2063" s="970"/>
      <c r="HT2063" s="970"/>
      <c r="HU2063" s="970"/>
      <c r="HV2063" s="970"/>
      <c r="HW2063" s="970"/>
      <c r="HX2063" s="970"/>
      <c r="HY2063" s="970"/>
      <c r="HZ2063" s="970"/>
      <c r="IA2063" s="970"/>
      <c r="IB2063" s="970"/>
      <c r="IC2063" s="970"/>
      <c r="ID2063" s="970"/>
      <c r="IE2063" s="970"/>
      <c r="IF2063" s="970"/>
      <c r="IG2063" s="970"/>
      <c r="IH2063" s="970"/>
      <c r="II2063" s="970"/>
      <c r="IJ2063" s="970"/>
      <c r="IK2063" s="970"/>
      <c r="IL2063" s="970"/>
      <c r="IM2063" s="970"/>
      <c r="IN2063" s="970"/>
      <c r="IO2063" s="970"/>
    </row>
    <row r="2064" spans="1:249" s="1288" customFormat="1" ht="82.5">
      <c r="A2064" s="102"/>
      <c r="B2064" s="847"/>
      <c r="C2064" s="628">
        <v>4</v>
      </c>
      <c r="D2064" s="628" t="s">
        <v>34</v>
      </c>
      <c r="E2064" s="628" t="s">
        <v>28</v>
      </c>
      <c r="F2064" s="628" t="s">
        <v>25</v>
      </c>
      <c r="G2064" s="628" t="s">
        <v>28</v>
      </c>
      <c r="H2064" s="628" t="s">
        <v>56</v>
      </c>
      <c r="I2064" s="10" t="s">
        <v>1719</v>
      </c>
      <c r="J2064" s="10" t="s">
        <v>1720</v>
      </c>
      <c r="K2064" s="1938">
        <v>12</v>
      </c>
      <c r="L2064" s="238">
        <v>1442780000</v>
      </c>
      <c r="M2064" s="107">
        <v>8</v>
      </c>
      <c r="N2064" s="238">
        <v>668000000</v>
      </c>
      <c r="O2064" s="107">
        <v>2</v>
      </c>
      <c r="P2064" s="238">
        <v>70000000</v>
      </c>
      <c r="Q2064" s="238">
        <v>0</v>
      </c>
      <c r="R2064" s="204">
        <v>0</v>
      </c>
      <c r="S2064" s="107">
        <v>0</v>
      </c>
      <c r="T2064" s="204">
        <v>0</v>
      </c>
      <c r="U2064" s="107"/>
      <c r="V2064" s="107"/>
      <c r="W2064" s="107"/>
      <c r="X2064" s="107"/>
      <c r="Y2064" s="107">
        <f>Q2064+S2064+U2064+W2064</f>
        <v>0</v>
      </c>
      <c r="Z2064" s="204">
        <f>R2064+T2064+V2064+X2064</f>
        <v>0</v>
      </c>
      <c r="AA2064" s="107">
        <f t="shared" si="622"/>
        <v>8</v>
      </c>
      <c r="AB2064" s="238">
        <f t="shared" si="623"/>
        <v>668000000</v>
      </c>
      <c r="AC2064" s="109">
        <f>AA2064/K2064*100</f>
        <v>66.666666666666657</v>
      </c>
      <c r="AD2064" s="117">
        <f t="shared" ref="AD2064:AD2073" si="624">AB2064/L2064*100</f>
        <v>46.299505122056026</v>
      </c>
      <c r="AE2064" s="102"/>
      <c r="AF2064" s="200"/>
      <c r="AG2064" s="200"/>
      <c r="AH2064" s="200"/>
      <c r="AI2064" s="1128"/>
      <c r="AJ2064" s="200"/>
      <c r="AK2064" s="1128"/>
      <c r="AL2064" s="200"/>
      <c r="AM2064" s="1128"/>
      <c r="AN2064" s="200"/>
      <c r="AO2064" s="1128"/>
      <c r="AP2064" s="200"/>
      <c r="AQ2064" s="200"/>
      <c r="AR2064" s="200"/>
      <c r="AS2064" s="200"/>
      <c r="AT2064" s="200"/>
      <c r="AU2064" s="200"/>
      <c r="AV2064" s="200"/>
      <c r="AW2064" s="200"/>
      <c r="AX2064" s="200"/>
      <c r="AY2064" s="200"/>
      <c r="AZ2064" s="200"/>
      <c r="BA2064" s="200"/>
      <c r="BB2064" s="200"/>
      <c r="BC2064" s="970"/>
      <c r="BD2064" s="970"/>
      <c r="BE2064" s="970"/>
      <c r="BF2064" s="970"/>
      <c r="BG2064" s="970"/>
      <c r="BH2064" s="970"/>
      <c r="BI2064" s="970"/>
      <c r="BJ2064" s="970"/>
      <c r="BK2064" s="970"/>
      <c r="BL2064" s="970"/>
      <c r="BM2064" s="970"/>
      <c r="BN2064" s="970"/>
      <c r="BO2064" s="970"/>
      <c r="BP2064" s="970"/>
      <c r="BQ2064" s="970"/>
      <c r="BR2064" s="970"/>
      <c r="BS2064" s="970"/>
      <c r="BT2064" s="970"/>
      <c r="BU2064" s="970"/>
      <c r="BV2064" s="970"/>
      <c r="BW2064" s="970"/>
      <c r="BX2064" s="970"/>
      <c r="BY2064" s="970"/>
      <c r="BZ2064" s="970"/>
      <c r="CA2064" s="970"/>
      <c r="CB2064" s="970"/>
      <c r="CC2064" s="970"/>
      <c r="CD2064" s="970"/>
      <c r="CE2064" s="970"/>
      <c r="CF2064" s="970"/>
      <c r="CG2064" s="970"/>
      <c r="CH2064" s="970"/>
      <c r="CI2064" s="970"/>
      <c r="CJ2064" s="970"/>
      <c r="CK2064" s="970"/>
      <c r="CL2064" s="970"/>
      <c r="CM2064" s="970"/>
      <c r="CN2064" s="970"/>
      <c r="CO2064" s="970"/>
      <c r="CP2064" s="970"/>
      <c r="CQ2064" s="970"/>
      <c r="CR2064" s="970"/>
      <c r="CS2064" s="970"/>
      <c r="CT2064" s="970"/>
      <c r="CU2064" s="970"/>
      <c r="CV2064" s="970"/>
      <c r="CW2064" s="970"/>
      <c r="CX2064" s="970"/>
      <c r="CY2064" s="970"/>
      <c r="CZ2064" s="970"/>
      <c r="DA2064" s="970"/>
      <c r="DB2064" s="970"/>
      <c r="DC2064" s="970"/>
      <c r="DD2064" s="970"/>
      <c r="DE2064" s="970"/>
      <c r="DF2064" s="970"/>
      <c r="DG2064" s="970"/>
      <c r="DH2064" s="970"/>
      <c r="DI2064" s="970"/>
      <c r="DJ2064" s="970"/>
      <c r="DK2064" s="970"/>
      <c r="DL2064" s="970"/>
      <c r="DM2064" s="970"/>
      <c r="DN2064" s="970"/>
      <c r="DO2064" s="970"/>
      <c r="DP2064" s="970"/>
      <c r="DQ2064" s="970"/>
      <c r="DR2064" s="970"/>
      <c r="DS2064" s="970"/>
      <c r="DT2064" s="970"/>
      <c r="DU2064" s="970"/>
      <c r="DV2064" s="970"/>
      <c r="DW2064" s="970"/>
      <c r="DX2064" s="970"/>
      <c r="DY2064" s="970"/>
      <c r="DZ2064" s="970"/>
      <c r="EA2064" s="970"/>
      <c r="EB2064" s="970"/>
      <c r="EC2064" s="970"/>
      <c r="ED2064" s="970"/>
      <c r="EE2064" s="970"/>
      <c r="EF2064" s="970"/>
      <c r="EG2064" s="970"/>
      <c r="EH2064" s="970"/>
      <c r="EI2064" s="970"/>
      <c r="EJ2064" s="970"/>
      <c r="EK2064" s="970"/>
      <c r="EL2064" s="970"/>
      <c r="EM2064" s="970"/>
      <c r="EN2064" s="970"/>
      <c r="EO2064" s="970"/>
      <c r="EP2064" s="970"/>
      <c r="EQ2064" s="970"/>
      <c r="ER2064" s="970"/>
      <c r="ES2064" s="970"/>
      <c r="ET2064" s="970"/>
      <c r="EU2064" s="970"/>
      <c r="EV2064" s="970"/>
      <c r="EW2064" s="970"/>
      <c r="EX2064" s="970"/>
      <c r="EY2064" s="970"/>
      <c r="EZ2064" s="970"/>
      <c r="FA2064" s="970"/>
      <c r="FB2064" s="970"/>
      <c r="FC2064" s="970"/>
      <c r="FD2064" s="970"/>
      <c r="FE2064" s="970"/>
      <c r="FF2064" s="970"/>
      <c r="FG2064" s="970"/>
      <c r="FH2064" s="970"/>
      <c r="FI2064" s="970"/>
      <c r="FJ2064" s="970"/>
      <c r="FK2064" s="970"/>
      <c r="FL2064" s="970"/>
      <c r="FM2064" s="970"/>
      <c r="FN2064" s="970"/>
      <c r="FO2064" s="970"/>
      <c r="FP2064" s="970"/>
      <c r="FQ2064" s="970"/>
      <c r="FR2064" s="970"/>
      <c r="FS2064" s="970"/>
      <c r="FT2064" s="970"/>
      <c r="FU2064" s="970"/>
      <c r="FV2064" s="970"/>
      <c r="FW2064" s="970"/>
      <c r="FX2064" s="970"/>
      <c r="FY2064" s="970"/>
      <c r="FZ2064" s="970"/>
      <c r="GA2064" s="970"/>
      <c r="GB2064" s="970"/>
      <c r="GC2064" s="970"/>
      <c r="GD2064" s="970"/>
      <c r="GE2064" s="970"/>
      <c r="GF2064" s="970"/>
      <c r="GG2064" s="970"/>
      <c r="GH2064" s="970"/>
      <c r="GI2064" s="970"/>
      <c r="GJ2064" s="970"/>
      <c r="GK2064" s="970"/>
      <c r="GL2064" s="970"/>
      <c r="GM2064" s="970"/>
      <c r="GN2064" s="970"/>
      <c r="GO2064" s="970"/>
      <c r="GP2064" s="970"/>
      <c r="GQ2064" s="970"/>
      <c r="GR2064" s="970"/>
      <c r="GS2064" s="970"/>
      <c r="GT2064" s="970"/>
      <c r="GU2064" s="970"/>
      <c r="GV2064" s="970"/>
      <c r="GW2064" s="970"/>
      <c r="GX2064" s="970"/>
      <c r="GY2064" s="970"/>
      <c r="GZ2064" s="970"/>
      <c r="HA2064" s="970"/>
      <c r="HB2064" s="970"/>
      <c r="HC2064" s="970"/>
      <c r="HD2064" s="970"/>
      <c r="HE2064" s="970"/>
      <c r="HF2064" s="970"/>
      <c r="HG2064" s="970"/>
      <c r="HH2064" s="970"/>
      <c r="HI2064" s="970"/>
      <c r="HJ2064" s="970"/>
      <c r="HK2064" s="970"/>
      <c r="HL2064" s="970"/>
      <c r="HM2064" s="970"/>
      <c r="HN2064" s="970"/>
      <c r="HO2064" s="970"/>
      <c r="HP2064" s="970"/>
      <c r="HQ2064" s="970"/>
      <c r="HR2064" s="970"/>
      <c r="HS2064" s="970"/>
      <c r="HT2064" s="970"/>
      <c r="HU2064" s="970"/>
      <c r="HV2064" s="970"/>
      <c r="HW2064" s="970"/>
      <c r="HX2064" s="970"/>
      <c r="HY2064" s="970"/>
      <c r="HZ2064" s="970"/>
      <c r="IA2064" s="970"/>
      <c r="IB2064" s="970"/>
      <c r="IC2064" s="970"/>
      <c r="ID2064" s="970"/>
      <c r="IE2064" s="970"/>
      <c r="IF2064" s="970"/>
      <c r="IG2064" s="970"/>
      <c r="IH2064" s="970"/>
      <c r="II2064" s="970"/>
      <c r="IJ2064" s="970"/>
      <c r="IK2064" s="970"/>
      <c r="IL2064" s="970"/>
      <c r="IM2064" s="970"/>
      <c r="IN2064" s="970"/>
      <c r="IO2064" s="970"/>
    </row>
    <row r="2065" spans="1:249" s="1288" customFormat="1" ht="66">
      <c r="A2065" s="102"/>
      <c r="B2065" s="847"/>
      <c r="C2065" s="628">
        <v>4</v>
      </c>
      <c r="D2065" s="628" t="s">
        <v>34</v>
      </c>
      <c r="E2065" s="628" t="s">
        <v>28</v>
      </c>
      <c r="F2065" s="628" t="s">
        <v>25</v>
      </c>
      <c r="G2065" s="628" t="s">
        <v>28</v>
      </c>
      <c r="H2065" s="628" t="s">
        <v>56</v>
      </c>
      <c r="I2065" s="10" t="s">
        <v>234</v>
      </c>
      <c r="J2065" s="10" t="s">
        <v>1721</v>
      </c>
      <c r="K2065" s="1938">
        <v>12</v>
      </c>
      <c r="L2065" s="238">
        <v>2866000000</v>
      </c>
      <c r="M2065" s="107">
        <v>8</v>
      </c>
      <c r="N2065" s="238">
        <v>573200000</v>
      </c>
      <c r="O2065" s="107"/>
      <c r="P2065" s="238">
        <v>419600000</v>
      </c>
      <c r="Q2065" s="238">
        <v>0</v>
      </c>
      <c r="R2065" s="204">
        <v>0</v>
      </c>
      <c r="S2065" s="107">
        <v>0</v>
      </c>
      <c r="T2065" s="204">
        <v>0</v>
      </c>
      <c r="U2065" s="107"/>
      <c r="V2065" s="107"/>
      <c r="W2065" s="107"/>
      <c r="X2065" s="107"/>
      <c r="Y2065" s="107">
        <v>3</v>
      </c>
      <c r="Z2065" s="204">
        <f t="shared" ref="Z2065:Z2074" si="625">R2065+T2065+V2065+X2065</f>
        <v>0</v>
      </c>
      <c r="AA2065" s="107">
        <f t="shared" si="622"/>
        <v>11</v>
      </c>
      <c r="AB2065" s="238">
        <f t="shared" si="623"/>
        <v>573200000</v>
      </c>
      <c r="AC2065" s="109"/>
      <c r="AD2065" s="117">
        <f t="shared" si="624"/>
        <v>20</v>
      </c>
      <c r="AE2065" s="102"/>
      <c r="AF2065" s="200"/>
      <c r="AG2065" s="200"/>
      <c r="AH2065" s="200"/>
      <c r="AI2065" s="1128"/>
      <c r="AJ2065" s="200"/>
      <c r="AK2065" s="1128"/>
      <c r="AL2065" s="200"/>
      <c r="AM2065" s="1128"/>
      <c r="AN2065" s="200"/>
      <c r="AO2065" s="1128"/>
      <c r="AP2065" s="200"/>
      <c r="AQ2065" s="200"/>
      <c r="AR2065" s="200"/>
      <c r="AS2065" s="200"/>
      <c r="AT2065" s="200"/>
      <c r="AU2065" s="200"/>
      <c r="AV2065" s="200"/>
      <c r="AW2065" s="200"/>
      <c r="AX2065" s="200"/>
      <c r="AY2065" s="200"/>
      <c r="AZ2065" s="200"/>
      <c r="BA2065" s="200"/>
      <c r="BB2065" s="200"/>
      <c r="BC2065" s="970"/>
      <c r="BD2065" s="970"/>
      <c r="BE2065" s="970"/>
      <c r="BF2065" s="970"/>
      <c r="BG2065" s="970"/>
      <c r="BH2065" s="970"/>
      <c r="BI2065" s="970"/>
      <c r="BJ2065" s="970"/>
      <c r="BK2065" s="970"/>
      <c r="BL2065" s="970"/>
      <c r="BM2065" s="970"/>
      <c r="BN2065" s="970"/>
      <c r="BO2065" s="970"/>
      <c r="BP2065" s="970"/>
      <c r="BQ2065" s="970"/>
      <c r="BR2065" s="970"/>
      <c r="BS2065" s="970"/>
      <c r="BT2065" s="970"/>
      <c r="BU2065" s="970"/>
      <c r="BV2065" s="970"/>
      <c r="BW2065" s="970"/>
      <c r="BX2065" s="970"/>
      <c r="BY2065" s="970"/>
      <c r="BZ2065" s="970"/>
      <c r="CA2065" s="970"/>
      <c r="CB2065" s="970"/>
      <c r="CC2065" s="970"/>
      <c r="CD2065" s="970"/>
      <c r="CE2065" s="970"/>
      <c r="CF2065" s="970"/>
      <c r="CG2065" s="970"/>
      <c r="CH2065" s="970"/>
      <c r="CI2065" s="970"/>
      <c r="CJ2065" s="970"/>
      <c r="CK2065" s="970"/>
      <c r="CL2065" s="970"/>
      <c r="CM2065" s="970"/>
      <c r="CN2065" s="970"/>
      <c r="CO2065" s="970"/>
      <c r="CP2065" s="970"/>
      <c r="CQ2065" s="970"/>
      <c r="CR2065" s="970"/>
      <c r="CS2065" s="970"/>
      <c r="CT2065" s="970"/>
      <c r="CU2065" s="970"/>
      <c r="CV2065" s="970"/>
      <c r="CW2065" s="970"/>
      <c r="CX2065" s="970"/>
      <c r="CY2065" s="970"/>
      <c r="CZ2065" s="970"/>
      <c r="DA2065" s="970"/>
      <c r="DB2065" s="970"/>
      <c r="DC2065" s="970"/>
      <c r="DD2065" s="970"/>
      <c r="DE2065" s="970"/>
      <c r="DF2065" s="970"/>
      <c r="DG2065" s="970"/>
      <c r="DH2065" s="970"/>
      <c r="DI2065" s="970"/>
      <c r="DJ2065" s="970"/>
      <c r="DK2065" s="970"/>
      <c r="DL2065" s="970"/>
      <c r="DM2065" s="970"/>
      <c r="DN2065" s="970"/>
      <c r="DO2065" s="970"/>
      <c r="DP2065" s="970"/>
      <c r="DQ2065" s="970"/>
      <c r="DR2065" s="970"/>
      <c r="DS2065" s="970"/>
      <c r="DT2065" s="970"/>
      <c r="DU2065" s="970"/>
      <c r="DV2065" s="970"/>
      <c r="DW2065" s="970"/>
      <c r="DX2065" s="970"/>
      <c r="DY2065" s="970"/>
      <c r="DZ2065" s="970"/>
      <c r="EA2065" s="970"/>
      <c r="EB2065" s="970"/>
      <c r="EC2065" s="970"/>
      <c r="ED2065" s="970"/>
      <c r="EE2065" s="970"/>
      <c r="EF2065" s="970"/>
      <c r="EG2065" s="970"/>
      <c r="EH2065" s="970"/>
      <c r="EI2065" s="970"/>
      <c r="EJ2065" s="970"/>
      <c r="EK2065" s="970"/>
      <c r="EL2065" s="970"/>
      <c r="EM2065" s="970"/>
      <c r="EN2065" s="970"/>
      <c r="EO2065" s="970"/>
      <c r="EP2065" s="970"/>
      <c r="EQ2065" s="970"/>
      <c r="ER2065" s="970"/>
      <c r="ES2065" s="970"/>
      <c r="ET2065" s="970"/>
      <c r="EU2065" s="970"/>
      <c r="EV2065" s="970"/>
      <c r="EW2065" s="970"/>
      <c r="EX2065" s="970"/>
      <c r="EY2065" s="970"/>
      <c r="EZ2065" s="970"/>
      <c r="FA2065" s="970"/>
      <c r="FB2065" s="970"/>
      <c r="FC2065" s="970"/>
      <c r="FD2065" s="970"/>
      <c r="FE2065" s="970"/>
      <c r="FF2065" s="970"/>
      <c r="FG2065" s="970"/>
      <c r="FH2065" s="970"/>
      <c r="FI2065" s="970"/>
      <c r="FJ2065" s="970"/>
      <c r="FK2065" s="970"/>
      <c r="FL2065" s="970"/>
      <c r="FM2065" s="970"/>
      <c r="FN2065" s="970"/>
      <c r="FO2065" s="970"/>
      <c r="FP2065" s="970"/>
      <c r="FQ2065" s="970"/>
      <c r="FR2065" s="970"/>
      <c r="FS2065" s="970"/>
      <c r="FT2065" s="970"/>
      <c r="FU2065" s="970"/>
      <c r="FV2065" s="970"/>
      <c r="FW2065" s="970"/>
      <c r="FX2065" s="970"/>
      <c r="FY2065" s="970"/>
      <c r="FZ2065" s="970"/>
      <c r="GA2065" s="970"/>
      <c r="GB2065" s="970"/>
      <c r="GC2065" s="970"/>
      <c r="GD2065" s="970"/>
      <c r="GE2065" s="970"/>
      <c r="GF2065" s="970"/>
      <c r="GG2065" s="970"/>
      <c r="GH2065" s="970"/>
      <c r="GI2065" s="970"/>
      <c r="GJ2065" s="970"/>
      <c r="GK2065" s="970"/>
      <c r="GL2065" s="970"/>
      <c r="GM2065" s="970"/>
      <c r="GN2065" s="970"/>
      <c r="GO2065" s="970"/>
      <c r="GP2065" s="970"/>
      <c r="GQ2065" s="970"/>
      <c r="GR2065" s="970"/>
      <c r="GS2065" s="970"/>
      <c r="GT2065" s="970"/>
      <c r="GU2065" s="970"/>
      <c r="GV2065" s="970"/>
      <c r="GW2065" s="970"/>
      <c r="GX2065" s="970"/>
      <c r="GY2065" s="970"/>
      <c r="GZ2065" s="970"/>
      <c r="HA2065" s="970"/>
      <c r="HB2065" s="970"/>
      <c r="HC2065" s="970"/>
      <c r="HD2065" s="970"/>
      <c r="HE2065" s="970"/>
      <c r="HF2065" s="970"/>
      <c r="HG2065" s="970"/>
      <c r="HH2065" s="970"/>
      <c r="HI2065" s="970"/>
      <c r="HJ2065" s="970"/>
      <c r="HK2065" s="970"/>
      <c r="HL2065" s="970"/>
      <c r="HM2065" s="970"/>
      <c r="HN2065" s="970"/>
      <c r="HO2065" s="970"/>
      <c r="HP2065" s="970"/>
      <c r="HQ2065" s="970"/>
      <c r="HR2065" s="970"/>
      <c r="HS2065" s="970"/>
      <c r="HT2065" s="970"/>
      <c r="HU2065" s="970"/>
      <c r="HV2065" s="970"/>
      <c r="HW2065" s="970"/>
      <c r="HX2065" s="970"/>
      <c r="HY2065" s="970"/>
      <c r="HZ2065" s="970"/>
      <c r="IA2065" s="970"/>
      <c r="IB2065" s="970"/>
      <c r="IC2065" s="970"/>
      <c r="ID2065" s="970"/>
      <c r="IE2065" s="970"/>
      <c r="IF2065" s="970"/>
      <c r="IG2065" s="970"/>
      <c r="IH2065" s="970"/>
      <c r="II2065" s="970"/>
      <c r="IJ2065" s="970"/>
      <c r="IK2065" s="970"/>
      <c r="IL2065" s="970"/>
      <c r="IM2065" s="970"/>
      <c r="IN2065" s="970"/>
      <c r="IO2065" s="970"/>
    </row>
    <row r="2066" spans="1:249" s="1288" customFormat="1" ht="66">
      <c r="A2066" s="102"/>
      <c r="B2066" s="846"/>
      <c r="C2066" s="628">
        <v>4</v>
      </c>
      <c r="D2066" s="628" t="s">
        <v>34</v>
      </c>
      <c r="E2066" s="628" t="s">
        <v>28</v>
      </c>
      <c r="F2066" s="628" t="s">
        <v>25</v>
      </c>
      <c r="G2066" s="628" t="s">
        <v>28</v>
      </c>
      <c r="H2066" s="628" t="s">
        <v>30</v>
      </c>
      <c r="I2066" s="10" t="s">
        <v>1722</v>
      </c>
      <c r="J2066" s="10" t="s">
        <v>1723</v>
      </c>
      <c r="K2066" s="1938">
        <v>12</v>
      </c>
      <c r="L2066" s="238">
        <v>326407000</v>
      </c>
      <c r="M2066" s="107">
        <v>8</v>
      </c>
      <c r="N2066" s="238">
        <v>112560000</v>
      </c>
      <c r="O2066" s="107">
        <v>2</v>
      </c>
      <c r="P2066" s="238">
        <v>7200000</v>
      </c>
      <c r="Q2066" s="238">
        <v>0</v>
      </c>
      <c r="R2066" s="204">
        <v>0</v>
      </c>
      <c r="S2066" s="107">
        <v>1</v>
      </c>
      <c r="T2066" s="204">
        <v>1620000</v>
      </c>
      <c r="U2066" s="107"/>
      <c r="V2066" s="107"/>
      <c r="W2066" s="107"/>
      <c r="X2066" s="107"/>
      <c r="Y2066" s="107">
        <f t="shared" ref="Y2066:Y2089" si="626">Q2066+S2066+U2066+W2066</f>
        <v>1</v>
      </c>
      <c r="Z2066" s="204">
        <f t="shared" si="625"/>
        <v>1620000</v>
      </c>
      <c r="AA2066" s="107">
        <f t="shared" si="622"/>
        <v>9</v>
      </c>
      <c r="AB2066" s="238">
        <f t="shared" si="623"/>
        <v>114180000</v>
      </c>
      <c r="AC2066" s="109">
        <f t="shared" ref="AC2066:AC2089" si="627">AA2066/K2066*100</f>
        <v>75</v>
      </c>
      <c r="AD2066" s="117">
        <f t="shared" si="624"/>
        <v>34.980867444632011</v>
      </c>
      <c r="AE2066" s="102"/>
      <c r="AF2066" s="200"/>
      <c r="AG2066" s="200"/>
      <c r="AH2066" s="200"/>
      <c r="AI2066" s="1128"/>
      <c r="AJ2066" s="200"/>
      <c r="AK2066" s="1128"/>
      <c r="AL2066" s="200"/>
      <c r="AM2066" s="1128"/>
      <c r="AN2066" s="200"/>
      <c r="AO2066" s="1128"/>
      <c r="AP2066" s="200"/>
      <c r="AQ2066" s="200"/>
      <c r="AR2066" s="200"/>
      <c r="AS2066" s="200"/>
      <c r="AT2066" s="200"/>
      <c r="AU2066" s="200"/>
      <c r="AV2066" s="200"/>
      <c r="AW2066" s="200"/>
      <c r="AX2066" s="200"/>
      <c r="AY2066" s="200"/>
      <c r="AZ2066" s="200"/>
      <c r="BA2066" s="200"/>
      <c r="BB2066" s="200"/>
      <c r="BC2066" s="970"/>
      <c r="BD2066" s="970"/>
      <c r="BE2066" s="970"/>
      <c r="BF2066" s="970"/>
      <c r="BG2066" s="970"/>
      <c r="BH2066" s="970"/>
      <c r="BI2066" s="970"/>
      <c r="BJ2066" s="970"/>
      <c r="BK2066" s="970"/>
      <c r="BL2066" s="970"/>
      <c r="BM2066" s="970"/>
      <c r="BN2066" s="970"/>
      <c r="BO2066" s="970"/>
      <c r="BP2066" s="970"/>
      <c r="BQ2066" s="970"/>
      <c r="BR2066" s="970"/>
      <c r="BS2066" s="970"/>
      <c r="BT2066" s="970"/>
      <c r="BU2066" s="970"/>
      <c r="BV2066" s="970"/>
      <c r="BW2066" s="970"/>
      <c r="BX2066" s="970"/>
      <c r="BY2066" s="970"/>
      <c r="BZ2066" s="970"/>
      <c r="CA2066" s="970"/>
      <c r="CB2066" s="970"/>
      <c r="CC2066" s="970"/>
      <c r="CD2066" s="970"/>
      <c r="CE2066" s="970"/>
      <c r="CF2066" s="970"/>
      <c r="CG2066" s="970"/>
      <c r="CH2066" s="970"/>
      <c r="CI2066" s="970"/>
      <c r="CJ2066" s="970"/>
      <c r="CK2066" s="970"/>
      <c r="CL2066" s="970"/>
      <c r="CM2066" s="970"/>
      <c r="CN2066" s="970"/>
      <c r="CO2066" s="970"/>
      <c r="CP2066" s="970"/>
      <c r="CQ2066" s="970"/>
      <c r="CR2066" s="970"/>
      <c r="CS2066" s="970"/>
      <c r="CT2066" s="970"/>
      <c r="CU2066" s="970"/>
      <c r="CV2066" s="970"/>
      <c r="CW2066" s="970"/>
      <c r="CX2066" s="970"/>
      <c r="CY2066" s="970"/>
      <c r="CZ2066" s="970"/>
      <c r="DA2066" s="970"/>
      <c r="DB2066" s="970"/>
      <c r="DC2066" s="970"/>
      <c r="DD2066" s="970"/>
      <c r="DE2066" s="970"/>
      <c r="DF2066" s="970"/>
      <c r="DG2066" s="970"/>
      <c r="DH2066" s="970"/>
      <c r="DI2066" s="970"/>
      <c r="DJ2066" s="970"/>
      <c r="DK2066" s="970"/>
      <c r="DL2066" s="970"/>
      <c r="DM2066" s="970"/>
      <c r="DN2066" s="970"/>
      <c r="DO2066" s="970"/>
      <c r="DP2066" s="970"/>
      <c r="DQ2066" s="970"/>
      <c r="DR2066" s="970"/>
      <c r="DS2066" s="970"/>
      <c r="DT2066" s="970"/>
      <c r="DU2066" s="970"/>
      <c r="DV2066" s="970"/>
      <c r="DW2066" s="970"/>
      <c r="DX2066" s="970"/>
      <c r="DY2066" s="970"/>
      <c r="DZ2066" s="970"/>
      <c r="EA2066" s="970"/>
      <c r="EB2066" s="970"/>
      <c r="EC2066" s="970"/>
      <c r="ED2066" s="970"/>
      <c r="EE2066" s="970"/>
      <c r="EF2066" s="970"/>
      <c r="EG2066" s="970"/>
      <c r="EH2066" s="970"/>
      <c r="EI2066" s="970"/>
      <c r="EJ2066" s="970"/>
      <c r="EK2066" s="970"/>
      <c r="EL2066" s="970"/>
      <c r="EM2066" s="970"/>
      <c r="EN2066" s="970"/>
      <c r="EO2066" s="970"/>
      <c r="EP2066" s="970"/>
      <c r="EQ2066" s="970"/>
      <c r="ER2066" s="970"/>
      <c r="ES2066" s="970"/>
      <c r="ET2066" s="970"/>
      <c r="EU2066" s="970"/>
      <c r="EV2066" s="970"/>
      <c r="EW2066" s="970"/>
      <c r="EX2066" s="970"/>
      <c r="EY2066" s="970"/>
      <c r="EZ2066" s="970"/>
      <c r="FA2066" s="970"/>
      <c r="FB2066" s="970"/>
      <c r="FC2066" s="970"/>
      <c r="FD2066" s="970"/>
      <c r="FE2066" s="970"/>
      <c r="FF2066" s="970"/>
      <c r="FG2066" s="970"/>
      <c r="FH2066" s="970"/>
      <c r="FI2066" s="970"/>
      <c r="FJ2066" s="970"/>
      <c r="FK2066" s="970"/>
      <c r="FL2066" s="970"/>
      <c r="FM2066" s="970"/>
      <c r="FN2066" s="970"/>
      <c r="FO2066" s="970"/>
      <c r="FP2066" s="970"/>
      <c r="FQ2066" s="970"/>
      <c r="FR2066" s="970"/>
      <c r="FS2066" s="970"/>
      <c r="FT2066" s="970"/>
      <c r="FU2066" s="970"/>
      <c r="FV2066" s="970"/>
      <c r="FW2066" s="970"/>
      <c r="FX2066" s="970"/>
      <c r="FY2066" s="970"/>
      <c r="FZ2066" s="970"/>
      <c r="GA2066" s="970"/>
      <c r="GB2066" s="970"/>
      <c r="GC2066" s="970"/>
      <c r="GD2066" s="970"/>
      <c r="GE2066" s="970"/>
      <c r="GF2066" s="970"/>
      <c r="GG2066" s="970"/>
      <c r="GH2066" s="970"/>
      <c r="GI2066" s="970"/>
      <c r="GJ2066" s="970"/>
      <c r="GK2066" s="970"/>
      <c r="GL2066" s="970"/>
      <c r="GM2066" s="970"/>
      <c r="GN2066" s="970"/>
      <c r="GO2066" s="970"/>
      <c r="GP2066" s="970"/>
      <c r="GQ2066" s="970"/>
      <c r="GR2066" s="970"/>
      <c r="GS2066" s="970"/>
      <c r="GT2066" s="970"/>
      <c r="GU2066" s="970"/>
      <c r="GV2066" s="970"/>
      <c r="GW2066" s="970"/>
      <c r="GX2066" s="970"/>
      <c r="GY2066" s="970"/>
      <c r="GZ2066" s="970"/>
      <c r="HA2066" s="970"/>
      <c r="HB2066" s="970"/>
      <c r="HC2066" s="970"/>
      <c r="HD2066" s="970"/>
      <c r="HE2066" s="970"/>
      <c r="HF2066" s="970"/>
      <c r="HG2066" s="970"/>
      <c r="HH2066" s="970"/>
      <c r="HI2066" s="970"/>
      <c r="HJ2066" s="970"/>
      <c r="HK2066" s="970"/>
      <c r="HL2066" s="970"/>
      <c r="HM2066" s="970"/>
      <c r="HN2066" s="970"/>
      <c r="HO2066" s="970"/>
      <c r="HP2066" s="970"/>
      <c r="HQ2066" s="970"/>
      <c r="HR2066" s="970"/>
      <c r="HS2066" s="970"/>
      <c r="HT2066" s="970"/>
      <c r="HU2066" s="970"/>
      <c r="HV2066" s="970"/>
      <c r="HW2066" s="970"/>
      <c r="HX2066" s="970"/>
      <c r="HY2066" s="970"/>
      <c r="HZ2066" s="970"/>
      <c r="IA2066" s="970"/>
      <c r="IB2066" s="970"/>
      <c r="IC2066" s="970"/>
      <c r="ID2066" s="970"/>
      <c r="IE2066" s="970"/>
      <c r="IF2066" s="970"/>
      <c r="IG2066" s="970"/>
      <c r="IH2066" s="970"/>
      <c r="II2066" s="970"/>
      <c r="IJ2066" s="970"/>
      <c r="IK2066" s="970"/>
      <c r="IL2066" s="970"/>
      <c r="IM2066" s="970"/>
      <c r="IN2066" s="970"/>
      <c r="IO2066" s="970"/>
    </row>
    <row r="2067" spans="1:249" s="1288" customFormat="1" ht="66">
      <c r="A2067" s="102"/>
      <c r="B2067" s="846"/>
      <c r="C2067" s="628">
        <v>4</v>
      </c>
      <c r="D2067" s="628" t="s">
        <v>34</v>
      </c>
      <c r="E2067" s="628" t="s">
        <v>28</v>
      </c>
      <c r="F2067" s="628" t="s">
        <v>25</v>
      </c>
      <c r="G2067" s="628" t="s">
        <v>28</v>
      </c>
      <c r="H2067" s="628" t="s">
        <v>43</v>
      </c>
      <c r="I2067" s="10" t="s">
        <v>82</v>
      </c>
      <c r="J2067" s="10" t="s">
        <v>1724</v>
      </c>
      <c r="K2067" s="1938">
        <v>12</v>
      </c>
      <c r="L2067" s="238">
        <v>2227800000</v>
      </c>
      <c r="M2067" s="107">
        <v>8</v>
      </c>
      <c r="N2067" s="238">
        <v>423548000</v>
      </c>
      <c r="O2067" s="107">
        <v>2</v>
      </c>
      <c r="P2067" s="238">
        <v>240300000</v>
      </c>
      <c r="Q2067" s="238">
        <v>3</v>
      </c>
      <c r="R2067" s="204">
        <v>0</v>
      </c>
      <c r="S2067" s="107">
        <v>0</v>
      </c>
      <c r="T2067" s="204">
        <v>0</v>
      </c>
      <c r="U2067" s="107"/>
      <c r="V2067" s="107"/>
      <c r="W2067" s="107"/>
      <c r="X2067" s="107"/>
      <c r="Y2067" s="107">
        <f t="shared" si="626"/>
        <v>3</v>
      </c>
      <c r="Z2067" s="204">
        <f t="shared" si="625"/>
        <v>0</v>
      </c>
      <c r="AA2067" s="107">
        <f t="shared" si="622"/>
        <v>11</v>
      </c>
      <c r="AB2067" s="238">
        <f t="shared" si="623"/>
        <v>423548000</v>
      </c>
      <c r="AC2067" s="109">
        <f t="shared" si="627"/>
        <v>91.666666666666657</v>
      </c>
      <c r="AD2067" s="117">
        <f t="shared" si="624"/>
        <v>19.011940030523387</v>
      </c>
      <c r="AE2067" s="102"/>
      <c r="AF2067" s="200"/>
      <c r="AG2067" s="200"/>
      <c r="AH2067" s="200"/>
      <c r="AI2067" s="1128"/>
      <c r="AJ2067" s="200"/>
      <c r="AK2067" s="1128"/>
      <c r="AL2067" s="200"/>
      <c r="AM2067" s="1128"/>
      <c r="AN2067" s="200"/>
      <c r="AO2067" s="1128"/>
      <c r="AP2067" s="200"/>
      <c r="AQ2067" s="200"/>
      <c r="AR2067" s="200"/>
      <c r="AS2067" s="200"/>
      <c r="AT2067" s="200"/>
      <c r="AU2067" s="200"/>
      <c r="AV2067" s="200"/>
      <c r="AW2067" s="200"/>
      <c r="AX2067" s="200"/>
      <c r="AY2067" s="200"/>
      <c r="AZ2067" s="200"/>
      <c r="BA2067" s="200"/>
      <c r="BB2067" s="200"/>
      <c r="BC2067" s="970"/>
      <c r="BD2067" s="970"/>
      <c r="BE2067" s="970"/>
      <c r="BF2067" s="970"/>
      <c r="BG2067" s="970"/>
      <c r="BH2067" s="970"/>
      <c r="BI2067" s="970"/>
      <c r="BJ2067" s="970"/>
      <c r="BK2067" s="970"/>
      <c r="BL2067" s="970"/>
      <c r="BM2067" s="970"/>
      <c r="BN2067" s="970"/>
      <c r="BO2067" s="970"/>
      <c r="BP2067" s="970"/>
      <c r="BQ2067" s="970"/>
      <c r="BR2067" s="970"/>
      <c r="BS2067" s="970"/>
      <c r="BT2067" s="970"/>
      <c r="BU2067" s="970"/>
      <c r="BV2067" s="970"/>
      <c r="BW2067" s="970"/>
      <c r="BX2067" s="970"/>
      <c r="BY2067" s="970"/>
      <c r="BZ2067" s="970"/>
      <c r="CA2067" s="970"/>
      <c r="CB2067" s="970"/>
      <c r="CC2067" s="970"/>
      <c r="CD2067" s="970"/>
      <c r="CE2067" s="970"/>
      <c r="CF2067" s="970"/>
      <c r="CG2067" s="970"/>
      <c r="CH2067" s="970"/>
      <c r="CI2067" s="970"/>
      <c r="CJ2067" s="970"/>
      <c r="CK2067" s="970"/>
      <c r="CL2067" s="970"/>
      <c r="CM2067" s="970"/>
      <c r="CN2067" s="970"/>
      <c r="CO2067" s="970"/>
      <c r="CP2067" s="970"/>
      <c r="CQ2067" s="970"/>
      <c r="CR2067" s="970"/>
      <c r="CS2067" s="970"/>
      <c r="CT2067" s="970"/>
      <c r="CU2067" s="970"/>
      <c r="CV2067" s="970"/>
      <c r="CW2067" s="970"/>
      <c r="CX2067" s="970"/>
      <c r="CY2067" s="970"/>
      <c r="CZ2067" s="970"/>
      <c r="DA2067" s="970"/>
      <c r="DB2067" s="970"/>
      <c r="DC2067" s="970"/>
      <c r="DD2067" s="970"/>
      <c r="DE2067" s="970"/>
      <c r="DF2067" s="970"/>
      <c r="DG2067" s="970"/>
      <c r="DH2067" s="970"/>
      <c r="DI2067" s="970"/>
      <c r="DJ2067" s="970"/>
      <c r="DK2067" s="970"/>
      <c r="DL2067" s="970"/>
      <c r="DM2067" s="970"/>
      <c r="DN2067" s="970"/>
      <c r="DO2067" s="970"/>
      <c r="DP2067" s="970"/>
      <c r="DQ2067" s="970"/>
      <c r="DR2067" s="970"/>
      <c r="DS2067" s="970"/>
      <c r="DT2067" s="970"/>
      <c r="DU2067" s="970"/>
      <c r="DV2067" s="970"/>
      <c r="DW2067" s="970"/>
      <c r="DX2067" s="970"/>
      <c r="DY2067" s="970"/>
      <c r="DZ2067" s="970"/>
      <c r="EA2067" s="970"/>
      <c r="EB2067" s="970"/>
      <c r="EC2067" s="970"/>
      <c r="ED2067" s="970"/>
      <c r="EE2067" s="970"/>
      <c r="EF2067" s="970"/>
      <c r="EG2067" s="970"/>
      <c r="EH2067" s="970"/>
      <c r="EI2067" s="970"/>
      <c r="EJ2067" s="970"/>
      <c r="EK2067" s="970"/>
      <c r="EL2067" s="970"/>
      <c r="EM2067" s="970"/>
      <c r="EN2067" s="970"/>
      <c r="EO2067" s="970"/>
      <c r="EP2067" s="970"/>
      <c r="EQ2067" s="970"/>
      <c r="ER2067" s="970"/>
      <c r="ES2067" s="970"/>
      <c r="ET2067" s="970"/>
      <c r="EU2067" s="970"/>
      <c r="EV2067" s="970"/>
      <c r="EW2067" s="970"/>
      <c r="EX2067" s="970"/>
      <c r="EY2067" s="970"/>
      <c r="EZ2067" s="970"/>
      <c r="FA2067" s="970"/>
      <c r="FB2067" s="970"/>
      <c r="FC2067" s="970"/>
      <c r="FD2067" s="970"/>
      <c r="FE2067" s="970"/>
      <c r="FF2067" s="970"/>
      <c r="FG2067" s="970"/>
      <c r="FH2067" s="970"/>
      <c r="FI2067" s="970"/>
      <c r="FJ2067" s="970"/>
      <c r="FK2067" s="970"/>
      <c r="FL2067" s="970"/>
      <c r="FM2067" s="970"/>
      <c r="FN2067" s="970"/>
      <c r="FO2067" s="970"/>
      <c r="FP2067" s="970"/>
      <c r="FQ2067" s="970"/>
      <c r="FR2067" s="970"/>
      <c r="FS2067" s="970"/>
      <c r="FT2067" s="970"/>
      <c r="FU2067" s="970"/>
      <c r="FV2067" s="970"/>
      <c r="FW2067" s="970"/>
      <c r="FX2067" s="970"/>
      <c r="FY2067" s="970"/>
      <c r="FZ2067" s="970"/>
      <c r="GA2067" s="970"/>
      <c r="GB2067" s="970"/>
      <c r="GC2067" s="970"/>
      <c r="GD2067" s="970"/>
      <c r="GE2067" s="970"/>
      <c r="GF2067" s="970"/>
      <c r="GG2067" s="970"/>
      <c r="GH2067" s="970"/>
      <c r="GI2067" s="970"/>
      <c r="GJ2067" s="970"/>
      <c r="GK2067" s="970"/>
      <c r="GL2067" s="970"/>
      <c r="GM2067" s="970"/>
      <c r="GN2067" s="970"/>
      <c r="GO2067" s="970"/>
      <c r="GP2067" s="970"/>
      <c r="GQ2067" s="970"/>
      <c r="GR2067" s="970"/>
      <c r="GS2067" s="970"/>
      <c r="GT2067" s="970"/>
      <c r="GU2067" s="970"/>
      <c r="GV2067" s="970"/>
      <c r="GW2067" s="970"/>
      <c r="GX2067" s="970"/>
      <c r="GY2067" s="970"/>
      <c r="GZ2067" s="970"/>
      <c r="HA2067" s="970"/>
      <c r="HB2067" s="970"/>
      <c r="HC2067" s="970"/>
      <c r="HD2067" s="970"/>
      <c r="HE2067" s="970"/>
      <c r="HF2067" s="970"/>
      <c r="HG2067" s="970"/>
      <c r="HH2067" s="970"/>
      <c r="HI2067" s="970"/>
      <c r="HJ2067" s="970"/>
      <c r="HK2067" s="970"/>
      <c r="HL2067" s="970"/>
      <c r="HM2067" s="970"/>
      <c r="HN2067" s="970"/>
      <c r="HO2067" s="970"/>
      <c r="HP2067" s="970"/>
      <c r="HQ2067" s="970"/>
      <c r="HR2067" s="970"/>
      <c r="HS2067" s="970"/>
      <c r="HT2067" s="970"/>
      <c r="HU2067" s="970"/>
      <c r="HV2067" s="970"/>
      <c r="HW2067" s="970"/>
      <c r="HX2067" s="970"/>
      <c r="HY2067" s="970"/>
      <c r="HZ2067" s="970"/>
      <c r="IA2067" s="970"/>
      <c r="IB2067" s="970"/>
      <c r="IC2067" s="970"/>
      <c r="ID2067" s="970"/>
      <c r="IE2067" s="970"/>
      <c r="IF2067" s="970"/>
      <c r="IG2067" s="970"/>
      <c r="IH2067" s="970"/>
      <c r="II2067" s="970"/>
      <c r="IJ2067" s="970"/>
      <c r="IK2067" s="970"/>
      <c r="IL2067" s="970"/>
      <c r="IM2067" s="970"/>
      <c r="IN2067" s="970"/>
      <c r="IO2067" s="970"/>
    </row>
    <row r="2068" spans="1:249" s="1288" customFormat="1" ht="49.5">
      <c r="A2068" s="102"/>
      <c r="B2068" s="846"/>
      <c r="C2068" s="628">
        <v>4</v>
      </c>
      <c r="D2068" s="628" t="s">
        <v>34</v>
      </c>
      <c r="E2068" s="628" t="s">
        <v>28</v>
      </c>
      <c r="F2068" s="628" t="s">
        <v>25</v>
      </c>
      <c r="G2068" s="628" t="s">
        <v>28</v>
      </c>
      <c r="H2068" s="628" t="s">
        <v>54</v>
      </c>
      <c r="I2068" s="10" t="s">
        <v>1725</v>
      </c>
      <c r="J2068" s="10" t="s">
        <v>1726</v>
      </c>
      <c r="K2068" s="1938">
        <v>72</v>
      </c>
      <c r="L2068" s="238">
        <v>1254000000</v>
      </c>
      <c r="M2068" s="107">
        <v>36</v>
      </c>
      <c r="N2068" s="238">
        <v>344636000</v>
      </c>
      <c r="O2068" s="107">
        <v>12</v>
      </c>
      <c r="P2068" s="238">
        <v>51800000</v>
      </c>
      <c r="Q2068" s="238">
        <v>3</v>
      </c>
      <c r="R2068" s="204">
        <v>0</v>
      </c>
      <c r="S2068" s="107">
        <v>1</v>
      </c>
      <c r="T2068" s="204">
        <v>48603000</v>
      </c>
      <c r="U2068" s="107"/>
      <c r="V2068" s="107"/>
      <c r="W2068" s="107"/>
      <c r="X2068" s="107"/>
      <c r="Y2068" s="107">
        <f t="shared" si="626"/>
        <v>4</v>
      </c>
      <c r="Z2068" s="204">
        <f t="shared" si="625"/>
        <v>48603000</v>
      </c>
      <c r="AA2068" s="107">
        <f t="shared" si="622"/>
        <v>40</v>
      </c>
      <c r="AB2068" s="238">
        <f t="shared" si="623"/>
        <v>393239000</v>
      </c>
      <c r="AC2068" s="109">
        <f t="shared" si="627"/>
        <v>55.555555555555557</v>
      </c>
      <c r="AD2068" s="117">
        <f t="shared" si="624"/>
        <v>31.358771929824563</v>
      </c>
      <c r="AE2068" s="102"/>
      <c r="AF2068" s="200"/>
      <c r="AG2068" s="200"/>
      <c r="AH2068" s="200"/>
      <c r="AI2068" s="1128"/>
      <c r="AJ2068" s="200"/>
      <c r="AK2068" s="1128"/>
      <c r="AL2068" s="200"/>
      <c r="AM2068" s="1128"/>
      <c r="AN2068" s="200"/>
      <c r="AO2068" s="1128"/>
      <c r="AP2068" s="200"/>
      <c r="AQ2068" s="200"/>
      <c r="AR2068" s="200"/>
      <c r="AS2068" s="200"/>
      <c r="AT2068" s="200"/>
      <c r="AU2068" s="200"/>
      <c r="AV2068" s="200"/>
      <c r="AW2068" s="200"/>
      <c r="AX2068" s="200"/>
      <c r="AY2068" s="200"/>
      <c r="AZ2068" s="200"/>
      <c r="BA2068" s="200"/>
      <c r="BB2068" s="200"/>
      <c r="BC2068" s="970"/>
      <c r="BD2068" s="970"/>
      <c r="BE2068" s="970"/>
      <c r="BF2068" s="970"/>
      <c r="BG2068" s="970"/>
      <c r="BH2068" s="970"/>
      <c r="BI2068" s="970"/>
      <c r="BJ2068" s="970"/>
      <c r="BK2068" s="970"/>
      <c r="BL2068" s="970"/>
      <c r="BM2068" s="970"/>
      <c r="BN2068" s="970"/>
      <c r="BO2068" s="970"/>
      <c r="BP2068" s="970"/>
      <c r="BQ2068" s="970"/>
      <c r="BR2068" s="970"/>
      <c r="BS2068" s="970"/>
      <c r="BT2068" s="970"/>
      <c r="BU2068" s="970"/>
      <c r="BV2068" s="970"/>
      <c r="BW2068" s="970"/>
      <c r="BX2068" s="970"/>
      <c r="BY2068" s="970"/>
      <c r="BZ2068" s="970"/>
      <c r="CA2068" s="970"/>
      <c r="CB2068" s="970"/>
      <c r="CC2068" s="970"/>
      <c r="CD2068" s="970"/>
      <c r="CE2068" s="970"/>
      <c r="CF2068" s="970"/>
      <c r="CG2068" s="970"/>
      <c r="CH2068" s="970"/>
      <c r="CI2068" s="970"/>
      <c r="CJ2068" s="970"/>
      <c r="CK2068" s="970"/>
      <c r="CL2068" s="970"/>
      <c r="CM2068" s="970"/>
      <c r="CN2068" s="970"/>
      <c r="CO2068" s="970"/>
      <c r="CP2068" s="970"/>
      <c r="CQ2068" s="970"/>
      <c r="CR2068" s="970"/>
      <c r="CS2068" s="970"/>
      <c r="CT2068" s="970"/>
      <c r="CU2068" s="970"/>
      <c r="CV2068" s="970"/>
      <c r="CW2068" s="970"/>
      <c r="CX2068" s="970"/>
      <c r="CY2068" s="970"/>
      <c r="CZ2068" s="970"/>
      <c r="DA2068" s="970"/>
      <c r="DB2068" s="970"/>
      <c r="DC2068" s="970"/>
      <c r="DD2068" s="970"/>
      <c r="DE2068" s="970"/>
      <c r="DF2068" s="970"/>
      <c r="DG2068" s="970"/>
      <c r="DH2068" s="970"/>
      <c r="DI2068" s="970"/>
      <c r="DJ2068" s="970"/>
      <c r="DK2068" s="970"/>
      <c r="DL2068" s="970"/>
      <c r="DM2068" s="970"/>
      <c r="DN2068" s="970"/>
      <c r="DO2068" s="970"/>
      <c r="DP2068" s="970"/>
      <c r="DQ2068" s="970"/>
      <c r="DR2068" s="970"/>
      <c r="DS2068" s="970"/>
      <c r="DT2068" s="970"/>
      <c r="DU2068" s="970"/>
      <c r="DV2068" s="970"/>
      <c r="DW2068" s="970"/>
      <c r="DX2068" s="970"/>
      <c r="DY2068" s="970"/>
      <c r="DZ2068" s="970"/>
      <c r="EA2068" s="970"/>
      <c r="EB2068" s="970"/>
      <c r="EC2068" s="970"/>
      <c r="ED2068" s="970"/>
      <c r="EE2068" s="970"/>
      <c r="EF2068" s="970"/>
      <c r="EG2068" s="970"/>
      <c r="EH2068" s="970"/>
      <c r="EI2068" s="970"/>
      <c r="EJ2068" s="970"/>
      <c r="EK2068" s="970"/>
      <c r="EL2068" s="970"/>
      <c r="EM2068" s="970"/>
      <c r="EN2068" s="970"/>
      <c r="EO2068" s="970"/>
      <c r="EP2068" s="970"/>
      <c r="EQ2068" s="970"/>
      <c r="ER2068" s="970"/>
      <c r="ES2068" s="970"/>
      <c r="ET2068" s="970"/>
      <c r="EU2068" s="970"/>
      <c r="EV2068" s="970"/>
      <c r="EW2068" s="970"/>
      <c r="EX2068" s="970"/>
      <c r="EY2068" s="970"/>
      <c r="EZ2068" s="970"/>
      <c r="FA2068" s="970"/>
      <c r="FB2068" s="970"/>
      <c r="FC2068" s="970"/>
      <c r="FD2068" s="970"/>
      <c r="FE2068" s="970"/>
      <c r="FF2068" s="970"/>
      <c r="FG2068" s="970"/>
      <c r="FH2068" s="970"/>
      <c r="FI2068" s="970"/>
      <c r="FJ2068" s="970"/>
      <c r="FK2068" s="970"/>
      <c r="FL2068" s="970"/>
      <c r="FM2068" s="970"/>
      <c r="FN2068" s="970"/>
      <c r="FO2068" s="970"/>
      <c r="FP2068" s="970"/>
      <c r="FQ2068" s="970"/>
      <c r="FR2068" s="970"/>
      <c r="FS2068" s="970"/>
      <c r="FT2068" s="970"/>
      <c r="FU2068" s="970"/>
      <c r="FV2068" s="970"/>
      <c r="FW2068" s="970"/>
      <c r="FX2068" s="970"/>
      <c r="FY2068" s="970"/>
      <c r="FZ2068" s="970"/>
      <c r="GA2068" s="970"/>
      <c r="GB2068" s="970"/>
      <c r="GC2068" s="970"/>
      <c r="GD2068" s="970"/>
      <c r="GE2068" s="970"/>
      <c r="GF2068" s="970"/>
      <c r="GG2068" s="970"/>
      <c r="GH2068" s="970"/>
      <c r="GI2068" s="970"/>
      <c r="GJ2068" s="970"/>
      <c r="GK2068" s="970"/>
      <c r="GL2068" s="970"/>
      <c r="GM2068" s="970"/>
      <c r="GN2068" s="970"/>
      <c r="GO2068" s="970"/>
      <c r="GP2068" s="970"/>
      <c r="GQ2068" s="970"/>
      <c r="GR2068" s="970"/>
      <c r="GS2068" s="970"/>
      <c r="GT2068" s="970"/>
      <c r="GU2068" s="970"/>
      <c r="GV2068" s="970"/>
      <c r="GW2068" s="970"/>
      <c r="GX2068" s="970"/>
      <c r="GY2068" s="970"/>
      <c r="GZ2068" s="970"/>
      <c r="HA2068" s="970"/>
      <c r="HB2068" s="970"/>
      <c r="HC2068" s="970"/>
      <c r="HD2068" s="970"/>
      <c r="HE2068" s="970"/>
      <c r="HF2068" s="970"/>
      <c r="HG2068" s="970"/>
      <c r="HH2068" s="970"/>
      <c r="HI2068" s="970"/>
      <c r="HJ2068" s="970"/>
      <c r="HK2068" s="970"/>
      <c r="HL2068" s="970"/>
      <c r="HM2068" s="970"/>
      <c r="HN2068" s="970"/>
      <c r="HO2068" s="970"/>
      <c r="HP2068" s="970"/>
      <c r="HQ2068" s="970"/>
      <c r="HR2068" s="970"/>
      <c r="HS2068" s="970"/>
      <c r="HT2068" s="970"/>
      <c r="HU2068" s="970"/>
      <c r="HV2068" s="970"/>
      <c r="HW2068" s="970"/>
      <c r="HX2068" s="970"/>
      <c r="HY2068" s="970"/>
      <c r="HZ2068" s="970"/>
      <c r="IA2068" s="970"/>
      <c r="IB2068" s="970"/>
      <c r="IC2068" s="970"/>
      <c r="ID2068" s="970"/>
      <c r="IE2068" s="970"/>
      <c r="IF2068" s="970"/>
      <c r="IG2068" s="970"/>
      <c r="IH2068" s="970"/>
      <c r="II2068" s="970"/>
      <c r="IJ2068" s="970"/>
      <c r="IK2068" s="970"/>
      <c r="IL2068" s="970"/>
      <c r="IM2068" s="970"/>
      <c r="IN2068" s="970"/>
      <c r="IO2068" s="970"/>
    </row>
    <row r="2069" spans="1:249" s="1288" customFormat="1" ht="49.5">
      <c r="A2069" s="102"/>
      <c r="B2069" s="846"/>
      <c r="C2069" s="628">
        <v>4</v>
      </c>
      <c r="D2069" s="628" t="s">
        <v>34</v>
      </c>
      <c r="E2069" s="628" t="s">
        <v>28</v>
      </c>
      <c r="F2069" s="628" t="s">
        <v>25</v>
      </c>
      <c r="G2069" s="628" t="s">
        <v>28</v>
      </c>
      <c r="H2069" s="628" t="s">
        <v>61</v>
      </c>
      <c r="I2069" s="10" t="s">
        <v>37</v>
      </c>
      <c r="J2069" s="10" t="s">
        <v>1727</v>
      </c>
      <c r="K2069" s="1938">
        <v>72</v>
      </c>
      <c r="L2069" s="238">
        <v>1520000000</v>
      </c>
      <c r="M2069" s="107">
        <v>36</v>
      </c>
      <c r="N2069" s="238">
        <v>921135000</v>
      </c>
      <c r="O2069" s="107">
        <v>12</v>
      </c>
      <c r="P2069" s="238">
        <v>1090550000</v>
      </c>
      <c r="Q2069" s="238">
        <v>3</v>
      </c>
      <c r="R2069" s="204">
        <v>0</v>
      </c>
      <c r="S2069" s="107">
        <v>0</v>
      </c>
      <c r="T2069" s="204">
        <v>0</v>
      </c>
      <c r="U2069" s="107"/>
      <c r="V2069" s="107"/>
      <c r="W2069" s="107"/>
      <c r="X2069" s="107"/>
      <c r="Y2069" s="107">
        <f t="shared" si="626"/>
        <v>3</v>
      </c>
      <c r="Z2069" s="204">
        <f t="shared" si="625"/>
        <v>0</v>
      </c>
      <c r="AA2069" s="107">
        <f t="shared" si="622"/>
        <v>39</v>
      </c>
      <c r="AB2069" s="238">
        <f t="shared" si="623"/>
        <v>921135000</v>
      </c>
      <c r="AC2069" s="109">
        <f t="shared" si="627"/>
        <v>54.166666666666664</v>
      </c>
      <c r="AD2069" s="117">
        <f t="shared" si="624"/>
        <v>60.600986842105264</v>
      </c>
      <c r="AE2069" s="102"/>
      <c r="AF2069" s="200"/>
      <c r="AG2069" s="200"/>
      <c r="AH2069" s="200"/>
      <c r="AI2069" s="1128"/>
      <c r="AJ2069" s="200"/>
      <c r="AK2069" s="1128"/>
      <c r="AL2069" s="200"/>
      <c r="AM2069" s="1128"/>
      <c r="AN2069" s="200"/>
      <c r="AO2069" s="1128"/>
      <c r="AP2069" s="200"/>
      <c r="AQ2069" s="200"/>
      <c r="AR2069" s="200"/>
      <c r="AS2069" s="200"/>
      <c r="AT2069" s="200"/>
      <c r="AU2069" s="200"/>
      <c r="AV2069" s="200"/>
      <c r="AW2069" s="200"/>
      <c r="AX2069" s="200"/>
      <c r="AY2069" s="200"/>
      <c r="AZ2069" s="200"/>
      <c r="BA2069" s="200"/>
      <c r="BB2069" s="200"/>
      <c r="BC2069" s="970"/>
      <c r="BD2069" s="970"/>
      <c r="BE2069" s="970"/>
      <c r="BF2069" s="970"/>
      <c r="BG2069" s="970"/>
      <c r="BH2069" s="970"/>
      <c r="BI2069" s="970"/>
      <c r="BJ2069" s="970"/>
      <c r="BK2069" s="970"/>
      <c r="BL2069" s="970"/>
      <c r="BM2069" s="970"/>
      <c r="BN2069" s="970"/>
      <c r="BO2069" s="970"/>
      <c r="BP2069" s="970"/>
      <c r="BQ2069" s="970"/>
      <c r="BR2069" s="970"/>
      <c r="BS2069" s="970"/>
      <c r="BT2069" s="970"/>
      <c r="BU2069" s="970"/>
      <c r="BV2069" s="970"/>
      <c r="BW2069" s="970"/>
      <c r="BX2069" s="970"/>
      <c r="BY2069" s="970"/>
      <c r="BZ2069" s="970"/>
      <c r="CA2069" s="970"/>
      <c r="CB2069" s="970"/>
      <c r="CC2069" s="970"/>
      <c r="CD2069" s="970"/>
      <c r="CE2069" s="970"/>
      <c r="CF2069" s="970"/>
      <c r="CG2069" s="970"/>
      <c r="CH2069" s="970"/>
      <c r="CI2069" s="970"/>
      <c r="CJ2069" s="970"/>
      <c r="CK2069" s="970"/>
      <c r="CL2069" s="970"/>
      <c r="CM2069" s="970"/>
      <c r="CN2069" s="970"/>
      <c r="CO2069" s="970"/>
      <c r="CP2069" s="970"/>
      <c r="CQ2069" s="970"/>
      <c r="CR2069" s="970"/>
      <c r="CS2069" s="970"/>
      <c r="CT2069" s="970"/>
      <c r="CU2069" s="970"/>
      <c r="CV2069" s="970"/>
      <c r="CW2069" s="970"/>
      <c r="CX2069" s="970"/>
      <c r="CY2069" s="970"/>
      <c r="CZ2069" s="970"/>
      <c r="DA2069" s="970"/>
      <c r="DB2069" s="970"/>
      <c r="DC2069" s="970"/>
      <c r="DD2069" s="970"/>
      <c r="DE2069" s="970"/>
      <c r="DF2069" s="970"/>
      <c r="DG2069" s="970"/>
      <c r="DH2069" s="970"/>
      <c r="DI2069" s="970"/>
      <c r="DJ2069" s="970"/>
      <c r="DK2069" s="970"/>
      <c r="DL2069" s="970"/>
      <c r="DM2069" s="970"/>
      <c r="DN2069" s="970"/>
      <c r="DO2069" s="970"/>
      <c r="DP2069" s="970"/>
      <c r="DQ2069" s="970"/>
      <c r="DR2069" s="970"/>
      <c r="DS2069" s="970"/>
      <c r="DT2069" s="970"/>
      <c r="DU2069" s="970"/>
      <c r="DV2069" s="970"/>
      <c r="DW2069" s="970"/>
      <c r="DX2069" s="970"/>
      <c r="DY2069" s="970"/>
      <c r="DZ2069" s="970"/>
      <c r="EA2069" s="970"/>
      <c r="EB2069" s="970"/>
      <c r="EC2069" s="970"/>
      <c r="ED2069" s="970"/>
      <c r="EE2069" s="970"/>
      <c r="EF2069" s="970"/>
      <c r="EG2069" s="970"/>
      <c r="EH2069" s="970"/>
      <c r="EI2069" s="970"/>
      <c r="EJ2069" s="970"/>
      <c r="EK2069" s="970"/>
      <c r="EL2069" s="970"/>
      <c r="EM2069" s="970"/>
      <c r="EN2069" s="970"/>
      <c r="EO2069" s="970"/>
      <c r="EP2069" s="970"/>
      <c r="EQ2069" s="970"/>
      <c r="ER2069" s="970"/>
      <c r="ES2069" s="970"/>
      <c r="ET2069" s="970"/>
      <c r="EU2069" s="970"/>
      <c r="EV2069" s="970"/>
      <c r="EW2069" s="970"/>
      <c r="EX2069" s="970"/>
      <c r="EY2069" s="970"/>
      <c r="EZ2069" s="970"/>
      <c r="FA2069" s="970"/>
      <c r="FB2069" s="970"/>
      <c r="FC2069" s="970"/>
      <c r="FD2069" s="970"/>
      <c r="FE2069" s="970"/>
      <c r="FF2069" s="970"/>
      <c r="FG2069" s="970"/>
      <c r="FH2069" s="970"/>
      <c r="FI2069" s="970"/>
      <c r="FJ2069" s="970"/>
      <c r="FK2069" s="970"/>
      <c r="FL2069" s="970"/>
      <c r="FM2069" s="970"/>
      <c r="FN2069" s="970"/>
      <c r="FO2069" s="970"/>
      <c r="FP2069" s="970"/>
      <c r="FQ2069" s="970"/>
      <c r="FR2069" s="970"/>
      <c r="FS2069" s="970"/>
      <c r="FT2069" s="970"/>
      <c r="FU2069" s="970"/>
      <c r="FV2069" s="970"/>
      <c r="FW2069" s="970"/>
      <c r="FX2069" s="970"/>
      <c r="FY2069" s="970"/>
      <c r="FZ2069" s="970"/>
      <c r="GA2069" s="970"/>
      <c r="GB2069" s="970"/>
      <c r="GC2069" s="970"/>
      <c r="GD2069" s="970"/>
      <c r="GE2069" s="970"/>
      <c r="GF2069" s="970"/>
      <c r="GG2069" s="970"/>
      <c r="GH2069" s="970"/>
      <c r="GI2069" s="970"/>
      <c r="GJ2069" s="970"/>
      <c r="GK2069" s="970"/>
      <c r="GL2069" s="970"/>
      <c r="GM2069" s="970"/>
      <c r="GN2069" s="970"/>
      <c r="GO2069" s="970"/>
      <c r="GP2069" s="970"/>
      <c r="GQ2069" s="970"/>
      <c r="GR2069" s="970"/>
      <c r="GS2069" s="970"/>
      <c r="GT2069" s="970"/>
      <c r="GU2069" s="970"/>
      <c r="GV2069" s="970"/>
      <c r="GW2069" s="970"/>
      <c r="GX2069" s="970"/>
      <c r="GY2069" s="970"/>
      <c r="GZ2069" s="970"/>
      <c r="HA2069" s="970"/>
      <c r="HB2069" s="970"/>
      <c r="HC2069" s="970"/>
      <c r="HD2069" s="970"/>
      <c r="HE2069" s="970"/>
      <c r="HF2069" s="970"/>
      <c r="HG2069" s="970"/>
      <c r="HH2069" s="970"/>
      <c r="HI2069" s="970"/>
      <c r="HJ2069" s="970"/>
      <c r="HK2069" s="970"/>
      <c r="HL2069" s="970"/>
      <c r="HM2069" s="970"/>
      <c r="HN2069" s="970"/>
      <c r="HO2069" s="970"/>
      <c r="HP2069" s="970"/>
      <c r="HQ2069" s="970"/>
      <c r="HR2069" s="970"/>
      <c r="HS2069" s="970"/>
      <c r="HT2069" s="970"/>
      <c r="HU2069" s="970"/>
      <c r="HV2069" s="970"/>
      <c r="HW2069" s="970"/>
      <c r="HX2069" s="970"/>
      <c r="HY2069" s="970"/>
      <c r="HZ2069" s="970"/>
      <c r="IA2069" s="970"/>
      <c r="IB2069" s="970"/>
      <c r="IC2069" s="970"/>
      <c r="ID2069" s="970"/>
      <c r="IE2069" s="970"/>
      <c r="IF2069" s="970"/>
      <c r="IG2069" s="970"/>
      <c r="IH2069" s="970"/>
      <c r="II2069" s="970"/>
      <c r="IJ2069" s="970"/>
      <c r="IK2069" s="970"/>
      <c r="IL2069" s="970"/>
      <c r="IM2069" s="970"/>
      <c r="IN2069" s="970"/>
      <c r="IO2069" s="970"/>
    </row>
    <row r="2070" spans="1:249" s="1288" customFormat="1" ht="49.5">
      <c r="A2070" s="102"/>
      <c r="B2070" s="846"/>
      <c r="C2070" s="628">
        <v>4</v>
      </c>
      <c r="D2070" s="628" t="s">
        <v>34</v>
      </c>
      <c r="E2070" s="628" t="s">
        <v>28</v>
      </c>
      <c r="F2070" s="628" t="s">
        <v>25</v>
      </c>
      <c r="G2070" s="628" t="s">
        <v>28</v>
      </c>
      <c r="H2070" s="628" t="s">
        <v>48</v>
      </c>
      <c r="I2070" s="10" t="s">
        <v>1728</v>
      </c>
      <c r="J2070" s="10" t="s">
        <v>1729</v>
      </c>
      <c r="K2070" s="1938">
        <v>72</v>
      </c>
      <c r="L2070" s="238">
        <v>2019022000</v>
      </c>
      <c r="M2070" s="107">
        <v>36</v>
      </c>
      <c r="N2070" s="238">
        <v>1050934000</v>
      </c>
      <c r="O2070" s="107">
        <v>12</v>
      </c>
      <c r="P2070" s="238">
        <v>379883500</v>
      </c>
      <c r="Q2070" s="238">
        <v>3</v>
      </c>
      <c r="R2070" s="204">
        <v>47519000</v>
      </c>
      <c r="S2070" s="107">
        <v>3</v>
      </c>
      <c r="T2070" s="204">
        <v>67604000</v>
      </c>
      <c r="U2070" s="107"/>
      <c r="V2070" s="107"/>
      <c r="W2070" s="107"/>
      <c r="X2070" s="107"/>
      <c r="Y2070" s="107">
        <f t="shared" si="626"/>
        <v>6</v>
      </c>
      <c r="Z2070" s="204">
        <f t="shared" si="625"/>
        <v>115123000</v>
      </c>
      <c r="AA2070" s="107">
        <f t="shared" si="622"/>
        <v>42</v>
      </c>
      <c r="AB2070" s="238">
        <f t="shared" si="623"/>
        <v>1166057000</v>
      </c>
      <c r="AC2070" s="109">
        <f t="shared" si="627"/>
        <v>58.333333333333336</v>
      </c>
      <c r="AD2070" s="117">
        <f t="shared" si="624"/>
        <v>57.753555929554011</v>
      </c>
      <c r="AE2070" s="102"/>
      <c r="AF2070" s="200"/>
      <c r="AG2070" s="200"/>
      <c r="AH2070" s="200"/>
      <c r="AI2070" s="1128"/>
      <c r="AJ2070" s="200"/>
      <c r="AK2070" s="1128"/>
      <c r="AL2070" s="200"/>
      <c r="AM2070" s="1128"/>
      <c r="AN2070" s="200"/>
      <c r="AO2070" s="1128"/>
      <c r="AP2070" s="200"/>
      <c r="AQ2070" s="200"/>
      <c r="AR2070" s="200"/>
      <c r="AS2070" s="200"/>
      <c r="AT2070" s="200"/>
      <c r="AU2070" s="200"/>
      <c r="AV2070" s="200"/>
      <c r="AW2070" s="200"/>
      <c r="AX2070" s="200"/>
      <c r="AY2070" s="200"/>
      <c r="AZ2070" s="200"/>
      <c r="BA2070" s="200"/>
      <c r="BB2070" s="200"/>
      <c r="BC2070" s="970"/>
      <c r="BD2070" s="970"/>
      <c r="BE2070" s="970"/>
      <c r="BF2070" s="970"/>
      <c r="BG2070" s="970"/>
      <c r="BH2070" s="970"/>
      <c r="BI2070" s="970"/>
      <c r="BJ2070" s="970"/>
      <c r="BK2070" s="970"/>
      <c r="BL2070" s="970"/>
      <c r="BM2070" s="970"/>
      <c r="BN2070" s="970"/>
      <c r="BO2070" s="970"/>
      <c r="BP2070" s="970"/>
      <c r="BQ2070" s="970"/>
      <c r="BR2070" s="970"/>
      <c r="BS2070" s="970"/>
      <c r="BT2070" s="970"/>
      <c r="BU2070" s="970"/>
      <c r="BV2070" s="970"/>
      <c r="BW2070" s="970"/>
      <c r="BX2070" s="970"/>
      <c r="BY2070" s="970"/>
      <c r="BZ2070" s="970"/>
      <c r="CA2070" s="970"/>
      <c r="CB2070" s="970"/>
      <c r="CC2070" s="970"/>
      <c r="CD2070" s="970"/>
      <c r="CE2070" s="970"/>
      <c r="CF2070" s="970"/>
      <c r="CG2070" s="970"/>
      <c r="CH2070" s="970"/>
      <c r="CI2070" s="970"/>
      <c r="CJ2070" s="970"/>
      <c r="CK2070" s="970"/>
      <c r="CL2070" s="970"/>
      <c r="CM2070" s="970"/>
      <c r="CN2070" s="970"/>
      <c r="CO2070" s="970"/>
      <c r="CP2070" s="970"/>
      <c r="CQ2070" s="970"/>
      <c r="CR2070" s="970"/>
      <c r="CS2070" s="970"/>
      <c r="CT2070" s="970"/>
      <c r="CU2070" s="970"/>
      <c r="CV2070" s="970"/>
      <c r="CW2070" s="970"/>
      <c r="CX2070" s="970"/>
      <c r="CY2070" s="970"/>
      <c r="CZ2070" s="970"/>
      <c r="DA2070" s="970"/>
      <c r="DB2070" s="970"/>
      <c r="DC2070" s="970"/>
      <c r="DD2070" s="970"/>
      <c r="DE2070" s="970"/>
      <c r="DF2070" s="970"/>
      <c r="DG2070" s="970"/>
      <c r="DH2070" s="970"/>
      <c r="DI2070" s="970"/>
      <c r="DJ2070" s="970"/>
      <c r="DK2070" s="970"/>
      <c r="DL2070" s="970"/>
      <c r="DM2070" s="970"/>
      <c r="DN2070" s="970"/>
      <c r="DO2070" s="970"/>
      <c r="DP2070" s="970"/>
      <c r="DQ2070" s="970"/>
      <c r="DR2070" s="970"/>
      <c r="DS2070" s="970"/>
      <c r="DT2070" s="970"/>
      <c r="DU2070" s="970"/>
      <c r="DV2070" s="970"/>
      <c r="DW2070" s="970"/>
      <c r="DX2070" s="970"/>
      <c r="DY2070" s="970"/>
      <c r="DZ2070" s="970"/>
      <c r="EA2070" s="970"/>
      <c r="EB2070" s="970"/>
      <c r="EC2070" s="970"/>
      <c r="ED2070" s="970"/>
      <c r="EE2070" s="970"/>
      <c r="EF2070" s="970"/>
      <c r="EG2070" s="970"/>
      <c r="EH2070" s="970"/>
      <c r="EI2070" s="970"/>
      <c r="EJ2070" s="970"/>
      <c r="EK2070" s="970"/>
      <c r="EL2070" s="970"/>
      <c r="EM2070" s="970"/>
      <c r="EN2070" s="970"/>
      <c r="EO2070" s="970"/>
      <c r="EP2070" s="970"/>
      <c r="EQ2070" s="970"/>
      <c r="ER2070" s="970"/>
      <c r="ES2070" s="970"/>
      <c r="ET2070" s="970"/>
      <c r="EU2070" s="970"/>
      <c r="EV2070" s="970"/>
      <c r="EW2070" s="970"/>
      <c r="EX2070" s="970"/>
      <c r="EY2070" s="970"/>
      <c r="EZ2070" s="970"/>
      <c r="FA2070" s="970"/>
      <c r="FB2070" s="970"/>
      <c r="FC2070" s="970"/>
      <c r="FD2070" s="970"/>
      <c r="FE2070" s="970"/>
      <c r="FF2070" s="970"/>
      <c r="FG2070" s="970"/>
      <c r="FH2070" s="970"/>
      <c r="FI2070" s="970"/>
      <c r="FJ2070" s="970"/>
      <c r="FK2070" s="970"/>
      <c r="FL2070" s="970"/>
      <c r="FM2070" s="970"/>
      <c r="FN2070" s="970"/>
      <c r="FO2070" s="970"/>
      <c r="FP2070" s="970"/>
      <c r="FQ2070" s="970"/>
      <c r="FR2070" s="970"/>
      <c r="FS2070" s="970"/>
      <c r="FT2070" s="970"/>
      <c r="FU2070" s="970"/>
      <c r="FV2070" s="970"/>
      <c r="FW2070" s="970"/>
      <c r="FX2070" s="970"/>
      <c r="FY2070" s="970"/>
      <c r="FZ2070" s="970"/>
      <c r="GA2070" s="970"/>
      <c r="GB2070" s="970"/>
      <c r="GC2070" s="970"/>
      <c r="GD2070" s="970"/>
      <c r="GE2070" s="970"/>
      <c r="GF2070" s="970"/>
      <c r="GG2070" s="970"/>
      <c r="GH2070" s="970"/>
      <c r="GI2070" s="970"/>
      <c r="GJ2070" s="970"/>
      <c r="GK2070" s="970"/>
      <c r="GL2070" s="970"/>
      <c r="GM2070" s="970"/>
      <c r="GN2070" s="970"/>
      <c r="GO2070" s="970"/>
      <c r="GP2070" s="970"/>
      <c r="GQ2070" s="970"/>
      <c r="GR2070" s="970"/>
      <c r="GS2070" s="970"/>
      <c r="GT2070" s="970"/>
      <c r="GU2070" s="970"/>
      <c r="GV2070" s="970"/>
      <c r="GW2070" s="970"/>
      <c r="GX2070" s="970"/>
      <c r="GY2070" s="970"/>
      <c r="GZ2070" s="970"/>
      <c r="HA2070" s="970"/>
      <c r="HB2070" s="970"/>
      <c r="HC2070" s="970"/>
      <c r="HD2070" s="970"/>
      <c r="HE2070" s="970"/>
      <c r="HF2070" s="970"/>
      <c r="HG2070" s="970"/>
      <c r="HH2070" s="970"/>
      <c r="HI2070" s="970"/>
      <c r="HJ2070" s="970"/>
      <c r="HK2070" s="970"/>
      <c r="HL2070" s="970"/>
      <c r="HM2070" s="970"/>
      <c r="HN2070" s="970"/>
      <c r="HO2070" s="970"/>
      <c r="HP2070" s="970"/>
      <c r="HQ2070" s="970"/>
      <c r="HR2070" s="970"/>
      <c r="HS2070" s="970"/>
      <c r="HT2070" s="970"/>
      <c r="HU2070" s="970"/>
      <c r="HV2070" s="970"/>
      <c r="HW2070" s="970"/>
      <c r="HX2070" s="970"/>
      <c r="HY2070" s="970"/>
      <c r="HZ2070" s="970"/>
      <c r="IA2070" s="970"/>
      <c r="IB2070" s="970"/>
      <c r="IC2070" s="970"/>
      <c r="ID2070" s="970"/>
      <c r="IE2070" s="970"/>
      <c r="IF2070" s="970"/>
      <c r="IG2070" s="970"/>
      <c r="IH2070" s="970"/>
      <c r="II2070" s="970"/>
      <c r="IJ2070" s="970"/>
      <c r="IK2070" s="970"/>
      <c r="IL2070" s="970"/>
      <c r="IM2070" s="970"/>
      <c r="IN2070" s="970"/>
      <c r="IO2070" s="970"/>
    </row>
    <row r="2071" spans="1:249" s="1288" customFormat="1" ht="99">
      <c r="A2071" s="102"/>
      <c r="B2071" s="846"/>
      <c r="C2071" s="628">
        <v>4</v>
      </c>
      <c r="D2071" s="628" t="s">
        <v>34</v>
      </c>
      <c r="E2071" s="628" t="s">
        <v>28</v>
      </c>
      <c r="F2071" s="628" t="s">
        <v>25</v>
      </c>
      <c r="G2071" s="628" t="s">
        <v>28</v>
      </c>
      <c r="H2071" s="628" t="s">
        <v>84</v>
      </c>
      <c r="I2071" s="10" t="s">
        <v>1033</v>
      </c>
      <c r="J2071" s="10" t="s">
        <v>1034</v>
      </c>
      <c r="K2071" s="1938">
        <v>72</v>
      </c>
      <c r="L2071" s="238">
        <v>1527880000</v>
      </c>
      <c r="M2071" s="107">
        <v>36</v>
      </c>
      <c r="N2071" s="238">
        <v>589192000</v>
      </c>
      <c r="O2071" s="107">
        <v>12</v>
      </c>
      <c r="P2071" s="238">
        <v>158280000</v>
      </c>
      <c r="Q2071" s="238">
        <v>3</v>
      </c>
      <c r="R2071" s="238">
        <v>13538000</v>
      </c>
      <c r="S2071" s="107">
        <v>3</v>
      </c>
      <c r="T2071" s="238">
        <v>15413000</v>
      </c>
      <c r="U2071" s="107"/>
      <c r="V2071" s="107"/>
      <c r="W2071" s="107"/>
      <c r="X2071" s="107"/>
      <c r="Y2071" s="107">
        <f t="shared" si="626"/>
        <v>6</v>
      </c>
      <c r="Z2071" s="204">
        <f t="shared" si="625"/>
        <v>28951000</v>
      </c>
      <c r="AA2071" s="107">
        <f t="shared" si="622"/>
        <v>42</v>
      </c>
      <c r="AB2071" s="238">
        <f t="shared" si="623"/>
        <v>618143000</v>
      </c>
      <c r="AC2071" s="109">
        <f t="shared" si="627"/>
        <v>58.333333333333336</v>
      </c>
      <c r="AD2071" s="117">
        <f t="shared" si="624"/>
        <v>40.457562112207768</v>
      </c>
      <c r="AE2071" s="102"/>
      <c r="AF2071" s="200"/>
      <c r="AG2071" s="200"/>
      <c r="AH2071" s="200"/>
      <c r="AI2071" s="1128"/>
      <c r="AJ2071" s="200"/>
      <c r="AK2071" s="1128"/>
      <c r="AL2071" s="200"/>
      <c r="AM2071" s="1128"/>
      <c r="AN2071" s="200"/>
      <c r="AO2071" s="1128"/>
      <c r="AP2071" s="200"/>
      <c r="AQ2071" s="200"/>
      <c r="AR2071" s="200"/>
      <c r="AS2071" s="200"/>
      <c r="AT2071" s="200"/>
      <c r="AU2071" s="200"/>
      <c r="AV2071" s="200"/>
      <c r="AW2071" s="200"/>
      <c r="AX2071" s="200"/>
      <c r="AY2071" s="200"/>
      <c r="AZ2071" s="200"/>
      <c r="BA2071" s="200"/>
      <c r="BB2071" s="200"/>
      <c r="BC2071" s="970"/>
      <c r="BD2071" s="970"/>
      <c r="BE2071" s="970"/>
      <c r="BF2071" s="970"/>
      <c r="BG2071" s="970"/>
      <c r="BH2071" s="970"/>
      <c r="BI2071" s="970"/>
      <c r="BJ2071" s="970"/>
      <c r="BK2071" s="970"/>
      <c r="BL2071" s="970"/>
      <c r="BM2071" s="970"/>
      <c r="BN2071" s="970"/>
      <c r="BO2071" s="970"/>
      <c r="BP2071" s="970"/>
      <c r="BQ2071" s="970"/>
      <c r="BR2071" s="970"/>
      <c r="BS2071" s="970"/>
      <c r="BT2071" s="970"/>
      <c r="BU2071" s="970"/>
      <c r="BV2071" s="970"/>
      <c r="BW2071" s="970"/>
      <c r="BX2071" s="970"/>
      <c r="BY2071" s="970"/>
      <c r="BZ2071" s="970"/>
      <c r="CA2071" s="970"/>
      <c r="CB2071" s="970"/>
      <c r="CC2071" s="970"/>
      <c r="CD2071" s="970"/>
      <c r="CE2071" s="970"/>
      <c r="CF2071" s="970"/>
      <c r="CG2071" s="970"/>
      <c r="CH2071" s="970"/>
      <c r="CI2071" s="970"/>
      <c r="CJ2071" s="970"/>
      <c r="CK2071" s="970"/>
      <c r="CL2071" s="970"/>
      <c r="CM2071" s="970"/>
      <c r="CN2071" s="970"/>
      <c r="CO2071" s="970"/>
      <c r="CP2071" s="970"/>
      <c r="CQ2071" s="970"/>
      <c r="CR2071" s="970"/>
      <c r="CS2071" s="970"/>
      <c r="CT2071" s="970"/>
      <c r="CU2071" s="970"/>
      <c r="CV2071" s="970"/>
      <c r="CW2071" s="970"/>
      <c r="CX2071" s="970"/>
      <c r="CY2071" s="970"/>
      <c r="CZ2071" s="970"/>
      <c r="DA2071" s="970"/>
      <c r="DB2071" s="970"/>
      <c r="DC2071" s="970"/>
      <c r="DD2071" s="970"/>
      <c r="DE2071" s="970"/>
      <c r="DF2071" s="970"/>
      <c r="DG2071" s="970"/>
      <c r="DH2071" s="970"/>
      <c r="DI2071" s="970"/>
      <c r="DJ2071" s="970"/>
      <c r="DK2071" s="970"/>
      <c r="DL2071" s="970"/>
      <c r="DM2071" s="970"/>
      <c r="DN2071" s="970"/>
      <c r="DO2071" s="970"/>
      <c r="DP2071" s="970"/>
      <c r="DQ2071" s="970"/>
      <c r="DR2071" s="970"/>
      <c r="DS2071" s="970"/>
      <c r="DT2071" s="970"/>
      <c r="DU2071" s="970"/>
      <c r="DV2071" s="970"/>
      <c r="DW2071" s="970"/>
      <c r="DX2071" s="970"/>
      <c r="DY2071" s="970"/>
      <c r="DZ2071" s="970"/>
      <c r="EA2071" s="970"/>
      <c r="EB2071" s="970"/>
      <c r="EC2071" s="970"/>
      <c r="ED2071" s="970"/>
      <c r="EE2071" s="970"/>
      <c r="EF2071" s="970"/>
      <c r="EG2071" s="970"/>
      <c r="EH2071" s="970"/>
      <c r="EI2071" s="970"/>
      <c r="EJ2071" s="970"/>
      <c r="EK2071" s="970"/>
      <c r="EL2071" s="970"/>
      <c r="EM2071" s="970"/>
      <c r="EN2071" s="970"/>
      <c r="EO2071" s="970"/>
      <c r="EP2071" s="970"/>
      <c r="EQ2071" s="970"/>
      <c r="ER2071" s="970"/>
      <c r="ES2071" s="970"/>
      <c r="ET2071" s="970"/>
      <c r="EU2071" s="970"/>
      <c r="EV2071" s="970"/>
      <c r="EW2071" s="970"/>
      <c r="EX2071" s="970"/>
      <c r="EY2071" s="970"/>
      <c r="EZ2071" s="970"/>
      <c r="FA2071" s="970"/>
      <c r="FB2071" s="970"/>
      <c r="FC2071" s="970"/>
      <c r="FD2071" s="970"/>
      <c r="FE2071" s="970"/>
      <c r="FF2071" s="970"/>
      <c r="FG2071" s="970"/>
      <c r="FH2071" s="970"/>
      <c r="FI2071" s="970"/>
      <c r="FJ2071" s="970"/>
      <c r="FK2071" s="970"/>
      <c r="FL2071" s="970"/>
      <c r="FM2071" s="970"/>
      <c r="FN2071" s="970"/>
      <c r="FO2071" s="970"/>
      <c r="FP2071" s="970"/>
      <c r="FQ2071" s="970"/>
      <c r="FR2071" s="970"/>
      <c r="FS2071" s="970"/>
      <c r="FT2071" s="970"/>
      <c r="FU2071" s="970"/>
      <c r="FV2071" s="970"/>
      <c r="FW2071" s="970"/>
      <c r="FX2071" s="970"/>
      <c r="FY2071" s="970"/>
      <c r="FZ2071" s="970"/>
      <c r="GA2071" s="970"/>
      <c r="GB2071" s="970"/>
      <c r="GC2071" s="970"/>
      <c r="GD2071" s="970"/>
      <c r="GE2071" s="970"/>
      <c r="GF2071" s="970"/>
      <c r="GG2071" s="970"/>
      <c r="GH2071" s="970"/>
      <c r="GI2071" s="970"/>
      <c r="GJ2071" s="970"/>
      <c r="GK2071" s="970"/>
      <c r="GL2071" s="970"/>
      <c r="GM2071" s="970"/>
      <c r="GN2071" s="970"/>
      <c r="GO2071" s="970"/>
      <c r="GP2071" s="970"/>
      <c r="GQ2071" s="970"/>
      <c r="GR2071" s="970"/>
      <c r="GS2071" s="970"/>
      <c r="GT2071" s="970"/>
      <c r="GU2071" s="970"/>
      <c r="GV2071" s="970"/>
      <c r="GW2071" s="970"/>
      <c r="GX2071" s="970"/>
      <c r="GY2071" s="970"/>
      <c r="GZ2071" s="970"/>
      <c r="HA2071" s="970"/>
      <c r="HB2071" s="970"/>
      <c r="HC2071" s="970"/>
      <c r="HD2071" s="970"/>
      <c r="HE2071" s="970"/>
      <c r="HF2071" s="970"/>
      <c r="HG2071" s="970"/>
      <c r="HH2071" s="970"/>
      <c r="HI2071" s="970"/>
      <c r="HJ2071" s="970"/>
      <c r="HK2071" s="970"/>
      <c r="HL2071" s="970"/>
      <c r="HM2071" s="970"/>
      <c r="HN2071" s="970"/>
      <c r="HO2071" s="970"/>
      <c r="HP2071" s="970"/>
      <c r="HQ2071" s="970"/>
      <c r="HR2071" s="970"/>
      <c r="HS2071" s="970"/>
      <c r="HT2071" s="970"/>
      <c r="HU2071" s="970"/>
      <c r="HV2071" s="970"/>
      <c r="HW2071" s="970"/>
      <c r="HX2071" s="970"/>
      <c r="HY2071" s="970"/>
      <c r="HZ2071" s="970"/>
      <c r="IA2071" s="970"/>
      <c r="IB2071" s="970"/>
      <c r="IC2071" s="970"/>
      <c r="ID2071" s="970"/>
      <c r="IE2071" s="970"/>
      <c r="IF2071" s="970"/>
      <c r="IG2071" s="970"/>
      <c r="IH2071" s="970"/>
      <c r="II2071" s="970"/>
      <c r="IJ2071" s="970"/>
      <c r="IK2071" s="970"/>
      <c r="IL2071" s="970"/>
      <c r="IM2071" s="970"/>
      <c r="IN2071" s="970"/>
      <c r="IO2071" s="970"/>
    </row>
    <row r="2072" spans="1:249" s="1288" customFormat="1" ht="49.5">
      <c r="A2072" s="102"/>
      <c r="B2072" s="846"/>
      <c r="C2072" s="628">
        <v>4</v>
      </c>
      <c r="D2072" s="628" t="s">
        <v>34</v>
      </c>
      <c r="E2072" s="628" t="s">
        <v>28</v>
      </c>
      <c r="F2072" s="628" t="s">
        <v>25</v>
      </c>
      <c r="G2072" s="628" t="s">
        <v>28</v>
      </c>
      <c r="H2072" s="628" t="s">
        <v>542</v>
      </c>
      <c r="I2072" s="10" t="s">
        <v>1035</v>
      </c>
      <c r="J2072" s="10" t="s">
        <v>1036</v>
      </c>
      <c r="K2072" s="1938">
        <v>72</v>
      </c>
      <c r="L2072" s="238">
        <v>270000000</v>
      </c>
      <c r="M2072" s="107">
        <v>36</v>
      </c>
      <c r="N2072" s="238">
        <v>211813000</v>
      </c>
      <c r="O2072" s="107">
        <v>12</v>
      </c>
      <c r="P2072" s="238">
        <v>44000000</v>
      </c>
      <c r="Q2072" s="238">
        <v>3</v>
      </c>
      <c r="R2072" s="204">
        <v>3382000</v>
      </c>
      <c r="S2072" s="107">
        <v>3</v>
      </c>
      <c r="T2072" s="204">
        <v>27359000</v>
      </c>
      <c r="U2072" s="107"/>
      <c r="V2072" s="107"/>
      <c r="W2072" s="107"/>
      <c r="X2072" s="107"/>
      <c r="Y2072" s="107">
        <f t="shared" si="626"/>
        <v>6</v>
      </c>
      <c r="Z2072" s="204">
        <f t="shared" si="625"/>
        <v>30741000</v>
      </c>
      <c r="AA2072" s="107">
        <f t="shared" si="622"/>
        <v>42</v>
      </c>
      <c r="AB2072" s="238">
        <f t="shared" si="623"/>
        <v>242554000</v>
      </c>
      <c r="AC2072" s="109">
        <f t="shared" si="627"/>
        <v>58.333333333333336</v>
      </c>
      <c r="AD2072" s="117">
        <f t="shared" si="624"/>
        <v>89.834814814814806</v>
      </c>
      <c r="AE2072" s="102"/>
      <c r="AF2072" s="200"/>
      <c r="AG2072" s="200"/>
      <c r="AH2072" s="200"/>
      <c r="AI2072" s="1128"/>
      <c r="AJ2072" s="200"/>
      <c r="AK2072" s="1128"/>
      <c r="AL2072" s="200"/>
      <c r="AM2072" s="1128"/>
      <c r="AN2072" s="200"/>
      <c r="AO2072" s="1128"/>
      <c r="AP2072" s="200"/>
      <c r="AQ2072" s="200"/>
      <c r="AR2072" s="200"/>
      <c r="AS2072" s="200"/>
      <c r="AT2072" s="200"/>
      <c r="AU2072" s="200"/>
      <c r="AV2072" s="200"/>
      <c r="AW2072" s="200"/>
      <c r="AX2072" s="200"/>
      <c r="AY2072" s="200"/>
      <c r="AZ2072" s="200"/>
      <c r="BA2072" s="200"/>
      <c r="BB2072" s="200"/>
      <c r="BC2072" s="970"/>
      <c r="BD2072" s="970"/>
      <c r="BE2072" s="970"/>
      <c r="BF2072" s="970"/>
      <c r="BG2072" s="970"/>
      <c r="BH2072" s="970"/>
      <c r="BI2072" s="970"/>
      <c r="BJ2072" s="970"/>
      <c r="BK2072" s="970"/>
      <c r="BL2072" s="970"/>
      <c r="BM2072" s="970"/>
      <c r="BN2072" s="970"/>
      <c r="BO2072" s="970"/>
      <c r="BP2072" s="970"/>
      <c r="BQ2072" s="970"/>
      <c r="BR2072" s="970"/>
      <c r="BS2072" s="970"/>
      <c r="BT2072" s="970"/>
      <c r="BU2072" s="970"/>
      <c r="BV2072" s="970"/>
      <c r="BW2072" s="970"/>
      <c r="BX2072" s="970"/>
      <c r="BY2072" s="970"/>
      <c r="BZ2072" s="970"/>
      <c r="CA2072" s="970"/>
      <c r="CB2072" s="970"/>
      <c r="CC2072" s="970"/>
      <c r="CD2072" s="970"/>
      <c r="CE2072" s="970"/>
      <c r="CF2072" s="970"/>
      <c r="CG2072" s="970"/>
      <c r="CH2072" s="970"/>
      <c r="CI2072" s="970"/>
      <c r="CJ2072" s="970"/>
      <c r="CK2072" s="970"/>
      <c r="CL2072" s="970"/>
      <c r="CM2072" s="970"/>
      <c r="CN2072" s="970"/>
      <c r="CO2072" s="970"/>
      <c r="CP2072" s="970"/>
      <c r="CQ2072" s="970"/>
      <c r="CR2072" s="970"/>
      <c r="CS2072" s="970"/>
      <c r="CT2072" s="970"/>
      <c r="CU2072" s="970"/>
      <c r="CV2072" s="970"/>
      <c r="CW2072" s="970"/>
      <c r="CX2072" s="970"/>
      <c r="CY2072" s="970"/>
      <c r="CZ2072" s="970"/>
      <c r="DA2072" s="970"/>
      <c r="DB2072" s="970"/>
      <c r="DC2072" s="970"/>
      <c r="DD2072" s="970"/>
      <c r="DE2072" s="970"/>
      <c r="DF2072" s="970"/>
      <c r="DG2072" s="970"/>
      <c r="DH2072" s="970"/>
      <c r="DI2072" s="970"/>
      <c r="DJ2072" s="970"/>
      <c r="DK2072" s="970"/>
      <c r="DL2072" s="970"/>
      <c r="DM2072" s="970"/>
      <c r="DN2072" s="970"/>
      <c r="DO2072" s="970"/>
      <c r="DP2072" s="970"/>
      <c r="DQ2072" s="970"/>
      <c r="DR2072" s="970"/>
      <c r="DS2072" s="970"/>
      <c r="DT2072" s="970"/>
      <c r="DU2072" s="970"/>
      <c r="DV2072" s="970"/>
      <c r="DW2072" s="970"/>
      <c r="DX2072" s="970"/>
      <c r="DY2072" s="970"/>
      <c r="DZ2072" s="970"/>
      <c r="EA2072" s="970"/>
      <c r="EB2072" s="970"/>
      <c r="EC2072" s="970"/>
      <c r="ED2072" s="970"/>
      <c r="EE2072" s="970"/>
      <c r="EF2072" s="970"/>
      <c r="EG2072" s="970"/>
      <c r="EH2072" s="970"/>
      <c r="EI2072" s="970"/>
      <c r="EJ2072" s="970"/>
      <c r="EK2072" s="970"/>
      <c r="EL2072" s="970"/>
      <c r="EM2072" s="970"/>
      <c r="EN2072" s="970"/>
      <c r="EO2072" s="970"/>
      <c r="EP2072" s="970"/>
      <c r="EQ2072" s="970"/>
      <c r="ER2072" s="970"/>
      <c r="ES2072" s="970"/>
      <c r="ET2072" s="970"/>
      <c r="EU2072" s="970"/>
      <c r="EV2072" s="970"/>
      <c r="EW2072" s="970"/>
      <c r="EX2072" s="970"/>
      <c r="EY2072" s="970"/>
      <c r="EZ2072" s="970"/>
      <c r="FA2072" s="970"/>
      <c r="FB2072" s="970"/>
      <c r="FC2072" s="970"/>
      <c r="FD2072" s="970"/>
      <c r="FE2072" s="970"/>
      <c r="FF2072" s="970"/>
      <c r="FG2072" s="970"/>
      <c r="FH2072" s="970"/>
      <c r="FI2072" s="970"/>
      <c r="FJ2072" s="970"/>
      <c r="FK2072" s="970"/>
      <c r="FL2072" s="970"/>
      <c r="FM2072" s="970"/>
      <c r="FN2072" s="970"/>
      <c r="FO2072" s="970"/>
      <c r="FP2072" s="970"/>
      <c r="FQ2072" s="970"/>
      <c r="FR2072" s="970"/>
      <c r="FS2072" s="970"/>
      <c r="FT2072" s="970"/>
      <c r="FU2072" s="970"/>
      <c r="FV2072" s="970"/>
      <c r="FW2072" s="970"/>
      <c r="FX2072" s="970"/>
      <c r="FY2072" s="970"/>
      <c r="FZ2072" s="970"/>
      <c r="GA2072" s="970"/>
      <c r="GB2072" s="970"/>
      <c r="GC2072" s="970"/>
      <c r="GD2072" s="970"/>
      <c r="GE2072" s="970"/>
      <c r="GF2072" s="970"/>
      <c r="GG2072" s="970"/>
      <c r="GH2072" s="970"/>
      <c r="GI2072" s="970"/>
      <c r="GJ2072" s="970"/>
      <c r="GK2072" s="970"/>
      <c r="GL2072" s="970"/>
      <c r="GM2072" s="970"/>
      <c r="GN2072" s="970"/>
      <c r="GO2072" s="970"/>
      <c r="GP2072" s="970"/>
      <c r="GQ2072" s="970"/>
      <c r="GR2072" s="970"/>
      <c r="GS2072" s="970"/>
      <c r="GT2072" s="970"/>
      <c r="GU2072" s="970"/>
      <c r="GV2072" s="970"/>
      <c r="GW2072" s="970"/>
      <c r="GX2072" s="970"/>
      <c r="GY2072" s="970"/>
      <c r="GZ2072" s="970"/>
      <c r="HA2072" s="970"/>
      <c r="HB2072" s="970"/>
      <c r="HC2072" s="970"/>
      <c r="HD2072" s="970"/>
      <c r="HE2072" s="970"/>
      <c r="HF2072" s="970"/>
      <c r="HG2072" s="970"/>
      <c r="HH2072" s="970"/>
      <c r="HI2072" s="970"/>
      <c r="HJ2072" s="970"/>
      <c r="HK2072" s="970"/>
      <c r="HL2072" s="970"/>
      <c r="HM2072" s="970"/>
      <c r="HN2072" s="970"/>
      <c r="HO2072" s="970"/>
      <c r="HP2072" s="970"/>
      <c r="HQ2072" s="970"/>
      <c r="HR2072" s="970"/>
      <c r="HS2072" s="970"/>
      <c r="HT2072" s="970"/>
      <c r="HU2072" s="970"/>
      <c r="HV2072" s="970"/>
      <c r="HW2072" s="970"/>
      <c r="HX2072" s="970"/>
      <c r="HY2072" s="970"/>
      <c r="HZ2072" s="970"/>
      <c r="IA2072" s="970"/>
      <c r="IB2072" s="970"/>
      <c r="IC2072" s="970"/>
      <c r="ID2072" s="970"/>
      <c r="IE2072" s="970"/>
      <c r="IF2072" s="970"/>
      <c r="IG2072" s="970"/>
      <c r="IH2072" s="970"/>
      <c r="II2072" s="970"/>
      <c r="IJ2072" s="970"/>
      <c r="IK2072" s="970"/>
      <c r="IL2072" s="970"/>
      <c r="IM2072" s="970"/>
      <c r="IN2072" s="970"/>
      <c r="IO2072" s="970"/>
    </row>
    <row r="2073" spans="1:249" s="1288" customFormat="1" ht="82.5">
      <c r="A2073" s="102"/>
      <c r="B2073" s="846"/>
      <c r="C2073" s="628">
        <v>4</v>
      </c>
      <c r="D2073" s="628" t="s">
        <v>34</v>
      </c>
      <c r="E2073" s="628" t="s">
        <v>28</v>
      </c>
      <c r="F2073" s="628" t="s">
        <v>25</v>
      </c>
      <c r="G2073" s="628" t="s">
        <v>28</v>
      </c>
      <c r="H2073" s="628" t="s">
        <v>49</v>
      </c>
      <c r="I2073" s="10" t="s">
        <v>1730</v>
      </c>
      <c r="J2073" s="10" t="s">
        <v>1731</v>
      </c>
      <c r="K2073" s="1938">
        <v>72</v>
      </c>
      <c r="L2073" s="238">
        <v>186000000</v>
      </c>
      <c r="M2073" s="107">
        <v>36</v>
      </c>
      <c r="N2073" s="238">
        <v>127679000</v>
      </c>
      <c r="O2073" s="107">
        <v>12</v>
      </c>
      <c r="P2073" s="238">
        <v>32000000</v>
      </c>
      <c r="Q2073" s="238">
        <v>0</v>
      </c>
      <c r="R2073" s="204">
        <v>0</v>
      </c>
      <c r="S2073" s="107">
        <v>3</v>
      </c>
      <c r="T2073" s="204">
        <v>12988000</v>
      </c>
      <c r="U2073" s="107"/>
      <c r="V2073" s="107"/>
      <c r="W2073" s="107"/>
      <c r="X2073" s="107"/>
      <c r="Y2073" s="107">
        <f t="shared" si="626"/>
        <v>3</v>
      </c>
      <c r="Z2073" s="204">
        <f t="shared" si="625"/>
        <v>12988000</v>
      </c>
      <c r="AA2073" s="107">
        <f t="shared" si="622"/>
        <v>39</v>
      </c>
      <c r="AB2073" s="238">
        <f t="shared" si="623"/>
        <v>140667000</v>
      </c>
      <c r="AC2073" s="109">
        <f t="shared" si="627"/>
        <v>54.166666666666664</v>
      </c>
      <c r="AD2073" s="117">
        <f t="shared" si="624"/>
        <v>75.627419354838707</v>
      </c>
      <c r="AE2073" s="102"/>
      <c r="AF2073" s="200"/>
      <c r="AG2073" s="200"/>
      <c r="AH2073" s="200"/>
      <c r="AI2073" s="1128"/>
      <c r="AJ2073" s="200"/>
      <c r="AK2073" s="1128"/>
      <c r="AL2073" s="200"/>
      <c r="AM2073" s="1128"/>
      <c r="AN2073" s="200"/>
      <c r="AO2073" s="1128"/>
      <c r="AP2073" s="200"/>
      <c r="AQ2073" s="200"/>
      <c r="AR2073" s="200"/>
      <c r="AS2073" s="200"/>
      <c r="AT2073" s="200"/>
      <c r="AU2073" s="200"/>
      <c r="AV2073" s="200"/>
      <c r="AW2073" s="200"/>
      <c r="AX2073" s="200"/>
      <c r="AY2073" s="200"/>
      <c r="AZ2073" s="200"/>
      <c r="BA2073" s="200"/>
      <c r="BB2073" s="200"/>
      <c r="BC2073" s="970"/>
      <c r="BD2073" s="970"/>
      <c r="BE2073" s="970"/>
      <c r="BF2073" s="970"/>
      <c r="BG2073" s="970"/>
      <c r="BH2073" s="970"/>
      <c r="BI2073" s="970"/>
      <c r="BJ2073" s="970"/>
      <c r="BK2073" s="970"/>
      <c r="BL2073" s="970"/>
      <c r="BM2073" s="970"/>
      <c r="BN2073" s="970"/>
      <c r="BO2073" s="970"/>
      <c r="BP2073" s="970"/>
      <c r="BQ2073" s="970"/>
      <c r="BR2073" s="970"/>
      <c r="BS2073" s="970"/>
      <c r="BT2073" s="970"/>
      <c r="BU2073" s="970"/>
      <c r="BV2073" s="970"/>
      <c r="BW2073" s="970"/>
      <c r="BX2073" s="970"/>
      <c r="BY2073" s="970"/>
      <c r="BZ2073" s="970"/>
      <c r="CA2073" s="970"/>
      <c r="CB2073" s="970"/>
      <c r="CC2073" s="970"/>
      <c r="CD2073" s="970"/>
      <c r="CE2073" s="970"/>
      <c r="CF2073" s="970"/>
      <c r="CG2073" s="970"/>
      <c r="CH2073" s="970"/>
      <c r="CI2073" s="970"/>
      <c r="CJ2073" s="970"/>
      <c r="CK2073" s="970"/>
      <c r="CL2073" s="970"/>
      <c r="CM2073" s="970"/>
      <c r="CN2073" s="970"/>
      <c r="CO2073" s="970"/>
      <c r="CP2073" s="970"/>
      <c r="CQ2073" s="970"/>
      <c r="CR2073" s="970"/>
      <c r="CS2073" s="970"/>
      <c r="CT2073" s="970"/>
      <c r="CU2073" s="970"/>
      <c r="CV2073" s="970"/>
      <c r="CW2073" s="970"/>
      <c r="CX2073" s="970"/>
      <c r="CY2073" s="970"/>
      <c r="CZ2073" s="970"/>
      <c r="DA2073" s="970"/>
      <c r="DB2073" s="970"/>
      <c r="DC2073" s="970"/>
      <c r="DD2073" s="970"/>
      <c r="DE2073" s="970"/>
      <c r="DF2073" s="970"/>
      <c r="DG2073" s="970"/>
      <c r="DH2073" s="970"/>
      <c r="DI2073" s="970"/>
      <c r="DJ2073" s="970"/>
      <c r="DK2073" s="970"/>
      <c r="DL2073" s="970"/>
      <c r="DM2073" s="970"/>
      <c r="DN2073" s="970"/>
      <c r="DO2073" s="970"/>
      <c r="DP2073" s="970"/>
      <c r="DQ2073" s="970"/>
      <c r="DR2073" s="970"/>
      <c r="DS2073" s="970"/>
      <c r="DT2073" s="970"/>
      <c r="DU2073" s="970"/>
      <c r="DV2073" s="970"/>
      <c r="DW2073" s="970"/>
      <c r="DX2073" s="970"/>
      <c r="DY2073" s="970"/>
      <c r="DZ2073" s="970"/>
      <c r="EA2073" s="970"/>
      <c r="EB2073" s="970"/>
      <c r="EC2073" s="970"/>
      <c r="ED2073" s="970"/>
      <c r="EE2073" s="970"/>
      <c r="EF2073" s="970"/>
      <c r="EG2073" s="970"/>
      <c r="EH2073" s="970"/>
      <c r="EI2073" s="970"/>
      <c r="EJ2073" s="970"/>
      <c r="EK2073" s="970"/>
      <c r="EL2073" s="970"/>
      <c r="EM2073" s="970"/>
      <c r="EN2073" s="970"/>
      <c r="EO2073" s="970"/>
      <c r="EP2073" s="970"/>
      <c r="EQ2073" s="970"/>
      <c r="ER2073" s="970"/>
      <c r="ES2073" s="970"/>
      <c r="ET2073" s="970"/>
      <c r="EU2073" s="970"/>
      <c r="EV2073" s="970"/>
      <c r="EW2073" s="970"/>
      <c r="EX2073" s="970"/>
      <c r="EY2073" s="970"/>
      <c r="EZ2073" s="970"/>
      <c r="FA2073" s="970"/>
      <c r="FB2073" s="970"/>
      <c r="FC2073" s="970"/>
      <c r="FD2073" s="970"/>
      <c r="FE2073" s="970"/>
      <c r="FF2073" s="970"/>
      <c r="FG2073" s="970"/>
      <c r="FH2073" s="970"/>
      <c r="FI2073" s="970"/>
      <c r="FJ2073" s="970"/>
      <c r="FK2073" s="970"/>
      <c r="FL2073" s="970"/>
      <c r="FM2073" s="970"/>
      <c r="FN2073" s="970"/>
      <c r="FO2073" s="970"/>
      <c r="FP2073" s="970"/>
      <c r="FQ2073" s="970"/>
      <c r="FR2073" s="970"/>
      <c r="FS2073" s="970"/>
      <c r="FT2073" s="970"/>
      <c r="FU2073" s="970"/>
      <c r="FV2073" s="970"/>
      <c r="FW2073" s="970"/>
      <c r="FX2073" s="970"/>
      <c r="FY2073" s="970"/>
      <c r="FZ2073" s="970"/>
      <c r="GA2073" s="970"/>
      <c r="GB2073" s="970"/>
      <c r="GC2073" s="970"/>
      <c r="GD2073" s="970"/>
      <c r="GE2073" s="970"/>
      <c r="GF2073" s="970"/>
      <c r="GG2073" s="970"/>
      <c r="GH2073" s="970"/>
      <c r="GI2073" s="970"/>
      <c r="GJ2073" s="970"/>
      <c r="GK2073" s="970"/>
      <c r="GL2073" s="970"/>
      <c r="GM2073" s="970"/>
      <c r="GN2073" s="970"/>
      <c r="GO2073" s="970"/>
      <c r="GP2073" s="970"/>
      <c r="GQ2073" s="970"/>
      <c r="GR2073" s="970"/>
      <c r="GS2073" s="970"/>
      <c r="GT2073" s="970"/>
      <c r="GU2073" s="970"/>
      <c r="GV2073" s="970"/>
      <c r="GW2073" s="970"/>
      <c r="GX2073" s="970"/>
      <c r="GY2073" s="970"/>
      <c r="GZ2073" s="970"/>
      <c r="HA2073" s="970"/>
      <c r="HB2073" s="970"/>
      <c r="HC2073" s="970"/>
      <c r="HD2073" s="970"/>
      <c r="HE2073" s="970"/>
      <c r="HF2073" s="970"/>
      <c r="HG2073" s="970"/>
      <c r="HH2073" s="970"/>
      <c r="HI2073" s="970"/>
      <c r="HJ2073" s="970"/>
      <c r="HK2073" s="970"/>
      <c r="HL2073" s="970"/>
      <c r="HM2073" s="970"/>
      <c r="HN2073" s="970"/>
      <c r="HO2073" s="970"/>
      <c r="HP2073" s="970"/>
      <c r="HQ2073" s="970"/>
      <c r="HR2073" s="970"/>
      <c r="HS2073" s="970"/>
      <c r="HT2073" s="970"/>
      <c r="HU2073" s="970"/>
      <c r="HV2073" s="970"/>
      <c r="HW2073" s="970"/>
      <c r="HX2073" s="970"/>
      <c r="HY2073" s="970"/>
      <c r="HZ2073" s="970"/>
      <c r="IA2073" s="970"/>
      <c r="IB2073" s="970"/>
      <c r="IC2073" s="970"/>
      <c r="ID2073" s="970"/>
      <c r="IE2073" s="970"/>
      <c r="IF2073" s="970"/>
      <c r="IG2073" s="970"/>
      <c r="IH2073" s="970"/>
      <c r="II2073" s="970"/>
      <c r="IJ2073" s="970"/>
      <c r="IK2073" s="970"/>
      <c r="IL2073" s="970"/>
      <c r="IM2073" s="970"/>
      <c r="IN2073" s="970"/>
      <c r="IO2073" s="970"/>
    </row>
    <row r="2074" spans="1:249" s="1288" customFormat="1" ht="33">
      <c r="A2074" s="102"/>
      <c r="B2074" s="846"/>
      <c r="C2074" s="628">
        <v>4</v>
      </c>
      <c r="D2074" s="628" t="s">
        <v>34</v>
      </c>
      <c r="E2074" s="628" t="s">
        <v>28</v>
      </c>
      <c r="F2074" s="628" t="s">
        <v>25</v>
      </c>
      <c r="G2074" s="628" t="s">
        <v>28</v>
      </c>
      <c r="H2074" s="628" t="s">
        <v>49</v>
      </c>
      <c r="I2074" s="10" t="s">
        <v>1732</v>
      </c>
      <c r="J2074" s="10"/>
      <c r="K2074" s="1938">
        <v>72</v>
      </c>
      <c r="L2074" s="238">
        <v>0</v>
      </c>
      <c r="M2074" s="107">
        <v>36</v>
      </c>
      <c r="N2074" s="238">
        <v>50000000</v>
      </c>
      <c r="O2074" s="107">
        <v>12</v>
      </c>
      <c r="P2074" s="238">
        <v>0</v>
      </c>
      <c r="Q2074" s="238">
        <v>0</v>
      </c>
      <c r="R2074" s="204">
        <v>0</v>
      </c>
      <c r="S2074" s="107">
        <v>3</v>
      </c>
      <c r="T2074" s="204"/>
      <c r="U2074" s="107"/>
      <c r="V2074" s="107"/>
      <c r="W2074" s="107"/>
      <c r="X2074" s="107"/>
      <c r="Y2074" s="107">
        <f t="shared" si="626"/>
        <v>3</v>
      </c>
      <c r="Z2074" s="204">
        <f t="shared" si="625"/>
        <v>0</v>
      </c>
      <c r="AA2074" s="107">
        <f>M2074+Y2074</f>
        <v>39</v>
      </c>
      <c r="AB2074" s="238"/>
      <c r="AC2074" s="109">
        <f t="shared" si="627"/>
        <v>54.166666666666664</v>
      </c>
      <c r="AD2074" s="117"/>
      <c r="AE2074" s="102"/>
      <c r="AF2074" s="200"/>
      <c r="AG2074" s="200"/>
      <c r="AH2074" s="200"/>
      <c r="AI2074" s="1128"/>
      <c r="AJ2074" s="200"/>
      <c r="AK2074" s="1128"/>
      <c r="AL2074" s="200"/>
      <c r="AM2074" s="1128"/>
      <c r="AN2074" s="200"/>
      <c r="AO2074" s="1128"/>
      <c r="AP2074" s="200"/>
      <c r="AQ2074" s="200"/>
      <c r="AR2074" s="200"/>
      <c r="AS2074" s="200"/>
      <c r="AT2074" s="200"/>
      <c r="AU2074" s="200"/>
      <c r="AV2074" s="200"/>
      <c r="AW2074" s="200"/>
      <c r="AX2074" s="200"/>
      <c r="AY2074" s="200"/>
      <c r="AZ2074" s="200"/>
      <c r="BA2074" s="200"/>
      <c r="BB2074" s="200"/>
      <c r="BC2074" s="970"/>
      <c r="BD2074" s="970"/>
      <c r="BE2074" s="970"/>
      <c r="BF2074" s="970"/>
      <c r="BG2074" s="970"/>
      <c r="BH2074" s="970"/>
      <c r="BI2074" s="970"/>
      <c r="BJ2074" s="970"/>
      <c r="BK2074" s="970"/>
      <c r="BL2074" s="970"/>
      <c r="BM2074" s="970"/>
      <c r="BN2074" s="970"/>
      <c r="BO2074" s="970"/>
      <c r="BP2074" s="970"/>
      <c r="BQ2074" s="970"/>
      <c r="BR2074" s="970"/>
      <c r="BS2074" s="970"/>
      <c r="BT2074" s="970"/>
      <c r="BU2074" s="970"/>
      <c r="BV2074" s="970"/>
      <c r="BW2074" s="970"/>
      <c r="BX2074" s="970"/>
      <c r="BY2074" s="970"/>
      <c r="BZ2074" s="970"/>
      <c r="CA2074" s="970"/>
      <c r="CB2074" s="970"/>
      <c r="CC2074" s="970"/>
      <c r="CD2074" s="970"/>
      <c r="CE2074" s="970"/>
      <c r="CF2074" s="970"/>
      <c r="CG2074" s="970"/>
      <c r="CH2074" s="970"/>
      <c r="CI2074" s="970"/>
      <c r="CJ2074" s="970"/>
      <c r="CK2074" s="970"/>
      <c r="CL2074" s="970"/>
      <c r="CM2074" s="970"/>
      <c r="CN2074" s="970"/>
      <c r="CO2074" s="970"/>
      <c r="CP2074" s="970"/>
      <c r="CQ2074" s="970"/>
      <c r="CR2074" s="970"/>
      <c r="CS2074" s="970"/>
      <c r="CT2074" s="970"/>
      <c r="CU2074" s="970"/>
      <c r="CV2074" s="970"/>
      <c r="CW2074" s="970"/>
      <c r="CX2074" s="970"/>
      <c r="CY2074" s="970"/>
      <c r="CZ2074" s="970"/>
      <c r="DA2074" s="970"/>
      <c r="DB2074" s="970"/>
      <c r="DC2074" s="970"/>
      <c r="DD2074" s="970"/>
      <c r="DE2074" s="970"/>
      <c r="DF2074" s="970"/>
      <c r="DG2074" s="970"/>
      <c r="DH2074" s="970"/>
      <c r="DI2074" s="970"/>
      <c r="DJ2074" s="970"/>
      <c r="DK2074" s="970"/>
      <c r="DL2074" s="970"/>
      <c r="DM2074" s="970"/>
      <c r="DN2074" s="970"/>
      <c r="DO2074" s="970"/>
      <c r="DP2074" s="970"/>
      <c r="DQ2074" s="970"/>
      <c r="DR2074" s="970"/>
      <c r="DS2074" s="970"/>
      <c r="DT2074" s="970"/>
      <c r="DU2074" s="970"/>
      <c r="DV2074" s="970"/>
      <c r="DW2074" s="970"/>
      <c r="DX2074" s="970"/>
      <c r="DY2074" s="970"/>
      <c r="DZ2074" s="970"/>
      <c r="EA2074" s="970"/>
      <c r="EB2074" s="970"/>
      <c r="EC2074" s="970"/>
      <c r="ED2074" s="970"/>
      <c r="EE2074" s="970"/>
      <c r="EF2074" s="970"/>
      <c r="EG2074" s="970"/>
      <c r="EH2074" s="970"/>
      <c r="EI2074" s="970"/>
      <c r="EJ2074" s="970"/>
      <c r="EK2074" s="970"/>
      <c r="EL2074" s="970"/>
      <c r="EM2074" s="970"/>
      <c r="EN2074" s="970"/>
      <c r="EO2074" s="970"/>
      <c r="EP2074" s="970"/>
      <c r="EQ2074" s="970"/>
      <c r="ER2074" s="970"/>
      <c r="ES2074" s="970"/>
      <c r="ET2074" s="970"/>
      <c r="EU2074" s="970"/>
      <c r="EV2074" s="970"/>
      <c r="EW2074" s="970"/>
      <c r="EX2074" s="970"/>
      <c r="EY2074" s="970"/>
      <c r="EZ2074" s="970"/>
      <c r="FA2074" s="970"/>
      <c r="FB2074" s="970"/>
      <c r="FC2074" s="970"/>
      <c r="FD2074" s="970"/>
      <c r="FE2074" s="970"/>
      <c r="FF2074" s="970"/>
      <c r="FG2074" s="970"/>
      <c r="FH2074" s="970"/>
      <c r="FI2074" s="970"/>
      <c r="FJ2074" s="970"/>
      <c r="FK2074" s="970"/>
      <c r="FL2074" s="970"/>
      <c r="FM2074" s="970"/>
      <c r="FN2074" s="970"/>
      <c r="FO2074" s="970"/>
      <c r="FP2074" s="970"/>
      <c r="FQ2074" s="970"/>
      <c r="FR2074" s="970"/>
      <c r="FS2074" s="970"/>
      <c r="FT2074" s="970"/>
      <c r="FU2074" s="970"/>
      <c r="FV2074" s="970"/>
      <c r="FW2074" s="970"/>
      <c r="FX2074" s="970"/>
      <c r="FY2074" s="970"/>
      <c r="FZ2074" s="970"/>
      <c r="GA2074" s="970"/>
      <c r="GB2074" s="970"/>
      <c r="GC2074" s="970"/>
      <c r="GD2074" s="970"/>
      <c r="GE2074" s="970"/>
      <c r="GF2074" s="970"/>
      <c r="GG2074" s="970"/>
      <c r="GH2074" s="970"/>
      <c r="GI2074" s="970"/>
      <c r="GJ2074" s="970"/>
      <c r="GK2074" s="970"/>
      <c r="GL2074" s="970"/>
      <c r="GM2074" s="970"/>
      <c r="GN2074" s="970"/>
      <c r="GO2074" s="970"/>
      <c r="GP2074" s="970"/>
      <c r="GQ2074" s="970"/>
      <c r="GR2074" s="970"/>
      <c r="GS2074" s="970"/>
      <c r="GT2074" s="970"/>
      <c r="GU2074" s="970"/>
      <c r="GV2074" s="970"/>
      <c r="GW2074" s="970"/>
      <c r="GX2074" s="970"/>
      <c r="GY2074" s="970"/>
      <c r="GZ2074" s="970"/>
      <c r="HA2074" s="970"/>
      <c r="HB2074" s="970"/>
      <c r="HC2074" s="970"/>
      <c r="HD2074" s="970"/>
      <c r="HE2074" s="970"/>
      <c r="HF2074" s="970"/>
      <c r="HG2074" s="970"/>
      <c r="HH2074" s="970"/>
      <c r="HI2074" s="970"/>
      <c r="HJ2074" s="970"/>
      <c r="HK2074" s="970"/>
      <c r="HL2074" s="970"/>
      <c r="HM2074" s="970"/>
      <c r="HN2074" s="970"/>
      <c r="HO2074" s="970"/>
      <c r="HP2074" s="970"/>
      <c r="HQ2074" s="970"/>
      <c r="HR2074" s="970"/>
      <c r="HS2074" s="970"/>
      <c r="HT2074" s="970"/>
      <c r="HU2074" s="970"/>
      <c r="HV2074" s="970"/>
      <c r="HW2074" s="970"/>
      <c r="HX2074" s="970"/>
      <c r="HY2074" s="970"/>
      <c r="HZ2074" s="970"/>
      <c r="IA2074" s="970"/>
      <c r="IB2074" s="970"/>
      <c r="IC2074" s="970"/>
      <c r="ID2074" s="970"/>
      <c r="IE2074" s="970"/>
      <c r="IF2074" s="970"/>
      <c r="IG2074" s="970"/>
      <c r="IH2074" s="970"/>
      <c r="II2074" s="970"/>
      <c r="IJ2074" s="970"/>
      <c r="IK2074" s="970"/>
      <c r="IL2074" s="970"/>
      <c r="IM2074" s="970"/>
      <c r="IN2074" s="970"/>
      <c r="IO2074" s="970"/>
    </row>
    <row r="2075" spans="1:249" s="1346" customFormat="1" ht="49.5">
      <c r="A2075" s="2558">
        <v>3</v>
      </c>
      <c r="B2075" s="1939"/>
      <c r="C2075" s="303">
        <v>4</v>
      </c>
      <c r="D2075" s="303" t="s">
        <v>34</v>
      </c>
      <c r="E2075" s="303" t="s">
        <v>28</v>
      </c>
      <c r="F2075" s="303" t="s">
        <v>25</v>
      </c>
      <c r="G2075" s="303" t="s">
        <v>78</v>
      </c>
      <c r="H2075" s="303"/>
      <c r="I2075" s="629" t="s">
        <v>1733</v>
      </c>
      <c r="J2075" s="629" t="s">
        <v>3420</v>
      </c>
      <c r="K2075" s="1793">
        <v>100</v>
      </c>
      <c r="L2075" s="230">
        <f>SUM(L2076)</f>
        <v>382116000</v>
      </c>
      <c r="M2075" s="545">
        <v>60</v>
      </c>
      <c r="N2075" s="230">
        <f>SUM(N2076)</f>
        <v>140000000</v>
      </c>
      <c r="O2075" s="545">
        <v>0</v>
      </c>
      <c r="P2075" s="230">
        <f>P2076</f>
        <v>0</v>
      </c>
      <c r="Q2075" s="230">
        <f>Q2076</f>
        <v>0</v>
      </c>
      <c r="R2075" s="230">
        <f>R2076</f>
        <v>0</v>
      </c>
      <c r="S2075" s="545"/>
      <c r="T2075" s="545"/>
      <c r="U2075" s="545"/>
      <c r="V2075" s="545"/>
      <c r="W2075" s="545"/>
      <c r="X2075" s="545"/>
      <c r="Y2075" s="545">
        <f t="shared" si="626"/>
        <v>0</v>
      </c>
      <c r="Z2075" s="160"/>
      <c r="AA2075" s="545">
        <f>M2075</f>
        <v>60</v>
      </c>
      <c r="AB2075" s="230">
        <f t="shared" ref="AB2075:AB2089" si="628">N2075+Z2075</f>
        <v>140000000</v>
      </c>
      <c r="AC2075" s="140">
        <f t="shared" si="627"/>
        <v>60</v>
      </c>
      <c r="AD2075" s="148">
        <f>AB2075/L2075*100</f>
        <v>36.63808895727999</v>
      </c>
      <c r="AE2075" s="2558" t="s">
        <v>1710</v>
      </c>
      <c r="AF2075" s="200"/>
      <c r="AG2075" s="200"/>
      <c r="AH2075" s="200"/>
      <c r="AI2075" s="1128"/>
      <c r="AJ2075" s="200"/>
      <c r="AK2075" s="1128"/>
      <c r="AL2075" s="200"/>
      <c r="AM2075" s="1128"/>
      <c r="AN2075" s="200"/>
      <c r="AO2075" s="1128"/>
      <c r="AP2075" s="200"/>
      <c r="AQ2075" s="200"/>
      <c r="AR2075" s="200"/>
      <c r="AS2075" s="200"/>
      <c r="AT2075" s="200"/>
      <c r="AU2075" s="200"/>
      <c r="AV2075" s="200"/>
      <c r="AW2075" s="200"/>
      <c r="AX2075" s="200"/>
      <c r="AY2075" s="200"/>
      <c r="AZ2075" s="200"/>
      <c r="BA2075" s="200"/>
      <c r="BB2075" s="200"/>
      <c r="BC2075" s="970"/>
      <c r="BD2075" s="970"/>
      <c r="BE2075" s="970"/>
      <c r="BF2075" s="970"/>
      <c r="BG2075" s="970"/>
      <c r="BH2075" s="970"/>
      <c r="BI2075" s="970"/>
      <c r="BJ2075" s="970"/>
      <c r="BK2075" s="970"/>
      <c r="BL2075" s="970"/>
      <c r="BM2075" s="970"/>
      <c r="BN2075" s="970"/>
      <c r="BO2075" s="970"/>
      <c r="BP2075" s="970"/>
      <c r="BQ2075" s="970"/>
      <c r="BR2075" s="970"/>
      <c r="BS2075" s="970"/>
      <c r="BT2075" s="970"/>
      <c r="BU2075" s="970"/>
      <c r="BV2075" s="970"/>
      <c r="BW2075" s="970"/>
      <c r="BX2075" s="970"/>
      <c r="BY2075" s="970"/>
      <c r="BZ2075" s="970"/>
      <c r="CA2075" s="970"/>
      <c r="CB2075" s="970"/>
      <c r="CC2075" s="970"/>
      <c r="CD2075" s="970"/>
      <c r="CE2075" s="970"/>
      <c r="CF2075" s="970"/>
      <c r="CG2075" s="970"/>
      <c r="CH2075" s="970"/>
      <c r="CI2075" s="970"/>
      <c r="CJ2075" s="970"/>
      <c r="CK2075" s="970"/>
      <c r="CL2075" s="970"/>
      <c r="CM2075" s="970"/>
      <c r="CN2075" s="970"/>
      <c r="CO2075" s="970"/>
      <c r="CP2075" s="970"/>
      <c r="CQ2075" s="970"/>
      <c r="CR2075" s="970"/>
      <c r="CS2075" s="970"/>
      <c r="CT2075" s="970"/>
      <c r="CU2075" s="970"/>
      <c r="CV2075" s="970"/>
      <c r="CW2075" s="970"/>
      <c r="CX2075" s="970"/>
      <c r="CY2075" s="970"/>
      <c r="CZ2075" s="970"/>
      <c r="DA2075" s="970"/>
      <c r="DB2075" s="970"/>
      <c r="DC2075" s="970"/>
      <c r="DD2075" s="970"/>
      <c r="DE2075" s="970"/>
      <c r="DF2075" s="970"/>
      <c r="DG2075" s="970"/>
      <c r="DH2075" s="970"/>
      <c r="DI2075" s="970"/>
      <c r="DJ2075" s="970"/>
      <c r="DK2075" s="970"/>
      <c r="DL2075" s="970"/>
      <c r="DM2075" s="970"/>
      <c r="DN2075" s="970"/>
      <c r="DO2075" s="970"/>
      <c r="DP2075" s="970"/>
      <c r="DQ2075" s="970"/>
      <c r="DR2075" s="970"/>
      <c r="DS2075" s="970"/>
      <c r="DT2075" s="970"/>
      <c r="DU2075" s="970"/>
      <c r="DV2075" s="970"/>
      <c r="DW2075" s="970"/>
      <c r="DX2075" s="970"/>
      <c r="DY2075" s="970"/>
      <c r="DZ2075" s="970"/>
      <c r="EA2075" s="970"/>
      <c r="EB2075" s="970"/>
      <c r="EC2075" s="970"/>
      <c r="ED2075" s="970"/>
      <c r="EE2075" s="970"/>
      <c r="EF2075" s="970"/>
      <c r="EG2075" s="970"/>
      <c r="EH2075" s="970"/>
      <c r="EI2075" s="970"/>
      <c r="EJ2075" s="970"/>
      <c r="EK2075" s="970"/>
      <c r="EL2075" s="970"/>
      <c r="EM2075" s="970"/>
      <c r="EN2075" s="970"/>
      <c r="EO2075" s="970"/>
      <c r="EP2075" s="970"/>
      <c r="EQ2075" s="970"/>
      <c r="ER2075" s="970"/>
      <c r="ES2075" s="970"/>
      <c r="ET2075" s="970"/>
      <c r="EU2075" s="970"/>
      <c r="EV2075" s="970"/>
      <c r="EW2075" s="970"/>
      <c r="EX2075" s="970"/>
      <c r="EY2075" s="970"/>
      <c r="EZ2075" s="970"/>
      <c r="FA2075" s="970"/>
      <c r="FB2075" s="970"/>
      <c r="FC2075" s="970"/>
      <c r="FD2075" s="970"/>
      <c r="FE2075" s="970"/>
      <c r="FF2075" s="970"/>
      <c r="FG2075" s="970"/>
      <c r="FH2075" s="970"/>
      <c r="FI2075" s="970"/>
      <c r="FJ2075" s="970"/>
      <c r="FK2075" s="970"/>
      <c r="FL2075" s="970"/>
      <c r="FM2075" s="970"/>
      <c r="FN2075" s="970"/>
      <c r="FO2075" s="970"/>
      <c r="FP2075" s="970"/>
      <c r="FQ2075" s="970"/>
      <c r="FR2075" s="970"/>
      <c r="FS2075" s="970"/>
      <c r="FT2075" s="970"/>
      <c r="FU2075" s="970"/>
      <c r="FV2075" s="970"/>
      <c r="FW2075" s="970"/>
      <c r="FX2075" s="970"/>
      <c r="FY2075" s="970"/>
      <c r="FZ2075" s="970"/>
      <c r="GA2075" s="970"/>
      <c r="GB2075" s="970"/>
      <c r="GC2075" s="970"/>
      <c r="GD2075" s="970"/>
      <c r="GE2075" s="970"/>
      <c r="GF2075" s="970"/>
      <c r="GG2075" s="970"/>
      <c r="GH2075" s="970"/>
      <c r="GI2075" s="970"/>
      <c r="GJ2075" s="970"/>
      <c r="GK2075" s="970"/>
      <c r="GL2075" s="970"/>
      <c r="GM2075" s="970"/>
      <c r="GN2075" s="970"/>
      <c r="GO2075" s="970"/>
      <c r="GP2075" s="970"/>
      <c r="GQ2075" s="970"/>
      <c r="GR2075" s="970"/>
      <c r="GS2075" s="970"/>
      <c r="GT2075" s="970"/>
      <c r="GU2075" s="970"/>
      <c r="GV2075" s="970"/>
      <c r="GW2075" s="970"/>
      <c r="GX2075" s="970"/>
      <c r="GY2075" s="970"/>
      <c r="GZ2075" s="970"/>
      <c r="HA2075" s="970"/>
      <c r="HB2075" s="970"/>
      <c r="HC2075" s="970"/>
      <c r="HD2075" s="970"/>
      <c r="HE2075" s="970"/>
      <c r="HF2075" s="970"/>
      <c r="HG2075" s="970"/>
      <c r="HH2075" s="970"/>
      <c r="HI2075" s="970"/>
      <c r="HJ2075" s="970"/>
      <c r="HK2075" s="970"/>
      <c r="HL2075" s="970"/>
      <c r="HM2075" s="970"/>
      <c r="HN2075" s="970"/>
      <c r="HO2075" s="970"/>
      <c r="HP2075" s="970"/>
      <c r="HQ2075" s="970"/>
      <c r="HR2075" s="970"/>
      <c r="HS2075" s="970"/>
      <c r="HT2075" s="970"/>
      <c r="HU2075" s="970"/>
      <c r="HV2075" s="970"/>
      <c r="HW2075" s="970"/>
      <c r="HX2075" s="970"/>
      <c r="HY2075" s="970"/>
      <c r="HZ2075" s="970"/>
      <c r="IA2075" s="970"/>
      <c r="IB2075" s="970"/>
      <c r="IC2075" s="970"/>
      <c r="ID2075" s="970"/>
      <c r="IE2075" s="970"/>
      <c r="IF2075" s="970"/>
      <c r="IG2075" s="970"/>
      <c r="IH2075" s="970"/>
      <c r="II2075" s="970"/>
      <c r="IJ2075" s="970"/>
      <c r="IK2075" s="970"/>
      <c r="IL2075" s="970"/>
      <c r="IM2075" s="970"/>
      <c r="IN2075" s="970"/>
      <c r="IO2075" s="970"/>
    </row>
    <row r="2076" spans="1:249" s="1288" customFormat="1" ht="49.5">
      <c r="A2076" s="102"/>
      <c r="B2076" s="846"/>
      <c r="C2076" s="628">
        <v>4</v>
      </c>
      <c r="D2076" s="628" t="s">
        <v>34</v>
      </c>
      <c r="E2076" s="628" t="s">
        <v>28</v>
      </c>
      <c r="F2076" s="628" t="s">
        <v>25</v>
      </c>
      <c r="G2076" s="628" t="s">
        <v>28</v>
      </c>
      <c r="H2076" s="628" t="s">
        <v>39</v>
      </c>
      <c r="I2076" s="10" t="s">
        <v>1734</v>
      </c>
      <c r="J2076" s="780" t="s">
        <v>2889</v>
      </c>
      <c r="K2076" s="1938">
        <v>20</v>
      </c>
      <c r="L2076" s="238">
        <v>382116000</v>
      </c>
      <c r="M2076" s="107">
        <v>10</v>
      </c>
      <c r="N2076" s="238">
        <f>80000000+60000000</f>
        <v>140000000</v>
      </c>
      <c r="O2076" s="107">
        <v>0</v>
      </c>
      <c r="P2076" s="238">
        <v>0</v>
      </c>
      <c r="Q2076" s="238">
        <v>0</v>
      </c>
      <c r="R2076" s="204">
        <v>0</v>
      </c>
      <c r="S2076" s="107"/>
      <c r="T2076" s="107"/>
      <c r="U2076" s="107"/>
      <c r="V2076" s="107"/>
      <c r="W2076" s="107"/>
      <c r="X2076" s="107"/>
      <c r="Y2076" s="107">
        <f t="shared" si="626"/>
        <v>0</v>
      </c>
      <c r="Z2076" s="204">
        <f>R2076+T2076+V2076+X2076</f>
        <v>0</v>
      </c>
      <c r="AA2076" s="107">
        <f>M2076+Y2076</f>
        <v>10</v>
      </c>
      <c r="AB2076" s="238">
        <f t="shared" si="628"/>
        <v>140000000</v>
      </c>
      <c r="AC2076" s="109">
        <f t="shared" si="627"/>
        <v>50</v>
      </c>
      <c r="AD2076" s="117"/>
      <c r="AE2076" s="102"/>
      <c r="AF2076" s="200"/>
      <c r="AG2076" s="200"/>
      <c r="AH2076" s="200"/>
      <c r="AI2076" s="1128"/>
      <c r="AJ2076" s="200"/>
      <c r="AK2076" s="1128"/>
      <c r="AL2076" s="200"/>
      <c r="AM2076" s="1128"/>
      <c r="AN2076" s="200"/>
      <c r="AO2076" s="1128"/>
      <c r="AP2076" s="200"/>
      <c r="AQ2076" s="200"/>
      <c r="AR2076" s="200"/>
      <c r="AS2076" s="200"/>
      <c r="AT2076" s="200"/>
      <c r="AU2076" s="200"/>
      <c r="AV2076" s="200"/>
      <c r="AW2076" s="200"/>
      <c r="AX2076" s="200"/>
      <c r="AY2076" s="200"/>
      <c r="AZ2076" s="200"/>
      <c r="BA2076" s="200"/>
      <c r="BB2076" s="200"/>
      <c r="BC2076" s="970"/>
      <c r="BD2076" s="970"/>
      <c r="BE2076" s="970"/>
      <c r="BF2076" s="970"/>
      <c r="BG2076" s="970"/>
      <c r="BH2076" s="970"/>
      <c r="BI2076" s="970"/>
      <c r="BJ2076" s="970"/>
      <c r="BK2076" s="970"/>
      <c r="BL2076" s="970"/>
      <c r="BM2076" s="970"/>
      <c r="BN2076" s="970"/>
      <c r="BO2076" s="970"/>
      <c r="BP2076" s="970"/>
      <c r="BQ2076" s="970"/>
      <c r="BR2076" s="970"/>
      <c r="BS2076" s="970"/>
      <c r="BT2076" s="970"/>
      <c r="BU2076" s="970"/>
      <c r="BV2076" s="970"/>
      <c r="BW2076" s="970"/>
      <c r="BX2076" s="970"/>
      <c r="BY2076" s="970"/>
      <c r="BZ2076" s="970"/>
      <c r="CA2076" s="970"/>
      <c r="CB2076" s="970"/>
      <c r="CC2076" s="970"/>
      <c r="CD2076" s="970"/>
      <c r="CE2076" s="970"/>
      <c r="CF2076" s="970"/>
      <c r="CG2076" s="970"/>
      <c r="CH2076" s="970"/>
      <c r="CI2076" s="970"/>
      <c r="CJ2076" s="970"/>
      <c r="CK2076" s="970"/>
      <c r="CL2076" s="970"/>
      <c r="CM2076" s="970"/>
      <c r="CN2076" s="970"/>
      <c r="CO2076" s="970"/>
      <c r="CP2076" s="970"/>
      <c r="CQ2076" s="970"/>
      <c r="CR2076" s="970"/>
      <c r="CS2076" s="970"/>
      <c r="CT2076" s="970"/>
      <c r="CU2076" s="970"/>
      <c r="CV2076" s="970"/>
      <c r="CW2076" s="970"/>
      <c r="CX2076" s="970"/>
      <c r="CY2076" s="970"/>
      <c r="CZ2076" s="970"/>
      <c r="DA2076" s="970"/>
      <c r="DB2076" s="970"/>
      <c r="DC2076" s="970"/>
      <c r="DD2076" s="970"/>
      <c r="DE2076" s="970"/>
      <c r="DF2076" s="970"/>
      <c r="DG2076" s="970"/>
      <c r="DH2076" s="970"/>
      <c r="DI2076" s="970"/>
      <c r="DJ2076" s="970"/>
      <c r="DK2076" s="970"/>
      <c r="DL2076" s="970"/>
      <c r="DM2076" s="970"/>
      <c r="DN2076" s="970"/>
      <c r="DO2076" s="970"/>
      <c r="DP2076" s="970"/>
      <c r="DQ2076" s="970"/>
      <c r="DR2076" s="970"/>
      <c r="DS2076" s="970"/>
      <c r="DT2076" s="970"/>
      <c r="DU2076" s="970"/>
      <c r="DV2076" s="970"/>
      <c r="DW2076" s="970"/>
      <c r="DX2076" s="970"/>
      <c r="DY2076" s="970"/>
      <c r="DZ2076" s="970"/>
      <c r="EA2076" s="970"/>
      <c r="EB2076" s="970"/>
      <c r="EC2076" s="970"/>
      <c r="ED2076" s="970"/>
      <c r="EE2076" s="970"/>
      <c r="EF2076" s="970"/>
      <c r="EG2076" s="970"/>
      <c r="EH2076" s="970"/>
      <c r="EI2076" s="970"/>
      <c r="EJ2076" s="970"/>
      <c r="EK2076" s="970"/>
      <c r="EL2076" s="970"/>
      <c r="EM2076" s="970"/>
      <c r="EN2076" s="970"/>
      <c r="EO2076" s="970"/>
      <c r="EP2076" s="970"/>
      <c r="EQ2076" s="970"/>
      <c r="ER2076" s="970"/>
      <c r="ES2076" s="970"/>
      <c r="ET2076" s="970"/>
      <c r="EU2076" s="970"/>
      <c r="EV2076" s="970"/>
      <c r="EW2076" s="970"/>
      <c r="EX2076" s="970"/>
      <c r="EY2076" s="970"/>
      <c r="EZ2076" s="970"/>
      <c r="FA2076" s="970"/>
      <c r="FB2076" s="970"/>
      <c r="FC2076" s="970"/>
      <c r="FD2076" s="970"/>
      <c r="FE2076" s="970"/>
      <c r="FF2076" s="970"/>
      <c r="FG2076" s="970"/>
      <c r="FH2076" s="970"/>
      <c r="FI2076" s="970"/>
      <c r="FJ2076" s="970"/>
      <c r="FK2076" s="970"/>
      <c r="FL2076" s="970"/>
      <c r="FM2076" s="970"/>
      <c r="FN2076" s="970"/>
      <c r="FO2076" s="970"/>
      <c r="FP2076" s="970"/>
      <c r="FQ2076" s="970"/>
      <c r="FR2076" s="970"/>
      <c r="FS2076" s="970"/>
      <c r="FT2076" s="970"/>
      <c r="FU2076" s="970"/>
      <c r="FV2076" s="970"/>
      <c r="FW2076" s="970"/>
      <c r="FX2076" s="970"/>
      <c r="FY2076" s="970"/>
      <c r="FZ2076" s="970"/>
      <c r="GA2076" s="970"/>
      <c r="GB2076" s="970"/>
      <c r="GC2076" s="970"/>
      <c r="GD2076" s="970"/>
      <c r="GE2076" s="970"/>
      <c r="GF2076" s="970"/>
      <c r="GG2076" s="970"/>
      <c r="GH2076" s="970"/>
      <c r="GI2076" s="970"/>
      <c r="GJ2076" s="970"/>
      <c r="GK2076" s="970"/>
      <c r="GL2076" s="970"/>
      <c r="GM2076" s="970"/>
      <c r="GN2076" s="970"/>
      <c r="GO2076" s="970"/>
      <c r="GP2076" s="970"/>
      <c r="GQ2076" s="970"/>
      <c r="GR2076" s="970"/>
      <c r="GS2076" s="970"/>
      <c r="GT2076" s="970"/>
      <c r="GU2076" s="970"/>
      <c r="GV2076" s="970"/>
      <c r="GW2076" s="970"/>
      <c r="GX2076" s="970"/>
      <c r="GY2076" s="970"/>
      <c r="GZ2076" s="970"/>
      <c r="HA2076" s="970"/>
      <c r="HB2076" s="970"/>
      <c r="HC2076" s="970"/>
      <c r="HD2076" s="970"/>
      <c r="HE2076" s="970"/>
      <c r="HF2076" s="970"/>
      <c r="HG2076" s="970"/>
      <c r="HH2076" s="970"/>
      <c r="HI2076" s="970"/>
      <c r="HJ2076" s="970"/>
      <c r="HK2076" s="970"/>
      <c r="HL2076" s="970"/>
      <c r="HM2076" s="970"/>
      <c r="HN2076" s="970"/>
      <c r="HO2076" s="970"/>
      <c r="HP2076" s="970"/>
      <c r="HQ2076" s="970"/>
      <c r="HR2076" s="970"/>
      <c r="HS2076" s="970"/>
      <c r="HT2076" s="970"/>
      <c r="HU2076" s="970"/>
      <c r="HV2076" s="970"/>
      <c r="HW2076" s="970"/>
      <c r="HX2076" s="970"/>
      <c r="HY2076" s="970"/>
      <c r="HZ2076" s="970"/>
      <c r="IA2076" s="970"/>
      <c r="IB2076" s="970"/>
      <c r="IC2076" s="970"/>
      <c r="ID2076" s="970"/>
      <c r="IE2076" s="970"/>
      <c r="IF2076" s="970"/>
      <c r="IG2076" s="970"/>
      <c r="IH2076" s="970"/>
      <c r="II2076" s="970"/>
      <c r="IJ2076" s="970"/>
      <c r="IK2076" s="970"/>
      <c r="IL2076" s="970"/>
      <c r="IM2076" s="970"/>
      <c r="IN2076" s="970"/>
      <c r="IO2076" s="970"/>
    </row>
    <row r="2077" spans="1:249" s="1346" customFormat="1" ht="49.5">
      <c r="A2077" s="2558">
        <v>4</v>
      </c>
      <c r="B2077" s="629"/>
      <c r="C2077" s="303" t="s">
        <v>1735</v>
      </c>
      <c r="D2077" s="303" t="s">
        <v>34</v>
      </c>
      <c r="E2077" s="303" t="s">
        <v>28</v>
      </c>
      <c r="F2077" s="303" t="s">
        <v>25</v>
      </c>
      <c r="G2077" s="303" t="s">
        <v>39</v>
      </c>
      <c r="H2077" s="303"/>
      <c r="I2077" s="629" t="s">
        <v>1736</v>
      </c>
      <c r="J2077" s="629" t="s">
        <v>1737</v>
      </c>
      <c r="K2077" s="545">
        <v>1530</v>
      </c>
      <c r="L2077" s="230">
        <f>SUM(L2078)</f>
        <v>2868678000</v>
      </c>
      <c r="M2077" s="545">
        <f>M2078</f>
        <v>810</v>
      </c>
      <c r="N2077" s="230">
        <f>SUM(N2078)</f>
        <v>1402528000</v>
      </c>
      <c r="O2077" s="545">
        <v>255</v>
      </c>
      <c r="P2077" s="230">
        <f>SUM(P2078)</f>
        <v>721800000</v>
      </c>
      <c r="Q2077" s="230">
        <f>SUM(Q2078)</f>
        <v>0</v>
      </c>
      <c r="R2077" s="230">
        <v>0</v>
      </c>
      <c r="S2077" s="230">
        <f>SUM(S2078)</f>
        <v>0</v>
      </c>
      <c r="T2077" s="230">
        <v>0</v>
      </c>
      <c r="U2077" s="545"/>
      <c r="V2077" s="545"/>
      <c r="W2077" s="545"/>
      <c r="X2077" s="545"/>
      <c r="Y2077" s="545">
        <f t="shared" si="626"/>
        <v>0</v>
      </c>
      <c r="Z2077" s="230">
        <f>R2077</f>
        <v>0</v>
      </c>
      <c r="AA2077" s="545">
        <f>M2077</f>
        <v>810</v>
      </c>
      <c r="AB2077" s="230">
        <f t="shared" si="628"/>
        <v>1402528000</v>
      </c>
      <c r="AC2077" s="140">
        <f t="shared" si="627"/>
        <v>52.941176470588239</v>
      </c>
      <c r="AD2077" s="148">
        <f t="shared" ref="AD2077:AD2089" si="629">AB2077/L2077*100</f>
        <v>48.891091994291443</v>
      </c>
      <c r="AE2077" s="2558" t="s">
        <v>1710</v>
      </c>
      <c r="AF2077" s="200"/>
      <c r="AG2077" s="200"/>
      <c r="AH2077" s="200"/>
      <c r="AI2077" s="1128"/>
      <c r="AJ2077" s="200"/>
      <c r="AK2077" s="1128"/>
      <c r="AL2077" s="200"/>
      <c r="AM2077" s="1128"/>
      <c r="AN2077" s="200"/>
      <c r="AO2077" s="1128"/>
      <c r="AP2077" s="200"/>
      <c r="AQ2077" s="200"/>
      <c r="AR2077" s="200"/>
      <c r="AS2077" s="200"/>
      <c r="AT2077" s="200"/>
      <c r="AU2077" s="200"/>
      <c r="AV2077" s="200"/>
      <c r="AW2077" s="200"/>
      <c r="AX2077" s="200"/>
      <c r="AY2077" s="200"/>
      <c r="AZ2077" s="200"/>
      <c r="BA2077" s="200"/>
      <c r="BB2077" s="200"/>
      <c r="BC2077" s="970"/>
      <c r="BD2077" s="970"/>
      <c r="BE2077" s="970"/>
      <c r="BF2077" s="970"/>
      <c r="BG2077" s="970"/>
      <c r="BH2077" s="970"/>
      <c r="BI2077" s="970"/>
      <c r="BJ2077" s="970"/>
      <c r="BK2077" s="970"/>
      <c r="BL2077" s="970"/>
      <c r="BM2077" s="970"/>
      <c r="BN2077" s="970"/>
      <c r="BO2077" s="970"/>
      <c r="BP2077" s="970"/>
      <c r="BQ2077" s="970"/>
      <c r="BR2077" s="970"/>
      <c r="BS2077" s="970"/>
      <c r="BT2077" s="970"/>
      <c r="BU2077" s="970"/>
      <c r="BV2077" s="970"/>
      <c r="BW2077" s="970"/>
      <c r="BX2077" s="970"/>
      <c r="BY2077" s="970"/>
      <c r="BZ2077" s="970"/>
      <c r="CA2077" s="970"/>
      <c r="CB2077" s="970"/>
      <c r="CC2077" s="970"/>
      <c r="CD2077" s="970"/>
      <c r="CE2077" s="970"/>
      <c r="CF2077" s="970"/>
      <c r="CG2077" s="970"/>
      <c r="CH2077" s="970"/>
      <c r="CI2077" s="970"/>
      <c r="CJ2077" s="970"/>
      <c r="CK2077" s="970"/>
      <c r="CL2077" s="970"/>
      <c r="CM2077" s="970"/>
      <c r="CN2077" s="970"/>
      <c r="CO2077" s="970"/>
      <c r="CP2077" s="970"/>
      <c r="CQ2077" s="970"/>
      <c r="CR2077" s="970"/>
      <c r="CS2077" s="970"/>
      <c r="CT2077" s="970"/>
      <c r="CU2077" s="970"/>
      <c r="CV2077" s="970"/>
      <c r="CW2077" s="970"/>
      <c r="CX2077" s="970"/>
      <c r="CY2077" s="970"/>
      <c r="CZ2077" s="970"/>
      <c r="DA2077" s="970"/>
      <c r="DB2077" s="970"/>
      <c r="DC2077" s="970"/>
      <c r="DD2077" s="970"/>
      <c r="DE2077" s="970"/>
      <c r="DF2077" s="970"/>
      <c r="DG2077" s="970"/>
      <c r="DH2077" s="970"/>
      <c r="DI2077" s="970"/>
      <c r="DJ2077" s="970"/>
      <c r="DK2077" s="970"/>
      <c r="DL2077" s="970"/>
      <c r="DM2077" s="970"/>
      <c r="DN2077" s="970"/>
      <c r="DO2077" s="970"/>
      <c r="DP2077" s="970"/>
      <c r="DQ2077" s="970"/>
      <c r="DR2077" s="970"/>
      <c r="DS2077" s="970"/>
      <c r="DT2077" s="970"/>
      <c r="DU2077" s="970"/>
      <c r="DV2077" s="970"/>
      <c r="DW2077" s="970"/>
      <c r="DX2077" s="970"/>
      <c r="DY2077" s="970"/>
      <c r="DZ2077" s="970"/>
      <c r="EA2077" s="970"/>
      <c r="EB2077" s="970"/>
      <c r="EC2077" s="970"/>
      <c r="ED2077" s="970"/>
      <c r="EE2077" s="970"/>
      <c r="EF2077" s="970"/>
      <c r="EG2077" s="970"/>
      <c r="EH2077" s="970"/>
      <c r="EI2077" s="970"/>
      <c r="EJ2077" s="970"/>
      <c r="EK2077" s="970"/>
      <c r="EL2077" s="970"/>
      <c r="EM2077" s="970"/>
      <c r="EN2077" s="970"/>
      <c r="EO2077" s="970"/>
      <c r="EP2077" s="970"/>
      <c r="EQ2077" s="970"/>
      <c r="ER2077" s="970"/>
      <c r="ES2077" s="970"/>
      <c r="ET2077" s="970"/>
      <c r="EU2077" s="970"/>
      <c r="EV2077" s="970"/>
      <c r="EW2077" s="970"/>
      <c r="EX2077" s="970"/>
      <c r="EY2077" s="970"/>
      <c r="EZ2077" s="970"/>
      <c r="FA2077" s="970"/>
      <c r="FB2077" s="970"/>
      <c r="FC2077" s="970"/>
      <c r="FD2077" s="970"/>
      <c r="FE2077" s="970"/>
      <c r="FF2077" s="970"/>
      <c r="FG2077" s="970"/>
      <c r="FH2077" s="970"/>
      <c r="FI2077" s="970"/>
      <c r="FJ2077" s="970"/>
      <c r="FK2077" s="970"/>
      <c r="FL2077" s="970"/>
      <c r="FM2077" s="970"/>
      <c r="FN2077" s="970"/>
      <c r="FO2077" s="970"/>
      <c r="FP2077" s="970"/>
      <c r="FQ2077" s="970"/>
      <c r="FR2077" s="970"/>
      <c r="FS2077" s="970"/>
      <c r="FT2077" s="970"/>
      <c r="FU2077" s="970"/>
      <c r="FV2077" s="970"/>
      <c r="FW2077" s="970"/>
      <c r="FX2077" s="970"/>
      <c r="FY2077" s="970"/>
      <c r="FZ2077" s="970"/>
      <c r="GA2077" s="970"/>
      <c r="GB2077" s="970"/>
      <c r="GC2077" s="970"/>
      <c r="GD2077" s="970"/>
      <c r="GE2077" s="970"/>
      <c r="GF2077" s="970"/>
      <c r="GG2077" s="970"/>
      <c r="GH2077" s="970"/>
      <c r="GI2077" s="970"/>
      <c r="GJ2077" s="970"/>
      <c r="GK2077" s="970"/>
      <c r="GL2077" s="970"/>
      <c r="GM2077" s="970"/>
      <c r="GN2077" s="970"/>
      <c r="GO2077" s="970"/>
      <c r="GP2077" s="970"/>
      <c r="GQ2077" s="970"/>
      <c r="GR2077" s="970"/>
      <c r="GS2077" s="970"/>
      <c r="GT2077" s="970"/>
      <c r="GU2077" s="970"/>
      <c r="GV2077" s="970"/>
      <c r="GW2077" s="970"/>
      <c r="GX2077" s="970"/>
      <c r="GY2077" s="970"/>
      <c r="GZ2077" s="970"/>
      <c r="HA2077" s="970"/>
      <c r="HB2077" s="970"/>
      <c r="HC2077" s="970"/>
      <c r="HD2077" s="970"/>
      <c r="HE2077" s="970"/>
      <c r="HF2077" s="970"/>
      <c r="HG2077" s="970"/>
      <c r="HH2077" s="970"/>
      <c r="HI2077" s="970"/>
      <c r="HJ2077" s="970"/>
      <c r="HK2077" s="970"/>
      <c r="HL2077" s="970"/>
      <c r="HM2077" s="970"/>
      <c r="HN2077" s="970"/>
      <c r="HO2077" s="970"/>
      <c r="HP2077" s="970"/>
      <c r="HQ2077" s="970"/>
      <c r="HR2077" s="970"/>
      <c r="HS2077" s="970"/>
      <c r="HT2077" s="970"/>
      <c r="HU2077" s="970"/>
      <c r="HV2077" s="970"/>
      <c r="HW2077" s="970"/>
      <c r="HX2077" s="970"/>
      <c r="HY2077" s="970"/>
      <c r="HZ2077" s="970"/>
      <c r="IA2077" s="970"/>
      <c r="IB2077" s="970"/>
      <c r="IC2077" s="970"/>
      <c r="ID2077" s="970"/>
      <c r="IE2077" s="970"/>
      <c r="IF2077" s="970"/>
      <c r="IG2077" s="970"/>
      <c r="IH2077" s="970"/>
      <c r="II2077" s="970"/>
      <c r="IJ2077" s="970"/>
      <c r="IK2077" s="970"/>
      <c r="IL2077" s="970"/>
      <c r="IM2077" s="970"/>
      <c r="IN2077" s="970"/>
      <c r="IO2077" s="970"/>
    </row>
    <row r="2078" spans="1:249" s="1288" customFormat="1" ht="49.5">
      <c r="A2078" s="102"/>
      <c r="B2078" s="8"/>
      <c r="C2078" s="628" t="s">
        <v>1735</v>
      </c>
      <c r="D2078" s="628" t="s">
        <v>34</v>
      </c>
      <c r="E2078" s="628" t="s">
        <v>28</v>
      </c>
      <c r="F2078" s="628" t="s">
        <v>25</v>
      </c>
      <c r="G2078" s="628" t="s">
        <v>39</v>
      </c>
      <c r="H2078" s="628" t="s">
        <v>28</v>
      </c>
      <c r="I2078" s="10" t="s">
        <v>1738</v>
      </c>
      <c r="J2078" s="10" t="s">
        <v>1739</v>
      </c>
      <c r="K2078" s="107">
        <v>1530</v>
      </c>
      <c r="L2078" s="238">
        <v>2868678000</v>
      </c>
      <c r="M2078" s="107">
        <v>810</v>
      </c>
      <c r="N2078" s="238">
        <v>1402528000</v>
      </c>
      <c r="O2078" s="107">
        <v>255</v>
      </c>
      <c r="P2078" s="238">
        <v>721800000</v>
      </c>
      <c r="Q2078" s="238">
        <v>0</v>
      </c>
      <c r="R2078" s="238">
        <v>0</v>
      </c>
      <c r="S2078" s="107"/>
      <c r="T2078" s="238">
        <v>0</v>
      </c>
      <c r="U2078" s="107"/>
      <c r="V2078" s="107"/>
      <c r="W2078" s="107"/>
      <c r="X2078" s="107"/>
      <c r="Y2078" s="107">
        <f t="shared" si="626"/>
        <v>0</v>
      </c>
      <c r="Z2078" s="204">
        <f>R2078+T2078+V2078+X2078</f>
        <v>0</v>
      </c>
      <c r="AA2078" s="107">
        <f>M2078+Y2078</f>
        <v>810</v>
      </c>
      <c r="AB2078" s="238">
        <f t="shared" si="628"/>
        <v>1402528000</v>
      </c>
      <c r="AC2078" s="109">
        <f t="shared" si="627"/>
        <v>52.941176470588239</v>
      </c>
      <c r="AD2078" s="117">
        <f t="shared" si="629"/>
        <v>48.891091994291443</v>
      </c>
      <c r="AE2078" s="102"/>
      <c r="AF2078" s="200"/>
      <c r="AG2078" s="200"/>
      <c r="AH2078" s="200"/>
      <c r="AI2078" s="1128"/>
      <c r="AJ2078" s="200"/>
      <c r="AK2078" s="1128"/>
      <c r="AL2078" s="200"/>
      <c r="AM2078" s="1128"/>
      <c r="AN2078" s="200"/>
      <c r="AO2078" s="1128"/>
      <c r="AP2078" s="200"/>
      <c r="AQ2078" s="200"/>
      <c r="AR2078" s="200"/>
      <c r="AS2078" s="200"/>
      <c r="AT2078" s="200"/>
      <c r="AU2078" s="200"/>
      <c r="AV2078" s="200"/>
      <c r="AW2078" s="200"/>
      <c r="AX2078" s="200"/>
      <c r="AY2078" s="200"/>
      <c r="AZ2078" s="200"/>
      <c r="BA2078" s="200"/>
      <c r="BB2078" s="200"/>
      <c r="BC2078" s="970"/>
      <c r="BD2078" s="970"/>
      <c r="BE2078" s="970"/>
      <c r="BF2078" s="970"/>
      <c r="BG2078" s="970"/>
      <c r="BH2078" s="970"/>
      <c r="BI2078" s="970"/>
      <c r="BJ2078" s="970"/>
      <c r="BK2078" s="970"/>
      <c r="BL2078" s="970"/>
      <c r="BM2078" s="970"/>
      <c r="BN2078" s="970"/>
      <c r="BO2078" s="970"/>
      <c r="BP2078" s="970"/>
      <c r="BQ2078" s="970"/>
      <c r="BR2078" s="970"/>
      <c r="BS2078" s="970"/>
      <c r="BT2078" s="970"/>
      <c r="BU2078" s="970"/>
      <c r="BV2078" s="970"/>
      <c r="BW2078" s="970"/>
      <c r="BX2078" s="970"/>
      <c r="BY2078" s="970"/>
      <c r="BZ2078" s="970"/>
      <c r="CA2078" s="970"/>
      <c r="CB2078" s="970"/>
      <c r="CC2078" s="970"/>
      <c r="CD2078" s="970"/>
      <c r="CE2078" s="970"/>
      <c r="CF2078" s="970"/>
      <c r="CG2078" s="970"/>
      <c r="CH2078" s="970"/>
      <c r="CI2078" s="970"/>
      <c r="CJ2078" s="970"/>
      <c r="CK2078" s="970"/>
      <c r="CL2078" s="970"/>
      <c r="CM2078" s="970"/>
      <c r="CN2078" s="970"/>
      <c r="CO2078" s="970"/>
      <c r="CP2078" s="970"/>
      <c r="CQ2078" s="970"/>
      <c r="CR2078" s="970"/>
      <c r="CS2078" s="970"/>
      <c r="CT2078" s="970"/>
      <c r="CU2078" s="970"/>
      <c r="CV2078" s="970"/>
      <c r="CW2078" s="970"/>
      <c r="CX2078" s="970"/>
      <c r="CY2078" s="970"/>
      <c r="CZ2078" s="970"/>
      <c r="DA2078" s="970"/>
      <c r="DB2078" s="970"/>
      <c r="DC2078" s="970"/>
      <c r="DD2078" s="970"/>
      <c r="DE2078" s="970"/>
      <c r="DF2078" s="970"/>
      <c r="DG2078" s="970"/>
      <c r="DH2078" s="970"/>
      <c r="DI2078" s="970"/>
      <c r="DJ2078" s="970"/>
      <c r="DK2078" s="970"/>
      <c r="DL2078" s="970"/>
      <c r="DM2078" s="970"/>
      <c r="DN2078" s="970"/>
      <c r="DO2078" s="970"/>
      <c r="DP2078" s="970"/>
      <c r="DQ2078" s="970"/>
      <c r="DR2078" s="970"/>
      <c r="DS2078" s="970"/>
      <c r="DT2078" s="970"/>
      <c r="DU2078" s="970"/>
      <c r="DV2078" s="970"/>
      <c r="DW2078" s="970"/>
      <c r="DX2078" s="970"/>
      <c r="DY2078" s="970"/>
      <c r="DZ2078" s="970"/>
      <c r="EA2078" s="970"/>
      <c r="EB2078" s="970"/>
      <c r="EC2078" s="970"/>
      <c r="ED2078" s="970"/>
      <c r="EE2078" s="970"/>
      <c r="EF2078" s="970"/>
      <c r="EG2078" s="970"/>
      <c r="EH2078" s="970"/>
      <c r="EI2078" s="970"/>
      <c r="EJ2078" s="970"/>
      <c r="EK2078" s="970"/>
      <c r="EL2078" s="970"/>
      <c r="EM2078" s="970"/>
      <c r="EN2078" s="970"/>
      <c r="EO2078" s="970"/>
      <c r="EP2078" s="970"/>
      <c r="EQ2078" s="970"/>
      <c r="ER2078" s="970"/>
      <c r="ES2078" s="970"/>
      <c r="ET2078" s="970"/>
      <c r="EU2078" s="970"/>
      <c r="EV2078" s="970"/>
      <c r="EW2078" s="970"/>
      <c r="EX2078" s="970"/>
      <c r="EY2078" s="970"/>
      <c r="EZ2078" s="970"/>
      <c r="FA2078" s="970"/>
      <c r="FB2078" s="970"/>
      <c r="FC2078" s="970"/>
      <c r="FD2078" s="970"/>
      <c r="FE2078" s="970"/>
      <c r="FF2078" s="970"/>
      <c r="FG2078" s="970"/>
      <c r="FH2078" s="970"/>
      <c r="FI2078" s="970"/>
      <c r="FJ2078" s="970"/>
      <c r="FK2078" s="970"/>
      <c r="FL2078" s="970"/>
      <c r="FM2078" s="970"/>
      <c r="FN2078" s="970"/>
      <c r="FO2078" s="970"/>
      <c r="FP2078" s="970"/>
      <c r="FQ2078" s="970"/>
      <c r="FR2078" s="970"/>
      <c r="FS2078" s="970"/>
      <c r="FT2078" s="970"/>
      <c r="FU2078" s="970"/>
      <c r="FV2078" s="970"/>
      <c r="FW2078" s="970"/>
      <c r="FX2078" s="970"/>
      <c r="FY2078" s="970"/>
      <c r="FZ2078" s="970"/>
      <c r="GA2078" s="970"/>
      <c r="GB2078" s="970"/>
      <c r="GC2078" s="970"/>
      <c r="GD2078" s="970"/>
      <c r="GE2078" s="970"/>
      <c r="GF2078" s="970"/>
      <c r="GG2078" s="970"/>
      <c r="GH2078" s="970"/>
      <c r="GI2078" s="970"/>
      <c r="GJ2078" s="970"/>
      <c r="GK2078" s="970"/>
      <c r="GL2078" s="970"/>
      <c r="GM2078" s="970"/>
      <c r="GN2078" s="970"/>
      <c r="GO2078" s="970"/>
      <c r="GP2078" s="970"/>
      <c r="GQ2078" s="970"/>
      <c r="GR2078" s="970"/>
      <c r="GS2078" s="970"/>
      <c r="GT2078" s="970"/>
      <c r="GU2078" s="970"/>
      <c r="GV2078" s="970"/>
      <c r="GW2078" s="970"/>
      <c r="GX2078" s="970"/>
      <c r="GY2078" s="970"/>
      <c r="GZ2078" s="970"/>
      <c r="HA2078" s="970"/>
      <c r="HB2078" s="970"/>
      <c r="HC2078" s="970"/>
      <c r="HD2078" s="970"/>
      <c r="HE2078" s="970"/>
      <c r="HF2078" s="970"/>
      <c r="HG2078" s="970"/>
      <c r="HH2078" s="970"/>
      <c r="HI2078" s="970"/>
      <c r="HJ2078" s="970"/>
      <c r="HK2078" s="970"/>
      <c r="HL2078" s="970"/>
      <c r="HM2078" s="970"/>
      <c r="HN2078" s="970"/>
      <c r="HO2078" s="970"/>
      <c r="HP2078" s="970"/>
      <c r="HQ2078" s="970"/>
      <c r="HR2078" s="970"/>
      <c r="HS2078" s="970"/>
      <c r="HT2078" s="970"/>
      <c r="HU2078" s="970"/>
      <c r="HV2078" s="970"/>
      <c r="HW2078" s="970"/>
      <c r="HX2078" s="970"/>
      <c r="HY2078" s="970"/>
      <c r="HZ2078" s="970"/>
      <c r="IA2078" s="970"/>
      <c r="IB2078" s="970"/>
      <c r="IC2078" s="970"/>
      <c r="ID2078" s="970"/>
      <c r="IE2078" s="970"/>
      <c r="IF2078" s="970"/>
      <c r="IG2078" s="970"/>
      <c r="IH2078" s="970"/>
      <c r="II2078" s="970"/>
      <c r="IJ2078" s="970"/>
      <c r="IK2078" s="970"/>
      <c r="IL2078" s="970"/>
      <c r="IM2078" s="970"/>
      <c r="IN2078" s="970"/>
      <c r="IO2078" s="970"/>
    </row>
    <row r="2079" spans="1:249" s="1346" customFormat="1" ht="66">
      <c r="A2079" s="2558">
        <v>5</v>
      </c>
      <c r="B2079" s="629"/>
      <c r="C2079" s="303" t="s">
        <v>1735</v>
      </c>
      <c r="D2079" s="303" t="s">
        <v>34</v>
      </c>
      <c r="E2079" s="303" t="s">
        <v>28</v>
      </c>
      <c r="F2079" s="303" t="s">
        <v>25</v>
      </c>
      <c r="G2079" s="303" t="s">
        <v>45</v>
      </c>
      <c r="H2079" s="303"/>
      <c r="I2079" s="629" t="s">
        <v>1740</v>
      </c>
      <c r="J2079" s="629" t="s">
        <v>3421</v>
      </c>
      <c r="K2079" s="545">
        <v>90</v>
      </c>
      <c r="L2079" s="230">
        <f>SUM(L2080:L2089)</f>
        <v>149706217000</v>
      </c>
      <c r="M2079" s="545">
        <v>45</v>
      </c>
      <c r="N2079" s="230">
        <f>SUM(N2080:N2089)</f>
        <v>59951581000</v>
      </c>
      <c r="O2079" s="545">
        <v>15</v>
      </c>
      <c r="P2079" s="230">
        <f>SUM(P2080:P2089)</f>
        <v>12782907554</v>
      </c>
      <c r="Q2079" s="230">
        <v>2</v>
      </c>
      <c r="R2079" s="230">
        <f>SUM(R2080:R2091)</f>
        <v>3855665000</v>
      </c>
      <c r="S2079" s="545"/>
      <c r="T2079" s="160">
        <f>SUM(T2080:T2089)</f>
        <v>2915552000</v>
      </c>
      <c r="U2079" s="545"/>
      <c r="V2079" s="545"/>
      <c r="W2079" s="545"/>
      <c r="X2079" s="545"/>
      <c r="Y2079" s="545">
        <f t="shared" si="626"/>
        <v>2</v>
      </c>
      <c r="Z2079" s="230">
        <f>R2079</f>
        <v>3855665000</v>
      </c>
      <c r="AA2079" s="545">
        <f>M2079</f>
        <v>45</v>
      </c>
      <c r="AB2079" s="230">
        <f t="shared" si="628"/>
        <v>63807246000</v>
      </c>
      <c r="AC2079" s="140">
        <f t="shared" si="627"/>
        <v>50</v>
      </c>
      <c r="AD2079" s="148">
        <f t="shared" si="629"/>
        <v>42.621640756575928</v>
      </c>
      <c r="AE2079" s="2558" t="s">
        <v>1710</v>
      </c>
      <c r="AF2079" s="200"/>
      <c r="AG2079" s="200"/>
      <c r="AH2079" s="200"/>
      <c r="AI2079" s="1128"/>
      <c r="AJ2079" s="200"/>
      <c r="AK2079" s="1128"/>
      <c r="AL2079" s="200"/>
      <c r="AM2079" s="1128"/>
      <c r="AN2079" s="200"/>
      <c r="AO2079" s="1128"/>
      <c r="AP2079" s="200"/>
      <c r="AQ2079" s="200"/>
      <c r="AR2079" s="200"/>
      <c r="AS2079" s="200"/>
      <c r="AT2079" s="200"/>
      <c r="AU2079" s="200"/>
      <c r="AV2079" s="200"/>
      <c r="AW2079" s="200"/>
      <c r="AX2079" s="200"/>
      <c r="AY2079" s="200"/>
      <c r="AZ2079" s="200"/>
      <c r="BA2079" s="200"/>
      <c r="BB2079" s="200"/>
      <c r="BC2079" s="970"/>
      <c r="BD2079" s="970"/>
      <c r="BE2079" s="970"/>
      <c r="BF2079" s="970"/>
      <c r="BG2079" s="970"/>
      <c r="BH2079" s="970"/>
      <c r="BI2079" s="970"/>
      <c r="BJ2079" s="970"/>
      <c r="BK2079" s="970"/>
      <c r="BL2079" s="970"/>
      <c r="BM2079" s="970"/>
      <c r="BN2079" s="970"/>
      <c r="BO2079" s="970"/>
      <c r="BP2079" s="970"/>
      <c r="BQ2079" s="970"/>
      <c r="BR2079" s="970"/>
      <c r="BS2079" s="970"/>
      <c r="BT2079" s="970"/>
      <c r="BU2079" s="970"/>
      <c r="BV2079" s="970"/>
      <c r="BW2079" s="970"/>
      <c r="BX2079" s="970"/>
      <c r="BY2079" s="970"/>
      <c r="BZ2079" s="970"/>
      <c r="CA2079" s="970"/>
      <c r="CB2079" s="970"/>
      <c r="CC2079" s="970"/>
      <c r="CD2079" s="970"/>
      <c r="CE2079" s="970"/>
      <c r="CF2079" s="970"/>
      <c r="CG2079" s="970"/>
      <c r="CH2079" s="970"/>
      <c r="CI2079" s="970"/>
      <c r="CJ2079" s="970"/>
      <c r="CK2079" s="970"/>
      <c r="CL2079" s="970"/>
      <c r="CM2079" s="970"/>
      <c r="CN2079" s="970"/>
      <c r="CO2079" s="970"/>
      <c r="CP2079" s="970"/>
      <c r="CQ2079" s="970"/>
      <c r="CR2079" s="970"/>
      <c r="CS2079" s="970"/>
      <c r="CT2079" s="970"/>
      <c r="CU2079" s="970"/>
      <c r="CV2079" s="970"/>
      <c r="CW2079" s="970"/>
      <c r="CX2079" s="970"/>
      <c r="CY2079" s="970"/>
      <c r="CZ2079" s="970"/>
      <c r="DA2079" s="970"/>
      <c r="DB2079" s="970"/>
      <c r="DC2079" s="970"/>
      <c r="DD2079" s="970"/>
      <c r="DE2079" s="970"/>
      <c r="DF2079" s="970"/>
      <c r="DG2079" s="970"/>
      <c r="DH2079" s="970"/>
      <c r="DI2079" s="970"/>
      <c r="DJ2079" s="970"/>
      <c r="DK2079" s="970"/>
      <c r="DL2079" s="970"/>
      <c r="DM2079" s="970"/>
      <c r="DN2079" s="970"/>
      <c r="DO2079" s="970"/>
      <c r="DP2079" s="970"/>
      <c r="DQ2079" s="970"/>
      <c r="DR2079" s="970"/>
      <c r="DS2079" s="970"/>
      <c r="DT2079" s="970"/>
      <c r="DU2079" s="970"/>
      <c r="DV2079" s="970"/>
      <c r="DW2079" s="970"/>
      <c r="DX2079" s="970"/>
      <c r="DY2079" s="970"/>
      <c r="DZ2079" s="970"/>
      <c r="EA2079" s="970"/>
      <c r="EB2079" s="970"/>
      <c r="EC2079" s="970"/>
      <c r="ED2079" s="970"/>
      <c r="EE2079" s="970"/>
      <c r="EF2079" s="970"/>
      <c r="EG2079" s="970"/>
      <c r="EH2079" s="970"/>
      <c r="EI2079" s="970"/>
      <c r="EJ2079" s="970"/>
      <c r="EK2079" s="970"/>
      <c r="EL2079" s="970"/>
      <c r="EM2079" s="970"/>
      <c r="EN2079" s="970"/>
      <c r="EO2079" s="970"/>
      <c r="EP2079" s="970"/>
      <c r="EQ2079" s="970"/>
      <c r="ER2079" s="970"/>
      <c r="ES2079" s="970"/>
      <c r="ET2079" s="970"/>
      <c r="EU2079" s="970"/>
      <c r="EV2079" s="970"/>
      <c r="EW2079" s="970"/>
      <c r="EX2079" s="970"/>
      <c r="EY2079" s="970"/>
      <c r="EZ2079" s="970"/>
      <c r="FA2079" s="970"/>
      <c r="FB2079" s="970"/>
      <c r="FC2079" s="970"/>
      <c r="FD2079" s="970"/>
      <c r="FE2079" s="970"/>
      <c r="FF2079" s="970"/>
      <c r="FG2079" s="970"/>
      <c r="FH2079" s="970"/>
      <c r="FI2079" s="970"/>
      <c r="FJ2079" s="970"/>
      <c r="FK2079" s="970"/>
      <c r="FL2079" s="970"/>
      <c r="FM2079" s="970"/>
      <c r="FN2079" s="970"/>
      <c r="FO2079" s="970"/>
      <c r="FP2079" s="970"/>
      <c r="FQ2079" s="970"/>
      <c r="FR2079" s="970"/>
      <c r="FS2079" s="970"/>
      <c r="FT2079" s="970"/>
      <c r="FU2079" s="970"/>
      <c r="FV2079" s="970"/>
      <c r="FW2079" s="970"/>
      <c r="FX2079" s="970"/>
      <c r="FY2079" s="970"/>
      <c r="FZ2079" s="970"/>
      <c r="GA2079" s="970"/>
      <c r="GB2079" s="970"/>
      <c r="GC2079" s="970"/>
      <c r="GD2079" s="970"/>
      <c r="GE2079" s="970"/>
      <c r="GF2079" s="970"/>
      <c r="GG2079" s="970"/>
      <c r="GH2079" s="970"/>
      <c r="GI2079" s="970"/>
      <c r="GJ2079" s="970"/>
      <c r="GK2079" s="970"/>
      <c r="GL2079" s="970"/>
      <c r="GM2079" s="970"/>
      <c r="GN2079" s="970"/>
      <c r="GO2079" s="970"/>
      <c r="GP2079" s="970"/>
      <c r="GQ2079" s="970"/>
      <c r="GR2079" s="970"/>
      <c r="GS2079" s="970"/>
      <c r="GT2079" s="970"/>
      <c r="GU2079" s="970"/>
      <c r="GV2079" s="970"/>
      <c r="GW2079" s="970"/>
      <c r="GX2079" s="970"/>
      <c r="GY2079" s="970"/>
      <c r="GZ2079" s="970"/>
      <c r="HA2079" s="970"/>
      <c r="HB2079" s="970"/>
      <c r="HC2079" s="970"/>
      <c r="HD2079" s="970"/>
      <c r="HE2079" s="970"/>
      <c r="HF2079" s="970"/>
      <c r="HG2079" s="970"/>
      <c r="HH2079" s="970"/>
      <c r="HI2079" s="970"/>
      <c r="HJ2079" s="970"/>
      <c r="HK2079" s="970"/>
      <c r="HL2079" s="970"/>
      <c r="HM2079" s="970"/>
      <c r="HN2079" s="970"/>
      <c r="HO2079" s="970"/>
      <c r="HP2079" s="970"/>
      <c r="HQ2079" s="970"/>
      <c r="HR2079" s="970"/>
      <c r="HS2079" s="970"/>
      <c r="HT2079" s="970"/>
      <c r="HU2079" s="970"/>
      <c r="HV2079" s="970"/>
      <c r="HW2079" s="970"/>
      <c r="HX2079" s="970"/>
      <c r="HY2079" s="970"/>
      <c r="HZ2079" s="970"/>
      <c r="IA2079" s="970"/>
      <c r="IB2079" s="970"/>
      <c r="IC2079" s="970"/>
      <c r="ID2079" s="970"/>
      <c r="IE2079" s="970"/>
      <c r="IF2079" s="970"/>
      <c r="IG2079" s="970"/>
      <c r="IH2079" s="970"/>
      <c r="II2079" s="970"/>
      <c r="IJ2079" s="970"/>
      <c r="IK2079" s="970"/>
      <c r="IL2079" s="970"/>
      <c r="IM2079" s="970"/>
      <c r="IN2079" s="970"/>
      <c r="IO2079" s="970"/>
    </row>
    <row r="2080" spans="1:249" s="1288" customFormat="1" ht="49.5">
      <c r="A2080" s="102"/>
      <c r="B2080" s="632"/>
      <c r="C2080" s="628" t="s">
        <v>1735</v>
      </c>
      <c r="D2080" s="628" t="s">
        <v>34</v>
      </c>
      <c r="E2080" s="628" t="s">
        <v>28</v>
      </c>
      <c r="F2080" s="628" t="s">
        <v>25</v>
      </c>
      <c r="G2080" s="628" t="s">
        <v>45</v>
      </c>
      <c r="H2080" s="628" t="s">
        <v>25</v>
      </c>
      <c r="I2080" s="10" t="s">
        <v>1741</v>
      </c>
      <c r="J2080" s="10" t="s">
        <v>1742</v>
      </c>
      <c r="K2080" s="107">
        <v>60</v>
      </c>
      <c r="L2080" s="238">
        <v>55680876000</v>
      </c>
      <c r="M2080" s="107">
        <v>36</v>
      </c>
      <c r="N2080" s="238">
        <v>14381299000</v>
      </c>
      <c r="O2080" s="107">
        <v>12</v>
      </c>
      <c r="P2080" s="238">
        <v>2639108300</v>
      </c>
      <c r="Q2080" s="238">
        <v>2</v>
      </c>
      <c r="R2080" s="238">
        <v>595856000</v>
      </c>
      <c r="S2080" s="107">
        <v>1</v>
      </c>
      <c r="T2080" s="238">
        <v>665681000</v>
      </c>
      <c r="U2080" s="107"/>
      <c r="V2080" s="107"/>
      <c r="W2080" s="107"/>
      <c r="X2080" s="107"/>
      <c r="Y2080" s="107">
        <f t="shared" si="626"/>
        <v>3</v>
      </c>
      <c r="Z2080" s="204">
        <f t="shared" ref="Z2080:Z2089" si="630">R2080+T2080+V2080+X2080</f>
        <v>1261537000</v>
      </c>
      <c r="AA2080" s="107">
        <f t="shared" ref="AA2080:AA2089" si="631">M2080+Y2080</f>
        <v>39</v>
      </c>
      <c r="AB2080" s="238">
        <f t="shared" si="628"/>
        <v>15642836000</v>
      </c>
      <c r="AC2080" s="109">
        <f t="shared" si="627"/>
        <v>65</v>
      </c>
      <c r="AD2080" s="117">
        <f t="shared" si="629"/>
        <v>28.093731858672626</v>
      </c>
      <c r="AE2080" s="102"/>
      <c r="AF2080" s="200"/>
      <c r="AG2080" s="200"/>
      <c r="AH2080" s="200"/>
      <c r="AI2080" s="1128"/>
      <c r="AJ2080" s="200"/>
      <c r="AK2080" s="1128"/>
      <c r="AL2080" s="200"/>
      <c r="AM2080" s="1128"/>
      <c r="AN2080" s="200"/>
      <c r="AO2080" s="1128"/>
      <c r="AP2080" s="200"/>
      <c r="AQ2080" s="200"/>
      <c r="AR2080" s="200"/>
      <c r="AS2080" s="200"/>
      <c r="AT2080" s="200"/>
      <c r="AU2080" s="200"/>
      <c r="AV2080" s="200"/>
      <c r="AW2080" s="200"/>
      <c r="AX2080" s="200"/>
      <c r="AY2080" s="200"/>
      <c r="AZ2080" s="200"/>
      <c r="BA2080" s="200"/>
      <c r="BB2080" s="200"/>
      <c r="BC2080" s="970"/>
      <c r="BD2080" s="970"/>
      <c r="BE2080" s="970"/>
      <c r="BF2080" s="970"/>
      <c r="BG2080" s="970"/>
      <c r="BH2080" s="970"/>
      <c r="BI2080" s="970"/>
      <c r="BJ2080" s="970"/>
      <c r="BK2080" s="970"/>
      <c r="BL2080" s="970"/>
      <c r="BM2080" s="970"/>
      <c r="BN2080" s="970"/>
      <c r="BO2080" s="970"/>
      <c r="BP2080" s="970"/>
      <c r="BQ2080" s="970"/>
      <c r="BR2080" s="970"/>
      <c r="BS2080" s="970"/>
      <c r="BT2080" s="970"/>
      <c r="BU2080" s="970"/>
      <c r="BV2080" s="970"/>
      <c r="BW2080" s="970"/>
      <c r="BX2080" s="970"/>
      <c r="BY2080" s="970"/>
      <c r="BZ2080" s="970"/>
      <c r="CA2080" s="970"/>
      <c r="CB2080" s="970"/>
      <c r="CC2080" s="970"/>
      <c r="CD2080" s="970"/>
      <c r="CE2080" s="970"/>
      <c r="CF2080" s="970"/>
      <c r="CG2080" s="970"/>
      <c r="CH2080" s="970"/>
      <c r="CI2080" s="970"/>
      <c r="CJ2080" s="970"/>
      <c r="CK2080" s="970"/>
      <c r="CL2080" s="970"/>
      <c r="CM2080" s="970"/>
      <c r="CN2080" s="970"/>
      <c r="CO2080" s="970"/>
      <c r="CP2080" s="970"/>
      <c r="CQ2080" s="970"/>
      <c r="CR2080" s="970"/>
      <c r="CS2080" s="970"/>
      <c r="CT2080" s="970"/>
      <c r="CU2080" s="970"/>
      <c r="CV2080" s="970"/>
      <c r="CW2080" s="970"/>
      <c r="CX2080" s="970"/>
      <c r="CY2080" s="970"/>
      <c r="CZ2080" s="970"/>
      <c r="DA2080" s="970"/>
      <c r="DB2080" s="970"/>
      <c r="DC2080" s="970"/>
      <c r="DD2080" s="970"/>
      <c r="DE2080" s="970"/>
      <c r="DF2080" s="970"/>
      <c r="DG2080" s="970"/>
      <c r="DH2080" s="970"/>
      <c r="DI2080" s="970"/>
      <c r="DJ2080" s="970"/>
      <c r="DK2080" s="970"/>
      <c r="DL2080" s="970"/>
      <c r="DM2080" s="970"/>
      <c r="DN2080" s="970"/>
      <c r="DO2080" s="970"/>
      <c r="DP2080" s="970"/>
      <c r="DQ2080" s="970"/>
      <c r="DR2080" s="970"/>
      <c r="DS2080" s="970"/>
      <c r="DT2080" s="970"/>
      <c r="DU2080" s="970"/>
      <c r="DV2080" s="970"/>
      <c r="DW2080" s="970"/>
      <c r="DX2080" s="970"/>
      <c r="DY2080" s="970"/>
      <c r="DZ2080" s="970"/>
      <c r="EA2080" s="970"/>
      <c r="EB2080" s="970"/>
      <c r="EC2080" s="970"/>
      <c r="ED2080" s="970"/>
      <c r="EE2080" s="970"/>
      <c r="EF2080" s="970"/>
      <c r="EG2080" s="970"/>
      <c r="EH2080" s="970"/>
      <c r="EI2080" s="970"/>
      <c r="EJ2080" s="970"/>
      <c r="EK2080" s="970"/>
      <c r="EL2080" s="970"/>
      <c r="EM2080" s="970"/>
      <c r="EN2080" s="970"/>
      <c r="EO2080" s="970"/>
      <c r="EP2080" s="970"/>
      <c r="EQ2080" s="970"/>
      <c r="ER2080" s="970"/>
      <c r="ES2080" s="970"/>
      <c r="ET2080" s="970"/>
      <c r="EU2080" s="970"/>
      <c r="EV2080" s="970"/>
      <c r="EW2080" s="970"/>
      <c r="EX2080" s="970"/>
      <c r="EY2080" s="970"/>
      <c r="EZ2080" s="970"/>
      <c r="FA2080" s="970"/>
      <c r="FB2080" s="970"/>
      <c r="FC2080" s="970"/>
      <c r="FD2080" s="970"/>
      <c r="FE2080" s="970"/>
      <c r="FF2080" s="970"/>
      <c r="FG2080" s="970"/>
      <c r="FH2080" s="970"/>
      <c r="FI2080" s="970"/>
      <c r="FJ2080" s="970"/>
      <c r="FK2080" s="970"/>
      <c r="FL2080" s="970"/>
      <c r="FM2080" s="970"/>
      <c r="FN2080" s="970"/>
      <c r="FO2080" s="970"/>
      <c r="FP2080" s="970"/>
      <c r="FQ2080" s="970"/>
      <c r="FR2080" s="970"/>
      <c r="FS2080" s="970"/>
      <c r="FT2080" s="970"/>
      <c r="FU2080" s="970"/>
      <c r="FV2080" s="970"/>
      <c r="FW2080" s="970"/>
      <c r="FX2080" s="970"/>
      <c r="FY2080" s="970"/>
      <c r="FZ2080" s="970"/>
      <c r="GA2080" s="970"/>
      <c r="GB2080" s="970"/>
      <c r="GC2080" s="970"/>
      <c r="GD2080" s="970"/>
      <c r="GE2080" s="970"/>
      <c r="GF2080" s="970"/>
      <c r="GG2080" s="970"/>
      <c r="GH2080" s="970"/>
      <c r="GI2080" s="970"/>
      <c r="GJ2080" s="970"/>
      <c r="GK2080" s="970"/>
      <c r="GL2080" s="970"/>
      <c r="GM2080" s="970"/>
      <c r="GN2080" s="970"/>
      <c r="GO2080" s="970"/>
      <c r="GP2080" s="970"/>
      <c r="GQ2080" s="970"/>
      <c r="GR2080" s="970"/>
      <c r="GS2080" s="970"/>
      <c r="GT2080" s="970"/>
      <c r="GU2080" s="970"/>
      <c r="GV2080" s="970"/>
      <c r="GW2080" s="970"/>
      <c r="GX2080" s="970"/>
      <c r="GY2080" s="970"/>
      <c r="GZ2080" s="970"/>
      <c r="HA2080" s="970"/>
      <c r="HB2080" s="970"/>
      <c r="HC2080" s="970"/>
      <c r="HD2080" s="970"/>
      <c r="HE2080" s="970"/>
      <c r="HF2080" s="970"/>
      <c r="HG2080" s="970"/>
      <c r="HH2080" s="970"/>
      <c r="HI2080" s="970"/>
      <c r="HJ2080" s="970"/>
      <c r="HK2080" s="970"/>
      <c r="HL2080" s="970"/>
      <c r="HM2080" s="970"/>
      <c r="HN2080" s="970"/>
      <c r="HO2080" s="970"/>
      <c r="HP2080" s="970"/>
      <c r="HQ2080" s="970"/>
      <c r="HR2080" s="970"/>
      <c r="HS2080" s="970"/>
      <c r="HT2080" s="970"/>
      <c r="HU2080" s="970"/>
      <c r="HV2080" s="970"/>
      <c r="HW2080" s="970"/>
      <c r="HX2080" s="970"/>
      <c r="HY2080" s="970"/>
      <c r="HZ2080" s="970"/>
      <c r="IA2080" s="970"/>
      <c r="IB2080" s="970"/>
      <c r="IC2080" s="970"/>
      <c r="ID2080" s="970"/>
      <c r="IE2080" s="970"/>
      <c r="IF2080" s="970"/>
      <c r="IG2080" s="970"/>
      <c r="IH2080" s="970"/>
      <c r="II2080" s="970"/>
      <c r="IJ2080" s="970"/>
      <c r="IK2080" s="970"/>
      <c r="IL2080" s="970"/>
      <c r="IM2080" s="970"/>
      <c r="IN2080" s="970"/>
      <c r="IO2080" s="970"/>
    </row>
    <row r="2081" spans="1:251" s="1288" customFormat="1" ht="82.5">
      <c r="A2081" s="102"/>
      <c r="B2081" s="8"/>
      <c r="C2081" s="628" t="s">
        <v>1735</v>
      </c>
      <c r="D2081" s="628" t="s">
        <v>34</v>
      </c>
      <c r="E2081" s="628" t="s">
        <v>28</v>
      </c>
      <c r="F2081" s="628" t="s">
        <v>25</v>
      </c>
      <c r="G2081" s="628" t="s">
        <v>45</v>
      </c>
      <c r="H2081" s="628" t="s">
        <v>28</v>
      </c>
      <c r="I2081" s="10" t="s">
        <v>1743</v>
      </c>
      <c r="J2081" s="10" t="s">
        <v>1744</v>
      </c>
      <c r="K2081" s="107">
        <v>48</v>
      </c>
      <c r="L2081" s="238">
        <v>505068000</v>
      </c>
      <c r="M2081" s="107">
        <v>34</v>
      </c>
      <c r="N2081" s="238">
        <v>141765000</v>
      </c>
      <c r="O2081" s="107">
        <v>8</v>
      </c>
      <c r="P2081" s="238">
        <v>48066062</v>
      </c>
      <c r="Q2081" s="238">
        <v>0</v>
      </c>
      <c r="R2081" s="238">
        <v>0</v>
      </c>
      <c r="S2081" s="107">
        <v>2</v>
      </c>
      <c r="T2081" s="238">
        <v>5825000</v>
      </c>
      <c r="U2081" s="107"/>
      <c r="V2081" s="107"/>
      <c r="W2081" s="107"/>
      <c r="X2081" s="107"/>
      <c r="Y2081" s="107">
        <f t="shared" si="626"/>
        <v>2</v>
      </c>
      <c r="Z2081" s="204">
        <f t="shared" si="630"/>
        <v>5825000</v>
      </c>
      <c r="AA2081" s="107">
        <f t="shared" si="631"/>
        <v>36</v>
      </c>
      <c r="AB2081" s="238">
        <f t="shared" si="628"/>
        <v>147590000</v>
      </c>
      <c r="AC2081" s="109">
        <f t="shared" si="627"/>
        <v>75</v>
      </c>
      <c r="AD2081" s="117">
        <f t="shared" si="629"/>
        <v>29.22180775657931</v>
      </c>
      <c r="AE2081" s="102"/>
      <c r="AF2081" s="200"/>
      <c r="AG2081" s="200"/>
      <c r="AH2081" s="200"/>
      <c r="AI2081" s="1128"/>
      <c r="AJ2081" s="200"/>
      <c r="AK2081" s="1128"/>
      <c r="AL2081" s="200"/>
      <c r="AM2081" s="1128"/>
      <c r="AN2081" s="200"/>
      <c r="AO2081" s="1128"/>
      <c r="AP2081" s="200"/>
      <c r="AQ2081" s="200"/>
      <c r="AR2081" s="200"/>
      <c r="AS2081" s="200"/>
      <c r="AT2081" s="200"/>
      <c r="AU2081" s="200"/>
      <c r="AV2081" s="200"/>
      <c r="AW2081" s="200"/>
      <c r="AX2081" s="200"/>
      <c r="AY2081" s="200"/>
      <c r="AZ2081" s="200"/>
      <c r="BA2081" s="200"/>
      <c r="BB2081" s="200"/>
      <c r="BC2081" s="970"/>
      <c r="BD2081" s="970"/>
      <c r="BE2081" s="970"/>
      <c r="BF2081" s="970"/>
      <c r="BG2081" s="970"/>
      <c r="BH2081" s="970"/>
      <c r="BI2081" s="970"/>
      <c r="BJ2081" s="970"/>
      <c r="BK2081" s="970"/>
      <c r="BL2081" s="970"/>
      <c r="BM2081" s="970"/>
      <c r="BN2081" s="970"/>
      <c r="BO2081" s="970"/>
      <c r="BP2081" s="970"/>
      <c r="BQ2081" s="970"/>
      <c r="BR2081" s="970"/>
      <c r="BS2081" s="970"/>
      <c r="BT2081" s="970"/>
      <c r="BU2081" s="970"/>
      <c r="BV2081" s="970"/>
      <c r="BW2081" s="970"/>
      <c r="BX2081" s="970"/>
      <c r="BY2081" s="970"/>
      <c r="BZ2081" s="970"/>
      <c r="CA2081" s="970"/>
      <c r="CB2081" s="970"/>
      <c r="CC2081" s="970"/>
      <c r="CD2081" s="970"/>
      <c r="CE2081" s="970"/>
      <c r="CF2081" s="970"/>
      <c r="CG2081" s="970"/>
      <c r="CH2081" s="970"/>
      <c r="CI2081" s="970"/>
      <c r="CJ2081" s="970"/>
      <c r="CK2081" s="970"/>
      <c r="CL2081" s="970"/>
      <c r="CM2081" s="970"/>
      <c r="CN2081" s="970"/>
      <c r="CO2081" s="970"/>
      <c r="CP2081" s="970"/>
      <c r="CQ2081" s="970"/>
      <c r="CR2081" s="970"/>
      <c r="CS2081" s="970"/>
      <c r="CT2081" s="970"/>
      <c r="CU2081" s="970"/>
      <c r="CV2081" s="970"/>
      <c r="CW2081" s="970"/>
      <c r="CX2081" s="970"/>
      <c r="CY2081" s="970"/>
      <c r="CZ2081" s="970"/>
      <c r="DA2081" s="970"/>
      <c r="DB2081" s="970"/>
      <c r="DC2081" s="970"/>
      <c r="DD2081" s="970"/>
      <c r="DE2081" s="970"/>
      <c r="DF2081" s="970"/>
      <c r="DG2081" s="970"/>
      <c r="DH2081" s="970"/>
      <c r="DI2081" s="970"/>
      <c r="DJ2081" s="970"/>
      <c r="DK2081" s="970"/>
      <c r="DL2081" s="970"/>
      <c r="DM2081" s="970"/>
      <c r="DN2081" s="970"/>
      <c r="DO2081" s="970"/>
      <c r="DP2081" s="970"/>
      <c r="DQ2081" s="970"/>
      <c r="DR2081" s="970"/>
      <c r="DS2081" s="970"/>
      <c r="DT2081" s="970"/>
      <c r="DU2081" s="970"/>
      <c r="DV2081" s="970"/>
      <c r="DW2081" s="970"/>
      <c r="DX2081" s="970"/>
      <c r="DY2081" s="970"/>
      <c r="DZ2081" s="970"/>
      <c r="EA2081" s="970"/>
      <c r="EB2081" s="970"/>
      <c r="EC2081" s="970"/>
      <c r="ED2081" s="970"/>
      <c r="EE2081" s="970"/>
      <c r="EF2081" s="970"/>
      <c r="EG2081" s="970"/>
      <c r="EH2081" s="970"/>
      <c r="EI2081" s="970"/>
      <c r="EJ2081" s="970"/>
      <c r="EK2081" s="970"/>
      <c r="EL2081" s="970"/>
      <c r="EM2081" s="970"/>
      <c r="EN2081" s="970"/>
      <c r="EO2081" s="970"/>
      <c r="EP2081" s="970"/>
      <c r="EQ2081" s="970"/>
      <c r="ER2081" s="970"/>
      <c r="ES2081" s="970"/>
      <c r="ET2081" s="970"/>
      <c r="EU2081" s="970"/>
      <c r="EV2081" s="970"/>
      <c r="EW2081" s="970"/>
      <c r="EX2081" s="970"/>
      <c r="EY2081" s="970"/>
      <c r="EZ2081" s="970"/>
      <c r="FA2081" s="970"/>
      <c r="FB2081" s="970"/>
      <c r="FC2081" s="970"/>
      <c r="FD2081" s="970"/>
      <c r="FE2081" s="970"/>
      <c r="FF2081" s="970"/>
      <c r="FG2081" s="970"/>
      <c r="FH2081" s="970"/>
      <c r="FI2081" s="970"/>
      <c r="FJ2081" s="970"/>
      <c r="FK2081" s="970"/>
      <c r="FL2081" s="970"/>
      <c r="FM2081" s="970"/>
      <c r="FN2081" s="970"/>
      <c r="FO2081" s="970"/>
      <c r="FP2081" s="970"/>
      <c r="FQ2081" s="970"/>
      <c r="FR2081" s="970"/>
      <c r="FS2081" s="970"/>
      <c r="FT2081" s="970"/>
      <c r="FU2081" s="970"/>
      <c r="FV2081" s="970"/>
      <c r="FW2081" s="970"/>
      <c r="FX2081" s="970"/>
      <c r="FY2081" s="970"/>
      <c r="FZ2081" s="970"/>
      <c r="GA2081" s="970"/>
      <c r="GB2081" s="970"/>
      <c r="GC2081" s="970"/>
      <c r="GD2081" s="970"/>
      <c r="GE2081" s="970"/>
      <c r="GF2081" s="970"/>
      <c r="GG2081" s="970"/>
      <c r="GH2081" s="970"/>
      <c r="GI2081" s="970"/>
      <c r="GJ2081" s="970"/>
      <c r="GK2081" s="970"/>
      <c r="GL2081" s="970"/>
      <c r="GM2081" s="970"/>
      <c r="GN2081" s="970"/>
      <c r="GO2081" s="970"/>
      <c r="GP2081" s="970"/>
      <c r="GQ2081" s="970"/>
      <c r="GR2081" s="970"/>
      <c r="GS2081" s="970"/>
      <c r="GT2081" s="970"/>
      <c r="GU2081" s="970"/>
      <c r="GV2081" s="970"/>
      <c r="GW2081" s="970"/>
      <c r="GX2081" s="970"/>
      <c r="GY2081" s="970"/>
      <c r="GZ2081" s="970"/>
      <c r="HA2081" s="970"/>
      <c r="HB2081" s="970"/>
      <c r="HC2081" s="970"/>
      <c r="HD2081" s="970"/>
      <c r="HE2081" s="970"/>
      <c r="HF2081" s="970"/>
      <c r="HG2081" s="970"/>
      <c r="HH2081" s="970"/>
      <c r="HI2081" s="970"/>
      <c r="HJ2081" s="970"/>
      <c r="HK2081" s="970"/>
      <c r="HL2081" s="970"/>
      <c r="HM2081" s="970"/>
      <c r="HN2081" s="970"/>
      <c r="HO2081" s="970"/>
      <c r="HP2081" s="970"/>
      <c r="HQ2081" s="970"/>
      <c r="HR2081" s="970"/>
      <c r="HS2081" s="970"/>
      <c r="HT2081" s="970"/>
      <c r="HU2081" s="970"/>
      <c r="HV2081" s="970"/>
      <c r="HW2081" s="970"/>
      <c r="HX2081" s="970"/>
      <c r="HY2081" s="970"/>
      <c r="HZ2081" s="970"/>
      <c r="IA2081" s="970"/>
      <c r="IB2081" s="970"/>
      <c r="IC2081" s="970"/>
      <c r="ID2081" s="970"/>
      <c r="IE2081" s="970"/>
      <c r="IF2081" s="970"/>
      <c r="IG2081" s="970"/>
      <c r="IH2081" s="970"/>
      <c r="II2081" s="970"/>
      <c r="IJ2081" s="970"/>
      <c r="IK2081" s="970"/>
      <c r="IL2081" s="970"/>
      <c r="IM2081" s="970"/>
      <c r="IN2081" s="970"/>
      <c r="IO2081" s="970"/>
    </row>
    <row r="2082" spans="1:251" s="1288" customFormat="1" ht="49.5">
      <c r="A2082" s="102"/>
      <c r="B2082" s="8"/>
      <c r="C2082" s="628" t="s">
        <v>1735</v>
      </c>
      <c r="D2082" s="628" t="s">
        <v>34</v>
      </c>
      <c r="E2082" s="628" t="s">
        <v>28</v>
      </c>
      <c r="F2082" s="628" t="s">
        <v>25</v>
      </c>
      <c r="G2082" s="628" t="s">
        <v>45</v>
      </c>
      <c r="H2082" s="628" t="s">
        <v>39</v>
      </c>
      <c r="I2082" s="10" t="s">
        <v>1745</v>
      </c>
      <c r="J2082" s="10" t="s">
        <v>2268</v>
      </c>
      <c r="K2082" s="107">
        <v>156</v>
      </c>
      <c r="L2082" s="238">
        <v>642204000</v>
      </c>
      <c r="M2082" s="107">
        <v>104</v>
      </c>
      <c r="N2082" s="238">
        <v>247271000</v>
      </c>
      <c r="O2082" s="107">
        <v>26</v>
      </c>
      <c r="P2082" s="238">
        <v>50607524</v>
      </c>
      <c r="Q2082" s="238">
        <v>0</v>
      </c>
      <c r="R2082" s="238">
        <v>0</v>
      </c>
      <c r="S2082" s="107">
        <v>4</v>
      </c>
      <c r="T2082" s="238">
        <v>10625000</v>
      </c>
      <c r="U2082" s="107"/>
      <c r="V2082" s="107"/>
      <c r="W2082" s="107"/>
      <c r="X2082" s="107"/>
      <c r="Y2082" s="107">
        <f t="shared" si="626"/>
        <v>4</v>
      </c>
      <c r="Z2082" s="204">
        <f t="shared" si="630"/>
        <v>10625000</v>
      </c>
      <c r="AA2082" s="107">
        <f t="shared" si="631"/>
        <v>108</v>
      </c>
      <c r="AB2082" s="238">
        <f t="shared" si="628"/>
        <v>257896000</v>
      </c>
      <c r="AC2082" s="109">
        <f t="shared" si="627"/>
        <v>69.230769230769226</v>
      </c>
      <c r="AD2082" s="117">
        <f t="shared" si="629"/>
        <v>40.157956038891065</v>
      </c>
      <c r="AE2082" s="102"/>
      <c r="AF2082" s="200"/>
      <c r="AG2082" s="200"/>
      <c r="AH2082" s="200"/>
      <c r="AI2082" s="1128"/>
      <c r="AJ2082" s="200"/>
      <c r="AK2082" s="1128"/>
      <c r="AL2082" s="200"/>
      <c r="AM2082" s="1128"/>
      <c r="AN2082" s="200"/>
      <c r="AO2082" s="1128"/>
      <c r="AP2082" s="200"/>
      <c r="AQ2082" s="200"/>
      <c r="AR2082" s="200"/>
      <c r="AS2082" s="200"/>
      <c r="AT2082" s="200"/>
      <c r="AU2082" s="200"/>
      <c r="AV2082" s="200"/>
      <c r="AW2082" s="200"/>
      <c r="AX2082" s="200"/>
      <c r="AY2082" s="200"/>
      <c r="AZ2082" s="200"/>
      <c r="BA2082" s="200"/>
      <c r="BB2082" s="200"/>
      <c r="BC2082" s="970"/>
      <c r="BD2082" s="970"/>
      <c r="BE2082" s="970"/>
      <c r="BF2082" s="970"/>
      <c r="BG2082" s="970"/>
      <c r="BH2082" s="970"/>
      <c r="BI2082" s="970"/>
      <c r="BJ2082" s="970"/>
      <c r="BK2082" s="970"/>
      <c r="BL2082" s="970"/>
      <c r="BM2082" s="970"/>
      <c r="BN2082" s="970"/>
      <c r="BO2082" s="970"/>
      <c r="BP2082" s="970"/>
      <c r="BQ2082" s="970"/>
      <c r="BR2082" s="970"/>
      <c r="BS2082" s="970"/>
      <c r="BT2082" s="970"/>
      <c r="BU2082" s="970"/>
      <c r="BV2082" s="970"/>
      <c r="BW2082" s="970"/>
      <c r="BX2082" s="970"/>
      <c r="BY2082" s="970"/>
      <c r="BZ2082" s="970"/>
      <c r="CA2082" s="970"/>
      <c r="CB2082" s="970"/>
      <c r="CC2082" s="970"/>
      <c r="CD2082" s="970"/>
      <c r="CE2082" s="970"/>
      <c r="CF2082" s="970"/>
      <c r="CG2082" s="970"/>
      <c r="CH2082" s="970"/>
      <c r="CI2082" s="970"/>
      <c r="CJ2082" s="970"/>
      <c r="CK2082" s="970"/>
      <c r="CL2082" s="970"/>
      <c r="CM2082" s="970"/>
      <c r="CN2082" s="970"/>
      <c r="CO2082" s="970"/>
      <c r="CP2082" s="970"/>
      <c r="CQ2082" s="970"/>
      <c r="CR2082" s="970"/>
      <c r="CS2082" s="970"/>
      <c r="CT2082" s="970"/>
      <c r="CU2082" s="970"/>
      <c r="CV2082" s="970"/>
      <c r="CW2082" s="970"/>
      <c r="CX2082" s="970"/>
      <c r="CY2082" s="970"/>
      <c r="CZ2082" s="970"/>
      <c r="DA2082" s="970"/>
      <c r="DB2082" s="970"/>
      <c r="DC2082" s="970"/>
      <c r="DD2082" s="970"/>
      <c r="DE2082" s="970"/>
      <c r="DF2082" s="970"/>
      <c r="DG2082" s="970"/>
      <c r="DH2082" s="970"/>
      <c r="DI2082" s="970"/>
      <c r="DJ2082" s="970"/>
      <c r="DK2082" s="970"/>
      <c r="DL2082" s="970"/>
      <c r="DM2082" s="970"/>
      <c r="DN2082" s="970"/>
      <c r="DO2082" s="970"/>
      <c r="DP2082" s="970"/>
      <c r="DQ2082" s="970"/>
      <c r="DR2082" s="970"/>
      <c r="DS2082" s="970"/>
      <c r="DT2082" s="970"/>
      <c r="DU2082" s="970"/>
      <c r="DV2082" s="970"/>
      <c r="DW2082" s="970"/>
      <c r="DX2082" s="970"/>
      <c r="DY2082" s="970"/>
      <c r="DZ2082" s="970"/>
      <c r="EA2082" s="970"/>
      <c r="EB2082" s="970"/>
      <c r="EC2082" s="970"/>
      <c r="ED2082" s="970"/>
      <c r="EE2082" s="970"/>
      <c r="EF2082" s="970"/>
      <c r="EG2082" s="970"/>
      <c r="EH2082" s="970"/>
      <c r="EI2082" s="970"/>
      <c r="EJ2082" s="970"/>
      <c r="EK2082" s="970"/>
      <c r="EL2082" s="970"/>
      <c r="EM2082" s="970"/>
      <c r="EN2082" s="970"/>
      <c r="EO2082" s="970"/>
      <c r="EP2082" s="970"/>
      <c r="EQ2082" s="970"/>
      <c r="ER2082" s="970"/>
      <c r="ES2082" s="970"/>
      <c r="ET2082" s="970"/>
      <c r="EU2082" s="970"/>
      <c r="EV2082" s="970"/>
      <c r="EW2082" s="970"/>
      <c r="EX2082" s="970"/>
      <c r="EY2082" s="970"/>
      <c r="EZ2082" s="970"/>
      <c r="FA2082" s="970"/>
      <c r="FB2082" s="970"/>
      <c r="FC2082" s="970"/>
      <c r="FD2082" s="970"/>
      <c r="FE2082" s="970"/>
      <c r="FF2082" s="970"/>
      <c r="FG2082" s="970"/>
      <c r="FH2082" s="970"/>
      <c r="FI2082" s="970"/>
      <c r="FJ2082" s="970"/>
      <c r="FK2082" s="970"/>
      <c r="FL2082" s="970"/>
      <c r="FM2082" s="970"/>
      <c r="FN2082" s="970"/>
      <c r="FO2082" s="970"/>
      <c r="FP2082" s="970"/>
      <c r="FQ2082" s="970"/>
      <c r="FR2082" s="970"/>
      <c r="FS2082" s="970"/>
      <c r="FT2082" s="970"/>
      <c r="FU2082" s="970"/>
      <c r="FV2082" s="970"/>
      <c r="FW2082" s="970"/>
      <c r="FX2082" s="970"/>
      <c r="FY2082" s="970"/>
      <c r="FZ2082" s="970"/>
      <c r="GA2082" s="970"/>
      <c r="GB2082" s="970"/>
      <c r="GC2082" s="970"/>
      <c r="GD2082" s="970"/>
      <c r="GE2082" s="970"/>
      <c r="GF2082" s="970"/>
      <c r="GG2082" s="970"/>
      <c r="GH2082" s="970"/>
      <c r="GI2082" s="970"/>
      <c r="GJ2082" s="970"/>
      <c r="GK2082" s="970"/>
      <c r="GL2082" s="970"/>
      <c r="GM2082" s="970"/>
      <c r="GN2082" s="970"/>
      <c r="GO2082" s="970"/>
      <c r="GP2082" s="970"/>
      <c r="GQ2082" s="970"/>
      <c r="GR2082" s="970"/>
      <c r="GS2082" s="970"/>
      <c r="GT2082" s="970"/>
      <c r="GU2082" s="970"/>
      <c r="GV2082" s="970"/>
      <c r="GW2082" s="970"/>
      <c r="GX2082" s="970"/>
      <c r="GY2082" s="970"/>
      <c r="GZ2082" s="970"/>
      <c r="HA2082" s="970"/>
      <c r="HB2082" s="970"/>
      <c r="HC2082" s="970"/>
      <c r="HD2082" s="970"/>
      <c r="HE2082" s="970"/>
      <c r="HF2082" s="970"/>
      <c r="HG2082" s="970"/>
      <c r="HH2082" s="970"/>
      <c r="HI2082" s="970"/>
      <c r="HJ2082" s="970"/>
      <c r="HK2082" s="970"/>
      <c r="HL2082" s="970"/>
      <c r="HM2082" s="970"/>
      <c r="HN2082" s="970"/>
      <c r="HO2082" s="970"/>
      <c r="HP2082" s="970"/>
      <c r="HQ2082" s="970"/>
      <c r="HR2082" s="970"/>
      <c r="HS2082" s="970"/>
      <c r="HT2082" s="970"/>
      <c r="HU2082" s="970"/>
      <c r="HV2082" s="970"/>
      <c r="HW2082" s="970"/>
      <c r="HX2082" s="970"/>
      <c r="HY2082" s="970"/>
      <c r="HZ2082" s="970"/>
      <c r="IA2082" s="970"/>
      <c r="IB2082" s="970"/>
      <c r="IC2082" s="970"/>
      <c r="ID2082" s="970"/>
      <c r="IE2082" s="970"/>
      <c r="IF2082" s="970"/>
      <c r="IG2082" s="970"/>
      <c r="IH2082" s="970"/>
      <c r="II2082" s="970"/>
      <c r="IJ2082" s="970"/>
      <c r="IK2082" s="970"/>
      <c r="IL2082" s="970"/>
      <c r="IM2082" s="970"/>
      <c r="IN2082" s="970"/>
      <c r="IO2082" s="970"/>
    </row>
    <row r="2083" spans="1:251" s="1288" customFormat="1" ht="45.75" customHeight="1">
      <c r="A2083" s="102"/>
      <c r="B2083" s="8"/>
      <c r="C2083" s="628" t="s">
        <v>1735</v>
      </c>
      <c r="D2083" s="628" t="s">
        <v>34</v>
      </c>
      <c r="E2083" s="628" t="s">
        <v>28</v>
      </c>
      <c r="F2083" s="628" t="s">
        <v>25</v>
      </c>
      <c r="G2083" s="628" t="s">
        <v>45</v>
      </c>
      <c r="H2083" s="628" t="s">
        <v>78</v>
      </c>
      <c r="I2083" s="10" t="s">
        <v>1746</v>
      </c>
      <c r="J2083" s="10" t="s">
        <v>1747</v>
      </c>
      <c r="K2083" s="107">
        <v>180</v>
      </c>
      <c r="L2083" s="238">
        <v>1181982000</v>
      </c>
      <c r="M2083" s="107">
        <v>116</v>
      </c>
      <c r="N2083" s="238">
        <v>730240000</v>
      </c>
      <c r="O2083" s="107">
        <v>29</v>
      </c>
      <c r="P2083" s="238">
        <v>146469400</v>
      </c>
      <c r="Q2083" s="238">
        <v>0</v>
      </c>
      <c r="R2083" s="238">
        <v>0</v>
      </c>
      <c r="S2083" s="107">
        <v>5</v>
      </c>
      <c r="T2083" s="238">
        <v>57282000</v>
      </c>
      <c r="U2083" s="107"/>
      <c r="V2083" s="107"/>
      <c r="W2083" s="107"/>
      <c r="X2083" s="107"/>
      <c r="Y2083" s="107">
        <f t="shared" si="626"/>
        <v>5</v>
      </c>
      <c r="Z2083" s="204">
        <f t="shared" si="630"/>
        <v>57282000</v>
      </c>
      <c r="AA2083" s="107">
        <f t="shared" si="631"/>
        <v>121</v>
      </c>
      <c r="AB2083" s="238">
        <f t="shared" si="628"/>
        <v>787522000</v>
      </c>
      <c r="AC2083" s="109">
        <f t="shared" si="627"/>
        <v>67.222222222222229</v>
      </c>
      <c r="AD2083" s="117">
        <f t="shared" si="629"/>
        <v>66.627241362389611</v>
      </c>
      <c r="AE2083" s="102"/>
      <c r="AF2083" s="200"/>
      <c r="AG2083" s="200"/>
      <c r="AH2083" s="200"/>
      <c r="AI2083" s="1128"/>
      <c r="AJ2083" s="200"/>
      <c r="AK2083" s="1128"/>
      <c r="AL2083" s="200"/>
      <c r="AM2083" s="1128"/>
      <c r="AN2083" s="200"/>
      <c r="AO2083" s="1128"/>
      <c r="AP2083" s="200"/>
      <c r="AQ2083" s="200"/>
      <c r="AR2083" s="200"/>
      <c r="AS2083" s="200"/>
      <c r="AT2083" s="200"/>
      <c r="AU2083" s="200"/>
      <c r="AV2083" s="200"/>
      <c r="AW2083" s="200"/>
      <c r="AX2083" s="200"/>
      <c r="AY2083" s="200"/>
      <c r="AZ2083" s="200"/>
      <c r="BA2083" s="200"/>
      <c r="BB2083" s="200"/>
      <c r="BC2083" s="970"/>
      <c r="BD2083" s="970"/>
      <c r="BE2083" s="970"/>
      <c r="BF2083" s="970"/>
      <c r="BG2083" s="970"/>
      <c r="BH2083" s="970"/>
      <c r="BI2083" s="970"/>
      <c r="BJ2083" s="970"/>
      <c r="BK2083" s="970"/>
      <c r="BL2083" s="970"/>
      <c r="BM2083" s="970"/>
      <c r="BN2083" s="970"/>
      <c r="BO2083" s="970"/>
      <c r="BP2083" s="970"/>
      <c r="BQ2083" s="970"/>
      <c r="BR2083" s="970"/>
      <c r="BS2083" s="970"/>
      <c r="BT2083" s="970"/>
      <c r="BU2083" s="970"/>
      <c r="BV2083" s="970"/>
      <c r="BW2083" s="970"/>
      <c r="BX2083" s="970"/>
      <c r="BY2083" s="970"/>
      <c r="BZ2083" s="970"/>
      <c r="CA2083" s="970"/>
      <c r="CB2083" s="970"/>
      <c r="CC2083" s="970"/>
      <c r="CD2083" s="970"/>
      <c r="CE2083" s="970"/>
      <c r="CF2083" s="970"/>
      <c r="CG2083" s="970"/>
      <c r="CH2083" s="970"/>
      <c r="CI2083" s="970"/>
      <c r="CJ2083" s="970"/>
      <c r="CK2083" s="970"/>
      <c r="CL2083" s="970"/>
      <c r="CM2083" s="970"/>
      <c r="CN2083" s="970"/>
      <c r="CO2083" s="970"/>
      <c r="CP2083" s="970"/>
      <c r="CQ2083" s="970"/>
      <c r="CR2083" s="970"/>
      <c r="CS2083" s="970"/>
      <c r="CT2083" s="970"/>
      <c r="CU2083" s="970"/>
      <c r="CV2083" s="970"/>
      <c r="CW2083" s="970"/>
      <c r="CX2083" s="970"/>
      <c r="CY2083" s="970"/>
      <c r="CZ2083" s="970"/>
      <c r="DA2083" s="970"/>
      <c r="DB2083" s="970"/>
      <c r="DC2083" s="970"/>
      <c r="DD2083" s="970"/>
      <c r="DE2083" s="970"/>
      <c r="DF2083" s="970"/>
      <c r="DG2083" s="970"/>
      <c r="DH2083" s="970"/>
      <c r="DI2083" s="970"/>
      <c r="DJ2083" s="970"/>
      <c r="DK2083" s="970"/>
      <c r="DL2083" s="970"/>
      <c r="DM2083" s="970"/>
      <c r="DN2083" s="970"/>
      <c r="DO2083" s="970"/>
      <c r="DP2083" s="970"/>
      <c r="DQ2083" s="970"/>
      <c r="DR2083" s="970"/>
      <c r="DS2083" s="970"/>
      <c r="DT2083" s="970"/>
      <c r="DU2083" s="970"/>
      <c r="DV2083" s="970"/>
      <c r="DW2083" s="970"/>
      <c r="DX2083" s="970"/>
      <c r="DY2083" s="970"/>
      <c r="DZ2083" s="970"/>
      <c r="EA2083" s="970"/>
      <c r="EB2083" s="970"/>
      <c r="EC2083" s="970"/>
      <c r="ED2083" s="970"/>
      <c r="EE2083" s="970"/>
      <c r="EF2083" s="970"/>
      <c r="EG2083" s="970"/>
      <c r="EH2083" s="970"/>
      <c r="EI2083" s="970"/>
      <c r="EJ2083" s="970"/>
      <c r="EK2083" s="970"/>
      <c r="EL2083" s="970"/>
      <c r="EM2083" s="970"/>
      <c r="EN2083" s="970"/>
      <c r="EO2083" s="970"/>
      <c r="EP2083" s="970"/>
      <c r="EQ2083" s="970"/>
      <c r="ER2083" s="970"/>
      <c r="ES2083" s="970"/>
      <c r="ET2083" s="970"/>
      <c r="EU2083" s="970"/>
      <c r="EV2083" s="970"/>
      <c r="EW2083" s="970"/>
      <c r="EX2083" s="970"/>
      <c r="EY2083" s="970"/>
      <c r="EZ2083" s="970"/>
      <c r="FA2083" s="970"/>
      <c r="FB2083" s="970"/>
      <c r="FC2083" s="970"/>
      <c r="FD2083" s="970"/>
      <c r="FE2083" s="970"/>
      <c r="FF2083" s="970"/>
      <c r="FG2083" s="970"/>
      <c r="FH2083" s="970"/>
      <c r="FI2083" s="970"/>
      <c r="FJ2083" s="970"/>
      <c r="FK2083" s="970"/>
      <c r="FL2083" s="970"/>
      <c r="FM2083" s="970"/>
      <c r="FN2083" s="970"/>
      <c r="FO2083" s="970"/>
      <c r="FP2083" s="970"/>
      <c r="FQ2083" s="970"/>
      <c r="FR2083" s="970"/>
      <c r="FS2083" s="970"/>
      <c r="FT2083" s="970"/>
      <c r="FU2083" s="970"/>
      <c r="FV2083" s="970"/>
      <c r="FW2083" s="970"/>
      <c r="FX2083" s="970"/>
      <c r="FY2083" s="970"/>
      <c r="FZ2083" s="970"/>
      <c r="GA2083" s="970"/>
      <c r="GB2083" s="970"/>
      <c r="GC2083" s="970"/>
      <c r="GD2083" s="970"/>
      <c r="GE2083" s="970"/>
      <c r="GF2083" s="970"/>
      <c r="GG2083" s="970"/>
      <c r="GH2083" s="970"/>
      <c r="GI2083" s="970"/>
      <c r="GJ2083" s="970"/>
      <c r="GK2083" s="970"/>
      <c r="GL2083" s="970"/>
      <c r="GM2083" s="970"/>
      <c r="GN2083" s="970"/>
      <c r="GO2083" s="970"/>
      <c r="GP2083" s="970"/>
      <c r="GQ2083" s="970"/>
      <c r="GR2083" s="970"/>
      <c r="GS2083" s="970"/>
      <c r="GT2083" s="970"/>
      <c r="GU2083" s="970"/>
      <c r="GV2083" s="970"/>
      <c r="GW2083" s="970"/>
      <c r="GX2083" s="970"/>
      <c r="GY2083" s="970"/>
      <c r="GZ2083" s="970"/>
      <c r="HA2083" s="970"/>
      <c r="HB2083" s="970"/>
      <c r="HC2083" s="970"/>
      <c r="HD2083" s="970"/>
      <c r="HE2083" s="970"/>
      <c r="HF2083" s="970"/>
      <c r="HG2083" s="970"/>
      <c r="HH2083" s="970"/>
      <c r="HI2083" s="970"/>
      <c r="HJ2083" s="970"/>
      <c r="HK2083" s="970"/>
      <c r="HL2083" s="970"/>
      <c r="HM2083" s="970"/>
      <c r="HN2083" s="970"/>
      <c r="HO2083" s="970"/>
      <c r="HP2083" s="970"/>
      <c r="HQ2083" s="970"/>
      <c r="HR2083" s="970"/>
      <c r="HS2083" s="970"/>
      <c r="HT2083" s="970"/>
      <c r="HU2083" s="970"/>
      <c r="HV2083" s="970"/>
      <c r="HW2083" s="970"/>
      <c r="HX2083" s="970"/>
      <c r="HY2083" s="970"/>
      <c r="HZ2083" s="970"/>
      <c r="IA2083" s="970"/>
      <c r="IB2083" s="970"/>
      <c r="IC2083" s="970"/>
      <c r="ID2083" s="970"/>
      <c r="IE2083" s="970"/>
      <c r="IF2083" s="970"/>
      <c r="IG2083" s="970"/>
      <c r="IH2083" s="970"/>
      <c r="II2083" s="970"/>
      <c r="IJ2083" s="970"/>
      <c r="IK2083" s="970"/>
      <c r="IL2083" s="970"/>
      <c r="IM2083" s="970"/>
      <c r="IN2083" s="970"/>
      <c r="IO2083" s="970"/>
    </row>
    <row r="2084" spans="1:251" s="1288" customFormat="1" ht="82.5">
      <c r="A2084" s="102"/>
      <c r="B2084" s="8"/>
      <c r="C2084" s="628" t="s">
        <v>1735</v>
      </c>
      <c r="D2084" s="628" t="s">
        <v>34</v>
      </c>
      <c r="E2084" s="628" t="s">
        <v>28</v>
      </c>
      <c r="F2084" s="628" t="s">
        <v>25</v>
      </c>
      <c r="G2084" s="628" t="s">
        <v>45</v>
      </c>
      <c r="H2084" s="628" t="s">
        <v>38</v>
      </c>
      <c r="I2084" s="10" t="s">
        <v>1748</v>
      </c>
      <c r="J2084" s="10" t="s">
        <v>1749</v>
      </c>
      <c r="K2084" s="107">
        <v>18</v>
      </c>
      <c r="L2084" s="238">
        <v>14175000000</v>
      </c>
      <c r="M2084" s="107">
        <v>9</v>
      </c>
      <c r="N2084" s="238">
        <v>6575155000</v>
      </c>
      <c r="O2084" s="107">
        <v>3</v>
      </c>
      <c r="P2084" s="238">
        <v>779250000</v>
      </c>
      <c r="Q2084" s="238">
        <v>1</v>
      </c>
      <c r="R2084" s="238">
        <v>690974000</v>
      </c>
      <c r="S2084" s="107">
        <v>0</v>
      </c>
      <c r="T2084" s="238">
        <v>0</v>
      </c>
      <c r="U2084" s="107"/>
      <c r="V2084" s="107"/>
      <c r="W2084" s="107"/>
      <c r="X2084" s="107"/>
      <c r="Y2084" s="107">
        <f t="shared" si="626"/>
        <v>1</v>
      </c>
      <c r="Z2084" s="204">
        <f t="shared" si="630"/>
        <v>690974000</v>
      </c>
      <c r="AA2084" s="107">
        <f t="shared" si="631"/>
        <v>10</v>
      </c>
      <c r="AB2084" s="238">
        <f t="shared" si="628"/>
        <v>7266129000</v>
      </c>
      <c r="AC2084" s="109">
        <f t="shared" si="627"/>
        <v>55.555555555555557</v>
      </c>
      <c r="AD2084" s="117">
        <f t="shared" si="629"/>
        <v>51.26016931216931</v>
      </c>
      <c r="AE2084" s="102"/>
      <c r="AF2084" s="200"/>
      <c r="AG2084" s="200"/>
      <c r="AH2084" s="200"/>
      <c r="AI2084" s="1128"/>
      <c r="AJ2084" s="200"/>
      <c r="AK2084" s="1128"/>
      <c r="AL2084" s="200"/>
      <c r="AM2084" s="1128"/>
      <c r="AN2084" s="200"/>
      <c r="AO2084" s="1128"/>
      <c r="AP2084" s="200"/>
      <c r="AQ2084" s="200"/>
      <c r="AR2084" s="200"/>
      <c r="AS2084" s="200"/>
      <c r="AT2084" s="200"/>
      <c r="AU2084" s="200"/>
      <c r="AV2084" s="200"/>
      <c r="AW2084" s="200"/>
      <c r="AX2084" s="200"/>
      <c r="AY2084" s="200"/>
      <c r="AZ2084" s="200"/>
      <c r="BA2084" s="200"/>
      <c r="BB2084" s="200"/>
      <c r="BC2084" s="970"/>
      <c r="BD2084" s="970"/>
      <c r="BE2084" s="970"/>
      <c r="BF2084" s="970"/>
      <c r="BG2084" s="970"/>
      <c r="BH2084" s="970"/>
      <c r="BI2084" s="970"/>
      <c r="BJ2084" s="970"/>
      <c r="BK2084" s="970"/>
      <c r="BL2084" s="970"/>
      <c r="BM2084" s="970"/>
      <c r="BN2084" s="970"/>
      <c r="BO2084" s="970"/>
      <c r="BP2084" s="970"/>
      <c r="BQ2084" s="970"/>
      <c r="BR2084" s="970"/>
      <c r="BS2084" s="970"/>
      <c r="BT2084" s="970"/>
      <c r="BU2084" s="970"/>
      <c r="BV2084" s="970"/>
      <c r="BW2084" s="970"/>
      <c r="BX2084" s="970"/>
      <c r="BY2084" s="970"/>
      <c r="BZ2084" s="970"/>
      <c r="CA2084" s="970"/>
      <c r="CB2084" s="970"/>
      <c r="CC2084" s="970"/>
      <c r="CD2084" s="970"/>
      <c r="CE2084" s="970"/>
      <c r="CF2084" s="970"/>
      <c r="CG2084" s="970"/>
      <c r="CH2084" s="970"/>
      <c r="CI2084" s="970"/>
      <c r="CJ2084" s="970"/>
      <c r="CK2084" s="970"/>
      <c r="CL2084" s="970"/>
      <c r="CM2084" s="970"/>
      <c r="CN2084" s="970"/>
      <c r="CO2084" s="970"/>
      <c r="CP2084" s="970"/>
      <c r="CQ2084" s="970"/>
      <c r="CR2084" s="970"/>
      <c r="CS2084" s="970"/>
      <c r="CT2084" s="970"/>
      <c r="CU2084" s="970"/>
      <c r="CV2084" s="970"/>
      <c r="CW2084" s="970"/>
      <c r="CX2084" s="970"/>
      <c r="CY2084" s="970"/>
      <c r="CZ2084" s="970"/>
      <c r="DA2084" s="970"/>
      <c r="DB2084" s="970"/>
      <c r="DC2084" s="970"/>
      <c r="DD2084" s="970"/>
      <c r="DE2084" s="970"/>
      <c r="DF2084" s="970"/>
      <c r="DG2084" s="970"/>
      <c r="DH2084" s="970"/>
      <c r="DI2084" s="970"/>
      <c r="DJ2084" s="970"/>
      <c r="DK2084" s="970"/>
      <c r="DL2084" s="970"/>
      <c r="DM2084" s="970"/>
      <c r="DN2084" s="970"/>
      <c r="DO2084" s="970"/>
      <c r="DP2084" s="970"/>
      <c r="DQ2084" s="970"/>
      <c r="DR2084" s="970"/>
      <c r="DS2084" s="970"/>
      <c r="DT2084" s="970"/>
      <c r="DU2084" s="970"/>
      <c r="DV2084" s="970"/>
      <c r="DW2084" s="970"/>
      <c r="DX2084" s="970"/>
      <c r="DY2084" s="970"/>
      <c r="DZ2084" s="970"/>
      <c r="EA2084" s="970"/>
      <c r="EB2084" s="970"/>
      <c r="EC2084" s="970"/>
      <c r="ED2084" s="970"/>
      <c r="EE2084" s="970"/>
      <c r="EF2084" s="970"/>
      <c r="EG2084" s="970"/>
      <c r="EH2084" s="970"/>
      <c r="EI2084" s="970"/>
      <c r="EJ2084" s="970"/>
      <c r="EK2084" s="970"/>
      <c r="EL2084" s="970"/>
      <c r="EM2084" s="970"/>
      <c r="EN2084" s="970"/>
      <c r="EO2084" s="970"/>
      <c r="EP2084" s="970"/>
      <c r="EQ2084" s="970"/>
      <c r="ER2084" s="970"/>
      <c r="ES2084" s="970"/>
      <c r="ET2084" s="970"/>
      <c r="EU2084" s="970"/>
      <c r="EV2084" s="970"/>
      <c r="EW2084" s="970"/>
      <c r="EX2084" s="970"/>
      <c r="EY2084" s="970"/>
      <c r="EZ2084" s="970"/>
      <c r="FA2084" s="970"/>
      <c r="FB2084" s="970"/>
      <c r="FC2084" s="970"/>
      <c r="FD2084" s="970"/>
      <c r="FE2084" s="970"/>
      <c r="FF2084" s="970"/>
      <c r="FG2084" s="970"/>
      <c r="FH2084" s="970"/>
      <c r="FI2084" s="970"/>
      <c r="FJ2084" s="970"/>
      <c r="FK2084" s="970"/>
      <c r="FL2084" s="970"/>
      <c r="FM2084" s="970"/>
      <c r="FN2084" s="970"/>
      <c r="FO2084" s="970"/>
      <c r="FP2084" s="970"/>
      <c r="FQ2084" s="970"/>
      <c r="FR2084" s="970"/>
      <c r="FS2084" s="970"/>
      <c r="FT2084" s="970"/>
      <c r="FU2084" s="970"/>
      <c r="FV2084" s="970"/>
      <c r="FW2084" s="970"/>
      <c r="FX2084" s="970"/>
      <c r="FY2084" s="970"/>
      <c r="FZ2084" s="970"/>
      <c r="GA2084" s="970"/>
      <c r="GB2084" s="970"/>
      <c r="GC2084" s="970"/>
      <c r="GD2084" s="970"/>
      <c r="GE2084" s="970"/>
      <c r="GF2084" s="970"/>
      <c r="GG2084" s="970"/>
      <c r="GH2084" s="970"/>
      <c r="GI2084" s="970"/>
      <c r="GJ2084" s="970"/>
      <c r="GK2084" s="970"/>
      <c r="GL2084" s="970"/>
      <c r="GM2084" s="970"/>
      <c r="GN2084" s="970"/>
      <c r="GO2084" s="970"/>
      <c r="GP2084" s="970"/>
      <c r="GQ2084" s="970"/>
      <c r="GR2084" s="970"/>
      <c r="GS2084" s="970"/>
      <c r="GT2084" s="970"/>
      <c r="GU2084" s="970"/>
      <c r="GV2084" s="970"/>
      <c r="GW2084" s="970"/>
      <c r="GX2084" s="970"/>
      <c r="GY2084" s="970"/>
      <c r="GZ2084" s="970"/>
      <c r="HA2084" s="970"/>
      <c r="HB2084" s="970"/>
      <c r="HC2084" s="970"/>
      <c r="HD2084" s="970"/>
      <c r="HE2084" s="970"/>
      <c r="HF2084" s="970"/>
      <c r="HG2084" s="970"/>
      <c r="HH2084" s="970"/>
      <c r="HI2084" s="970"/>
      <c r="HJ2084" s="970"/>
      <c r="HK2084" s="970"/>
      <c r="HL2084" s="970"/>
      <c r="HM2084" s="970"/>
      <c r="HN2084" s="970"/>
      <c r="HO2084" s="970"/>
      <c r="HP2084" s="970"/>
      <c r="HQ2084" s="970"/>
      <c r="HR2084" s="970"/>
      <c r="HS2084" s="970"/>
      <c r="HT2084" s="970"/>
      <c r="HU2084" s="970"/>
      <c r="HV2084" s="970"/>
      <c r="HW2084" s="970"/>
      <c r="HX2084" s="970"/>
      <c r="HY2084" s="970"/>
      <c r="HZ2084" s="970"/>
      <c r="IA2084" s="970"/>
      <c r="IB2084" s="970"/>
      <c r="IC2084" s="970"/>
      <c r="ID2084" s="970"/>
      <c r="IE2084" s="970"/>
      <c r="IF2084" s="970"/>
      <c r="IG2084" s="970"/>
      <c r="IH2084" s="970"/>
      <c r="II2084" s="970"/>
      <c r="IJ2084" s="970"/>
      <c r="IK2084" s="970"/>
      <c r="IL2084" s="970"/>
      <c r="IM2084" s="970"/>
      <c r="IN2084" s="970"/>
      <c r="IO2084" s="970"/>
    </row>
    <row r="2085" spans="1:251" s="1288" customFormat="1" ht="99">
      <c r="A2085" s="102"/>
      <c r="B2085" s="8"/>
      <c r="C2085" s="628" t="s">
        <v>1735</v>
      </c>
      <c r="D2085" s="628" t="s">
        <v>34</v>
      </c>
      <c r="E2085" s="628" t="s">
        <v>28</v>
      </c>
      <c r="F2085" s="628" t="s">
        <v>25</v>
      </c>
      <c r="G2085" s="628" t="s">
        <v>45</v>
      </c>
      <c r="H2085" s="628" t="s">
        <v>29</v>
      </c>
      <c r="I2085" s="10" t="s">
        <v>1750</v>
      </c>
      <c r="J2085" s="10" t="s">
        <v>1751</v>
      </c>
      <c r="K2085" s="107">
        <v>48</v>
      </c>
      <c r="L2085" s="238">
        <v>20616508000</v>
      </c>
      <c r="M2085" s="107">
        <v>32</v>
      </c>
      <c r="N2085" s="238">
        <v>10450723000</v>
      </c>
      <c r="O2085" s="107">
        <v>8</v>
      </c>
      <c r="P2085" s="238">
        <v>3268641925</v>
      </c>
      <c r="Q2085" s="238">
        <v>2</v>
      </c>
      <c r="R2085" s="238">
        <v>938828000</v>
      </c>
      <c r="S2085" s="107">
        <v>2</v>
      </c>
      <c r="T2085" s="238">
        <v>1151270000</v>
      </c>
      <c r="U2085" s="107"/>
      <c r="V2085" s="107"/>
      <c r="W2085" s="107"/>
      <c r="X2085" s="107"/>
      <c r="Y2085" s="107">
        <f t="shared" si="626"/>
        <v>4</v>
      </c>
      <c r="Z2085" s="204">
        <f t="shared" si="630"/>
        <v>2090098000</v>
      </c>
      <c r="AA2085" s="107">
        <f t="shared" si="631"/>
        <v>36</v>
      </c>
      <c r="AB2085" s="238">
        <f t="shared" si="628"/>
        <v>12540821000</v>
      </c>
      <c r="AC2085" s="109">
        <f t="shared" si="627"/>
        <v>75</v>
      </c>
      <c r="AD2085" s="117">
        <f t="shared" si="629"/>
        <v>60.829025943675816</v>
      </c>
      <c r="AE2085" s="102"/>
      <c r="AF2085" s="200"/>
      <c r="AG2085" s="200"/>
      <c r="AH2085" s="200"/>
      <c r="AI2085" s="1128"/>
      <c r="AJ2085" s="200"/>
      <c r="AK2085" s="1128"/>
      <c r="AL2085" s="200"/>
      <c r="AM2085" s="1128"/>
      <c r="AN2085" s="200"/>
      <c r="AO2085" s="1128"/>
      <c r="AP2085" s="200"/>
      <c r="AQ2085" s="200"/>
      <c r="AR2085" s="200"/>
      <c r="AS2085" s="200"/>
      <c r="AT2085" s="200"/>
      <c r="AU2085" s="200"/>
      <c r="AV2085" s="200"/>
      <c r="AW2085" s="200"/>
      <c r="AX2085" s="200"/>
      <c r="AY2085" s="200"/>
      <c r="AZ2085" s="200"/>
      <c r="BA2085" s="200"/>
      <c r="BB2085" s="200"/>
      <c r="BC2085" s="970"/>
      <c r="BD2085" s="970"/>
      <c r="BE2085" s="970"/>
      <c r="BF2085" s="970"/>
      <c r="BG2085" s="970"/>
      <c r="BH2085" s="970"/>
      <c r="BI2085" s="970"/>
      <c r="BJ2085" s="970"/>
      <c r="BK2085" s="970"/>
      <c r="BL2085" s="970"/>
      <c r="BM2085" s="970"/>
      <c r="BN2085" s="970"/>
      <c r="BO2085" s="970"/>
      <c r="BP2085" s="970"/>
      <c r="BQ2085" s="970"/>
      <c r="BR2085" s="970"/>
      <c r="BS2085" s="970"/>
      <c r="BT2085" s="970"/>
      <c r="BU2085" s="970"/>
      <c r="BV2085" s="970"/>
      <c r="BW2085" s="970"/>
      <c r="BX2085" s="970"/>
      <c r="BY2085" s="970"/>
      <c r="BZ2085" s="970"/>
      <c r="CA2085" s="970"/>
      <c r="CB2085" s="970"/>
      <c r="CC2085" s="970"/>
      <c r="CD2085" s="970"/>
      <c r="CE2085" s="970"/>
      <c r="CF2085" s="970"/>
      <c r="CG2085" s="970"/>
      <c r="CH2085" s="970"/>
      <c r="CI2085" s="970"/>
      <c r="CJ2085" s="970"/>
      <c r="CK2085" s="970"/>
      <c r="CL2085" s="970"/>
      <c r="CM2085" s="970"/>
      <c r="CN2085" s="970"/>
      <c r="CO2085" s="970"/>
      <c r="CP2085" s="970"/>
      <c r="CQ2085" s="970"/>
      <c r="CR2085" s="970"/>
      <c r="CS2085" s="970"/>
      <c r="CT2085" s="970"/>
      <c r="CU2085" s="970"/>
      <c r="CV2085" s="970"/>
      <c r="CW2085" s="970"/>
      <c r="CX2085" s="970"/>
      <c r="CY2085" s="970"/>
      <c r="CZ2085" s="970"/>
      <c r="DA2085" s="970"/>
      <c r="DB2085" s="970"/>
      <c r="DC2085" s="970"/>
      <c r="DD2085" s="970"/>
      <c r="DE2085" s="970"/>
      <c r="DF2085" s="970"/>
      <c r="DG2085" s="970"/>
      <c r="DH2085" s="970"/>
      <c r="DI2085" s="970"/>
      <c r="DJ2085" s="970"/>
      <c r="DK2085" s="970"/>
      <c r="DL2085" s="970"/>
      <c r="DM2085" s="970"/>
      <c r="DN2085" s="970"/>
      <c r="DO2085" s="970"/>
      <c r="DP2085" s="970"/>
      <c r="DQ2085" s="970"/>
      <c r="DR2085" s="970"/>
      <c r="DS2085" s="970"/>
      <c r="DT2085" s="970"/>
      <c r="DU2085" s="970"/>
      <c r="DV2085" s="970"/>
      <c r="DW2085" s="970"/>
      <c r="DX2085" s="970"/>
      <c r="DY2085" s="970"/>
      <c r="DZ2085" s="970"/>
      <c r="EA2085" s="970"/>
      <c r="EB2085" s="970"/>
      <c r="EC2085" s="970"/>
      <c r="ED2085" s="970"/>
      <c r="EE2085" s="970"/>
      <c r="EF2085" s="970"/>
      <c r="EG2085" s="970"/>
      <c r="EH2085" s="970"/>
      <c r="EI2085" s="970"/>
      <c r="EJ2085" s="970"/>
      <c r="EK2085" s="970"/>
      <c r="EL2085" s="970"/>
      <c r="EM2085" s="970"/>
      <c r="EN2085" s="970"/>
      <c r="EO2085" s="970"/>
      <c r="EP2085" s="970"/>
      <c r="EQ2085" s="970"/>
      <c r="ER2085" s="970"/>
      <c r="ES2085" s="970"/>
      <c r="ET2085" s="970"/>
      <c r="EU2085" s="970"/>
      <c r="EV2085" s="970"/>
      <c r="EW2085" s="970"/>
      <c r="EX2085" s="970"/>
      <c r="EY2085" s="970"/>
      <c r="EZ2085" s="970"/>
      <c r="FA2085" s="970"/>
      <c r="FB2085" s="970"/>
      <c r="FC2085" s="970"/>
      <c r="FD2085" s="970"/>
      <c r="FE2085" s="970"/>
      <c r="FF2085" s="970"/>
      <c r="FG2085" s="970"/>
      <c r="FH2085" s="970"/>
      <c r="FI2085" s="970"/>
      <c r="FJ2085" s="970"/>
      <c r="FK2085" s="970"/>
      <c r="FL2085" s="970"/>
      <c r="FM2085" s="970"/>
      <c r="FN2085" s="970"/>
      <c r="FO2085" s="970"/>
      <c r="FP2085" s="970"/>
      <c r="FQ2085" s="970"/>
      <c r="FR2085" s="970"/>
      <c r="FS2085" s="970"/>
      <c r="FT2085" s="970"/>
      <c r="FU2085" s="970"/>
      <c r="FV2085" s="970"/>
      <c r="FW2085" s="970"/>
      <c r="FX2085" s="970"/>
      <c r="FY2085" s="970"/>
      <c r="FZ2085" s="970"/>
      <c r="GA2085" s="970"/>
      <c r="GB2085" s="970"/>
      <c r="GC2085" s="970"/>
      <c r="GD2085" s="970"/>
      <c r="GE2085" s="970"/>
      <c r="GF2085" s="970"/>
      <c r="GG2085" s="970"/>
      <c r="GH2085" s="970"/>
      <c r="GI2085" s="970"/>
      <c r="GJ2085" s="970"/>
      <c r="GK2085" s="970"/>
      <c r="GL2085" s="970"/>
      <c r="GM2085" s="970"/>
      <c r="GN2085" s="970"/>
      <c r="GO2085" s="970"/>
      <c r="GP2085" s="970"/>
      <c r="GQ2085" s="970"/>
      <c r="GR2085" s="970"/>
      <c r="GS2085" s="970"/>
      <c r="GT2085" s="970"/>
      <c r="GU2085" s="970"/>
      <c r="GV2085" s="970"/>
      <c r="GW2085" s="970"/>
      <c r="GX2085" s="970"/>
      <c r="GY2085" s="970"/>
      <c r="GZ2085" s="970"/>
      <c r="HA2085" s="970"/>
      <c r="HB2085" s="970"/>
      <c r="HC2085" s="970"/>
      <c r="HD2085" s="970"/>
      <c r="HE2085" s="970"/>
      <c r="HF2085" s="970"/>
      <c r="HG2085" s="970"/>
      <c r="HH2085" s="970"/>
      <c r="HI2085" s="970"/>
      <c r="HJ2085" s="970"/>
      <c r="HK2085" s="970"/>
      <c r="HL2085" s="970"/>
      <c r="HM2085" s="970"/>
      <c r="HN2085" s="970"/>
      <c r="HO2085" s="970"/>
      <c r="HP2085" s="970"/>
      <c r="HQ2085" s="970"/>
      <c r="HR2085" s="970"/>
      <c r="HS2085" s="970"/>
      <c r="HT2085" s="970"/>
      <c r="HU2085" s="970"/>
      <c r="HV2085" s="970"/>
      <c r="HW2085" s="970"/>
      <c r="HX2085" s="970"/>
      <c r="HY2085" s="970"/>
      <c r="HZ2085" s="970"/>
      <c r="IA2085" s="970"/>
      <c r="IB2085" s="970"/>
      <c r="IC2085" s="970"/>
      <c r="ID2085" s="970"/>
      <c r="IE2085" s="970"/>
      <c r="IF2085" s="970"/>
      <c r="IG2085" s="970"/>
      <c r="IH2085" s="970"/>
      <c r="II2085" s="970"/>
      <c r="IJ2085" s="970"/>
      <c r="IK2085" s="970"/>
      <c r="IL2085" s="970"/>
      <c r="IM2085" s="970"/>
      <c r="IN2085" s="970"/>
      <c r="IO2085" s="970"/>
    </row>
    <row r="2086" spans="1:251" s="1288" customFormat="1" ht="99">
      <c r="A2086" s="102"/>
      <c r="B2086" s="8"/>
      <c r="C2086" s="628" t="s">
        <v>1735</v>
      </c>
      <c r="D2086" s="628" t="s">
        <v>34</v>
      </c>
      <c r="E2086" s="628" t="s">
        <v>28</v>
      </c>
      <c r="F2086" s="628" t="s">
        <v>25</v>
      </c>
      <c r="G2086" s="628" t="s">
        <v>45</v>
      </c>
      <c r="H2086" s="628" t="s">
        <v>62</v>
      </c>
      <c r="I2086" s="10" t="s">
        <v>1752</v>
      </c>
      <c r="J2086" s="10" t="s">
        <v>1753</v>
      </c>
      <c r="K2086" s="107">
        <v>96</v>
      </c>
      <c r="L2086" s="238">
        <v>20252597000</v>
      </c>
      <c r="M2086" s="107">
        <v>64</v>
      </c>
      <c r="N2086" s="238">
        <v>8537705000</v>
      </c>
      <c r="O2086" s="107">
        <v>16</v>
      </c>
      <c r="P2086" s="238">
        <v>2583012200</v>
      </c>
      <c r="Q2086" s="238">
        <v>2</v>
      </c>
      <c r="R2086" s="238">
        <v>777167000</v>
      </c>
      <c r="S2086" s="107">
        <v>6</v>
      </c>
      <c r="T2086" s="238">
        <v>591272000</v>
      </c>
      <c r="U2086" s="107"/>
      <c r="V2086" s="107"/>
      <c r="W2086" s="107"/>
      <c r="X2086" s="107"/>
      <c r="Y2086" s="107">
        <f t="shared" si="626"/>
        <v>8</v>
      </c>
      <c r="Z2086" s="204">
        <f t="shared" si="630"/>
        <v>1368439000</v>
      </c>
      <c r="AA2086" s="107">
        <f t="shared" si="631"/>
        <v>72</v>
      </c>
      <c r="AB2086" s="238">
        <f t="shared" si="628"/>
        <v>9906144000</v>
      </c>
      <c r="AC2086" s="109">
        <f t="shared" si="627"/>
        <v>75</v>
      </c>
      <c r="AD2086" s="117">
        <f t="shared" si="629"/>
        <v>48.912956693899552</v>
      </c>
      <c r="AE2086" s="102"/>
      <c r="AF2086" s="200"/>
      <c r="AG2086" s="200"/>
      <c r="AH2086" s="200"/>
      <c r="AI2086" s="1128"/>
      <c r="AJ2086" s="200"/>
      <c r="AK2086" s="1128"/>
      <c r="AL2086" s="200"/>
      <c r="AM2086" s="1128"/>
      <c r="AN2086" s="200"/>
      <c r="AO2086" s="1128"/>
      <c r="AP2086" s="200"/>
      <c r="AQ2086" s="200"/>
      <c r="AR2086" s="200"/>
      <c r="AS2086" s="200"/>
      <c r="AT2086" s="200"/>
      <c r="AU2086" s="200"/>
      <c r="AV2086" s="200"/>
      <c r="AW2086" s="200"/>
      <c r="AX2086" s="200"/>
      <c r="AY2086" s="200"/>
      <c r="AZ2086" s="200"/>
      <c r="BA2086" s="200"/>
      <c r="BB2086" s="200"/>
      <c r="BC2086" s="970"/>
      <c r="BD2086" s="970"/>
      <c r="BE2086" s="970"/>
      <c r="BF2086" s="970"/>
      <c r="BG2086" s="970"/>
      <c r="BH2086" s="970"/>
      <c r="BI2086" s="970"/>
      <c r="BJ2086" s="970"/>
      <c r="BK2086" s="970"/>
      <c r="BL2086" s="970"/>
      <c r="BM2086" s="970"/>
      <c r="BN2086" s="970"/>
      <c r="BO2086" s="970"/>
      <c r="BP2086" s="970"/>
      <c r="BQ2086" s="970"/>
      <c r="BR2086" s="970"/>
      <c r="BS2086" s="970"/>
      <c r="BT2086" s="970"/>
      <c r="BU2086" s="970"/>
      <c r="BV2086" s="970"/>
      <c r="BW2086" s="970"/>
      <c r="BX2086" s="970"/>
      <c r="BY2086" s="970"/>
      <c r="BZ2086" s="970"/>
      <c r="CA2086" s="970"/>
      <c r="CB2086" s="970"/>
      <c r="CC2086" s="970"/>
      <c r="CD2086" s="970"/>
      <c r="CE2086" s="970"/>
      <c r="CF2086" s="970"/>
      <c r="CG2086" s="970"/>
      <c r="CH2086" s="970"/>
      <c r="CI2086" s="970"/>
      <c r="CJ2086" s="970"/>
      <c r="CK2086" s="970"/>
      <c r="CL2086" s="970"/>
      <c r="CM2086" s="970"/>
      <c r="CN2086" s="970"/>
      <c r="CO2086" s="970"/>
      <c r="CP2086" s="970"/>
      <c r="CQ2086" s="970"/>
      <c r="CR2086" s="970"/>
      <c r="CS2086" s="970"/>
      <c r="CT2086" s="970"/>
      <c r="CU2086" s="970"/>
      <c r="CV2086" s="970"/>
      <c r="CW2086" s="970"/>
      <c r="CX2086" s="970"/>
      <c r="CY2086" s="970"/>
      <c r="CZ2086" s="970"/>
      <c r="DA2086" s="970"/>
      <c r="DB2086" s="970"/>
      <c r="DC2086" s="970"/>
      <c r="DD2086" s="970"/>
      <c r="DE2086" s="970"/>
      <c r="DF2086" s="970"/>
      <c r="DG2086" s="970"/>
      <c r="DH2086" s="970"/>
      <c r="DI2086" s="970"/>
      <c r="DJ2086" s="970"/>
      <c r="DK2086" s="970"/>
      <c r="DL2086" s="970"/>
      <c r="DM2086" s="970"/>
      <c r="DN2086" s="970"/>
      <c r="DO2086" s="970"/>
      <c r="DP2086" s="970"/>
      <c r="DQ2086" s="970"/>
      <c r="DR2086" s="970"/>
      <c r="DS2086" s="970"/>
      <c r="DT2086" s="970"/>
      <c r="DU2086" s="970"/>
      <c r="DV2086" s="970"/>
      <c r="DW2086" s="970"/>
      <c r="DX2086" s="970"/>
      <c r="DY2086" s="970"/>
      <c r="DZ2086" s="970"/>
      <c r="EA2086" s="970"/>
      <c r="EB2086" s="970"/>
      <c r="EC2086" s="970"/>
      <c r="ED2086" s="970"/>
      <c r="EE2086" s="970"/>
      <c r="EF2086" s="970"/>
      <c r="EG2086" s="970"/>
      <c r="EH2086" s="970"/>
      <c r="EI2086" s="970"/>
      <c r="EJ2086" s="970"/>
      <c r="EK2086" s="970"/>
      <c r="EL2086" s="970"/>
      <c r="EM2086" s="970"/>
      <c r="EN2086" s="970"/>
      <c r="EO2086" s="970"/>
      <c r="EP2086" s="970"/>
      <c r="EQ2086" s="970"/>
      <c r="ER2086" s="970"/>
      <c r="ES2086" s="970"/>
      <c r="ET2086" s="970"/>
      <c r="EU2086" s="970"/>
      <c r="EV2086" s="970"/>
      <c r="EW2086" s="970"/>
      <c r="EX2086" s="970"/>
      <c r="EY2086" s="970"/>
      <c r="EZ2086" s="970"/>
      <c r="FA2086" s="970"/>
      <c r="FB2086" s="970"/>
      <c r="FC2086" s="970"/>
      <c r="FD2086" s="970"/>
      <c r="FE2086" s="970"/>
      <c r="FF2086" s="970"/>
      <c r="FG2086" s="970"/>
      <c r="FH2086" s="970"/>
      <c r="FI2086" s="970"/>
      <c r="FJ2086" s="970"/>
      <c r="FK2086" s="970"/>
      <c r="FL2086" s="970"/>
      <c r="FM2086" s="970"/>
      <c r="FN2086" s="970"/>
      <c r="FO2086" s="970"/>
      <c r="FP2086" s="970"/>
      <c r="FQ2086" s="970"/>
      <c r="FR2086" s="970"/>
      <c r="FS2086" s="970"/>
      <c r="FT2086" s="970"/>
      <c r="FU2086" s="970"/>
      <c r="FV2086" s="970"/>
      <c r="FW2086" s="970"/>
      <c r="FX2086" s="970"/>
      <c r="FY2086" s="970"/>
      <c r="FZ2086" s="970"/>
      <c r="GA2086" s="970"/>
      <c r="GB2086" s="970"/>
      <c r="GC2086" s="970"/>
      <c r="GD2086" s="970"/>
      <c r="GE2086" s="970"/>
      <c r="GF2086" s="970"/>
      <c r="GG2086" s="970"/>
      <c r="GH2086" s="970"/>
      <c r="GI2086" s="970"/>
      <c r="GJ2086" s="970"/>
      <c r="GK2086" s="970"/>
      <c r="GL2086" s="970"/>
      <c r="GM2086" s="970"/>
      <c r="GN2086" s="970"/>
      <c r="GO2086" s="970"/>
      <c r="GP2086" s="970"/>
      <c r="GQ2086" s="970"/>
      <c r="GR2086" s="970"/>
      <c r="GS2086" s="970"/>
      <c r="GT2086" s="970"/>
      <c r="GU2086" s="970"/>
      <c r="GV2086" s="970"/>
      <c r="GW2086" s="970"/>
      <c r="GX2086" s="970"/>
      <c r="GY2086" s="970"/>
      <c r="GZ2086" s="970"/>
      <c r="HA2086" s="970"/>
      <c r="HB2086" s="970"/>
      <c r="HC2086" s="970"/>
      <c r="HD2086" s="970"/>
      <c r="HE2086" s="970"/>
      <c r="HF2086" s="970"/>
      <c r="HG2086" s="970"/>
      <c r="HH2086" s="970"/>
      <c r="HI2086" s="970"/>
      <c r="HJ2086" s="970"/>
      <c r="HK2086" s="970"/>
      <c r="HL2086" s="970"/>
      <c r="HM2086" s="970"/>
      <c r="HN2086" s="970"/>
      <c r="HO2086" s="970"/>
      <c r="HP2086" s="970"/>
      <c r="HQ2086" s="970"/>
      <c r="HR2086" s="970"/>
      <c r="HS2086" s="970"/>
      <c r="HT2086" s="970"/>
      <c r="HU2086" s="970"/>
      <c r="HV2086" s="970"/>
      <c r="HW2086" s="970"/>
      <c r="HX2086" s="970"/>
      <c r="HY2086" s="970"/>
      <c r="HZ2086" s="970"/>
      <c r="IA2086" s="970"/>
      <c r="IB2086" s="970"/>
      <c r="IC2086" s="970"/>
      <c r="ID2086" s="970"/>
      <c r="IE2086" s="970"/>
      <c r="IF2086" s="970"/>
      <c r="IG2086" s="970"/>
      <c r="IH2086" s="970"/>
      <c r="II2086" s="970"/>
      <c r="IJ2086" s="970"/>
      <c r="IK2086" s="970"/>
      <c r="IL2086" s="970"/>
      <c r="IM2086" s="970"/>
      <c r="IN2086" s="970"/>
      <c r="IO2086" s="970"/>
    </row>
    <row r="2087" spans="1:251" s="1288" customFormat="1" ht="99">
      <c r="A2087" s="102"/>
      <c r="B2087" s="8"/>
      <c r="C2087" s="628" t="s">
        <v>1735</v>
      </c>
      <c r="D2087" s="628" t="s">
        <v>34</v>
      </c>
      <c r="E2087" s="628" t="s">
        <v>28</v>
      </c>
      <c r="F2087" s="628" t="s">
        <v>25</v>
      </c>
      <c r="G2087" s="628" t="s">
        <v>45</v>
      </c>
      <c r="H2087" s="628" t="s">
        <v>52</v>
      </c>
      <c r="I2087" s="10" t="s">
        <v>1754</v>
      </c>
      <c r="J2087" s="10" t="s">
        <v>1755</v>
      </c>
      <c r="K2087" s="107">
        <v>450</v>
      </c>
      <c r="L2087" s="238">
        <v>13249356000</v>
      </c>
      <c r="M2087" s="107">
        <v>300</v>
      </c>
      <c r="N2087" s="238">
        <v>5787032000</v>
      </c>
      <c r="O2087" s="107">
        <v>75</v>
      </c>
      <c r="P2087" s="238">
        <v>810775730</v>
      </c>
      <c r="Q2087" s="238">
        <v>20</v>
      </c>
      <c r="R2087" s="238">
        <v>181496000</v>
      </c>
      <c r="S2087" s="107">
        <v>22</v>
      </c>
      <c r="T2087" s="238">
        <v>357344000</v>
      </c>
      <c r="U2087" s="107"/>
      <c r="V2087" s="107"/>
      <c r="W2087" s="107"/>
      <c r="X2087" s="107"/>
      <c r="Y2087" s="107">
        <f t="shared" si="626"/>
        <v>42</v>
      </c>
      <c r="Z2087" s="204">
        <f t="shared" si="630"/>
        <v>538840000</v>
      </c>
      <c r="AA2087" s="107">
        <f t="shared" si="631"/>
        <v>342</v>
      </c>
      <c r="AB2087" s="238">
        <f t="shared" si="628"/>
        <v>6325872000</v>
      </c>
      <c r="AC2087" s="109">
        <f t="shared" si="627"/>
        <v>76</v>
      </c>
      <c r="AD2087" s="117">
        <f t="shared" si="629"/>
        <v>47.744750763735233</v>
      </c>
      <c r="AE2087" s="102"/>
      <c r="AF2087" s="200"/>
      <c r="AG2087" s="200"/>
      <c r="AH2087" s="200"/>
      <c r="AI2087" s="1128"/>
      <c r="AJ2087" s="200"/>
      <c r="AK2087" s="1128"/>
      <c r="AL2087" s="200"/>
      <c r="AM2087" s="1128"/>
      <c r="AN2087" s="200"/>
      <c r="AO2087" s="1128"/>
      <c r="AP2087" s="200"/>
      <c r="AQ2087" s="200"/>
      <c r="AR2087" s="200"/>
      <c r="AS2087" s="200"/>
      <c r="AT2087" s="200"/>
      <c r="AU2087" s="200"/>
      <c r="AV2087" s="200"/>
      <c r="AW2087" s="200"/>
      <c r="AX2087" s="200"/>
      <c r="AY2087" s="200"/>
      <c r="AZ2087" s="200"/>
      <c r="BA2087" s="200"/>
      <c r="BB2087" s="200"/>
      <c r="BC2087" s="970"/>
      <c r="BD2087" s="970"/>
      <c r="BE2087" s="970"/>
      <c r="BF2087" s="970"/>
      <c r="BG2087" s="970"/>
      <c r="BH2087" s="970"/>
      <c r="BI2087" s="970"/>
      <c r="BJ2087" s="970"/>
      <c r="BK2087" s="970"/>
      <c r="BL2087" s="970"/>
      <c r="BM2087" s="970"/>
      <c r="BN2087" s="970"/>
      <c r="BO2087" s="970"/>
      <c r="BP2087" s="970"/>
      <c r="BQ2087" s="970"/>
      <c r="BR2087" s="970"/>
      <c r="BS2087" s="970"/>
      <c r="BT2087" s="970"/>
      <c r="BU2087" s="970"/>
      <c r="BV2087" s="970"/>
      <c r="BW2087" s="970"/>
      <c r="BX2087" s="970"/>
      <c r="BY2087" s="970"/>
      <c r="BZ2087" s="970"/>
      <c r="CA2087" s="970"/>
      <c r="CB2087" s="970"/>
      <c r="CC2087" s="970"/>
      <c r="CD2087" s="970"/>
      <c r="CE2087" s="970"/>
      <c r="CF2087" s="970"/>
      <c r="CG2087" s="970"/>
      <c r="CH2087" s="970"/>
      <c r="CI2087" s="970"/>
      <c r="CJ2087" s="970"/>
      <c r="CK2087" s="970"/>
      <c r="CL2087" s="970"/>
      <c r="CM2087" s="970"/>
      <c r="CN2087" s="970"/>
      <c r="CO2087" s="970"/>
      <c r="CP2087" s="970"/>
      <c r="CQ2087" s="970"/>
      <c r="CR2087" s="970"/>
      <c r="CS2087" s="970"/>
      <c r="CT2087" s="970"/>
      <c r="CU2087" s="970"/>
      <c r="CV2087" s="970"/>
      <c r="CW2087" s="970"/>
      <c r="CX2087" s="970"/>
      <c r="CY2087" s="970"/>
      <c r="CZ2087" s="970"/>
      <c r="DA2087" s="970"/>
      <c r="DB2087" s="970"/>
      <c r="DC2087" s="970"/>
      <c r="DD2087" s="970"/>
      <c r="DE2087" s="970"/>
      <c r="DF2087" s="970"/>
      <c r="DG2087" s="970"/>
      <c r="DH2087" s="970"/>
      <c r="DI2087" s="970"/>
      <c r="DJ2087" s="970"/>
      <c r="DK2087" s="970"/>
      <c r="DL2087" s="970"/>
      <c r="DM2087" s="970"/>
      <c r="DN2087" s="970"/>
      <c r="DO2087" s="970"/>
      <c r="DP2087" s="970"/>
      <c r="DQ2087" s="970"/>
      <c r="DR2087" s="970"/>
      <c r="DS2087" s="970"/>
      <c r="DT2087" s="970"/>
      <c r="DU2087" s="970"/>
      <c r="DV2087" s="970"/>
      <c r="DW2087" s="970"/>
      <c r="DX2087" s="970"/>
      <c r="DY2087" s="970"/>
      <c r="DZ2087" s="970"/>
      <c r="EA2087" s="970"/>
      <c r="EB2087" s="970"/>
      <c r="EC2087" s="970"/>
      <c r="ED2087" s="970"/>
      <c r="EE2087" s="970"/>
      <c r="EF2087" s="970"/>
      <c r="EG2087" s="970"/>
      <c r="EH2087" s="970"/>
      <c r="EI2087" s="970"/>
      <c r="EJ2087" s="970"/>
      <c r="EK2087" s="970"/>
      <c r="EL2087" s="970"/>
      <c r="EM2087" s="970"/>
      <c r="EN2087" s="970"/>
      <c r="EO2087" s="970"/>
      <c r="EP2087" s="970"/>
      <c r="EQ2087" s="970"/>
      <c r="ER2087" s="970"/>
      <c r="ES2087" s="970"/>
      <c r="ET2087" s="970"/>
      <c r="EU2087" s="970"/>
      <c r="EV2087" s="970"/>
      <c r="EW2087" s="970"/>
      <c r="EX2087" s="970"/>
      <c r="EY2087" s="970"/>
      <c r="EZ2087" s="970"/>
      <c r="FA2087" s="970"/>
      <c r="FB2087" s="970"/>
      <c r="FC2087" s="970"/>
      <c r="FD2087" s="970"/>
      <c r="FE2087" s="970"/>
      <c r="FF2087" s="970"/>
      <c r="FG2087" s="970"/>
      <c r="FH2087" s="970"/>
      <c r="FI2087" s="970"/>
      <c r="FJ2087" s="970"/>
      <c r="FK2087" s="970"/>
      <c r="FL2087" s="970"/>
      <c r="FM2087" s="970"/>
      <c r="FN2087" s="970"/>
      <c r="FO2087" s="970"/>
      <c r="FP2087" s="970"/>
      <c r="FQ2087" s="970"/>
      <c r="FR2087" s="970"/>
      <c r="FS2087" s="970"/>
      <c r="FT2087" s="970"/>
      <c r="FU2087" s="970"/>
      <c r="FV2087" s="970"/>
      <c r="FW2087" s="970"/>
      <c r="FX2087" s="970"/>
      <c r="FY2087" s="970"/>
      <c r="FZ2087" s="970"/>
      <c r="GA2087" s="970"/>
      <c r="GB2087" s="970"/>
      <c r="GC2087" s="970"/>
      <c r="GD2087" s="970"/>
      <c r="GE2087" s="970"/>
      <c r="GF2087" s="970"/>
      <c r="GG2087" s="970"/>
      <c r="GH2087" s="970"/>
      <c r="GI2087" s="970"/>
      <c r="GJ2087" s="970"/>
      <c r="GK2087" s="970"/>
      <c r="GL2087" s="970"/>
      <c r="GM2087" s="970"/>
      <c r="GN2087" s="970"/>
      <c r="GO2087" s="970"/>
      <c r="GP2087" s="970"/>
      <c r="GQ2087" s="970"/>
      <c r="GR2087" s="970"/>
      <c r="GS2087" s="970"/>
      <c r="GT2087" s="970"/>
      <c r="GU2087" s="970"/>
      <c r="GV2087" s="970"/>
      <c r="GW2087" s="970"/>
      <c r="GX2087" s="970"/>
      <c r="GY2087" s="970"/>
      <c r="GZ2087" s="970"/>
      <c r="HA2087" s="970"/>
      <c r="HB2087" s="970"/>
      <c r="HC2087" s="970"/>
      <c r="HD2087" s="970"/>
      <c r="HE2087" s="970"/>
      <c r="HF2087" s="970"/>
      <c r="HG2087" s="970"/>
      <c r="HH2087" s="970"/>
      <c r="HI2087" s="970"/>
      <c r="HJ2087" s="970"/>
      <c r="HK2087" s="970"/>
      <c r="HL2087" s="970"/>
      <c r="HM2087" s="970"/>
      <c r="HN2087" s="970"/>
      <c r="HO2087" s="970"/>
      <c r="HP2087" s="970"/>
      <c r="HQ2087" s="970"/>
      <c r="HR2087" s="970"/>
      <c r="HS2087" s="970"/>
      <c r="HT2087" s="970"/>
      <c r="HU2087" s="970"/>
      <c r="HV2087" s="970"/>
      <c r="HW2087" s="970"/>
      <c r="HX2087" s="970"/>
      <c r="HY2087" s="970"/>
      <c r="HZ2087" s="970"/>
      <c r="IA2087" s="970"/>
      <c r="IB2087" s="970"/>
      <c r="IC2087" s="970"/>
      <c r="ID2087" s="970"/>
      <c r="IE2087" s="970"/>
      <c r="IF2087" s="970"/>
      <c r="IG2087" s="970"/>
      <c r="IH2087" s="970"/>
      <c r="II2087" s="970"/>
      <c r="IJ2087" s="970"/>
      <c r="IK2087" s="970"/>
      <c r="IL2087" s="970"/>
      <c r="IM2087" s="970"/>
      <c r="IN2087" s="970"/>
      <c r="IO2087" s="970"/>
    </row>
    <row r="2088" spans="1:251" s="1288" customFormat="1" ht="66">
      <c r="A2088" s="102"/>
      <c r="B2088" s="8"/>
      <c r="C2088" s="628" t="s">
        <v>1735</v>
      </c>
      <c r="D2088" s="628" t="s">
        <v>34</v>
      </c>
      <c r="E2088" s="628" t="s">
        <v>28</v>
      </c>
      <c r="F2088" s="628" t="s">
        <v>25</v>
      </c>
      <c r="G2088" s="628" t="s">
        <v>45</v>
      </c>
      <c r="H2088" s="628" t="s">
        <v>57</v>
      </c>
      <c r="I2088" s="10" t="s">
        <v>1756</v>
      </c>
      <c r="J2088" s="10" t="s">
        <v>1757</v>
      </c>
      <c r="K2088" s="107">
        <v>60</v>
      </c>
      <c r="L2088" s="238">
        <v>22302646000</v>
      </c>
      <c r="M2088" s="107">
        <v>40</v>
      </c>
      <c r="N2088" s="238">
        <v>12703820000</v>
      </c>
      <c r="O2088" s="107">
        <v>10</v>
      </c>
      <c r="P2088" s="238">
        <v>2249757497</v>
      </c>
      <c r="Q2088" s="238">
        <v>2</v>
      </c>
      <c r="R2088" s="238">
        <v>671344000</v>
      </c>
      <c r="S2088" s="107">
        <v>2</v>
      </c>
      <c r="T2088" s="238">
        <v>68961000</v>
      </c>
      <c r="U2088" s="107"/>
      <c r="V2088" s="107"/>
      <c r="W2088" s="107"/>
      <c r="X2088" s="107"/>
      <c r="Y2088" s="107">
        <f t="shared" si="626"/>
        <v>4</v>
      </c>
      <c r="Z2088" s="204">
        <f t="shared" si="630"/>
        <v>740305000</v>
      </c>
      <c r="AA2088" s="107">
        <f t="shared" si="631"/>
        <v>44</v>
      </c>
      <c r="AB2088" s="238">
        <f t="shared" si="628"/>
        <v>13444125000</v>
      </c>
      <c r="AC2088" s="109">
        <f t="shared" si="627"/>
        <v>73.333333333333329</v>
      </c>
      <c r="AD2088" s="117">
        <f t="shared" si="629"/>
        <v>60.280403500104875</v>
      </c>
      <c r="AE2088" s="102"/>
      <c r="AF2088" s="200"/>
      <c r="AG2088" s="200"/>
      <c r="AH2088" s="200"/>
      <c r="AI2088" s="1128"/>
      <c r="AJ2088" s="200"/>
      <c r="AK2088" s="1128"/>
      <c r="AL2088" s="200"/>
      <c r="AM2088" s="1128"/>
      <c r="AN2088" s="200"/>
      <c r="AO2088" s="1128"/>
      <c r="AP2088" s="200"/>
      <c r="AQ2088" s="200"/>
      <c r="AR2088" s="200"/>
      <c r="AS2088" s="200"/>
      <c r="AT2088" s="200"/>
      <c r="AU2088" s="200"/>
      <c r="AV2088" s="200"/>
      <c r="AW2088" s="200"/>
      <c r="AX2088" s="200"/>
      <c r="AY2088" s="200"/>
      <c r="AZ2088" s="200"/>
      <c r="BA2088" s="200"/>
      <c r="BB2088" s="200"/>
      <c r="BC2088" s="970"/>
      <c r="BD2088" s="970"/>
      <c r="BE2088" s="970"/>
      <c r="BF2088" s="970"/>
      <c r="BG2088" s="970"/>
      <c r="BH2088" s="970"/>
      <c r="BI2088" s="970"/>
      <c r="BJ2088" s="970"/>
      <c r="BK2088" s="970"/>
      <c r="BL2088" s="970"/>
      <c r="BM2088" s="970"/>
      <c r="BN2088" s="970"/>
      <c r="BO2088" s="970"/>
      <c r="BP2088" s="970"/>
      <c r="BQ2088" s="970"/>
      <c r="BR2088" s="970"/>
      <c r="BS2088" s="970"/>
      <c r="BT2088" s="970"/>
      <c r="BU2088" s="970"/>
      <c r="BV2088" s="970"/>
      <c r="BW2088" s="970"/>
      <c r="BX2088" s="970"/>
      <c r="BY2088" s="970"/>
      <c r="BZ2088" s="970"/>
      <c r="CA2088" s="970"/>
      <c r="CB2088" s="970"/>
      <c r="CC2088" s="970"/>
      <c r="CD2088" s="970"/>
      <c r="CE2088" s="970"/>
      <c r="CF2088" s="970"/>
      <c r="CG2088" s="970"/>
      <c r="CH2088" s="970"/>
      <c r="CI2088" s="970"/>
      <c r="CJ2088" s="970"/>
      <c r="CK2088" s="970"/>
      <c r="CL2088" s="970"/>
      <c r="CM2088" s="970"/>
      <c r="CN2088" s="970"/>
      <c r="CO2088" s="970"/>
      <c r="CP2088" s="970"/>
      <c r="CQ2088" s="970"/>
      <c r="CR2088" s="970"/>
      <c r="CS2088" s="970"/>
      <c r="CT2088" s="970"/>
      <c r="CU2088" s="970"/>
      <c r="CV2088" s="970"/>
      <c r="CW2088" s="970"/>
      <c r="CX2088" s="970"/>
      <c r="CY2088" s="970"/>
      <c r="CZ2088" s="970"/>
      <c r="DA2088" s="970"/>
      <c r="DB2088" s="970"/>
      <c r="DC2088" s="970"/>
      <c r="DD2088" s="970"/>
      <c r="DE2088" s="970"/>
      <c r="DF2088" s="970"/>
      <c r="DG2088" s="970"/>
      <c r="DH2088" s="970"/>
      <c r="DI2088" s="970"/>
      <c r="DJ2088" s="970"/>
      <c r="DK2088" s="970"/>
      <c r="DL2088" s="970"/>
      <c r="DM2088" s="970"/>
      <c r="DN2088" s="970"/>
      <c r="DO2088" s="970"/>
      <c r="DP2088" s="970"/>
      <c r="DQ2088" s="970"/>
      <c r="DR2088" s="970"/>
      <c r="DS2088" s="970"/>
      <c r="DT2088" s="970"/>
      <c r="DU2088" s="970"/>
      <c r="DV2088" s="970"/>
      <c r="DW2088" s="970"/>
      <c r="DX2088" s="970"/>
      <c r="DY2088" s="970"/>
      <c r="DZ2088" s="970"/>
      <c r="EA2088" s="970"/>
      <c r="EB2088" s="970"/>
      <c r="EC2088" s="970"/>
      <c r="ED2088" s="970"/>
      <c r="EE2088" s="970"/>
      <c r="EF2088" s="970"/>
      <c r="EG2088" s="970"/>
      <c r="EH2088" s="970"/>
      <c r="EI2088" s="970"/>
      <c r="EJ2088" s="970"/>
      <c r="EK2088" s="970"/>
      <c r="EL2088" s="970"/>
      <c r="EM2088" s="970"/>
      <c r="EN2088" s="970"/>
      <c r="EO2088" s="970"/>
      <c r="EP2088" s="970"/>
      <c r="EQ2088" s="970"/>
      <c r="ER2088" s="970"/>
      <c r="ES2088" s="970"/>
      <c r="ET2088" s="970"/>
      <c r="EU2088" s="970"/>
      <c r="EV2088" s="970"/>
      <c r="EW2088" s="970"/>
      <c r="EX2088" s="970"/>
      <c r="EY2088" s="970"/>
      <c r="EZ2088" s="970"/>
      <c r="FA2088" s="970"/>
      <c r="FB2088" s="970"/>
      <c r="FC2088" s="970"/>
      <c r="FD2088" s="970"/>
      <c r="FE2088" s="970"/>
      <c r="FF2088" s="970"/>
      <c r="FG2088" s="970"/>
      <c r="FH2088" s="970"/>
      <c r="FI2088" s="970"/>
      <c r="FJ2088" s="970"/>
      <c r="FK2088" s="970"/>
      <c r="FL2088" s="970"/>
      <c r="FM2088" s="970"/>
      <c r="FN2088" s="970"/>
      <c r="FO2088" s="970"/>
      <c r="FP2088" s="970"/>
      <c r="FQ2088" s="970"/>
      <c r="FR2088" s="970"/>
      <c r="FS2088" s="970"/>
      <c r="FT2088" s="970"/>
      <c r="FU2088" s="970"/>
      <c r="FV2088" s="970"/>
      <c r="FW2088" s="970"/>
      <c r="FX2088" s="970"/>
      <c r="FY2088" s="970"/>
      <c r="FZ2088" s="970"/>
      <c r="GA2088" s="970"/>
      <c r="GB2088" s="970"/>
      <c r="GC2088" s="970"/>
      <c r="GD2088" s="970"/>
      <c r="GE2088" s="970"/>
      <c r="GF2088" s="970"/>
      <c r="GG2088" s="970"/>
      <c r="GH2088" s="970"/>
      <c r="GI2088" s="970"/>
      <c r="GJ2088" s="970"/>
      <c r="GK2088" s="970"/>
      <c r="GL2088" s="970"/>
      <c r="GM2088" s="970"/>
      <c r="GN2088" s="970"/>
      <c r="GO2088" s="970"/>
      <c r="GP2088" s="970"/>
      <c r="GQ2088" s="970"/>
      <c r="GR2088" s="970"/>
      <c r="GS2088" s="970"/>
      <c r="GT2088" s="970"/>
      <c r="GU2088" s="970"/>
      <c r="GV2088" s="970"/>
      <c r="GW2088" s="970"/>
      <c r="GX2088" s="970"/>
      <c r="GY2088" s="970"/>
      <c r="GZ2088" s="970"/>
      <c r="HA2088" s="970"/>
      <c r="HB2088" s="970"/>
      <c r="HC2088" s="970"/>
      <c r="HD2088" s="970"/>
      <c r="HE2088" s="970"/>
      <c r="HF2088" s="970"/>
      <c r="HG2088" s="970"/>
      <c r="HH2088" s="970"/>
      <c r="HI2088" s="970"/>
      <c r="HJ2088" s="970"/>
      <c r="HK2088" s="970"/>
      <c r="HL2088" s="970"/>
      <c r="HM2088" s="970"/>
      <c r="HN2088" s="970"/>
      <c r="HO2088" s="970"/>
      <c r="HP2088" s="970"/>
      <c r="HQ2088" s="970"/>
      <c r="HR2088" s="970"/>
      <c r="HS2088" s="970"/>
      <c r="HT2088" s="970"/>
      <c r="HU2088" s="970"/>
      <c r="HV2088" s="970"/>
      <c r="HW2088" s="970"/>
      <c r="HX2088" s="970"/>
      <c r="HY2088" s="970"/>
      <c r="HZ2088" s="970"/>
      <c r="IA2088" s="970"/>
      <c r="IB2088" s="970"/>
      <c r="IC2088" s="970"/>
      <c r="ID2088" s="970"/>
      <c r="IE2088" s="970"/>
      <c r="IF2088" s="970"/>
      <c r="IG2088" s="970"/>
      <c r="IH2088" s="970"/>
      <c r="II2088" s="970"/>
      <c r="IJ2088" s="970"/>
      <c r="IK2088" s="970"/>
      <c r="IL2088" s="970"/>
      <c r="IM2088" s="970"/>
      <c r="IN2088" s="970"/>
      <c r="IO2088" s="970"/>
    </row>
    <row r="2089" spans="1:251" s="1288" customFormat="1" ht="82.5">
      <c r="A2089" s="102"/>
      <c r="B2089" s="8"/>
      <c r="C2089" s="628" t="s">
        <v>1735</v>
      </c>
      <c r="D2089" s="628" t="s">
        <v>34</v>
      </c>
      <c r="E2089" s="628" t="s">
        <v>28</v>
      </c>
      <c r="F2089" s="628" t="s">
        <v>25</v>
      </c>
      <c r="G2089" s="628" t="s">
        <v>45</v>
      </c>
      <c r="H2089" s="628" t="s">
        <v>58</v>
      </c>
      <c r="I2089" s="10" t="s">
        <v>1758</v>
      </c>
      <c r="J2089" s="10" t="s">
        <v>1759</v>
      </c>
      <c r="K2089" s="107">
        <v>6</v>
      </c>
      <c r="L2089" s="238">
        <v>1099980000</v>
      </c>
      <c r="M2089" s="107">
        <v>2</v>
      </c>
      <c r="N2089" s="238">
        <v>396571000</v>
      </c>
      <c r="O2089" s="107">
        <v>1</v>
      </c>
      <c r="P2089" s="238">
        <v>207218916</v>
      </c>
      <c r="Q2089" s="238">
        <v>0</v>
      </c>
      <c r="R2089" s="238">
        <v>0</v>
      </c>
      <c r="S2089" s="107">
        <v>0</v>
      </c>
      <c r="T2089" s="238">
        <v>7292000</v>
      </c>
      <c r="U2089" s="107"/>
      <c r="V2089" s="107"/>
      <c r="W2089" s="107"/>
      <c r="X2089" s="107"/>
      <c r="Y2089" s="107">
        <f t="shared" si="626"/>
        <v>0</v>
      </c>
      <c r="Z2089" s="204">
        <f t="shared" si="630"/>
        <v>7292000</v>
      </c>
      <c r="AA2089" s="107">
        <f t="shared" si="631"/>
        <v>2</v>
      </c>
      <c r="AB2089" s="238">
        <f t="shared" si="628"/>
        <v>403863000</v>
      </c>
      <c r="AC2089" s="109">
        <f t="shared" si="627"/>
        <v>33.333333333333329</v>
      </c>
      <c r="AD2089" s="117">
        <f t="shared" si="629"/>
        <v>36.715485736104291</v>
      </c>
      <c r="AE2089" s="102"/>
      <c r="AF2089" s="200"/>
      <c r="AG2089" s="200"/>
      <c r="AH2089" s="200"/>
      <c r="AI2089" s="1128"/>
      <c r="AJ2089" s="200"/>
      <c r="AK2089" s="1128"/>
      <c r="AL2089" s="200"/>
      <c r="AM2089" s="1128"/>
      <c r="AN2089" s="200"/>
      <c r="AO2089" s="1128"/>
      <c r="AP2089" s="200"/>
      <c r="AQ2089" s="200"/>
      <c r="AR2089" s="200"/>
      <c r="AS2089" s="200"/>
      <c r="AT2089" s="200"/>
      <c r="AU2089" s="200"/>
      <c r="AV2089" s="200"/>
      <c r="AW2089" s="200"/>
      <c r="AX2089" s="200"/>
      <c r="AY2089" s="200"/>
      <c r="AZ2089" s="200"/>
      <c r="BA2089" s="200"/>
      <c r="BB2089" s="200"/>
      <c r="BC2089" s="970"/>
      <c r="BD2089" s="970"/>
      <c r="BE2089" s="970"/>
      <c r="BF2089" s="970"/>
      <c r="BG2089" s="970"/>
      <c r="BH2089" s="970"/>
      <c r="BI2089" s="970"/>
      <c r="BJ2089" s="970"/>
      <c r="BK2089" s="970"/>
      <c r="BL2089" s="970"/>
      <c r="BM2089" s="970"/>
      <c r="BN2089" s="970"/>
      <c r="BO2089" s="970"/>
      <c r="BP2089" s="970"/>
      <c r="BQ2089" s="970"/>
      <c r="BR2089" s="970"/>
      <c r="BS2089" s="970"/>
      <c r="BT2089" s="970"/>
      <c r="BU2089" s="970"/>
      <c r="BV2089" s="970"/>
      <c r="BW2089" s="970"/>
      <c r="BX2089" s="970"/>
      <c r="BY2089" s="970"/>
      <c r="BZ2089" s="970"/>
      <c r="CA2089" s="970"/>
      <c r="CB2089" s="970"/>
      <c r="CC2089" s="970"/>
      <c r="CD2089" s="970"/>
      <c r="CE2089" s="970"/>
      <c r="CF2089" s="970"/>
      <c r="CG2089" s="970"/>
      <c r="CH2089" s="970"/>
      <c r="CI2089" s="970"/>
      <c r="CJ2089" s="970"/>
      <c r="CK2089" s="970"/>
      <c r="CL2089" s="970"/>
      <c r="CM2089" s="970"/>
      <c r="CN2089" s="970"/>
      <c r="CO2089" s="970"/>
      <c r="CP2089" s="970"/>
      <c r="CQ2089" s="970"/>
      <c r="CR2089" s="970"/>
      <c r="CS2089" s="970"/>
      <c r="CT2089" s="970"/>
      <c r="CU2089" s="970"/>
      <c r="CV2089" s="970"/>
      <c r="CW2089" s="970"/>
      <c r="CX2089" s="970"/>
      <c r="CY2089" s="970"/>
      <c r="CZ2089" s="970"/>
      <c r="DA2089" s="970"/>
      <c r="DB2089" s="970"/>
      <c r="DC2089" s="970"/>
      <c r="DD2089" s="970"/>
      <c r="DE2089" s="970"/>
      <c r="DF2089" s="970"/>
      <c r="DG2089" s="970"/>
      <c r="DH2089" s="970"/>
      <c r="DI2089" s="970"/>
      <c r="DJ2089" s="970"/>
      <c r="DK2089" s="970"/>
      <c r="DL2089" s="970"/>
      <c r="DM2089" s="970"/>
      <c r="DN2089" s="970"/>
      <c r="DO2089" s="970"/>
      <c r="DP2089" s="970"/>
      <c r="DQ2089" s="970"/>
      <c r="DR2089" s="970"/>
      <c r="DS2089" s="970"/>
      <c r="DT2089" s="970"/>
      <c r="DU2089" s="970"/>
      <c r="DV2089" s="970"/>
      <c r="DW2089" s="970"/>
      <c r="DX2089" s="970"/>
      <c r="DY2089" s="970"/>
      <c r="DZ2089" s="970"/>
      <c r="EA2089" s="970"/>
      <c r="EB2089" s="970"/>
      <c r="EC2089" s="970"/>
      <c r="ED2089" s="970"/>
      <c r="EE2089" s="970"/>
      <c r="EF2089" s="970"/>
      <c r="EG2089" s="970"/>
      <c r="EH2089" s="970"/>
      <c r="EI2089" s="970"/>
      <c r="EJ2089" s="970"/>
      <c r="EK2089" s="970"/>
      <c r="EL2089" s="970"/>
      <c r="EM2089" s="970"/>
      <c r="EN2089" s="970"/>
      <c r="EO2089" s="970"/>
      <c r="EP2089" s="970"/>
      <c r="EQ2089" s="970"/>
      <c r="ER2089" s="970"/>
      <c r="ES2089" s="970"/>
      <c r="ET2089" s="970"/>
      <c r="EU2089" s="970"/>
      <c r="EV2089" s="970"/>
      <c r="EW2089" s="970"/>
      <c r="EX2089" s="970"/>
      <c r="EY2089" s="970"/>
      <c r="EZ2089" s="970"/>
      <c r="FA2089" s="970"/>
      <c r="FB2089" s="970"/>
      <c r="FC2089" s="970"/>
      <c r="FD2089" s="970"/>
      <c r="FE2089" s="970"/>
      <c r="FF2089" s="970"/>
      <c r="FG2089" s="970"/>
      <c r="FH2089" s="970"/>
      <c r="FI2089" s="970"/>
      <c r="FJ2089" s="970"/>
      <c r="FK2089" s="970"/>
      <c r="FL2089" s="970"/>
      <c r="FM2089" s="970"/>
      <c r="FN2089" s="970"/>
      <c r="FO2089" s="970"/>
      <c r="FP2089" s="970"/>
      <c r="FQ2089" s="970"/>
      <c r="FR2089" s="970"/>
      <c r="FS2089" s="970"/>
      <c r="FT2089" s="970"/>
      <c r="FU2089" s="970"/>
      <c r="FV2089" s="970"/>
      <c r="FW2089" s="970"/>
      <c r="FX2089" s="970"/>
      <c r="FY2089" s="970"/>
      <c r="FZ2089" s="970"/>
      <c r="GA2089" s="970"/>
      <c r="GB2089" s="970"/>
      <c r="GC2089" s="970"/>
      <c r="GD2089" s="970"/>
      <c r="GE2089" s="970"/>
      <c r="GF2089" s="970"/>
      <c r="GG2089" s="970"/>
      <c r="GH2089" s="970"/>
      <c r="GI2089" s="970"/>
      <c r="GJ2089" s="970"/>
      <c r="GK2089" s="970"/>
      <c r="GL2089" s="970"/>
      <c r="GM2089" s="970"/>
      <c r="GN2089" s="970"/>
      <c r="GO2089" s="970"/>
      <c r="GP2089" s="970"/>
      <c r="GQ2089" s="970"/>
      <c r="GR2089" s="970"/>
      <c r="GS2089" s="970"/>
      <c r="GT2089" s="970"/>
      <c r="GU2089" s="970"/>
      <c r="GV2089" s="970"/>
      <c r="GW2089" s="970"/>
      <c r="GX2089" s="970"/>
      <c r="GY2089" s="970"/>
      <c r="GZ2089" s="970"/>
      <c r="HA2089" s="970"/>
      <c r="HB2089" s="970"/>
      <c r="HC2089" s="970"/>
      <c r="HD2089" s="970"/>
      <c r="HE2089" s="970"/>
      <c r="HF2089" s="970"/>
      <c r="HG2089" s="970"/>
      <c r="HH2089" s="970"/>
      <c r="HI2089" s="970"/>
      <c r="HJ2089" s="970"/>
      <c r="HK2089" s="970"/>
      <c r="HL2089" s="970"/>
      <c r="HM2089" s="970"/>
      <c r="HN2089" s="970"/>
      <c r="HO2089" s="970"/>
      <c r="HP2089" s="970"/>
      <c r="HQ2089" s="970"/>
      <c r="HR2089" s="970"/>
      <c r="HS2089" s="970"/>
      <c r="HT2089" s="970"/>
      <c r="HU2089" s="970"/>
      <c r="HV2089" s="970"/>
      <c r="HW2089" s="970"/>
      <c r="HX2089" s="970"/>
      <c r="HY2089" s="970"/>
      <c r="HZ2089" s="970"/>
      <c r="IA2089" s="970"/>
      <c r="IB2089" s="970"/>
      <c r="IC2089" s="970"/>
      <c r="ID2089" s="970"/>
      <c r="IE2089" s="970"/>
      <c r="IF2089" s="970"/>
      <c r="IG2089" s="970"/>
      <c r="IH2089" s="970"/>
      <c r="II2089" s="970"/>
      <c r="IJ2089" s="970"/>
      <c r="IK2089" s="970"/>
      <c r="IL2089" s="970"/>
      <c r="IM2089" s="970"/>
      <c r="IN2089" s="970"/>
      <c r="IO2089" s="970"/>
    </row>
    <row r="2090" spans="1:251" s="862" customFormat="1" ht="20.25" customHeight="1">
      <c r="A2090" s="2737" t="s">
        <v>63</v>
      </c>
      <c r="B2090" s="2737"/>
      <c r="C2090" s="2741"/>
      <c r="D2090" s="2741"/>
      <c r="E2090" s="2741"/>
      <c r="F2090" s="2741"/>
      <c r="G2090" s="2741"/>
      <c r="H2090" s="2741"/>
      <c r="I2090" s="2741"/>
      <c r="J2090" s="2741"/>
      <c r="K2090" s="2741"/>
      <c r="L2090" s="2741"/>
      <c r="M2090" s="2741"/>
      <c r="N2090" s="2741"/>
      <c r="O2090" s="2741"/>
      <c r="P2090" s="2741"/>
      <c r="Q2090" s="2741"/>
      <c r="R2090" s="2741"/>
      <c r="S2090" s="2741"/>
      <c r="T2090" s="2741"/>
      <c r="U2090" s="2741"/>
      <c r="V2090" s="2741"/>
      <c r="W2090" s="2741"/>
      <c r="X2090" s="2741"/>
      <c r="Y2090" s="2741"/>
      <c r="Z2090" s="2741"/>
      <c r="AA2090" s="2741"/>
      <c r="AB2090" s="2741"/>
      <c r="AC2090" s="1940">
        <f>(AC2047+AC2062+AC2075+AC2077+AC2079)/5</f>
        <v>72.588235294117652</v>
      </c>
      <c r="AD2090" s="1940">
        <f>(AD2047+AD2062+AD2075+AD2077+AD2079)/5</f>
        <v>69.945398729945936</v>
      </c>
      <c r="AE2090" s="131"/>
      <c r="AF2090" s="200"/>
      <c r="AG2090" s="200"/>
      <c r="AH2090" s="200"/>
      <c r="AI2090" s="200"/>
      <c r="AJ2090" s="200"/>
      <c r="AK2090" s="200"/>
      <c r="AL2090" s="200"/>
      <c r="AM2090" s="200"/>
      <c r="AN2090" s="200"/>
      <c r="AO2090" s="200"/>
      <c r="AP2090" s="200"/>
      <c r="AQ2090" s="200"/>
      <c r="AR2090" s="200"/>
      <c r="AS2090" s="200"/>
      <c r="AT2090" s="200"/>
      <c r="AU2090" s="200"/>
      <c r="AV2090" s="200"/>
      <c r="AW2090" s="200"/>
      <c r="AX2090" s="200"/>
      <c r="AY2090" s="200"/>
      <c r="AZ2090" s="200"/>
      <c r="BA2090" s="200"/>
      <c r="BB2090" s="200"/>
      <c r="BC2090" s="970"/>
      <c r="BD2090" s="970"/>
      <c r="BE2090" s="970"/>
      <c r="BF2090" s="970"/>
      <c r="BG2090" s="970"/>
      <c r="BH2090" s="970"/>
      <c r="BI2090" s="970"/>
      <c r="BJ2090" s="970"/>
      <c r="BK2090" s="970"/>
      <c r="BL2090" s="970"/>
      <c r="BM2090" s="970"/>
      <c r="BN2090" s="970"/>
      <c r="BO2090" s="970"/>
      <c r="BP2090" s="970"/>
      <c r="BQ2090" s="970"/>
      <c r="BR2090" s="970"/>
      <c r="BS2090" s="970"/>
      <c r="BT2090" s="970"/>
      <c r="BU2090" s="970"/>
      <c r="BV2090" s="970"/>
      <c r="BW2090" s="970"/>
      <c r="BX2090" s="970"/>
      <c r="BY2090" s="970"/>
      <c r="BZ2090" s="970"/>
      <c r="CA2090" s="970"/>
      <c r="CB2090" s="970"/>
      <c r="CC2090" s="970"/>
      <c r="CD2090" s="970"/>
      <c r="CE2090" s="970"/>
      <c r="CF2090" s="970"/>
      <c r="CG2090" s="970"/>
      <c r="CH2090" s="970"/>
      <c r="CI2090" s="970"/>
      <c r="CJ2090" s="970"/>
      <c r="CK2090" s="970"/>
      <c r="CL2090" s="970"/>
      <c r="CM2090" s="970"/>
      <c r="CN2090" s="970"/>
      <c r="CO2090" s="970"/>
      <c r="CP2090" s="970"/>
      <c r="CQ2090" s="970"/>
      <c r="CR2090" s="970"/>
      <c r="CS2090" s="970"/>
      <c r="CT2090" s="970"/>
      <c r="CU2090" s="970"/>
      <c r="CV2090" s="970"/>
      <c r="CW2090" s="970"/>
      <c r="CX2090" s="970"/>
      <c r="CY2090" s="970"/>
      <c r="CZ2090" s="970"/>
      <c r="DA2090" s="970"/>
      <c r="DB2090" s="970"/>
      <c r="DC2090" s="970"/>
      <c r="DD2090" s="970"/>
      <c r="DE2090" s="970"/>
      <c r="DF2090" s="970"/>
      <c r="DG2090" s="970"/>
      <c r="DH2090" s="970"/>
      <c r="DI2090" s="970"/>
      <c r="DJ2090" s="970"/>
      <c r="DK2090" s="970"/>
      <c r="DL2090" s="970"/>
      <c r="DM2090" s="970"/>
      <c r="DN2090" s="970"/>
      <c r="DO2090" s="970"/>
      <c r="DP2090" s="970"/>
      <c r="DQ2090" s="970"/>
      <c r="DR2090" s="970"/>
      <c r="DS2090" s="970"/>
      <c r="DT2090" s="970"/>
      <c r="DU2090" s="970"/>
      <c r="DV2090" s="970"/>
      <c r="DW2090" s="970"/>
      <c r="DX2090" s="970"/>
      <c r="DY2090" s="970"/>
      <c r="DZ2090" s="970"/>
      <c r="EA2090" s="970"/>
      <c r="EB2090" s="970"/>
      <c r="EC2090" s="970"/>
      <c r="ED2090" s="970"/>
      <c r="EE2090" s="970"/>
      <c r="EF2090" s="970"/>
      <c r="EG2090" s="970"/>
      <c r="EH2090" s="970"/>
      <c r="EI2090" s="970"/>
      <c r="EJ2090" s="970"/>
      <c r="EK2090" s="970"/>
      <c r="EL2090" s="970"/>
      <c r="EM2090" s="970"/>
      <c r="EN2090" s="970"/>
      <c r="EO2090" s="970"/>
      <c r="EP2090" s="970"/>
      <c r="EQ2090" s="970"/>
      <c r="ER2090" s="970"/>
      <c r="ES2090" s="970"/>
      <c r="ET2090" s="970"/>
      <c r="EU2090" s="970"/>
      <c r="EV2090" s="970"/>
      <c r="EW2090" s="970"/>
      <c r="EX2090" s="970"/>
      <c r="EY2090" s="970"/>
      <c r="EZ2090" s="970"/>
      <c r="FA2090" s="970"/>
      <c r="FB2090" s="970"/>
      <c r="FC2090" s="970"/>
      <c r="FD2090" s="970"/>
      <c r="FE2090" s="970"/>
      <c r="FF2090" s="970"/>
      <c r="FG2090" s="970"/>
      <c r="FH2090" s="970"/>
      <c r="FI2090" s="970"/>
      <c r="FJ2090" s="970"/>
      <c r="FK2090" s="970"/>
      <c r="FL2090" s="970"/>
      <c r="FM2090" s="970"/>
      <c r="FN2090" s="970"/>
      <c r="FO2090" s="970"/>
      <c r="FP2090" s="970"/>
      <c r="FQ2090" s="970"/>
      <c r="FR2090" s="970"/>
      <c r="FS2090" s="970"/>
      <c r="FT2090" s="970"/>
      <c r="FU2090" s="970"/>
      <c r="FV2090" s="970"/>
      <c r="FW2090" s="970"/>
      <c r="FX2090" s="970"/>
      <c r="FY2090" s="970"/>
      <c r="FZ2090" s="970"/>
      <c r="GA2090" s="970"/>
      <c r="GB2090" s="970"/>
      <c r="GC2090" s="970"/>
      <c r="GD2090" s="970"/>
      <c r="GE2090" s="970"/>
      <c r="GF2090" s="970"/>
      <c r="GG2090" s="970"/>
      <c r="GH2090" s="970"/>
      <c r="GI2090" s="970"/>
      <c r="GJ2090" s="970"/>
      <c r="GK2090" s="970"/>
      <c r="GL2090" s="970"/>
      <c r="GM2090" s="970"/>
      <c r="GN2090" s="970"/>
      <c r="GO2090" s="970"/>
      <c r="GP2090" s="970"/>
      <c r="GQ2090" s="970"/>
      <c r="GR2090" s="970"/>
      <c r="GS2090" s="970"/>
      <c r="GT2090" s="970"/>
      <c r="GU2090" s="970"/>
      <c r="GV2090" s="970"/>
      <c r="GW2090" s="970"/>
      <c r="GX2090" s="970"/>
      <c r="GY2090" s="970"/>
      <c r="GZ2090" s="970"/>
      <c r="HA2090" s="970"/>
      <c r="HB2090" s="970"/>
      <c r="HC2090" s="970"/>
      <c r="HD2090" s="970"/>
      <c r="HE2090" s="970"/>
      <c r="HF2090" s="970"/>
      <c r="HG2090" s="970"/>
      <c r="HH2090" s="970"/>
      <c r="HI2090" s="970"/>
      <c r="HJ2090" s="970"/>
      <c r="HK2090" s="970"/>
      <c r="HL2090" s="970"/>
      <c r="HM2090" s="970"/>
      <c r="HN2090" s="970"/>
      <c r="HO2090" s="970"/>
      <c r="HP2090" s="970"/>
      <c r="HQ2090" s="970"/>
      <c r="HR2090" s="970"/>
      <c r="HS2090" s="970"/>
      <c r="HT2090" s="970"/>
      <c r="HU2090" s="970"/>
      <c r="HV2090" s="970"/>
      <c r="HW2090" s="970"/>
      <c r="HX2090" s="970"/>
      <c r="HY2090" s="970"/>
      <c r="HZ2090" s="970"/>
      <c r="IA2090" s="970"/>
      <c r="IB2090" s="970"/>
      <c r="IC2090" s="970"/>
      <c r="ID2090" s="970"/>
      <c r="IE2090" s="970"/>
      <c r="IF2090" s="970"/>
      <c r="IG2090" s="970"/>
      <c r="IH2090" s="970"/>
      <c r="II2090" s="970"/>
      <c r="IJ2090" s="970"/>
      <c r="IK2090" s="970"/>
      <c r="IL2090" s="970"/>
      <c r="IM2090" s="970"/>
      <c r="IN2090" s="970"/>
      <c r="IO2090" s="970"/>
    </row>
    <row r="2091" spans="1:251" s="862" customFormat="1" ht="20.25" customHeight="1">
      <c r="A2091" s="2737" t="s">
        <v>64</v>
      </c>
      <c r="B2091" s="2737"/>
      <c r="C2091" s="2741"/>
      <c r="D2091" s="2741"/>
      <c r="E2091" s="2741"/>
      <c r="F2091" s="2741"/>
      <c r="G2091" s="2741"/>
      <c r="H2091" s="2741"/>
      <c r="I2091" s="2741"/>
      <c r="J2091" s="2741"/>
      <c r="K2091" s="2741"/>
      <c r="L2091" s="2741"/>
      <c r="M2091" s="2741"/>
      <c r="N2091" s="2741"/>
      <c r="O2091" s="2741"/>
      <c r="P2091" s="2741"/>
      <c r="Q2091" s="2741"/>
      <c r="R2091" s="2741"/>
      <c r="S2091" s="2741"/>
      <c r="T2091" s="2741"/>
      <c r="U2091" s="2741"/>
      <c r="V2091" s="2741"/>
      <c r="W2091" s="2741"/>
      <c r="X2091" s="2741"/>
      <c r="Y2091" s="2741"/>
      <c r="Z2091" s="2741"/>
      <c r="AA2091" s="2741"/>
      <c r="AB2091" s="2741"/>
      <c r="AC2091" s="1861" t="str">
        <f>IF(AC2090&gt;=91,"ST",IF(AC2090&gt;=76,"T",IF(AC2090&gt;=66,"S",IF(AC2090&gt;=51,"R","SR"))))</f>
        <v>S</v>
      </c>
      <c r="AD2091" s="1861" t="str">
        <f>IF(AD2090&gt;=91,"ST",IF(AD2090&gt;=76,"T",IF(AD2090&gt;=66,"S",IF(AD2090&gt;=51,"R","SR"))))</f>
        <v>S</v>
      </c>
      <c r="AE2091" s="131"/>
      <c r="AF2091" s="200"/>
      <c r="AG2091" s="200"/>
      <c r="AH2091" s="200"/>
      <c r="AI2091" s="200"/>
      <c r="AJ2091" s="200"/>
      <c r="AK2091" s="200"/>
      <c r="AL2091" s="200"/>
      <c r="AM2091" s="200"/>
      <c r="AN2091" s="200"/>
      <c r="AO2091" s="200"/>
      <c r="AP2091" s="200"/>
      <c r="AQ2091" s="200"/>
      <c r="AR2091" s="200"/>
      <c r="AS2091" s="200"/>
      <c r="AT2091" s="200"/>
      <c r="AU2091" s="200"/>
      <c r="AV2091" s="200"/>
      <c r="AW2091" s="200"/>
      <c r="AX2091" s="200"/>
      <c r="AY2091" s="200"/>
      <c r="AZ2091" s="200"/>
      <c r="BA2091" s="200"/>
      <c r="BB2091" s="200"/>
      <c r="BC2091" s="970"/>
      <c r="BD2091" s="970"/>
      <c r="BE2091" s="970"/>
      <c r="BF2091" s="970"/>
      <c r="BG2091" s="970"/>
      <c r="BH2091" s="970"/>
      <c r="BI2091" s="970"/>
      <c r="BJ2091" s="970"/>
      <c r="BK2091" s="970"/>
      <c r="BL2091" s="970"/>
      <c r="BM2091" s="970"/>
      <c r="BN2091" s="970"/>
      <c r="BO2091" s="970"/>
      <c r="BP2091" s="970"/>
      <c r="BQ2091" s="970"/>
      <c r="BR2091" s="970"/>
      <c r="BS2091" s="970"/>
      <c r="BT2091" s="970"/>
      <c r="BU2091" s="970"/>
      <c r="BV2091" s="970"/>
      <c r="BW2091" s="970"/>
      <c r="BX2091" s="970"/>
      <c r="BY2091" s="970"/>
      <c r="BZ2091" s="970"/>
      <c r="CA2091" s="970"/>
      <c r="CB2091" s="970"/>
      <c r="CC2091" s="970"/>
      <c r="CD2091" s="970"/>
      <c r="CE2091" s="970"/>
      <c r="CF2091" s="970"/>
      <c r="CG2091" s="970"/>
      <c r="CH2091" s="970"/>
      <c r="CI2091" s="970"/>
      <c r="CJ2091" s="970"/>
      <c r="CK2091" s="970"/>
      <c r="CL2091" s="970"/>
      <c r="CM2091" s="970"/>
      <c r="CN2091" s="970"/>
      <c r="CO2091" s="970"/>
      <c r="CP2091" s="970"/>
      <c r="CQ2091" s="970"/>
      <c r="CR2091" s="970"/>
      <c r="CS2091" s="970"/>
      <c r="CT2091" s="970"/>
      <c r="CU2091" s="970"/>
      <c r="CV2091" s="970"/>
      <c r="CW2091" s="970"/>
      <c r="CX2091" s="970"/>
      <c r="CY2091" s="970"/>
      <c r="CZ2091" s="970"/>
      <c r="DA2091" s="970"/>
      <c r="DB2091" s="970"/>
      <c r="DC2091" s="970"/>
      <c r="DD2091" s="970"/>
      <c r="DE2091" s="970"/>
      <c r="DF2091" s="970"/>
      <c r="DG2091" s="970"/>
      <c r="DH2091" s="970"/>
      <c r="DI2091" s="970"/>
      <c r="DJ2091" s="970"/>
      <c r="DK2091" s="970"/>
      <c r="DL2091" s="970"/>
      <c r="DM2091" s="970"/>
      <c r="DN2091" s="970"/>
      <c r="DO2091" s="970"/>
      <c r="DP2091" s="970"/>
      <c r="DQ2091" s="970"/>
      <c r="DR2091" s="970"/>
      <c r="DS2091" s="970"/>
      <c r="DT2091" s="970"/>
      <c r="DU2091" s="970"/>
      <c r="DV2091" s="970"/>
      <c r="DW2091" s="970"/>
      <c r="DX2091" s="970"/>
      <c r="DY2091" s="970"/>
      <c r="DZ2091" s="970"/>
      <c r="EA2091" s="970"/>
      <c r="EB2091" s="970"/>
      <c r="EC2091" s="970"/>
      <c r="ED2091" s="970"/>
      <c r="EE2091" s="970"/>
      <c r="EF2091" s="970"/>
      <c r="EG2091" s="970"/>
      <c r="EH2091" s="970"/>
      <c r="EI2091" s="970"/>
      <c r="EJ2091" s="970"/>
      <c r="EK2091" s="970"/>
      <c r="EL2091" s="970"/>
      <c r="EM2091" s="970"/>
      <c r="EN2091" s="970"/>
      <c r="EO2091" s="970"/>
      <c r="EP2091" s="970"/>
      <c r="EQ2091" s="970"/>
      <c r="ER2091" s="970"/>
      <c r="ES2091" s="970"/>
      <c r="ET2091" s="970"/>
      <c r="EU2091" s="970"/>
      <c r="EV2091" s="970"/>
      <c r="EW2091" s="970"/>
      <c r="EX2091" s="970"/>
      <c r="EY2091" s="970"/>
      <c r="EZ2091" s="970"/>
      <c r="FA2091" s="970"/>
      <c r="FB2091" s="970"/>
      <c r="FC2091" s="970"/>
      <c r="FD2091" s="970"/>
      <c r="FE2091" s="970"/>
      <c r="FF2091" s="970"/>
      <c r="FG2091" s="970"/>
      <c r="FH2091" s="970"/>
      <c r="FI2091" s="970"/>
      <c r="FJ2091" s="970"/>
      <c r="FK2091" s="970"/>
      <c r="FL2091" s="970"/>
      <c r="FM2091" s="970"/>
      <c r="FN2091" s="970"/>
      <c r="FO2091" s="970"/>
      <c r="FP2091" s="970"/>
      <c r="FQ2091" s="970"/>
      <c r="FR2091" s="970"/>
      <c r="FS2091" s="970"/>
      <c r="FT2091" s="970"/>
      <c r="FU2091" s="970"/>
      <c r="FV2091" s="970"/>
      <c r="FW2091" s="970"/>
      <c r="FX2091" s="970"/>
      <c r="FY2091" s="970"/>
      <c r="FZ2091" s="970"/>
      <c r="GA2091" s="970"/>
      <c r="GB2091" s="970"/>
      <c r="GC2091" s="970"/>
      <c r="GD2091" s="970"/>
      <c r="GE2091" s="970"/>
      <c r="GF2091" s="970"/>
      <c r="GG2091" s="970"/>
      <c r="GH2091" s="970"/>
      <c r="GI2091" s="970"/>
      <c r="GJ2091" s="970"/>
      <c r="GK2091" s="970"/>
      <c r="GL2091" s="970"/>
      <c r="GM2091" s="970"/>
      <c r="GN2091" s="970"/>
      <c r="GO2091" s="970"/>
      <c r="GP2091" s="970"/>
      <c r="GQ2091" s="970"/>
      <c r="GR2091" s="970"/>
      <c r="GS2091" s="970"/>
      <c r="GT2091" s="970"/>
      <c r="GU2091" s="970"/>
      <c r="GV2091" s="970"/>
      <c r="GW2091" s="970"/>
      <c r="GX2091" s="970"/>
      <c r="GY2091" s="970"/>
      <c r="GZ2091" s="970"/>
      <c r="HA2091" s="970"/>
      <c r="HB2091" s="970"/>
      <c r="HC2091" s="970"/>
      <c r="HD2091" s="970"/>
      <c r="HE2091" s="970"/>
      <c r="HF2091" s="970"/>
      <c r="HG2091" s="970"/>
      <c r="HH2091" s="970"/>
      <c r="HI2091" s="970"/>
      <c r="HJ2091" s="970"/>
      <c r="HK2091" s="970"/>
      <c r="HL2091" s="970"/>
      <c r="HM2091" s="970"/>
      <c r="HN2091" s="970"/>
      <c r="HO2091" s="970"/>
      <c r="HP2091" s="970"/>
      <c r="HQ2091" s="970"/>
      <c r="HR2091" s="970"/>
      <c r="HS2091" s="970"/>
      <c r="HT2091" s="970"/>
      <c r="HU2091" s="970"/>
      <c r="HV2091" s="970"/>
      <c r="HW2091" s="970"/>
      <c r="HX2091" s="970"/>
      <c r="HY2091" s="970"/>
      <c r="HZ2091" s="970"/>
      <c r="IA2091" s="970"/>
      <c r="IB2091" s="970"/>
      <c r="IC2091" s="970"/>
      <c r="ID2091" s="970"/>
      <c r="IE2091" s="970"/>
      <c r="IF2091" s="970"/>
      <c r="IG2091" s="970"/>
      <c r="IH2091" s="970"/>
      <c r="II2091" s="970"/>
      <c r="IJ2091" s="970"/>
      <c r="IK2091" s="970"/>
      <c r="IL2091" s="970"/>
      <c r="IM2091" s="970"/>
      <c r="IN2091" s="970"/>
      <c r="IO2091" s="970"/>
    </row>
    <row r="2092" spans="1:251" ht="24.75" customHeight="1">
      <c r="A2092" s="477"/>
      <c r="B2092" s="906"/>
      <c r="C2092" s="477"/>
      <c r="D2092" s="477"/>
      <c r="E2092" s="477"/>
      <c r="F2092" s="477"/>
      <c r="G2092" s="477"/>
      <c r="H2092" s="477"/>
      <c r="I2092" s="2748" t="s">
        <v>3307</v>
      </c>
      <c r="J2092" s="2749"/>
      <c r="K2092" s="907"/>
      <c r="L2092" s="907"/>
      <c r="M2092" s="907"/>
      <c r="N2092" s="907"/>
      <c r="O2092" s="933"/>
      <c r="P2092" s="477"/>
      <c r="Q2092" s="934"/>
      <c r="R2092" s="906"/>
      <c r="S2092" s="906"/>
      <c r="T2092" s="906"/>
      <c r="U2092" s="906"/>
      <c r="V2092" s="935"/>
      <c r="W2092" s="906"/>
      <c r="X2092" s="906"/>
      <c r="Y2092" s="934"/>
      <c r="Z2092" s="908"/>
      <c r="AA2092" s="907"/>
      <c r="AB2092" s="908"/>
      <c r="AC2092" s="907"/>
      <c r="AD2092" s="907"/>
      <c r="AE2092" s="198"/>
      <c r="AF2092" s="861"/>
      <c r="AG2092" s="861"/>
      <c r="AH2092" s="861"/>
      <c r="AI2092" s="861"/>
      <c r="AJ2092" s="861"/>
      <c r="AK2092" s="861"/>
      <c r="AL2092" s="861"/>
      <c r="AM2092" s="861"/>
      <c r="AN2092" s="861"/>
      <c r="AO2092" s="861"/>
      <c r="AP2092" s="861"/>
      <c r="AQ2092" s="861"/>
      <c r="AR2092" s="861"/>
      <c r="AS2092" s="861"/>
      <c r="AT2092" s="861"/>
      <c r="AU2092" s="861"/>
      <c r="AV2092" s="861"/>
      <c r="AW2092" s="861"/>
      <c r="AX2092" s="861"/>
      <c r="AY2092" s="861"/>
      <c r="AZ2092" s="861"/>
      <c r="BA2092" s="861"/>
      <c r="BB2092" s="861"/>
      <c r="BC2092" s="861"/>
      <c r="BD2092" s="861"/>
      <c r="BE2092" s="861"/>
      <c r="BF2092" s="861"/>
      <c r="BG2092" s="861"/>
      <c r="BH2092" s="861"/>
      <c r="BI2092" s="861"/>
      <c r="BJ2092" s="861"/>
      <c r="BK2092" s="861"/>
      <c r="BL2092" s="861"/>
      <c r="BM2092" s="861"/>
      <c r="BN2092" s="861"/>
      <c r="BO2092" s="861"/>
      <c r="BP2092" s="861"/>
      <c r="BQ2092" s="861"/>
    </row>
    <row r="2093" spans="1:251" s="2131" customFormat="1" ht="27.95" customHeight="1">
      <c r="A2093" s="2132" t="s">
        <v>13</v>
      </c>
      <c r="B2093" s="2133"/>
      <c r="C2093" s="2132"/>
      <c r="D2093" s="2132"/>
      <c r="E2093" s="2132"/>
      <c r="F2093" s="2132"/>
      <c r="G2093" s="2132"/>
      <c r="H2093" s="2132"/>
      <c r="I2093" s="2707" t="s">
        <v>3507</v>
      </c>
      <c r="J2093" s="2708"/>
      <c r="K2093" s="2134"/>
      <c r="L2093" s="2135">
        <f>L2094+L2107+L2112+L2114+L2116+L2119+L2121+L2124+L2126+L2129+L2131+L2135+L2137+L2139+L2145+L2147</f>
        <v>3915986800</v>
      </c>
      <c r="M2093" s="2134"/>
      <c r="N2093" s="2136">
        <f>N2094+N2107+N2112+N2114+N2116+N2119+N2121+N2124+N2126+N2129+N2131+N2135+N2137+N2139+N2145+N2147</f>
        <v>1507513306</v>
      </c>
      <c r="O2093" s="2134"/>
      <c r="P2093" s="2136">
        <f>P2094+P2107+P2112+P2114+P2116+P2119+P2121+P2124+P2126+P2129+P2131+P2135+P2137+P2139+P2145+P2147</f>
        <v>539052780</v>
      </c>
      <c r="Q2093" s="2134"/>
      <c r="R2093" s="2136">
        <f>R2094+R2107+R2112+R2114+R2116+R2119+R2121+R2124+R2126+R2129+R2131+R2135+R2137+R2139+R2145+R2147</f>
        <v>43821184</v>
      </c>
      <c r="S2093" s="2134"/>
      <c r="T2093" s="2136">
        <f>T2094+T2107+T2112+T2114+T2116+T2119+T2121+T2124+T2126+T2129+T2131+T2135+T2137+T2139+T2145+T2147</f>
        <v>203811485</v>
      </c>
      <c r="U2093" s="2134"/>
      <c r="V2093" s="2136">
        <f>V2094+V2107+V2112+V2114+V2116+V2119+V2121+V2124+V2126+V2129+V2131+V2135+V2137+V2139+V2145+V2147</f>
        <v>0</v>
      </c>
      <c r="W2093" s="2134"/>
      <c r="X2093" s="2136">
        <f>X2094+X2107+X2112+X2114+X2116+X2119+X2121+X2124+X2126+X2129+X2131+X2135+X2137+X2139+X2145+X2147</f>
        <v>0</v>
      </c>
      <c r="Y2093" s="2134">
        <v>0</v>
      </c>
      <c r="Z2093" s="2136">
        <f>Z2094+Z2107+Z2112+Z2114+Z2116+Z2119+Z2121+Z2124+Z2126+Z2129+Z2131+Z2135+Z2137+Z2139+Z2145+Z2147</f>
        <v>247632669</v>
      </c>
      <c r="AA2093" s="2134"/>
      <c r="AB2093" s="2136">
        <f>AB2094+AB2107+AB2112+AB2114+AB2116+AB2119+AB2121+AB2124+AB2126+AB2129+AB2131+AB2135+AB2137+AB2139+AB2145+AB2147</f>
        <v>1755145975</v>
      </c>
      <c r="AC2093" s="2134"/>
      <c r="AD2093" s="2134"/>
      <c r="AE2093" s="2137"/>
      <c r="AF2093" s="2138"/>
      <c r="AG2093" s="2138"/>
      <c r="AH2093" s="2138"/>
      <c r="AI2093" s="2138"/>
      <c r="AJ2093" s="2138"/>
      <c r="AK2093" s="2138"/>
      <c r="AL2093" s="2138"/>
      <c r="AM2093" s="2138"/>
      <c r="AN2093" s="2138"/>
      <c r="AO2093" s="2138"/>
      <c r="AP2093" s="2138"/>
      <c r="AQ2093" s="2138"/>
      <c r="AR2093" s="2138"/>
      <c r="AS2093" s="2138"/>
      <c r="AT2093" s="2138"/>
      <c r="AU2093" s="2138"/>
      <c r="AV2093" s="2138"/>
      <c r="AW2093" s="2138"/>
      <c r="AX2093" s="2138"/>
      <c r="AY2093" s="2138"/>
      <c r="AZ2093" s="2138"/>
      <c r="BA2093" s="2138"/>
      <c r="BB2093" s="2138"/>
      <c r="BC2093" s="2138"/>
      <c r="BD2093" s="2138"/>
      <c r="BE2093" s="2138"/>
      <c r="BF2093" s="2138"/>
      <c r="BG2093" s="2138"/>
      <c r="BH2093" s="2138"/>
      <c r="BI2093" s="2138"/>
      <c r="BJ2093" s="2138"/>
      <c r="BK2093" s="2138"/>
      <c r="BL2093" s="2138"/>
      <c r="BM2093" s="2138"/>
      <c r="BN2093" s="2138"/>
      <c r="BO2093" s="2138"/>
      <c r="BP2093" s="2138"/>
      <c r="BQ2093" s="2138"/>
      <c r="BR2093" s="2138"/>
      <c r="BS2093" s="2138"/>
      <c r="BT2093" s="2139"/>
      <c r="BU2093" s="2139"/>
      <c r="BV2093" s="2139"/>
      <c r="BW2093" s="2139"/>
      <c r="BX2093" s="2139"/>
      <c r="BY2093" s="2139"/>
      <c r="BZ2093" s="2139"/>
      <c r="CA2093" s="2139"/>
      <c r="CB2093" s="2139"/>
      <c r="CC2093" s="2139"/>
      <c r="CD2093" s="2139"/>
      <c r="CE2093" s="2139"/>
      <c r="CF2093" s="2139"/>
      <c r="CG2093" s="2139"/>
      <c r="CH2093" s="2139"/>
      <c r="CI2093" s="2139"/>
      <c r="CJ2093" s="2139"/>
      <c r="CK2093" s="2139"/>
      <c r="CL2093" s="2139"/>
      <c r="CM2093" s="2139"/>
      <c r="CN2093" s="2139"/>
      <c r="CO2093" s="2139"/>
      <c r="CP2093" s="2139"/>
      <c r="CQ2093" s="2139"/>
      <c r="CR2093" s="2139"/>
      <c r="CS2093" s="2139"/>
      <c r="CT2093" s="2139"/>
      <c r="CU2093" s="2139"/>
      <c r="CV2093" s="2139"/>
      <c r="CW2093" s="2139"/>
      <c r="CX2093" s="2139"/>
      <c r="CY2093" s="2139"/>
      <c r="CZ2093" s="2139"/>
      <c r="DA2093" s="2139"/>
      <c r="DB2093" s="2139"/>
      <c r="DC2093" s="2139"/>
      <c r="DD2093" s="2139"/>
      <c r="DE2093" s="2139"/>
      <c r="DF2093" s="2139"/>
      <c r="DG2093" s="2139"/>
      <c r="DH2093" s="2139"/>
      <c r="DI2093" s="2139"/>
      <c r="DJ2093" s="2139"/>
      <c r="DK2093" s="2139"/>
      <c r="DL2093" s="2139"/>
      <c r="DM2093" s="2139"/>
      <c r="DN2093" s="2139"/>
      <c r="DO2093" s="2139"/>
      <c r="DP2093" s="2139"/>
      <c r="DQ2093" s="2139"/>
      <c r="DR2093" s="2139"/>
      <c r="DS2093" s="2139"/>
      <c r="DT2093" s="2139"/>
      <c r="DU2093" s="2139"/>
      <c r="DV2093" s="2139"/>
      <c r="DW2093" s="2139"/>
      <c r="DX2093" s="2139"/>
      <c r="DY2093" s="2139"/>
      <c r="DZ2093" s="2139"/>
      <c r="EA2093" s="2139"/>
      <c r="EB2093" s="2139"/>
      <c r="EC2093" s="2139"/>
      <c r="ED2093" s="2139"/>
      <c r="EE2093" s="2139"/>
      <c r="EF2093" s="2139"/>
      <c r="EG2093" s="2139"/>
      <c r="EH2093" s="2139"/>
      <c r="EI2093" s="2139"/>
      <c r="EJ2093" s="2139"/>
      <c r="EK2093" s="2139"/>
      <c r="EL2093" s="2139"/>
      <c r="EM2093" s="2139"/>
      <c r="EN2093" s="2139"/>
      <c r="EO2093" s="2139"/>
      <c r="EP2093" s="2139"/>
      <c r="EQ2093" s="2139"/>
      <c r="ER2093" s="2139"/>
      <c r="ES2093" s="2139"/>
      <c r="ET2093" s="2139"/>
      <c r="EU2093" s="2139"/>
      <c r="EV2093" s="2139"/>
      <c r="EW2093" s="2139"/>
      <c r="EX2093" s="2139"/>
      <c r="EY2093" s="2139"/>
      <c r="EZ2093" s="2139"/>
      <c r="FA2093" s="2139"/>
      <c r="FB2093" s="2139"/>
      <c r="FC2093" s="2139"/>
      <c r="FD2093" s="2139"/>
      <c r="FE2093" s="2139"/>
      <c r="FF2093" s="2139"/>
      <c r="FG2093" s="2139"/>
      <c r="FH2093" s="2139"/>
      <c r="FI2093" s="2139"/>
      <c r="FJ2093" s="2139"/>
      <c r="FK2093" s="2139"/>
      <c r="FL2093" s="2139"/>
      <c r="FM2093" s="2139"/>
      <c r="FN2093" s="2139"/>
      <c r="FO2093" s="2139"/>
      <c r="FP2093" s="2139"/>
      <c r="FQ2093" s="2139"/>
      <c r="FR2093" s="2139"/>
      <c r="FS2093" s="2139"/>
      <c r="FT2093" s="2139"/>
      <c r="FU2093" s="2139"/>
      <c r="FV2093" s="2139"/>
      <c r="FW2093" s="2139"/>
      <c r="FX2093" s="2139"/>
      <c r="FY2093" s="2139"/>
      <c r="FZ2093" s="2139"/>
      <c r="GA2093" s="2139"/>
      <c r="GB2093" s="2139"/>
      <c r="GC2093" s="2139"/>
      <c r="GD2093" s="2139"/>
      <c r="GE2093" s="2139"/>
      <c r="GF2093" s="2139"/>
      <c r="GG2093" s="2139"/>
      <c r="GH2093" s="2139"/>
      <c r="GI2093" s="2139"/>
      <c r="GJ2093" s="2139"/>
      <c r="GK2093" s="2139"/>
      <c r="GL2093" s="2139"/>
      <c r="GM2093" s="2139"/>
      <c r="GN2093" s="2139"/>
      <c r="GO2093" s="2139"/>
      <c r="GP2093" s="2139"/>
      <c r="GQ2093" s="2139"/>
      <c r="GR2093" s="2139"/>
      <c r="GS2093" s="2139"/>
      <c r="GT2093" s="2139"/>
      <c r="GU2093" s="2139"/>
      <c r="GV2093" s="2139"/>
      <c r="GW2093" s="2139"/>
      <c r="GX2093" s="2139"/>
      <c r="GY2093" s="2139"/>
      <c r="GZ2093" s="2139"/>
      <c r="HA2093" s="2139"/>
      <c r="HB2093" s="2139"/>
      <c r="HC2093" s="2139"/>
      <c r="HD2093" s="2139"/>
      <c r="HE2093" s="2139"/>
      <c r="HF2093" s="2139"/>
      <c r="HG2093" s="2139"/>
      <c r="HH2093" s="2139"/>
      <c r="HI2093" s="2139"/>
      <c r="HJ2093" s="2139"/>
      <c r="HK2093" s="2139"/>
      <c r="HL2093" s="2139"/>
      <c r="HM2093" s="2139"/>
      <c r="HN2093" s="2139"/>
      <c r="HO2093" s="2139"/>
      <c r="HP2093" s="2139"/>
      <c r="HQ2093" s="2139"/>
      <c r="HR2093" s="2139"/>
      <c r="HS2093" s="2139"/>
      <c r="HT2093" s="2139"/>
      <c r="HU2093" s="2139"/>
      <c r="HV2093" s="2139"/>
      <c r="HW2093" s="2139"/>
      <c r="HX2093" s="2139"/>
      <c r="HY2093" s="2139"/>
      <c r="HZ2093" s="2139"/>
      <c r="IA2093" s="2139"/>
      <c r="IB2093" s="2139"/>
      <c r="IC2093" s="2139"/>
      <c r="ID2093" s="2139"/>
      <c r="IE2093" s="2139"/>
      <c r="IF2093" s="2139"/>
      <c r="IG2093" s="2139"/>
      <c r="IH2093" s="2139"/>
      <c r="II2093" s="2139"/>
      <c r="IJ2093" s="2139"/>
      <c r="IK2093" s="2139"/>
      <c r="IL2093" s="2139"/>
      <c r="IM2093" s="2139"/>
      <c r="IN2093" s="2139"/>
      <c r="IO2093" s="2139"/>
      <c r="IP2093" s="2139"/>
      <c r="IQ2093" s="2139"/>
    </row>
    <row r="2094" spans="1:251" s="2131" customFormat="1" ht="72" customHeight="1">
      <c r="A2094" s="2140" t="s">
        <v>113</v>
      </c>
      <c r="B2094" s="2141"/>
      <c r="C2094" s="2142">
        <v>5</v>
      </c>
      <c r="D2094" s="2142" t="s">
        <v>34</v>
      </c>
      <c r="E2094" s="2142" t="s">
        <v>25</v>
      </c>
      <c r="F2094" s="2142">
        <v>15</v>
      </c>
      <c r="G2094" s="2142" t="s">
        <v>25</v>
      </c>
      <c r="H2094" s="2140"/>
      <c r="I2094" s="2143" t="s">
        <v>26</v>
      </c>
      <c r="J2094" s="2143" t="s">
        <v>3508</v>
      </c>
      <c r="K2094" s="2144">
        <v>72</v>
      </c>
      <c r="L2094" s="2145">
        <f>SUM(L2095:L2106)</f>
        <v>1351965200</v>
      </c>
      <c r="M2094" s="2144">
        <v>36</v>
      </c>
      <c r="N2094" s="2145">
        <f>SUM(N2095:N2106)</f>
        <v>628281156</v>
      </c>
      <c r="O2094" s="2144">
        <v>12</v>
      </c>
      <c r="P2094" s="2145">
        <f>SUM(P2095:P2106)</f>
        <v>226392780</v>
      </c>
      <c r="Q2094" s="2144">
        <v>3</v>
      </c>
      <c r="R2094" s="2146">
        <f>SUM(R2095:R2106)</f>
        <v>19223684</v>
      </c>
      <c r="S2094" s="2144">
        <v>3</v>
      </c>
      <c r="T2094" s="2146">
        <f>SUM(T2095:T2106)</f>
        <v>86435502</v>
      </c>
      <c r="U2094" s="2144">
        <v>3</v>
      </c>
      <c r="V2094" s="2146">
        <f>SUM(V2095:V2106)</f>
        <v>0</v>
      </c>
      <c r="W2094" s="2144">
        <v>3</v>
      </c>
      <c r="X2094" s="2145">
        <f>SUM(X2095:X2106)</f>
        <v>0</v>
      </c>
      <c r="Y2094" s="2144">
        <f t="shared" ref="Y2094:Z2148" si="632">Q2094+S2094+U2094+W2094</f>
        <v>12</v>
      </c>
      <c r="Z2094" s="2146">
        <f t="shared" si="632"/>
        <v>105659186</v>
      </c>
      <c r="AA2094" s="2144">
        <f t="shared" ref="AA2094:AB2148" si="633">M2094+Y2094</f>
        <v>48</v>
      </c>
      <c r="AB2094" s="2145">
        <f t="shared" si="633"/>
        <v>733940342</v>
      </c>
      <c r="AC2094" s="2147">
        <f t="shared" ref="AC2094:AD2148" si="634">(AA2094/K2094)*100</f>
        <v>66.666666666666657</v>
      </c>
      <c r="AD2094" s="2147">
        <f t="shared" si="634"/>
        <v>54.286925580628854</v>
      </c>
      <c r="AE2094" s="2140" t="s">
        <v>3509</v>
      </c>
      <c r="AF2094" s="2149"/>
      <c r="AG2094" s="2149"/>
      <c r="AH2094" s="2149"/>
      <c r="AI2094" s="2149"/>
      <c r="AJ2094" s="2149"/>
      <c r="AK2094" s="2149"/>
      <c r="AL2094" s="2149"/>
      <c r="AM2094" s="2149"/>
      <c r="AN2094" s="2149"/>
      <c r="AO2094" s="2149"/>
      <c r="AP2094" s="2149"/>
      <c r="AQ2094" s="2149"/>
      <c r="AR2094" s="2149"/>
      <c r="AS2094" s="2149"/>
      <c r="AT2094" s="2149"/>
      <c r="AU2094" s="2149"/>
      <c r="AV2094" s="2149"/>
      <c r="AW2094" s="2149"/>
      <c r="AX2094" s="2149"/>
      <c r="AY2094" s="2149"/>
      <c r="AZ2094" s="2149"/>
      <c r="BA2094" s="2149"/>
      <c r="BB2094" s="2149"/>
      <c r="BC2094" s="2149"/>
      <c r="BD2094" s="2149"/>
      <c r="BE2094" s="2149"/>
      <c r="BF2094" s="2149"/>
      <c r="BG2094" s="2149"/>
      <c r="BH2094" s="2149"/>
      <c r="BI2094" s="2149"/>
      <c r="BJ2094" s="2149"/>
      <c r="BK2094" s="2149"/>
      <c r="BL2094" s="2149"/>
      <c r="BM2094" s="2149"/>
      <c r="BN2094" s="2149"/>
      <c r="BO2094" s="2149"/>
      <c r="BP2094" s="2149"/>
      <c r="BQ2094" s="2149"/>
      <c r="BR2094" s="2149"/>
      <c r="BS2094" s="2149"/>
      <c r="BT2094" s="2149"/>
      <c r="BU2094" s="2149"/>
      <c r="BV2094" s="2149"/>
      <c r="BW2094" s="2149"/>
      <c r="BX2094" s="2149"/>
      <c r="BY2094" s="2149"/>
      <c r="BZ2094" s="2149"/>
      <c r="CA2094" s="2149"/>
      <c r="CB2094" s="2149"/>
      <c r="CC2094" s="2149"/>
      <c r="CD2094" s="2149"/>
      <c r="CE2094" s="2149"/>
      <c r="CF2094" s="2149"/>
      <c r="CG2094" s="2149"/>
      <c r="CH2094" s="2149"/>
      <c r="CI2094" s="2149"/>
      <c r="CJ2094" s="2149"/>
      <c r="CK2094" s="2149"/>
      <c r="CL2094" s="2149"/>
      <c r="CM2094" s="2149"/>
      <c r="CN2094" s="2149"/>
      <c r="CO2094" s="2149"/>
      <c r="CP2094" s="2149"/>
      <c r="CQ2094" s="2149"/>
      <c r="CR2094" s="2149"/>
      <c r="CS2094" s="2149"/>
      <c r="CT2094" s="2149"/>
      <c r="CU2094" s="2149"/>
      <c r="CV2094" s="2149"/>
      <c r="CW2094" s="2149"/>
      <c r="CX2094" s="2149"/>
      <c r="CY2094" s="2149"/>
      <c r="CZ2094" s="2149"/>
      <c r="DA2094" s="2149"/>
      <c r="DB2094" s="2149"/>
      <c r="DC2094" s="2149"/>
      <c r="DD2094" s="2149"/>
      <c r="DE2094" s="2149"/>
      <c r="DF2094" s="2149"/>
      <c r="DG2094" s="2149"/>
      <c r="DH2094" s="2149"/>
      <c r="DI2094" s="2149"/>
      <c r="DJ2094" s="2149"/>
      <c r="DK2094" s="2149"/>
      <c r="DL2094" s="2149"/>
      <c r="DM2094" s="2149"/>
      <c r="DN2094" s="2149"/>
      <c r="DO2094" s="2149"/>
      <c r="DP2094" s="2149"/>
      <c r="DQ2094" s="2149"/>
      <c r="DR2094" s="2149"/>
      <c r="DS2094" s="2149"/>
      <c r="DT2094" s="2149"/>
      <c r="DU2094" s="2149"/>
      <c r="DV2094" s="2149"/>
      <c r="DW2094" s="2149"/>
      <c r="DX2094" s="2149"/>
      <c r="DY2094" s="2149"/>
      <c r="DZ2094" s="2149"/>
      <c r="EA2094" s="2149"/>
      <c r="EB2094" s="2149"/>
      <c r="EC2094" s="2149"/>
      <c r="ED2094" s="2149"/>
      <c r="EE2094" s="2149"/>
      <c r="EF2094" s="2149"/>
      <c r="EG2094" s="2149"/>
      <c r="EH2094" s="2149"/>
      <c r="EI2094" s="2149"/>
      <c r="EJ2094" s="2149"/>
      <c r="EK2094" s="2149"/>
      <c r="EL2094" s="2149"/>
      <c r="EM2094" s="2149"/>
      <c r="EN2094" s="2149"/>
      <c r="EO2094" s="2149"/>
      <c r="EP2094" s="2149"/>
      <c r="EQ2094" s="2149"/>
      <c r="ER2094" s="2149"/>
      <c r="ES2094" s="2149"/>
      <c r="ET2094" s="2149"/>
      <c r="EU2094" s="2149"/>
      <c r="EV2094" s="2149"/>
      <c r="EW2094" s="2149"/>
      <c r="EX2094" s="2149"/>
      <c r="EY2094" s="2149"/>
      <c r="EZ2094" s="2149"/>
      <c r="FA2094" s="2149"/>
      <c r="FB2094" s="2149"/>
      <c r="FC2094" s="2149"/>
      <c r="FD2094" s="2149"/>
      <c r="FE2094" s="2149"/>
      <c r="FF2094" s="2149"/>
      <c r="FG2094" s="2149"/>
      <c r="FH2094" s="2149"/>
      <c r="FI2094" s="2149"/>
      <c r="FJ2094" s="2149"/>
      <c r="FK2094" s="2149"/>
      <c r="FL2094" s="2149"/>
      <c r="FM2094" s="2149"/>
      <c r="FN2094" s="2149"/>
      <c r="FO2094" s="2149"/>
      <c r="FP2094" s="2149"/>
      <c r="FQ2094" s="2149"/>
      <c r="FR2094" s="2149"/>
      <c r="FS2094" s="2149"/>
      <c r="FT2094" s="2149"/>
      <c r="FU2094" s="2149"/>
      <c r="FV2094" s="2149"/>
      <c r="FW2094" s="2149"/>
      <c r="FX2094" s="2149"/>
      <c r="FY2094" s="2149"/>
      <c r="FZ2094" s="2149"/>
      <c r="GA2094" s="2149"/>
      <c r="GB2094" s="2149"/>
      <c r="GC2094" s="2149"/>
      <c r="GD2094" s="2149"/>
      <c r="GE2094" s="2149"/>
      <c r="GF2094" s="2149"/>
      <c r="GG2094" s="2149"/>
      <c r="GH2094" s="2149"/>
      <c r="GI2094" s="2149"/>
      <c r="GJ2094" s="2149"/>
      <c r="GK2094" s="2149"/>
      <c r="GL2094" s="2149"/>
      <c r="GM2094" s="2149"/>
      <c r="GN2094" s="2149"/>
      <c r="GO2094" s="2149"/>
      <c r="GP2094" s="2149"/>
      <c r="GQ2094" s="2149"/>
      <c r="GR2094" s="2149"/>
      <c r="GS2094" s="2149"/>
      <c r="GT2094" s="2149"/>
      <c r="GU2094" s="2149"/>
      <c r="GV2094" s="2149"/>
      <c r="GW2094" s="2149"/>
      <c r="GX2094" s="2149"/>
      <c r="GY2094" s="2149"/>
      <c r="GZ2094" s="2149"/>
      <c r="HA2094" s="2149"/>
      <c r="HB2094" s="2149"/>
      <c r="HC2094" s="2149"/>
      <c r="HD2094" s="2149"/>
      <c r="HE2094" s="2149"/>
      <c r="HF2094" s="2149"/>
      <c r="HG2094" s="2149"/>
      <c r="HH2094" s="2149"/>
      <c r="HI2094" s="2149"/>
      <c r="HJ2094" s="2149"/>
      <c r="HK2094" s="2149"/>
      <c r="HL2094" s="2149"/>
      <c r="HM2094" s="2149"/>
      <c r="HN2094" s="2149"/>
      <c r="HO2094" s="2149"/>
      <c r="HP2094" s="2149"/>
      <c r="HQ2094" s="2149"/>
      <c r="HR2094" s="2149"/>
      <c r="HS2094" s="2149"/>
      <c r="HT2094" s="2149"/>
      <c r="HU2094" s="2149"/>
      <c r="HV2094" s="2149"/>
      <c r="HW2094" s="2149"/>
      <c r="HX2094" s="2149"/>
      <c r="HY2094" s="2149"/>
      <c r="HZ2094" s="2149"/>
      <c r="IA2094" s="2149"/>
      <c r="IB2094" s="2149"/>
      <c r="IC2094" s="2149"/>
      <c r="ID2094" s="2149"/>
      <c r="IE2094" s="2149"/>
      <c r="IF2094" s="2149"/>
      <c r="IG2094" s="2149"/>
      <c r="IH2094" s="2149"/>
      <c r="II2094" s="2149"/>
      <c r="IJ2094" s="2149"/>
      <c r="IK2094" s="2149"/>
      <c r="IL2094" s="2149"/>
      <c r="IM2094" s="2149"/>
      <c r="IN2094" s="2149"/>
      <c r="IO2094" s="2149"/>
      <c r="IP2094" s="2149"/>
      <c r="IQ2094" s="2149"/>
    </row>
    <row r="2095" spans="1:251" s="2131" customFormat="1" ht="51.75" customHeight="1">
      <c r="A2095" s="2165"/>
      <c r="B2095" s="2150"/>
      <c r="C2095" s="2151"/>
      <c r="D2095" s="2151"/>
      <c r="E2095" s="2152"/>
      <c r="F2095" s="2151"/>
      <c r="G2095" s="2151"/>
      <c r="H2095" s="2151" t="s">
        <v>25</v>
      </c>
      <c r="I2095" s="2153" t="s">
        <v>3510</v>
      </c>
      <c r="J2095" s="2153" t="s">
        <v>3511</v>
      </c>
      <c r="K2095" s="2154">
        <v>72</v>
      </c>
      <c r="L2095" s="2155">
        <v>9600000</v>
      </c>
      <c r="M2095" s="2156">
        <v>36</v>
      </c>
      <c r="N2095" s="2157">
        <v>5980000</v>
      </c>
      <c r="O2095" s="2154">
        <v>12</v>
      </c>
      <c r="P2095" s="2158">
        <v>4800000</v>
      </c>
      <c r="Q2095" s="2159">
        <v>3</v>
      </c>
      <c r="R2095" s="2155">
        <v>600000</v>
      </c>
      <c r="S2095" s="2154">
        <v>3</v>
      </c>
      <c r="T2095" s="2155">
        <v>3280000</v>
      </c>
      <c r="U2095" s="2154"/>
      <c r="V2095" s="2155"/>
      <c r="W2095" s="2154"/>
      <c r="X2095" s="2155"/>
      <c r="Y2095" s="2154">
        <f t="shared" si="632"/>
        <v>6</v>
      </c>
      <c r="Z2095" s="2155">
        <f t="shared" si="632"/>
        <v>3880000</v>
      </c>
      <c r="AA2095" s="2154">
        <f t="shared" si="633"/>
        <v>42</v>
      </c>
      <c r="AB2095" s="2155">
        <f t="shared" si="633"/>
        <v>9860000</v>
      </c>
      <c r="AC2095" s="2160">
        <f t="shared" si="634"/>
        <v>58.333333333333336</v>
      </c>
      <c r="AD2095" s="2160">
        <f t="shared" si="634"/>
        <v>102.70833333333333</v>
      </c>
      <c r="AE2095" s="2165"/>
      <c r="AF2095" s="2161"/>
      <c r="AG2095" s="2161"/>
      <c r="AH2095" s="2161"/>
      <c r="AI2095" s="2161"/>
      <c r="AJ2095" s="2161"/>
      <c r="AK2095" s="2161"/>
      <c r="AL2095" s="2161"/>
      <c r="AM2095" s="2161"/>
      <c r="AN2095" s="2161"/>
      <c r="AO2095" s="2161"/>
      <c r="AP2095" s="2161"/>
      <c r="AQ2095" s="2161"/>
      <c r="AR2095" s="2161"/>
      <c r="AS2095" s="2161"/>
      <c r="AT2095" s="2161"/>
      <c r="AU2095" s="2161"/>
      <c r="AV2095" s="2161"/>
      <c r="AW2095" s="2161"/>
      <c r="AX2095" s="2161"/>
      <c r="AY2095" s="2161"/>
      <c r="AZ2095" s="2161"/>
      <c r="BA2095" s="2161"/>
      <c r="BB2095" s="2161"/>
      <c r="BC2095" s="2161"/>
      <c r="BD2095" s="2161"/>
      <c r="BE2095" s="2161"/>
      <c r="BF2095" s="2161"/>
      <c r="BG2095" s="2161"/>
      <c r="BH2095" s="2161"/>
      <c r="BI2095" s="2161"/>
      <c r="BJ2095" s="2161"/>
      <c r="BK2095" s="2161"/>
      <c r="BL2095" s="2161"/>
      <c r="BM2095" s="2161"/>
      <c r="BN2095" s="2161"/>
      <c r="BO2095" s="2161"/>
      <c r="BP2095" s="2161"/>
      <c r="BQ2095" s="2161"/>
      <c r="BR2095" s="2161"/>
      <c r="BS2095" s="2161"/>
    </row>
    <row r="2096" spans="1:251" s="2131" customFormat="1" ht="66" customHeight="1">
      <c r="A2096" s="2409"/>
      <c r="B2096" s="2163"/>
      <c r="C2096" s="2151"/>
      <c r="D2096" s="2151"/>
      <c r="E2096" s="2164"/>
      <c r="F2096" s="2151"/>
      <c r="G2096" s="2151"/>
      <c r="H2096" s="2165" t="s">
        <v>3512</v>
      </c>
      <c r="I2096" s="2162" t="s">
        <v>3513</v>
      </c>
      <c r="J2096" s="2162" t="s">
        <v>3514</v>
      </c>
      <c r="K2096" s="2166">
        <v>72</v>
      </c>
      <c r="L2096" s="2167">
        <v>59050000</v>
      </c>
      <c r="M2096" s="2166">
        <v>36</v>
      </c>
      <c r="N2096" s="2167">
        <v>27461556</v>
      </c>
      <c r="O2096" s="2166">
        <v>12</v>
      </c>
      <c r="P2096" s="2167">
        <v>7800000</v>
      </c>
      <c r="Q2096" s="2159">
        <v>3</v>
      </c>
      <c r="R2096" s="2167">
        <v>628184</v>
      </c>
      <c r="S2096" s="2166">
        <v>3</v>
      </c>
      <c r="T2096" s="2155">
        <v>1667252</v>
      </c>
      <c r="U2096" s="2166"/>
      <c r="V2096" s="2155"/>
      <c r="W2096" s="2166"/>
      <c r="X2096" s="2167"/>
      <c r="Y2096" s="2167">
        <f t="shared" si="632"/>
        <v>6</v>
      </c>
      <c r="Z2096" s="2167">
        <f t="shared" si="632"/>
        <v>2295436</v>
      </c>
      <c r="AA2096" s="2167">
        <f t="shared" si="633"/>
        <v>42</v>
      </c>
      <c r="AB2096" s="2167">
        <f t="shared" si="633"/>
        <v>29756992</v>
      </c>
      <c r="AC2096" s="2168">
        <f t="shared" si="634"/>
        <v>58.333333333333336</v>
      </c>
      <c r="AD2096" s="2168">
        <f t="shared" si="634"/>
        <v>50.392873835732431</v>
      </c>
      <c r="AE2096" s="2379"/>
      <c r="AF2096" s="2169"/>
      <c r="AG2096" s="2169"/>
      <c r="AH2096" s="2169"/>
      <c r="AI2096" s="2169"/>
      <c r="AJ2096" s="2169"/>
      <c r="AK2096" s="2169"/>
      <c r="AL2096" s="2169"/>
      <c r="AM2096" s="2169"/>
      <c r="AN2096" s="2169"/>
      <c r="AO2096" s="2169"/>
      <c r="AP2096" s="2169"/>
      <c r="AQ2096" s="2169"/>
      <c r="AR2096" s="2169"/>
      <c r="AS2096" s="2169"/>
      <c r="AT2096" s="2169"/>
      <c r="AU2096" s="2169"/>
      <c r="AV2096" s="2169"/>
      <c r="AW2096" s="2169"/>
      <c r="AX2096" s="2169"/>
      <c r="AY2096" s="2169"/>
      <c r="AZ2096" s="2169"/>
      <c r="BA2096" s="2169"/>
      <c r="BB2096" s="2169"/>
      <c r="BC2096" s="2169"/>
      <c r="BD2096" s="2169"/>
      <c r="BE2096" s="2169"/>
      <c r="BF2096" s="2169"/>
      <c r="BG2096" s="2169"/>
      <c r="BH2096" s="2169"/>
      <c r="BI2096" s="2169"/>
      <c r="BJ2096" s="2169"/>
      <c r="BK2096" s="2169"/>
      <c r="BL2096" s="2169"/>
      <c r="BM2096" s="2169"/>
      <c r="BN2096" s="2169"/>
      <c r="BO2096" s="2169"/>
      <c r="BP2096" s="2169"/>
      <c r="BQ2096" s="2169"/>
      <c r="BR2096" s="2169"/>
      <c r="BS2096" s="2169"/>
      <c r="BT2096" s="2169"/>
      <c r="BU2096" s="2169"/>
      <c r="BV2096" s="2169"/>
      <c r="BW2096" s="2169"/>
      <c r="BX2096" s="2169"/>
      <c r="BY2096" s="2169"/>
      <c r="BZ2096" s="2169"/>
      <c r="CA2096" s="2169"/>
      <c r="CB2096" s="2169"/>
      <c r="CC2096" s="2169"/>
      <c r="CD2096" s="2169"/>
      <c r="CE2096" s="2169"/>
      <c r="CF2096" s="2169"/>
      <c r="CG2096" s="2169"/>
      <c r="CH2096" s="2169"/>
      <c r="CI2096" s="2169"/>
      <c r="CJ2096" s="2169"/>
      <c r="CK2096" s="2169"/>
      <c r="CL2096" s="2169"/>
      <c r="CM2096" s="2169"/>
      <c r="CN2096" s="2169"/>
      <c r="CO2096" s="2169"/>
      <c r="CP2096" s="2169"/>
      <c r="CQ2096" s="2169"/>
      <c r="CR2096" s="2169"/>
      <c r="CS2096" s="2169"/>
      <c r="CT2096" s="2169"/>
      <c r="CU2096" s="2169"/>
      <c r="CV2096" s="2169"/>
      <c r="CW2096" s="2169"/>
      <c r="CX2096" s="2169"/>
      <c r="CY2096" s="2169"/>
      <c r="CZ2096" s="2169"/>
      <c r="DA2096" s="2169"/>
      <c r="DB2096" s="2169"/>
      <c r="DC2096" s="2169"/>
      <c r="DD2096" s="2169"/>
      <c r="DE2096" s="2169"/>
      <c r="DF2096" s="2169"/>
      <c r="DG2096" s="2169"/>
      <c r="DH2096" s="2169"/>
      <c r="DI2096" s="2169"/>
      <c r="DJ2096" s="2169"/>
      <c r="DK2096" s="2169"/>
      <c r="DL2096" s="2169"/>
      <c r="DM2096" s="2169"/>
      <c r="DN2096" s="2169"/>
      <c r="DO2096" s="2169"/>
      <c r="DP2096" s="2169"/>
      <c r="DQ2096" s="2169"/>
      <c r="DR2096" s="2169"/>
      <c r="DS2096" s="2169"/>
      <c r="DT2096" s="2169"/>
      <c r="DU2096" s="2169"/>
      <c r="DV2096" s="2169"/>
      <c r="DW2096" s="2169"/>
      <c r="DX2096" s="2169"/>
      <c r="DY2096" s="2169"/>
      <c r="DZ2096" s="2169"/>
      <c r="EA2096" s="2169"/>
      <c r="EB2096" s="2169"/>
      <c r="EC2096" s="2169"/>
      <c r="ED2096" s="2169"/>
      <c r="EE2096" s="2169"/>
      <c r="EF2096" s="2169"/>
      <c r="EG2096" s="2169"/>
      <c r="EH2096" s="2169"/>
      <c r="EI2096" s="2169"/>
      <c r="EJ2096" s="2169"/>
      <c r="EK2096" s="2169"/>
      <c r="EL2096" s="2169"/>
      <c r="EM2096" s="2169"/>
      <c r="EN2096" s="2169"/>
      <c r="EO2096" s="2169"/>
      <c r="EP2096" s="2169"/>
      <c r="EQ2096" s="2169"/>
      <c r="ER2096" s="2169"/>
      <c r="ES2096" s="2169"/>
      <c r="ET2096" s="2169"/>
      <c r="EU2096" s="2169"/>
      <c r="EV2096" s="2169"/>
      <c r="EW2096" s="2169"/>
      <c r="EX2096" s="2169"/>
      <c r="EY2096" s="2169"/>
      <c r="EZ2096" s="2169"/>
      <c r="FA2096" s="2169"/>
      <c r="FB2096" s="2169"/>
      <c r="FC2096" s="2169"/>
      <c r="FD2096" s="2169"/>
      <c r="FE2096" s="2169"/>
      <c r="FF2096" s="2169"/>
      <c r="FG2096" s="2169"/>
      <c r="FH2096" s="2169"/>
      <c r="FI2096" s="2169"/>
      <c r="FJ2096" s="2169"/>
      <c r="FK2096" s="2169"/>
      <c r="FL2096" s="2169"/>
      <c r="FM2096" s="2169"/>
      <c r="FN2096" s="2169"/>
      <c r="FO2096" s="2169"/>
      <c r="FP2096" s="2169"/>
      <c r="FQ2096" s="2169"/>
      <c r="FR2096" s="2169"/>
      <c r="FS2096" s="2169"/>
      <c r="FT2096" s="2169"/>
      <c r="FU2096" s="2169"/>
      <c r="FV2096" s="2169"/>
      <c r="FW2096" s="2169"/>
      <c r="FX2096" s="2169"/>
      <c r="FY2096" s="2169"/>
      <c r="FZ2096" s="2169"/>
      <c r="GA2096" s="2169"/>
      <c r="GB2096" s="2169"/>
      <c r="GC2096" s="2169"/>
      <c r="GD2096" s="2169"/>
      <c r="GE2096" s="2169"/>
      <c r="GF2096" s="2169"/>
      <c r="GG2096" s="2169"/>
      <c r="GH2096" s="2169"/>
      <c r="GI2096" s="2169"/>
      <c r="GJ2096" s="2169"/>
      <c r="GK2096" s="2169"/>
      <c r="GL2096" s="2169"/>
      <c r="GM2096" s="2169"/>
      <c r="GN2096" s="2169"/>
      <c r="GO2096" s="2169"/>
      <c r="GP2096" s="2169"/>
      <c r="GQ2096" s="2169"/>
      <c r="GR2096" s="2169"/>
      <c r="GS2096" s="2169"/>
      <c r="GT2096" s="2169"/>
      <c r="GU2096" s="2169"/>
      <c r="GV2096" s="2169"/>
      <c r="GW2096" s="2169"/>
      <c r="GX2096" s="2169"/>
      <c r="GY2096" s="2169"/>
      <c r="GZ2096" s="2169"/>
      <c r="HA2096" s="2169"/>
      <c r="HB2096" s="2169"/>
      <c r="HC2096" s="2169"/>
      <c r="HD2096" s="2169"/>
      <c r="HE2096" s="2169"/>
      <c r="HF2096" s="2169"/>
      <c r="HG2096" s="2169"/>
      <c r="HH2096" s="2169"/>
      <c r="HI2096" s="2169"/>
      <c r="HJ2096" s="2169"/>
      <c r="HK2096" s="2169"/>
      <c r="HL2096" s="2169"/>
      <c r="HM2096" s="2169"/>
      <c r="HN2096" s="2169"/>
      <c r="HO2096" s="2169"/>
      <c r="HP2096" s="2169"/>
      <c r="HQ2096" s="2169"/>
      <c r="HR2096" s="2169"/>
      <c r="HS2096" s="2169"/>
      <c r="HT2096" s="2169"/>
      <c r="HU2096" s="2169"/>
      <c r="HV2096" s="2169"/>
      <c r="HW2096" s="2169"/>
      <c r="HX2096" s="2169"/>
      <c r="HY2096" s="2169"/>
      <c r="HZ2096" s="2169"/>
      <c r="IA2096" s="2169"/>
      <c r="IB2096" s="2169"/>
      <c r="IC2096" s="2169"/>
      <c r="ID2096" s="2169"/>
      <c r="IE2096" s="2169"/>
      <c r="IF2096" s="2169"/>
      <c r="IG2096" s="2169"/>
      <c r="IH2096" s="2169"/>
      <c r="II2096" s="2169"/>
      <c r="IJ2096" s="2169"/>
      <c r="IK2096" s="2169"/>
      <c r="IL2096" s="2169"/>
      <c r="IM2096" s="2169"/>
      <c r="IN2096" s="2169"/>
      <c r="IO2096" s="2169"/>
      <c r="IP2096" s="2169"/>
      <c r="IQ2096" s="2169"/>
    </row>
    <row r="2097" spans="1:71" s="2131" customFormat="1" ht="76.5">
      <c r="A2097" s="2379"/>
      <c r="B2097" s="2162"/>
      <c r="C2097" s="2151"/>
      <c r="D2097" s="2151"/>
      <c r="E2097" s="2164"/>
      <c r="F2097" s="2151"/>
      <c r="G2097" s="2151"/>
      <c r="H2097" s="2151" t="s">
        <v>29</v>
      </c>
      <c r="I2097" s="2162" t="s">
        <v>102</v>
      </c>
      <c r="J2097" s="2162" t="s">
        <v>3515</v>
      </c>
      <c r="K2097" s="2166">
        <v>72</v>
      </c>
      <c r="L2097" s="2167">
        <v>184900000</v>
      </c>
      <c r="M2097" s="2166">
        <v>36</v>
      </c>
      <c r="N2097" s="2167">
        <v>90900000</v>
      </c>
      <c r="O2097" s="2166">
        <v>12</v>
      </c>
      <c r="P2097" s="2167">
        <v>39900000</v>
      </c>
      <c r="Q2097" s="2159">
        <v>3</v>
      </c>
      <c r="R2097" s="2167">
        <v>3250000</v>
      </c>
      <c r="S2097" s="2166">
        <v>3</v>
      </c>
      <c r="T2097" s="2155">
        <v>16250000</v>
      </c>
      <c r="U2097" s="2166"/>
      <c r="V2097" s="2155"/>
      <c r="W2097" s="2166"/>
      <c r="X2097" s="2167"/>
      <c r="Y2097" s="2166">
        <f t="shared" si="632"/>
        <v>6</v>
      </c>
      <c r="Z2097" s="2167">
        <f t="shared" si="632"/>
        <v>19500000</v>
      </c>
      <c r="AA2097" s="2166">
        <f t="shared" si="633"/>
        <v>42</v>
      </c>
      <c r="AB2097" s="2167">
        <f t="shared" si="633"/>
        <v>110400000</v>
      </c>
      <c r="AC2097" s="2170">
        <f t="shared" si="634"/>
        <v>58.333333333333336</v>
      </c>
      <c r="AD2097" s="2170">
        <f t="shared" si="634"/>
        <v>59.707950243374796</v>
      </c>
      <c r="AE2097" s="2379"/>
      <c r="AF2097" s="2161"/>
      <c r="AG2097" s="2161"/>
      <c r="AH2097" s="2161"/>
      <c r="AI2097" s="2161"/>
      <c r="AJ2097" s="2161"/>
      <c r="AK2097" s="2161"/>
      <c r="AL2097" s="2161"/>
      <c r="AM2097" s="2161"/>
      <c r="AN2097" s="2161"/>
      <c r="AO2097" s="2161"/>
      <c r="AP2097" s="2161"/>
      <c r="AQ2097" s="2161"/>
      <c r="AR2097" s="2161"/>
      <c r="AS2097" s="2161"/>
      <c r="AT2097" s="2161"/>
      <c r="AU2097" s="2161"/>
      <c r="AV2097" s="2161"/>
      <c r="AW2097" s="2161"/>
      <c r="AX2097" s="2161"/>
      <c r="AY2097" s="2161"/>
      <c r="AZ2097" s="2161"/>
      <c r="BA2097" s="2161"/>
      <c r="BB2097" s="2161"/>
      <c r="BC2097" s="2161"/>
      <c r="BD2097" s="2161"/>
      <c r="BE2097" s="2161"/>
      <c r="BF2097" s="2161"/>
      <c r="BG2097" s="2161"/>
      <c r="BH2097" s="2161"/>
      <c r="BI2097" s="2161"/>
      <c r="BJ2097" s="2161"/>
      <c r="BK2097" s="2161"/>
      <c r="BL2097" s="2161"/>
      <c r="BM2097" s="2161"/>
      <c r="BN2097" s="2161"/>
      <c r="BO2097" s="2161"/>
      <c r="BP2097" s="2161"/>
      <c r="BQ2097" s="2161"/>
      <c r="BR2097" s="2161"/>
      <c r="BS2097" s="2161"/>
    </row>
    <row r="2098" spans="1:71" s="2131" customFormat="1" ht="38.25">
      <c r="A2098" s="2379"/>
      <c r="B2098" s="2163"/>
      <c r="C2098" s="2151"/>
      <c r="D2098" s="2151"/>
      <c r="E2098" s="2164"/>
      <c r="F2098" s="2151"/>
      <c r="G2098" s="2151"/>
      <c r="H2098" s="2151" t="s">
        <v>30</v>
      </c>
      <c r="I2098" s="2162" t="s">
        <v>110</v>
      </c>
      <c r="J2098" s="2162" t="s">
        <v>3516</v>
      </c>
      <c r="K2098" s="2166">
        <v>72</v>
      </c>
      <c r="L2098" s="2167">
        <v>79360100</v>
      </c>
      <c r="M2098" s="2166">
        <v>30</v>
      </c>
      <c r="N2098" s="2167">
        <v>36183500</v>
      </c>
      <c r="O2098" s="2166">
        <v>12</v>
      </c>
      <c r="P2098" s="2167">
        <v>12200600</v>
      </c>
      <c r="Q2098" s="2159">
        <v>3</v>
      </c>
      <c r="R2098" s="2167">
        <v>1350000</v>
      </c>
      <c r="S2098" s="2166">
        <v>3</v>
      </c>
      <c r="T2098" s="2155">
        <v>5193200</v>
      </c>
      <c r="U2098" s="2166"/>
      <c r="V2098" s="2155"/>
      <c r="W2098" s="2166"/>
      <c r="X2098" s="2167"/>
      <c r="Y2098" s="2166">
        <f t="shared" si="632"/>
        <v>6</v>
      </c>
      <c r="Z2098" s="2167">
        <f t="shared" si="632"/>
        <v>6543200</v>
      </c>
      <c r="AA2098" s="2166">
        <f t="shared" si="633"/>
        <v>36</v>
      </c>
      <c r="AB2098" s="2167">
        <f t="shared" si="633"/>
        <v>42726700</v>
      </c>
      <c r="AC2098" s="2170">
        <f t="shared" si="634"/>
        <v>50</v>
      </c>
      <c r="AD2098" s="2170">
        <f t="shared" si="634"/>
        <v>53.839019860106021</v>
      </c>
      <c r="AE2098" s="2379"/>
      <c r="AF2098" s="2161"/>
      <c r="AG2098" s="2161"/>
      <c r="AH2098" s="2161"/>
      <c r="AI2098" s="2161"/>
      <c r="AJ2098" s="2161"/>
      <c r="AK2098" s="2161"/>
      <c r="AL2098" s="2161"/>
      <c r="AM2098" s="2161"/>
      <c r="AN2098" s="2161"/>
      <c r="AO2098" s="2161"/>
      <c r="AP2098" s="2161"/>
      <c r="AQ2098" s="2161"/>
      <c r="AR2098" s="2161"/>
      <c r="AS2098" s="2161"/>
      <c r="AT2098" s="2161"/>
      <c r="AU2098" s="2161"/>
      <c r="AV2098" s="2161"/>
      <c r="AW2098" s="2161"/>
      <c r="AX2098" s="2161"/>
      <c r="AY2098" s="2161"/>
      <c r="AZ2098" s="2161"/>
      <c r="BA2098" s="2161"/>
      <c r="BB2098" s="2161"/>
      <c r="BC2098" s="2161"/>
      <c r="BD2098" s="2161"/>
      <c r="BE2098" s="2161"/>
      <c r="BF2098" s="2161"/>
      <c r="BG2098" s="2161"/>
      <c r="BH2098" s="2161"/>
      <c r="BI2098" s="2161"/>
      <c r="BJ2098" s="2161"/>
      <c r="BK2098" s="2161"/>
      <c r="BL2098" s="2161"/>
      <c r="BM2098" s="2161"/>
      <c r="BN2098" s="2161"/>
      <c r="BO2098" s="2161"/>
      <c r="BP2098" s="2161"/>
      <c r="BQ2098" s="2161"/>
      <c r="BR2098" s="2161"/>
      <c r="BS2098" s="2161"/>
    </row>
    <row r="2099" spans="1:71" s="2131" customFormat="1" ht="25.5">
      <c r="A2099" s="2379"/>
      <c r="B2099" s="2163"/>
      <c r="C2099" s="2151"/>
      <c r="D2099" s="2151"/>
      <c r="E2099" s="2164"/>
      <c r="F2099" s="2151"/>
      <c r="G2099" s="2151"/>
      <c r="H2099" s="2151" t="s">
        <v>31</v>
      </c>
      <c r="I2099" s="2162" t="s">
        <v>163</v>
      </c>
      <c r="J2099" s="2162" t="s">
        <v>3517</v>
      </c>
      <c r="K2099" s="2166">
        <v>250</v>
      </c>
      <c r="L2099" s="2167">
        <v>64539880</v>
      </c>
      <c r="M2099" s="2166">
        <v>30</v>
      </c>
      <c r="N2099" s="2167">
        <v>31796300</v>
      </c>
      <c r="O2099" s="2166">
        <v>12</v>
      </c>
      <c r="P2099" s="2167">
        <v>18441980</v>
      </c>
      <c r="Q2099" s="2159">
        <v>3</v>
      </c>
      <c r="R2099" s="2167">
        <v>1973000</v>
      </c>
      <c r="S2099" s="2166">
        <v>3</v>
      </c>
      <c r="T2099" s="2155">
        <v>10670300</v>
      </c>
      <c r="U2099" s="2166"/>
      <c r="V2099" s="2155"/>
      <c r="W2099" s="2166"/>
      <c r="X2099" s="2167"/>
      <c r="Y2099" s="2166">
        <f t="shared" si="632"/>
        <v>6</v>
      </c>
      <c r="Z2099" s="2167">
        <f t="shared" si="632"/>
        <v>12643300</v>
      </c>
      <c r="AA2099" s="2166">
        <f t="shared" si="633"/>
        <v>36</v>
      </c>
      <c r="AB2099" s="2167">
        <f t="shared" si="633"/>
        <v>44439600</v>
      </c>
      <c r="AC2099" s="2170">
        <f t="shared" si="634"/>
        <v>14.399999999999999</v>
      </c>
      <c r="AD2099" s="2170">
        <f t="shared" si="634"/>
        <v>68.856031340622252</v>
      </c>
      <c r="AE2099" s="2379"/>
      <c r="AF2099" s="2161"/>
      <c r="AG2099" s="2161"/>
      <c r="AH2099" s="2161"/>
      <c r="AI2099" s="2161"/>
      <c r="AJ2099" s="2161"/>
      <c r="AK2099" s="2161"/>
      <c r="AL2099" s="2161"/>
      <c r="AM2099" s="2161"/>
      <c r="AN2099" s="2161"/>
      <c r="AO2099" s="2161"/>
      <c r="AP2099" s="2161"/>
      <c r="AQ2099" s="2161"/>
      <c r="AR2099" s="2161"/>
      <c r="AS2099" s="2161"/>
      <c r="AT2099" s="2161"/>
      <c r="AU2099" s="2161"/>
      <c r="AV2099" s="2161"/>
      <c r="AW2099" s="2161"/>
      <c r="AX2099" s="2161"/>
      <c r="AY2099" s="2161"/>
      <c r="AZ2099" s="2161"/>
      <c r="BA2099" s="2161"/>
      <c r="BB2099" s="2161"/>
      <c r="BC2099" s="2161"/>
      <c r="BD2099" s="2161"/>
      <c r="BE2099" s="2161"/>
      <c r="BF2099" s="2161"/>
      <c r="BG2099" s="2161"/>
      <c r="BH2099" s="2161"/>
      <c r="BI2099" s="2161"/>
      <c r="BJ2099" s="2161"/>
      <c r="BK2099" s="2161"/>
      <c r="BL2099" s="2161"/>
      <c r="BM2099" s="2161"/>
      <c r="BN2099" s="2161"/>
      <c r="BO2099" s="2161"/>
      <c r="BP2099" s="2161"/>
      <c r="BQ2099" s="2161"/>
      <c r="BR2099" s="2161"/>
      <c r="BS2099" s="2161"/>
    </row>
    <row r="2100" spans="1:71" s="2131" customFormat="1" ht="51">
      <c r="A2100" s="2379"/>
      <c r="B2100" s="2163"/>
      <c r="C2100" s="2151"/>
      <c r="D2100" s="2151"/>
      <c r="E2100" s="2164"/>
      <c r="F2100" s="2151"/>
      <c r="G2100" s="2151"/>
      <c r="H2100" s="2151" t="s">
        <v>62</v>
      </c>
      <c r="I2100" s="2162" t="s">
        <v>3518</v>
      </c>
      <c r="J2100" s="2162" t="s">
        <v>3519</v>
      </c>
      <c r="K2100" s="2166">
        <v>72</v>
      </c>
      <c r="L2100" s="2167">
        <v>104658600</v>
      </c>
      <c r="M2100" s="2166">
        <v>36</v>
      </c>
      <c r="N2100" s="2167">
        <v>39700000</v>
      </c>
      <c r="O2100" s="2166">
        <v>12</v>
      </c>
      <c r="P2100" s="2167">
        <v>18655200</v>
      </c>
      <c r="Q2100" s="2159">
        <v>3</v>
      </c>
      <c r="R2100" s="2167">
        <v>2000000</v>
      </c>
      <c r="S2100" s="2166">
        <v>3</v>
      </c>
      <c r="T2100" s="2155">
        <v>7053000</v>
      </c>
      <c r="U2100" s="2166"/>
      <c r="V2100" s="2155"/>
      <c r="W2100" s="2166"/>
      <c r="X2100" s="2167"/>
      <c r="Y2100" s="2166">
        <f t="shared" si="632"/>
        <v>6</v>
      </c>
      <c r="Z2100" s="2167">
        <f t="shared" si="632"/>
        <v>9053000</v>
      </c>
      <c r="AA2100" s="2166">
        <f t="shared" si="633"/>
        <v>42</v>
      </c>
      <c r="AB2100" s="2167">
        <f t="shared" si="633"/>
        <v>48753000</v>
      </c>
      <c r="AC2100" s="2170">
        <f t="shared" si="634"/>
        <v>58.333333333333336</v>
      </c>
      <c r="AD2100" s="2170">
        <f t="shared" si="634"/>
        <v>46.582889509318868</v>
      </c>
      <c r="AE2100" s="2379"/>
      <c r="AF2100" s="2161"/>
      <c r="AG2100" s="2161"/>
      <c r="AH2100" s="2161"/>
      <c r="AI2100" s="2161"/>
      <c r="AJ2100" s="2161"/>
      <c r="AK2100" s="2161"/>
      <c r="AL2100" s="2161"/>
      <c r="AM2100" s="2161"/>
      <c r="AN2100" s="2161"/>
      <c r="AO2100" s="2161"/>
      <c r="AP2100" s="2161"/>
      <c r="AQ2100" s="2161"/>
      <c r="AR2100" s="2161"/>
      <c r="AS2100" s="2161"/>
      <c r="AT2100" s="2161"/>
      <c r="AU2100" s="2161"/>
      <c r="AV2100" s="2161"/>
      <c r="AW2100" s="2161"/>
      <c r="AX2100" s="2161"/>
      <c r="AY2100" s="2161"/>
      <c r="AZ2100" s="2161"/>
      <c r="BA2100" s="2161"/>
      <c r="BB2100" s="2161"/>
      <c r="BC2100" s="2161"/>
      <c r="BD2100" s="2161"/>
      <c r="BE2100" s="2161"/>
      <c r="BF2100" s="2161"/>
      <c r="BG2100" s="2161"/>
      <c r="BH2100" s="2161"/>
      <c r="BI2100" s="2161"/>
      <c r="BJ2100" s="2161"/>
      <c r="BK2100" s="2161"/>
      <c r="BL2100" s="2161"/>
      <c r="BM2100" s="2161"/>
      <c r="BN2100" s="2161"/>
      <c r="BO2100" s="2161"/>
      <c r="BP2100" s="2161"/>
      <c r="BQ2100" s="2161"/>
      <c r="BR2100" s="2161"/>
      <c r="BS2100" s="2161"/>
    </row>
    <row r="2101" spans="1:71" s="2131" customFormat="1" ht="51">
      <c r="A2101" s="2379"/>
      <c r="B2101" s="2163"/>
      <c r="C2101" s="2151"/>
      <c r="D2101" s="2151"/>
      <c r="E2101" s="2164"/>
      <c r="F2101" s="2151"/>
      <c r="G2101" s="2151"/>
      <c r="H2101" s="2151" t="s">
        <v>52</v>
      </c>
      <c r="I2101" s="2162" t="s">
        <v>3520</v>
      </c>
      <c r="J2101" s="2162" t="s">
        <v>3521</v>
      </c>
      <c r="K2101" s="2166">
        <v>70</v>
      </c>
      <c r="L2101" s="2167">
        <v>16000000</v>
      </c>
      <c r="M2101" s="2166">
        <v>30</v>
      </c>
      <c r="N2101" s="2167">
        <v>7500000</v>
      </c>
      <c r="O2101" s="2166">
        <v>12</v>
      </c>
      <c r="P2101" s="2167">
        <v>1940000</v>
      </c>
      <c r="Q2101" s="2159">
        <v>3</v>
      </c>
      <c r="R2101" s="2167"/>
      <c r="S2101" s="2166">
        <v>3</v>
      </c>
      <c r="T2101" s="2155">
        <v>902000</v>
      </c>
      <c r="U2101" s="2166"/>
      <c r="V2101" s="2155"/>
      <c r="W2101" s="2166"/>
      <c r="X2101" s="2167"/>
      <c r="Y2101" s="2166">
        <f t="shared" si="632"/>
        <v>6</v>
      </c>
      <c r="Z2101" s="2167">
        <f t="shared" si="632"/>
        <v>902000</v>
      </c>
      <c r="AA2101" s="2166">
        <f t="shared" si="633"/>
        <v>36</v>
      </c>
      <c r="AB2101" s="2167">
        <f t="shared" si="633"/>
        <v>8402000</v>
      </c>
      <c r="AC2101" s="2170">
        <f t="shared" si="634"/>
        <v>51.428571428571423</v>
      </c>
      <c r="AD2101" s="2170">
        <f t="shared" si="634"/>
        <v>52.512499999999996</v>
      </c>
      <c r="AE2101" s="2379"/>
      <c r="AF2101" s="2161"/>
      <c r="AG2101" s="2161"/>
      <c r="AH2101" s="2161"/>
      <c r="AI2101" s="2161"/>
      <c r="AJ2101" s="2161"/>
      <c r="AK2101" s="2161"/>
      <c r="AL2101" s="2161"/>
      <c r="AM2101" s="2161"/>
      <c r="AN2101" s="2161"/>
      <c r="AO2101" s="2161"/>
      <c r="AP2101" s="2161"/>
      <c r="AQ2101" s="2161"/>
      <c r="AR2101" s="2161"/>
      <c r="AS2101" s="2161"/>
      <c r="AT2101" s="2161"/>
      <c r="AU2101" s="2161"/>
      <c r="AV2101" s="2161"/>
      <c r="AW2101" s="2161"/>
      <c r="AX2101" s="2161"/>
      <c r="AY2101" s="2161"/>
      <c r="AZ2101" s="2161"/>
      <c r="BA2101" s="2161"/>
      <c r="BB2101" s="2161"/>
      <c r="BC2101" s="2161"/>
      <c r="BD2101" s="2161"/>
      <c r="BE2101" s="2161"/>
      <c r="BF2101" s="2161"/>
      <c r="BG2101" s="2161"/>
      <c r="BH2101" s="2161"/>
      <c r="BI2101" s="2161"/>
      <c r="BJ2101" s="2161"/>
      <c r="BK2101" s="2161"/>
      <c r="BL2101" s="2161"/>
      <c r="BM2101" s="2161"/>
      <c r="BN2101" s="2161"/>
      <c r="BO2101" s="2161"/>
      <c r="BP2101" s="2161"/>
      <c r="BQ2101" s="2161"/>
      <c r="BR2101" s="2161"/>
      <c r="BS2101" s="2161"/>
    </row>
    <row r="2102" spans="1:71" s="2131" customFormat="1" ht="76.5">
      <c r="A2102" s="2379"/>
      <c r="B2102" s="2163"/>
      <c r="C2102" s="2151"/>
      <c r="D2102" s="2151"/>
      <c r="E2102" s="2164"/>
      <c r="F2102" s="2151"/>
      <c r="G2102" s="2151"/>
      <c r="H2102" s="2151" t="s">
        <v>45</v>
      </c>
      <c r="I2102" s="2162" t="s">
        <v>229</v>
      </c>
      <c r="J2102" s="2162" t="s">
        <v>3522</v>
      </c>
      <c r="K2102" s="2166">
        <v>72</v>
      </c>
      <c r="L2102" s="2167">
        <v>50269120</v>
      </c>
      <c r="M2102" s="2166">
        <v>30</v>
      </c>
      <c r="N2102" s="2167">
        <v>21660000</v>
      </c>
      <c r="O2102" s="2166">
        <v>12</v>
      </c>
      <c r="P2102" s="2167">
        <v>7980000</v>
      </c>
      <c r="Q2102" s="2159">
        <v>3</v>
      </c>
      <c r="R2102" s="2167">
        <v>580000</v>
      </c>
      <c r="S2102" s="2166">
        <v>3</v>
      </c>
      <c r="T2102" s="2155">
        <v>2950000</v>
      </c>
      <c r="U2102" s="2166"/>
      <c r="V2102" s="2155"/>
      <c r="W2102" s="2166"/>
      <c r="X2102" s="2167"/>
      <c r="Y2102" s="2166">
        <f t="shared" si="632"/>
        <v>6</v>
      </c>
      <c r="Z2102" s="2167">
        <f t="shared" si="632"/>
        <v>3530000</v>
      </c>
      <c r="AA2102" s="2166">
        <f t="shared" si="633"/>
        <v>36</v>
      </c>
      <c r="AB2102" s="2167">
        <f t="shared" si="633"/>
        <v>25190000</v>
      </c>
      <c r="AC2102" s="2170">
        <f t="shared" si="634"/>
        <v>50</v>
      </c>
      <c r="AD2102" s="2170">
        <f t="shared" si="634"/>
        <v>50.110286394510183</v>
      </c>
      <c r="AE2102" s="2379"/>
      <c r="AF2102" s="2161"/>
      <c r="AG2102" s="2161"/>
      <c r="AH2102" s="2161"/>
      <c r="AI2102" s="2161"/>
      <c r="AJ2102" s="2161"/>
      <c r="AK2102" s="2161"/>
      <c r="AL2102" s="2161"/>
      <c r="AM2102" s="2161"/>
      <c r="AN2102" s="2161"/>
      <c r="AO2102" s="2161"/>
      <c r="AP2102" s="2161"/>
      <c r="AQ2102" s="2161"/>
      <c r="AR2102" s="2161"/>
      <c r="AS2102" s="2161"/>
      <c r="AT2102" s="2161"/>
      <c r="AU2102" s="2161"/>
      <c r="AV2102" s="2161"/>
      <c r="AW2102" s="2161"/>
      <c r="AX2102" s="2161"/>
      <c r="AY2102" s="2161"/>
      <c r="AZ2102" s="2161"/>
      <c r="BA2102" s="2161"/>
      <c r="BB2102" s="2161"/>
      <c r="BC2102" s="2161"/>
      <c r="BD2102" s="2161"/>
      <c r="BE2102" s="2161"/>
      <c r="BF2102" s="2161"/>
      <c r="BG2102" s="2161"/>
      <c r="BH2102" s="2161"/>
      <c r="BI2102" s="2161"/>
      <c r="BJ2102" s="2161"/>
      <c r="BK2102" s="2161"/>
      <c r="BL2102" s="2161"/>
      <c r="BM2102" s="2161"/>
      <c r="BN2102" s="2161"/>
      <c r="BO2102" s="2161"/>
      <c r="BP2102" s="2161"/>
      <c r="BQ2102" s="2161"/>
      <c r="BR2102" s="2161"/>
      <c r="BS2102" s="2161"/>
    </row>
    <row r="2103" spans="1:71" s="2131" customFormat="1" ht="63.75">
      <c r="A2103" s="2379"/>
      <c r="B2103" s="2163"/>
      <c r="C2103" s="2151"/>
      <c r="D2103" s="2151"/>
      <c r="E2103" s="2164"/>
      <c r="F2103" s="2151"/>
      <c r="G2103" s="2151"/>
      <c r="H2103" s="2151" t="s">
        <v>74</v>
      </c>
      <c r="I2103" s="2162" t="s">
        <v>167</v>
      </c>
      <c r="J2103" s="2162" t="s">
        <v>3523</v>
      </c>
      <c r="K2103" s="2166">
        <v>72</v>
      </c>
      <c r="L2103" s="2167">
        <v>207277500</v>
      </c>
      <c r="M2103" s="2166">
        <v>36</v>
      </c>
      <c r="N2103" s="2167">
        <v>95145000</v>
      </c>
      <c r="O2103" s="2166">
        <v>12</v>
      </c>
      <c r="P2103" s="2167">
        <v>27775000</v>
      </c>
      <c r="Q2103" s="2159">
        <v>3</v>
      </c>
      <c r="R2103" s="2167">
        <v>3217500</v>
      </c>
      <c r="S2103" s="2166">
        <v>3</v>
      </c>
      <c r="T2103" s="2155">
        <v>15109750</v>
      </c>
      <c r="U2103" s="2166"/>
      <c r="V2103" s="2155"/>
      <c r="W2103" s="2166"/>
      <c r="X2103" s="2167"/>
      <c r="Y2103" s="2166">
        <f t="shared" si="632"/>
        <v>6</v>
      </c>
      <c r="Z2103" s="2167">
        <f t="shared" si="632"/>
        <v>18327250</v>
      </c>
      <c r="AA2103" s="2166">
        <f t="shared" si="633"/>
        <v>42</v>
      </c>
      <c r="AB2103" s="2167">
        <f t="shared" si="633"/>
        <v>113472250</v>
      </c>
      <c r="AC2103" s="2170">
        <f t="shared" si="634"/>
        <v>58.333333333333336</v>
      </c>
      <c r="AD2103" s="2170">
        <f t="shared" si="634"/>
        <v>54.744123216461027</v>
      </c>
      <c r="AE2103" s="2379"/>
    </row>
    <row r="2104" spans="1:71" s="2131" customFormat="1" ht="51">
      <c r="A2104" s="2379"/>
      <c r="B2104" s="2163"/>
      <c r="C2104" s="2151"/>
      <c r="D2104" s="2151"/>
      <c r="E2104" s="2164"/>
      <c r="F2104" s="2151"/>
      <c r="G2104" s="2151"/>
      <c r="H2104" s="2151" t="s">
        <v>44</v>
      </c>
      <c r="I2104" s="2162" t="s">
        <v>3524</v>
      </c>
      <c r="J2104" s="2162" t="s">
        <v>3525</v>
      </c>
      <c r="K2104" s="2166">
        <v>72</v>
      </c>
      <c r="L2104" s="2167">
        <v>170500000</v>
      </c>
      <c r="M2104" s="2166">
        <v>33</v>
      </c>
      <c r="N2104" s="2167">
        <v>88629800</v>
      </c>
      <c r="O2104" s="2166">
        <v>12</v>
      </c>
      <c r="P2104" s="2167">
        <v>9750000</v>
      </c>
      <c r="Q2104" s="2159">
        <v>3</v>
      </c>
      <c r="R2104" s="2167">
        <v>750000</v>
      </c>
      <c r="S2104" s="2166">
        <v>3</v>
      </c>
      <c r="T2104" s="2155">
        <v>1500000</v>
      </c>
      <c r="U2104" s="2166"/>
      <c r="V2104" s="2155"/>
      <c r="W2104" s="2166"/>
      <c r="X2104" s="2167"/>
      <c r="Y2104" s="2166">
        <f t="shared" si="632"/>
        <v>6</v>
      </c>
      <c r="Z2104" s="2167">
        <f t="shared" si="632"/>
        <v>2250000</v>
      </c>
      <c r="AA2104" s="2166">
        <f t="shared" si="633"/>
        <v>39</v>
      </c>
      <c r="AB2104" s="2167">
        <f t="shared" si="633"/>
        <v>90879800</v>
      </c>
      <c r="AC2104" s="2170">
        <f t="shared" si="634"/>
        <v>54.166666666666664</v>
      </c>
      <c r="AD2104" s="2170">
        <f t="shared" si="634"/>
        <v>53.301935483870963</v>
      </c>
      <c r="AE2104" s="2379"/>
    </row>
    <row r="2105" spans="1:71" s="2131" customFormat="1" ht="63.75">
      <c r="A2105" s="2379"/>
      <c r="B2105" s="2163"/>
      <c r="C2105" s="2151"/>
      <c r="D2105" s="2151"/>
      <c r="E2105" s="2164"/>
      <c r="F2105" s="2151"/>
      <c r="G2105" s="2151"/>
      <c r="H2105" s="2151">
        <v>19</v>
      </c>
      <c r="I2105" s="2162" t="s">
        <v>3526</v>
      </c>
      <c r="J2105" s="2162" t="s">
        <v>3527</v>
      </c>
      <c r="K2105" s="2166">
        <v>72</v>
      </c>
      <c r="L2105" s="2167">
        <v>387660000</v>
      </c>
      <c r="M2105" s="2166">
        <v>27</v>
      </c>
      <c r="N2105" s="2167">
        <v>183325000</v>
      </c>
      <c r="O2105" s="2166">
        <v>12</v>
      </c>
      <c r="P2105" s="2167">
        <v>71100000</v>
      </c>
      <c r="Q2105" s="2159">
        <v>3</v>
      </c>
      <c r="R2105" s="2167">
        <v>4325000</v>
      </c>
      <c r="S2105" s="2166">
        <v>3</v>
      </c>
      <c r="T2105" s="2155">
        <v>18510000</v>
      </c>
      <c r="U2105" s="2166"/>
      <c r="V2105" s="2155"/>
      <c r="W2105" s="2166"/>
      <c r="X2105" s="2167"/>
      <c r="Y2105" s="2166">
        <f t="shared" si="632"/>
        <v>6</v>
      </c>
      <c r="Z2105" s="2167">
        <f t="shared" si="632"/>
        <v>22835000</v>
      </c>
      <c r="AA2105" s="2166">
        <f t="shared" si="633"/>
        <v>33</v>
      </c>
      <c r="AB2105" s="2167">
        <f t="shared" si="633"/>
        <v>206160000</v>
      </c>
      <c r="AC2105" s="2170">
        <f t="shared" si="634"/>
        <v>45.833333333333329</v>
      </c>
      <c r="AD2105" s="2170">
        <f t="shared" si="634"/>
        <v>53.180622194706707</v>
      </c>
      <c r="AE2105" s="2379"/>
    </row>
    <row r="2106" spans="1:71" s="2131" customFormat="1" ht="51">
      <c r="A2106" s="2379"/>
      <c r="B2106" s="2163"/>
      <c r="C2106" s="2151"/>
      <c r="D2106" s="2151"/>
      <c r="E2106" s="2164"/>
      <c r="F2106" s="2151"/>
      <c r="G2106" s="2151"/>
      <c r="H2106" s="2151">
        <v>30</v>
      </c>
      <c r="I2106" s="2171" t="s">
        <v>3528</v>
      </c>
      <c r="J2106" s="2171" t="s">
        <v>3529</v>
      </c>
      <c r="K2106" s="2166">
        <v>24</v>
      </c>
      <c r="L2106" s="2167">
        <f>3*P2106</f>
        <v>18150000</v>
      </c>
      <c r="M2106" s="2166">
        <v>0</v>
      </c>
      <c r="N2106" s="2167">
        <v>0</v>
      </c>
      <c r="O2106" s="2166">
        <v>8</v>
      </c>
      <c r="P2106" s="2167">
        <v>6050000</v>
      </c>
      <c r="Q2106" s="2159">
        <v>3</v>
      </c>
      <c r="R2106" s="2167">
        <v>550000</v>
      </c>
      <c r="S2106" s="2166">
        <v>3</v>
      </c>
      <c r="T2106" s="2155">
        <v>3350000</v>
      </c>
      <c r="U2106" s="2166"/>
      <c r="V2106" s="2155"/>
      <c r="W2106" s="2166"/>
      <c r="X2106" s="2167"/>
      <c r="Y2106" s="2166">
        <f t="shared" si="632"/>
        <v>6</v>
      </c>
      <c r="Z2106" s="2167">
        <f t="shared" si="632"/>
        <v>3900000</v>
      </c>
      <c r="AA2106" s="2166">
        <f t="shared" si="633"/>
        <v>6</v>
      </c>
      <c r="AB2106" s="2167">
        <f t="shared" si="633"/>
        <v>3900000</v>
      </c>
      <c r="AC2106" s="2170">
        <f t="shared" si="634"/>
        <v>25</v>
      </c>
      <c r="AD2106" s="2170">
        <f t="shared" si="634"/>
        <v>21.487603305785125</v>
      </c>
      <c r="AE2106" s="2379"/>
    </row>
    <row r="2107" spans="1:71" s="2131" customFormat="1" ht="63.75">
      <c r="A2107" s="2140" t="s">
        <v>114</v>
      </c>
      <c r="B2107" s="2143"/>
      <c r="C2107" s="2142">
        <v>5</v>
      </c>
      <c r="D2107" s="2142" t="s">
        <v>34</v>
      </c>
      <c r="E2107" s="2142" t="s">
        <v>25</v>
      </c>
      <c r="F2107" s="2142" t="s">
        <v>25</v>
      </c>
      <c r="G2107" s="2142" t="s">
        <v>28</v>
      </c>
      <c r="H2107" s="2140"/>
      <c r="I2107" s="2143" t="s">
        <v>3530</v>
      </c>
      <c r="J2107" s="2143" t="s">
        <v>3531</v>
      </c>
      <c r="K2107" s="2144">
        <v>72</v>
      </c>
      <c r="L2107" s="2145">
        <f>SUM(L2108:L2111)</f>
        <v>389731000</v>
      </c>
      <c r="M2107" s="2144">
        <v>33</v>
      </c>
      <c r="N2107" s="2145">
        <f>SUM(N2108:N2111)</f>
        <v>148334050</v>
      </c>
      <c r="O2107" s="2144">
        <v>12</v>
      </c>
      <c r="P2107" s="2145">
        <f>SUM(P2108:P2111)</f>
        <v>79562000</v>
      </c>
      <c r="Q2107" s="2144">
        <v>3</v>
      </c>
      <c r="R2107" s="2146">
        <f>SUM(R2108:R2111)</f>
        <v>3525000</v>
      </c>
      <c r="S2107" s="2144">
        <v>3</v>
      </c>
      <c r="T2107" s="2145">
        <f>SUM(T2108:T2111)</f>
        <v>24556000</v>
      </c>
      <c r="U2107" s="2144"/>
      <c r="V2107" s="2146">
        <f>SUM(V2108:V2111)</f>
        <v>0</v>
      </c>
      <c r="W2107" s="2145"/>
      <c r="X2107" s="2145">
        <f>SUM(X2108:X2111)</f>
        <v>0</v>
      </c>
      <c r="Y2107" s="2144">
        <f t="shared" si="632"/>
        <v>6</v>
      </c>
      <c r="Z2107" s="2146">
        <f t="shared" si="632"/>
        <v>28081000</v>
      </c>
      <c r="AA2107" s="2144">
        <f t="shared" si="633"/>
        <v>39</v>
      </c>
      <c r="AB2107" s="2145">
        <f t="shared" si="633"/>
        <v>176415050</v>
      </c>
      <c r="AC2107" s="2147">
        <f t="shared" si="634"/>
        <v>54.166666666666664</v>
      </c>
      <c r="AD2107" s="2147">
        <f t="shared" si="634"/>
        <v>45.265850035024158</v>
      </c>
      <c r="AE2107" s="2140" t="s">
        <v>3509</v>
      </c>
    </row>
    <row r="2108" spans="1:71" s="2131" customFormat="1" ht="58.5" customHeight="1">
      <c r="A2108" s="2172"/>
      <c r="B2108" s="2173"/>
      <c r="C2108" s="2151"/>
      <c r="D2108" s="2151"/>
      <c r="E2108" s="2164"/>
      <c r="F2108" s="2151"/>
      <c r="G2108" s="2151"/>
      <c r="H2108" s="2151" t="s">
        <v>43</v>
      </c>
      <c r="I2108" s="2174" t="s">
        <v>82</v>
      </c>
      <c r="J2108" s="2174" t="s">
        <v>3532</v>
      </c>
      <c r="K2108" s="2159">
        <v>36</v>
      </c>
      <c r="L2108" s="2175">
        <v>43500000</v>
      </c>
      <c r="M2108" s="2159">
        <v>0</v>
      </c>
      <c r="N2108" s="2175">
        <v>0</v>
      </c>
      <c r="O2108" s="2159">
        <v>12</v>
      </c>
      <c r="P2108" s="2175">
        <v>30500000</v>
      </c>
      <c r="Q2108" s="2159">
        <v>3</v>
      </c>
      <c r="R2108" s="2176">
        <v>0</v>
      </c>
      <c r="S2108" s="2159">
        <v>3</v>
      </c>
      <c r="T2108" s="2159">
        <v>0</v>
      </c>
      <c r="U2108" s="2159"/>
      <c r="V2108" s="2155"/>
      <c r="W2108" s="2175"/>
      <c r="X2108" s="2175"/>
      <c r="Y2108" s="2177">
        <f t="shared" si="632"/>
        <v>6</v>
      </c>
      <c r="Z2108" s="2155">
        <f t="shared" si="632"/>
        <v>0</v>
      </c>
      <c r="AA2108" s="2177">
        <f t="shared" si="633"/>
        <v>6</v>
      </c>
      <c r="AB2108" s="2167">
        <f t="shared" si="633"/>
        <v>0</v>
      </c>
      <c r="AC2108" s="2178">
        <f t="shared" si="634"/>
        <v>16.666666666666664</v>
      </c>
      <c r="AD2108" s="2178">
        <f t="shared" si="634"/>
        <v>0</v>
      </c>
      <c r="AE2108" s="2379"/>
    </row>
    <row r="2109" spans="1:71" s="2131" customFormat="1" ht="51">
      <c r="A2109" s="2172"/>
      <c r="B2109" s="2173"/>
      <c r="C2109" s="2151"/>
      <c r="D2109" s="2151"/>
      <c r="E2109" s="2164"/>
      <c r="F2109" s="2151"/>
      <c r="G2109" s="2151"/>
      <c r="H2109" s="2151" t="s">
        <v>61</v>
      </c>
      <c r="I2109" s="2174" t="s">
        <v>98</v>
      </c>
      <c r="J2109" s="2174" t="s">
        <v>3533</v>
      </c>
      <c r="K2109" s="2159">
        <v>72</v>
      </c>
      <c r="L2109" s="2175">
        <v>43500000</v>
      </c>
      <c r="M2109" s="2159">
        <v>36</v>
      </c>
      <c r="N2109" s="2175">
        <v>25500000</v>
      </c>
      <c r="O2109" s="2159">
        <v>12</v>
      </c>
      <c r="P2109" s="2175">
        <v>12200000</v>
      </c>
      <c r="Q2109" s="2159">
        <v>3</v>
      </c>
      <c r="R2109" s="2176">
        <v>1875000</v>
      </c>
      <c r="S2109" s="2159">
        <v>3</v>
      </c>
      <c r="T2109" s="2175">
        <v>8266000</v>
      </c>
      <c r="U2109" s="2159"/>
      <c r="V2109" s="2155"/>
      <c r="W2109" s="2175"/>
      <c r="X2109" s="2175"/>
      <c r="Y2109" s="2177">
        <f t="shared" si="632"/>
        <v>6</v>
      </c>
      <c r="Z2109" s="2155">
        <f t="shared" si="632"/>
        <v>10141000</v>
      </c>
      <c r="AA2109" s="2177">
        <f t="shared" si="633"/>
        <v>42</v>
      </c>
      <c r="AB2109" s="2167">
        <f t="shared" si="633"/>
        <v>35641000</v>
      </c>
      <c r="AC2109" s="2178">
        <f t="shared" si="634"/>
        <v>58.333333333333336</v>
      </c>
      <c r="AD2109" s="2178">
        <f t="shared" si="634"/>
        <v>81.933333333333337</v>
      </c>
      <c r="AE2109" s="2379"/>
    </row>
    <row r="2110" spans="1:71" s="2131" customFormat="1" ht="51">
      <c r="A2110" s="2172"/>
      <c r="B2110" s="2173"/>
      <c r="C2110" s="2151"/>
      <c r="D2110" s="2151"/>
      <c r="E2110" s="2164"/>
      <c r="F2110" s="2151"/>
      <c r="G2110" s="2151"/>
      <c r="H2110" s="2151" t="s">
        <v>84</v>
      </c>
      <c r="I2110" s="2174" t="s">
        <v>3534</v>
      </c>
      <c r="J2110" s="2174" t="s">
        <v>3535</v>
      </c>
      <c r="K2110" s="2159">
        <v>72</v>
      </c>
      <c r="L2110" s="2175">
        <v>287781000</v>
      </c>
      <c r="M2110" s="2159">
        <v>36</v>
      </c>
      <c r="N2110" s="2175">
        <v>118954050</v>
      </c>
      <c r="O2110" s="2159">
        <v>12</v>
      </c>
      <c r="P2110" s="2175">
        <v>33862000</v>
      </c>
      <c r="Q2110" s="2159">
        <v>3</v>
      </c>
      <c r="R2110" s="2176">
        <v>1650000</v>
      </c>
      <c r="S2110" s="2159">
        <v>3</v>
      </c>
      <c r="T2110" s="2175">
        <v>14790000</v>
      </c>
      <c r="U2110" s="2159"/>
      <c r="V2110" s="2155"/>
      <c r="W2110" s="2175"/>
      <c r="X2110" s="2175"/>
      <c r="Y2110" s="2154">
        <f t="shared" si="632"/>
        <v>6</v>
      </c>
      <c r="Z2110" s="2155">
        <f t="shared" si="632"/>
        <v>16440000</v>
      </c>
      <c r="AA2110" s="2154">
        <f t="shared" si="633"/>
        <v>42</v>
      </c>
      <c r="AB2110" s="2167">
        <f t="shared" si="633"/>
        <v>135394050</v>
      </c>
      <c r="AC2110" s="2160">
        <f t="shared" si="634"/>
        <v>58.333333333333336</v>
      </c>
      <c r="AD2110" s="2160">
        <f t="shared" si="634"/>
        <v>47.047598694840872</v>
      </c>
      <c r="AE2110" s="2379"/>
    </row>
    <row r="2111" spans="1:71" s="2131" customFormat="1" ht="38.25">
      <c r="A2111" s="2172"/>
      <c r="B2111" s="2173"/>
      <c r="C2111" s="2151"/>
      <c r="D2111" s="2151"/>
      <c r="E2111" s="2164"/>
      <c r="F2111" s="2151"/>
      <c r="G2111" s="2151"/>
      <c r="H2111" s="2151" t="s">
        <v>50</v>
      </c>
      <c r="I2111" s="2153" t="s">
        <v>3536</v>
      </c>
      <c r="J2111" s="2174" t="s">
        <v>3537</v>
      </c>
      <c r="K2111" s="2154">
        <v>72</v>
      </c>
      <c r="L2111" s="2155">
        <v>14950000</v>
      </c>
      <c r="M2111" s="2156">
        <v>36</v>
      </c>
      <c r="N2111" s="2175">
        <v>3880000</v>
      </c>
      <c r="O2111" s="2154">
        <v>12</v>
      </c>
      <c r="P2111" s="2158">
        <v>3000000</v>
      </c>
      <c r="Q2111" s="2156">
        <v>3</v>
      </c>
      <c r="R2111" s="2155">
        <v>0</v>
      </c>
      <c r="S2111" s="2154">
        <v>3</v>
      </c>
      <c r="T2111" s="2155">
        <v>1500000</v>
      </c>
      <c r="U2111" s="2154"/>
      <c r="V2111" s="2154"/>
      <c r="W2111" s="2155"/>
      <c r="X2111" s="2155"/>
      <c r="Y2111" s="2154">
        <f t="shared" si="632"/>
        <v>6</v>
      </c>
      <c r="Z2111" s="2155">
        <f t="shared" si="632"/>
        <v>1500000</v>
      </c>
      <c r="AA2111" s="2154">
        <f t="shared" si="633"/>
        <v>42</v>
      </c>
      <c r="AB2111" s="2155">
        <f t="shared" si="633"/>
        <v>5380000</v>
      </c>
      <c r="AC2111" s="2160">
        <f t="shared" si="634"/>
        <v>58.333333333333336</v>
      </c>
      <c r="AD2111" s="2160">
        <f t="shared" si="634"/>
        <v>35.986622073578594</v>
      </c>
      <c r="AE2111" s="2379"/>
    </row>
    <row r="2112" spans="1:71" s="2131" customFormat="1" ht="87" customHeight="1">
      <c r="A2112" s="2140" t="s">
        <v>3538</v>
      </c>
      <c r="B2112" s="2143"/>
      <c r="C2112" s="2142">
        <v>5</v>
      </c>
      <c r="D2112" s="2142" t="s">
        <v>34</v>
      </c>
      <c r="E2112" s="2142" t="s">
        <v>25</v>
      </c>
      <c r="F2112" s="2142" t="s">
        <v>25</v>
      </c>
      <c r="G2112" s="2142">
        <v>15</v>
      </c>
      <c r="H2112" s="2142"/>
      <c r="I2112" s="2143" t="s">
        <v>3539</v>
      </c>
      <c r="J2112" s="2143" t="s">
        <v>3540</v>
      </c>
      <c r="K2112" s="2144">
        <v>80</v>
      </c>
      <c r="L2112" s="2145">
        <f>L2113</f>
        <v>37920000</v>
      </c>
      <c r="M2112" s="2144">
        <v>60</v>
      </c>
      <c r="N2112" s="2145">
        <f>N2113</f>
        <v>0</v>
      </c>
      <c r="O2112" s="2144">
        <v>8</v>
      </c>
      <c r="P2112" s="2145">
        <f>P2113</f>
        <v>12640000</v>
      </c>
      <c r="Q2112" s="2144">
        <v>0</v>
      </c>
      <c r="R2112" s="2146">
        <f>R2113</f>
        <v>0</v>
      </c>
      <c r="S2112" s="2144"/>
      <c r="T2112" s="2145">
        <f>T2113</f>
        <v>3375000</v>
      </c>
      <c r="U2112" s="2144"/>
      <c r="V2112" s="2144">
        <f>V2113</f>
        <v>0</v>
      </c>
      <c r="W2112" s="2145"/>
      <c r="X2112" s="2145">
        <f>X2113</f>
        <v>0</v>
      </c>
      <c r="Y2112" s="2144">
        <f t="shared" si="632"/>
        <v>0</v>
      </c>
      <c r="Z2112" s="2146">
        <f t="shared" si="632"/>
        <v>3375000</v>
      </c>
      <c r="AA2112" s="2144">
        <f t="shared" si="633"/>
        <v>60</v>
      </c>
      <c r="AB2112" s="2145">
        <f t="shared" si="633"/>
        <v>3375000</v>
      </c>
      <c r="AC2112" s="2147">
        <f t="shared" si="634"/>
        <v>75</v>
      </c>
      <c r="AD2112" s="2147">
        <f t="shared" si="634"/>
        <v>8.9003164556962027</v>
      </c>
      <c r="AE2112" s="2140" t="s">
        <v>3509</v>
      </c>
    </row>
    <row r="2113" spans="1:31" s="2131" customFormat="1" ht="47.25" customHeight="1">
      <c r="A2113" s="2179"/>
      <c r="B2113" s="2180"/>
      <c r="C2113" s="2181"/>
      <c r="D2113" s="2181"/>
      <c r="E2113" s="2181"/>
      <c r="F2113" s="2181"/>
      <c r="G2113" s="2181"/>
      <c r="H2113" s="2182">
        <v>15</v>
      </c>
      <c r="I2113" s="2183" t="s">
        <v>3541</v>
      </c>
      <c r="J2113" s="2183" t="s">
        <v>3542</v>
      </c>
      <c r="K2113" s="2184">
        <v>18</v>
      </c>
      <c r="L2113" s="2185">
        <f>3*P2113</f>
        <v>37920000</v>
      </c>
      <c r="M2113" s="2184">
        <v>0</v>
      </c>
      <c r="N2113" s="2186">
        <v>0</v>
      </c>
      <c r="O2113" s="2184">
        <v>6</v>
      </c>
      <c r="P2113" s="2185">
        <v>12640000</v>
      </c>
      <c r="Q2113" s="2184">
        <v>2</v>
      </c>
      <c r="R2113" s="2187">
        <v>0</v>
      </c>
      <c r="S2113" s="2184">
        <v>3</v>
      </c>
      <c r="T2113" s="2185">
        <v>3375000</v>
      </c>
      <c r="U2113" s="2184"/>
      <c r="V2113" s="2184"/>
      <c r="W2113" s="2185"/>
      <c r="X2113" s="2185"/>
      <c r="Y2113" s="2188">
        <f t="shared" si="632"/>
        <v>5</v>
      </c>
      <c r="Z2113" s="2189">
        <f t="shared" si="632"/>
        <v>3375000</v>
      </c>
      <c r="AA2113" s="2188">
        <f t="shared" si="633"/>
        <v>5</v>
      </c>
      <c r="AB2113" s="2189">
        <f t="shared" si="633"/>
        <v>3375000</v>
      </c>
      <c r="AC2113" s="2190">
        <f t="shared" si="634"/>
        <v>27.777777777777779</v>
      </c>
      <c r="AD2113" s="2190">
        <f t="shared" si="634"/>
        <v>8.9003164556962027</v>
      </c>
      <c r="AE2113" s="2581"/>
    </row>
    <row r="2114" spans="1:31" s="2131" customFormat="1" ht="61.5" customHeight="1">
      <c r="A2114" s="2140" t="s">
        <v>3543</v>
      </c>
      <c r="B2114" s="2143"/>
      <c r="C2114" s="2142">
        <v>5</v>
      </c>
      <c r="D2114" s="2142" t="s">
        <v>34</v>
      </c>
      <c r="E2114" s="2142" t="s">
        <v>25</v>
      </c>
      <c r="F2114" s="2142" t="s">
        <v>45</v>
      </c>
      <c r="G2114" s="2142">
        <v>17</v>
      </c>
      <c r="H2114" s="2140"/>
      <c r="I2114" s="2143" t="s">
        <v>3544</v>
      </c>
      <c r="J2114" s="2143" t="s">
        <v>3545</v>
      </c>
      <c r="K2114" s="2144">
        <v>60</v>
      </c>
      <c r="L2114" s="2191">
        <f>SUM(L2115)</f>
        <v>108698000</v>
      </c>
      <c r="M2114" s="2144">
        <v>40</v>
      </c>
      <c r="N2114" s="2145">
        <f>SUM(N2115)</f>
        <v>16000000</v>
      </c>
      <c r="O2114" s="2144">
        <v>20</v>
      </c>
      <c r="P2114" s="2145">
        <f>SUM(P2115)</f>
        <v>15000000</v>
      </c>
      <c r="Q2114" s="2144">
        <v>0</v>
      </c>
      <c r="R2114" s="2146">
        <f>SUM(R2115)</f>
        <v>0</v>
      </c>
      <c r="S2114" s="2144">
        <v>0</v>
      </c>
      <c r="T2114" s="2144">
        <f>SUM(T2115)</f>
        <v>0</v>
      </c>
      <c r="U2114" s="2144"/>
      <c r="V2114" s="2145">
        <f>SUM(V2115)</f>
        <v>0</v>
      </c>
      <c r="W2114" s="2145"/>
      <c r="X2114" s="2145">
        <f>SUM(X2115)</f>
        <v>0</v>
      </c>
      <c r="Y2114" s="2144">
        <f>Q2114+S2114+U2114+W2114</f>
        <v>0</v>
      </c>
      <c r="Z2114" s="2146">
        <f>R2114+T2114+V2114+X2114</f>
        <v>0</v>
      </c>
      <c r="AA2114" s="2144">
        <f>M2114+Y2114</f>
        <v>40</v>
      </c>
      <c r="AB2114" s="2145">
        <f>N2114+Z2114</f>
        <v>16000000</v>
      </c>
      <c r="AC2114" s="2147">
        <f>(AA2114/K2114)*100</f>
        <v>66.666666666666657</v>
      </c>
      <c r="AD2114" s="2147">
        <f>(AB2114/L2114)*100</f>
        <v>14.719682054867613</v>
      </c>
      <c r="AE2114" s="2140" t="s">
        <v>3509</v>
      </c>
    </row>
    <row r="2115" spans="1:31" s="2131" customFormat="1" ht="45.75" customHeight="1">
      <c r="A2115" s="2172"/>
      <c r="B2115" s="2192"/>
      <c r="C2115" s="2151"/>
      <c r="D2115" s="2151"/>
      <c r="E2115" s="2164"/>
      <c r="F2115" s="2151"/>
      <c r="G2115" s="2151"/>
      <c r="H2115" s="2151" t="s">
        <v>56</v>
      </c>
      <c r="I2115" s="2174" t="s">
        <v>2284</v>
      </c>
      <c r="J2115" s="2174" t="s">
        <v>3546</v>
      </c>
      <c r="K2115" s="2159">
        <v>6</v>
      </c>
      <c r="L2115" s="2175">
        <v>108698000</v>
      </c>
      <c r="M2115" s="2159">
        <v>3</v>
      </c>
      <c r="N2115" s="2193">
        <v>16000000</v>
      </c>
      <c r="O2115" s="2159">
        <v>1</v>
      </c>
      <c r="P2115" s="2175">
        <v>15000000</v>
      </c>
      <c r="Q2115" s="2159">
        <v>0</v>
      </c>
      <c r="R2115" s="2176">
        <v>0</v>
      </c>
      <c r="S2115" s="2159">
        <v>0</v>
      </c>
      <c r="T2115" s="2159">
        <v>0</v>
      </c>
      <c r="U2115" s="2159"/>
      <c r="V2115" s="2175"/>
      <c r="W2115" s="2175"/>
      <c r="X2115" s="2175"/>
      <c r="Y2115" s="2154">
        <f>Q2115+S2115+U2115+W2115</f>
        <v>0</v>
      </c>
      <c r="Z2115" s="2155">
        <f>R2115+T2115+V2115+X2115</f>
        <v>0</v>
      </c>
      <c r="AA2115" s="2154">
        <f>M2115+Y2115</f>
        <v>3</v>
      </c>
      <c r="AB2115" s="2155">
        <f>N2115+Z2115</f>
        <v>16000000</v>
      </c>
      <c r="AC2115" s="2160">
        <f>(AA2115/K2115)*100</f>
        <v>50</v>
      </c>
      <c r="AD2115" s="2160">
        <f>(AB2115/L2115)*100</f>
        <v>14.719682054867613</v>
      </c>
      <c r="AE2115" s="2379"/>
    </row>
    <row r="2116" spans="1:31" s="2131" customFormat="1" ht="66" customHeight="1">
      <c r="A2116" s="2140" t="s">
        <v>3547</v>
      </c>
      <c r="B2116" s="2194"/>
      <c r="C2116" s="2142">
        <v>5</v>
      </c>
      <c r="D2116" s="2142" t="s">
        <v>34</v>
      </c>
      <c r="E2116" s="2142" t="s">
        <v>25</v>
      </c>
      <c r="F2116" s="2142" t="s">
        <v>45</v>
      </c>
      <c r="G2116" s="2142" t="s">
        <v>84</v>
      </c>
      <c r="H2116" s="2140"/>
      <c r="I2116" s="2143" t="s">
        <v>3548</v>
      </c>
      <c r="J2116" s="2143" t="s">
        <v>3549</v>
      </c>
      <c r="K2116" s="2144">
        <v>100</v>
      </c>
      <c r="L2116" s="2145">
        <f>SUM(L2117:L2118)</f>
        <v>157890000</v>
      </c>
      <c r="M2116" s="2144">
        <v>75</v>
      </c>
      <c r="N2116" s="2145">
        <f>SUM(N2117:N2118)</f>
        <v>0</v>
      </c>
      <c r="O2116" s="2144">
        <v>15</v>
      </c>
      <c r="P2116" s="2145">
        <f>SUM(P2117:P2118)</f>
        <v>52630000</v>
      </c>
      <c r="Q2116" s="2144">
        <v>4</v>
      </c>
      <c r="R2116" s="2145">
        <f>SUM(R2117:R2118)</f>
        <v>5400000</v>
      </c>
      <c r="S2116" s="2144"/>
      <c r="T2116" s="2145">
        <f>SUM(T2117:T2118)</f>
        <v>28513500</v>
      </c>
      <c r="U2116" s="2195"/>
      <c r="V2116" s="2145">
        <f>SUM(V2117:V2118)</f>
        <v>0</v>
      </c>
      <c r="W2116" s="2144"/>
      <c r="X2116" s="2145">
        <f>SUM(X2117:X2118)</f>
        <v>0</v>
      </c>
      <c r="Y2116" s="2147">
        <f t="shared" ref="Y2116:Z2120" si="635">Q2116+S2116+U2116+W2116</f>
        <v>4</v>
      </c>
      <c r="Z2116" s="2145">
        <f t="shared" si="635"/>
        <v>33913500</v>
      </c>
      <c r="AA2116" s="2147">
        <f t="shared" ref="AA2116:AB2120" si="636">M2116+Y2116</f>
        <v>79</v>
      </c>
      <c r="AB2116" s="2145">
        <f t="shared" si="636"/>
        <v>33913500</v>
      </c>
      <c r="AC2116" s="2147">
        <f t="shared" ref="AC2116:AD2120" si="637">(AA2116/K2116)*100</f>
        <v>79</v>
      </c>
      <c r="AD2116" s="2147">
        <f t="shared" si="637"/>
        <v>21.479194375831277</v>
      </c>
      <c r="AE2116" s="2140" t="s">
        <v>3509</v>
      </c>
    </row>
    <row r="2117" spans="1:31" s="2131" customFormat="1" ht="38.25">
      <c r="A2117" s="2379"/>
      <c r="B2117" s="2162"/>
      <c r="C2117" s="2164">
        <v>5</v>
      </c>
      <c r="D2117" s="2164" t="s">
        <v>34</v>
      </c>
      <c r="E2117" s="2164" t="s">
        <v>25</v>
      </c>
      <c r="F2117" s="2164" t="s">
        <v>45</v>
      </c>
      <c r="G2117" s="2164">
        <v>24</v>
      </c>
      <c r="H2117" s="2164">
        <v>15</v>
      </c>
      <c r="I2117" s="2197" t="s">
        <v>3551</v>
      </c>
      <c r="J2117" s="2198" t="s">
        <v>3552</v>
      </c>
      <c r="K2117" s="2199">
        <v>36</v>
      </c>
      <c r="L2117" s="2200">
        <f>3*P2117</f>
        <v>148875000</v>
      </c>
      <c r="M2117" s="2201">
        <v>0</v>
      </c>
      <c r="N2117" s="2200">
        <v>0</v>
      </c>
      <c r="O2117" s="2166">
        <v>12</v>
      </c>
      <c r="P2117" s="2167">
        <v>49625000</v>
      </c>
      <c r="Q2117" s="2166">
        <v>3</v>
      </c>
      <c r="R2117" s="2167">
        <v>5400000</v>
      </c>
      <c r="S2117" s="2166">
        <v>3</v>
      </c>
      <c r="T2117" s="2167">
        <v>28513500</v>
      </c>
      <c r="U2117" s="2166"/>
      <c r="V2117" s="2202"/>
      <c r="W2117" s="2166"/>
      <c r="X2117" s="2167"/>
      <c r="Y2117" s="2166">
        <f t="shared" si="635"/>
        <v>6</v>
      </c>
      <c r="Z2117" s="2203">
        <f t="shared" si="635"/>
        <v>33913500</v>
      </c>
      <c r="AA2117" s="2166">
        <f t="shared" si="636"/>
        <v>6</v>
      </c>
      <c r="AB2117" s="2203">
        <f t="shared" si="636"/>
        <v>33913500</v>
      </c>
      <c r="AC2117" s="2170">
        <f t="shared" si="637"/>
        <v>16.666666666666664</v>
      </c>
      <c r="AD2117" s="2170">
        <f t="shared" si="637"/>
        <v>22.779848866498739</v>
      </c>
      <c r="AE2117" s="2379"/>
    </row>
    <row r="2118" spans="1:31" s="2131" customFormat="1" ht="38.25">
      <c r="A2118" s="2379"/>
      <c r="B2118" s="2162"/>
      <c r="C2118" s="2164">
        <v>5</v>
      </c>
      <c r="D2118" s="2164" t="s">
        <v>34</v>
      </c>
      <c r="E2118" s="2164" t="s">
        <v>25</v>
      </c>
      <c r="F2118" s="2164" t="s">
        <v>45</v>
      </c>
      <c r="G2118" s="2164">
        <v>24</v>
      </c>
      <c r="H2118" s="2164">
        <v>16</v>
      </c>
      <c r="I2118" s="2198" t="s">
        <v>3553</v>
      </c>
      <c r="J2118" s="2198" t="s">
        <v>3554</v>
      </c>
      <c r="K2118" s="2199">
        <v>36</v>
      </c>
      <c r="L2118" s="2200">
        <f>3*P2118</f>
        <v>9015000</v>
      </c>
      <c r="M2118" s="2201">
        <v>0</v>
      </c>
      <c r="N2118" s="2200">
        <v>0</v>
      </c>
      <c r="O2118" s="2166">
        <v>12</v>
      </c>
      <c r="P2118" s="2167">
        <v>3005000</v>
      </c>
      <c r="Q2118" s="2166">
        <v>3</v>
      </c>
      <c r="R2118" s="2167">
        <v>0</v>
      </c>
      <c r="S2118" s="2166">
        <v>3</v>
      </c>
      <c r="T2118" s="2167">
        <v>0</v>
      </c>
      <c r="U2118" s="2166"/>
      <c r="V2118" s="2202"/>
      <c r="W2118" s="2166"/>
      <c r="X2118" s="2167"/>
      <c r="Y2118" s="2166">
        <f t="shared" si="635"/>
        <v>6</v>
      </c>
      <c r="Z2118" s="2203">
        <f t="shared" si="635"/>
        <v>0</v>
      </c>
      <c r="AA2118" s="2166">
        <f t="shared" si="636"/>
        <v>6</v>
      </c>
      <c r="AB2118" s="2203">
        <f t="shared" si="636"/>
        <v>0</v>
      </c>
      <c r="AC2118" s="2170">
        <f t="shared" si="637"/>
        <v>16.666666666666664</v>
      </c>
      <c r="AD2118" s="2170">
        <f t="shared" si="637"/>
        <v>0</v>
      </c>
      <c r="AE2118" s="2379"/>
    </row>
    <row r="2119" spans="1:31" s="2131" customFormat="1" ht="38.25">
      <c r="A2119" s="2196" t="s">
        <v>3555</v>
      </c>
      <c r="B2119" s="2194"/>
      <c r="C2119" s="2204">
        <v>5</v>
      </c>
      <c r="D2119" s="2205">
        <v>0</v>
      </c>
      <c r="E2119" s="2205">
        <v>1</v>
      </c>
      <c r="F2119" s="2205">
        <v>18</v>
      </c>
      <c r="G2119" s="2205"/>
      <c r="H2119" s="2205"/>
      <c r="I2119" s="2206" t="s">
        <v>3556</v>
      </c>
      <c r="J2119" s="2194" t="s">
        <v>2155</v>
      </c>
      <c r="K2119" s="2207">
        <v>150</v>
      </c>
      <c r="L2119" s="2208">
        <f>SUM(L2120)</f>
        <v>26655000</v>
      </c>
      <c r="M2119" s="2209">
        <v>115</v>
      </c>
      <c r="N2119" s="2208">
        <f>SUM(N2120)</f>
        <v>0</v>
      </c>
      <c r="O2119" s="2207">
        <v>30</v>
      </c>
      <c r="P2119" s="2208">
        <f>SUM(P2120)</f>
        <v>8885000</v>
      </c>
      <c r="Q2119" s="2210">
        <v>3</v>
      </c>
      <c r="R2119" s="2208">
        <f>SUM(R2120)</f>
        <v>1785000</v>
      </c>
      <c r="S2119" s="2211">
        <v>12</v>
      </c>
      <c r="T2119" s="2212">
        <f>SUM(T2120)</f>
        <v>2322500</v>
      </c>
      <c r="U2119" s="2210"/>
      <c r="V2119" s="2212">
        <f>SUM(V2120)</f>
        <v>0</v>
      </c>
      <c r="W2119" s="2210"/>
      <c r="X2119" s="2212">
        <f>SUM(X2120)</f>
        <v>0</v>
      </c>
      <c r="Y2119" s="2210">
        <f t="shared" si="635"/>
        <v>15</v>
      </c>
      <c r="Z2119" s="2213">
        <f t="shared" si="635"/>
        <v>4107500</v>
      </c>
      <c r="AA2119" s="2210">
        <f t="shared" si="636"/>
        <v>130</v>
      </c>
      <c r="AB2119" s="2213">
        <f t="shared" si="636"/>
        <v>4107500</v>
      </c>
      <c r="AC2119" s="2214">
        <f t="shared" si="637"/>
        <v>86.666666666666671</v>
      </c>
      <c r="AD2119" s="2214">
        <f t="shared" si="637"/>
        <v>15.40986681673232</v>
      </c>
      <c r="AE2119" s="2140" t="s">
        <v>3509</v>
      </c>
    </row>
    <row r="2120" spans="1:31" s="2131" customFormat="1" ht="38.25">
      <c r="A2120" s="2215">
        <v>1</v>
      </c>
      <c r="B2120" s="2198"/>
      <c r="C2120" s="2216">
        <v>5</v>
      </c>
      <c r="D2120" s="2217">
        <v>0</v>
      </c>
      <c r="E2120" s="2217">
        <v>1</v>
      </c>
      <c r="F2120" s="2217">
        <v>18</v>
      </c>
      <c r="G2120" s="2217"/>
      <c r="H2120" s="2217">
        <v>25</v>
      </c>
      <c r="I2120" s="2218" t="s">
        <v>3557</v>
      </c>
      <c r="J2120" s="2198" t="s">
        <v>3558</v>
      </c>
      <c r="K2120" s="2199">
        <v>36</v>
      </c>
      <c r="L2120" s="2200">
        <f>3*P2120</f>
        <v>26655000</v>
      </c>
      <c r="M2120" s="2201">
        <v>0</v>
      </c>
      <c r="N2120" s="2200"/>
      <c r="O2120" s="2199">
        <v>12</v>
      </c>
      <c r="P2120" s="2200">
        <v>8885000</v>
      </c>
      <c r="Q2120" s="2219">
        <v>3</v>
      </c>
      <c r="R2120" s="2200">
        <v>1785000</v>
      </c>
      <c r="S2120" s="2219">
        <v>3</v>
      </c>
      <c r="T2120" s="2220">
        <f>4107500-1785000</f>
        <v>2322500</v>
      </c>
      <c r="U2120" s="2221"/>
      <c r="V2120" s="2220"/>
      <c r="W2120" s="2219"/>
      <c r="X2120" s="2222"/>
      <c r="Y2120" s="2219">
        <f t="shared" si="635"/>
        <v>6</v>
      </c>
      <c r="Z2120" s="2223">
        <f t="shared" si="635"/>
        <v>4107500</v>
      </c>
      <c r="AA2120" s="2219">
        <f t="shared" si="636"/>
        <v>6</v>
      </c>
      <c r="AB2120" s="2224">
        <f t="shared" si="636"/>
        <v>4107500</v>
      </c>
      <c r="AC2120" s="2225">
        <f t="shared" si="637"/>
        <v>16.666666666666664</v>
      </c>
      <c r="AD2120" s="2225">
        <f t="shared" si="637"/>
        <v>15.40986681673232</v>
      </c>
      <c r="AE2120" s="2215"/>
    </row>
    <row r="2121" spans="1:31" s="2131" customFormat="1" ht="71.25" customHeight="1">
      <c r="A2121" s="2140" t="s">
        <v>3559</v>
      </c>
      <c r="B2121" s="2143"/>
      <c r="C2121" s="2142">
        <v>5</v>
      </c>
      <c r="D2121" s="2142" t="s">
        <v>34</v>
      </c>
      <c r="E2121" s="2142" t="s">
        <v>25</v>
      </c>
      <c r="F2121" s="2142" t="s">
        <v>25</v>
      </c>
      <c r="G2121" s="2142" t="s">
        <v>56</v>
      </c>
      <c r="H2121" s="2142"/>
      <c r="I2121" s="2143" t="s">
        <v>3560</v>
      </c>
      <c r="J2121" s="2143" t="s">
        <v>3561</v>
      </c>
      <c r="K2121" s="2144" t="s">
        <v>113</v>
      </c>
      <c r="L2121" s="2145">
        <f>SUM(L2122:L2123)</f>
        <v>70000000</v>
      </c>
      <c r="M2121" s="2144" t="s">
        <v>3538</v>
      </c>
      <c r="N2121" s="2145">
        <f>SUM(N2122:N2123)</f>
        <v>27500000</v>
      </c>
      <c r="O2121" s="2144" t="s">
        <v>114</v>
      </c>
      <c r="P2121" s="2145">
        <f>SUM(P2122:P2123)</f>
        <v>0</v>
      </c>
      <c r="Q2121" s="2144"/>
      <c r="R2121" s="2146">
        <f>SUM(R2122:R2123)</f>
        <v>0</v>
      </c>
      <c r="S2121" s="2144"/>
      <c r="T2121" s="2144">
        <f>SUM(T2122:T2123)</f>
        <v>0</v>
      </c>
      <c r="U2121" s="2144"/>
      <c r="V2121" s="2144">
        <f>SUM(V2122:V2123)</f>
        <v>0</v>
      </c>
      <c r="W2121" s="2145"/>
      <c r="X2121" s="2145">
        <f>SUM(X2122:X2123)</f>
        <v>0</v>
      </c>
      <c r="Y2121" s="2144">
        <f t="shared" si="632"/>
        <v>0</v>
      </c>
      <c r="Z2121" s="2146">
        <f t="shared" si="632"/>
        <v>0</v>
      </c>
      <c r="AA2121" s="2144">
        <v>96</v>
      </c>
      <c r="AB2121" s="2145">
        <f t="shared" si="633"/>
        <v>27500000</v>
      </c>
      <c r="AC2121" s="2147">
        <v>96</v>
      </c>
      <c r="AD2121" s="2147">
        <f t="shared" si="634"/>
        <v>39.285714285714285</v>
      </c>
      <c r="AE2121" s="2140" t="s">
        <v>3509</v>
      </c>
    </row>
    <row r="2122" spans="1:31" s="2131" customFormat="1" ht="63.75">
      <c r="A2122" s="2179"/>
      <c r="B2122" s="2180"/>
      <c r="C2122" s="2181"/>
      <c r="D2122" s="2181"/>
      <c r="E2122" s="2181"/>
      <c r="F2122" s="2181"/>
      <c r="G2122" s="2181"/>
      <c r="H2122" s="2182" t="s">
        <v>25</v>
      </c>
      <c r="I2122" s="2183" t="s">
        <v>3562</v>
      </c>
      <c r="J2122" s="2183" t="s">
        <v>3563</v>
      </c>
      <c r="K2122" s="2184">
        <v>36</v>
      </c>
      <c r="L2122" s="2185">
        <v>35000000</v>
      </c>
      <c r="M2122" s="2184">
        <v>18</v>
      </c>
      <c r="N2122" s="2186">
        <v>12000000</v>
      </c>
      <c r="O2122" s="2184">
        <v>6</v>
      </c>
      <c r="P2122" s="2185"/>
      <c r="Q2122" s="2184">
        <v>2</v>
      </c>
      <c r="R2122" s="2187">
        <v>0</v>
      </c>
      <c r="S2122" s="2184">
        <v>0</v>
      </c>
      <c r="T2122" s="2184">
        <v>0</v>
      </c>
      <c r="U2122" s="2184"/>
      <c r="V2122" s="2184"/>
      <c r="W2122" s="2185"/>
      <c r="X2122" s="2185"/>
      <c r="Y2122" s="2188">
        <f t="shared" si="632"/>
        <v>2</v>
      </c>
      <c r="Z2122" s="2189">
        <f t="shared" si="632"/>
        <v>0</v>
      </c>
      <c r="AA2122" s="2188">
        <f t="shared" si="633"/>
        <v>20</v>
      </c>
      <c r="AB2122" s="2189">
        <f t="shared" si="633"/>
        <v>12000000</v>
      </c>
      <c r="AC2122" s="2190">
        <f t="shared" si="634"/>
        <v>55.555555555555557</v>
      </c>
      <c r="AD2122" s="2190">
        <f t="shared" si="634"/>
        <v>34.285714285714285</v>
      </c>
      <c r="AE2122" s="2581"/>
    </row>
    <row r="2123" spans="1:31" s="2131" customFormat="1" ht="102">
      <c r="A2123" s="2581"/>
      <c r="B2123" s="2226"/>
      <c r="C2123" s="2182"/>
      <c r="D2123" s="2182"/>
      <c r="E2123" s="2181"/>
      <c r="F2123" s="2182"/>
      <c r="G2123" s="2182"/>
      <c r="H2123" s="2182">
        <v>10</v>
      </c>
      <c r="I2123" s="2227" t="s">
        <v>85</v>
      </c>
      <c r="J2123" s="2228" t="s">
        <v>3564</v>
      </c>
      <c r="K2123" s="2188">
        <v>24</v>
      </c>
      <c r="L2123" s="2189">
        <v>35000000</v>
      </c>
      <c r="M2123" s="2229">
        <v>12</v>
      </c>
      <c r="N2123" s="2230">
        <v>15500000</v>
      </c>
      <c r="O2123" s="2188">
        <v>4</v>
      </c>
      <c r="P2123" s="2231"/>
      <c r="Q2123" s="2229">
        <v>0</v>
      </c>
      <c r="R2123" s="2189">
        <v>0</v>
      </c>
      <c r="S2123" s="2188">
        <v>1</v>
      </c>
      <c r="T2123" s="2188">
        <v>0</v>
      </c>
      <c r="U2123" s="2188"/>
      <c r="V2123" s="2188"/>
      <c r="W2123" s="2189"/>
      <c r="X2123" s="2189"/>
      <c r="Y2123" s="2188">
        <f t="shared" si="632"/>
        <v>1</v>
      </c>
      <c r="Z2123" s="2189">
        <f t="shared" si="632"/>
        <v>0</v>
      </c>
      <c r="AA2123" s="2188">
        <f t="shared" si="633"/>
        <v>13</v>
      </c>
      <c r="AB2123" s="2189">
        <f t="shared" si="633"/>
        <v>15500000</v>
      </c>
      <c r="AC2123" s="2190">
        <f t="shared" si="634"/>
        <v>54.166666666666664</v>
      </c>
      <c r="AD2123" s="2190">
        <f t="shared" si="634"/>
        <v>44.285714285714285</v>
      </c>
      <c r="AE2123" s="2581"/>
    </row>
    <row r="2124" spans="1:31" s="2131" customFormat="1" ht="38.25">
      <c r="A2124" s="2140" t="s">
        <v>3565</v>
      </c>
      <c r="B2124" s="2143"/>
      <c r="C2124" s="2142">
        <v>5</v>
      </c>
      <c r="D2124" s="2142" t="s">
        <v>34</v>
      </c>
      <c r="E2124" s="2142" t="s">
        <v>25</v>
      </c>
      <c r="F2124" s="2142" t="s">
        <v>25</v>
      </c>
      <c r="G2124" s="2142" t="s">
        <v>42</v>
      </c>
      <c r="H2124" s="2140"/>
      <c r="I2124" s="2143" t="s">
        <v>3566</v>
      </c>
      <c r="J2124" s="2143" t="s">
        <v>3567</v>
      </c>
      <c r="K2124" s="2144">
        <v>100</v>
      </c>
      <c r="L2124" s="2145">
        <f>SUM(L2125)</f>
        <v>59485000</v>
      </c>
      <c r="M2124" s="2144">
        <v>78</v>
      </c>
      <c r="N2124" s="2145">
        <f>SUM(N2125)</f>
        <v>27310000</v>
      </c>
      <c r="O2124" s="2144">
        <v>8</v>
      </c>
      <c r="P2124" s="2145">
        <f>SUM(P2125)</f>
        <v>0</v>
      </c>
      <c r="Q2124" s="2144">
        <v>0</v>
      </c>
      <c r="R2124" s="2145">
        <f>SUM(R2125)</f>
        <v>0</v>
      </c>
      <c r="S2124" s="2144">
        <v>0</v>
      </c>
      <c r="T2124" s="2145">
        <f>SUM(T2125)</f>
        <v>0</v>
      </c>
      <c r="U2124" s="2144">
        <v>0</v>
      </c>
      <c r="V2124" s="2145">
        <f>SUM(V2125)</f>
        <v>0</v>
      </c>
      <c r="W2124" s="2145"/>
      <c r="X2124" s="2145">
        <f>SUM(X2125)</f>
        <v>0</v>
      </c>
      <c r="Y2124" s="2144">
        <f t="shared" si="632"/>
        <v>0</v>
      </c>
      <c r="Z2124" s="2146">
        <f t="shared" si="632"/>
        <v>0</v>
      </c>
      <c r="AA2124" s="2144">
        <f t="shared" si="633"/>
        <v>78</v>
      </c>
      <c r="AB2124" s="2145">
        <f t="shared" si="633"/>
        <v>27310000</v>
      </c>
      <c r="AC2124" s="2147">
        <f t="shared" si="634"/>
        <v>78</v>
      </c>
      <c r="AD2124" s="2147">
        <f t="shared" si="634"/>
        <v>45.910733798436581</v>
      </c>
      <c r="AE2124" s="2140" t="s">
        <v>3509</v>
      </c>
    </row>
    <row r="2125" spans="1:31" s="2131" customFormat="1" ht="38.25">
      <c r="A2125" s="2172"/>
      <c r="B2125" s="2192"/>
      <c r="C2125" s="2232"/>
      <c r="D2125" s="2232"/>
      <c r="E2125" s="2233"/>
      <c r="F2125" s="2232"/>
      <c r="G2125" s="2232"/>
      <c r="H2125" s="2232" t="s">
        <v>60</v>
      </c>
      <c r="I2125" s="2234" t="s">
        <v>3568</v>
      </c>
      <c r="J2125" s="2174" t="s">
        <v>3569</v>
      </c>
      <c r="K2125" s="2159">
        <v>72</v>
      </c>
      <c r="L2125" s="2175">
        <v>59485000</v>
      </c>
      <c r="M2125" s="2159">
        <v>36</v>
      </c>
      <c r="N2125" s="2193">
        <v>27310000</v>
      </c>
      <c r="O2125" s="2159">
        <v>12</v>
      </c>
      <c r="P2125" s="2175"/>
      <c r="Q2125" s="2159">
        <v>4</v>
      </c>
      <c r="R2125" s="2176"/>
      <c r="S2125" s="2159"/>
      <c r="T2125" s="2159"/>
      <c r="U2125" s="2159"/>
      <c r="V2125" s="2176"/>
      <c r="W2125" s="2175"/>
      <c r="X2125" s="2175"/>
      <c r="Y2125" s="2154">
        <f t="shared" si="632"/>
        <v>4</v>
      </c>
      <c r="Z2125" s="2155">
        <f t="shared" si="632"/>
        <v>0</v>
      </c>
      <c r="AA2125" s="2154">
        <f t="shared" si="633"/>
        <v>40</v>
      </c>
      <c r="AB2125" s="2155">
        <f t="shared" si="633"/>
        <v>27310000</v>
      </c>
      <c r="AC2125" s="2160">
        <f t="shared" si="634"/>
        <v>55.555555555555557</v>
      </c>
      <c r="AD2125" s="2160">
        <f t="shared" si="634"/>
        <v>45.910733798436581</v>
      </c>
      <c r="AE2125" s="2379"/>
    </row>
    <row r="2126" spans="1:31" s="2131" customFormat="1" ht="38.25">
      <c r="A2126" s="2140" t="s">
        <v>13</v>
      </c>
      <c r="B2126" s="2143"/>
      <c r="C2126" s="2142">
        <v>5</v>
      </c>
      <c r="D2126" s="2142" t="s">
        <v>34</v>
      </c>
      <c r="E2126" s="2142" t="s">
        <v>25</v>
      </c>
      <c r="F2126" s="2142" t="s">
        <v>45</v>
      </c>
      <c r="G2126" s="2142" t="s">
        <v>35</v>
      </c>
      <c r="H2126" s="2140"/>
      <c r="I2126" s="2143" t="s">
        <v>3570</v>
      </c>
      <c r="J2126" s="2143" t="s">
        <v>3571</v>
      </c>
      <c r="K2126" s="2144">
        <v>70</v>
      </c>
      <c r="L2126" s="2145">
        <f>SUM(L2127:L2128)</f>
        <v>190875000</v>
      </c>
      <c r="M2126" s="2144">
        <v>41</v>
      </c>
      <c r="N2126" s="2145">
        <f>SUM(N2127:N2128)</f>
        <v>150860000</v>
      </c>
      <c r="O2126" s="2144">
        <v>10</v>
      </c>
      <c r="P2126" s="2145">
        <f>SUM(P2127:P2128)</f>
        <v>0</v>
      </c>
      <c r="Q2126" s="2144">
        <v>2</v>
      </c>
      <c r="R2126" s="2146">
        <f>SUM(R2127:R2128)</f>
        <v>825000</v>
      </c>
      <c r="S2126" s="2144"/>
      <c r="T2126" s="2146">
        <f>SUM(T2127:T2128)</f>
        <v>0</v>
      </c>
      <c r="U2126" s="2144"/>
      <c r="V2126" s="2146">
        <f>SUM(V2127:V2128)</f>
        <v>0</v>
      </c>
      <c r="W2126" s="2145"/>
      <c r="X2126" s="2145">
        <f>SUM(X2127:X2128)</f>
        <v>0</v>
      </c>
      <c r="Y2126" s="2144">
        <f t="shared" si="632"/>
        <v>2</v>
      </c>
      <c r="Z2126" s="2146">
        <f t="shared" si="632"/>
        <v>825000</v>
      </c>
      <c r="AA2126" s="2144">
        <f t="shared" si="633"/>
        <v>43</v>
      </c>
      <c r="AB2126" s="2145">
        <f t="shared" si="633"/>
        <v>151685000</v>
      </c>
      <c r="AC2126" s="2147">
        <f t="shared" si="634"/>
        <v>61.428571428571431</v>
      </c>
      <c r="AD2126" s="2147">
        <f t="shared" si="634"/>
        <v>79.468238375900455</v>
      </c>
      <c r="AE2126" s="2140" t="s">
        <v>3572</v>
      </c>
    </row>
    <row r="2127" spans="1:31" s="2131" customFormat="1" ht="38.25">
      <c r="A2127" s="2165"/>
      <c r="B2127" s="2163"/>
      <c r="C2127" s="2151"/>
      <c r="D2127" s="2151"/>
      <c r="E2127" s="2164"/>
      <c r="F2127" s="2151"/>
      <c r="G2127" s="2151"/>
      <c r="H2127" s="2151" t="s">
        <v>25</v>
      </c>
      <c r="I2127" s="2153" t="s">
        <v>3573</v>
      </c>
      <c r="J2127" s="2153" t="s">
        <v>3574</v>
      </c>
      <c r="K2127" s="2154">
        <v>3</v>
      </c>
      <c r="L2127" s="2155">
        <v>83725000</v>
      </c>
      <c r="M2127" s="2156">
        <v>1</v>
      </c>
      <c r="N2127" s="2193">
        <v>146415000</v>
      </c>
      <c r="O2127" s="2154">
        <v>1</v>
      </c>
      <c r="P2127" s="2158"/>
      <c r="Q2127" s="2156">
        <v>0</v>
      </c>
      <c r="R2127" s="2155">
        <v>0</v>
      </c>
      <c r="S2127" s="2154"/>
      <c r="T2127" s="2154"/>
      <c r="U2127" s="2154"/>
      <c r="V2127" s="2154"/>
      <c r="W2127" s="2155"/>
      <c r="X2127" s="2155"/>
      <c r="Y2127" s="2154">
        <f t="shared" si="632"/>
        <v>0</v>
      </c>
      <c r="Z2127" s="2155">
        <f t="shared" si="632"/>
        <v>0</v>
      </c>
      <c r="AA2127" s="2154">
        <f t="shared" si="633"/>
        <v>1</v>
      </c>
      <c r="AB2127" s="2155">
        <f t="shared" si="633"/>
        <v>146415000</v>
      </c>
      <c r="AC2127" s="2160">
        <f t="shared" si="634"/>
        <v>33.333333333333329</v>
      </c>
      <c r="AD2127" s="2160">
        <f t="shared" si="634"/>
        <v>174.87608241266051</v>
      </c>
      <c r="AE2127" s="2165"/>
    </row>
    <row r="2128" spans="1:31" s="2131" customFormat="1" ht="38.25">
      <c r="A2128" s="2192"/>
      <c r="B2128" s="2233"/>
      <c r="C2128" s="2232"/>
      <c r="D2128" s="2233"/>
      <c r="E2128" s="2232"/>
      <c r="F2128" s="2232"/>
      <c r="G2128" s="2172"/>
      <c r="H2128" s="2235" t="s">
        <v>48</v>
      </c>
      <c r="I2128" s="2174" t="s">
        <v>3575</v>
      </c>
      <c r="J2128" s="2153" t="s">
        <v>3576</v>
      </c>
      <c r="K2128" s="2175">
        <v>12</v>
      </c>
      <c r="L2128" s="2155">
        <v>107150000</v>
      </c>
      <c r="M2128" s="2193">
        <v>3</v>
      </c>
      <c r="N2128" s="2159">
        <v>4445000</v>
      </c>
      <c r="O2128" s="2175">
        <v>6</v>
      </c>
      <c r="P2128" s="2158"/>
      <c r="Q2128" s="2176">
        <v>3</v>
      </c>
      <c r="R2128" s="2155">
        <v>825000</v>
      </c>
      <c r="S2128" s="2159"/>
      <c r="T2128" s="2155"/>
      <c r="U2128" s="2159"/>
      <c r="V2128" s="2155"/>
      <c r="W2128" s="2175"/>
      <c r="X2128" s="2175"/>
      <c r="Y2128" s="2154">
        <f t="shared" si="632"/>
        <v>3</v>
      </c>
      <c r="Z2128" s="2155">
        <f t="shared" si="632"/>
        <v>825000</v>
      </c>
      <c r="AA2128" s="2154">
        <f t="shared" si="633"/>
        <v>6</v>
      </c>
      <c r="AB2128" s="2155">
        <f t="shared" si="633"/>
        <v>5270000</v>
      </c>
      <c r="AC2128" s="2160">
        <f t="shared" si="634"/>
        <v>50</v>
      </c>
      <c r="AD2128" s="2160">
        <f t="shared" si="634"/>
        <v>4.9183387774148395</v>
      </c>
      <c r="AE2128" s="2165"/>
    </row>
    <row r="2129" spans="1:31" s="2131" customFormat="1" ht="51">
      <c r="A2129" s="2140" t="s">
        <v>3577</v>
      </c>
      <c r="B2129" s="2143"/>
      <c r="C2129" s="2142">
        <v>2</v>
      </c>
      <c r="D2129" s="2142" t="s">
        <v>34</v>
      </c>
      <c r="E2129" s="2142" t="s">
        <v>28</v>
      </c>
      <c r="F2129" s="2142" t="s">
        <v>45</v>
      </c>
      <c r="G2129" s="2142" t="s">
        <v>45</v>
      </c>
      <c r="H2129" s="2140"/>
      <c r="I2129" s="2143" t="s">
        <v>3578</v>
      </c>
      <c r="J2129" s="2143" t="s">
        <v>3579</v>
      </c>
      <c r="K2129" s="2144">
        <v>50</v>
      </c>
      <c r="L2129" s="2145">
        <f>SUM(L2130)</f>
        <v>56125000</v>
      </c>
      <c r="M2129" s="2144">
        <v>10</v>
      </c>
      <c r="N2129" s="2145">
        <f>SUM(N2130)</f>
        <v>20325000</v>
      </c>
      <c r="O2129" s="2144">
        <v>10</v>
      </c>
      <c r="P2129" s="2145">
        <f>SUM(P2130)</f>
        <v>21205000</v>
      </c>
      <c r="Q2129" s="2144">
        <v>0</v>
      </c>
      <c r="R2129" s="2146">
        <f>SUM(R2130)</f>
        <v>0</v>
      </c>
      <c r="S2129" s="2144">
        <v>5</v>
      </c>
      <c r="T2129" s="2145">
        <f>SUM(T2130)</f>
        <v>16564483</v>
      </c>
      <c r="U2129" s="2144"/>
      <c r="V2129" s="2145">
        <f>SUM(V2130)</f>
        <v>0</v>
      </c>
      <c r="W2129" s="2145"/>
      <c r="X2129" s="2145">
        <f>SUM(X2130)</f>
        <v>0</v>
      </c>
      <c r="Y2129" s="2144">
        <f t="shared" si="632"/>
        <v>5</v>
      </c>
      <c r="Z2129" s="2145">
        <f t="shared" si="632"/>
        <v>16564483</v>
      </c>
      <c r="AA2129" s="2144">
        <f t="shared" si="633"/>
        <v>15</v>
      </c>
      <c r="AB2129" s="2145">
        <f t="shared" si="633"/>
        <v>36889483</v>
      </c>
      <c r="AC2129" s="2147">
        <f t="shared" si="634"/>
        <v>30</v>
      </c>
      <c r="AD2129" s="2147">
        <f t="shared" si="634"/>
        <v>65.727363919821826</v>
      </c>
      <c r="AE2129" s="2140" t="s">
        <v>3509</v>
      </c>
    </row>
    <row r="2130" spans="1:31" s="2131" customFormat="1" ht="51">
      <c r="A2130" s="2172"/>
      <c r="B2130" s="2192"/>
      <c r="C2130" s="2232"/>
      <c r="D2130" s="2232"/>
      <c r="E2130" s="2233"/>
      <c r="F2130" s="2232"/>
      <c r="G2130" s="2232"/>
      <c r="H2130" s="2232" t="s">
        <v>54</v>
      </c>
      <c r="I2130" s="2174" t="s">
        <v>3580</v>
      </c>
      <c r="J2130" s="2174" t="s">
        <v>3581</v>
      </c>
      <c r="K2130" s="2159">
        <v>6</v>
      </c>
      <c r="L2130" s="2175">
        <v>56125000</v>
      </c>
      <c r="M2130" s="2159">
        <v>1</v>
      </c>
      <c r="N2130" s="2193">
        <v>20325000</v>
      </c>
      <c r="O2130" s="2159">
        <v>1</v>
      </c>
      <c r="P2130" s="2175">
        <v>21205000</v>
      </c>
      <c r="Q2130" s="2159">
        <v>0</v>
      </c>
      <c r="R2130" s="2176">
        <v>0</v>
      </c>
      <c r="S2130" s="2159">
        <v>1</v>
      </c>
      <c r="T2130" s="2175">
        <v>16564483</v>
      </c>
      <c r="U2130" s="2159"/>
      <c r="V2130" s="2175"/>
      <c r="W2130" s="2175"/>
      <c r="X2130" s="2175"/>
      <c r="Y2130" s="2154">
        <f t="shared" si="632"/>
        <v>1</v>
      </c>
      <c r="Z2130" s="2155">
        <f t="shared" si="632"/>
        <v>16564483</v>
      </c>
      <c r="AA2130" s="2154">
        <f t="shared" si="633"/>
        <v>2</v>
      </c>
      <c r="AB2130" s="2155">
        <f t="shared" si="633"/>
        <v>36889483</v>
      </c>
      <c r="AC2130" s="2160">
        <f t="shared" si="634"/>
        <v>33.333333333333329</v>
      </c>
      <c r="AD2130" s="2160">
        <f t="shared" si="634"/>
        <v>65.727363919821826</v>
      </c>
      <c r="AE2130" s="2379"/>
    </row>
    <row r="2131" spans="1:31" s="2131" customFormat="1" ht="45.75" customHeight="1">
      <c r="A2131" s="2140" t="s">
        <v>19</v>
      </c>
      <c r="B2131" s="2143"/>
      <c r="C2131" s="2142">
        <v>5</v>
      </c>
      <c r="D2131" s="2142" t="s">
        <v>34</v>
      </c>
      <c r="E2131" s="2142" t="s">
        <v>25</v>
      </c>
      <c r="F2131" s="2142" t="s">
        <v>45</v>
      </c>
      <c r="G2131" s="2142">
        <v>19</v>
      </c>
      <c r="H2131" s="2142"/>
      <c r="I2131" s="2143" t="s">
        <v>3582</v>
      </c>
      <c r="J2131" s="2143" t="s">
        <v>3583</v>
      </c>
      <c r="K2131" s="2144">
        <v>100</v>
      </c>
      <c r="L2131" s="2145">
        <f>SUM(L2132:L2134)</f>
        <v>436102000</v>
      </c>
      <c r="M2131" s="2144">
        <v>69</v>
      </c>
      <c r="N2131" s="2145">
        <f>SUM(N2132:N2134)</f>
        <v>112940000</v>
      </c>
      <c r="O2131" s="2144">
        <v>20</v>
      </c>
      <c r="P2131" s="2145">
        <f>SUM(P2132:P2134)</f>
        <v>59542000</v>
      </c>
      <c r="Q2131" s="2144">
        <v>3</v>
      </c>
      <c r="R2131" s="2146">
        <f>SUM(R2132:R2134)</f>
        <v>1567500</v>
      </c>
      <c r="S2131" s="2144">
        <v>7</v>
      </c>
      <c r="T2131" s="2146">
        <f>SUM(T2132:T2134)</f>
        <v>21824500</v>
      </c>
      <c r="U2131" s="2144"/>
      <c r="V2131" s="2146">
        <f>SUM(V2132:V2134)</f>
        <v>0</v>
      </c>
      <c r="W2131" s="2145"/>
      <c r="X2131" s="2145">
        <f>SUM(X2132:X2134)</f>
        <v>0</v>
      </c>
      <c r="Y2131" s="2144">
        <f t="shared" si="632"/>
        <v>10</v>
      </c>
      <c r="Z2131" s="2146">
        <f t="shared" si="632"/>
        <v>23392000</v>
      </c>
      <c r="AA2131" s="2144">
        <f t="shared" si="633"/>
        <v>79</v>
      </c>
      <c r="AB2131" s="2145">
        <f t="shared" si="633"/>
        <v>136332000</v>
      </c>
      <c r="AC2131" s="2147">
        <f t="shared" si="634"/>
        <v>79</v>
      </c>
      <c r="AD2131" s="2147">
        <f t="shared" si="634"/>
        <v>31.261493870699976</v>
      </c>
      <c r="AE2131" s="2140" t="s">
        <v>3509</v>
      </c>
    </row>
    <row r="2132" spans="1:31" s="2131" customFormat="1" ht="68.25" customHeight="1">
      <c r="A2132" s="2236"/>
      <c r="B2132" s="2237"/>
      <c r="C2132" s="2151"/>
      <c r="D2132" s="2151"/>
      <c r="E2132" s="2164"/>
      <c r="F2132" s="2151"/>
      <c r="G2132" s="2151"/>
      <c r="H2132" s="2151" t="s">
        <v>25</v>
      </c>
      <c r="I2132" s="2174" t="s">
        <v>3584</v>
      </c>
      <c r="J2132" s="2174" t="s">
        <v>3585</v>
      </c>
      <c r="K2132" s="2159">
        <v>72</v>
      </c>
      <c r="L2132" s="2175">
        <v>326670000</v>
      </c>
      <c r="M2132" s="2159">
        <v>36</v>
      </c>
      <c r="N2132" s="2193">
        <v>96125000</v>
      </c>
      <c r="O2132" s="2159">
        <v>12</v>
      </c>
      <c r="P2132" s="2175">
        <v>34398000</v>
      </c>
      <c r="Q2132" s="2159">
        <v>3</v>
      </c>
      <c r="R2132" s="2176"/>
      <c r="S2132" s="2159">
        <v>3</v>
      </c>
      <c r="T2132" s="2176">
        <v>8262000</v>
      </c>
      <c r="U2132" s="2238"/>
      <c r="V2132" s="2176"/>
      <c r="W2132" s="2175"/>
      <c r="X2132" s="2175"/>
      <c r="Y2132" s="2154">
        <f t="shared" si="632"/>
        <v>6</v>
      </c>
      <c r="Z2132" s="2155">
        <f t="shared" si="632"/>
        <v>8262000</v>
      </c>
      <c r="AA2132" s="2154">
        <f t="shared" si="633"/>
        <v>42</v>
      </c>
      <c r="AB2132" s="2155">
        <f t="shared" si="633"/>
        <v>104387000</v>
      </c>
      <c r="AC2132" s="2160">
        <f t="shared" si="634"/>
        <v>58.333333333333336</v>
      </c>
      <c r="AD2132" s="2160">
        <f t="shared" si="634"/>
        <v>31.954878011448862</v>
      </c>
      <c r="AE2132" s="2379"/>
    </row>
    <row r="2133" spans="1:31" s="2131" customFormat="1" ht="62.25" customHeight="1">
      <c r="A2133" s="2236"/>
      <c r="B2133" s="2239"/>
      <c r="C2133" s="2151"/>
      <c r="D2133" s="2151"/>
      <c r="E2133" s="2164"/>
      <c r="F2133" s="2151"/>
      <c r="G2133" s="2151"/>
      <c r="H2133" s="2151" t="s">
        <v>29</v>
      </c>
      <c r="I2133" s="2174" t="s">
        <v>3586</v>
      </c>
      <c r="J2133" s="2174" t="s">
        <v>3587</v>
      </c>
      <c r="K2133" s="2159">
        <v>36</v>
      </c>
      <c r="L2133" s="2175">
        <f>3*P2133</f>
        <v>75432000</v>
      </c>
      <c r="M2133" s="2159">
        <v>0</v>
      </c>
      <c r="N2133" s="2193">
        <v>0</v>
      </c>
      <c r="O2133" s="2159">
        <v>12</v>
      </c>
      <c r="P2133" s="2175">
        <v>25144000</v>
      </c>
      <c r="Q2133" s="2159">
        <v>3</v>
      </c>
      <c r="R2133" s="2176">
        <v>1567500</v>
      </c>
      <c r="S2133" s="2159">
        <v>3</v>
      </c>
      <c r="T2133" s="2175">
        <v>13562500</v>
      </c>
      <c r="U2133" s="2159"/>
      <c r="V2133" s="2176"/>
      <c r="W2133" s="2175"/>
      <c r="X2133" s="2175"/>
      <c r="Y2133" s="2154">
        <f t="shared" si="632"/>
        <v>6</v>
      </c>
      <c r="Z2133" s="2155">
        <f t="shared" si="632"/>
        <v>15130000</v>
      </c>
      <c r="AA2133" s="2154">
        <f t="shared" si="633"/>
        <v>6</v>
      </c>
      <c r="AB2133" s="2155">
        <f t="shared" si="633"/>
        <v>15130000</v>
      </c>
      <c r="AC2133" s="2160">
        <f t="shared" si="634"/>
        <v>16.666666666666664</v>
      </c>
      <c r="AD2133" s="2160">
        <f t="shared" si="634"/>
        <v>20.057800403011985</v>
      </c>
      <c r="AE2133" s="2379"/>
    </row>
    <row r="2134" spans="1:31" s="2131" customFormat="1" ht="62.25" customHeight="1">
      <c r="A2134" s="2172"/>
      <c r="B2134" s="2173"/>
      <c r="C2134" s="2151"/>
      <c r="D2134" s="2151"/>
      <c r="E2134" s="2164"/>
      <c r="F2134" s="2151"/>
      <c r="G2134" s="2151"/>
      <c r="H2134" s="2151" t="s">
        <v>43</v>
      </c>
      <c r="I2134" s="2174" t="s">
        <v>3588</v>
      </c>
      <c r="J2134" s="2174" t="s">
        <v>3587</v>
      </c>
      <c r="K2134" s="2159">
        <v>36</v>
      </c>
      <c r="L2134" s="2175">
        <v>34000000</v>
      </c>
      <c r="M2134" s="2159">
        <v>36</v>
      </c>
      <c r="N2134" s="2193">
        <v>16815000</v>
      </c>
      <c r="O2134" s="2159">
        <v>0</v>
      </c>
      <c r="P2134" s="2175">
        <v>0</v>
      </c>
      <c r="Q2134" s="2159">
        <v>0</v>
      </c>
      <c r="R2134" s="2176">
        <v>0</v>
      </c>
      <c r="S2134" s="2159"/>
      <c r="T2134" s="2175"/>
      <c r="U2134" s="2159"/>
      <c r="V2134" s="2176"/>
      <c r="W2134" s="2175"/>
      <c r="X2134" s="2175"/>
      <c r="Y2134" s="2154">
        <f t="shared" si="632"/>
        <v>0</v>
      </c>
      <c r="Z2134" s="2155">
        <f t="shared" si="632"/>
        <v>0</v>
      </c>
      <c r="AA2134" s="2154">
        <f t="shared" si="633"/>
        <v>36</v>
      </c>
      <c r="AB2134" s="2155">
        <f t="shared" si="633"/>
        <v>16815000</v>
      </c>
      <c r="AC2134" s="2160">
        <f t="shared" si="634"/>
        <v>100</v>
      </c>
      <c r="AD2134" s="2160">
        <f t="shared" si="634"/>
        <v>49.455882352941174</v>
      </c>
      <c r="AE2134" s="2379"/>
    </row>
    <row r="2135" spans="1:31" s="2131" customFormat="1" ht="68.25" customHeight="1">
      <c r="A2135" s="2140" t="s">
        <v>3589</v>
      </c>
      <c r="B2135" s="2194"/>
      <c r="C2135" s="2142">
        <v>5</v>
      </c>
      <c r="D2135" s="2142" t="s">
        <v>34</v>
      </c>
      <c r="E2135" s="2142" t="s">
        <v>25</v>
      </c>
      <c r="F2135" s="2142" t="s">
        <v>45</v>
      </c>
      <c r="G2135" s="2142">
        <v>57</v>
      </c>
      <c r="H2135" s="2142"/>
      <c r="I2135" s="2206" t="s">
        <v>3590</v>
      </c>
      <c r="J2135" s="2194" t="s">
        <v>3591</v>
      </c>
      <c r="K2135" s="2144" t="s">
        <v>3592</v>
      </c>
      <c r="L2135" s="2145">
        <f>SUM(L2136:L2136)</f>
        <v>30000000</v>
      </c>
      <c r="M2135" s="2144" t="s">
        <v>3592</v>
      </c>
      <c r="N2135" s="2145">
        <f>SUM(N2136:N2136)</f>
        <v>0</v>
      </c>
      <c r="O2135" s="2144" t="s">
        <v>3592</v>
      </c>
      <c r="P2135" s="2145">
        <f>SUM(P2136:P2136)</f>
        <v>6305000</v>
      </c>
      <c r="Q2135" s="2144">
        <v>0</v>
      </c>
      <c r="R2135" s="2145">
        <f>SUM(R2136:R2136)</f>
        <v>0</v>
      </c>
      <c r="S2135" s="2144"/>
      <c r="T2135" s="2145">
        <f>SUM(T2136:T2136)</f>
        <v>1275000</v>
      </c>
      <c r="U2135" s="2144"/>
      <c r="V2135" s="2145">
        <f>SUM(V2136:V2136)</f>
        <v>0</v>
      </c>
      <c r="W2135" s="2144"/>
      <c r="X2135" s="2145">
        <f>SUM(X2136:X2136)</f>
        <v>0</v>
      </c>
      <c r="Y2135" s="2144">
        <f t="shared" si="632"/>
        <v>0</v>
      </c>
      <c r="Z2135" s="2145">
        <f t="shared" si="632"/>
        <v>1275000</v>
      </c>
      <c r="AA2135" s="2144" t="s">
        <v>3063</v>
      </c>
      <c r="AB2135" s="2145">
        <f t="shared" si="633"/>
        <v>1275000</v>
      </c>
      <c r="AC2135" s="2147">
        <v>100</v>
      </c>
      <c r="AD2135" s="2147">
        <v>100</v>
      </c>
      <c r="AE2135" s="2140" t="s">
        <v>3509</v>
      </c>
    </row>
    <row r="2136" spans="1:31" s="2131" customFormat="1" ht="32.25" customHeight="1">
      <c r="A2136" s="2152"/>
      <c r="B2136" s="2198"/>
      <c r="C2136" s="2164">
        <v>5</v>
      </c>
      <c r="D2136" s="2164" t="s">
        <v>34</v>
      </c>
      <c r="E2136" s="2164" t="s">
        <v>25</v>
      </c>
      <c r="F2136" s="2164" t="s">
        <v>45</v>
      </c>
      <c r="G2136" s="2164">
        <v>57</v>
      </c>
      <c r="H2136" s="2164">
        <v>17</v>
      </c>
      <c r="I2136" s="2198" t="s">
        <v>3594</v>
      </c>
      <c r="J2136" s="2198" t="s">
        <v>3595</v>
      </c>
      <c r="K2136" s="2240">
        <v>36</v>
      </c>
      <c r="L2136" s="2241">
        <v>30000000</v>
      </c>
      <c r="M2136" s="2240">
        <v>0</v>
      </c>
      <c r="N2136" s="2241">
        <v>0</v>
      </c>
      <c r="O2136" s="2240">
        <v>12</v>
      </c>
      <c r="P2136" s="2241">
        <v>6305000</v>
      </c>
      <c r="Q2136" s="2240">
        <v>3</v>
      </c>
      <c r="R2136" s="2241">
        <v>0</v>
      </c>
      <c r="S2136" s="2240">
        <v>3</v>
      </c>
      <c r="T2136" s="2241">
        <v>1275000</v>
      </c>
      <c r="U2136" s="2240"/>
      <c r="V2136" s="2242"/>
      <c r="W2136" s="2240"/>
      <c r="X2136" s="2240"/>
      <c r="Y2136" s="2240">
        <f t="shared" si="632"/>
        <v>6</v>
      </c>
      <c r="Z2136" s="2203">
        <f t="shared" si="632"/>
        <v>1275000</v>
      </c>
      <c r="AA2136" s="2240">
        <f t="shared" ref="AA2136" si="638">M2136+Y2136</f>
        <v>6</v>
      </c>
      <c r="AB2136" s="2203">
        <f t="shared" si="633"/>
        <v>1275000</v>
      </c>
      <c r="AC2136" s="2243">
        <f t="shared" ref="AC2136:AD2136" si="639">(AA2136/K2136)*100</f>
        <v>16.666666666666664</v>
      </c>
      <c r="AD2136" s="2240">
        <f t="shared" si="639"/>
        <v>4.25</v>
      </c>
      <c r="AE2136" s="2152"/>
    </row>
    <row r="2137" spans="1:31" s="2131" customFormat="1" ht="63.75">
      <c r="A2137" s="2140" t="s">
        <v>3596</v>
      </c>
      <c r="B2137" s="2143"/>
      <c r="C2137" s="2142">
        <v>1</v>
      </c>
      <c r="D2137" s="2142" t="s">
        <v>25</v>
      </c>
      <c r="E2137" s="2142" t="s">
        <v>38</v>
      </c>
      <c r="F2137" s="2142" t="s">
        <v>35</v>
      </c>
      <c r="G2137" s="2142"/>
      <c r="H2137" s="2140"/>
      <c r="I2137" s="2143" t="s">
        <v>3597</v>
      </c>
      <c r="J2137" s="2143" t="s">
        <v>3598</v>
      </c>
      <c r="K2137" s="2144">
        <v>100</v>
      </c>
      <c r="L2137" s="2145">
        <f>SUM(L2138)</f>
        <v>14050000</v>
      </c>
      <c r="M2137" s="2144">
        <v>100</v>
      </c>
      <c r="N2137" s="2145">
        <f>SUM(N2138)</f>
        <v>7025000</v>
      </c>
      <c r="O2137" s="2144">
        <v>100</v>
      </c>
      <c r="P2137" s="2145">
        <f>SUM(P2138)</f>
        <v>0</v>
      </c>
      <c r="Q2137" s="2144">
        <v>0</v>
      </c>
      <c r="R2137" s="2146">
        <f>SUM(R2138)</f>
        <v>0</v>
      </c>
      <c r="S2137" s="2144"/>
      <c r="T2137" s="2145">
        <f>SUM(T2138)</f>
        <v>0</v>
      </c>
      <c r="U2137" s="2144"/>
      <c r="V2137" s="2145">
        <f>SUM(V2138)</f>
        <v>0</v>
      </c>
      <c r="W2137" s="2145">
        <v>0</v>
      </c>
      <c r="X2137" s="2145">
        <f>SUM(X2138)</f>
        <v>0</v>
      </c>
      <c r="Y2137" s="2144">
        <f t="shared" si="632"/>
        <v>0</v>
      </c>
      <c r="Z2137" s="2146">
        <f t="shared" si="632"/>
        <v>0</v>
      </c>
      <c r="AA2137" s="2144">
        <f t="shared" si="633"/>
        <v>100</v>
      </c>
      <c r="AB2137" s="2146">
        <f t="shared" si="633"/>
        <v>7025000</v>
      </c>
      <c r="AC2137" s="2147">
        <f t="shared" si="634"/>
        <v>100</v>
      </c>
      <c r="AD2137" s="2147">
        <f t="shared" si="634"/>
        <v>50</v>
      </c>
      <c r="AE2137" s="2140" t="s">
        <v>3509</v>
      </c>
    </row>
    <row r="2138" spans="1:31" s="2131" customFormat="1" ht="25.5">
      <c r="A2138" s="2173"/>
      <c r="B2138" s="2173"/>
      <c r="C2138" s="2244"/>
      <c r="D2138" s="2244"/>
      <c r="E2138" s="2164"/>
      <c r="F2138" s="2244"/>
      <c r="G2138" s="2244"/>
      <c r="H2138" s="2244" t="s">
        <v>49</v>
      </c>
      <c r="I2138" s="2245" t="s">
        <v>3599</v>
      </c>
      <c r="J2138" s="2245" t="s">
        <v>3600</v>
      </c>
      <c r="K2138" s="2177">
        <v>2</v>
      </c>
      <c r="L2138" s="2193">
        <v>14050000</v>
      </c>
      <c r="M2138" s="2177">
        <v>0</v>
      </c>
      <c r="N2138" s="2193">
        <v>7025000</v>
      </c>
      <c r="O2138" s="2177">
        <v>1</v>
      </c>
      <c r="P2138" s="2193"/>
      <c r="Q2138" s="2177">
        <v>0</v>
      </c>
      <c r="R2138" s="2246">
        <v>0</v>
      </c>
      <c r="S2138" s="2177">
        <v>0</v>
      </c>
      <c r="T2138" s="2193">
        <v>0</v>
      </c>
      <c r="U2138" s="2177"/>
      <c r="V2138" s="2193"/>
      <c r="W2138" s="2193"/>
      <c r="X2138" s="2193"/>
      <c r="Y2138" s="2700">
        <f t="shared" si="632"/>
        <v>0</v>
      </c>
      <c r="Z2138" s="2247">
        <f t="shared" si="632"/>
        <v>0</v>
      </c>
      <c r="AA2138" s="2700">
        <f t="shared" si="633"/>
        <v>0</v>
      </c>
      <c r="AB2138" s="2247">
        <f t="shared" si="633"/>
        <v>7025000</v>
      </c>
      <c r="AC2138" s="2248">
        <f t="shared" si="634"/>
        <v>0</v>
      </c>
      <c r="AD2138" s="2248">
        <f t="shared" si="634"/>
        <v>50</v>
      </c>
      <c r="AE2138" s="2379"/>
    </row>
    <row r="2139" spans="1:31" s="2131" customFormat="1" ht="63.75">
      <c r="A2139" s="2140">
        <v>10</v>
      </c>
      <c r="B2139" s="2143"/>
      <c r="C2139" s="2142">
        <v>5</v>
      </c>
      <c r="D2139" s="2142" t="s">
        <v>34</v>
      </c>
      <c r="E2139" s="2142" t="s">
        <v>25</v>
      </c>
      <c r="F2139" s="2142" t="s">
        <v>45</v>
      </c>
      <c r="G2139" s="2142">
        <v>56</v>
      </c>
      <c r="H2139" s="2140"/>
      <c r="I2139" s="2143" t="s">
        <v>3601</v>
      </c>
      <c r="J2139" s="2143" t="s">
        <v>3602</v>
      </c>
      <c r="K2139" s="2144">
        <v>100</v>
      </c>
      <c r="L2139" s="2145">
        <f>SUM(L2140:L2144)</f>
        <v>834184000</v>
      </c>
      <c r="M2139" s="2144">
        <v>75</v>
      </c>
      <c r="N2139" s="2145">
        <f>SUM(N2140:N2144)</f>
        <v>313696500</v>
      </c>
      <c r="O2139" s="2144">
        <v>15</v>
      </c>
      <c r="P2139" s="2145">
        <f>SUM(P2140:P2144)</f>
        <v>28045000</v>
      </c>
      <c r="Q2139" s="2144">
        <v>3</v>
      </c>
      <c r="R2139" s="2146">
        <f>SUM(R2140:R2144)</f>
        <v>9095000</v>
      </c>
      <c r="S2139" s="2144"/>
      <c r="T2139" s="2145">
        <f>SUM(T2140:T2144)</f>
        <v>12665000</v>
      </c>
      <c r="U2139" s="2144"/>
      <c r="V2139" s="2146">
        <f>SUM(V2140:V2144)</f>
        <v>0</v>
      </c>
      <c r="W2139" s="2145"/>
      <c r="X2139" s="2145">
        <f>SUM(X2140:X2144)</f>
        <v>0</v>
      </c>
      <c r="Y2139" s="2144">
        <f t="shared" si="632"/>
        <v>3</v>
      </c>
      <c r="Z2139" s="2146">
        <f t="shared" si="632"/>
        <v>21760000</v>
      </c>
      <c r="AA2139" s="2144">
        <f t="shared" si="633"/>
        <v>78</v>
      </c>
      <c r="AB2139" s="2145">
        <f t="shared" si="633"/>
        <v>335456500</v>
      </c>
      <c r="AC2139" s="2147">
        <f t="shared" si="634"/>
        <v>78</v>
      </c>
      <c r="AD2139" s="2147">
        <f t="shared" si="634"/>
        <v>40.213729824595049</v>
      </c>
      <c r="AE2139" s="2140" t="s">
        <v>3509</v>
      </c>
    </row>
    <row r="2140" spans="1:31" s="2131" customFormat="1" ht="43.5" customHeight="1">
      <c r="A2140" s="2172"/>
      <c r="B2140" s="2173"/>
      <c r="C2140" s="2151"/>
      <c r="D2140" s="2151"/>
      <c r="E2140" s="2164"/>
      <c r="F2140" s="2151"/>
      <c r="G2140" s="2151"/>
      <c r="H2140" s="2151" t="s">
        <v>25</v>
      </c>
      <c r="I2140" s="2174" t="s">
        <v>3551</v>
      </c>
      <c r="J2140" s="2174" t="s">
        <v>3603</v>
      </c>
      <c r="K2140" s="2159">
        <v>138</v>
      </c>
      <c r="L2140" s="2175">
        <v>383336000</v>
      </c>
      <c r="M2140" s="2159">
        <v>69</v>
      </c>
      <c r="N2140" s="2193">
        <v>136808500</v>
      </c>
      <c r="O2140" s="2159">
        <v>0</v>
      </c>
      <c r="P2140" s="2175">
        <v>0</v>
      </c>
      <c r="Q2140" s="2159">
        <v>0</v>
      </c>
      <c r="R2140" s="2176">
        <v>0</v>
      </c>
      <c r="S2140" s="2159"/>
      <c r="T2140" s="2175"/>
      <c r="U2140" s="2159"/>
      <c r="V2140" s="2176"/>
      <c r="W2140" s="2175"/>
      <c r="X2140" s="2175"/>
      <c r="Y2140" s="2154">
        <f t="shared" si="632"/>
        <v>0</v>
      </c>
      <c r="Z2140" s="2155">
        <f t="shared" si="632"/>
        <v>0</v>
      </c>
      <c r="AA2140" s="2154">
        <f t="shared" si="633"/>
        <v>69</v>
      </c>
      <c r="AB2140" s="2155">
        <f t="shared" si="633"/>
        <v>136808500</v>
      </c>
      <c r="AC2140" s="2160">
        <f t="shared" si="634"/>
        <v>50</v>
      </c>
      <c r="AD2140" s="2160">
        <f t="shared" si="634"/>
        <v>35.6889256422564</v>
      </c>
      <c r="AE2140" s="2379"/>
    </row>
    <row r="2141" spans="1:31" s="2131" customFormat="1" ht="38.25">
      <c r="A2141" s="2172"/>
      <c r="B2141" s="2173"/>
      <c r="C2141" s="2151"/>
      <c r="D2141" s="2151"/>
      <c r="E2141" s="2164"/>
      <c r="F2141" s="2151"/>
      <c r="G2141" s="2151"/>
      <c r="H2141" s="2151" t="s">
        <v>28</v>
      </c>
      <c r="I2141" s="2174" t="s">
        <v>3604</v>
      </c>
      <c r="J2141" s="2174" t="s">
        <v>3605</v>
      </c>
      <c r="K2141" s="2159">
        <v>6</v>
      </c>
      <c r="L2141" s="2175">
        <v>72548000</v>
      </c>
      <c r="M2141" s="2159">
        <v>3</v>
      </c>
      <c r="N2141" s="2193">
        <v>25998000</v>
      </c>
      <c r="O2141" s="2159">
        <v>0</v>
      </c>
      <c r="P2141" s="2175">
        <v>0</v>
      </c>
      <c r="Q2141" s="2159">
        <v>0</v>
      </c>
      <c r="R2141" s="2176">
        <v>0</v>
      </c>
      <c r="S2141" s="2159"/>
      <c r="T2141" s="2175"/>
      <c r="U2141" s="2159"/>
      <c r="V2141" s="2159"/>
      <c r="W2141" s="2175"/>
      <c r="X2141" s="2175"/>
      <c r="Y2141" s="2154">
        <f t="shared" si="632"/>
        <v>0</v>
      </c>
      <c r="Z2141" s="2155">
        <f t="shared" si="632"/>
        <v>0</v>
      </c>
      <c r="AA2141" s="2154">
        <f t="shared" si="633"/>
        <v>3</v>
      </c>
      <c r="AB2141" s="2155">
        <f t="shared" si="633"/>
        <v>25998000</v>
      </c>
      <c r="AC2141" s="2160">
        <f t="shared" si="634"/>
        <v>50</v>
      </c>
      <c r="AD2141" s="2160">
        <f t="shared" si="634"/>
        <v>35.835584716325741</v>
      </c>
      <c r="AE2141" s="2379"/>
    </row>
    <row r="2142" spans="1:31" s="2131" customFormat="1" ht="51">
      <c r="A2142" s="2172"/>
      <c r="B2142" s="2173"/>
      <c r="C2142" s="2151"/>
      <c r="D2142" s="2151"/>
      <c r="E2142" s="2164"/>
      <c r="F2142" s="2151"/>
      <c r="G2142" s="2151"/>
      <c r="H2142" s="2151" t="s">
        <v>39</v>
      </c>
      <c r="I2142" s="2174" t="s">
        <v>3606</v>
      </c>
      <c r="J2142" s="2174" t="s">
        <v>3607</v>
      </c>
      <c r="K2142" s="2159">
        <v>6</v>
      </c>
      <c r="L2142" s="2175">
        <v>117850000</v>
      </c>
      <c r="M2142" s="2159">
        <v>3</v>
      </c>
      <c r="N2142" s="2193">
        <v>46835000</v>
      </c>
      <c r="O2142" s="2159">
        <v>1</v>
      </c>
      <c r="P2142" s="2175">
        <v>12245000</v>
      </c>
      <c r="Q2142" s="2159">
        <v>0</v>
      </c>
      <c r="R2142" s="2176">
        <v>6345000</v>
      </c>
      <c r="S2142" s="2159">
        <v>1</v>
      </c>
      <c r="T2142" s="2175">
        <v>5900000</v>
      </c>
      <c r="U2142" s="2159"/>
      <c r="V2142" s="2176"/>
      <c r="W2142" s="2175"/>
      <c r="X2142" s="2175"/>
      <c r="Y2142" s="2154">
        <f t="shared" si="632"/>
        <v>1</v>
      </c>
      <c r="Z2142" s="2155">
        <f t="shared" si="632"/>
        <v>12245000</v>
      </c>
      <c r="AA2142" s="2154">
        <f t="shared" si="633"/>
        <v>4</v>
      </c>
      <c r="AB2142" s="2155">
        <f t="shared" si="633"/>
        <v>59080000</v>
      </c>
      <c r="AC2142" s="2160">
        <f t="shared" si="634"/>
        <v>66.666666666666657</v>
      </c>
      <c r="AD2142" s="2160">
        <f t="shared" si="634"/>
        <v>50.131523122613494</v>
      </c>
      <c r="AE2142" s="2379"/>
    </row>
    <row r="2143" spans="1:31" s="2131" customFormat="1" ht="51">
      <c r="A2143" s="2172"/>
      <c r="B2143" s="2192"/>
      <c r="C2143" s="2151"/>
      <c r="D2143" s="2151"/>
      <c r="E2143" s="2164"/>
      <c r="F2143" s="2151"/>
      <c r="G2143" s="2151"/>
      <c r="H2143" s="2151" t="s">
        <v>78</v>
      </c>
      <c r="I2143" s="2174" t="s">
        <v>3608</v>
      </c>
      <c r="J2143" s="2174" t="s">
        <v>3609</v>
      </c>
      <c r="K2143" s="2159">
        <v>72</v>
      </c>
      <c r="L2143" s="2175">
        <v>168380000</v>
      </c>
      <c r="M2143" s="2159">
        <v>36</v>
      </c>
      <c r="N2143" s="2193">
        <v>63255000</v>
      </c>
      <c r="O2143" s="2159">
        <v>12</v>
      </c>
      <c r="P2143" s="2175">
        <v>15800000</v>
      </c>
      <c r="Q2143" s="2159">
        <v>3</v>
      </c>
      <c r="R2143" s="2176">
        <v>2750000</v>
      </c>
      <c r="S2143" s="2159">
        <v>3</v>
      </c>
      <c r="T2143" s="2175">
        <v>6765000</v>
      </c>
      <c r="U2143" s="2159"/>
      <c r="V2143" s="2176"/>
      <c r="W2143" s="2175"/>
      <c r="X2143" s="2175"/>
      <c r="Y2143" s="2154">
        <f t="shared" si="632"/>
        <v>6</v>
      </c>
      <c r="Z2143" s="2155">
        <f t="shared" si="632"/>
        <v>9515000</v>
      </c>
      <c r="AA2143" s="2154">
        <f t="shared" si="633"/>
        <v>42</v>
      </c>
      <c r="AB2143" s="2155">
        <f t="shared" si="633"/>
        <v>72770000</v>
      </c>
      <c r="AC2143" s="2160">
        <f t="shared" si="634"/>
        <v>58.333333333333336</v>
      </c>
      <c r="AD2143" s="2160">
        <f t="shared" si="634"/>
        <v>43.217721819693551</v>
      </c>
      <c r="AE2143" s="2379"/>
    </row>
    <row r="2144" spans="1:31" s="2131" customFormat="1" ht="38.25">
      <c r="A2144" s="2165"/>
      <c r="B2144" s="2163"/>
      <c r="C2144" s="2151"/>
      <c r="D2144" s="2151"/>
      <c r="E2144" s="2164"/>
      <c r="F2144" s="2151"/>
      <c r="G2144" s="2151"/>
      <c r="H2144" s="2151" t="s">
        <v>38</v>
      </c>
      <c r="I2144" s="2153" t="s">
        <v>3610</v>
      </c>
      <c r="J2144" s="2174" t="s">
        <v>3611</v>
      </c>
      <c r="K2144" s="2154">
        <v>72</v>
      </c>
      <c r="L2144" s="2155">
        <v>92070000</v>
      </c>
      <c r="M2144" s="2156">
        <v>36</v>
      </c>
      <c r="N2144" s="2193">
        <v>40800000</v>
      </c>
      <c r="O2144" s="2154">
        <v>0</v>
      </c>
      <c r="P2144" s="2231">
        <v>0</v>
      </c>
      <c r="Q2144" s="2156">
        <v>0</v>
      </c>
      <c r="R2144" s="2155">
        <v>0</v>
      </c>
      <c r="S2144" s="2154"/>
      <c r="T2144" s="2175"/>
      <c r="U2144" s="2154"/>
      <c r="V2144" s="2176"/>
      <c r="W2144" s="2155"/>
      <c r="X2144" s="2155"/>
      <c r="Y2144" s="2154">
        <f t="shared" si="632"/>
        <v>0</v>
      </c>
      <c r="Z2144" s="2155">
        <f t="shared" si="632"/>
        <v>0</v>
      </c>
      <c r="AA2144" s="2154">
        <f t="shared" si="633"/>
        <v>36</v>
      </c>
      <c r="AB2144" s="2155">
        <f t="shared" si="633"/>
        <v>40800000</v>
      </c>
      <c r="AC2144" s="2160">
        <f t="shared" si="634"/>
        <v>50</v>
      </c>
      <c r="AD2144" s="2160">
        <f t="shared" si="634"/>
        <v>44.314108830237863</v>
      </c>
      <c r="AE2144" s="2379"/>
    </row>
    <row r="2145" spans="1:71" s="2131" customFormat="1" ht="63.75">
      <c r="A2145" s="2140" t="s">
        <v>3612</v>
      </c>
      <c r="B2145" s="2143"/>
      <c r="C2145" s="2142" t="s">
        <v>34</v>
      </c>
      <c r="D2145" s="2142" t="s">
        <v>25</v>
      </c>
      <c r="E2145" s="2142" t="s">
        <v>25</v>
      </c>
      <c r="F2145" s="2142" t="s">
        <v>3613</v>
      </c>
      <c r="G2145" s="2142"/>
      <c r="H2145" s="2140"/>
      <c r="I2145" s="2143" t="s">
        <v>3614</v>
      </c>
      <c r="J2145" s="2143" t="s">
        <v>3615</v>
      </c>
      <c r="K2145" s="2144">
        <v>100</v>
      </c>
      <c r="L2145" s="2145">
        <f>SUM(L2146)</f>
        <v>102306600</v>
      </c>
      <c r="M2145" s="2144">
        <v>36</v>
      </c>
      <c r="N2145" s="2145">
        <f>SUM(N2146)</f>
        <v>49576600</v>
      </c>
      <c r="O2145" s="2144">
        <v>12</v>
      </c>
      <c r="P2145" s="2145">
        <f>SUM(P2146)</f>
        <v>14378000</v>
      </c>
      <c r="Q2145" s="2144">
        <v>0</v>
      </c>
      <c r="R2145" s="2146">
        <f>SUM(R2146)</f>
        <v>0</v>
      </c>
      <c r="S2145" s="2144"/>
      <c r="T2145" s="2145">
        <f>SUM(T2146)</f>
        <v>5505000</v>
      </c>
      <c r="U2145" s="2144"/>
      <c r="V2145" s="2145">
        <f>SUM(V2146)</f>
        <v>0</v>
      </c>
      <c r="W2145" s="2145"/>
      <c r="X2145" s="2145">
        <f>SUM(X2146)</f>
        <v>0</v>
      </c>
      <c r="Y2145" s="2144">
        <f t="shared" si="632"/>
        <v>0</v>
      </c>
      <c r="Z2145" s="2146">
        <f t="shared" si="632"/>
        <v>5505000</v>
      </c>
      <c r="AA2145" s="2144">
        <f t="shared" si="633"/>
        <v>36</v>
      </c>
      <c r="AB2145" s="2145">
        <f t="shared" si="633"/>
        <v>55081600</v>
      </c>
      <c r="AC2145" s="2147">
        <f t="shared" si="634"/>
        <v>36</v>
      </c>
      <c r="AD2145" s="2147">
        <f t="shared" si="634"/>
        <v>53.839732724965941</v>
      </c>
      <c r="AE2145" s="2140" t="s">
        <v>3509</v>
      </c>
    </row>
    <row r="2146" spans="1:71" s="2131" customFormat="1" ht="53.25" customHeight="1">
      <c r="A2146" s="2172"/>
      <c r="B2146" s="2192"/>
      <c r="C2146" s="2232"/>
      <c r="D2146" s="2232"/>
      <c r="E2146" s="2233"/>
      <c r="F2146" s="2232"/>
      <c r="G2146" s="2232"/>
      <c r="H2146" s="2232" t="s">
        <v>40</v>
      </c>
      <c r="I2146" s="2174" t="s">
        <v>3616</v>
      </c>
      <c r="J2146" s="2174" t="s">
        <v>3617</v>
      </c>
      <c r="K2146" s="2159">
        <v>72</v>
      </c>
      <c r="L2146" s="2175">
        <v>102306600</v>
      </c>
      <c r="M2146" s="2159">
        <v>36</v>
      </c>
      <c r="N2146" s="2193">
        <v>49576600</v>
      </c>
      <c r="O2146" s="2159">
        <v>12</v>
      </c>
      <c r="P2146" s="2175">
        <v>14378000</v>
      </c>
      <c r="Q2146" s="2159">
        <v>3</v>
      </c>
      <c r="R2146" s="2176">
        <v>0</v>
      </c>
      <c r="S2146" s="2159">
        <v>3</v>
      </c>
      <c r="T2146" s="2175">
        <v>5505000</v>
      </c>
      <c r="U2146" s="2159"/>
      <c r="V2146" s="2176"/>
      <c r="W2146" s="2175"/>
      <c r="X2146" s="2175"/>
      <c r="Y2146" s="2154">
        <f t="shared" si="632"/>
        <v>6</v>
      </c>
      <c r="Z2146" s="2155">
        <f t="shared" si="632"/>
        <v>5505000</v>
      </c>
      <c r="AA2146" s="2154">
        <f t="shared" si="633"/>
        <v>42</v>
      </c>
      <c r="AB2146" s="2155">
        <f t="shared" si="633"/>
        <v>55081600</v>
      </c>
      <c r="AC2146" s="2160">
        <f t="shared" si="634"/>
        <v>58.333333333333336</v>
      </c>
      <c r="AD2146" s="2160">
        <f t="shared" si="634"/>
        <v>53.839732724965941</v>
      </c>
      <c r="AE2146" s="2379"/>
    </row>
    <row r="2147" spans="1:71" s="2131" customFormat="1" ht="76.5">
      <c r="A2147" s="2140" t="s">
        <v>3618</v>
      </c>
      <c r="B2147" s="2143"/>
      <c r="C2147" s="2142" t="s">
        <v>34</v>
      </c>
      <c r="D2147" s="2142" t="s">
        <v>25</v>
      </c>
      <c r="E2147" s="2142" t="s">
        <v>25</v>
      </c>
      <c r="F2147" s="2142" t="s">
        <v>3619</v>
      </c>
      <c r="G2147" s="2142"/>
      <c r="H2147" s="2140"/>
      <c r="I2147" s="2143" t="s">
        <v>3620</v>
      </c>
      <c r="J2147" s="2143" t="s">
        <v>3621</v>
      </c>
      <c r="K2147" s="2144">
        <v>100</v>
      </c>
      <c r="L2147" s="2145">
        <f>SUM(L2148)</f>
        <v>50000000</v>
      </c>
      <c r="M2147" s="2144">
        <v>12</v>
      </c>
      <c r="N2147" s="2145">
        <f>SUM(N2148)</f>
        <v>5665000</v>
      </c>
      <c r="O2147" s="2144">
        <v>12</v>
      </c>
      <c r="P2147" s="2145">
        <f>SUM(P2148)</f>
        <v>14468000</v>
      </c>
      <c r="Q2147" s="2144">
        <v>12</v>
      </c>
      <c r="R2147" s="2146">
        <f>SUM(R2148)</f>
        <v>2400000</v>
      </c>
      <c r="S2147" s="2144"/>
      <c r="T2147" s="2145">
        <f>SUM(T2148)</f>
        <v>775000</v>
      </c>
      <c r="U2147" s="2144"/>
      <c r="V2147" s="2146">
        <f>SUM(V2148)</f>
        <v>0</v>
      </c>
      <c r="W2147" s="2145"/>
      <c r="X2147" s="2146">
        <f>SUM(X2148)</f>
        <v>0</v>
      </c>
      <c r="Y2147" s="2144">
        <f t="shared" si="632"/>
        <v>12</v>
      </c>
      <c r="Z2147" s="2146">
        <f t="shared" si="632"/>
        <v>3175000</v>
      </c>
      <c r="AA2147" s="2144">
        <f t="shared" si="633"/>
        <v>24</v>
      </c>
      <c r="AB2147" s="2145">
        <f t="shared" si="633"/>
        <v>8840000</v>
      </c>
      <c r="AC2147" s="2147">
        <f t="shared" si="634"/>
        <v>24</v>
      </c>
      <c r="AD2147" s="2147">
        <f t="shared" si="634"/>
        <v>17.68</v>
      </c>
      <c r="AE2147" s="2140" t="s">
        <v>3509</v>
      </c>
    </row>
    <row r="2148" spans="1:71" s="2131" customFormat="1" ht="25.5">
      <c r="A2148" s="2172"/>
      <c r="B2148" s="2192"/>
      <c r="C2148" s="2232"/>
      <c r="D2148" s="2232"/>
      <c r="E2148" s="2233"/>
      <c r="F2148" s="2232"/>
      <c r="G2148" s="2232"/>
      <c r="H2148" s="2232" t="s">
        <v>25</v>
      </c>
      <c r="I2148" s="2174" t="s">
        <v>3622</v>
      </c>
      <c r="J2148" s="2174" t="s">
        <v>3623</v>
      </c>
      <c r="K2148" s="2159">
        <v>60</v>
      </c>
      <c r="L2148" s="2175">
        <v>50000000</v>
      </c>
      <c r="M2148" s="2159">
        <v>12</v>
      </c>
      <c r="N2148" s="2193">
        <v>5665000</v>
      </c>
      <c r="O2148" s="2159">
        <v>12</v>
      </c>
      <c r="P2148" s="2175">
        <v>14468000</v>
      </c>
      <c r="Q2148" s="2159">
        <v>3</v>
      </c>
      <c r="R2148" s="2176">
        <v>2400000</v>
      </c>
      <c r="S2148" s="2159">
        <v>3</v>
      </c>
      <c r="T2148" s="2175">
        <v>775000</v>
      </c>
      <c r="U2148" s="2159"/>
      <c r="V2148" s="2176"/>
      <c r="W2148" s="2175"/>
      <c r="X2148" s="2175"/>
      <c r="Y2148" s="2154">
        <f t="shared" si="632"/>
        <v>6</v>
      </c>
      <c r="Z2148" s="2155">
        <f t="shared" si="632"/>
        <v>3175000</v>
      </c>
      <c r="AA2148" s="2154">
        <f t="shared" si="633"/>
        <v>18</v>
      </c>
      <c r="AB2148" s="2155">
        <f t="shared" si="633"/>
        <v>8840000</v>
      </c>
      <c r="AC2148" s="2160">
        <f t="shared" si="634"/>
        <v>30</v>
      </c>
      <c r="AD2148" s="2160">
        <f t="shared" si="634"/>
        <v>17.68</v>
      </c>
      <c r="AE2148" s="2379"/>
    </row>
    <row r="2149" spans="1:71" s="2131" customFormat="1" ht="20.100000000000001" customHeight="1">
      <c r="A2149" s="2705" t="s">
        <v>63</v>
      </c>
      <c r="B2149" s="2705"/>
      <c r="C2149" s="2705"/>
      <c r="D2149" s="2705"/>
      <c r="E2149" s="2705"/>
      <c r="F2149" s="2705"/>
      <c r="G2149" s="2705"/>
      <c r="H2149" s="2705"/>
      <c r="I2149" s="2705"/>
      <c r="J2149" s="2705"/>
      <c r="K2149" s="2705"/>
      <c r="L2149" s="2705"/>
      <c r="M2149" s="2705"/>
      <c r="N2149" s="2705"/>
      <c r="O2149" s="2705"/>
      <c r="P2149" s="2705"/>
      <c r="Q2149" s="2705"/>
      <c r="R2149" s="2705"/>
      <c r="S2149" s="2705"/>
      <c r="T2149" s="2705"/>
      <c r="U2149" s="2705"/>
      <c r="V2149" s="2705"/>
      <c r="W2149" s="2705"/>
      <c r="X2149" s="2705"/>
      <c r="Y2149" s="2705"/>
      <c r="Z2149" s="2705"/>
      <c r="AA2149" s="2705"/>
      <c r="AB2149" s="2705"/>
      <c r="AC2149" s="2249">
        <f>(AC2094+AC2107+AC2112+AC2114+AC2116+AC2119+AC2121+AC2124+AC2126+AC2129+AC2131+AC2135+AC2137+AC2139+AC2145+AC2147)/16</f>
        <v>69.41220238095238</v>
      </c>
      <c r="AD2149" s="2249">
        <f>(AD2094+AD2107+AD2112+AD2114+AD2116+AD2119+AD2121+AD2124+AD2126+AD2129+AD2131+AD2135+AD2137+AD2139+AD2145+AD2147)/16</f>
        <v>42.71555263243215</v>
      </c>
      <c r="AE2149" s="2216"/>
    </row>
    <row r="2150" spans="1:71" s="2131" customFormat="1" ht="20.100000000000001" customHeight="1">
      <c r="A2150" s="2705" t="s">
        <v>64</v>
      </c>
      <c r="B2150" s="2705"/>
      <c r="C2150" s="2705"/>
      <c r="D2150" s="2705"/>
      <c r="E2150" s="2705"/>
      <c r="F2150" s="2705"/>
      <c r="G2150" s="2705"/>
      <c r="H2150" s="2705"/>
      <c r="I2150" s="2705"/>
      <c r="J2150" s="2705"/>
      <c r="K2150" s="2705"/>
      <c r="L2150" s="2705"/>
      <c r="M2150" s="2705"/>
      <c r="N2150" s="2705"/>
      <c r="O2150" s="2705"/>
      <c r="P2150" s="2705"/>
      <c r="Q2150" s="2705"/>
      <c r="R2150" s="2705"/>
      <c r="S2150" s="2705"/>
      <c r="T2150" s="2705"/>
      <c r="U2150" s="2705"/>
      <c r="V2150" s="2705"/>
      <c r="W2150" s="2705"/>
      <c r="X2150" s="2705"/>
      <c r="Y2150" s="2705"/>
      <c r="Z2150" s="2705"/>
      <c r="AA2150" s="2705"/>
      <c r="AB2150" s="2705"/>
      <c r="AC2150" s="2250" t="str">
        <f>IF(AC2149&gt;=91,"ST",IF(AC2149&gt;=76,"T",IF(AC2149&gt;=66,"S",IF(AC2149&gt;=51,"R","SR"))))</f>
        <v>S</v>
      </c>
      <c r="AD2150" s="2250" t="str">
        <f>IF(AD2149&gt;=91,"ST",IF(AD2149&gt;=76,"T",IF(AD2149&gt;=66,"S",IF(AD2149&gt;=51,"R","SR"))))</f>
        <v>SR</v>
      </c>
      <c r="AE2150" s="2216"/>
      <c r="AF2150" s="2020"/>
      <c r="AG2150" s="2020"/>
      <c r="AH2150" s="2020"/>
      <c r="AI2150" s="2020"/>
      <c r="AJ2150" s="2020"/>
      <c r="AK2150" s="2020"/>
      <c r="AL2150" s="2020"/>
      <c r="AM2150" s="2020"/>
      <c r="AN2150" s="2020"/>
      <c r="AO2150" s="2020"/>
      <c r="AP2150" s="2020"/>
      <c r="AQ2150" s="2020"/>
      <c r="AR2150" s="2020"/>
      <c r="AS2150" s="2020"/>
      <c r="AT2150" s="2020"/>
      <c r="AU2150" s="2020"/>
      <c r="AV2150" s="2020"/>
      <c r="AW2150" s="2020"/>
      <c r="AX2150" s="2020"/>
      <c r="AY2150" s="2020"/>
      <c r="AZ2150" s="2020"/>
      <c r="BA2150" s="2020"/>
      <c r="BB2150" s="2020"/>
      <c r="BC2150" s="2020"/>
      <c r="BD2150" s="2020"/>
      <c r="BE2150" s="2020"/>
      <c r="BF2150" s="2020"/>
      <c r="BG2150" s="2020"/>
      <c r="BH2150" s="2020"/>
      <c r="BI2150" s="2020"/>
      <c r="BJ2150" s="2020"/>
      <c r="BK2150" s="2020"/>
      <c r="BL2150" s="2020"/>
      <c r="BM2150" s="2020"/>
      <c r="BN2150" s="2020"/>
      <c r="BO2150" s="2020"/>
      <c r="BP2150" s="2020"/>
      <c r="BQ2150" s="2020"/>
      <c r="BR2150" s="2020"/>
      <c r="BS2150" s="2020"/>
    </row>
    <row r="2151" spans="1:71" s="2131" customFormat="1" ht="27.95" customHeight="1">
      <c r="A2151" s="2132" t="s">
        <v>14</v>
      </c>
      <c r="B2151" s="2133"/>
      <c r="C2151" s="2132"/>
      <c r="D2151" s="2132"/>
      <c r="E2151" s="2132"/>
      <c r="F2151" s="2132"/>
      <c r="G2151" s="2132"/>
      <c r="H2151" s="2132"/>
      <c r="I2151" s="2707" t="s">
        <v>3624</v>
      </c>
      <c r="J2151" s="2708"/>
      <c r="K2151" s="2134"/>
      <c r="L2151" s="2135">
        <f>L2152+L2164+L2169+L2171+L2174+L2176+L2178+L2181+L2184+L2186+L2189</f>
        <v>3322681060</v>
      </c>
      <c r="M2151" s="2134"/>
      <c r="N2151" s="2613">
        <f>N2152+N2164+N2169+N2171+N2174+N2176+N2178+N2181+N2184+N2186+N2189</f>
        <v>959224660</v>
      </c>
      <c r="O2151" s="2134"/>
      <c r="P2151" s="2612">
        <f>P2152+P2164+P2169+P2171+P2174+P2176+P2178+P2181+P2184+P2186+P2189</f>
        <v>522730990.5</v>
      </c>
      <c r="Q2151" s="2134"/>
      <c r="R2151" s="2251">
        <f>R2152+R2164+R2169+R2171+R2174+R2176+R2178+R2181+R2184+R2186+R2189</f>
        <v>83111175</v>
      </c>
      <c r="S2151" s="2134"/>
      <c r="T2151" s="2251">
        <f>T2152+T2164+T2169+T2171+T2174+T2176+T2178+T2181+T2184+T2186+T2189</f>
        <v>115666747.62500073</v>
      </c>
      <c r="U2151" s="2134"/>
      <c r="V2151" s="2251">
        <f>V2152+V2164+V2169+V2171+V2174+V2176+V2178+V2181+V2184+V2186+V2189</f>
        <v>0</v>
      </c>
      <c r="W2151" s="2134"/>
      <c r="X2151" s="2251">
        <f>X2152+X2164+X2169+X2171+X2174+X2176+X2178+X2181+X2184+X2186+X2189</f>
        <v>0</v>
      </c>
      <c r="Y2151" s="2251">
        <f>Y2152+Y2164+Y2169+Y2171+Y2174+Y2176+Y2178+Y2181+Y2184+Y2186+Y2189</f>
        <v>57.05</v>
      </c>
      <c r="Z2151" s="2251">
        <f>Z2152+Z2164+Z2169+Z2171+Z2174+Z2176+Z2178+Z2181+Z2184+Z2186+Z2189</f>
        <v>198777922.62500072</v>
      </c>
      <c r="AA2151" s="2134">
        <f t="shared" ref="AA2151:AB2196" si="640">M2151+Y2151</f>
        <v>57.05</v>
      </c>
      <c r="AB2151" s="2251">
        <f>AB2152+AB2164+AB2169+AB2171+AB2174+AB2176+AB2178+AB2181+AB2184+AB2186+AB2189</f>
        <v>1158002582.6250007</v>
      </c>
      <c r="AC2151" s="2134"/>
      <c r="AD2151" s="2134"/>
      <c r="AE2151" s="2137"/>
      <c r="AF2151" s="2138"/>
      <c r="AG2151" s="2138"/>
      <c r="AH2151" s="2138"/>
      <c r="AI2151" s="2138"/>
      <c r="AJ2151" s="2138"/>
      <c r="AK2151" s="2138"/>
      <c r="AL2151" s="2138"/>
      <c r="AM2151" s="2138"/>
      <c r="AN2151" s="2138"/>
      <c r="AO2151" s="2138"/>
      <c r="AP2151" s="2138"/>
      <c r="AQ2151" s="2138"/>
      <c r="AR2151" s="2138"/>
      <c r="AS2151" s="2138"/>
      <c r="AT2151" s="2138"/>
      <c r="AU2151" s="2138"/>
      <c r="AV2151" s="2138"/>
      <c r="AW2151" s="2138"/>
      <c r="AX2151" s="2138"/>
      <c r="AY2151" s="2138"/>
      <c r="AZ2151" s="2138"/>
      <c r="BA2151" s="2138"/>
      <c r="BB2151" s="2138"/>
      <c r="BC2151" s="2138"/>
      <c r="BD2151" s="2138"/>
      <c r="BE2151" s="2138"/>
      <c r="BF2151" s="2138"/>
      <c r="BG2151" s="2138"/>
      <c r="BH2151" s="2138"/>
      <c r="BI2151" s="2138"/>
      <c r="BJ2151" s="2138"/>
      <c r="BK2151" s="2138"/>
      <c r="BL2151" s="2138"/>
      <c r="BM2151" s="2138"/>
      <c r="BN2151" s="2138"/>
      <c r="BO2151" s="2138"/>
      <c r="BP2151" s="2138"/>
      <c r="BQ2151" s="2138"/>
      <c r="BR2151" s="2138"/>
      <c r="BS2151" s="2138"/>
    </row>
    <row r="2152" spans="1:71" s="2131" customFormat="1" ht="63.75">
      <c r="A2152" s="2140" t="s">
        <v>113</v>
      </c>
      <c r="B2152" s="2194"/>
      <c r="C2152" s="2142">
        <v>5</v>
      </c>
      <c r="D2152" s="2142" t="s">
        <v>34</v>
      </c>
      <c r="E2152" s="2142" t="s">
        <v>25</v>
      </c>
      <c r="F2152" s="2142" t="s">
        <v>45</v>
      </c>
      <c r="G2152" s="2142" t="s">
        <v>25</v>
      </c>
      <c r="H2152" s="2140"/>
      <c r="I2152" s="2143" t="s">
        <v>3625</v>
      </c>
      <c r="J2152" s="2143" t="s">
        <v>3626</v>
      </c>
      <c r="K2152" s="2144">
        <v>72</v>
      </c>
      <c r="L2152" s="2145">
        <f>SUM(L2153:L2163)</f>
        <v>1337998210</v>
      </c>
      <c r="M2152" s="2144">
        <v>24</v>
      </c>
      <c r="N2152" s="2145">
        <f>SUM(N2153:N2163)</f>
        <v>421306810</v>
      </c>
      <c r="O2152" s="2144">
        <v>33</v>
      </c>
      <c r="P2152" s="2145">
        <f>SUM(P2153:P2163)</f>
        <v>260443490.5</v>
      </c>
      <c r="Q2152" s="2144">
        <v>3</v>
      </c>
      <c r="R2152" s="2145">
        <f>SUM(R2153:R2163)</f>
        <v>47438275</v>
      </c>
      <c r="S2152" s="2144">
        <v>3</v>
      </c>
      <c r="T2152" s="2145">
        <f>SUM(T2153:T2163)</f>
        <v>65110872.625</v>
      </c>
      <c r="U2152" s="2144"/>
      <c r="V2152" s="2145">
        <f>SUM(V2153:V2163)</f>
        <v>0</v>
      </c>
      <c r="W2152" s="2144"/>
      <c r="X2152" s="2144">
        <f>SUM(X2153:X2163)</f>
        <v>0</v>
      </c>
      <c r="Y2152" s="2147">
        <f t="shared" ref="Y2152:Z2196" si="641">Q2152+S2152+U2152+W2152</f>
        <v>6</v>
      </c>
      <c r="Z2152" s="2145">
        <f t="shared" si="641"/>
        <v>112549147.625</v>
      </c>
      <c r="AA2152" s="2147">
        <f t="shared" si="640"/>
        <v>30</v>
      </c>
      <c r="AB2152" s="2145">
        <f t="shared" si="640"/>
        <v>533855957.625</v>
      </c>
      <c r="AC2152" s="2147">
        <f t="shared" ref="AC2152:AD2196" si="642">(AA2152/K2152)*100</f>
        <v>41.666666666666671</v>
      </c>
      <c r="AD2152" s="2147">
        <f t="shared" si="642"/>
        <v>39.899601780857388</v>
      </c>
      <c r="AE2152" s="2140" t="s">
        <v>3593</v>
      </c>
      <c r="AF2152" s="2149"/>
      <c r="AG2152" s="2149"/>
      <c r="AH2152" s="2149"/>
      <c r="AI2152" s="2149"/>
      <c r="AJ2152" s="2149"/>
      <c r="AK2152" s="2149"/>
      <c r="AL2152" s="2149"/>
      <c r="AM2152" s="2149"/>
      <c r="AN2152" s="2149"/>
      <c r="AO2152" s="2149"/>
      <c r="AP2152" s="2149"/>
      <c r="AQ2152" s="2149"/>
      <c r="AR2152" s="2149"/>
      <c r="AS2152" s="2149"/>
      <c r="AT2152" s="2149"/>
      <c r="AU2152" s="2149"/>
      <c r="AV2152" s="2149"/>
      <c r="AW2152" s="2149"/>
      <c r="AX2152" s="2149"/>
      <c r="AY2152" s="2149"/>
      <c r="AZ2152" s="2149"/>
      <c r="BA2152" s="2149"/>
      <c r="BB2152" s="2149"/>
      <c r="BC2152" s="2149"/>
      <c r="BD2152" s="2149"/>
      <c r="BE2152" s="2149"/>
      <c r="BF2152" s="2149"/>
      <c r="BG2152" s="2149"/>
      <c r="BH2152" s="2149"/>
      <c r="BI2152" s="2149"/>
      <c r="BJ2152" s="2149"/>
      <c r="BK2152" s="2149"/>
      <c r="BL2152" s="2149"/>
      <c r="BM2152" s="2149"/>
      <c r="BN2152" s="2149"/>
      <c r="BO2152" s="2149"/>
      <c r="BP2152" s="2149"/>
      <c r="BQ2152" s="2149"/>
      <c r="BR2152" s="2149"/>
      <c r="BS2152" s="2149"/>
    </row>
    <row r="2153" spans="1:71" s="2131" customFormat="1" ht="51">
      <c r="A2153" s="2267"/>
      <c r="B2153" s="2253"/>
      <c r="C2153" s="2164">
        <v>5</v>
      </c>
      <c r="D2153" s="2164" t="s">
        <v>34</v>
      </c>
      <c r="E2153" s="2164" t="s">
        <v>25</v>
      </c>
      <c r="F2153" s="2164" t="s">
        <v>45</v>
      </c>
      <c r="G2153" s="2164" t="s">
        <v>25</v>
      </c>
      <c r="H2153" s="2254" t="s">
        <v>28</v>
      </c>
      <c r="I2153" s="2171" t="s">
        <v>67</v>
      </c>
      <c r="J2153" s="2171" t="s">
        <v>3627</v>
      </c>
      <c r="K2153" s="2255">
        <v>72</v>
      </c>
      <c r="L2153" s="2203">
        <v>38050000</v>
      </c>
      <c r="M2153" s="2256">
        <v>24</v>
      </c>
      <c r="N2153" s="2257">
        <v>13850000</v>
      </c>
      <c r="O2153" s="2255">
        <v>36</v>
      </c>
      <c r="P2153" s="2258">
        <v>19920000</v>
      </c>
      <c r="Q2153" s="2256">
        <v>3</v>
      </c>
      <c r="R2153" s="2203">
        <v>234175</v>
      </c>
      <c r="S2153" s="2255">
        <v>3</v>
      </c>
      <c r="T2153" s="2203">
        <f>P2153/4</f>
        <v>4980000</v>
      </c>
      <c r="U2153" s="2255"/>
      <c r="V2153" s="2258"/>
      <c r="W2153" s="2255"/>
      <c r="X2153" s="2203"/>
      <c r="Y2153" s="2240">
        <f t="shared" si="641"/>
        <v>6</v>
      </c>
      <c r="Z2153" s="2203">
        <f t="shared" si="641"/>
        <v>5214175</v>
      </c>
      <c r="AA2153" s="2240">
        <f t="shared" si="640"/>
        <v>30</v>
      </c>
      <c r="AB2153" s="2203">
        <f t="shared" si="640"/>
        <v>19064175</v>
      </c>
      <c r="AC2153" s="2243">
        <f t="shared" si="642"/>
        <v>41.666666666666671</v>
      </c>
      <c r="AD2153" s="2243">
        <f t="shared" si="642"/>
        <v>50.10295663600526</v>
      </c>
      <c r="AE2153" s="2267"/>
      <c r="AF2153" s="2259"/>
      <c r="AG2153" s="2259"/>
      <c r="AH2153" s="2259"/>
      <c r="AI2153" s="2259"/>
      <c r="AJ2153" s="2259"/>
      <c r="AK2153" s="2259"/>
      <c r="AL2153" s="2259"/>
      <c r="AM2153" s="2259"/>
      <c r="AN2153" s="2259"/>
      <c r="AO2153" s="2259"/>
      <c r="AP2153" s="2259"/>
      <c r="AQ2153" s="2259"/>
      <c r="AR2153" s="2259"/>
      <c r="AS2153" s="2259"/>
      <c r="AT2153" s="2259"/>
      <c r="AU2153" s="2259"/>
      <c r="AV2153" s="2259"/>
      <c r="AW2153" s="2259"/>
      <c r="AX2153" s="2259"/>
      <c r="AY2153" s="2259"/>
      <c r="AZ2153" s="2259"/>
      <c r="BA2153" s="2259"/>
      <c r="BB2153" s="2259"/>
      <c r="BC2153" s="2259"/>
      <c r="BD2153" s="2259"/>
      <c r="BE2153" s="2259"/>
      <c r="BF2153" s="2259"/>
      <c r="BG2153" s="2259"/>
      <c r="BH2153" s="2259"/>
      <c r="BI2153" s="2259"/>
      <c r="BJ2153" s="2259"/>
      <c r="BK2153" s="2259"/>
      <c r="BL2153" s="2259"/>
      <c r="BM2153" s="2259"/>
      <c r="BN2153" s="2259"/>
      <c r="BO2153" s="2259"/>
      <c r="BP2153" s="2259"/>
      <c r="BQ2153" s="2259"/>
      <c r="BR2153" s="2259"/>
      <c r="BS2153" s="2259"/>
    </row>
    <row r="2154" spans="1:71" s="2131" customFormat="1" ht="63.75">
      <c r="A2154" s="2267"/>
      <c r="B2154" s="2253"/>
      <c r="C2154" s="2164">
        <v>5</v>
      </c>
      <c r="D2154" s="2164" t="s">
        <v>34</v>
      </c>
      <c r="E2154" s="2164" t="s">
        <v>25</v>
      </c>
      <c r="F2154" s="2164" t="s">
        <v>45</v>
      </c>
      <c r="G2154" s="2164" t="s">
        <v>25</v>
      </c>
      <c r="H2154" s="2254" t="s">
        <v>29</v>
      </c>
      <c r="I2154" s="2171" t="s">
        <v>68</v>
      </c>
      <c r="J2154" s="2171" t="s">
        <v>3628</v>
      </c>
      <c r="K2154" s="2255">
        <v>72</v>
      </c>
      <c r="L2154" s="2203">
        <v>310698550</v>
      </c>
      <c r="M2154" s="2256">
        <v>24</v>
      </c>
      <c r="N2154" s="2257">
        <v>105087150</v>
      </c>
      <c r="O2154" s="2255">
        <v>36</v>
      </c>
      <c r="P2154" s="2258">
        <v>71724990.5</v>
      </c>
      <c r="Q2154" s="2256">
        <v>3</v>
      </c>
      <c r="R2154" s="2203">
        <v>5850000</v>
      </c>
      <c r="S2154" s="2255">
        <v>3</v>
      </c>
      <c r="T2154" s="2203">
        <f t="shared" ref="T2154:T2163" si="643">P2154/4</f>
        <v>17931247.625</v>
      </c>
      <c r="U2154" s="2255"/>
      <c r="V2154" s="2258"/>
      <c r="W2154" s="2255"/>
      <c r="X2154" s="2203"/>
      <c r="Y2154" s="2240">
        <f t="shared" si="641"/>
        <v>6</v>
      </c>
      <c r="Z2154" s="2203">
        <f t="shared" si="641"/>
        <v>23781247.625</v>
      </c>
      <c r="AA2154" s="2240">
        <f t="shared" si="640"/>
        <v>30</v>
      </c>
      <c r="AB2154" s="2203">
        <f t="shared" si="640"/>
        <v>128868397.625</v>
      </c>
      <c r="AC2154" s="2243">
        <f t="shared" si="642"/>
        <v>41.666666666666671</v>
      </c>
      <c r="AD2154" s="2243">
        <f t="shared" si="642"/>
        <v>41.476987139141777</v>
      </c>
      <c r="AE2154" s="2267"/>
      <c r="AF2154" s="2259"/>
      <c r="AG2154" s="2259"/>
      <c r="AH2154" s="2259"/>
      <c r="AI2154" s="2259"/>
      <c r="AJ2154" s="2259"/>
      <c r="AK2154" s="2259"/>
      <c r="AL2154" s="2259"/>
      <c r="AM2154" s="2259"/>
      <c r="AN2154" s="2259"/>
      <c r="AO2154" s="2259"/>
      <c r="AP2154" s="2259"/>
      <c r="AQ2154" s="2259"/>
      <c r="AR2154" s="2259"/>
      <c r="AS2154" s="2259"/>
      <c r="AT2154" s="2259"/>
      <c r="AU2154" s="2259"/>
      <c r="AV2154" s="2259"/>
      <c r="AW2154" s="2259"/>
      <c r="AX2154" s="2259"/>
      <c r="AY2154" s="2259"/>
      <c r="AZ2154" s="2259"/>
      <c r="BA2154" s="2259"/>
      <c r="BB2154" s="2259"/>
      <c r="BC2154" s="2259"/>
      <c r="BD2154" s="2259"/>
      <c r="BE2154" s="2259"/>
      <c r="BF2154" s="2259"/>
      <c r="BG2154" s="2259"/>
      <c r="BH2154" s="2259"/>
      <c r="BI2154" s="2259"/>
      <c r="BJ2154" s="2259"/>
      <c r="BK2154" s="2259"/>
      <c r="BL2154" s="2259"/>
      <c r="BM2154" s="2259"/>
      <c r="BN2154" s="2259"/>
      <c r="BO2154" s="2259"/>
      <c r="BP2154" s="2259"/>
      <c r="BQ2154" s="2259"/>
      <c r="BR2154" s="2259"/>
      <c r="BS2154" s="2259"/>
    </row>
    <row r="2155" spans="1:71" s="2131" customFormat="1" ht="51">
      <c r="A2155" s="2152"/>
      <c r="B2155" s="2253"/>
      <c r="C2155" s="2164">
        <v>5</v>
      </c>
      <c r="D2155" s="2164" t="s">
        <v>34</v>
      </c>
      <c r="E2155" s="2164" t="s">
        <v>25</v>
      </c>
      <c r="F2155" s="2164" t="s">
        <v>45</v>
      </c>
      <c r="G2155" s="2164" t="s">
        <v>25</v>
      </c>
      <c r="H2155" s="2164" t="s">
        <v>30</v>
      </c>
      <c r="I2155" s="2260" t="s">
        <v>69</v>
      </c>
      <c r="J2155" s="2260" t="s">
        <v>3629</v>
      </c>
      <c r="K2155" s="2261">
        <v>72</v>
      </c>
      <c r="L2155" s="2241">
        <v>52995200</v>
      </c>
      <c r="M2155" s="2261">
        <v>24</v>
      </c>
      <c r="N2155" s="2262">
        <v>16995200</v>
      </c>
      <c r="O2155" s="2240">
        <v>36</v>
      </c>
      <c r="P2155" s="2242">
        <v>16297700</v>
      </c>
      <c r="Q2155" s="2261">
        <v>3</v>
      </c>
      <c r="R2155" s="2241">
        <v>3330000</v>
      </c>
      <c r="S2155" s="2240">
        <v>3</v>
      </c>
      <c r="T2155" s="2241">
        <f t="shared" si="643"/>
        <v>4074425</v>
      </c>
      <c r="U2155" s="2240"/>
      <c r="V2155" s="2242"/>
      <c r="W2155" s="2240"/>
      <c r="X2155" s="2241"/>
      <c r="Y2155" s="2240">
        <f t="shared" si="641"/>
        <v>6</v>
      </c>
      <c r="Z2155" s="2241">
        <f t="shared" si="641"/>
        <v>7404425</v>
      </c>
      <c r="AA2155" s="2240">
        <f t="shared" si="640"/>
        <v>30</v>
      </c>
      <c r="AB2155" s="2241">
        <f t="shared" si="640"/>
        <v>24399625</v>
      </c>
      <c r="AC2155" s="2243">
        <f t="shared" si="642"/>
        <v>41.666666666666671</v>
      </c>
      <c r="AD2155" s="2243">
        <f t="shared" si="642"/>
        <v>46.041198070768672</v>
      </c>
      <c r="AE2155" s="2152"/>
      <c r="AF2155" s="2259"/>
      <c r="AG2155" s="2259"/>
      <c r="AH2155" s="2259"/>
      <c r="AI2155" s="2259"/>
      <c r="AJ2155" s="2259"/>
      <c r="AK2155" s="2259"/>
      <c r="AL2155" s="2259"/>
      <c r="AM2155" s="2259"/>
      <c r="AN2155" s="2259"/>
      <c r="AO2155" s="2259"/>
      <c r="AP2155" s="2259"/>
      <c r="AQ2155" s="2259"/>
      <c r="AR2155" s="2259"/>
      <c r="AS2155" s="2259"/>
      <c r="AT2155" s="2259"/>
      <c r="AU2155" s="2259"/>
      <c r="AV2155" s="2259"/>
      <c r="AW2155" s="2259"/>
      <c r="AX2155" s="2259"/>
      <c r="AY2155" s="2259"/>
      <c r="AZ2155" s="2259"/>
      <c r="BA2155" s="2259"/>
      <c r="BB2155" s="2259"/>
      <c r="BC2155" s="2259"/>
      <c r="BD2155" s="2259"/>
      <c r="BE2155" s="2259"/>
      <c r="BF2155" s="2259"/>
      <c r="BG2155" s="2259"/>
      <c r="BH2155" s="2259"/>
      <c r="BI2155" s="2259"/>
      <c r="BJ2155" s="2259"/>
      <c r="BK2155" s="2259"/>
      <c r="BL2155" s="2259"/>
      <c r="BM2155" s="2259"/>
      <c r="BN2155" s="2259"/>
      <c r="BO2155" s="2259"/>
      <c r="BP2155" s="2259"/>
      <c r="BQ2155" s="2259"/>
      <c r="BR2155" s="2259"/>
      <c r="BS2155" s="2259"/>
    </row>
    <row r="2156" spans="1:71" s="2131" customFormat="1" ht="25.5">
      <c r="A2156" s="2267"/>
      <c r="B2156" s="2263"/>
      <c r="C2156" s="2254">
        <v>5</v>
      </c>
      <c r="D2156" s="2254" t="s">
        <v>34</v>
      </c>
      <c r="E2156" s="2254" t="s">
        <v>25</v>
      </c>
      <c r="F2156" s="2254" t="s">
        <v>45</v>
      </c>
      <c r="G2156" s="2254" t="s">
        <v>25</v>
      </c>
      <c r="H2156" s="2254" t="s">
        <v>31</v>
      </c>
      <c r="I2156" s="2171" t="s">
        <v>70</v>
      </c>
      <c r="J2156" s="2171" t="s">
        <v>103</v>
      </c>
      <c r="K2156" s="2255">
        <v>72</v>
      </c>
      <c r="L2156" s="2203">
        <v>116922720</v>
      </c>
      <c r="M2156" s="2256">
        <v>24</v>
      </c>
      <c r="N2156" s="2257">
        <v>38922720</v>
      </c>
      <c r="O2156" s="2255">
        <v>36</v>
      </c>
      <c r="P2156" s="2258">
        <v>17463800</v>
      </c>
      <c r="Q2156" s="2256">
        <v>3</v>
      </c>
      <c r="R2156" s="2203">
        <v>6258850</v>
      </c>
      <c r="S2156" s="2255">
        <v>3</v>
      </c>
      <c r="T2156" s="2203">
        <f t="shared" si="643"/>
        <v>4365950</v>
      </c>
      <c r="U2156" s="2255"/>
      <c r="V2156" s="2258"/>
      <c r="W2156" s="2255"/>
      <c r="X2156" s="2203"/>
      <c r="Y2156" s="2255">
        <f t="shared" si="641"/>
        <v>6</v>
      </c>
      <c r="Z2156" s="2203">
        <f t="shared" si="641"/>
        <v>10624800</v>
      </c>
      <c r="AA2156" s="2255">
        <f t="shared" si="640"/>
        <v>30</v>
      </c>
      <c r="AB2156" s="2203">
        <f t="shared" si="640"/>
        <v>49547520</v>
      </c>
      <c r="AC2156" s="2264">
        <f t="shared" si="642"/>
        <v>41.666666666666671</v>
      </c>
      <c r="AD2156" s="2264">
        <f t="shared" si="642"/>
        <v>42.376297780277433</v>
      </c>
      <c r="AE2156" s="2267"/>
      <c r="AF2156" s="2259"/>
      <c r="AG2156" s="2259"/>
      <c r="AH2156" s="2259"/>
      <c r="AI2156" s="2259"/>
      <c r="AJ2156" s="2259"/>
      <c r="AK2156" s="2259"/>
      <c r="AL2156" s="2259"/>
      <c r="AM2156" s="2259"/>
      <c r="AN2156" s="2259"/>
      <c r="AO2156" s="2259"/>
      <c r="AP2156" s="2259"/>
      <c r="AQ2156" s="2259"/>
      <c r="AR2156" s="2259"/>
      <c r="AS2156" s="2259"/>
      <c r="AT2156" s="2259"/>
      <c r="AU2156" s="2259"/>
      <c r="AV2156" s="2259"/>
      <c r="AW2156" s="2259"/>
      <c r="AX2156" s="2259"/>
      <c r="AY2156" s="2259"/>
      <c r="AZ2156" s="2259"/>
      <c r="BA2156" s="2259"/>
      <c r="BB2156" s="2259"/>
      <c r="BC2156" s="2259"/>
      <c r="BD2156" s="2259"/>
      <c r="BE2156" s="2259"/>
      <c r="BF2156" s="2259"/>
      <c r="BG2156" s="2259"/>
      <c r="BH2156" s="2259"/>
      <c r="BI2156" s="2259"/>
      <c r="BJ2156" s="2259"/>
      <c r="BK2156" s="2259"/>
      <c r="BL2156" s="2259"/>
      <c r="BM2156" s="2259"/>
      <c r="BN2156" s="2259"/>
      <c r="BO2156" s="2259"/>
      <c r="BP2156" s="2259"/>
      <c r="BQ2156" s="2259"/>
      <c r="BR2156" s="2259"/>
      <c r="BS2156" s="2259"/>
    </row>
    <row r="2157" spans="1:71" s="2131" customFormat="1" ht="38.25">
      <c r="A2157" s="2152"/>
      <c r="B2157" s="2253"/>
      <c r="C2157" s="2164">
        <v>5</v>
      </c>
      <c r="D2157" s="2164" t="s">
        <v>34</v>
      </c>
      <c r="E2157" s="2164" t="s">
        <v>25</v>
      </c>
      <c r="F2157" s="2164" t="s">
        <v>45</v>
      </c>
      <c r="G2157" s="2164" t="s">
        <v>25</v>
      </c>
      <c r="H2157" s="2164" t="s">
        <v>62</v>
      </c>
      <c r="I2157" s="2260" t="s">
        <v>71</v>
      </c>
      <c r="J2157" s="2265" t="s">
        <v>3630</v>
      </c>
      <c r="K2157" s="2240">
        <v>72</v>
      </c>
      <c r="L2157" s="2241">
        <v>73730240</v>
      </c>
      <c r="M2157" s="2261">
        <v>24</v>
      </c>
      <c r="N2157" s="2262">
        <v>22530240</v>
      </c>
      <c r="O2157" s="2240">
        <v>36</v>
      </c>
      <c r="P2157" s="2242">
        <v>18592000</v>
      </c>
      <c r="Q2157" s="2261">
        <v>3</v>
      </c>
      <c r="R2157" s="2241">
        <v>7151000</v>
      </c>
      <c r="S2157" s="2240">
        <v>3</v>
      </c>
      <c r="T2157" s="2241">
        <f t="shared" si="643"/>
        <v>4648000</v>
      </c>
      <c r="U2157" s="2240"/>
      <c r="V2157" s="2241"/>
      <c r="W2157" s="2240"/>
      <c r="X2157" s="2241"/>
      <c r="Y2157" s="2240">
        <f t="shared" si="641"/>
        <v>6</v>
      </c>
      <c r="Z2157" s="2241">
        <f t="shared" si="641"/>
        <v>11799000</v>
      </c>
      <c r="AA2157" s="2240">
        <f t="shared" si="640"/>
        <v>30</v>
      </c>
      <c r="AB2157" s="2241">
        <f t="shared" si="640"/>
        <v>34329240</v>
      </c>
      <c r="AC2157" s="2243">
        <f t="shared" si="642"/>
        <v>41.666666666666671</v>
      </c>
      <c r="AD2157" s="2243">
        <f t="shared" si="642"/>
        <v>46.56059711727508</v>
      </c>
      <c r="AE2157" s="2152"/>
      <c r="AF2157" s="2259"/>
      <c r="AG2157" s="2259"/>
      <c r="AH2157" s="2259"/>
      <c r="AI2157" s="2259"/>
      <c r="AJ2157" s="2259"/>
      <c r="AK2157" s="2259"/>
      <c r="AL2157" s="2259"/>
      <c r="AM2157" s="2259"/>
      <c r="AN2157" s="2259"/>
      <c r="AO2157" s="2259"/>
      <c r="AP2157" s="2259"/>
      <c r="AQ2157" s="2259"/>
      <c r="AR2157" s="2259"/>
      <c r="AS2157" s="2259"/>
      <c r="AT2157" s="2259"/>
      <c r="AU2157" s="2259"/>
      <c r="AV2157" s="2259"/>
      <c r="AW2157" s="2259"/>
      <c r="AX2157" s="2259"/>
      <c r="AY2157" s="2259"/>
      <c r="AZ2157" s="2259"/>
      <c r="BA2157" s="2259"/>
      <c r="BB2157" s="2259"/>
      <c r="BC2157" s="2259"/>
      <c r="BD2157" s="2259"/>
      <c r="BE2157" s="2259"/>
      <c r="BF2157" s="2259"/>
      <c r="BG2157" s="2259"/>
      <c r="BH2157" s="2259"/>
      <c r="BI2157" s="2259"/>
      <c r="BJ2157" s="2259"/>
      <c r="BK2157" s="2259"/>
      <c r="BL2157" s="2259"/>
      <c r="BM2157" s="2259"/>
      <c r="BN2157" s="2259"/>
      <c r="BO2157" s="2259"/>
      <c r="BP2157" s="2259"/>
      <c r="BQ2157" s="2259"/>
      <c r="BR2157" s="2259"/>
      <c r="BS2157" s="2259"/>
    </row>
    <row r="2158" spans="1:71" s="2131" customFormat="1" ht="51">
      <c r="A2158" s="2152"/>
      <c r="B2158" s="2253"/>
      <c r="C2158" s="2164">
        <v>5</v>
      </c>
      <c r="D2158" s="2164" t="s">
        <v>34</v>
      </c>
      <c r="E2158" s="2164" t="s">
        <v>25</v>
      </c>
      <c r="F2158" s="2164" t="s">
        <v>45</v>
      </c>
      <c r="G2158" s="2164" t="s">
        <v>25</v>
      </c>
      <c r="H2158" s="2164" t="s">
        <v>52</v>
      </c>
      <c r="I2158" s="2260" t="s">
        <v>72</v>
      </c>
      <c r="J2158" s="2260" t="s">
        <v>3631</v>
      </c>
      <c r="K2158" s="2240">
        <v>72</v>
      </c>
      <c r="L2158" s="2241">
        <v>24504000</v>
      </c>
      <c r="M2158" s="2261">
        <v>24</v>
      </c>
      <c r="N2158" s="2262">
        <v>7304000</v>
      </c>
      <c r="O2158" s="2240">
        <v>36</v>
      </c>
      <c r="P2158" s="2242">
        <v>16019000</v>
      </c>
      <c r="Q2158" s="2261">
        <v>3</v>
      </c>
      <c r="R2158" s="2241">
        <v>3584250</v>
      </c>
      <c r="S2158" s="2240">
        <v>3</v>
      </c>
      <c r="T2158" s="2241">
        <f t="shared" si="643"/>
        <v>4004750</v>
      </c>
      <c r="U2158" s="2240"/>
      <c r="V2158" s="2242"/>
      <c r="W2158" s="2240"/>
      <c r="X2158" s="2241"/>
      <c r="Y2158" s="2240">
        <f t="shared" si="641"/>
        <v>6</v>
      </c>
      <c r="Z2158" s="2241">
        <f t="shared" si="641"/>
        <v>7589000</v>
      </c>
      <c r="AA2158" s="2240">
        <f t="shared" si="640"/>
        <v>30</v>
      </c>
      <c r="AB2158" s="2241">
        <f t="shared" si="640"/>
        <v>14893000</v>
      </c>
      <c r="AC2158" s="2243">
        <f t="shared" si="642"/>
        <v>41.666666666666671</v>
      </c>
      <c r="AD2158" s="2243">
        <f t="shared" si="642"/>
        <v>60.77783219066275</v>
      </c>
      <c r="AE2158" s="2152"/>
      <c r="AF2158" s="2259"/>
      <c r="AG2158" s="2259"/>
      <c r="AH2158" s="2259"/>
      <c r="AI2158" s="2259"/>
      <c r="AJ2158" s="2259"/>
      <c r="AK2158" s="2259"/>
      <c r="AL2158" s="2259"/>
      <c r="AM2158" s="2259"/>
      <c r="AN2158" s="2259"/>
      <c r="AO2158" s="2259"/>
      <c r="AP2158" s="2259"/>
      <c r="AQ2158" s="2259"/>
      <c r="AR2158" s="2259"/>
      <c r="AS2158" s="2259"/>
      <c r="AT2158" s="2259"/>
      <c r="AU2158" s="2259"/>
      <c r="AV2158" s="2259"/>
      <c r="AW2158" s="2259"/>
      <c r="AX2158" s="2259"/>
      <c r="AY2158" s="2259"/>
      <c r="AZ2158" s="2259"/>
      <c r="BA2158" s="2259"/>
      <c r="BB2158" s="2259"/>
      <c r="BC2158" s="2259"/>
      <c r="BD2158" s="2259"/>
      <c r="BE2158" s="2259"/>
      <c r="BF2158" s="2259"/>
      <c r="BG2158" s="2259"/>
      <c r="BH2158" s="2259"/>
      <c r="BI2158" s="2259"/>
      <c r="BJ2158" s="2259"/>
      <c r="BK2158" s="2259"/>
      <c r="BL2158" s="2259"/>
      <c r="BM2158" s="2259"/>
      <c r="BN2158" s="2259"/>
      <c r="BO2158" s="2259"/>
      <c r="BP2158" s="2259"/>
      <c r="BQ2158" s="2259"/>
      <c r="BR2158" s="2259"/>
      <c r="BS2158" s="2259"/>
    </row>
    <row r="2159" spans="1:71" s="2131" customFormat="1" ht="63.75">
      <c r="A2159" s="2267"/>
      <c r="B2159" s="2253"/>
      <c r="C2159" s="2164">
        <v>5</v>
      </c>
      <c r="D2159" s="2164" t="s">
        <v>34</v>
      </c>
      <c r="E2159" s="2164" t="s">
        <v>25</v>
      </c>
      <c r="F2159" s="2164" t="s">
        <v>45</v>
      </c>
      <c r="G2159" s="2164" t="s">
        <v>25</v>
      </c>
      <c r="H2159" s="2254" t="s">
        <v>45</v>
      </c>
      <c r="I2159" s="2171" t="s">
        <v>73</v>
      </c>
      <c r="J2159" s="2171" t="s">
        <v>3632</v>
      </c>
      <c r="K2159" s="2255">
        <v>72</v>
      </c>
      <c r="L2159" s="2203">
        <v>37440000</v>
      </c>
      <c r="M2159" s="2256">
        <v>24</v>
      </c>
      <c r="N2159" s="2257">
        <v>12960000</v>
      </c>
      <c r="O2159" s="2255">
        <v>36</v>
      </c>
      <c r="P2159" s="2258">
        <v>6120000</v>
      </c>
      <c r="Q2159" s="2256">
        <v>3</v>
      </c>
      <c r="R2159" s="2203">
        <v>980000</v>
      </c>
      <c r="S2159" s="2255">
        <v>3</v>
      </c>
      <c r="T2159" s="2203">
        <f t="shared" si="643"/>
        <v>1530000</v>
      </c>
      <c r="U2159" s="2255"/>
      <c r="V2159" s="2258"/>
      <c r="W2159" s="2255"/>
      <c r="X2159" s="2203"/>
      <c r="Y2159" s="2240">
        <f t="shared" si="641"/>
        <v>6</v>
      </c>
      <c r="Z2159" s="2203">
        <f t="shared" si="641"/>
        <v>2510000</v>
      </c>
      <c r="AA2159" s="2240">
        <f t="shared" si="640"/>
        <v>30</v>
      </c>
      <c r="AB2159" s="2203">
        <f t="shared" si="640"/>
        <v>15470000</v>
      </c>
      <c r="AC2159" s="2243">
        <f t="shared" si="642"/>
        <v>41.666666666666671</v>
      </c>
      <c r="AD2159" s="2243">
        <f t="shared" si="642"/>
        <v>41.319444444444443</v>
      </c>
      <c r="AE2159" s="2267"/>
      <c r="AF2159" s="2259"/>
      <c r="AG2159" s="2259"/>
      <c r="AH2159" s="2259"/>
      <c r="AI2159" s="2259"/>
      <c r="AJ2159" s="2259"/>
      <c r="AK2159" s="2259"/>
      <c r="AL2159" s="2259"/>
      <c r="AM2159" s="2259"/>
      <c r="AN2159" s="2259"/>
      <c r="AO2159" s="2259"/>
      <c r="AP2159" s="2259"/>
      <c r="AQ2159" s="2259"/>
      <c r="AR2159" s="2259"/>
      <c r="AS2159" s="2259"/>
      <c r="AT2159" s="2259"/>
      <c r="AU2159" s="2259"/>
      <c r="AV2159" s="2259"/>
      <c r="AW2159" s="2259"/>
      <c r="AX2159" s="2259"/>
      <c r="AY2159" s="2259"/>
      <c r="AZ2159" s="2259"/>
      <c r="BA2159" s="2259"/>
      <c r="BB2159" s="2259"/>
      <c r="BC2159" s="2259"/>
      <c r="BD2159" s="2259"/>
      <c r="BE2159" s="2259"/>
      <c r="BF2159" s="2259"/>
      <c r="BG2159" s="2259"/>
      <c r="BH2159" s="2259"/>
      <c r="BI2159" s="2259"/>
      <c r="BJ2159" s="2259"/>
      <c r="BK2159" s="2259"/>
      <c r="BL2159" s="2259"/>
      <c r="BM2159" s="2259"/>
      <c r="BN2159" s="2259"/>
      <c r="BO2159" s="2259"/>
      <c r="BP2159" s="2259"/>
      <c r="BQ2159" s="2259"/>
      <c r="BR2159" s="2259"/>
      <c r="BS2159" s="2259"/>
    </row>
    <row r="2160" spans="1:71" s="2131" customFormat="1" ht="38.25">
      <c r="A2160" s="2152"/>
      <c r="B2160" s="2253"/>
      <c r="C2160" s="2164">
        <v>5</v>
      </c>
      <c r="D2160" s="2164" t="s">
        <v>34</v>
      </c>
      <c r="E2160" s="2164" t="s">
        <v>25</v>
      </c>
      <c r="F2160" s="2164" t="s">
        <v>45</v>
      </c>
      <c r="G2160" s="2164" t="s">
        <v>25</v>
      </c>
      <c r="H2160" s="2164" t="s">
        <v>74</v>
      </c>
      <c r="I2160" s="2260" t="s">
        <v>75</v>
      </c>
      <c r="J2160" s="2265" t="s">
        <v>3633</v>
      </c>
      <c r="K2160" s="2240">
        <v>72</v>
      </c>
      <c r="L2160" s="2241">
        <v>229822500</v>
      </c>
      <c r="M2160" s="2261">
        <v>24</v>
      </c>
      <c r="N2160" s="2262">
        <v>69822500</v>
      </c>
      <c r="O2160" s="2240">
        <v>36</v>
      </c>
      <c r="P2160" s="2242">
        <v>31900000</v>
      </c>
      <c r="Q2160" s="2261">
        <v>3</v>
      </c>
      <c r="R2160" s="2241">
        <v>8992500</v>
      </c>
      <c r="S2160" s="2240">
        <v>3</v>
      </c>
      <c r="T2160" s="2241">
        <f t="shared" si="643"/>
        <v>7975000</v>
      </c>
      <c r="U2160" s="2240"/>
      <c r="V2160" s="2242"/>
      <c r="W2160" s="2240"/>
      <c r="X2160" s="2241"/>
      <c r="Y2160" s="2240">
        <f t="shared" si="641"/>
        <v>6</v>
      </c>
      <c r="Z2160" s="2241">
        <f t="shared" si="641"/>
        <v>16967500</v>
      </c>
      <c r="AA2160" s="2240">
        <f t="shared" si="640"/>
        <v>30</v>
      </c>
      <c r="AB2160" s="2241">
        <f t="shared" si="640"/>
        <v>86790000</v>
      </c>
      <c r="AC2160" s="2243">
        <f t="shared" si="642"/>
        <v>41.666666666666671</v>
      </c>
      <c r="AD2160" s="2243">
        <f t="shared" si="642"/>
        <v>37.763926508501129</v>
      </c>
      <c r="AE2160" s="2152"/>
      <c r="AF2160" s="2259"/>
      <c r="AG2160" s="2259"/>
      <c r="AH2160" s="2259"/>
      <c r="AI2160" s="2259"/>
      <c r="AJ2160" s="2259"/>
      <c r="AK2160" s="2259"/>
      <c r="AL2160" s="2259"/>
      <c r="AM2160" s="2259"/>
      <c r="AN2160" s="2259"/>
      <c r="AO2160" s="2259"/>
      <c r="AP2160" s="2259"/>
      <c r="AQ2160" s="2259"/>
      <c r="AR2160" s="2259"/>
      <c r="AS2160" s="2259"/>
      <c r="AT2160" s="2259"/>
      <c r="AU2160" s="2259"/>
      <c r="AV2160" s="2259"/>
      <c r="AW2160" s="2259"/>
      <c r="AX2160" s="2259"/>
      <c r="AY2160" s="2259"/>
      <c r="AZ2160" s="2259"/>
      <c r="BA2160" s="2259"/>
      <c r="BB2160" s="2259"/>
      <c r="BC2160" s="2259"/>
      <c r="BD2160" s="2259"/>
      <c r="BE2160" s="2259"/>
      <c r="BF2160" s="2259"/>
      <c r="BG2160" s="2259"/>
      <c r="BH2160" s="2259"/>
      <c r="BI2160" s="2259"/>
      <c r="BJ2160" s="2259"/>
      <c r="BK2160" s="2259"/>
      <c r="BL2160" s="2259"/>
      <c r="BM2160" s="2259"/>
      <c r="BN2160" s="2259"/>
      <c r="BO2160" s="2259"/>
      <c r="BP2160" s="2259"/>
      <c r="BQ2160" s="2259"/>
      <c r="BR2160" s="2259"/>
      <c r="BS2160" s="2259"/>
    </row>
    <row r="2161" spans="1:71" s="2131" customFormat="1" ht="51">
      <c r="A2161" s="2152"/>
      <c r="B2161" s="2253"/>
      <c r="C2161" s="2164">
        <v>5</v>
      </c>
      <c r="D2161" s="2164" t="s">
        <v>34</v>
      </c>
      <c r="E2161" s="2164" t="s">
        <v>25</v>
      </c>
      <c r="F2161" s="2164" t="s">
        <v>45</v>
      </c>
      <c r="G2161" s="2164" t="s">
        <v>25</v>
      </c>
      <c r="H2161" s="2164" t="s">
        <v>44</v>
      </c>
      <c r="I2161" s="2260" t="s">
        <v>76</v>
      </c>
      <c r="J2161" s="2260" t="s">
        <v>3634</v>
      </c>
      <c r="K2161" s="2240">
        <v>72</v>
      </c>
      <c r="L2161" s="2241">
        <v>238140000</v>
      </c>
      <c r="M2161" s="2261">
        <v>24</v>
      </c>
      <c r="N2161" s="2262">
        <v>78140000</v>
      </c>
      <c r="O2161" s="2240">
        <v>36</v>
      </c>
      <c r="P2161" s="2242">
        <v>3750000</v>
      </c>
      <c r="Q2161" s="2261">
        <v>3</v>
      </c>
      <c r="R2161" s="2241">
        <v>275000</v>
      </c>
      <c r="S2161" s="2240">
        <v>3</v>
      </c>
      <c r="T2161" s="2241">
        <f t="shared" si="643"/>
        <v>937500</v>
      </c>
      <c r="U2161" s="2240"/>
      <c r="V2161" s="2242"/>
      <c r="W2161" s="2240"/>
      <c r="X2161" s="2241"/>
      <c r="Y2161" s="2240">
        <f t="shared" si="641"/>
        <v>6</v>
      </c>
      <c r="Z2161" s="2241">
        <f t="shared" si="641"/>
        <v>1212500</v>
      </c>
      <c r="AA2161" s="2240">
        <f t="shared" si="640"/>
        <v>30</v>
      </c>
      <c r="AB2161" s="2241">
        <f t="shared" si="640"/>
        <v>79352500</v>
      </c>
      <c r="AC2161" s="2243">
        <f t="shared" si="642"/>
        <v>41.666666666666671</v>
      </c>
      <c r="AD2161" s="2243">
        <f t="shared" si="642"/>
        <v>33.321785504325184</v>
      </c>
      <c r="AE2161" s="2152"/>
      <c r="AF2161" s="2259"/>
      <c r="AG2161" s="2259"/>
      <c r="AH2161" s="2259"/>
      <c r="AI2161" s="2259"/>
      <c r="AJ2161" s="2259"/>
      <c r="AK2161" s="2259"/>
      <c r="AL2161" s="2259"/>
      <c r="AM2161" s="2259"/>
      <c r="AN2161" s="2259"/>
      <c r="AO2161" s="2259"/>
      <c r="AP2161" s="2259"/>
      <c r="AQ2161" s="2259"/>
      <c r="AR2161" s="2259"/>
      <c r="AS2161" s="2259"/>
      <c r="AT2161" s="2259"/>
      <c r="AU2161" s="2259"/>
      <c r="AV2161" s="2259"/>
      <c r="AW2161" s="2259"/>
      <c r="AX2161" s="2259"/>
      <c r="AY2161" s="2259"/>
      <c r="AZ2161" s="2259"/>
      <c r="BA2161" s="2259"/>
      <c r="BB2161" s="2259"/>
      <c r="BC2161" s="2259"/>
      <c r="BD2161" s="2259"/>
      <c r="BE2161" s="2259"/>
      <c r="BF2161" s="2259"/>
      <c r="BG2161" s="2259"/>
      <c r="BH2161" s="2259"/>
      <c r="BI2161" s="2259"/>
      <c r="BJ2161" s="2259"/>
      <c r="BK2161" s="2259"/>
      <c r="BL2161" s="2259"/>
      <c r="BM2161" s="2259"/>
      <c r="BN2161" s="2259"/>
      <c r="BO2161" s="2259"/>
      <c r="BP2161" s="2259"/>
      <c r="BQ2161" s="2259"/>
      <c r="BR2161" s="2259"/>
      <c r="BS2161" s="2259"/>
    </row>
    <row r="2162" spans="1:71" s="2131" customFormat="1" ht="51">
      <c r="A2162" s="2267"/>
      <c r="B2162" s="2253"/>
      <c r="C2162" s="2164">
        <v>5</v>
      </c>
      <c r="D2162" s="2164" t="s">
        <v>34</v>
      </c>
      <c r="E2162" s="2164" t="s">
        <v>25</v>
      </c>
      <c r="F2162" s="2164" t="s">
        <v>45</v>
      </c>
      <c r="G2162" s="2164" t="s">
        <v>25</v>
      </c>
      <c r="H2162" s="2254" t="s">
        <v>54</v>
      </c>
      <c r="I2162" s="2171" t="s">
        <v>77</v>
      </c>
      <c r="J2162" s="2171" t="s">
        <v>3635</v>
      </c>
      <c r="K2162" s="2255">
        <v>72</v>
      </c>
      <c r="L2162" s="2203">
        <v>175695000</v>
      </c>
      <c r="M2162" s="2256">
        <v>24</v>
      </c>
      <c r="N2162" s="2257">
        <v>55695000</v>
      </c>
      <c r="O2162" s="2255">
        <v>36</v>
      </c>
      <c r="P2162" s="2258">
        <v>52580000</v>
      </c>
      <c r="Q2162" s="2256">
        <v>3</v>
      </c>
      <c r="R2162" s="2203">
        <v>9660000</v>
      </c>
      <c r="S2162" s="2255">
        <v>3</v>
      </c>
      <c r="T2162" s="2203">
        <f t="shared" si="643"/>
        <v>13145000</v>
      </c>
      <c r="U2162" s="2255"/>
      <c r="V2162" s="2258"/>
      <c r="W2162" s="2255"/>
      <c r="X2162" s="2203"/>
      <c r="Y2162" s="2240">
        <f t="shared" si="641"/>
        <v>6</v>
      </c>
      <c r="Z2162" s="2203">
        <f t="shared" si="641"/>
        <v>22805000</v>
      </c>
      <c r="AA2162" s="2240">
        <f t="shared" si="640"/>
        <v>30</v>
      </c>
      <c r="AB2162" s="2203">
        <f t="shared" si="640"/>
        <v>78500000</v>
      </c>
      <c r="AC2162" s="2243">
        <f t="shared" si="642"/>
        <v>41.666666666666671</v>
      </c>
      <c r="AD2162" s="2243">
        <f t="shared" si="642"/>
        <v>44.679700617547454</v>
      </c>
      <c r="AE2162" s="2267"/>
      <c r="AF2162" s="2259"/>
      <c r="AG2162" s="2259"/>
      <c r="AH2162" s="2259"/>
      <c r="AI2162" s="2259"/>
      <c r="AJ2162" s="2259"/>
      <c r="AK2162" s="2259"/>
      <c r="AL2162" s="2259"/>
      <c r="AM2162" s="2259"/>
      <c r="AN2162" s="2259"/>
      <c r="AO2162" s="2259"/>
      <c r="AP2162" s="2259"/>
      <c r="AQ2162" s="2259"/>
      <c r="AR2162" s="2259"/>
      <c r="AS2162" s="2259"/>
      <c r="AT2162" s="2259"/>
      <c r="AU2162" s="2259"/>
      <c r="AV2162" s="2259"/>
      <c r="AW2162" s="2259"/>
      <c r="AX2162" s="2259"/>
      <c r="AY2162" s="2259"/>
      <c r="AZ2162" s="2259"/>
      <c r="BA2162" s="2259"/>
      <c r="BB2162" s="2259"/>
      <c r="BC2162" s="2259"/>
      <c r="BD2162" s="2259"/>
      <c r="BE2162" s="2259"/>
      <c r="BF2162" s="2259"/>
      <c r="BG2162" s="2259"/>
      <c r="BH2162" s="2259"/>
      <c r="BI2162" s="2259"/>
      <c r="BJ2162" s="2259"/>
      <c r="BK2162" s="2259"/>
      <c r="BL2162" s="2259"/>
      <c r="BM2162" s="2259"/>
      <c r="BN2162" s="2259"/>
      <c r="BO2162" s="2259"/>
      <c r="BP2162" s="2259"/>
      <c r="BQ2162" s="2259"/>
      <c r="BR2162" s="2259"/>
      <c r="BS2162" s="2259"/>
    </row>
    <row r="2163" spans="1:71" s="2131" customFormat="1" ht="51">
      <c r="A2163" s="2267"/>
      <c r="B2163" s="2253"/>
      <c r="C2163" s="2164"/>
      <c r="D2163" s="2164"/>
      <c r="E2163" s="2164"/>
      <c r="F2163" s="2164"/>
      <c r="G2163" s="2164"/>
      <c r="H2163" s="2254"/>
      <c r="I2163" s="2171" t="s">
        <v>3528</v>
      </c>
      <c r="J2163" s="2171" t="s">
        <v>3529</v>
      </c>
      <c r="K2163" s="2255">
        <v>48</v>
      </c>
      <c r="L2163" s="2203">
        <v>40000000</v>
      </c>
      <c r="M2163" s="2256">
        <v>16</v>
      </c>
      <c r="N2163" s="2257"/>
      <c r="O2163" s="2255">
        <v>28</v>
      </c>
      <c r="P2163" s="2258">
        <v>6076000</v>
      </c>
      <c r="Q2163" s="2256">
        <v>2</v>
      </c>
      <c r="R2163" s="2203">
        <v>1122500</v>
      </c>
      <c r="S2163" s="2255">
        <v>2</v>
      </c>
      <c r="T2163" s="2203">
        <f t="shared" si="643"/>
        <v>1519000</v>
      </c>
      <c r="U2163" s="2255"/>
      <c r="V2163" s="2258"/>
      <c r="W2163" s="2255"/>
      <c r="X2163" s="2203"/>
      <c r="Y2163" s="2240">
        <f t="shared" si="641"/>
        <v>4</v>
      </c>
      <c r="Z2163" s="2203">
        <f t="shared" si="641"/>
        <v>2641500</v>
      </c>
      <c r="AA2163" s="2240">
        <f t="shared" si="640"/>
        <v>20</v>
      </c>
      <c r="AB2163" s="2203">
        <f t="shared" si="640"/>
        <v>2641500</v>
      </c>
      <c r="AC2163" s="2243">
        <f t="shared" si="642"/>
        <v>41.666666666666671</v>
      </c>
      <c r="AD2163" s="2243">
        <f t="shared" si="642"/>
        <v>6.6037499999999998</v>
      </c>
      <c r="AE2163" s="2267"/>
      <c r="AF2163" s="2259"/>
      <c r="AG2163" s="2259"/>
      <c r="AH2163" s="2259"/>
      <c r="AI2163" s="2259"/>
      <c r="AJ2163" s="2259"/>
      <c r="AK2163" s="2259"/>
      <c r="AL2163" s="2259"/>
      <c r="AM2163" s="2259"/>
      <c r="AN2163" s="2259"/>
      <c r="AO2163" s="2259"/>
      <c r="AP2163" s="2259"/>
      <c r="AQ2163" s="2259"/>
      <c r="AR2163" s="2259"/>
      <c r="AS2163" s="2259"/>
      <c r="AT2163" s="2259"/>
      <c r="AU2163" s="2259"/>
      <c r="AV2163" s="2259"/>
      <c r="AW2163" s="2259"/>
      <c r="AX2163" s="2259"/>
      <c r="AY2163" s="2259"/>
      <c r="AZ2163" s="2259"/>
      <c r="BA2163" s="2259"/>
      <c r="BB2163" s="2259"/>
      <c r="BC2163" s="2259"/>
      <c r="BD2163" s="2259"/>
      <c r="BE2163" s="2259"/>
      <c r="BF2163" s="2259"/>
      <c r="BG2163" s="2259"/>
      <c r="BH2163" s="2259"/>
      <c r="BI2163" s="2259"/>
      <c r="BJ2163" s="2259"/>
      <c r="BK2163" s="2259"/>
      <c r="BL2163" s="2259"/>
      <c r="BM2163" s="2259"/>
      <c r="BN2163" s="2259"/>
      <c r="BO2163" s="2259"/>
      <c r="BP2163" s="2259"/>
      <c r="BQ2163" s="2259"/>
      <c r="BR2163" s="2259"/>
      <c r="BS2163" s="2259"/>
    </row>
    <row r="2164" spans="1:71" s="2131" customFormat="1" ht="63.75">
      <c r="A2164" s="2140" t="s">
        <v>114</v>
      </c>
      <c r="B2164" s="2194"/>
      <c r="C2164" s="2142">
        <v>5</v>
      </c>
      <c r="D2164" s="2142" t="s">
        <v>34</v>
      </c>
      <c r="E2164" s="2142" t="s">
        <v>25</v>
      </c>
      <c r="F2164" s="2142" t="s">
        <v>45</v>
      </c>
      <c r="G2164" s="2142" t="s">
        <v>28</v>
      </c>
      <c r="H2164" s="2140"/>
      <c r="I2164" s="2143" t="s">
        <v>3636</v>
      </c>
      <c r="J2164" s="2143" t="s">
        <v>3531</v>
      </c>
      <c r="K2164" s="2144">
        <v>72</v>
      </c>
      <c r="L2164" s="2145">
        <f>SUM(L2165:L2168)</f>
        <v>297417850</v>
      </c>
      <c r="M2164" s="2144">
        <v>24</v>
      </c>
      <c r="N2164" s="2145">
        <f>SUM(N2165:N2168)</f>
        <v>83017850</v>
      </c>
      <c r="O2164" s="2144">
        <v>36</v>
      </c>
      <c r="P2164" s="2145">
        <f>SUM(P2165:P2168)</f>
        <v>65404500</v>
      </c>
      <c r="Q2164" s="2144">
        <v>3</v>
      </c>
      <c r="R2164" s="2145">
        <f>SUM(R2165:R2168)</f>
        <v>19140400</v>
      </c>
      <c r="S2164" s="2144">
        <v>3</v>
      </c>
      <c r="T2164" s="2145">
        <f>SUM(T2165:T2168)</f>
        <v>13342750</v>
      </c>
      <c r="U2164" s="2144"/>
      <c r="V2164" s="2145">
        <f>SUM(V2165:V2168)</f>
        <v>0</v>
      </c>
      <c r="W2164" s="2144"/>
      <c r="X2164" s="2145">
        <f>SUM(X2165:X2168)</f>
        <v>0</v>
      </c>
      <c r="Y2164" s="2144">
        <f t="shared" si="641"/>
        <v>6</v>
      </c>
      <c r="Z2164" s="2145">
        <f t="shared" si="641"/>
        <v>32483150</v>
      </c>
      <c r="AA2164" s="2144">
        <f t="shared" si="640"/>
        <v>30</v>
      </c>
      <c r="AB2164" s="2145">
        <f t="shared" si="640"/>
        <v>115501000</v>
      </c>
      <c r="AC2164" s="2147">
        <f t="shared" si="642"/>
        <v>41.666666666666671</v>
      </c>
      <c r="AD2164" s="2147">
        <f t="shared" si="642"/>
        <v>38.834589114271381</v>
      </c>
      <c r="AE2164" s="2140" t="s">
        <v>3593</v>
      </c>
      <c r="AF2164" s="2266"/>
      <c r="AG2164" s="2266"/>
      <c r="AH2164" s="2266"/>
      <c r="AI2164" s="2266"/>
      <c r="AJ2164" s="2266"/>
      <c r="AK2164" s="2266"/>
      <c r="AL2164" s="2266"/>
      <c r="AM2164" s="2266"/>
      <c r="AN2164" s="2266"/>
      <c r="AO2164" s="2266"/>
      <c r="AP2164" s="2266"/>
      <c r="AQ2164" s="2266"/>
      <c r="AR2164" s="2266"/>
      <c r="AS2164" s="2266"/>
      <c r="AT2164" s="2266"/>
      <c r="AU2164" s="2266"/>
      <c r="AV2164" s="2266"/>
      <c r="AW2164" s="2266"/>
      <c r="AX2164" s="2266"/>
      <c r="AY2164" s="2266"/>
      <c r="AZ2164" s="2266"/>
      <c r="BA2164" s="2266"/>
      <c r="BB2164" s="2266"/>
      <c r="BC2164" s="2266"/>
      <c r="BD2164" s="2266"/>
      <c r="BE2164" s="2266"/>
      <c r="BF2164" s="2266"/>
      <c r="BG2164" s="2266"/>
      <c r="BH2164" s="2266"/>
      <c r="BI2164" s="2266"/>
      <c r="BJ2164" s="2266"/>
      <c r="BK2164" s="2266"/>
      <c r="BL2164" s="2266"/>
      <c r="BM2164" s="2266"/>
      <c r="BN2164" s="2266"/>
      <c r="BO2164" s="2266"/>
      <c r="BP2164" s="2266"/>
      <c r="BQ2164" s="2266"/>
      <c r="BR2164" s="2266"/>
      <c r="BS2164" s="2266"/>
    </row>
    <row r="2165" spans="1:71" s="2131" customFormat="1" ht="38.25">
      <c r="A2165" s="2267"/>
      <c r="B2165" s="2198"/>
      <c r="C2165" s="2164">
        <v>5</v>
      </c>
      <c r="D2165" s="2164" t="s">
        <v>34</v>
      </c>
      <c r="E2165" s="2164" t="s">
        <v>25</v>
      </c>
      <c r="F2165" s="2164" t="s">
        <v>45</v>
      </c>
      <c r="G2165" s="2164" t="s">
        <v>28</v>
      </c>
      <c r="H2165" s="2164" t="s">
        <v>29</v>
      </c>
      <c r="I2165" s="2171" t="s">
        <v>3637</v>
      </c>
      <c r="J2165" s="2171" t="s">
        <v>3638</v>
      </c>
      <c r="K2165" s="2255">
        <v>72</v>
      </c>
      <c r="L2165" s="2203">
        <v>175490000</v>
      </c>
      <c r="M2165" s="2255">
        <v>24</v>
      </c>
      <c r="N2165" s="2203">
        <v>35490000</v>
      </c>
      <c r="O2165" s="2255">
        <v>36</v>
      </c>
      <c r="P2165" s="2203">
        <v>14196000</v>
      </c>
      <c r="Q2165" s="2255">
        <v>3</v>
      </c>
      <c r="R2165" s="2203"/>
      <c r="S2165" s="2255">
        <v>3</v>
      </c>
      <c r="T2165" s="2203">
        <f t="shared" ref="T2165:T2170" si="644">P2165/4</f>
        <v>3549000</v>
      </c>
      <c r="U2165" s="2255"/>
      <c r="V2165" s="2203"/>
      <c r="W2165" s="2255"/>
      <c r="X2165" s="2203"/>
      <c r="Y2165" s="2240">
        <f t="shared" si="641"/>
        <v>6</v>
      </c>
      <c r="Z2165" s="2203">
        <f>R2165+T2165+V2165+X2165</f>
        <v>3549000</v>
      </c>
      <c r="AA2165" s="2240">
        <f t="shared" si="640"/>
        <v>30</v>
      </c>
      <c r="AB2165" s="2203">
        <f t="shared" si="640"/>
        <v>39039000</v>
      </c>
      <c r="AC2165" s="2243">
        <f t="shared" si="642"/>
        <v>41.666666666666671</v>
      </c>
      <c r="AD2165" s="2243">
        <f t="shared" si="642"/>
        <v>22.245712006382128</v>
      </c>
      <c r="AE2165" s="2267"/>
      <c r="AF2165" s="2259"/>
      <c r="AG2165" s="2259"/>
      <c r="AH2165" s="2259"/>
      <c r="AI2165" s="2259"/>
      <c r="AJ2165" s="2259"/>
      <c r="AK2165" s="2259"/>
      <c r="AL2165" s="2259"/>
      <c r="AM2165" s="2259"/>
      <c r="AN2165" s="2259"/>
      <c r="AO2165" s="2259"/>
      <c r="AP2165" s="2259"/>
      <c r="AQ2165" s="2259"/>
      <c r="AR2165" s="2259"/>
      <c r="AS2165" s="2259"/>
      <c r="AT2165" s="2259"/>
      <c r="AU2165" s="2259"/>
      <c r="AV2165" s="2259"/>
      <c r="AW2165" s="2259"/>
      <c r="AX2165" s="2259"/>
      <c r="AY2165" s="2259"/>
      <c r="AZ2165" s="2259"/>
      <c r="BA2165" s="2259"/>
      <c r="BB2165" s="2259"/>
      <c r="BC2165" s="2259"/>
      <c r="BD2165" s="2259"/>
      <c r="BE2165" s="2259"/>
      <c r="BF2165" s="2259"/>
      <c r="BG2165" s="2259"/>
      <c r="BH2165" s="2259"/>
      <c r="BI2165" s="2259"/>
      <c r="BJ2165" s="2259"/>
      <c r="BK2165" s="2259"/>
      <c r="BL2165" s="2259"/>
      <c r="BM2165" s="2259"/>
      <c r="BN2165" s="2259"/>
      <c r="BO2165" s="2259"/>
      <c r="BP2165" s="2259"/>
      <c r="BQ2165" s="2259"/>
      <c r="BR2165" s="2259"/>
      <c r="BS2165" s="2259"/>
    </row>
    <row r="2166" spans="1:71" s="2131" customFormat="1" ht="38.25">
      <c r="A2166" s="2267"/>
      <c r="B2166" s="2253"/>
      <c r="C2166" s="2164">
        <v>5</v>
      </c>
      <c r="D2166" s="2164" t="s">
        <v>34</v>
      </c>
      <c r="E2166" s="2164" t="s">
        <v>25</v>
      </c>
      <c r="F2166" s="2164" t="s">
        <v>45</v>
      </c>
      <c r="G2166" s="2164" t="s">
        <v>28</v>
      </c>
      <c r="H2166" s="2164">
        <v>21</v>
      </c>
      <c r="I2166" s="2171" t="s">
        <v>3639</v>
      </c>
      <c r="J2166" s="2171" t="s">
        <v>3640</v>
      </c>
      <c r="K2166" s="2255">
        <v>72</v>
      </c>
      <c r="L2166" s="2203">
        <v>2400000</v>
      </c>
      <c r="M2166" s="2256">
        <v>24</v>
      </c>
      <c r="N2166" s="2257">
        <v>8000000</v>
      </c>
      <c r="O2166" s="2255">
        <v>36</v>
      </c>
      <c r="P2166" s="2203">
        <v>12033500</v>
      </c>
      <c r="Q2166" s="2256">
        <v>3</v>
      </c>
      <c r="R2166" s="2203">
        <v>12033550</v>
      </c>
      <c r="S2166" s="2256">
        <v>3</v>
      </c>
      <c r="T2166" s="2203">
        <v>0</v>
      </c>
      <c r="U2166" s="2256"/>
      <c r="V2166" s="2258"/>
      <c r="W2166" s="2256"/>
      <c r="X2166" s="2203"/>
      <c r="Y2166" s="2240">
        <f t="shared" si="641"/>
        <v>6</v>
      </c>
      <c r="Z2166" s="2203">
        <f t="shared" si="641"/>
        <v>12033550</v>
      </c>
      <c r="AA2166" s="2240">
        <f t="shared" si="640"/>
        <v>30</v>
      </c>
      <c r="AB2166" s="2203">
        <f t="shared" si="640"/>
        <v>20033550</v>
      </c>
      <c r="AC2166" s="2243">
        <f t="shared" si="642"/>
        <v>41.666666666666671</v>
      </c>
      <c r="AD2166" s="2243">
        <f t="shared" si="642"/>
        <v>834.73124999999993</v>
      </c>
      <c r="AE2166" s="2267"/>
    </row>
    <row r="2167" spans="1:71" s="2131" customFormat="1" ht="38.25">
      <c r="A2167" s="2267"/>
      <c r="B2167" s="2253"/>
      <c r="C2167" s="2164">
        <v>5</v>
      </c>
      <c r="D2167" s="2164" t="s">
        <v>34</v>
      </c>
      <c r="E2167" s="2164" t="s">
        <v>25</v>
      </c>
      <c r="F2167" s="2164" t="s">
        <v>45</v>
      </c>
      <c r="G2167" s="2164" t="s">
        <v>28</v>
      </c>
      <c r="H2167" s="2164">
        <v>24</v>
      </c>
      <c r="I2167" s="2171" t="s">
        <v>3641</v>
      </c>
      <c r="J2167" s="2171" t="s">
        <v>3642</v>
      </c>
      <c r="K2167" s="2255">
        <v>72</v>
      </c>
      <c r="L2167" s="2203">
        <v>42000000</v>
      </c>
      <c r="M2167" s="2256">
        <v>24</v>
      </c>
      <c r="N2167" s="2257">
        <v>14000000</v>
      </c>
      <c r="O2167" s="2255">
        <v>36</v>
      </c>
      <c r="P2167" s="2203">
        <v>24000000</v>
      </c>
      <c r="Q2167" s="2256">
        <v>3</v>
      </c>
      <c r="R2167" s="2203"/>
      <c r="S2167" s="2256">
        <v>3</v>
      </c>
      <c r="T2167" s="2203">
        <f t="shared" si="644"/>
        <v>6000000</v>
      </c>
      <c r="U2167" s="2256"/>
      <c r="V2167" s="2258"/>
      <c r="W2167" s="2256"/>
      <c r="X2167" s="2203"/>
      <c r="Y2167" s="2240">
        <f t="shared" si="641"/>
        <v>6</v>
      </c>
      <c r="Z2167" s="2203">
        <f t="shared" si="641"/>
        <v>6000000</v>
      </c>
      <c r="AA2167" s="2240">
        <f t="shared" si="640"/>
        <v>30</v>
      </c>
      <c r="AB2167" s="2203">
        <f t="shared" si="640"/>
        <v>20000000</v>
      </c>
      <c r="AC2167" s="2243">
        <f t="shared" si="642"/>
        <v>41.666666666666671</v>
      </c>
      <c r="AD2167" s="2243">
        <f t="shared" si="642"/>
        <v>47.619047619047613</v>
      </c>
      <c r="AE2167" s="2267"/>
    </row>
    <row r="2168" spans="1:71" s="2131" customFormat="1" ht="51">
      <c r="A2168" s="2267"/>
      <c r="B2168" s="2253"/>
      <c r="C2168" s="2164">
        <v>5</v>
      </c>
      <c r="D2168" s="2164" t="s">
        <v>34</v>
      </c>
      <c r="E2168" s="2164" t="s">
        <v>25</v>
      </c>
      <c r="F2168" s="2164" t="s">
        <v>45</v>
      </c>
      <c r="G2168" s="2164" t="s">
        <v>28</v>
      </c>
      <c r="H2168" s="2164">
        <v>28</v>
      </c>
      <c r="I2168" s="2171" t="s">
        <v>3643</v>
      </c>
      <c r="J2168" s="2171" t="s">
        <v>3644</v>
      </c>
      <c r="K2168" s="2255">
        <v>72</v>
      </c>
      <c r="L2168" s="2203">
        <v>77527850</v>
      </c>
      <c r="M2168" s="2256">
        <v>24</v>
      </c>
      <c r="N2168" s="2257">
        <v>25527850</v>
      </c>
      <c r="O2168" s="2255">
        <v>36</v>
      </c>
      <c r="P2168" s="2203">
        <v>15175000</v>
      </c>
      <c r="Q2168" s="2256">
        <v>3</v>
      </c>
      <c r="R2168" s="2203">
        <v>7106850</v>
      </c>
      <c r="S2168" s="2256">
        <v>3</v>
      </c>
      <c r="T2168" s="2258">
        <f t="shared" si="644"/>
        <v>3793750</v>
      </c>
      <c r="U2168" s="2256"/>
      <c r="V2168" s="2258"/>
      <c r="W2168" s="2256"/>
      <c r="X2168" s="2203"/>
      <c r="Y2168" s="2240">
        <f t="shared" si="641"/>
        <v>6</v>
      </c>
      <c r="Z2168" s="2203">
        <f t="shared" si="641"/>
        <v>10900600</v>
      </c>
      <c r="AA2168" s="2240">
        <f t="shared" si="640"/>
        <v>30</v>
      </c>
      <c r="AB2168" s="2203">
        <f t="shared" si="640"/>
        <v>36428450</v>
      </c>
      <c r="AC2168" s="2243">
        <f t="shared" si="642"/>
        <v>41.666666666666671</v>
      </c>
      <c r="AD2168" s="2243">
        <f t="shared" si="642"/>
        <v>46.987566403556912</v>
      </c>
      <c r="AE2168" s="2267"/>
    </row>
    <row r="2169" spans="1:71" s="2131" customFormat="1" ht="38.25">
      <c r="A2169" s="2140" t="s">
        <v>3538</v>
      </c>
      <c r="B2169" s="2194"/>
      <c r="C2169" s="2142">
        <v>5</v>
      </c>
      <c r="D2169" s="2142" t="s">
        <v>34</v>
      </c>
      <c r="E2169" s="2142" t="s">
        <v>25</v>
      </c>
      <c r="F2169" s="2142" t="s">
        <v>45</v>
      </c>
      <c r="G2169" s="2142">
        <v>21</v>
      </c>
      <c r="H2169" s="2140"/>
      <c r="I2169" s="2143" t="s">
        <v>1830</v>
      </c>
      <c r="J2169" s="2143" t="s">
        <v>3645</v>
      </c>
      <c r="K2169" s="2144">
        <v>400</v>
      </c>
      <c r="L2169" s="2145">
        <f>SUM(L2170)</f>
        <v>174225000</v>
      </c>
      <c r="M2169" s="2144">
        <v>100</v>
      </c>
      <c r="N2169" s="2145">
        <f>SUM(N2170)</f>
        <v>41225000</v>
      </c>
      <c r="O2169" s="2144">
        <v>100</v>
      </c>
      <c r="P2169" s="2145">
        <f>SUM(P2170)</f>
        <v>11425000</v>
      </c>
      <c r="Q2169" s="2144">
        <v>0</v>
      </c>
      <c r="R2169" s="2145">
        <f>SUM(R2170)</f>
        <v>0</v>
      </c>
      <c r="S2169" s="2144">
        <v>20</v>
      </c>
      <c r="T2169" s="2145">
        <f>SUM(T2170)</f>
        <v>2856250</v>
      </c>
      <c r="U2169" s="2195"/>
      <c r="V2169" s="2145">
        <f>SUM(V2170)</f>
        <v>0</v>
      </c>
      <c r="W2169" s="2144"/>
      <c r="X2169" s="2145">
        <f>SUM(X2170)</f>
        <v>0</v>
      </c>
      <c r="Y2169" s="2195">
        <f t="shared" si="641"/>
        <v>20</v>
      </c>
      <c r="Z2169" s="2145">
        <f t="shared" si="641"/>
        <v>2856250</v>
      </c>
      <c r="AA2169" s="2147">
        <f t="shared" si="640"/>
        <v>120</v>
      </c>
      <c r="AB2169" s="2145">
        <f t="shared" si="640"/>
        <v>44081250</v>
      </c>
      <c r="AC2169" s="2147">
        <f t="shared" si="642"/>
        <v>30</v>
      </c>
      <c r="AD2169" s="2147">
        <f t="shared" si="642"/>
        <v>25.301334481274214</v>
      </c>
      <c r="AE2169" s="2140" t="s">
        <v>3593</v>
      </c>
    </row>
    <row r="2170" spans="1:71" s="2131" customFormat="1" ht="30" customHeight="1">
      <c r="A2170" s="2379"/>
      <c r="B2170" s="2162"/>
      <c r="C2170" s="2164">
        <v>5</v>
      </c>
      <c r="D2170" s="2164" t="s">
        <v>34</v>
      </c>
      <c r="E2170" s="2164" t="s">
        <v>25</v>
      </c>
      <c r="F2170" s="2164" t="s">
        <v>45</v>
      </c>
      <c r="G2170" s="2164">
        <v>21</v>
      </c>
      <c r="H2170" s="2164" t="s">
        <v>38</v>
      </c>
      <c r="I2170" s="2162" t="s">
        <v>3646</v>
      </c>
      <c r="J2170" s="2162" t="s">
        <v>3647</v>
      </c>
      <c r="K2170" s="2166">
        <v>6</v>
      </c>
      <c r="L2170" s="2167">
        <v>174225000</v>
      </c>
      <c r="M2170" s="2166">
        <v>2</v>
      </c>
      <c r="N2170" s="2167">
        <v>41225000</v>
      </c>
      <c r="O2170" s="2166">
        <v>1</v>
      </c>
      <c r="P2170" s="2167">
        <v>11425000</v>
      </c>
      <c r="Q2170" s="2166">
        <v>0</v>
      </c>
      <c r="R2170" s="2167">
        <v>0</v>
      </c>
      <c r="S2170" s="2166">
        <v>0</v>
      </c>
      <c r="T2170" s="2258">
        <f t="shared" si="644"/>
        <v>2856250</v>
      </c>
      <c r="U2170" s="2166"/>
      <c r="V2170" s="2202"/>
      <c r="W2170" s="2166"/>
      <c r="X2170" s="2202"/>
      <c r="Y2170" s="2166">
        <f t="shared" si="641"/>
        <v>0</v>
      </c>
      <c r="Z2170" s="2203">
        <f t="shared" si="641"/>
        <v>2856250</v>
      </c>
      <c r="AA2170" s="2166">
        <f t="shared" si="640"/>
        <v>2</v>
      </c>
      <c r="AB2170" s="2203">
        <f t="shared" si="640"/>
        <v>44081250</v>
      </c>
      <c r="AC2170" s="2170">
        <f t="shared" si="642"/>
        <v>33.333333333333329</v>
      </c>
      <c r="AD2170" s="2170">
        <f t="shared" si="642"/>
        <v>25.301334481274214</v>
      </c>
      <c r="AE2170" s="2379"/>
    </row>
    <row r="2171" spans="1:71" s="2131" customFormat="1" ht="51">
      <c r="A2171" s="2140" t="s">
        <v>3543</v>
      </c>
      <c r="B2171" s="2194"/>
      <c r="C2171" s="2142">
        <v>5</v>
      </c>
      <c r="D2171" s="2142" t="s">
        <v>34</v>
      </c>
      <c r="E2171" s="2142" t="s">
        <v>25</v>
      </c>
      <c r="F2171" s="2142" t="s">
        <v>45</v>
      </c>
      <c r="G2171" s="2142" t="s">
        <v>74</v>
      </c>
      <c r="H2171" s="2140"/>
      <c r="I2171" s="2143" t="s">
        <v>3648</v>
      </c>
      <c r="J2171" s="2143" t="s">
        <v>3649</v>
      </c>
      <c r="K2171" s="2144">
        <v>100</v>
      </c>
      <c r="L2171" s="2145">
        <f>SUM(L2172:L2173)</f>
        <v>210225000</v>
      </c>
      <c r="M2171" s="2144">
        <v>32</v>
      </c>
      <c r="N2171" s="2145">
        <f>SUM(N2172:N2173)</f>
        <v>41225000</v>
      </c>
      <c r="O2171" s="2144">
        <v>50</v>
      </c>
      <c r="P2171" s="2145">
        <f>SUM(P2172:P2173)</f>
        <v>51693000</v>
      </c>
      <c r="Q2171" s="2144">
        <v>0</v>
      </c>
      <c r="R2171" s="2145">
        <f>SUM(R2172:R2173)</f>
        <v>0</v>
      </c>
      <c r="S2171" s="2144">
        <v>25</v>
      </c>
      <c r="T2171" s="2145">
        <f>SUM(T2172:T2173)</f>
        <v>13000000</v>
      </c>
      <c r="U2171" s="2195"/>
      <c r="V2171" s="2145">
        <f>SUM(V2172:V2173)</f>
        <v>0</v>
      </c>
      <c r="W2171" s="2144"/>
      <c r="X2171" s="2145">
        <f>SUM(X2172:X2173)</f>
        <v>0</v>
      </c>
      <c r="Y2171" s="2195">
        <f t="shared" si="641"/>
        <v>25</v>
      </c>
      <c r="Z2171" s="2145">
        <f t="shared" si="641"/>
        <v>13000000</v>
      </c>
      <c r="AA2171" s="2147">
        <f t="shared" si="640"/>
        <v>57</v>
      </c>
      <c r="AB2171" s="2145">
        <f t="shared" si="640"/>
        <v>54225000</v>
      </c>
      <c r="AC2171" s="2147">
        <f t="shared" si="642"/>
        <v>56.999999999999993</v>
      </c>
      <c r="AD2171" s="2147">
        <f t="shared" si="642"/>
        <v>25.793792365322872</v>
      </c>
      <c r="AE2171" s="2140" t="s">
        <v>3593</v>
      </c>
    </row>
    <row r="2172" spans="1:71" s="2131" customFormat="1" ht="40.5" customHeight="1">
      <c r="A2172" s="2379"/>
      <c r="B2172" s="2162"/>
      <c r="C2172" s="2164">
        <v>5</v>
      </c>
      <c r="D2172" s="2164" t="s">
        <v>34</v>
      </c>
      <c r="E2172" s="2164" t="s">
        <v>25</v>
      </c>
      <c r="F2172" s="2164" t="s">
        <v>45</v>
      </c>
      <c r="G2172" s="2164" t="s">
        <v>74</v>
      </c>
      <c r="H2172" s="2164" t="s">
        <v>56</v>
      </c>
      <c r="I2172" s="2162" t="s">
        <v>3650</v>
      </c>
      <c r="J2172" s="2162" t="s">
        <v>3651</v>
      </c>
      <c r="K2172" s="2166">
        <v>6</v>
      </c>
      <c r="L2172" s="2167">
        <v>174225000</v>
      </c>
      <c r="M2172" s="2166">
        <v>3</v>
      </c>
      <c r="N2172" s="2167">
        <v>41225000</v>
      </c>
      <c r="O2172" s="2166">
        <v>1</v>
      </c>
      <c r="P2172" s="2167">
        <v>37880500</v>
      </c>
      <c r="Q2172" s="2166">
        <v>0</v>
      </c>
      <c r="R2172" s="2167">
        <v>0</v>
      </c>
      <c r="S2172" s="2166">
        <v>0</v>
      </c>
      <c r="T2172" s="2167">
        <v>0</v>
      </c>
      <c r="U2172" s="2166"/>
      <c r="V2172" s="2202"/>
      <c r="W2172" s="2166"/>
      <c r="X2172" s="2202"/>
      <c r="Y2172" s="2166">
        <f t="shared" si="641"/>
        <v>0</v>
      </c>
      <c r="Z2172" s="2203">
        <f t="shared" si="641"/>
        <v>0</v>
      </c>
      <c r="AA2172" s="2166">
        <f t="shared" si="640"/>
        <v>3</v>
      </c>
      <c r="AB2172" s="2203">
        <f t="shared" si="640"/>
        <v>41225000</v>
      </c>
      <c r="AC2172" s="2170">
        <f t="shared" si="642"/>
        <v>50</v>
      </c>
      <c r="AD2172" s="2170">
        <f t="shared" si="642"/>
        <v>23.661931410532357</v>
      </c>
      <c r="AE2172" s="2379"/>
    </row>
    <row r="2173" spans="1:71" s="2131" customFormat="1" ht="25.5">
      <c r="A2173" s="2379"/>
      <c r="B2173" s="2162"/>
      <c r="C2173" s="2164">
        <v>5</v>
      </c>
      <c r="D2173" s="2164" t="s">
        <v>34</v>
      </c>
      <c r="E2173" s="2164" t="s">
        <v>25</v>
      </c>
      <c r="F2173" s="2164" t="s">
        <v>45</v>
      </c>
      <c r="G2173" s="2164" t="s">
        <v>74</v>
      </c>
      <c r="H2173" s="2164">
        <v>12</v>
      </c>
      <c r="I2173" s="2162" t="s">
        <v>1847</v>
      </c>
      <c r="J2173" s="2162" t="s">
        <v>3652</v>
      </c>
      <c r="K2173" s="2166">
        <v>3</v>
      </c>
      <c r="L2173" s="2167">
        <v>36000000</v>
      </c>
      <c r="M2173" s="2166">
        <v>0</v>
      </c>
      <c r="N2173" s="2167">
        <v>0</v>
      </c>
      <c r="O2173" s="2166">
        <v>1</v>
      </c>
      <c r="P2173" s="2167">
        <v>13812500</v>
      </c>
      <c r="Q2173" s="2166">
        <v>0</v>
      </c>
      <c r="R2173" s="2167">
        <v>0</v>
      </c>
      <c r="S2173" s="2166">
        <v>1</v>
      </c>
      <c r="T2173" s="2167">
        <v>13000000</v>
      </c>
      <c r="U2173" s="2166"/>
      <c r="V2173" s="2202"/>
      <c r="W2173" s="2166"/>
      <c r="X2173" s="2166"/>
      <c r="Y2173" s="2166">
        <f t="shared" si="641"/>
        <v>1</v>
      </c>
      <c r="Z2173" s="2203">
        <f t="shared" si="641"/>
        <v>13000000</v>
      </c>
      <c r="AA2173" s="2166">
        <f t="shared" si="640"/>
        <v>1</v>
      </c>
      <c r="AB2173" s="2203">
        <f t="shared" si="640"/>
        <v>13000000</v>
      </c>
      <c r="AC2173" s="2170">
        <f t="shared" si="642"/>
        <v>33.333333333333329</v>
      </c>
      <c r="AD2173" s="2170">
        <f t="shared" si="642"/>
        <v>36.111111111111107</v>
      </c>
      <c r="AE2173" s="2379"/>
    </row>
    <row r="2174" spans="1:71" s="2131" customFormat="1" ht="25.5">
      <c r="A2174" s="2140" t="s">
        <v>3547</v>
      </c>
      <c r="B2174" s="2194"/>
      <c r="C2174" s="2142">
        <v>5</v>
      </c>
      <c r="D2174" s="2142" t="s">
        <v>34</v>
      </c>
      <c r="E2174" s="2142" t="s">
        <v>25</v>
      </c>
      <c r="F2174" s="2142" t="s">
        <v>45</v>
      </c>
      <c r="G2174" s="2142">
        <v>15</v>
      </c>
      <c r="H2174" s="2140"/>
      <c r="I2174" s="2143" t="s">
        <v>2061</v>
      </c>
      <c r="J2174" s="2143" t="s">
        <v>2938</v>
      </c>
      <c r="K2174" s="2144">
        <v>71.599999999999994</v>
      </c>
      <c r="L2174" s="2145">
        <f>SUM(L2175:L2176)</f>
        <v>94210000</v>
      </c>
      <c r="M2174" s="2144">
        <v>71.400000000000006</v>
      </c>
      <c r="N2174" s="2145">
        <f>SUM(N2175:N2176)</f>
        <v>20605000</v>
      </c>
      <c r="O2174" s="2144">
        <v>71.5</v>
      </c>
      <c r="P2174" s="2145">
        <f>SUM(P2175:P2176)</f>
        <v>6300000</v>
      </c>
      <c r="Q2174" s="2144">
        <v>0</v>
      </c>
      <c r="R2174" s="2145">
        <f>SUM(R2175:R2176)</f>
        <v>0</v>
      </c>
      <c r="S2174" s="2144">
        <v>0.05</v>
      </c>
      <c r="T2174" s="2145">
        <f>SUM(T2175:T2176)</f>
        <v>3000000</v>
      </c>
      <c r="U2174" s="2195"/>
      <c r="V2174" s="2145">
        <f>SUM(V2175:V2176)</f>
        <v>0</v>
      </c>
      <c r="W2174" s="2144"/>
      <c r="X2174" s="2145">
        <f>SUM(X2175:X2176)</f>
        <v>0</v>
      </c>
      <c r="Y2174" s="2195">
        <f t="shared" si="641"/>
        <v>0.05</v>
      </c>
      <c r="Z2174" s="2145">
        <f t="shared" si="641"/>
        <v>3000000</v>
      </c>
      <c r="AA2174" s="2147">
        <f t="shared" si="640"/>
        <v>71.45</v>
      </c>
      <c r="AB2174" s="2145">
        <f t="shared" si="640"/>
        <v>23605000</v>
      </c>
      <c r="AC2174" s="2147">
        <f t="shared" si="642"/>
        <v>99.790502793296099</v>
      </c>
      <c r="AD2174" s="2147">
        <f t="shared" si="642"/>
        <v>25.055726568304852</v>
      </c>
      <c r="AE2174" s="2140" t="s">
        <v>3593</v>
      </c>
    </row>
    <row r="2175" spans="1:71" s="2131" customFormat="1" ht="40.5" customHeight="1">
      <c r="A2175" s="2379"/>
      <c r="B2175" s="2162"/>
      <c r="C2175" s="2164">
        <v>5</v>
      </c>
      <c r="D2175" s="2164" t="s">
        <v>34</v>
      </c>
      <c r="E2175" s="2164" t="s">
        <v>25</v>
      </c>
      <c r="F2175" s="2164" t="s">
        <v>45</v>
      </c>
      <c r="G2175" s="2164">
        <v>15</v>
      </c>
      <c r="H2175" s="2164" t="s">
        <v>38</v>
      </c>
      <c r="I2175" s="2162" t="s">
        <v>2062</v>
      </c>
      <c r="J2175" s="2162" t="s">
        <v>3595</v>
      </c>
      <c r="K2175" s="2166">
        <v>36</v>
      </c>
      <c r="L2175" s="2167">
        <f>3*P2175</f>
        <v>18900000</v>
      </c>
      <c r="M2175" s="2166">
        <v>0</v>
      </c>
      <c r="N2175" s="2167">
        <v>0</v>
      </c>
      <c r="O2175" s="2166">
        <v>12</v>
      </c>
      <c r="P2175" s="2167">
        <v>6300000</v>
      </c>
      <c r="Q2175" s="2166">
        <v>3</v>
      </c>
      <c r="R2175" s="2167">
        <v>0</v>
      </c>
      <c r="S2175" s="2166">
        <v>3</v>
      </c>
      <c r="T2175" s="2167">
        <v>3000000</v>
      </c>
      <c r="U2175" s="2166"/>
      <c r="V2175" s="2202"/>
      <c r="W2175" s="2166"/>
      <c r="X2175" s="2202"/>
      <c r="Y2175" s="2166">
        <f t="shared" si="641"/>
        <v>6</v>
      </c>
      <c r="Z2175" s="2203">
        <f t="shared" si="641"/>
        <v>3000000</v>
      </c>
      <c r="AA2175" s="2166">
        <f t="shared" si="640"/>
        <v>6</v>
      </c>
      <c r="AB2175" s="2203">
        <f t="shared" si="640"/>
        <v>3000000</v>
      </c>
      <c r="AC2175" s="2170">
        <f t="shared" si="642"/>
        <v>16.666666666666664</v>
      </c>
      <c r="AD2175" s="2170">
        <f t="shared" si="642"/>
        <v>15.873015873015872</v>
      </c>
      <c r="AE2175" s="2379"/>
    </row>
    <row r="2176" spans="1:71" s="2131" customFormat="1" ht="63.75">
      <c r="A2176" s="2140" t="s">
        <v>3555</v>
      </c>
      <c r="B2176" s="2194"/>
      <c r="C2176" s="2142">
        <v>5</v>
      </c>
      <c r="D2176" s="2142" t="s">
        <v>34</v>
      </c>
      <c r="E2176" s="2142" t="s">
        <v>25</v>
      </c>
      <c r="F2176" s="2142" t="s">
        <v>45</v>
      </c>
      <c r="G2176" s="2142" t="s">
        <v>45</v>
      </c>
      <c r="H2176" s="2142"/>
      <c r="I2176" s="2143" t="s">
        <v>3653</v>
      </c>
      <c r="J2176" s="2143" t="s">
        <v>3654</v>
      </c>
      <c r="K2176" s="2144">
        <v>100</v>
      </c>
      <c r="L2176" s="2145">
        <f>SUM(L2177)</f>
        <v>75310000</v>
      </c>
      <c r="M2176" s="2144">
        <v>32</v>
      </c>
      <c r="N2176" s="2145">
        <f>SUM(N2177)</f>
        <v>20605000</v>
      </c>
      <c r="O2176" s="2144">
        <v>50</v>
      </c>
      <c r="P2176" s="2145">
        <f>SUM(P2177)</f>
        <v>0</v>
      </c>
      <c r="Q2176" s="2144">
        <v>0</v>
      </c>
      <c r="R2176" s="2145">
        <f>SUM(R2177)</f>
        <v>0</v>
      </c>
      <c r="S2176" s="2144"/>
      <c r="T2176" s="2146">
        <f>SUM(T2177)</f>
        <v>0</v>
      </c>
      <c r="U2176" s="2144"/>
      <c r="V2176" s="2146">
        <f>SUM(V2177)</f>
        <v>0</v>
      </c>
      <c r="W2176" s="2146"/>
      <c r="X2176" s="2146">
        <f>SUM(X2177)</f>
        <v>0</v>
      </c>
      <c r="Y2176" s="2144">
        <f t="shared" si="641"/>
        <v>0</v>
      </c>
      <c r="Z2176" s="2145">
        <f t="shared" si="641"/>
        <v>0</v>
      </c>
      <c r="AA2176" s="2144">
        <f t="shared" si="640"/>
        <v>32</v>
      </c>
      <c r="AB2176" s="2145">
        <f t="shared" si="640"/>
        <v>20605000</v>
      </c>
      <c r="AC2176" s="2147">
        <f t="shared" si="642"/>
        <v>32</v>
      </c>
      <c r="AD2176" s="2147">
        <f t="shared" si="642"/>
        <v>27.360244323463018</v>
      </c>
      <c r="AE2176" s="2140" t="s">
        <v>3593</v>
      </c>
    </row>
    <row r="2177" spans="1:71" s="2131" customFormat="1" ht="51">
      <c r="A2177" s="2379"/>
      <c r="B2177" s="2162"/>
      <c r="C2177" s="2164">
        <v>5</v>
      </c>
      <c r="D2177" s="2164" t="s">
        <v>34</v>
      </c>
      <c r="E2177" s="2164" t="s">
        <v>25</v>
      </c>
      <c r="F2177" s="2164" t="s">
        <v>45</v>
      </c>
      <c r="G2177" s="2164" t="s">
        <v>45</v>
      </c>
      <c r="H2177" s="2164" t="s">
        <v>31</v>
      </c>
      <c r="I2177" s="2162" t="s">
        <v>3655</v>
      </c>
      <c r="J2177" s="2162" t="s">
        <v>3656</v>
      </c>
      <c r="K2177" s="2166">
        <v>6</v>
      </c>
      <c r="L2177" s="2167">
        <v>75310000</v>
      </c>
      <c r="M2177" s="2166">
        <v>2</v>
      </c>
      <c r="N2177" s="2167">
        <v>20605000</v>
      </c>
      <c r="O2177" s="2166">
        <v>3</v>
      </c>
      <c r="P2177" s="2167"/>
      <c r="Q2177" s="2166">
        <v>0</v>
      </c>
      <c r="R2177" s="2167">
        <v>0</v>
      </c>
      <c r="S2177" s="2166">
        <v>0</v>
      </c>
      <c r="T2177" s="2202">
        <v>0</v>
      </c>
      <c r="U2177" s="2166"/>
      <c r="V2177" s="2202"/>
      <c r="W2177" s="2166"/>
      <c r="X2177" s="2166"/>
      <c r="Y2177" s="2240">
        <f t="shared" si="641"/>
        <v>0</v>
      </c>
      <c r="Z2177" s="2203">
        <f t="shared" si="641"/>
        <v>0</v>
      </c>
      <c r="AA2177" s="2240">
        <f t="shared" si="640"/>
        <v>2</v>
      </c>
      <c r="AB2177" s="2203">
        <f t="shared" si="640"/>
        <v>20605000</v>
      </c>
      <c r="AC2177" s="2243">
        <f t="shared" si="642"/>
        <v>33.333333333333329</v>
      </c>
      <c r="AD2177" s="2243">
        <f t="shared" si="642"/>
        <v>27.360244323463018</v>
      </c>
      <c r="AE2177" s="2379"/>
    </row>
    <row r="2178" spans="1:71" s="2131" customFormat="1" ht="68.25" customHeight="1">
      <c r="A2178" s="2140" t="s">
        <v>3559</v>
      </c>
      <c r="B2178" s="2194"/>
      <c r="C2178" s="2142">
        <v>5</v>
      </c>
      <c r="D2178" s="2142" t="s">
        <v>34</v>
      </c>
      <c r="E2178" s="2142" t="s">
        <v>25</v>
      </c>
      <c r="F2178" s="2142" t="s">
        <v>45</v>
      </c>
      <c r="G2178" s="2142">
        <v>57</v>
      </c>
      <c r="H2178" s="2142"/>
      <c r="I2178" s="2206" t="s">
        <v>3590</v>
      </c>
      <c r="J2178" s="2194" t="s">
        <v>3591</v>
      </c>
      <c r="K2178" s="2144" t="s">
        <v>3592</v>
      </c>
      <c r="L2178" s="2145">
        <f>SUM(L2179:L2180)</f>
        <v>60000000</v>
      </c>
      <c r="M2178" s="2144" t="s">
        <v>3592</v>
      </c>
      <c r="N2178" s="2145">
        <f>SUM(N2179:N2180)</f>
        <v>0</v>
      </c>
      <c r="O2178" s="2144" t="s">
        <v>3592</v>
      </c>
      <c r="P2178" s="2145">
        <f>SUM(P2179:P2180)</f>
        <v>18105000</v>
      </c>
      <c r="Q2178" s="2144">
        <v>0</v>
      </c>
      <c r="R2178" s="2145">
        <f>SUM(R2179:R2180)</f>
        <v>0</v>
      </c>
      <c r="S2178" s="2144"/>
      <c r="T2178" s="2145">
        <f>SUM(T2179:T2180)</f>
        <v>3.9940089865202195E-7</v>
      </c>
      <c r="U2178" s="2144"/>
      <c r="V2178" s="2145">
        <f>SUM(V2179:V2180)</f>
        <v>0</v>
      </c>
      <c r="W2178" s="2144"/>
      <c r="X2178" s="2145">
        <f>SUM(X2179:X2180)</f>
        <v>0</v>
      </c>
      <c r="Y2178" s="2144">
        <f t="shared" si="641"/>
        <v>0</v>
      </c>
      <c r="Z2178" s="2145">
        <f t="shared" si="641"/>
        <v>3.9940089865202195E-7</v>
      </c>
      <c r="AA2178" s="2144" t="s">
        <v>3063</v>
      </c>
      <c r="AB2178" s="2145">
        <f t="shared" si="640"/>
        <v>3.9940089865202195E-7</v>
      </c>
      <c r="AC2178" s="2147">
        <v>100</v>
      </c>
      <c r="AD2178" s="2147">
        <v>100</v>
      </c>
      <c r="AE2178" s="2140" t="s">
        <v>3593</v>
      </c>
    </row>
    <row r="2179" spans="1:71" s="2131" customFormat="1" ht="31.5" customHeight="1">
      <c r="A2179" s="2152"/>
      <c r="B2179" s="2198"/>
      <c r="C2179" s="2164">
        <v>5</v>
      </c>
      <c r="D2179" s="2164" t="s">
        <v>34</v>
      </c>
      <c r="E2179" s="2164" t="s">
        <v>25</v>
      </c>
      <c r="F2179" s="2164" t="s">
        <v>45</v>
      </c>
      <c r="G2179" s="2164">
        <v>57</v>
      </c>
      <c r="H2179" s="2164" t="s">
        <v>39</v>
      </c>
      <c r="I2179" s="2198" t="s">
        <v>3657</v>
      </c>
      <c r="J2179" s="2198" t="s">
        <v>3658</v>
      </c>
      <c r="K2179" s="2240">
        <v>3</v>
      </c>
      <c r="L2179" s="2241">
        <v>30000000</v>
      </c>
      <c r="M2179" s="2240">
        <v>0</v>
      </c>
      <c r="N2179" s="2241">
        <v>0</v>
      </c>
      <c r="O2179" s="2240">
        <v>1</v>
      </c>
      <c r="P2179" s="2241">
        <v>8090000</v>
      </c>
      <c r="Q2179" s="2240">
        <v>0</v>
      </c>
      <c r="R2179" s="2241">
        <v>0</v>
      </c>
      <c r="S2179" s="2240">
        <v>0</v>
      </c>
      <c r="T2179" s="2241">
        <v>0</v>
      </c>
      <c r="U2179" s="2240"/>
      <c r="V2179" s="2242"/>
      <c r="W2179" s="2240"/>
      <c r="X2179" s="2240"/>
      <c r="Y2179" s="2240">
        <f t="shared" si="641"/>
        <v>0</v>
      </c>
      <c r="Z2179" s="2203">
        <f t="shared" si="641"/>
        <v>0</v>
      </c>
      <c r="AA2179" s="2240">
        <f t="shared" ref="AA2179" si="645">M2179+Y2179</f>
        <v>0</v>
      </c>
      <c r="AB2179" s="2203">
        <f t="shared" si="640"/>
        <v>0</v>
      </c>
      <c r="AC2179" s="2243">
        <f t="shared" ref="AC2179:AD2179" si="646">(AA2179/K2179)*100</f>
        <v>0</v>
      </c>
      <c r="AD2179" s="2240">
        <f t="shared" si="646"/>
        <v>0</v>
      </c>
      <c r="AE2179" s="2152"/>
    </row>
    <row r="2180" spans="1:71" s="2131" customFormat="1" ht="26.25" customHeight="1">
      <c r="A2180" s="2152"/>
      <c r="B2180" s="2198"/>
      <c r="C2180" s="2164">
        <v>5</v>
      </c>
      <c r="D2180" s="2164" t="s">
        <v>34</v>
      </c>
      <c r="E2180" s="2164" t="s">
        <v>25</v>
      </c>
      <c r="F2180" s="2164" t="s">
        <v>45</v>
      </c>
      <c r="G2180" s="2164">
        <v>57</v>
      </c>
      <c r="H2180" s="2164">
        <v>17</v>
      </c>
      <c r="I2180" s="2198" t="s">
        <v>3594</v>
      </c>
      <c r="J2180" s="2198" t="s">
        <v>3595</v>
      </c>
      <c r="K2180" s="2240">
        <v>36</v>
      </c>
      <c r="L2180" s="2241">
        <v>30000000</v>
      </c>
      <c r="M2180" s="2240">
        <v>0</v>
      </c>
      <c r="N2180" s="2241">
        <v>0</v>
      </c>
      <c r="O2180" s="2240">
        <v>12</v>
      </c>
      <c r="P2180" s="2241">
        <v>10015000</v>
      </c>
      <c r="Q2180" s="2240">
        <v>3</v>
      </c>
      <c r="R2180" s="2241"/>
      <c r="S2180" s="2240">
        <v>3</v>
      </c>
      <c r="T2180" s="2241">
        <f>4/P2180</f>
        <v>3.9940089865202195E-7</v>
      </c>
      <c r="U2180" s="2240"/>
      <c r="V2180" s="2242"/>
      <c r="W2180" s="2240"/>
      <c r="X2180" s="2240"/>
      <c r="Y2180" s="2240">
        <f t="shared" si="641"/>
        <v>6</v>
      </c>
      <c r="Z2180" s="2203">
        <f t="shared" si="641"/>
        <v>3.9940089865202195E-7</v>
      </c>
      <c r="AA2180" s="2240">
        <f t="shared" si="640"/>
        <v>6</v>
      </c>
      <c r="AB2180" s="2203">
        <f t="shared" si="640"/>
        <v>3.9940089865202195E-7</v>
      </c>
      <c r="AC2180" s="2243">
        <f t="shared" si="642"/>
        <v>16.666666666666664</v>
      </c>
      <c r="AD2180" s="2240">
        <f t="shared" si="642"/>
        <v>1.3313363288400733E-12</v>
      </c>
      <c r="AE2180" s="2152"/>
    </row>
    <row r="2181" spans="1:71" s="2131" customFormat="1" ht="38.25">
      <c r="A2181" s="2140" t="s">
        <v>3565</v>
      </c>
      <c r="B2181" s="2194"/>
      <c r="C2181" s="2142">
        <v>5</v>
      </c>
      <c r="D2181" s="2142" t="s">
        <v>34</v>
      </c>
      <c r="E2181" s="2142" t="s">
        <v>25</v>
      </c>
      <c r="F2181" s="2142" t="s">
        <v>45</v>
      </c>
      <c r="G2181" s="2142" t="s">
        <v>35</v>
      </c>
      <c r="H2181" s="2140"/>
      <c r="I2181" s="2143" t="s">
        <v>3570</v>
      </c>
      <c r="J2181" s="2143" t="s">
        <v>3571</v>
      </c>
      <c r="K2181" s="2144">
        <v>70</v>
      </c>
      <c r="L2181" s="2145">
        <f>SUM(L2182:L2183)</f>
        <v>264000000</v>
      </c>
      <c r="M2181" s="2144">
        <v>32</v>
      </c>
      <c r="N2181" s="2145">
        <f>SUM(N2182:N2183)</f>
        <v>88000000</v>
      </c>
      <c r="O2181" s="2144">
        <v>48</v>
      </c>
      <c r="P2181" s="2145">
        <f>SUM(P2182:P2183)</f>
        <v>0</v>
      </c>
      <c r="Q2181" s="2144">
        <v>0</v>
      </c>
      <c r="R2181" s="2145">
        <f>SUM(R2182:R2183)</f>
        <v>0</v>
      </c>
      <c r="S2181" s="2144"/>
      <c r="T2181" s="2146">
        <f>SUM(T2182:T2183)</f>
        <v>0</v>
      </c>
      <c r="U2181" s="2195"/>
      <c r="V2181" s="2146">
        <f>SUM(V2182:V2183)</f>
        <v>0</v>
      </c>
      <c r="W2181" s="2144"/>
      <c r="X2181" s="2146">
        <f>SUM(X2182:X2183)</f>
        <v>0</v>
      </c>
      <c r="Y2181" s="2195">
        <f t="shared" si="641"/>
        <v>0</v>
      </c>
      <c r="Z2181" s="2145">
        <f t="shared" si="641"/>
        <v>0</v>
      </c>
      <c r="AA2181" s="2147">
        <f t="shared" si="640"/>
        <v>32</v>
      </c>
      <c r="AB2181" s="2145">
        <f t="shared" si="640"/>
        <v>88000000</v>
      </c>
      <c r="AC2181" s="2147">
        <f t="shared" si="642"/>
        <v>45.714285714285715</v>
      </c>
      <c r="AD2181" s="2147">
        <f t="shared" si="642"/>
        <v>33.333333333333329</v>
      </c>
      <c r="AE2181" s="2140" t="s">
        <v>3593</v>
      </c>
    </row>
    <row r="2182" spans="1:71" s="2131" customFormat="1" ht="38.25">
      <c r="A2182" s="2379"/>
      <c r="B2182" s="2162"/>
      <c r="C2182" s="2164">
        <v>5</v>
      </c>
      <c r="D2182" s="2164" t="s">
        <v>34</v>
      </c>
      <c r="E2182" s="2164" t="s">
        <v>25</v>
      </c>
      <c r="F2182" s="2164" t="s">
        <v>45</v>
      </c>
      <c r="G2182" s="2164" t="s">
        <v>35</v>
      </c>
      <c r="H2182" s="2151" t="s">
        <v>25</v>
      </c>
      <c r="I2182" s="2162" t="s">
        <v>3659</v>
      </c>
      <c r="J2182" s="2162" t="s">
        <v>3574</v>
      </c>
      <c r="K2182" s="2166">
        <v>6</v>
      </c>
      <c r="L2182" s="2167">
        <v>240000000</v>
      </c>
      <c r="M2182" s="2166">
        <v>2</v>
      </c>
      <c r="N2182" s="2167">
        <v>80000000</v>
      </c>
      <c r="O2182" s="2166">
        <v>0</v>
      </c>
      <c r="P2182" s="2167"/>
      <c r="Q2182" s="2166">
        <v>0</v>
      </c>
      <c r="R2182" s="2167">
        <v>0</v>
      </c>
      <c r="S2182" s="2167">
        <v>0</v>
      </c>
      <c r="T2182" s="2202">
        <v>0</v>
      </c>
      <c r="U2182" s="2166"/>
      <c r="V2182" s="2202"/>
      <c r="W2182" s="2166"/>
      <c r="X2182" s="2167"/>
      <c r="Y2182" s="2166">
        <f t="shared" si="641"/>
        <v>0</v>
      </c>
      <c r="Z2182" s="2203">
        <f t="shared" si="641"/>
        <v>0</v>
      </c>
      <c r="AA2182" s="2166">
        <f t="shared" si="640"/>
        <v>2</v>
      </c>
      <c r="AB2182" s="2203">
        <f t="shared" si="640"/>
        <v>80000000</v>
      </c>
      <c r="AC2182" s="2170">
        <f t="shared" si="642"/>
        <v>33.333333333333329</v>
      </c>
      <c r="AD2182" s="2170">
        <f t="shared" si="642"/>
        <v>33.333333333333329</v>
      </c>
      <c r="AE2182" s="2379"/>
    </row>
    <row r="2183" spans="1:71" s="2131" customFormat="1" ht="38.25">
      <c r="A2183" s="2379"/>
      <c r="B2183" s="2162"/>
      <c r="C2183" s="2164">
        <v>5</v>
      </c>
      <c r="D2183" s="2164" t="s">
        <v>34</v>
      </c>
      <c r="E2183" s="2164" t="s">
        <v>25</v>
      </c>
      <c r="F2183" s="2164" t="s">
        <v>45</v>
      </c>
      <c r="G2183" s="2164" t="s">
        <v>35</v>
      </c>
      <c r="H2183" s="2151" t="s">
        <v>48</v>
      </c>
      <c r="I2183" s="2162" t="s">
        <v>3575</v>
      </c>
      <c r="J2183" s="2162" t="s">
        <v>3660</v>
      </c>
      <c r="K2183" s="2166">
        <v>72</v>
      </c>
      <c r="L2183" s="2167">
        <v>24000000</v>
      </c>
      <c r="M2183" s="2166">
        <v>24</v>
      </c>
      <c r="N2183" s="2167">
        <v>8000000</v>
      </c>
      <c r="O2183" s="2166">
        <v>0</v>
      </c>
      <c r="P2183" s="2167"/>
      <c r="Q2183" s="2166">
        <v>0</v>
      </c>
      <c r="R2183" s="2167">
        <v>0</v>
      </c>
      <c r="S2183" s="2167">
        <v>0</v>
      </c>
      <c r="T2183" s="2202">
        <v>0</v>
      </c>
      <c r="U2183" s="2166"/>
      <c r="V2183" s="2202"/>
      <c r="W2183" s="2166"/>
      <c r="X2183" s="2167"/>
      <c r="Y2183" s="2166">
        <f t="shared" si="641"/>
        <v>0</v>
      </c>
      <c r="Z2183" s="2203">
        <f t="shared" si="641"/>
        <v>0</v>
      </c>
      <c r="AA2183" s="2166">
        <f t="shared" si="640"/>
        <v>24</v>
      </c>
      <c r="AB2183" s="2203">
        <f t="shared" si="640"/>
        <v>8000000</v>
      </c>
      <c r="AC2183" s="2170">
        <f t="shared" si="642"/>
        <v>33.333333333333329</v>
      </c>
      <c r="AD2183" s="2170">
        <f t="shared" si="642"/>
        <v>33.333333333333329</v>
      </c>
      <c r="AE2183" s="2379"/>
    </row>
    <row r="2184" spans="1:71" s="2131" customFormat="1" ht="51">
      <c r="A2184" s="2140" t="s">
        <v>13</v>
      </c>
      <c r="B2184" s="2194"/>
      <c r="C2184" s="2142">
        <v>5</v>
      </c>
      <c r="D2184" s="2142" t="s">
        <v>34</v>
      </c>
      <c r="E2184" s="2142" t="s">
        <v>25</v>
      </c>
      <c r="F2184" s="2142" t="s">
        <v>45</v>
      </c>
      <c r="G2184" s="2142" t="s">
        <v>47</v>
      </c>
      <c r="H2184" s="2140"/>
      <c r="I2184" s="2143" t="s">
        <v>3661</v>
      </c>
      <c r="J2184" s="2143" t="s">
        <v>3662</v>
      </c>
      <c r="K2184" s="2144">
        <v>100</v>
      </c>
      <c r="L2184" s="2145">
        <f>SUM(L2185)</f>
        <v>108000000</v>
      </c>
      <c r="M2184" s="2144">
        <v>60</v>
      </c>
      <c r="N2184" s="2145">
        <f>SUM(N2185)</f>
        <v>45000000</v>
      </c>
      <c r="O2184" s="2144">
        <v>20</v>
      </c>
      <c r="P2184" s="2145">
        <f>SUM(P2185)</f>
        <v>23710000</v>
      </c>
      <c r="Q2184" s="2144">
        <v>0</v>
      </c>
      <c r="R2184" s="2145">
        <f>SUM(R2185)</f>
        <v>3602500</v>
      </c>
      <c r="S2184" s="2144"/>
      <c r="T2184" s="2146">
        <f>SUM(T2185)</f>
        <v>0</v>
      </c>
      <c r="U2184" s="2195"/>
      <c r="V2184" s="2146">
        <f>SUM(V2185)</f>
        <v>0</v>
      </c>
      <c r="W2184" s="2144"/>
      <c r="X2184" s="2146">
        <f>SUM(X2185)</f>
        <v>0</v>
      </c>
      <c r="Y2184" s="2195">
        <f t="shared" si="641"/>
        <v>0</v>
      </c>
      <c r="Z2184" s="2145">
        <f t="shared" si="641"/>
        <v>3602500</v>
      </c>
      <c r="AA2184" s="2147">
        <f t="shared" si="640"/>
        <v>60</v>
      </c>
      <c r="AB2184" s="2145">
        <f t="shared" si="640"/>
        <v>48602500</v>
      </c>
      <c r="AC2184" s="2147">
        <f t="shared" si="642"/>
        <v>60</v>
      </c>
      <c r="AD2184" s="2147">
        <f t="shared" si="642"/>
        <v>45.002314814814817</v>
      </c>
      <c r="AE2184" s="2140" t="s">
        <v>3593</v>
      </c>
    </row>
    <row r="2185" spans="1:71" s="2131" customFormat="1" ht="38.25">
      <c r="A2185" s="2379"/>
      <c r="B2185" s="2162"/>
      <c r="C2185" s="2164">
        <v>5</v>
      </c>
      <c r="D2185" s="2164" t="s">
        <v>34</v>
      </c>
      <c r="E2185" s="2164" t="s">
        <v>25</v>
      </c>
      <c r="F2185" s="2164" t="s">
        <v>45</v>
      </c>
      <c r="G2185" s="2164" t="s">
        <v>47</v>
      </c>
      <c r="H2185" s="2151" t="s">
        <v>38</v>
      </c>
      <c r="I2185" s="2162" t="s">
        <v>3663</v>
      </c>
      <c r="J2185" s="2162" t="s">
        <v>3664</v>
      </c>
      <c r="K2185" s="2166">
        <f>17*6</f>
        <v>102</v>
      </c>
      <c r="L2185" s="2167">
        <v>108000000</v>
      </c>
      <c r="M2185" s="2166">
        <v>34</v>
      </c>
      <c r="N2185" s="2167">
        <v>45000000</v>
      </c>
      <c r="O2185" s="2166">
        <v>17</v>
      </c>
      <c r="P2185" s="2167">
        <v>23710000</v>
      </c>
      <c r="Q2185" s="2166">
        <v>17</v>
      </c>
      <c r="R2185" s="2167">
        <v>3602500</v>
      </c>
      <c r="S2185" s="2166"/>
      <c r="T2185" s="2202"/>
      <c r="U2185" s="2166"/>
      <c r="V2185" s="2202"/>
      <c r="W2185" s="2166"/>
      <c r="X2185" s="2167"/>
      <c r="Y2185" s="2166">
        <f t="shared" si="641"/>
        <v>17</v>
      </c>
      <c r="Z2185" s="2203">
        <f t="shared" si="641"/>
        <v>3602500</v>
      </c>
      <c r="AA2185" s="2166">
        <f t="shared" si="640"/>
        <v>51</v>
      </c>
      <c r="AB2185" s="2203">
        <f t="shared" si="640"/>
        <v>48602500</v>
      </c>
      <c r="AC2185" s="2170">
        <f t="shared" si="642"/>
        <v>50</v>
      </c>
      <c r="AD2185" s="2170">
        <f t="shared" si="642"/>
        <v>45.002314814814817</v>
      </c>
      <c r="AE2185" s="2379"/>
    </row>
    <row r="2186" spans="1:71" s="2131" customFormat="1" ht="51">
      <c r="A2186" s="2140" t="s">
        <v>3577</v>
      </c>
      <c r="B2186" s="2194"/>
      <c r="C2186" s="2142">
        <v>5</v>
      </c>
      <c r="D2186" s="2142" t="s">
        <v>34</v>
      </c>
      <c r="E2186" s="2142" t="s">
        <v>25</v>
      </c>
      <c r="F2186" s="2142" t="s">
        <v>45</v>
      </c>
      <c r="G2186" s="2142">
        <v>47</v>
      </c>
      <c r="H2186" s="2140"/>
      <c r="I2186" s="2143" t="s">
        <v>237</v>
      </c>
      <c r="J2186" s="2143" t="s">
        <v>3662</v>
      </c>
      <c r="K2186" s="2144">
        <v>100</v>
      </c>
      <c r="L2186" s="2145">
        <f>SUM(L2187:L2188)</f>
        <v>60000000</v>
      </c>
      <c r="M2186" s="2144">
        <v>32</v>
      </c>
      <c r="N2186" s="2145">
        <f>SUM(N2187:N2188)</f>
        <v>10000000</v>
      </c>
      <c r="O2186" s="2144">
        <v>48</v>
      </c>
      <c r="P2186" s="2145">
        <f>SUM(P2187:P2188)</f>
        <v>12222500</v>
      </c>
      <c r="Q2186" s="2144">
        <v>0</v>
      </c>
      <c r="R2186" s="2145">
        <f>SUM(R2187:R2188)</f>
        <v>0</v>
      </c>
      <c r="S2186" s="2144"/>
      <c r="T2186" s="2146">
        <f>SUM(T2187:T2188)</f>
        <v>3.2726528942524035E-7</v>
      </c>
      <c r="U2186" s="2195"/>
      <c r="V2186" s="2146">
        <f>SUM(V2187:V2188)</f>
        <v>0</v>
      </c>
      <c r="W2186" s="2144"/>
      <c r="X2186" s="2146">
        <f>SUM(X2187:X2188)</f>
        <v>0</v>
      </c>
      <c r="Y2186" s="2195">
        <f t="shared" si="641"/>
        <v>0</v>
      </c>
      <c r="Z2186" s="2145">
        <f t="shared" si="641"/>
        <v>3.2726528942524035E-7</v>
      </c>
      <c r="AA2186" s="2147">
        <f t="shared" si="640"/>
        <v>32</v>
      </c>
      <c r="AB2186" s="2145">
        <f t="shared" si="640"/>
        <v>10000000.000000328</v>
      </c>
      <c r="AC2186" s="2147">
        <f t="shared" si="642"/>
        <v>32</v>
      </c>
      <c r="AD2186" s="2147">
        <f t="shared" si="642"/>
        <v>16.666666666667211</v>
      </c>
      <c r="AE2186" s="2140" t="s">
        <v>3593</v>
      </c>
    </row>
    <row r="2187" spans="1:71" s="2131" customFormat="1" ht="38.25">
      <c r="A2187" s="2379"/>
      <c r="B2187" s="2162"/>
      <c r="C2187" s="2164">
        <v>5</v>
      </c>
      <c r="D2187" s="2164" t="s">
        <v>34</v>
      </c>
      <c r="E2187" s="2164" t="s">
        <v>25</v>
      </c>
      <c r="F2187" s="2164" t="s">
        <v>45</v>
      </c>
      <c r="G2187" s="2164">
        <v>47</v>
      </c>
      <c r="H2187" s="2151" t="s">
        <v>25</v>
      </c>
      <c r="I2187" s="2162" t="s">
        <v>3665</v>
      </c>
      <c r="J2187" s="2162" t="s">
        <v>3666</v>
      </c>
      <c r="K2187" s="2166">
        <v>72</v>
      </c>
      <c r="L2187" s="2167">
        <v>30000000</v>
      </c>
      <c r="M2187" s="2166">
        <v>24</v>
      </c>
      <c r="N2187" s="2167">
        <v>10000000</v>
      </c>
      <c r="O2187" s="2166"/>
      <c r="P2187" s="2167">
        <v>0</v>
      </c>
      <c r="Q2187" s="2166">
        <v>0</v>
      </c>
      <c r="R2187" s="2167">
        <v>0</v>
      </c>
      <c r="S2187" s="2166"/>
      <c r="T2187" s="2202"/>
      <c r="U2187" s="2166"/>
      <c r="V2187" s="2202"/>
      <c r="W2187" s="2166"/>
      <c r="X2187" s="2167"/>
      <c r="Y2187" s="2166">
        <f t="shared" si="641"/>
        <v>0</v>
      </c>
      <c r="Z2187" s="2203">
        <f t="shared" si="641"/>
        <v>0</v>
      </c>
      <c r="AA2187" s="2166">
        <f t="shared" si="640"/>
        <v>24</v>
      </c>
      <c r="AB2187" s="2203">
        <f t="shared" si="640"/>
        <v>10000000</v>
      </c>
      <c r="AC2187" s="2170">
        <f t="shared" si="642"/>
        <v>33.333333333333329</v>
      </c>
      <c r="AD2187" s="2170">
        <f t="shared" si="642"/>
        <v>33.333333333333329</v>
      </c>
      <c r="AE2187" s="2379"/>
      <c r="AF2187" s="2161"/>
      <c r="AG2187" s="2161"/>
      <c r="AH2187" s="2161"/>
      <c r="AI2187" s="2161"/>
      <c r="AJ2187" s="2161"/>
      <c r="AK2187" s="2161"/>
      <c r="AL2187" s="2161"/>
      <c r="AM2187" s="2161"/>
      <c r="AN2187" s="2161"/>
      <c r="AO2187" s="2161"/>
      <c r="AP2187" s="2161"/>
      <c r="AQ2187" s="2161"/>
      <c r="AR2187" s="2161"/>
      <c r="AS2187" s="2161"/>
      <c r="AT2187" s="2161"/>
      <c r="AU2187" s="2161"/>
      <c r="AV2187" s="2161"/>
      <c r="AW2187" s="2161"/>
      <c r="AX2187" s="2161"/>
      <c r="AY2187" s="2161"/>
      <c r="AZ2187" s="2161"/>
      <c r="BA2187" s="2161"/>
      <c r="BB2187" s="2161"/>
      <c r="BC2187" s="2161"/>
      <c r="BD2187" s="2161"/>
      <c r="BE2187" s="2161"/>
      <c r="BF2187" s="2161"/>
      <c r="BG2187" s="2161"/>
      <c r="BH2187" s="2161"/>
      <c r="BI2187" s="2161"/>
      <c r="BJ2187" s="2161"/>
      <c r="BK2187" s="2161"/>
      <c r="BL2187" s="2161"/>
      <c r="BM2187" s="2161"/>
      <c r="BN2187" s="2161"/>
      <c r="BO2187" s="2161"/>
      <c r="BP2187" s="2161"/>
      <c r="BQ2187" s="2161"/>
      <c r="BR2187" s="2161"/>
      <c r="BS2187" s="2161"/>
    </row>
    <row r="2188" spans="1:71" s="2131" customFormat="1" ht="25.5">
      <c r="A2188" s="2379"/>
      <c r="B2188" s="2162"/>
      <c r="C2188" s="2164">
        <v>5</v>
      </c>
      <c r="D2188" s="2164" t="s">
        <v>34</v>
      </c>
      <c r="E2188" s="2164" t="s">
        <v>25</v>
      </c>
      <c r="F2188" s="2164" t="s">
        <v>45</v>
      </c>
      <c r="G2188" s="2164">
        <v>47</v>
      </c>
      <c r="H2188" s="2151" t="s">
        <v>43</v>
      </c>
      <c r="I2188" s="2162" t="s">
        <v>1942</v>
      </c>
      <c r="J2188" s="2162" t="s">
        <v>3666</v>
      </c>
      <c r="K2188" s="2166">
        <v>36</v>
      </c>
      <c r="L2188" s="2167">
        <v>30000000</v>
      </c>
      <c r="M2188" s="2166">
        <v>0</v>
      </c>
      <c r="N2188" s="2167">
        <v>0</v>
      </c>
      <c r="O2188" s="2166">
        <v>12</v>
      </c>
      <c r="P2188" s="2167">
        <v>12222500</v>
      </c>
      <c r="Q2188" s="2166">
        <v>3</v>
      </c>
      <c r="R2188" s="2167">
        <v>0</v>
      </c>
      <c r="S2188" s="2166">
        <v>3</v>
      </c>
      <c r="T2188" s="2202">
        <f>4/P2188</f>
        <v>3.2726528942524035E-7</v>
      </c>
      <c r="U2188" s="2166"/>
      <c r="V2188" s="2202"/>
      <c r="W2188" s="2166"/>
      <c r="X2188" s="2167"/>
      <c r="Y2188" s="2166">
        <f t="shared" si="641"/>
        <v>6</v>
      </c>
      <c r="Z2188" s="2203">
        <f t="shared" si="641"/>
        <v>3.2726528942524035E-7</v>
      </c>
      <c r="AA2188" s="2166">
        <f t="shared" si="640"/>
        <v>6</v>
      </c>
      <c r="AB2188" s="2203">
        <f t="shared" si="640"/>
        <v>3.2726528942524035E-7</v>
      </c>
      <c r="AC2188" s="2170">
        <f t="shared" si="642"/>
        <v>16.666666666666664</v>
      </c>
      <c r="AD2188" s="2170">
        <f t="shared" si="642"/>
        <v>1.0908842980841345E-12</v>
      </c>
      <c r="AE2188" s="2379"/>
      <c r="AF2188" s="2161"/>
      <c r="AG2188" s="2161"/>
      <c r="AH2188" s="2161"/>
      <c r="AI2188" s="2161"/>
      <c r="AJ2188" s="2161"/>
      <c r="AK2188" s="2161"/>
      <c r="AL2188" s="2161"/>
      <c r="AM2188" s="2161"/>
      <c r="AN2188" s="2161"/>
      <c r="AO2188" s="2161"/>
      <c r="AP2188" s="2161"/>
      <c r="AQ2188" s="2161"/>
      <c r="AR2188" s="2161"/>
      <c r="AS2188" s="2161"/>
      <c r="AT2188" s="2161"/>
      <c r="AU2188" s="2161"/>
      <c r="AV2188" s="2161"/>
      <c r="AW2188" s="2161"/>
      <c r="AX2188" s="2161"/>
      <c r="AY2188" s="2161"/>
      <c r="AZ2188" s="2161"/>
      <c r="BA2188" s="2161"/>
      <c r="BB2188" s="2161"/>
      <c r="BC2188" s="2161"/>
      <c r="BD2188" s="2161"/>
      <c r="BE2188" s="2161"/>
      <c r="BF2188" s="2161"/>
      <c r="BG2188" s="2161"/>
      <c r="BH2188" s="2161"/>
      <c r="BI2188" s="2161"/>
      <c r="BJ2188" s="2161"/>
      <c r="BK2188" s="2161"/>
      <c r="BL2188" s="2161"/>
      <c r="BM2188" s="2161"/>
      <c r="BN2188" s="2161"/>
      <c r="BO2188" s="2161"/>
      <c r="BP2188" s="2161"/>
      <c r="BQ2188" s="2161"/>
      <c r="BR2188" s="2161"/>
      <c r="BS2188" s="2161"/>
    </row>
    <row r="2189" spans="1:71" s="2131" customFormat="1" ht="63.75">
      <c r="A2189" s="2140" t="s">
        <v>19</v>
      </c>
      <c r="B2189" s="2194"/>
      <c r="C2189" s="2142">
        <v>5</v>
      </c>
      <c r="D2189" s="2142" t="s">
        <v>34</v>
      </c>
      <c r="E2189" s="2142" t="s">
        <v>25</v>
      </c>
      <c r="F2189" s="2142" t="s">
        <v>45</v>
      </c>
      <c r="G2189" s="2142" t="s">
        <v>3667</v>
      </c>
      <c r="H2189" s="2140"/>
      <c r="I2189" s="2143" t="s">
        <v>3668</v>
      </c>
      <c r="J2189" s="2143" t="s">
        <v>3669</v>
      </c>
      <c r="K2189" s="2144">
        <v>100</v>
      </c>
      <c r="L2189" s="2145">
        <f>SUM(L2190:L2196)</f>
        <v>641295000</v>
      </c>
      <c r="M2189" s="2144">
        <v>32</v>
      </c>
      <c r="N2189" s="2145">
        <f>SUM(N2190:N2196)</f>
        <v>188240000</v>
      </c>
      <c r="O2189" s="2147">
        <v>47.83722906927327</v>
      </c>
      <c r="P2189" s="2145">
        <f>SUM(P2190:P2196)</f>
        <v>73427500</v>
      </c>
      <c r="Q2189" s="2144">
        <v>0</v>
      </c>
      <c r="R2189" s="2145">
        <f>SUM(R2190:R2196)</f>
        <v>12930000</v>
      </c>
      <c r="S2189" s="2144"/>
      <c r="T2189" s="2145">
        <f>SUM(T2190:T2196)</f>
        <v>18356875</v>
      </c>
      <c r="U2189" s="2147"/>
      <c r="V2189" s="2145">
        <f>SUM(V2190:V2196)</f>
        <v>0</v>
      </c>
      <c r="W2189" s="2144"/>
      <c r="X2189" s="2144">
        <f>SUM(X2190:X2196)</f>
        <v>0</v>
      </c>
      <c r="Y2189" s="2147">
        <f t="shared" si="641"/>
        <v>0</v>
      </c>
      <c r="Z2189" s="2145">
        <f t="shared" si="641"/>
        <v>31286875</v>
      </c>
      <c r="AA2189" s="2147">
        <f t="shared" si="640"/>
        <v>32</v>
      </c>
      <c r="AB2189" s="2145">
        <f t="shared" si="640"/>
        <v>219526875</v>
      </c>
      <c r="AC2189" s="2147">
        <f t="shared" si="642"/>
        <v>32</v>
      </c>
      <c r="AD2189" s="2147">
        <f t="shared" si="642"/>
        <v>34.231808294154796</v>
      </c>
      <c r="AE2189" s="2140" t="s">
        <v>3593</v>
      </c>
      <c r="AF2189" s="2149"/>
      <c r="AG2189" s="2149"/>
      <c r="AH2189" s="2149"/>
      <c r="AI2189" s="2149"/>
      <c r="AJ2189" s="2149"/>
      <c r="AK2189" s="2149"/>
      <c r="AL2189" s="2149"/>
      <c r="AM2189" s="2149"/>
      <c r="AN2189" s="2149"/>
      <c r="AO2189" s="2149"/>
      <c r="AP2189" s="2149"/>
      <c r="AQ2189" s="2149"/>
      <c r="AR2189" s="2149"/>
      <c r="AS2189" s="2149"/>
      <c r="AT2189" s="2149"/>
      <c r="AU2189" s="2149"/>
      <c r="AV2189" s="2149"/>
      <c r="AW2189" s="2149"/>
      <c r="AX2189" s="2149"/>
      <c r="AY2189" s="2149"/>
      <c r="AZ2189" s="2149"/>
      <c r="BA2189" s="2149"/>
      <c r="BB2189" s="2149"/>
      <c r="BC2189" s="2149"/>
      <c r="BD2189" s="2149"/>
      <c r="BE2189" s="2149"/>
      <c r="BF2189" s="2149"/>
      <c r="BG2189" s="2149"/>
      <c r="BH2189" s="2149"/>
      <c r="BI2189" s="2149"/>
      <c r="BJ2189" s="2149"/>
      <c r="BK2189" s="2149"/>
      <c r="BL2189" s="2149"/>
      <c r="BM2189" s="2149"/>
      <c r="BN2189" s="2149"/>
      <c r="BO2189" s="2149"/>
      <c r="BP2189" s="2149"/>
      <c r="BQ2189" s="2149"/>
      <c r="BR2189" s="2149"/>
      <c r="BS2189" s="2149"/>
    </row>
    <row r="2190" spans="1:71" s="2131" customFormat="1" ht="25.5">
      <c r="A2190" s="2267"/>
      <c r="B2190" s="2253"/>
      <c r="C2190" s="2164">
        <v>5</v>
      </c>
      <c r="D2190" s="2164" t="s">
        <v>34</v>
      </c>
      <c r="E2190" s="2164" t="s">
        <v>25</v>
      </c>
      <c r="F2190" s="2164" t="s">
        <v>45</v>
      </c>
      <c r="G2190" s="2164" t="s">
        <v>3667</v>
      </c>
      <c r="H2190" s="2254" t="s">
        <v>25</v>
      </c>
      <c r="I2190" s="2171" t="s">
        <v>3551</v>
      </c>
      <c r="J2190" s="2171" t="s">
        <v>3670</v>
      </c>
      <c r="K2190" s="2255">
        <v>60</v>
      </c>
      <c r="L2190" s="2203">
        <v>263100000</v>
      </c>
      <c r="M2190" s="2256">
        <v>20</v>
      </c>
      <c r="N2190" s="2257">
        <v>87700000</v>
      </c>
      <c r="O2190" s="2255">
        <v>25</v>
      </c>
      <c r="P2190" s="2258">
        <v>35550000</v>
      </c>
      <c r="Q2190" s="2256">
        <v>12</v>
      </c>
      <c r="R2190" s="2203">
        <v>6980000</v>
      </c>
      <c r="S2190" s="2255">
        <v>7</v>
      </c>
      <c r="T2190" s="2258">
        <f>P2190/4</f>
        <v>8887500</v>
      </c>
      <c r="U2190" s="2255"/>
      <c r="V2190" s="2258"/>
      <c r="W2190" s="2255"/>
      <c r="X2190" s="2203"/>
      <c r="Y2190" s="2240">
        <f t="shared" si="641"/>
        <v>19</v>
      </c>
      <c r="Z2190" s="2203">
        <f t="shared" si="641"/>
        <v>15867500</v>
      </c>
      <c r="AA2190" s="2240">
        <f t="shared" si="640"/>
        <v>39</v>
      </c>
      <c r="AB2190" s="2203">
        <f t="shared" si="640"/>
        <v>103567500</v>
      </c>
      <c r="AC2190" s="2243">
        <f t="shared" si="642"/>
        <v>65</v>
      </c>
      <c r="AD2190" s="2243">
        <f t="shared" si="642"/>
        <v>39.364310148232612</v>
      </c>
      <c r="AE2190" s="2267"/>
      <c r="AF2190" s="2161"/>
      <c r="AG2190" s="2161"/>
      <c r="AH2190" s="2161"/>
      <c r="AI2190" s="2161"/>
      <c r="AJ2190" s="2161"/>
      <c r="AK2190" s="2161"/>
      <c r="AL2190" s="2161"/>
      <c r="AM2190" s="2161"/>
      <c r="AN2190" s="2161"/>
      <c r="AO2190" s="2161"/>
      <c r="AP2190" s="2161"/>
      <c r="AQ2190" s="2161"/>
      <c r="AR2190" s="2161"/>
      <c r="AS2190" s="2161"/>
      <c r="AT2190" s="2161"/>
      <c r="AU2190" s="2161"/>
      <c r="AV2190" s="2161"/>
      <c r="AW2190" s="2161"/>
      <c r="AX2190" s="2161"/>
      <c r="AY2190" s="2161"/>
      <c r="AZ2190" s="2161"/>
      <c r="BA2190" s="2161"/>
      <c r="BB2190" s="2161"/>
      <c r="BC2190" s="2161"/>
      <c r="BD2190" s="2161"/>
      <c r="BE2190" s="2161"/>
      <c r="BF2190" s="2161"/>
      <c r="BG2190" s="2161"/>
      <c r="BH2190" s="2161"/>
      <c r="BI2190" s="2161"/>
      <c r="BJ2190" s="2161"/>
      <c r="BK2190" s="2161"/>
      <c r="BL2190" s="2161"/>
      <c r="BM2190" s="2161"/>
      <c r="BN2190" s="2161"/>
      <c r="BO2190" s="2161"/>
      <c r="BP2190" s="2161"/>
      <c r="BQ2190" s="2161"/>
      <c r="BR2190" s="2161"/>
      <c r="BS2190" s="2161"/>
    </row>
    <row r="2191" spans="1:71" s="2131" customFormat="1" ht="38.25">
      <c r="A2191" s="2267"/>
      <c r="B2191" s="2253"/>
      <c r="C2191" s="2164">
        <v>5</v>
      </c>
      <c r="D2191" s="2164" t="s">
        <v>34</v>
      </c>
      <c r="E2191" s="2164" t="s">
        <v>25</v>
      </c>
      <c r="F2191" s="2164" t="s">
        <v>45</v>
      </c>
      <c r="G2191" s="2164" t="s">
        <v>3667</v>
      </c>
      <c r="H2191" s="2254" t="s">
        <v>28</v>
      </c>
      <c r="I2191" s="2171" t="s">
        <v>3671</v>
      </c>
      <c r="J2191" s="2171" t="s">
        <v>3672</v>
      </c>
      <c r="K2191" s="2255">
        <v>6</v>
      </c>
      <c r="L2191" s="2268">
        <v>83250000</v>
      </c>
      <c r="M2191" s="2256">
        <v>2</v>
      </c>
      <c r="N2191" s="2257">
        <v>27750000</v>
      </c>
      <c r="O2191" s="2255">
        <v>3</v>
      </c>
      <c r="P2191" s="2258">
        <v>10250000</v>
      </c>
      <c r="Q2191" s="2257">
        <v>0</v>
      </c>
      <c r="R2191" s="2203"/>
      <c r="S2191" s="2203"/>
      <c r="T2191" s="2203">
        <f t="shared" ref="T2191:T2196" si="647">P2191/4</f>
        <v>2562500</v>
      </c>
      <c r="U2191" s="2255"/>
      <c r="V2191" s="2255"/>
      <c r="W2191" s="2255"/>
      <c r="X2191" s="2203"/>
      <c r="Y2191" s="2240">
        <f t="shared" si="641"/>
        <v>0</v>
      </c>
      <c r="Z2191" s="2203">
        <f t="shared" si="641"/>
        <v>2562500</v>
      </c>
      <c r="AA2191" s="2240">
        <f t="shared" si="640"/>
        <v>2</v>
      </c>
      <c r="AB2191" s="2203">
        <f t="shared" si="640"/>
        <v>30312500</v>
      </c>
      <c r="AC2191" s="2243">
        <f t="shared" si="642"/>
        <v>33.333333333333329</v>
      </c>
      <c r="AD2191" s="2243">
        <f t="shared" si="642"/>
        <v>36.411411411411407</v>
      </c>
      <c r="AE2191" s="2267"/>
      <c r="AF2191" s="2161"/>
      <c r="AG2191" s="2161"/>
      <c r="AH2191" s="2161"/>
      <c r="AI2191" s="2161"/>
      <c r="AJ2191" s="2161"/>
      <c r="AK2191" s="2161"/>
      <c r="AL2191" s="2161"/>
      <c r="AM2191" s="2161"/>
      <c r="AN2191" s="2161"/>
      <c r="AO2191" s="2161"/>
      <c r="AP2191" s="2161"/>
      <c r="AQ2191" s="2161"/>
      <c r="AR2191" s="2161"/>
      <c r="AS2191" s="2161"/>
      <c r="AT2191" s="2161"/>
      <c r="AU2191" s="2161"/>
      <c r="AV2191" s="2161"/>
      <c r="AW2191" s="2161"/>
      <c r="AX2191" s="2161"/>
      <c r="AY2191" s="2161"/>
      <c r="AZ2191" s="2161"/>
      <c r="BA2191" s="2161"/>
      <c r="BB2191" s="2161"/>
      <c r="BC2191" s="2161"/>
      <c r="BD2191" s="2161"/>
      <c r="BE2191" s="2161"/>
      <c r="BF2191" s="2161"/>
      <c r="BG2191" s="2161"/>
      <c r="BH2191" s="2161"/>
      <c r="BI2191" s="2161"/>
      <c r="BJ2191" s="2161"/>
      <c r="BK2191" s="2161"/>
      <c r="BL2191" s="2161"/>
      <c r="BM2191" s="2161"/>
      <c r="BN2191" s="2161"/>
      <c r="BO2191" s="2161"/>
      <c r="BP2191" s="2161"/>
      <c r="BQ2191" s="2161"/>
      <c r="BR2191" s="2161"/>
      <c r="BS2191" s="2161"/>
    </row>
    <row r="2192" spans="1:71" s="2131" customFormat="1" ht="63.75">
      <c r="A2192" s="2267"/>
      <c r="B2192" s="2253"/>
      <c r="C2192" s="2164">
        <v>5</v>
      </c>
      <c r="D2192" s="2164" t="s">
        <v>34</v>
      </c>
      <c r="E2192" s="2164" t="s">
        <v>25</v>
      </c>
      <c r="F2192" s="2164" t="s">
        <v>45</v>
      </c>
      <c r="G2192" s="2164" t="s">
        <v>3667</v>
      </c>
      <c r="H2192" s="2254" t="s">
        <v>39</v>
      </c>
      <c r="I2192" s="2171" t="s">
        <v>3673</v>
      </c>
      <c r="J2192" s="2171" t="s">
        <v>3674</v>
      </c>
      <c r="K2192" s="2255">
        <v>3</v>
      </c>
      <c r="L2192" s="2203">
        <v>76575000</v>
      </c>
      <c r="M2192" s="2256">
        <v>3</v>
      </c>
      <c r="N2192" s="2257">
        <v>25525000</v>
      </c>
      <c r="O2192" s="2255">
        <v>0</v>
      </c>
      <c r="P2192" s="2258"/>
      <c r="Q2192" s="2256">
        <v>0</v>
      </c>
      <c r="R2192" s="2203">
        <v>0</v>
      </c>
      <c r="S2192" s="2203"/>
      <c r="T2192" s="2258">
        <f t="shared" si="647"/>
        <v>0</v>
      </c>
      <c r="U2192" s="2255"/>
      <c r="V2192" s="2258"/>
      <c r="W2192" s="2255"/>
      <c r="X2192" s="2203"/>
      <c r="Y2192" s="2240">
        <f t="shared" si="641"/>
        <v>0</v>
      </c>
      <c r="Z2192" s="2203">
        <f t="shared" si="641"/>
        <v>0</v>
      </c>
      <c r="AA2192" s="2240">
        <f t="shared" si="640"/>
        <v>3</v>
      </c>
      <c r="AB2192" s="2203">
        <f t="shared" si="640"/>
        <v>25525000</v>
      </c>
      <c r="AC2192" s="2243">
        <f t="shared" si="642"/>
        <v>100</v>
      </c>
      <c r="AD2192" s="2243">
        <f t="shared" si="642"/>
        <v>33.333333333333329</v>
      </c>
      <c r="AE2192" s="2267"/>
      <c r="AF2192" s="2161"/>
      <c r="AG2192" s="2161"/>
      <c r="AH2192" s="2161"/>
      <c r="AI2192" s="2161"/>
      <c r="AJ2192" s="2161"/>
      <c r="AK2192" s="2161"/>
      <c r="AL2192" s="2161"/>
      <c r="AM2192" s="2161"/>
      <c r="AN2192" s="2161"/>
      <c r="AO2192" s="2161"/>
      <c r="AP2192" s="2161"/>
      <c r="AQ2192" s="2161"/>
      <c r="AR2192" s="2161"/>
      <c r="AS2192" s="2161"/>
      <c r="AT2192" s="2161"/>
      <c r="AU2192" s="2161"/>
      <c r="AV2192" s="2161"/>
      <c r="AW2192" s="2161"/>
      <c r="AX2192" s="2161"/>
      <c r="AY2192" s="2161"/>
      <c r="AZ2192" s="2161"/>
      <c r="BA2192" s="2161"/>
      <c r="BB2192" s="2161"/>
      <c r="BC2192" s="2161"/>
      <c r="BD2192" s="2161"/>
      <c r="BE2192" s="2161"/>
      <c r="BF2192" s="2161"/>
      <c r="BG2192" s="2161"/>
      <c r="BH2192" s="2161"/>
      <c r="BI2192" s="2161"/>
      <c r="BJ2192" s="2161"/>
      <c r="BK2192" s="2161"/>
      <c r="BL2192" s="2161"/>
      <c r="BM2192" s="2161"/>
      <c r="BN2192" s="2161"/>
      <c r="BO2192" s="2161"/>
      <c r="BP2192" s="2161"/>
      <c r="BQ2192" s="2161"/>
      <c r="BR2192" s="2161"/>
      <c r="BS2192" s="2161"/>
    </row>
    <row r="2193" spans="1:71" s="2131" customFormat="1" ht="63.75">
      <c r="A2193" s="2267"/>
      <c r="B2193" s="2253"/>
      <c r="C2193" s="2164">
        <v>5</v>
      </c>
      <c r="D2193" s="2164" t="s">
        <v>34</v>
      </c>
      <c r="E2193" s="2164" t="s">
        <v>25</v>
      </c>
      <c r="F2193" s="2164" t="s">
        <v>45</v>
      </c>
      <c r="G2193" s="2164" t="s">
        <v>3667</v>
      </c>
      <c r="H2193" s="2254">
        <v>21</v>
      </c>
      <c r="I2193" s="2171" t="s">
        <v>3675</v>
      </c>
      <c r="J2193" s="2171" t="s">
        <v>3674</v>
      </c>
      <c r="K2193" s="2255">
        <v>3</v>
      </c>
      <c r="L2193" s="2203">
        <v>76575000</v>
      </c>
      <c r="M2193" s="2256">
        <v>0</v>
      </c>
      <c r="N2193" s="2257">
        <v>0</v>
      </c>
      <c r="O2193" s="2255">
        <v>1</v>
      </c>
      <c r="P2193" s="2258">
        <v>14462500</v>
      </c>
      <c r="Q2193" s="2256">
        <v>1</v>
      </c>
      <c r="R2193" s="2203">
        <v>5950000</v>
      </c>
      <c r="S2193" s="2203"/>
      <c r="T2193" s="2258">
        <f t="shared" si="647"/>
        <v>3615625</v>
      </c>
      <c r="U2193" s="2255"/>
      <c r="V2193" s="2258"/>
      <c r="W2193" s="2255"/>
      <c r="X2193" s="2203"/>
      <c r="Y2193" s="2240">
        <f t="shared" si="641"/>
        <v>1</v>
      </c>
      <c r="Z2193" s="2203">
        <f t="shared" si="641"/>
        <v>9565625</v>
      </c>
      <c r="AA2193" s="2240">
        <f t="shared" si="640"/>
        <v>1</v>
      </c>
      <c r="AB2193" s="2203">
        <f t="shared" si="640"/>
        <v>9565625</v>
      </c>
      <c r="AC2193" s="2243">
        <f t="shared" si="642"/>
        <v>33.333333333333329</v>
      </c>
      <c r="AD2193" s="2243">
        <f t="shared" si="642"/>
        <v>12.491838067254326</v>
      </c>
      <c r="AE2193" s="2267"/>
      <c r="AF2193" s="2161"/>
      <c r="AG2193" s="2161"/>
      <c r="AH2193" s="2161"/>
      <c r="AI2193" s="2161"/>
      <c r="AJ2193" s="2161"/>
      <c r="AK2193" s="2161"/>
      <c r="AL2193" s="2161"/>
      <c r="AM2193" s="2161"/>
      <c r="AN2193" s="2161"/>
      <c r="AO2193" s="2161"/>
      <c r="AP2193" s="2161"/>
      <c r="AQ2193" s="2161"/>
      <c r="AR2193" s="2161"/>
      <c r="AS2193" s="2161"/>
      <c r="AT2193" s="2161"/>
      <c r="AU2193" s="2161"/>
      <c r="AV2193" s="2161"/>
      <c r="AW2193" s="2161"/>
      <c r="AX2193" s="2161"/>
      <c r="AY2193" s="2161"/>
      <c r="AZ2193" s="2161"/>
      <c r="BA2193" s="2161"/>
      <c r="BB2193" s="2161"/>
      <c r="BC2193" s="2161"/>
      <c r="BD2193" s="2161"/>
      <c r="BE2193" s="2161"/>
      <c r="BF2193" s="2161"/>
      <c r="BG2193" s="2161"/>
      <c r="BH2193" s="2161"/>
      <c r="BI2193" s="2161"/>
      <c r="BJ2193" s="2161"/>
      <c r="BK2193" s="2161"/>
      <c r="BL2193" s="2161"/>
      <c r="BM2193" s="2161"/>
      <c r="BN2193" s="2161"/>
      <c r="BO2193" s="2161"/>
      <c r="BP2193" s="2161"/>
      <c r="BQ2193" s="2161"/>
      <c r="BR2193" s="2161"/>
      <c r="BS2193" s="2161"/>
    </row>
    <row r="2194" spans="1:71" s="2131" customFormat="1" ht="51">
      <c r="A2194" s="2267"/>
      <c r="B2194" s="2253"/>
      <c r="C2194" s="2164">
        <v>5</v>
      </c>
      <c r="D2194" s="2164" t="s">
        <v>34</v>
      </c>
      <c r="E2194" s="2164" t="s">
        <v>25</v>
      </c>
      <c r="F2194" s="2164" t="s">
        <v>45</v>
      </c>
      <c r="G2194" s="2164" t="s">
        <v>3667</v>
      </c>
      <c r="H2194" s="2254" t="s">
        <v>38</v>
      </c>
      <c r="I2194" s="2171" t="s">
        <v>3676</v>
      </c>
      <c r="J2194" s="2171" t="s">
        <v>3677</v>
      </c>
      <c r="K2194" s="2255">
        <v>72</v>
      </c>
      <c r="L2194" s="2203">
        <v>74775000</v>
      </c>
      <c r="M2194" s="2256">
        <v>24</v>
      </c>
      <c r="N2194" s="2257">
        <v>24925000</v>
      </c>
      <c r="O2194" s="2255">
        <v>0</v>
      </c>
      <c r="P2194" s="2258"/>
      <c r="Q2194" s="2256">
        <v>0</v>
      </c>
      <c r="R2194" s="2203">
        <v>0</v>
      </c>
      <c r="S2194" s="2203">
        <v>0</v>
      </c>
      <c r="T2194" s="2203">
        <v>0</v>
      </c>
      <c r="U2194" s="2255"/>
      <c r="V2194" s="2258"/>
      <c r="W2194" s="2255"/>
      <c r="X2194" s="2203"/>
      <c r="Y2194" s="2240">
        <f t="shared" si="641"/>
        <v>0</v>
      </c>
      <c r="Z2194" s="2203">
        <f t="shared" si="641"/>
        <v>0</v>
      </c>
      <c r="AA2194" s="2240">
        <f t="shared" si="640"/>
        <v>24</v>
      </c>
      <c r="AB2194" s="2203">
        <f t="shared" si="640"/>
        <v>24925000</v>
      </c>
      <c r="AC2194" s="2243">
        <f t="shared" si="642"/>
        <v>33.333333333333329</v>
      </c>
      <c r="AD2194" s="2243">
        <f t="shared" si="642"/>
        <v>33.333333333333329</v>
      </c>
      <c r="AE2194" s="2267"/>
      <c r="AF2194" s="2161"/>
      <c r="AG2194" s="2161"/>
      <c r="AH2194" s="2161"/>
      <c r="AI2194" s="2161"/>
      <c r="AJ2194" s="2161"/>
      <c r="AK2194" s="2161"/>
      <c r="AL2194" s="2161"/>
      <c r="AM2194" s="2161"/>
      <c r="AN2194" s="2161"/>
      <c r="AO2194" s="2161"/>
      <c r="AP2194" s="2161"/>
      <c r="AQ2194" s="2161"/>
      <c r="AR2194" s="2161"/>
      <c r="AS2194" s="2161"/>
      <c r="AT2194" s="2161"/>
      <c r="AU2194" s="2161"/>
      <c r="AV2194" s="2161"/>
      <c r="AW2194" s="2161"/>
      <c r="AX2194" s="2161"/>
      <c r="AY2194" s="2161"/>
      <c r="AZ2194" s="2161"/>
      <c r="BA2194" s="2161"/>
      <c r="BB2194" s="2161"/>
      <c r="BC2194" s="2161"/>
      <c r="BD2194" s="2161"/>
      <c r="BE2194" s="2161"/>
      <c r="BF2194" s="2161"/>
      <c r="BG2194" s="2161"/>
      <c r="BH2194" s="2161"/>
      <c r="BI2194" s="2161"/>
      <c r="BJ2194" s="2161"/>
      <c r="BK2194" s="2161"/>
      <c r="BL2194" s="2161"/>
      <c r="BM2194" s="2161"/>
      <c r="BN2194" s="2161"/>
      <c r="BO2194" s="2161"/>
      <c r="BP2194" s="2161"/>
      <c r="BQ2194" s="2161"/>
      <c r="BR2194" s="2161"/>
      <c r="BS2194" s="2161"/>
    </row>
    <row r="2195" spans="1:71" s="2131" customFormat="1" ht="38.25">
      <c r="A2195" s="2267"/>
      <c r="B2195" s="2253"/>
      <c r="C2195" s="2164">
        <v>5</v>
      </c>
      <c r="D2195" s="2164" t="s">
        <v>34</v>
      </c>
      <c r="E2195" s="2164" t="s">
        <v>25</v>
      </c>
      <c r="F2195" s="2164" t="s">
        <v>45</v>
      </c>
      <c r="G2195" s="2164" t="s">
        <v>3667</v>
      </c>
      <c r="H2195" s="2254" t="s">
        <v>56</v>
      </c>
      <c r="I2195" s="2171" t="s">
        <v>3678</v>
      </c>
      <c r="J2195" s="2171" t="s">
        <v>3679</v>
      </c>
      <c r="K2195" s="2255">
        <v>150</v>
      </c>
      <c r="L2195" s="2203">
        <v>34920000</v>
      </c>
      <c r="M2195" s="2256">
        <v>50</v>
      </c>
      <c r="N2195" s="2257">
        <v>11640000</v>
      </c>
      <c r="O2195" s="2255">
        <v>50</v>
      </c>
      <c r="P2195" s="2258">
        <v>6765000</v>
      </c>
      <c r="Q2195" s="2256">
        <v>0</v>
      </c>
      <c r="R2195" s="2203">
        <v>0</v>
      </c>
      <c r="S2195" s="2203">
        <v>30</v>
      </c>
      <c r="T2195" s="2203">
        <f t="shared" si="647"/>
        <v>1691250</v>
      </c>
      <c r="U2195" s="2255"/>
      <c r="V2195" s="2258"/>
      <c r="W2195" s="2255"/>
      <c r="X2195" s="2203"/>
      <c r="Y2195" s="2240">
        <f t="shared" si="641"/>
        <v>30</v>
      </c>
      <c r="Z2195" s="2203">
        <f t="shared" si="641"/>
        <v>1691250</v>
      </c>
      <c r="AA2195" s="2240">
        <f t="shared" si="640"/>
        <v>80</v>
      </c>
      <c r="AB2195" s="2203">
        <f t="shared" si="640"/>
        <v>13331250</v>
      </c>
      <c r="AC2195" s="2243">
        <f t="shared" si="642"/>
        <v>53.333333333333336</v>
      </c>
      <c r="AD2195" s="2243">
        <f t="shared" si="642"/>
        <v>38.176546391752574</v>
      </c>
      <c r="AE2195" s="2267"/>
      <c r="AF2195" s="2161"/>
      <c r="AG2195" s="2161"/>
      <c r="AH2195" s="2161"/>
      <c r="AI2195" s="2161"/>
      <c r="AJ2195" s="2161"/>
      <c r="AK2195" s="2161"/>
      <c r="AL2195" s="2161"/>
      <c r="AM2195" s="2161"/>
      <c r="AN2195" s="2161"/>
      <c r="AO2195" s="2161"/>
      <c r="AP2195" s="2161"/>
      <c r="AQ2195" s="2161"/>
      <c r="AR2195" s="2161"/>
      <c r="AS2195" s="2161"/>
      <c r="AT2195" s="2161"/>
      <c r="AU2195" s="2161"/>
      <c r="AV2195" s="2161"/>
      <c r="AW2195" s="2161"/>
      <c r="AX2195" s="2161"/>
      <c r="AY2195" s="2161"/>
      <c r="AZ2195" s="2161"/>
      <c r="BA2195" s="2161"/>
      <c r="BB2195" s="2161"/>
      <c r="BC2195" s="2161"/>
      <c r="BD2195" s="2161"/>
      <c r="BE2195" s="2161"/>
      <c r="BF2195" s="2161"/>
      <c r="BG2195" s="2161"/>
      <c r="BH2195" s="2161"/>
      <c r="BI2195" s="2161"/>
      <c r="BJ2195" s="2161"/>
      <c r="BK2195" s="2161"/>
      <c r="BL2195" s="2161"/>
      <c r="BM2195" s="2161"/>
      <c r="BN2195" s="2161"/>
      <c r="BO2195" s="2161"/>
      <c r="BP2195" s="2161"/>
      <c r="BQ2195" s="2161"/>
      <c r="BR2195" s="2161"/>
      <c r="BS2195" s="2161"/>
    </row>
    <row r="2196" spans="1:71" s="2131" customFormat="1" ht="25.5">
      <c r="A2196" s="2267"/>
      <c r="B2196" s="2253"/>
      <c r="C2196" s="2164">
        <v>5</v>
      </c>
      <c r="D2196" s="2164" t="s">
        <v>34</v>
      </c>
      <c r="E2196" s="2164" t="s">
        <v>25</v>
      </c>
      <c r="F2196" s="2164" t="s">
        <v>45</v>
      </c>
      <c r="G2196" s="2164" t="s">
        <v>3667</v>
      </c>
      <c r="H2196" s="2254"/>
      <c r="I2196" s="2162" t="s">
        <v>3680</v>
      </c>
      <c r="J2196" s="2171" t="s">
        <v>3681</v>
      </c>
      <c r="K2196" s="2255">
        <v>6</v>
      </c>
      <c r="L2196" s="2203">
        <v>32100000</v>
      </c>
      <c r="M2196" s="2256">
        <v>2</v>
      </c>
      <c r="N2196" s="2257">
        <v>10700000</v>
      </c>
      <c r="O2196" s="2255">
        <v>3</v>
      </c>
      <c r="P2196" s="2258">
        <v>6400000</v>
      </c>
      <c r="Q2196" s="2256">
        <v>0</v>
      </c>
      <c r="R2196" s="2203">
        <v>0</v>
      </c>
      <c r="S2196" s="2255">
        <v>1</v>
      </c>
      <c r="T2196" s="2203">
        <f t="shared" si="647"/>
        <v>1600000</v>
      </c>
      <c r="U2196" s="2255"/>
      <c r="V2196" s="2258"/>
      <c r="W2196" s="2255"/>
      <c r="X2196" s="2203"/>
      <c r="Y2196" s="2240">
        <f t="shared" si="641"/>
        <v>1</v>
      </c>
      <c r="Z2196" s="2203">
        <f t="shared" si="641"/>
        <v>1600000</v>
      </c>
      <c r="AA2196" s="2240">
        <f t="shared" si="640"/>
        <v>3</v>
      </c>
      <c r="AB2196" s="2203">
        <f t="shared" si="640"/>
        <v>12300000</v>
      </c>
      <c r="AC2196" s="2243">
        <f t="shared" si="642"/>
        <v>50</v>
      </c>
      <c r="AD2196" s="2243">
        <f t="shared" si="642"/>
        <v>38.31775700934579</v>
      </c>
      <c r="AE2196" s="2267"/>
      <c r="AF2196" s="2161"/>
      <c r="AG2196" s="2161"/>
      <c r="AH2196" s="2161"/>
      <c r="AI2196" s="2161"/>
      <c r="AJ2196" s="2161"/>
      <c r="AK2196" s="2161"/>
      <c r="AL2196" s="2161"/>
      <c r="AM2196" s="2161"/>
      <c r="AN2196" s="2161"/>
      <c r="AO2196" s="2161"/>
      <c r="AP2196" s="2161"/>
      <c r="AQ2196" s="2161"/>
      <c r="AR2196" s="2161"/>
      <c r="AS2196" s="2161"/>
      <c r="AT2196" s="2161"/>
      <c r="AU2196" s="2161"/>
      <c r="AV2196" s="2161"/>
      <c r="AW2196" s="2161"/>
      <c r="AX2196" s="2161"/>
      <c r="AY2196" s="2161"/>
      <c r="AZ2196" s="2161"/>
      <c r="BA2196" s="2161"/>
      <c r="BB2196" s="2161"/>
      <c r="BC2196" s="2161"/>
      <c r="BD2196" s="2161"/>
      <c r="BE2196" s="2161"/>
      <c r="BF2196" s="2161"/>
      <c r="BG2196" s="2161"/>
      <c r="BH2196" s="2161"/>
      <c r="BI2196" s="2161"/>
      <c r="BJ2196" s="2161"/>
      <c r="BK2196" s="2161"/>
      <c r="BL2196" s="2161"/>
      <c r="BM2196" s="2161"/>
      <c r="BN2196" s="2161"/>
      <c r="BO2196" s="2161"/>
      <c r="BP2196" s="2161"/>
      <c r="BQ2196" s="2161"/>
      <c r="BR2196" s="2161"/>
      <c r="BS2196" s="2161"/>
    </row>
    <row r="2197" spans="1:71" s="2131" customFormat="1" ht="20.100000000000001" customHeight="1">
      <c r="A2197" s="2705" t="s">
        <v>63</v>
      </c>
      <c r="B2197" s="2705"/>
      <c r="C2197" s="2706"/>
      <c r="D2197" s="2706"/>
      <c r="E2197" s="2706"/>
      <c r="F2197" s="2706"/>
      <c r="G2197" s="2706"/>
      <c r="H2197" s="2706"/>
      <c r="I2197" s="2706"/>
      <c r="J2197" s="2706"/>
      <c r="K2197" s="2706"/>
      <c r="L2197" s="2706"/>
      <c r="M2197" s="2706"/>
      <c r="N2197" s="2706"/>
      <c r="O2197" s="2706"/>
      <c r="P2197" s="2706"/>
      <c r="Q2197" s="2706"/>
      <c r="R2197" s="2706"/>
      <c r="S2197" s="2706"/>
      <c r="T2197" s="2706"/>
      <c r="U2197" s="2706"/>
      <c r="V2197" s="2706"/>
      <c r="W2197" s="2706"/>
      <c r="X2197" s="2706"/>
      <c r="Y2197" s="2706"/>
      <c r="Z2197" s="2706"/>
      <c r="AA2197" s="2706"/>
      <c r="AB2197" s="2706"/>
      <c r="AC2197" s="2249">
        <f>(AC2152+AC2164+AC2169+AC2171+AC2174+AC2176+AC2178+AC2181+AC2184+AC2186+AC2189)/11</f>
        <v>51.985283803719561</v>
      </c>
      <c r="AD2197" s="2249">
        <f>(AD2152+AD2164+AD2169+AD2171+AD2174+AD2176+AD2178+AD2181+AD2184+AD2186+AD2189)/11</f>
        <v>37.407219249314899</v>
      </c>
      <c r="AE2197" s="2152"/>
    </row>
    <row r="2198" spans="1:71" s="2131" customFormat="1" ht="20.100000000000001" customHeight="1">
      <c r="A2198" s="2705" t="s">
        <v>64</v>
      </c>
      <c r="B2198" s="2705"/>
      <c r="C2198" s="2706"/>
      <c r="D2198" s="2706"/>
      <c r="E2198" s="2706"/>
      <c r="F2198" s="2706"/>
      <c r="G2198" s="2706"/>
      <c r="H2198" s="2706"/>
      <c r="I2198" s="2706"/>
      <c r="J2198" s="2706"/>
      <c r="K2198" s="2706"/>
      <c r="L2198" s="2706"/>
      <c r="M2198" s="2706"/>
      <c r="N2198" s="2706"/>
      <c r="O2198" s="2706"/>
      <c r="P2198" s="2706"/>
      <c r="Q2198" s="2706"/>
      <c r="R2198" s="2706"/>
      <c r="S2198" s="2706"/>
      <c r="T2198" s="2706"/>
      <c r="U2198" s="2706"/>
      <c r="V2198" s="2706"/>
      <c r="W2198" s="2706"/>
      <c r="X2198" s="2706"/>
      <c r="Y2198" s="2706"/>
      <c r="Z2198" s="2706"/>
      <c r="AA2198" s="2706"/>
      <c r="AB2198" s="2706"/>
      <c r="AC2198" s="2250" t="str">
        <f>IF(AC2197&gt;=91,"ST",IF(AC2197&gt;=76,"T",IF(AC2197&gt;=66,"S",IF(AC2197&gt;=51,"R","SR"))))</f>
        <v>R</v>
      </c>
      <c r="AD2198" s="2250" t="str">
        <f>IF(AD2197&gt;=91,"ST",IF(AD2197&gt;=76,"T",IF(AD2197&gt;=66,"S",IF(AD2197&gt;=51,"R","SR"))))</f>
        <v>SR</v>
      </c>
      <c r="AE2198" s="2152"/>
    </row>
    <row r="2199" spans="1:71" s="2131" customFormat="1" ht="27.95" customHeight="1">
      <c r="A2199" s="2132" t="s">
        <v>15</v>
      </c>
      <c r="B2199" s="2133"/>
      <c r="C2199" s="2132"/>
      <c r="D2199" s="2132"/>
      <c r="E2199" s="2132"/>
      <c r="F2199" s="2132"/>
      <c r="G2199" s="2132"/>
      <c r="H2199" s="2132"/>
      <c r="I2199" s="2707" t="s">
        <v>3682</v>
      </c>
      <c r="J2199" s="2708"/>
      <c r="K2199" s="2134"/>
      <c r="L2199" s="2135">
        <f>L2200+L2213+L2218+L2220+L2222+L2225+L2227+L2229+L2231+L2233+L2239+L2241</f>
        <v>3094604492</v>
      </c>
      <c r="M2199" s="2134"/>
      <c r="N2199" s="2136">
        <f>N2200+N2213+N2218+N2220+N2222+N2225+N2227+N2229+N2231+N2233+N2239+N2241</f>
        <v>1010285913</v>
      </c>
      <c r="O2199" s="2134"/>
      <c r="P2199" s="2136">
        <f>P2200+P2213+P2218+P2220+P2222+P2225+P2227+P2229+P2231+P2233+P2239+P2241</f>
        <v>497193000</v>
      </c>
      <c r="Q2199" s="2134"/>
      <c r="R2199" s="2136">
        <f>R2200+R2213+R2218+R2220+R2222+R2225+R2227+R2229+R2231+R2233+R2239+R2241</f>
        <v>105636831</v>
      </c>
      <c r="S2199" s="2134"/>
      <c r="T2199" s="2136">
        <f>T2200+T2213+T2218+T2220+T2222+T2225+T2227+T2229+T2231+T2233+T2239+T2241</f>
        <v>64816331</v>
      </c>
      <c r="U2199" s="2134"/>
      <c r="V2199" s="2136">
        <f>V2200+V2213+V2218+V2220+V2222+V2225+V2227+V2229+V2231+V2233+V2239+V2241</f>
        <v>0</v>
      </c>
      <c r="W2199" s="2134"/>
      <c r="X2199" s="2136">
        <f>X2200+X2213+X2218+X2220+X2222+X2225+X2227+X2229+X2231+X2233+X2239+X2241</f>
        <v>0</v>
      </c>
      <c r="Y2199" s="2134">
        <v>0</v>
      </c>
      <c r="Z2199" s="2136">
        <f>Z2200+Z2213+Z2218+Z2220+Z2222+Z2225+Z2227+Z2229+Z2231+Z2233+Z2239+Z2241</f>
        <v>170453162</v>
      </c>
      <c r="AA2199" s="2134"/>
      <c r="AB2199" s="2136">
        <f>AB2200+AB2213+AB2218+AB2220+AB2222+AB2225+AB2227+AB2229+AB2231+AB2233+AB2239+AB2241</f>
        <v>1180739075</v>
      </c>
      <c r="AC2199" s="2134"/>
      <c r="AD2199" s="2134"/>
      <c r="AE2199" s="2137"/>
      <c r="AF2199" s="2138"/>
      <c r="AG2199" s="2138"/>
      <c r="AH2199" s="2138"/>
      <c r="AI2199" s="2138"/>
      <c r="AJ2199" s="2138"/>
      <c r="AK2199" s="2138"/>
      <c r="AL2199" s="2138"/>
      <c r="AM2199" s="2138"/>
      <c r="AN2199" s="2138"/>
      <c r="AO2199" s="2138"/>
      <c r="AP2199" s="2138"/>
      <c r="AQ2199" s="2138"/>
      <c r="AR2199" s="2138"/>
      <c r="AS2199" s="2138"/>
      <c r="AT2199" s="2138"/>
      <c r="AU2199" s="2138"/>
      <c r="AV2199" s="2138"/>
      <c r="AW2199" s="2138"/>
      <c r="AX2199" s="2138"/>
      <c r="AY2199" s="2138"/>
      <c r="AZ2199" s="2138"/>
      <c r="BA2199" s="2138"/>
      <c r="BB2199" s="2138"/>
      <c r="BC2199" s="2138"/>
      <c r="BD2199" s="2138"/>
      <c r="BE2199" s="2138"/>
      <c r="BF2199" s="2138"/>
      <c r="BG2199" s="2138"/>
      <c r="BH2199" s="2138"/>
      <c r="BI2199" s="2138"/>
      <c r="BJ2199" s="2138"/>
      <c r="BK2199" s="2138"/>
      <c r="BL2199" s="2138"/>
      <c r="BM2199" s="2138"/>
      <c r="BN2199" s="2138"/>
      <c r="BO2199" s="2138"/>
      <c r="BP2199" s="2138"/>
      <c r="BQ2199" s="2138"/>
      <c r="BR2199" s="2138"/>
      <c r="BS2199" s="2138"/>
    </row>
    <row r="2200" spans="1:71" s="2131" customFormat="1" ht="79.5" customHeight="1">
      <c r="A2200" s="2140" t="s">
        <v>113</v>
      </c>
      <c r="B2200" s="2194"/>
      <c r="C2200" s="2142">
        <v>5</v>
      </c>
      <c r="D2200" s="2142" t="s">
        <v>34</v>
      </c>
      <c r="E2200" s="2142" t="s">
        <v>25</v>
      </c>
      <c r="F2200" s="2142" t="s">
        <v>45</v>
      </c>
      <c r="G2200" s="2142" t="s">
        <v>25</v>
      </c>
      <c r="H2200" s="2140"/>
      <c r="I2200" s="2143" t="s">
        <v>3625</v>
      </c>
      <c r="J2200" s="2143" t="s">
        <v>3626</v>
      </c>
      <c r="K2200" s="2144">
        <v>72</v>
      </c>
      <c r="L2200" s="2145">
        <f>SUM(L2201:L2212)</f>
        <v>1401260600</v>
      </c>
      <c r="M2200" s="2144">
        <v>36</v>
      </c>
      <c r="N2200" s="2145">
        <f>SUM(N2201:N2212)</f>
        <v>620748413</v>
      </c>
      <c r="O2200" s="2144">
        <v>12</v>
      </c>
      <c r="P2200" s="2145">
        <f>SUM(P2201:P2212)</f>
        <v>271685000</v>
      </c>
      <c r="Q2200" s="2144">
        <v>3</v>
      </c>
      <c r="R2200" s="2145">
        <f>SUM(R2201:R2206)</f>
        <v>49366331</v>
      </c>
      <c r="S2200" s="2144">
        <v>3</v>
      </c>
      <c r="T2200" s="2145">
        <f>SUM(T2201:T2206)</f>
        <v>49366331</v>
      </c>
      <c r="U2200" s="2144"/>
      <c r="V2200" s="2145">
        <f>SUM(V2201:V2212)</f>
        <v>0</v>
      </c>
      <c r="W2200" s="2144"/>
      <c r="X2200" s="2145">
        <f>SUM(X2201:X2212)</f>
        <v>0</v>
      </c>
      <c r="Y2200" s="2147">
        <f t="shared" ref="Y2200:Z2241" si="648">Q2200+S2200+U2200+W2200</f>
        <v>6</v>
      </c>
      <c r="Z2200" s="2145">
        <f t="shared" si="648"/>
        <v>98732662</v>
      </c>
      <c r="AA2200" s="2147">
        <f t="shared" ref="AA2200:AB2241" si="649">M2200+Y2200</f>
        <v>42</v>
      </c>
      <c r="AB2200" s="2145">
        <f t="shared" si="649"/>
        <v>719481075</v>
      </c>
      <c r="AC2200" s="2147">
        <f t="shared" ref="AC2200:AD2241" si="650">(AA2200/K2200)*100</f>
        <v>58.333333333333336</v>
      </c>
      <c r="AD2200" s="2147">
        <f t="shared" si="650"/>
        <v>51.345272606680012</v>
      </c>
      <c r="AE2200" s="2204" t="s">
        <v>3683</v>
      </c>
      <c r="AF2200" s="2149"/>
      <c r="AG2200" s="2149"/>
      <c r="AH2200" s="2149"/>
      <c r="AI2200" s="2149"/>
      <c r="AJ2200" s="2149"/>
      <c r="AK2200" s="2149"/>
      <c r="AL2200" s="2149"/>
      <c r="AM2200" s="2149"/>
      <c r="AN2200" s="2149"/>
      <c r="AO2200" s="2149"/>
      <c r="AP2200" s="2149"/>
      <c r="AQ2200" s="2149"/>
      <c r="AR2200" s="2149"/>
      <c r="AS2200" s="2149"/>
      <c r="AT2200" s="2149"/>
      <c r="AU2200" s="2149"/>
      <c r="AV2200" s="2149"/>
      <c r="AW2200" s="2149"/>
      <c r="AX2200" s="2149"/>
      <c r="AY2200" s="2149"/>
      <c r="AZ2200" s="2149"/>
      <c r="BA2200" s="2149"/>
      <c r="BB2200" s="2149"/>
      <c r="BC2200" s="2149"/>
      <c r="BD2200" s="2149"/>
      <c r="BE2200" s="2149"/>
      <c r="BF2200" s="2149"/>
      <c r="BG2200" s="2149"/>
      <c r="BH2200" s="2149"/>
      <c r="BI2200" s="2149"/>
      <c r="BJ2200" s="2149"/>
      <c r="BK2200" s="2149"/>
      <c r="BL2200" s="2149"/>
      <c r="BM2200" s="2149"/>
      <c r="BN2200" s="2149"/>
      <c r="BO2200" s="2149"/>
      <c r="BP2200" s="2149"/>
      <c r="BQ2200" s="2149"/>
      <c r="BR2200" s="2149"/>
      <c r="BS2200" s="2149"/>
    </row>
    <row r="2201" spans="1:71" s="2131" customFormat="1" ht="63" customHeight="1">
      <c r="A2201" s="2267"/>
      <c r="B2201" s="2253"/>
      <c r="C2201" s="2164">
        <v>5</v>
      </c>
      <c r="D2201" s="2164" t="s">
        <v>34</v>
      </c>
      <c r="E2201" s="2164" t="s">
        <v>25</v>
      </c>
      <c r="F2201" s="2164" t="s">
        <v>45</v>
      </c>
      <c r="G2201" s="2164" t="s">
        <v>25</v>
      </c>
      <c r="H2201" s="2254" t="s">
        <v>28</v>
      </c>
      <c r="I2201" s="2171" t="s">
        <v>3684</v>
      </c>
      <c r="J2201" s="2171" t="s">
        <v>3627</v>
      </c>
      <c r="K2201" s="2255">
        <v>72</v>
      </c>
      <c r="L2201" s="2203">
        <v>74170000</v>
      </c>
      <c r="M2201" s="2256">
        <v>36</v>
      </c>
      <c r="N2201" s="2257">
        <v>27025060</v>
      </c>
      <c r="O2201" s="2255">
        <v>12</v>
      </c>
      <c r="P2201" s="2258">
        <v>11400000</v>
      </c>
      <c r="Q2201" s="2256">
        <v>3</v>
      </c>
      <c r="R2201" s="2203">
        <v>3469831</v>
      </c>
      <c r="S2201" s="2256">
        <v>3</v>
      </c>
      <c r="T2201" s="2203">
        <v>3469831</v>
      </c>
      <c r="U2201" s="2255"/>
      <c r="V2201" s="2258"/>
      <c r="W2201" s="2255"/>
      <c r="X2201" s="2203"/>
      <c r="Y2201" s="2240">
        <f t="shared" si="648"/>
        <v>6</v>
      </c>
      <c r="Z2201" s="2203">
        <f t="shared" si="648"/>
        <v>6939662</v>
      </c>
      <c r="AA2201" s="2240">
        <f t="shared" si="649"/>
        <v>42</v>
      </c>
      <c r="AB2201" s="2203">
        <f t="shared" si="649"/>
        <v>33964722</v>
      </c>
      <c r="AC2201" s="2243">
        <f t="shared" si="650"/>
        <v>58.333333333333336</v>
      </c>
      <c r="AD2201" s="2243">
        <f t="shared" si="650"/>
        <v>45.793072670891192</v>
      </c>
      <c r="AE2201" s="2605"/>
      <c r="AF2201" s="2259"/>
      <c r="AG2201" s="2259"/>
      <c r="AH2201" s="2259"/>
      <c r="AI2201" s="2259"/>
      <c r="AJ2201" s="2259"/>
      <c r="AK2201" s="2259"/>
      <c r="AL2201" s="2259"/>
      <c r="AM2201" s="2259"/>
      <c r="AN2201" s="2259"/>
      <c r="AO2201" s="2259"/>
      <c r="AP2201" s="2259"/>
      <c r="AQ2201" s="2259"/>
      <c r="AR2201" s="2259"/>
      <c r="AS2201" s="2259"/>
      <c r="AT2201" s="2259"/>
      <c r="AU2201" s="2259"/>
      <c r="AV2201" s="2259"/>
      <c r="AW2201" s="2259"/>
      <c r="AX2201" s="2259"/>
      <c r="AY2201" s="2259"/>
      <c r="AZ2201" s="2259"/>
      <c r="BA2201" s="2259"/>
      <c r="BB2201" s="2259"/>
      <c r="BC2201" s="2259"/>
      <c r="BD2201" s="2259"/>
      <c r="BE2201" s="2259"/>
      <c r="BF2201" s="2259"/>
      <c r="BG2201" s="2259"/>
      <c r="BH2201" s="2259"/>
      <c r="BI2201" s="2259"/>
      <c r="BJ2201" s="2259"/>
      <c r="BK2201" s="2259"/>
      <c r="BL2201" s="2259"/>
      <c r="BM2201" s="2259"/>
      <c r="BN2201" s="2259"/>
      <c r="BO2201" s="2259"/>
      <c r="BP2201" s="2259"/>
      <c r="BQ2201" s="2259"/>
      <c r="BR2201" s="2259"/>
      <c r="BS2201" s="2259"/>
    </row>
    <row r="2202" spans="1:71" s="2131" customFormat="1" ht="86.25" customHeight="1">
      <c r="A2202" s="2267"/>
      <c r="B2202" s="2253"/>
      <c r="C2202" s="2164">
        <v>5</v>
      </c>
      <c r="D2202" s="2164" t="s">
        <v>34</v>
      </c>
      <c r="E2202" s="2164" t="s">
        <v>25</v>
      </c>
      <c r="F2202" s="2164" t="s">
        <v>45</v>
      </c>
      <c r="G2202" s="2164" t="s">
        <v>25</v>
      </c>
      <c r="H2202" s="2254" t="s">
        <v>29</v>
      </c>
      <c r="I2202" s="2171" t="s">
        <v>3685</v>
      </c>
      <c r="J2202" s="2171" t="s">
        <v>3628</v>
      </c>
      <c r="K2202" s="2255">
        <v>72</v>
      </c>
      <c r="L2202" s="2203">
        <v>199260600</v>
      </c>
      <c r="M2202" s="2256">
        <v>36</v>
      </c>
      <c r="N2202" s="2257">
        <v>114700000</v>
      </c>
      <c r="O2202" s="2255">
        <v>12</v>
      </c>
      <c r="P2202" s="2258">
        <v>71600000</v>
      </c>
      <c r="Q2202" s="2256">
        <v>3</v>
      </c>
      <c r="R2202" s="2203">
        <v>23200000</v>
      </c>
      <c r="S2202" s="2256">
        <v>3</v>
      </c>
      <c r="T2202" s="2203">
        <v>23200000</v>
      </c>
      <c r="U2202" s="2255"/>
      <c r="V2202" s="2258"/>
      <c r="W2202" s="2255"/>
      <c r="X2202" s="2203"/>
      <c r="Y2202" s="2240">
        <f t="shared" si="648"/>
        <v>6</v>
      </c>
      <c r="Z2202" s="2203">
        <f t="shared" si="648"/>
        <v>46400000</v>
      </c>
      <c r="AA2202" s="2240">
        <f t="shared" si="649"/>
        <v>42</v>
      </c>
      <c r="AB2202" s="2203">
        <f t="shared" si="649"/>
        <v>161100000</v>
      </c>
      <c r="AC2202" s="2243">
        <f t="shared" si="650"/>
        <v>58.333333333333336</v>
      </c>
      <c r="AD2202" s="2243">
        <f t="shared" si="650"/>
        <v>80.848898377300884</v>
      </c>
      <c r="AE2202" s="2605"/>
      <c r="AF2202" s="2259"/>
      <c r="AG2202" s="2259"/>
      <c r="AH2202" s="2259"/>
      <c r="AI2202" s="2259"/>
      <c r="AJ2202" s="2259"/>
      <c r="AK2202" s="2259"/>
      <c r="AL2202" s="2259"/>
      <c r="AM2202" s="2259"/>
      <c r="AN2202" s="2259"/>
      <c r="AO2202" s="2259"/>
      <c r="AP2202" s="2259"/>
      <c r="AQ2202" s="2259"/>
      <c r="AR2202" s="2259"/>
      <c r="AS2202" s="2259"/>
      <c r="AT2202" s="2259"/>
      <c r="AU2202" s="2259"/>
      <c r="AV2202" s="2259"/>
      <c r="AW2202" s="2259"/>
      <c r="AX2202" s="2259"/>
      <c r="AY2202" s="2259"/>
      <c r="AZ2202" s="2259"/>
      <c r="BA2202" s="2259"/>
      <c r="BB2202" s="2259"/>
      <c r="BC2202" s="2259"/>
      <c r="BD2202" s="2259"/>
      <c r="BE2202" s="2259"/>
      <c r="BF2202" s="2259"/>
      <c r="BG2202" s="2259"/>
      <c r="BH2202" s="2259"/>
      <c r="BI2202" s="2259"/>
      <c r="BJ2202" s="2259"/>
      <c r="BK2202" s="2259"/>
      <c r="BL2202" s="2259"/>
      <c r="BM2202" s="2259"/>
      <c r="BN2202" s="2259"/>
      <c r="BO2202" s="2259"/>
      <c r="BP2202" s="2259"/>
      <c r="BQ2202" s="2259"/>
      <c r="BR2202" s="2259"/>
      <c r="BS2202" s="2259"/>
    </row>
    <row r="2203" spans="1:71" s="2131" customFormat="1" ht="51">
      <c r="A2203" s="2152"/>
      <c r="B2203" s="2253"/>
      <c r="C2203" s="2164">
        <v>5</v>
      </c>
      <c r="D2203" s="2164" t="s">
        <v>34</v>
      </c>
      <c r="E2203" s="2164" t="s">
        <v>25</v>
      </c>
      <c r="F2203" s="2164" t="s">
        <v>45</v>
      </c>
      <c r="G2203" s="2164" t="s">
        <v>25</v>
      </c>
      <c r="H2203" s="2164" t="s">
        <v>30</v>
      </c>
      <c r="I2203" s="2260" t="s">
        <v>110</v>
      </c>
      <c r="J2203" s="2260" t="s">
        <v>3629</v>
      </c>
      <c r="K2203" s="2261">
        <v>72</v>
      </c>
      <c r="L2203" s="2241">
        <v>93500000</v>
      </c>
      <c r="M2203" s="2261">
        <v>36</v>
      </c>
      <c r="N2203" s="2262">
        <v>43696344</v>
      </c>
      <c r="O2203" s="2240">
        <v>12</v>
      </c>
      <c r="P2203" s="2242">
        <v>13243000</v>
      </c>
      <c r="Q2203" s="2261">
        <v>3</v>
      </c>
      <c r="R2203" s="2241">
        <v>4660000</v>
      </c>
      <c r="S2203" s="2261">
        <v>3</v>
      </c>
      <c r="T2203" s="2241">
        <v>4660000</v>
      </c>
      <c r="U2203" s="2240"/>
      <c r="V2203" s="2242"/>
      <c r="W2203" s="2240"/>
      <c r="X2203" s="2241"/>
      <c r="Y2203" s="2240">
        <f t="shared" si="648"/>
        <v>6</v>
      </c>
      <c r="Z2203" s="2241">
        <f t="shared" si="648"/>
        <v>9320000</v>
      </c>
      <c r="AA2203" s="2240">
        <f t="shared" si="649"/>
        <v>42</v>
      </c>
      <c r="AB2203" s="2241">
        <f t="shared" si="649"/>
        <v>53016344</v>
      </c>
      <c r="AC2203" s="2243">
        <f t="shared" si="650"/>
        <v>58.333333333333336</v>
      </c>
      <c r="AD2203" s="2243">
        <f t="shared" si="650"/>
        <v>56.701972192513374</v>
      </c>
      <c r="AE2203" s="2216"/>
      <c r="AF2203" s="2259"/>
      <c r="AG2203" s="2259"/>
      <c r="AH2203" s="2259"/>
      <c r="AI2203" s="2259"/>
      <c r="AJ2203" s="2259"/>
      <c r="AK2203" s="2259"/>
      <c r="AL2203" s="2259"/>
      <c r="AM2203" s="2259"/>
      <c r="AN2203" s="2259"/>
      <c r="AO2203" s="2259"/>
      <c r="AP2203" s="2259"/>
      <c r="AQ2203" s="2259"/>
      <c r="AR2203" s="2259"/>
      <c r="AS2203" s="2259"/>
      <c r="AT2203" s="2259"/>
      <c r="AU2203" s="2259"/>
      <c r="AV2203" s="2259"/>
      <c r="AW2203" s="2259"/>
      <c r="AX2203" s="2259"/>
      <c r="AY2203" s="2259"/>
      <c r="AZ2203" s="2259"/>
      <c r="BA2203" s="2259"/>
      <c r="BB2203" s="2259"/>
      <c r="BC2203" s="2259"/>
      <c r="BD2203" s="2259"/>
      <c r="BE2203" s="2259"/>
      <c r="BF2203" s="2259"/>
      <c r="BG2203" s="2259"/>
      <c r="BH2203" s="2259"/>
      <c r="BI2203" s="2259"/>
      <c r="BJ2203" s="2259"/>
      <c r="BK2203" s="2259"/>
      <c r="BL2203" s="2259"/>
      <c r="BM2203" s="2259"/>
      <c r="BN2203" s="2259"/>
      <c r="BO2203" s="2259"/>
      <c r="BP2203" s="2259"/>
      <c r="BQ2203" s="2259"/>
      <c r="BR2203" s="2259"/>
      <c r="BS2203" s="2259"/>
    </row>
    <row r="2204" spans="1:71" s="2131" customFormat="1" ht="38.25">
      <c r="A2204" s="2267"/>
      <c r="B2204" s="2263"/>
      <c r="C2204" s="2164">
        <v>5</v>
      </c>
      <c r="D2204" s="2164" t="s">
        <v>34</v>
      </c>
      <c r="E2204" s="2164" t="s">
        <v>25</v>
      </c>
      <c r="F2204" s="2164" t="s">
        <v>45</v>
      </c>
      <c r="G2204" s="2164" t="s">
        <v>25</v>
      </c>
      <c r="H2204" s="2164" t="s">
        <v>43</v>
      </c>
      <c r="I2204" s="2171" t="s">
        <v>161</v>
      </c>
      <c r="J2204" s="2171" t="s">
        <v>3686</v>
      </c>
      <c r="K2204" s="2256">
        <v>72</v>
      </c>
      <c r="L2204" s="2203">
        <v>60000000</v>
      </c>
      <c r="M2204" s="2256">
        <v>27</v>
      </c>
      <c r="N2204" s="2257"/>
      <c r="O2204" s="2255">
        <v>0</v>
      </c>
      <c r="P2204" s="2258">
        <v>0</v>
      </c>
      <c r="Q2204" s="2256">
        <v>0</v>
      </c>
      <c r="R2204" s="2203">
        <v>0</v>
      </c>
      <c r="S2204" s="2256">
        <v>0</v>
      </c>
      <c r="T2204" s="2203">
        <v>0</v>
      </c>
      <c r="U2204" s="2255"/>
      <c r="V2204" s="2258"/>
      <c r="W2204" s="2255"/>
      <c r="X2204" s="2203"/>
      <c r="Y2204" s="2255">
        <f t="shared" si="648"/>
        <v>0</v>
      </c>
      <c r="Z2204" s="2203">
        <f t="shared" si="648"/>
        <v>0</v>
      </c>
      <c r="AA2204" s="2255">
        <f t="shared" si="649"/>
        <v>27</v>
      </c>
      <c r="AB2204" s="2203">
        <f t="shared" si="649"/>
        <v>0</v>
      </c>
      <c r="AC2204" s="2264">
        <f t="shared" si="650"/>
        <v>37.5</v>
      </c>
      <c r="AD2204" s="2264">
        <f t="shared" si="650"/>
        <v>0</v>
      </c>
      <c r="AE2204" s="2605"/>
      <c r="AF2204" s="2259"/>
      <c r="AG2204" s="2259"/>
      <c r="AH2204" s="2259"/>
      <c r="AI2204" s="2259"/>
      <c r="AJ2204" s="2259"/>
      <c r="AK2204" s="2259"/>
      <c r="AL2204" s="2259"/>
      <c r="AM2204" s="2259"/>
      <c r="AN2204" s="2259"/>
      <c r="AO2204" s="2259"/>
      <c r="AP2204" s="2259"/>
      <c r="AQ2204" s="2259"/>
      <c r="AR2204" s="2259"/>
      <c r="AS2204" s="2259"/>
      <c r="AT2204" s="2259"/>
      <c r="AU2204" s="2259"/>
      <c r="AV2204" s="2259"/>
      <c r="AW2204" s="2259"/>
      <c r="AX2204" s="2259"/>
      <c r="AY2204" s="2259"/>
      <c r="AZ2204" s="2259"/>
      <c r="BA2204" s="2259"/>
      <c r="BB2204" s="2259"/>
      <c r="BC2204" s="2259"/>
      <c r="BD2204" s="2259"/>
      <c r="BE2204" s="2259"/>
      <c r="BF2204" s="2259"/>
      <c r="BG2204" s="2259"/>
      <c r="BH2204" s="2259"/>
      <c r="BI2204" s="2259"/>
      <c r="BJ2204" s="2259"/>
      <c r="BK2204" s="2259"/>
      <c r="BL2204" s="2259"/>
      <c r="BM2204" s="2259"/>
      <c r="BN2204" s="2259"/>
      <c r="BO2204" s="2259"/>
      <c r="BP2204" s="2259"/>
      <c r="BQ2204" s="2259"/>
      <c r="BR2204" s="2259"/>
      <c r="BS2204" s="2259"/>
    </row>
    <row r="2205" spans="1:71" s="2131" customFormat="1" ht="25.5">
      <c r="A2205" s="2267"/>
      <c r="B2205" s="2263"/>
      <c r="C2205" s="2254">
        <v>5</v>
      </c>
      <c r="D2205" s="2254" t="s">
        <v>34</v>
      </c>
      <c r="E2205" s="2254" t="s">
        <v>25</v>
      </c>
      <c r="F2205" s="2254" t="s">
        <v>45</v>
      </c>
      <c r="G2205" s="2254" t="s">
        <v>25</v>
      </c>
      <c r="H2205" s="2254" t="s">
        <v>31</v>
      </c>
      <c r="I2205" s="2171" t="s">
        <v>163</v>
      </c>
      <c r="J2205" s="2171" t="s">
        <v>103</v>
      </c>
      <c r="K2205" s="2255">
        <v>72</v>
      </c>
      <c r="L2205" s="2203">
        <v>132600000</v>
      </c>
      <c r="M2205" s="2256">
        <v>33</v>
      </c>
      <c r="N2205" s="2257">
        <v>57460240</v>
      </c>
      <c r="O2205" s="2255">
        <v>12</v>
      </c>
      <c r="P2205" s="2258">
        <v>21921000</v>
      </c>
      <c r="Q2205" s="2256">
        <v>3</v>
      </c>
      <c r="R2205" s="2203">
        <v>8791500</v>
      </c>
      <c r="S2205" s="2256">
        <v>3</v>
      </c>
      <c r="T2205" s="2203">
        <v>8791500</v>
      </c>
      <c r="U2205" s="2255"/>
      <c r="V2205" s="2258"/>
      <c r="W2205" s="2255"/>
      <c r="X2205" s="2203"/>
      <c r="Y2205" s="2255">
        <f t="shared" si="648"/>
        <v>6</v>
      </c>
      <c r="Z2205" s="2203">
        <f t="shared" si="648"/>
        <v>17583000</v>
      </c>
      <c r="AA2205" s="2255">
        <f t="shared" si="649"/>
        <v>39</v>
      </c>
      <c r="AB2205" s="2203">
        <f t="shared" si="649"/>
        <v>75043240</v>
      </c>
      <c r="AC2205" s="2264">
        <f t="shared" si="650"/>
        <v>54.166666666666664</v>
      </c>
      <c r="AD2205" s="2264">
        <f t="shared" si="650"/>
        <v>56.593695324283559</v>
      </c>
      <c r="AE2205" s="2605"/>
    </row>
    <row r="2206" spans="1:71" s="2131" customFormat="1" ht="38.25">
      <c r="A2206" s="2152"/>
      <c r="B2206" s="2253"/>
      <c r="C2206" s="2164">
        <v>5</v>
      </c>
      <c r="D2206" s="2164" t="s">
        <v>34</v>
      </c>
      <c r="E2206" s="2164" t="s">
        <v>25</v>
      </c>
      <c r="F2206" s="2164" t="s">
        <v>45</v>
      </c>
      <c r="G2206" s="2164" t="s">
        <v>25</v>
      </c>
      <c r="H2206" s="2164" t="s">
        <v>62</v>
      </c>
      <c r="I2206" s="2260" t="s">
        <v>155</v>
      </c>
      <c r="J2206" s="2265" t="s">
        <v>3630</v>
      </c>
      <c r="K2206" s="2240">
        <v>72</v>
      </c>
      <c r="L2206" s="2241">
        <v>65400000</v>
      </c>
      <c r="M2206" s="2261">
        <v>36</v>
      </c>
      <c r="N2206" s="2262">
        <v>34825569</v>
      </c>
      <c r="O2206" s="2240">
        <v>12</v>
      </c>
      <c r="P2206" s="2258">
        <v>18801000</v>
      </c>
      <c r="Q2206" s="2261">
        <v>3</v>
      </c>
      <c r="R2206" s="2241">
        <v>9245000</v>
      </c>
      <c r="S2206" s="2261">
        <v>3</v>
      </c>
      <c r="T2206" s="2241">
        <v>9245000</v>
      </c>
      <c r="U2206" s="2240"/>
      <c r="V2206" s="2241"/>
      <c r="W2206" s="2240"/>
      <c r="X2206" s="2242"/>
      <c r="Y2206" s="2240">
        <f t="shared" si="648"/>
        <v>6</v>
      </c>
      <c r="Z2206" s="2241">
        <f t="shared" si="648"/>
        <v>18490000</v>
      </c>
      <c r="AA2206" s="2240">
        <f t="shared" si="649"/>
        <v>42</v>
      </c>
      <c r="AB2206" s="2241">
        <f t="shared" si="649"/>
        <v>53315569</v>
      </c>
      <c r="AC2206" s="2243">
        <f t="shared" si="650"/>
        <v>58.333333333333336</v>
      </c>
      <c r="AD2206" s="2243">
        <f t="shared" si="650"/>
        <v>81.522276758409788</v>
      </c>
      <c r="AE2206" s="2216"/>
    </row>
    <row r="2207" spans="1:71" s="2131" customFormat="1" ht="70.5" customHeight="1">
      <c r="A2207" s="2152"/>
      <c r="B2207" s="2253"/>
      <c r="C2207" s="2164">
        <v>5</v>
      </c>
      <c r="D2207" s="2164" t="s">
        <v>34</v>
      </c>
      <c r="E2207" s="2164" t="s">
        <v>25</v>
      </c>
      <c r="F2207" s="2164" t="s">
        <v>45</v>
      </c>
      <c r="G2207" s="2164" t="s">
        <v>25</v>
      </c>
      <c r="H2207" s="2164" t="s">
        <v>52</v>
      </c>
      <c r="I2207" s="2260" t="s">
        <v>3687</v>
      </c>
      <c r="J2207" s="2260" t="s">
        <v>3631</v>
      </c>
      <c r="K2207" s="2240">
        <v>72</v>
      </c>
      <c r="L2207" s="2241">
        <v>15000000</v>
      </c>
      <c r="M2207" s="2261">
        <v>30</v>
      </c>
      <c r="N2207" s="2262">
        <v>9326000</v>
      </c>
      <c r="O2207" s="2240">
        <v>12</v>
      </c>
      <c r="P2207" s="2242">
        <v>3100000</v>
      </c>
      <c r="Q2207" s="2261">
        <v>3</v>
      </c>
      <c r="R2207" s="2241"/>
      <c r="S2207" s="2261">
        <v>3</v>
      </c>
      <c r="T2207" s="2241"/>
      <c r="U2207" s="2240"/>
      <c r="V2207" s="2242"/>
      <c r="W2207" s="2240"/>
      <c r="X2207" s="2241"/>
      <c r="Y2207" s="2240">
        <f t="shared" si="648"/>
        <v>6</v>
      </c>
      <c r="Z2207" s="2241">
        <f t="shared" si="648"/>
        <v>0</v>
      </c>
      <c r="AA2207" s="2240">
        <f t="shared" si="649"/>
        <v>36</v>
      </c>
      <c r="AB2207" s="2241">
        <f t="shared" si="649"/>
        <v>9326000</v>
      </c>
      <c r="AC2207" s="2243">
        <f t="shared" si="650"/>
        <v>50</v>
      </c>
      <c r="AD2207" s="2243">
        <f t="shared" si="650"/>
        <v>62.173333333333339</v>
      </c>
      <c r="AE2207" s="2216"/>
    </row>
    <row r="2208" spans="1:71" s="2131" customFormat="1" ht="63.75">
      <c r="A2208" s="2267"/>
      <c r="B2208" s="2253"/>
      <c r="C2208" s="2164">
        <v>5</v>
      </c>
      <c r="D2208" s="2164" t="s">
        <v>34</v>
      </c>
      <c r="E2208" s="2164" t="s">
        <v>25</v>
      </c>
      <c r="F2208" s="2164" t="s">
        <v>45</v>
      </c>
      <c r="G2208" s="2164" t="s">
        <v>25</v>
      </c>
      <c r="H2208" s="2254" t="s">
        <v>45</v>
      </c>
      <c r="I2208" s="2171" t="s">
        <v>3688</v>
      </c>
      <c r="J2208" s="2171" t="s">
        <v>3632</v>
      </c>
      <c r="K2208" s="2255">
        <v>72</v>
      </c>
      <c r="L2208" s="2203">
        <v>20130000</v>
      </c>
      <c r="M2208" s="2256">
        <v>29</v>
      </c>
      <c r="N2208" s="2257">
        <v>9235000</v>
      </c>
      <c r="O2208" s="2255">
        <v>12</v>
      </c>
      <c r="P2208" s="2242">
        <v>4800000</v>
      </c>
      <c r="Q2208" s="2256">
        <v>3</v>
      </c>
      <c r="R2208" s="2203">
        <v>960000</v>
      </c>
      <c r="S2208" s="2256">
        <v>3</v>
      </c>
      <c r="T2208" s="2203">
        <v>960000</v>
      </c>
      <c r="U2208" s="2255"/>
      <c r="V2208" s="2258"/>
      <c r="W2208" s="2255"/>
      <c r="X2208" s="2203"/>
      <c r="Y2208" s="2240">
        <f t="shared" si="648"/>
        <v>6</v>
      </c>
      <c r="Z2208" s="2203">
        <f t="shared" si="648"/>
        <v>1920000</v>
      </c>
      <c r="AA2208" s="2240">
        <f t="shared" si="649"/>
        <v>35</v>
      </c>
      <c r="AB2208" s="2203">
        <f t="shared" si="649"/>
        <v>11155000</v>
      </c>
      <c r="AC2208" s="2243">
        <f t="shared" si="650"/>
        <v>48.611111111111107</v>
      </c>
      <c r="AD2208" s="2243">
        <f t="shared" si="650"/>
        <v>55.414803775459511</v>
      </c>
      <c r="AE2208" s="2605"/>
    </row>
    <row r="2209" spans="1:31" s="2131" customFormat="1" ht="38.25">
      <c r="A2209" s="2152"/>
      <c r="B2209" s="2253"/>
      <c r="C2209" s="2164">
        <v>5</v>
      </c>
      <c r="D2209" s="2164" t="s">
        <v>34</v>
      </c>
      <c r="E2209" s="2164" t="s">
        <v>25</v>
      </c>
      <c r="F2209" s="2164" t="s">
        <v>45</v>
      </c>
      <c r="G2209" s="2164" t="s">
        <v>25</v>
      </c>
      <c r="H2209" s="2164" t="s">
        <v>74</v>
      </c>
      <c r="I2209" s="2260" t="s">
        <v>167</v>
      </c>
      <c r="J2209" s="2265" t="s">
        <v>3633</v>
      </c>
      <c r="K2209" s="2240">
        <v>72</v>
      </c>
      <c r="L2209" s="2241">
        <v>196500000</v>
      </c>
      <c r="M2209" s="2261">
        <v>33</v>
      </c>
      <c r="N2209" s="2262">
        <v>73375000</v>
      </c>
      <c r="O2209" s="2240">
        <v>12</v>
      </c>
      <c r="P2209" s="2258">
        <v>40425000</v>
      </c>
      <c r="Q2209" s="2261">
        <v>3</v>
      </c>
      <c r="R2209" s="2241">
        <v>28150000</v>
      </c>
      <c r="S2209" s="2261">
        <v>3</v>
      </c>
      <c r="T2209" s="2241">
        <v>10150000</v>
      </c>
      <c r="U2209" s="2240"/>
      <c r="V2209" s="2242"/>
      <c r="W2209" s="2240"/>
      <c r="X2209" s="2241"/>
      <c r="Y2209" s="2240">
        <f t="shared" si="648"/>
        <v>6</v>
      </c>
      <c r="Z2209" s="2241">
        <f t="shared" si="648"/>
        <v>38300000</v>
      </c>
      <c r="AA2209" s="2240">
        <f t="shared" si="649"/>
        <v>39</v>
      </c>
      <c r="AB2209" s="2241">
        <f t="shared" si="649"/>
        <v>111675000</v>
      </c>
      <c r="AC2209" s="2243">
        <f t="shared" si="650"/>
        <v>54.166666666666664</v>
      </c>
      <c r="AD2209" s="2243">
        <f t="shared" si="650"/>
        <v>56.832061068702288</v>
      </c>
      <c r="AE2209" s="2216"/>
    </row>
    <row r="2210" spans="1:31" s="2131" customFormat="1" ht="51">
      <c r="A2210" s="2152"/>
      <c r="B2210" s="2253"/>
      <c r="C2210" s="2164">
        <v>5</v>
      </c>
      <c r="D2210" s="2164" t="s">
        <v>34</v>
      </c>
      <c r="E2210" s="2164" t="s">
        <v>25</v>
      </c>
      <c r="F2210" s="2164" t="s">
        <v>45</v>
      </c>
      <c r="G2210" s="2164" t="s">
        <v>25</v>
      </c>
      <c r="H2210" s="2164" t="s">
        <v>44</v>
      </c>
      <c r="I2210" s="2260" t="s">
        <v>233</v>
      </c>
      <c r="J2210" s="2260" t="s">
        <v>3634</v>
      </c>
      <c r="K2210" s="2240">
        <v>72</v>
      </c>
      <c r="L2210" s="2241">
        <v>195000000</v>
      </c>
      <c r="M2210" s="2261">
        <v>33</v>
      </c>
      <c r="N2210" s="2262">
        <v>79745200</v>
      </c>
      <c r="O2210" s="2240">
        <v>12</v>
      </c>
      <c r="P2210" s="2242">
        <v>6200000</v>
      </c>
      <c r="Q2210" s="2261">
        <v>3</v>
      </c>
      <c r="R2210" s="2241">
        <v>2400000</v>
      </c>
      <c r="S2210" s="2261">
        <v>3</v>
      </c>
      <c r="T2210" s="2241">
        <v>2400000</v>
      </c>
      <c r="U2210" s="2240"/>
      <c r="V2210" s="2242"/>
      <c r="W2210" s="2240"/>
      <c r="X2210" s="2241"/>
      <c r="Y2210" s="2240">
        <f t="shared" si="648"/>
        <v>6</v>
      </c>
      <c r="Z2210" s="2241">
        <f t="shared" si="648"/>
        <v>4800000</v>
      </c>
      <c r="AA2210" s="2240">
        <f t="shared" si="649"/>
        <v>39</v>
      </c>
      <c r="AB2210" s="2241">
        <f t="shared" si="649"/>
        <v>84545200</v>
      </c>
      <c r="AC2210" s="2243">
        <f t="shared" si="650"/>
        <v>54.166666666666664</v>
      </c>
      <c r="AD2210" s="2243">
        <f t="shared" si="650"/>
        <v>43.356512820512819</v>
      </c>
      <c r="AE2210" s="2216"/>
    </row>
    <row r="2211" spans="1:31" s="2131" customFormat="1" ht="51">
      <c r="A2211" s="2267"/>
      <c r="B2211" s="2253"/>
      <c r="C2211" s="2164">
        <v>5</v>
      </c>
      <c r="D2211" s="2164" t="s">
        <v>34</v>
      </c>
      <c r="E2211" s="2164" t="s">
        <v>25</v>
      </c>
      <c r="F2211" s="2164" t="s">
        <v>45</v>
      </c>
      <c r="G2211" s="2164" t="s">
        <v>25</v>
      </c>
      <c r="H2211" s="2254" t="s">
        <v>54</v>
      </c>
      <c r="I2211" s="2171" t="s">
        <v>3689</v>
      </c>
      <c r="J2211" s="2171" t="s">
        <v>3635</v>
      </c>
      <c r="K2211" s="2255">
        <v>72</v>
      </c>
      <c r="L2211" s="2203">
        <v>294700000</v>
      </c>
      <c r="M2211" s="2256">
        <v>33</v>
      </c>
      <c r="N2211" s="2257">
        <v>148385000</v>
      </c>
      <c r="O2211" s="2255">
        <v>12</v>
      </c>
      <c r="P2211" s="2242">
        <v>75500000</v>
      </c>
      <c r="Q2211" s="2256">
        <v>3</v>
      </c>
      <c r="R2211" s="2203">
        <v>30655000</v>
      </c>
      <c r="S2211" s="2256">
        <v>3</v>
      </c>
      <c r="T2211" s="2203">
        <v>30655000</v>
      </c>
      <c r="U2211" s="2255"/>
      <c r="V2211" s="2258"/>
      <c r="W2211" s="2255"/>
      <c r="X2211" s="2203"/>
      <c r="Y2211" s="2240">
        <f t="shared" si="648"/>
        <v>6</v>
      </c>
      <c r="Z2211" s="2203">
        <f t="shared" si="648"/>
        <v>61310000</v>
      </c>
      <c r="AA2211" s="2240">
        <f t="shared" si="649"/>
        <v>39</v>
      </c>
      <c r="AB2211" s="2203">
        <f t="shared" si="649"/>
        <v>209695000</v>
      </c>
      <c r="AC2211" s="2243">
        <f t="shared" si="650"/>
        <v>54.166666666666664</v>
      </c>
      <c r="AD2211" s="2243">
        <f t="shared" si="650"/>
        <v>71.155412283678316</v>
      </c>
      <c r="AE2211" s="2605"/>
    </row>
    <row r="2212" spans="1:31" s="2131" customFormat="1" ht="25.5">
      <c r="A2212" s="2267"/>
      <c r="B2212" s="2253"/>
      <c r="C2212" s="2164">
        <v>5</v>
      </c>
      <c r="D2212" s="2164" t="s">
        <v>34</v>
      </c>
      <c r="E2212" s="2164" t="s">
        <v>25</v>
      </c>
      <c r="F2212" s="2164" t="s">
        <v>45</v>
      </c>
      <c r="G2212" s="2164" t="s">
        <v>25</v>
      </c>
      <c r="H2212" s="2254" t="s">
        <v>54</v>
      </c>
      <c r="I2212" s="2171" t="s">
        <v>3690</v>
      </c>
      <c r="J2212" s="2171" t="s">
        <v>3691</v>
      </c>
      <c r="K2212" s="2255">
        <v>48</v>
      </c>
      <c r="L2212" s="2203">
        <v>55000000</v>
      </c>
      <c r="M2212" s="2256">
        <v>20</v>
      </c>
      <c r="N2212" s="2257">
        <v>22975000</v>
      </c>
      <c r="O2212" s="2255">
        <v>8</v>
      </c>
      <c r="P2212" s="2258">
        <v>4695000</v>
      </c>
      <c r="Q2212" s="2256">
        <v>3</v>
      </c>
      <c r="R2212" s="2203">
        <v>1800000</v>
      </c>
      <c r="S2212" s="2256">
        <v>3</v>
      </c>
      <c r="T2212" s="2203">
        <v>1800000</v>
      </c>
      <c r="U2212" s="2255"/>
      <c r="V2212" s="2258"/>
      <c r="W2212" s="2255"/>
      <c r="X2212" s="2203"/>
      <c r="Y2212" s="2240">
        <f t="shared" si="648"/>
        <v>6</v>
      </c>
      <c r="Z2212" s="2203">
        <f t="shared" si="648"/>
        <v>3600000</v>
      </c>
      <c r="AA2212" s="2240">
        <f t="shared" si="649"/>
        <v>26</v>
      </c>
      <c r="AB2212" s="2203">
        <f t="shared" si="649"/>
        <v>26575000</v>
      </c>
      <c r="AC2212" s="2243">
        <f t="shared" si="650"/>
        <v>54.166666666666664</v>
      </c>
      <c r="AD2212" s="2243">
        <f t="shared" si="650"/>
        <v>48.318181818181813</v>
      </c>
      <c r="AE2212" s="2605"/>
    </row>
    <row r="2213" spans="1:31" s="2131" customFormat="1" ht="89.25" customHeight="1">
      <c r="A2213" s="2140" t="s">
        <v>114</v>
      </c>
      <c r="B2213" s="2194"/>
      <c r="C2213" s="2142">
        <v>5</v>
      </c>
      <c r="D2213" s="2142" t="s">
        <v>34</v>
      </c>
      <c r="E2213" s="2142" t="s">
        <v>25</v>
      </c>
      <c r="F2213" s="2142" t="s">
        <v>45</v>
      </c>
      <c r="G2213" s="2142" t="s">
        <v>28</v>
      </c>
      <c r="H2213" s="2140"/>
      <c r="I2213" s="2143" t="s">
        <v>3636</v>
      </c>
      <c r="J2213" s="2143" t="s">
        <v>3531</v>
      </c>
      <c r="K2213" s="2144">
        <v>72</v>
      </c>
      <c r="L2213" s="2145">
        <f>SUM(L2214:L2217)</f>
        <v>505880000</v>
      </c>
      <c r="M2213" s="2144">
        <v>36</v>
      </c>
      <c r="N2213" s="2145">
        <f>SUM(N2214:N2217)</f>
        <v>108419000</v>
      </c>
      <c r="O2213" s="2144">
        <v>12</v>
      </c>
      <c r="P2213" s="2145">
        <f>SUM(P2214:P2217)</f>
        <v>109518000</v>
      </c>
      <c r="Q2213" s="2144">
        <v>3</v>
      </c>
      <c r="R2213" s="2145">
        <f>SUM(R2214:R2216)</f>
        <v>52348000</v>
      </c>
      <c r="S2213" s="2144">
        <v>3</v>
      </c>
      <c r="T2213" s="2145">
        <f>SUM(T2214:T2216)</f>
        <v>15450000</v>
      </c>
      <c r="U2213" s="2144"/>
      <c r="V2213" s="2145">
        <f>SUM(V2214:V2217)</f>
        <v>0</v>
      </c>
      <c r="W2213" s="2144"/>
      <c r="X2213" s="2144">
        <f>SUM(X2214:X2217)</f>
        <v>0</v>
      </c>
      <c r="Y2213" s="2144">
        <f t="shared" si="648"/>
        <v>6</v>
      </c>
      <c r="Z2213" s="2145">
        <f t="shared" si="648"/>
        <v>67798000</v>
      </c>
      <c r="AA2213" s="2144">
        <f t="shared" si="649"/>
        <v>42</v>
      </c>
      <c r="AB2213" s="2145">
        <f t="shared" si="649"/>
        <v>176217000</v>
      </c>
      <c r="AC2213" s="2147">
        <f t="shared" si="650"/>
        <v>58.333333333333336</v>
      </c>
      <c r="AD2213" s="2147">
        <f t="shared" si="650"/>
        <v>34.833755040721122</v>
      </c>
      <c r="AE2213" s="2204" t="s">
        <v>3683</v>
      </c>
    </row>
    <row r="2214" spans="1:31" s="2131" customFormat="1" ht="68.25" customHeight="1">
      <c r="A2214" s="2267"/>
      <c r="B2214" s="2253"/>
      <c r="C2214" s="2164">
        <v>5</v>
      </c>
      <c r="D2214" s="2164" t="s">
        <v>34</v>
      </c>
      <c r="E2214" s="2164" t="s">
        <v>25</v>
      </c>
      <c r="F2214" s="2164" t="s">
        <v>45</v>
      </c>
      <c r="G2214" s="2164" t="s">
        <v>28</v>
      </c>
      <c r="H2214" s="2164" t="s">
        <v>29</v>
      </c>
      <c r="I2214" s="2171" t="s">
        <v>234</v>
      </c>
      <c r="J2214" s="2171" t="s">
        <v>3692</v>
      </c>
      <c r="K2214" s="2255">
        <v>36</v>
      </c>
      <c r="L2214" s="2203">
        <f>3*P2214</f>
        <v>110994000</v>
      </c>
      <c r="M2214" s="2256">
        <v>0</v>
      </c>
      <c r="N2214" s="2257">
        <v>0</v>
      </c>
      <c r="O2214" s="2255">
        <v>12</v>
      </c>
      <c r="P2214" s="2258">
        <v>36998000</v>
      </c>
      <c r="Q2214" s="2256">
        <v>3</v>
      </c>
      <c r="R2214" s="2203">
        <v>36898000</v>
      </c>
      <c r="S2214" s="2256">
        <v>3</v>
      </c>
      <c r="T2214" s="2203">
        <v>0</v>
      </c>
      <c r="U2214" s="2255"/>
      <c r="V2214" s="2258"/>
      <c r="W2214" s="2255"/>
      <c r="X2214" s="2203"/>
      <c r="Y2214" s="2240">
        <f t="shared" si="648"/>
        <v>6</v>
      </c>
      <c r="Z2214" s="2203">
        <f t="shared" si="648"/>
        <v>36898000</v>
      </c>
      <c r="AA2214" s="2240">
        <f t="shared" si="649"/>
        <v>6</v>
      </c>
      <c r="AB2214" s="2203">
        <f t="shared" si="649"/>
        <v>36898000</v>
      </c>
      <c r="AC2214" s="2243">
        <f t="shared" si="650"/>
        <v>16.666666666666664</v>
      </c>
      <c r="AD2214" s="2243">
        <f t="shared" si="650"/>
        <v>33.243238373245397</v>
      </c>
      <c r="AE2214" s="2605"/>
    </row>
    <row r="2215" spans="1:31" s="2131" customFormat="1" ht="68.25" customHeight="1">
      <c r="A2215" s="2267"/>
      <c r="B2215" s="2253"/>
      <c r="C2215" s="2164">
        <v>5</v>
      </c>
      <c r="D2215" s="2164" t="s">
        <v>34</v>
      </c>
      <c r="E2215" s="2164" t="s">
        <v>25</v>
      </c>
      <c r="F2215" s="2164" t="s">
        <v>45</v>
      </c>
      <c r="G2215" s="2164" t="s">
        <v>28</v>
      </c>
      <c r="H2215" s="2164">
        <v>21</v>
      </c>
      <c r="I2215" s="2171" t="s">
        <v>241</v>
      </c>
      <c r="J2215" s="2171" t="s">
        <v>3693</v>
      </c>
      <c r="K2215" s="2255">
        <v>36</v>
      </c>
      <c r="L2215" s="2203">
        <f>3*P2215</f>
        <v>120780000</v>
      </c>
      <c r="M2215" s="2256">
        <v>0</v>
      </c>
      <c r="N2215" s="2257">
        <v>0</v>
      </c>
      <c r="O2215" s="2255">
        <v>12</v>
      </c>
      <c r="P2215" s="2258">
        <v>40260000</v>
      </c>
      <c r="Q2215" s="2256">
        <v>3</v>
      </c>
      <c r="R2215" s="2203"/>
      <c r="S2215" s="2256">
        <v>3</v>
      </c>
      <c r="T2215" s="2203"/>
      <c r="U2215" s="2255"/>
      <c r="V2215" s="2258"/>
      <c r="W2215" s="2255"/>
      <c r="X2215" s="2203"/>
      <c r="Y2215" s="2240">
        <f t="shared" si="648"/>
        <v>6</v>
      </c>
      <c r="Z2215" s="2203">
        <f t="shared" si="648"/>
        <v>0</v>
      </c>
      <c r="AA2215" s="2240">
        <f t="shared" si="649"/>
        <v>6</v>
      </c>
      <c r="AB2215" s="2203">
        <f t="shared" si="649"/>
        <v>0</v>
      </c>
      <c r="AC2215" s="2243">
        <f t="shared" si="650"/>
        <v>16.666666666666664</v>
      </c>
      <c r="AD2215" s="2243">
        <f t="shared" si="650"/>
        <v>0</v>
      </c>
      <c r="AE2215" s="2605"/>
    </row>
    <row r="2216" spans="1:31" s="2131" customFormat="1" ht="68.25" customHeight="1">
      <c r="A2216" s="2267"/>
      <c r="B2216" s="2253"/>
      <c r="C2216" s="2164">
        <v>5</v>
      </c>
      <c r="D2216" s="2164" t="s">
        <v>34</v>
      </c>
      <c r="E2216" s="2164" t="s">
        <v>25</v>
      </c>
      <c r="F2216" s="2164" t="s">
        <v>45</v>
      </c>
      <c r="G2216" s="2164" t="s">
        <v>28</v>
      </c>
      <c r="H2216" s="2164" t="s">
        <v>84</v>
      </c>
      <c r="I2216" s="2171" t="s">
        <v>239</v>
      </c>
      <c r="J2216" s="2171" t="s">
        <v>3694</v>
      </c>
      <c r="K2216" s="2255">
        <v>72</v>
      </c>
      <c r="L2216" s="2203">
        <v>247106000</v>
      </c>
      <c r="M2216" s="2256">
        <v>36</v>
      </c>
      <c r="N2216" s="2257">
        <v>108419000</v>
      </c>
      <c r="O2216" s="2255">
        <v>12</v>
      </c>
      <c r="P2216" s="2258">
        <v>32260000</v>
      </c>
      <c r="Q2216" s="2256">
        <v>3</v>
      </c>
      <c r="R2216" s="2203">
        <v>15450000</v>
      </c>
      <c r="S2216" s="2256">
        <v>3</v>
      </c>
      <c r="T2216" s="2203">
        <v>15450000</v>
      </c>
      <c r="U2216" s="2255"/>
      <c r="V2216" s="2258"/>
      <c r="W2216" s="2255"/>
      <c r="X2216" s="2203"/>
      <c r="Y2216" s="2240">
        <f t="shared" si="648"/>
        <v>6</v>
      </c>
      <c r="Z2216" s="2203">
        <f t="shared" si="648"/>
        <v>30900000</v>
      </c>
      <c r="AA2216" s="2240">
        <f t="shared" si="649"/>
        <v>42</v>
      </c>
      <c r="AB2216" s="2203">
        <f t="shared" si="649"/>
        <v>139319000</v>
      </c>
      <c r="AC2216" s="2243">
        <f t="shared" si="650"/>
        <v>58.333333333333336</v>
      </c>
      <c r="AD2216" s="2243">
        <f t="shared" si="650"/>
        <v>56.38025786504577</v>
      </c>
      <c r="AE2216" s="2605"/>
    </row>
    <row r="2217" spans="1:31" s="2131" customFormat="1" ht="68.25" customHeight="1">
      <c r="A2217" s="2267"/>
      <c r="B2217" s="2253"/>
      <c r="C2217" s="2164">
        <v>5</v>
      </c>
      <c r="D2217" s="2164" t="s">
        <v>34</v>
      </c>
      <c r="E2217" s="2164" t="s">
        <v>25</v>
      </c>
      <c r="F2217" s="2164" t="s">
        <v>45</v>
      </c>
      <c r="G2217" s="2164" t="s">
        <v>28</v>
      </c>
      <c r="H2217" s="2164" t="s">
        <v>61</v>
      </c>
      <c r="I2217" s="2171" t="s">
        <v>134</v>
      </c>
      <c r="J2217" s="2171" t="s">
        <v>3695</v>
      </c>
      <c r="K2217" s="2255">
        <v>6</v>
      </c>
      <c r="L2217" s="2203">
        <v>27000000</v>
      </c>
      <c r="M2217" s="2256">
        <v>0</v>
      </c>
      <c r="N2217" s="2257">
        <v>0</v>
      </c>
      <c r="O2217" s="2255">
        <v>0</v>
      </c>
      <c r="P2217" s="2258"/>
      <c r="Q2217" s="2256">
        <v>0</v>
      </c>
      <c r="R2217" s="2203"/>
      <c r="S2217" s="2256">
        <v>0</v>
      </c>
      <c r="T2217" s="2203"/>
      <c r="U2217" s="2255"/>
      <c r="V2217" s="2258"/>
      <c r="W2217" s="2255"/>
      <c r="X2217" s="2203"/>
      <c r="Y2217" s="2240">
        <f t="shared" si="648"/>
        <v>0</v>
      </c>
      <c r="Z2217" s="2203">
        <f t="shared" si="648"/>
        <v>0</v>
      </c>
      <c r="AA2217" s="2240">
        <f t="shared" si="649"/>
        <v>0</v>
      </c>
      <c r="AB2217" s="2203">
        <f t="shared" si="649"/>
        <v>0</v>
      </c>
      <c r="AC2217" s="2243">
        <f t="shared" si="650"/>
        <v>0</v>
      </c>
      <c r="AD2217" s="2243">
        <f t="shared" si="650"/>
        <v>0</v>
      </c>
      <c r="AE2217" s="2605"/>
    </row>
    <row r="2218" spans="1:31" s="2131" customFormat="1" ht="71.25" customHeight="1">
      <c r="A2218" s="2140" t="s">
        <v>3538</v>
      </c>
      <c r="B2218" s="2194"/>
      <c r="C2218" s="2142">
        <v>5</v>
      </c>
      <c r="D2218" s="2142" t="s">
        <v>34</v>
      </c>
      <c r="E2218" s="2142" t="s">
        <v>25</v>
      </c>
      <c r="F2218" s="2142" t="s">
        <v>45</v>
      </c>
      <c r="G2218" s="2142" t="s">
        <v>74</v>
      </c>
      <c r="H2218" s="2140"/>
      <c r="I2218" s="2143" t="s">
        <v>3648</v>
      </c>
      <c r="J2218" s="2143" t="s">
        <v>3649</v>
      </c>
      <c r="K2218" s="2144">
        <v>100</v>
      </c>
      <c r="L2218" s="2145">
        <f>SUM(L2219)</f>
        <v>174225000</v>
      </c>
      <c r="M2218" s="2144">
        <v>50</v>
      </c>
      <c r="N2218" s="2145">
        <f>SUM(N2219)</f>
        <v>56575000</v>
      </c>
      <c r="O2218" s="2144">
        <v>18</v>
      </c>
      <c r="P2218" s="2145">
        <f>SUM(P2219)</f>
        <v>28625000</v>
      </c>
      <c r="Q2218" s="2144">
        <v>0</v>
      </c>
      <c r="R2218" s="2145">
        <f>SUM(R2219)</f>
        <v>0</v>
      </c>
      <c r="S2218" s="2144">
        <v>0</v>
      </c>
      <c r="T2218" s="2145">
        <f>SUM(T2219)</f>
        <v>0</v>
      </c>
      <c r="U2218" s="2147"/>
      <c r="V2218" s="2145">
        <f>SUM(V2219)</f>
        <v>0</v>
      </c>
      <c r="W2218" s="2144"/>
      <c r="X2218" s="2144">
        <f>SUM(X2219)</f>
        <v>0</v>
      </c>
      <c r="Y2218" s="2147">
        <f t="shared" si="648"/>
        <v>0</v>
      </c>
      <c r="Z2218" s="2145">
        <f t="shared" si="648"/>
        <v>0</v>
      </c>
      <c r="AA2218" s="2147">
        <f t="shared" si="649"/>
        <v>50</v>
      </c>
      <c r="AB2218" s="2145">
        <f t="shared" si="649"/>
        <v>56575000</v>
      </c>
      <c r="AC2218" s="2147">
        <f t="shared" si="650"/>
        <v>50</v>
      </c>
      <c r="AD2218" s="2147">
        <f t="shared" si="650"/>
        <v>32.472377672549861</v>
      </c>
      <c r="AE2218" s="2204" t="s">
        <v>3683</v>
      </c>
    </row>
    <row r="2219" spans="1:31" s="2131" customFormat="1" ht="48.75" customHeight="1">
      <c r="A2219" s="2379"/>
      <c r="B2219" s="2162"/>
      <c r="C2219" s="2164">
        <v>5</v>
      </c>
      <c r="D2219" s="2164" t="s">
        <v>34</v>
      </c>
      <c r="E2219" s="2164" t="s">
        <v>25</v>
      </c>
      <c r="F2219" s="2164" t="s">
        <v>45</v>
      </c>
      <c r="G2219" s="2164" t="s">
        <v>74</v>
      </c>
      <c r="H2219" s="2164">
        <v>17</v>
      </c>
      <c r="I2219" s="2162" t="s">
        <v>2284</v>
      </c>
      <c r="J2219" s="2162" t="s">
        <v>3651</v>
      </c>
      <c r="K2219" s="2166">
        <v>6</v>
      </c>
      <c r="L2219" s="2167">
        <v>174225000</v>
      </c>
      <c r="M2219" s="2166">
        <v>3</v>
      </c>
      <c r="N2219" s="2167">
        <v>56575000</v>
      </c>
      <c r="O2219" s="2166">
        <v>1</v>
      </c>
      <c r="P2219" s="2167">
        <v>28625000</v>
      </c>
      <c r="Q2219" s="2166">
        <v>0</v>
      </c>
      <c r="R2219" s="2167"/>
      <c r="S2219" s="2166">
        <v>0</v>
      </c>
      <c r="T2219" s="2167"/>
      <c r="U2219" s="2166"/>
      <c r="V2219" s="2202"/>
      <c r="W2219" s="2166"/>
      <c r="X2219" s="2166"/>
      <c r="Y2219" s="2166">
        <f t="shared" si="648"/>
        <v>0</v>
      </c>
      <c r="Z2219" s="2203">
        <f t="shared" si="648"/>
        <v>0</v>
      </c>
      <c r="AA2219" s="2166">
        <f t="shared" si="649"/>
        <v>3</v>
      </c>
      <c r="AB2219" s="2203">
        <f t="shared" si="649"/>
        <v>56575000</v>
      </c>
      <c r="AC2219" s="2170">
        <f t="shared" si="650"/>
        <v>50</v>
      </c>
      <c r="AD2219" s="2170">
        <f t="shared" si="650"/>
        <v>32.472377672549861</v>
      </c>
      <c r="AE2219" s="2409"/>
    </row>
    <row r="2220" spans="1:31" s="2131" customFormat="1" ht="56.25" customHeight="1">
      <c r="A2220" s="2140" t="s">
        <v>3543</v>
      </c>
      <c r="B2220" s="2143"/>
      <c r="C2220" s="2142">
        <v>5</v>
      </c>
      <c r="D2220" s="2142" t="s">
        <v>34</v>
      </c>
      <c r="E2220" s="2142" t="s">
        <v>25</v>
      </c>
      <c r="F2220" s="2142" t="s">
        <v>45</v>
      </c>
      <c r="G2220" s="2142" t="s">
        <v>35</v>
      </c>
      <c r="H2220" s="2140"/>
      <c r="I2220" s="2143" t="s">
        <v>3570</v>
      </c>
      <c r="J2220" s="2143" t="s">
        <v>3571</v>
      </c>
      <c r="K2220" s="2144">
        <v>70</v>
      </c>
      <c r="L2220" s="2145">
        <f>SUM(L2221)</f>
        <v>165000000</v>
      </c>
      <c r="M2220" s="2144">
        <v>41</v>
      </c>
      <c r="N2220" s="2145">
        <f>SUM(N2221)</f>
        <v>51291500</v>
      </c>
      <c r="O2220" s="2144">
        <v>10</v>
      </c>
      <c r="P2220" s="2145">
        <f>SUM(P2221)</f>
        <v>3922500</v>
      </c>
      <c r="Q2220" s="2144">
        <v>2</v>
      </c>
      <c r="R2220" s="2146">
        <f>SUM(R2221)</f>
        <v>3922500</v>
      </c>
      <c r="S2220" s="2144">
        <v>2</v>
      </c>
      <c r="T2220" s="2146">
        <f>SUM(T2221)</f>
        <v>0</v>
      </c>
      <c r="U2220" s="2144"/>
      <c r="V2220" s="2146">
        <f>SUM(V2221)</f>
        <v>0</v>
      </c>
      <c r="W2220" s="2145"/>
      <c r="X2220" s="2145">
        <f>SUM(X2221)</f>
        <v>0</v>
      </c>
      <c r="Y2220" s="2144">
        <f>Q2220+S2220+U2220+W2220</f>
        <v>4</v>
      </c>
      <c r="Z2220" s="2146">
        <f>R2220+T2220+V2220+X2220</f>
        <v>3922500</v>
      </c>
      <c r="AA2220" s="2144">
        <f>M2220+Y2220</f>
        <v>45</v>
      </c>
      <c r="AB2220" s="2145">
        <f>N2220+Z2220</f>
        <v>55214000</v>
      </c>
      <c r="AC2220" s="2147">
        <f>(AA2220/K2220)*100</f>
        <v>64.285714285714292</v>
      </c>
      <c r="AD2220" s="2147">
        <f>(AB2220/L2220)*100</f>
        <v>33.463030303030308</v>
      </c>
      <c r="AE2220" s="2204" t="s">
        <v>3683</v>
      </c>
    </row>
    <row r="2221" spans="1:31" s="2131" customFormat="1" ht="36" customHeight="1">
      <c r="A2221" s="2165"/>
      <c r="B2221" s="2163"/>
      <c r="C2221" s="2151">
        <v>5</v>
      </c>
      <c r="D2221" s="2151" t="s">
        <v>34</v>
      </c>
      <c r="E2221" s="2164" t="s">
        <v>25</v>
      </c>
      <c r="F2221" s="2151" t="s">
        <v>45</v>
      </c>
      <c r="G2221" s="2151" t="s">
        <v>35</v>
      </c>
      <c r="H2221" s="2151" t="s">
        <v>25</v>
      </c>
      <c r="I2221" s="2153" t="s">
        <v>3696</v>
      </c>
      <c r="J2221" s="2153" t="s">
        <v>3697</v>
      </c>
      <c r="K2221" s="2154">
        <v>4</v>
      </c>
      <c r="L2221" s="2155">
        <v>165000000</v>
      </c>
      <c r="M2221" s="2156">
        <v>2</v>
      </c>
      <c r="N2221" s="2193">
        <v>51291500</v>
      </c>
      <c r="O2221" s="2154">
        <v>1</v>
      </c>
      <c r="P2221" s="2158">
        <v>3922500</v>
      </c>
      <c r="Q2221" s="2156">
        <v>0</v>
      </c>
      <c r="R2221" s="2155">
        <v>3922500</v>
      </c>
      <c r="S2221" s="2156">
        <v>0</v>
      </c>
      <c r="T2221" s="2155">
        <v>0</v>
      </c>
      <c r="U2221" s="2154"/>
      <c r="V2221" s="2154"/>
      <c r="W2221" s="2155"/>
      <c r="X2221" s="2155"/>
      <c r="Y2221" s="2154">
        <f>Q2221+S2221+U2221+W2221</f>
        <v>0</v>
      </c>
      <c r="Z2221" s="2155">
        <f>R2221+T2221+V2221+X2221</f>
        <v>3922500</v>
      </c>
      <c r="AA2221" s="2154">
        <f>M2221+Y2221</f>
        <v>2</v>
      </c>
      <c r="AB2221" s="2155">
        <f>N2221+Z2221</f>
        <v>55214000</v>
      </c>
      <c r="AC2221" s="2160">
        <f>(AA2221/K2221)*100</f>
        <v>50</v>
      </c>
      <c r="AD2221" s="2160">
        <f>(AB2221/L2221)*100</f>
        <v>33.463030303030308</v>
      </c>
      <c r="AE2221" s="2165"/>
    </row>
    <row r="2222" spans="1:31" s="2131" customFormat="1" ht="54.75" customHeight="1">
      <c r="A2222" s="2140" t="s">
        <v>3547</v>
      </c>
      <c r="B2222" s="2194"/>
      <c r="C2222" s="2142">
        <v>5</v>
      </c>
      <c r="D2222" s="2142" t="s">
        <v>34</v>
      </c>
      <c r="E2222" s="2142" t="s">
        <v>25</v>
      </c>
      <c r="F2222" s="2142" t="s">
        <v>45</v>
      </c>
      <c r="G2222" s="2142" t="s">
        <v>84</v>
      </c>
      <c r="H2222" s="2140"/>
      <c r="I2222" s="2143" t="s">
        <v>3548</v>
      </c>
      <c r="J2222" s="2143" t="s">
        <v>3549</v>
      </c>
      <c r="K2222" s="2144">
        <v>100</v>
      </c>
      <c r="L2222" s="2145">
        <f>SUM(L2223:L2224)</f>
        <v>169267500</v>
      </c>
      <c r="M2222" s="2144">
        <v>75</v>
      </c>
      <c r="N2222" s="2145">
        <f>SUM(N2223:N2224)</f>
        <v>0</v>
      </c>
      <c r="O2222" s="2144">
        <v>15</v>
      </c>
      <c r="P2222" s="2145">
        <f>SUM(P2223:P2224)</f>
        <v>56422500</v>
      </c>
      <c r="Q2222" s="2144">
        <v>4</v>
      </c>
      <c r="R2222" s="2145">
        <f>SUM(R2223:R2224)</f>
        <v>0</v>
      </c>
      <c r="S2222" s="2144">
        <v>4</v>
      </c>
      <c r="T2222" s="2145">
        <f>SUM(T2223:T2224)</f>
        <v>0</v>
      </c>
      <c r="U2222" s="2195"/>
      <c r="V2222" s="2145">
        <f>SUM(V2223:V2224)</f>
        <v>0</v>
      </c>
      <c r="W2222" s="2144"/>
      <c r="X2222" s="2145">
        <f>SUM(X2223:X2224)</f>
        <v>0</v>
      </c>
      <c r="Y2222" s="2147">
        <f t="shared" ref="Y2222:Z2226" si="651">Q2222+S2222+U2222+W2222</f>
        <v>8</v>
      </c>
      <c r="Z2222" s="2145">
        <f t="shared" si="651"/>
        <v>0</v>
      </c>
      <c r="AA2222" s="2147">
        <f t="shared" ref="AA2222:AB2226" si="652">M2222+Y2222</f>
        <v>83</v>
      </c>
      <c r="AB2222" s="2145">
        <f t="shared" si="652"/>
        <v>0</v>
      </c>
      <c r="AC2222" s="2147">
        <f t="shared" ref="AC2222:AD2226" si="653">(AA2222/K2222)*100</f>
        <v>83</v>
      </c>
      <c r="AD2222" s="2147">
        <f t="shared" si="653"/>
        <v>0</v>
      </c>
      <c r="AE2222" s="2204" t="s">
        <v>3683</v>
      </c>
    </row>
    <row r="2223" spans="1:31" s="2131" customFormat="1" ht="38.25">
      <c r="A2223" s="2379"/>
      <c r="B2223" s="2162"/>
      <c r="C2223" s="2164">
        <v>5</v>
      </c>
      <c r="D2223" s="2164" t="s">
        <v>34</v>
      </c>
      <c r="E2223" s="2164" t="s">
        <v>25</v>
      </c>
      <c r="F2223" s="2164" t="s">
        <v>45</v>
      </c>
      <c r="G2223" s="2164">
        <v>24</v>
      </c>
      <c r="H2223" s="2164">
        <v>15</v>
      </c>
      <c r="I2223" s="2197" t="s">
        <v>3551</v>
      </c>
      <c r="J2223" s="2198" t="s">
        <v>3552</v>
      </c>
      <c r="K2223" s="2199">
        <v>36</v>
      </c>
      <c r="L2223" s="2200">
        <f>3*P2223</f>
        <v>156772500</v>
      </c>
      <c r="M2223" s="2201">
        <v>0</v>
      </c>
      <c r="N2223" s="2200">
        <v>0</v>
      </c>
      <c r="O2223" s="2166">
        <v>12</v>
      </c>
      <c r="P2223" s="2167">
        <v>52257500</v>
      </c>
      <c r="Q2223" s="2166">
        <v>3</v>
      </c>
      <c r="R2223" s="2167"/>
      <c r="S2223" s="2166">
        <v>3</v>
      </c>
      <c r="T2223" s="2167"/>
      <c r="U2223" s="2166"/>
      <c r="V2223" s="2202"/>
      <c r="W2223" s="2166"/>
      <c r="X2223" s="2167"/>
      <c r="Y2223" s="2166">
        <f t="shared" si="651"/>
        <v>6</v>
      </c>
      <c r="Z2223" s="2203">
        <f t="shared" si="651"/>
        <v>0</v>
      </c>
      <c r="AA2223" s="2166">
        <f t="shared" si="652"/>
        <v>6</v>
      </c>
      <c r="AB2223" s="2203">
        <f t="shared" si="652"/>
        <v>0</v>
      </c>
      <c r="AC2223" s="2170">
        <f t="shared" si="653"/>
        <v>16.666666666666664</v>
      </c>
      <c r="AD2223" s="2170">
        <f t="shared" si="653"/>
        <v>0</v>
      </c>
      <c r="AE2223" s="2379"/>
    </row>
    <row r="2224" spans="1:31" s="2131" customFormat="1" ht="38.25">
      <c r="A2224" s="2379"/>
      <c r="B2224" s="2162"/>
      <c r="C2224" s="2164">
        <v>5</v>
      </c>
      <c r="D2224" s="2164" t="s">
        <v>34</v>
      </c>
      <c r="E2224" s="2164" t="s">
        <v>25</v>
      </c>
      <c r="F2224" s="2164" t="s">
        <v>45</v>
      </c>
      <c r="G2224" s="2164">
        <v>24</v>
      </c>
      <c r="H2224" s="2164">
        <v>16</v>
      </c>
      <c r="I2224" s="2198" t="s">
        <v>3553</v>
      </c>
      <c r="J2224" s="2198" t="s">
        <v>3554</v>
      </c>
      <c r="K2224" s="2199">
        <v>36</v>
      </c>
      <c r="L2224" s="2200">
        <f>3*P2224</f>
        <v>12495000</v>
      </c>
      <c r="M2224" s="2201">
        <v>0</v>
      </c>
      <c r="N2224" s="2200">
        <v>0</v>
      </c>
      <c r="O2224" s="2166">
        <v>12</v>
      </c>
      <c r="P2224" s="2167">
        <v>4165000</v>
      </c>
      <c r="Q2224" s="2166">
        <v>3</v>
      </c>
      <c r="R2224" s="2167">
        <v>0</v>
      </c>
      <c r="S2224" s="2166">
        <v>3</v>
      </c>
      <c r="T2224" s="2167">
        <v>0</v>
      </c>
      <c r="U2224" s="2166"/>
      <c r="V2224" s="2202"/>
      <c r="W2224" s="2166"/>
      <c r="X2224" s="2167"/>
      <c r="Y2224" s="2166">
        <f t="shared" si="651"/>
        <v>6</v>
      </c>
      <c r="Z2224" s="2203">
        <f t="shared" si="651"/>
        <v>0</v>
      </c>
      <c r="AA2224" s="2166">
        <f t="shared" si="652"/>
        <v>6</v>
      </c>
      <c r="AB2224" s="2203">
        <f t="shared" si="652"/>
        <v>0</v>
      </c>
      <c r="AC2224" s="2170">
        <f t="shared" si="653"/>
        <v>16.666666666666664</v>
      </c>
      <c r="AD2224" s="2170">
        <f t="shared" si="653"/>
        <v>0</v>
      </c>
      <c r="AE2224" s="2379"/>
    </row>
    <row r="2225" spans="1:71" s="2131" customFormat="1" ht="51">
      <c r="A2225" s="2140" t="s">
        <v>3555</v>
      </c>
      <c r="B2225" s="2194"/>
      <c r="C2225" s="2142">
        <v>5</v>
      </c>
      <c r="D2225" s="2142" t="s">
        <v>34</v>
      </c>
      <c r="E2225" s="2142" t="s">
        <v>25</v>
      </c>
      <c r="F2225" s="2142" t="s">
        <v>45</v>
      </c>
      <c r="G2225" s="2142" t="s">
        <v>35</v>
      </c>
      <c r="H2225" s="2142"/>
      <c r="I2225" s="2143" t="s">
        <v>1287</v>
      </c>
      <c r="J2225" s="2194" t="s">
        <v>3698</v>
      </c>
      <c r="K2225" s="2269">
        <v>95</v>
      </c>
      <c r="L2225" s="2145">
        <f>SUM(L2226)</f>
        <v>32040000</v>
      </c>
      <c r="M2225" s="2144">
        <v>85</v>
      </c>
      <c r="N2225" s="2145">
        <f>SUM(N2226)</f>
        <v>0</v>
      </c>
      <c r="O2225" s="2144">
        <v>5</v>
      </c>
      <c r="P2225" s="2145">
        <f>SUM(P2226)</f>
        <v>10680000</v>
      </c>
      <c r="Q2225" s="2144">
        <v>0</v>
      </c>
      <c r="R2225" s="2145">
        <f>SUM(R2226)</f>
        <v>0</v>
      </c>
      <c r="S2225" s="2144">
        <v>0</v>
      </c>
      <c r="T2225" s="2145">
        <f>SUM(T2226)</f>
        <v>0</v>
      </c>
      <c r="U2225" s="2144"/>
      <c r="V2225" s="2146">
        <f>SUM(V2226)</f>
        <v>0</v>
      </c>
      <c r="W2225" s="2144"/>
      <c r="X2225" s="2146">
        <f>SUM(X2226)</f>
        <v>0</v>
      </c>
      <c r="Y2225" s="2144">
        <f t="shared" si="651"/>
        <v>0</v>
      </c>
      <c r="Z2225" s="2145">
        <f t="shared" si="651"/>
        <v>0</v>
      </c>
      <c r="AA2225" s="2144">
        <f t="shared" si="652"/>
        <v>85</v>
      </c>
      <c r="AB2225" s="2145">
        <f t="shared" si="652"/>
        <v>0</v>
      </c>
      <c r="AC2225" s="2147">
        <f t="shared" si="653"/>
        <v>89.473684210526315</v>
      </c>
      <c r="AD2225" s="2147">
        <f t="shared" si="653"/>
        <v>0</v>
      </c>
      <c r="AE2225" s="2204" t="s">
        <v>3683</v>
      </c>
    </row>
    <row r="2226" spans="1:71" s="2131" customFormat="1" ht="51">
      <c r="A2226" s="2379"/>
      <c r="B2226" s="2162"/>
      <c r="C2226" s="2164">
        <v>5</v>
      </c>
      <c r="D2226" s="2164" t="s">
        <v>34</v>
      </c>
      <c r="E2226" s="2164" t="s">
        <v>25</v>
      </c>
      <c r="F2226" s="2164" t="s">
        <v>45</v>
      </c>
      <c r="G2226" s="2164">
        <v>21</v>
      </c>
      <c r="H2226" s="2164" t="s">
        <v>43</v>
      </c>
      <c r="I2226" s="2162" t="s">
        <v>3699</v>
      </c>
      <c r="J2226" s="2162" t="s">
        <v>3700</v>
      </c>
      <c r="K2226" s="2166">
        <v>3</v>
      </c>
      <c r="L2226" s="2167">
        <f>3*P2226</f>
        <v>32040000</v>
      </c>
      <c r="M2226" s="2166">
        <v>3</v>
      </c>
      <c r="N2226" s="2167">
        <v>0</v>
      </c>
      <c r="O2226" s="2166">
        <v>1</v>
      </c>
      <c r="P2226" s="2167">
        <v>10680000</v>
      </c>
      <c r="Q2226" s="2166">
        <v>0</v>
      </c>
      <c r="R2226" s="2167"/>
      <c r="S2226" s="2166">
        <v>0</v>
      </c>
      <c r="T2226" s="2167"/>
      <c r="U2226" s="2166"/>
      <c r="V2226" s="2202"/>
      <c r="W2226" s="2166"/>
      <c r="X2226" s="2166"/>
      <c r="Y2226" s="2240">
        <f t="shared" si="651"/>
        <v>0</v>
      </c>
      <c r="Z2226" s="2203">
        <f t="shared" si="651"/>
        <v>0</v>
      </c>
      <c r="AA2226" s="2240">
        <f t="shared" si="652"/>
        <v>3</v>
      </c>
      <c r="AB2226" s="2203">
        <f t="shared" si="652"/>
        <v>0</v>
      </c>
      <c r="AC2226" s="2243">
        <f t="shared" si="653"/>
        <v>100</v>
      </c>
      <c r="AD2226" s="2243">
        <f t="shared" si="653"/>
        <v>0</v>
      </c>
      <c r="AE2226" s="2409"/>
    </row>
    <row r="2227" spans="1:71" s="2131" customFormat="1" ht="63.75">
      <c r="A2227" s="2140" t="s">
        <v>3559</v>
      </c>
      <c r="B2227" s="2194"/>
      <c r="C2227" s="2142">
        <v>5</v>
      </c>
      <c r="D2227" s="2142" t="s">
        <v>34</v>
      </c>
      <c r="E2227" s="2142" t="s">
        <v>25</v>
      </c>
      <c r="F2227" s="2142" t="s">
        <v>45</v>
      </c>
      <c r="G2227" s="2142" t="s">
        <v>45</v>
      </c>
      <c r="H2227" s="2142"/>
      <c r="I2227" s="2143" t="s">
        <v>3653</v>
      </c>
      <c r="J2227" s="2143" t="s">
        <v>3654</v>
      </c>
      <c r="K2227" s="2144">
        <v>100</v>
      </c>
      <c r="L2227" s="2145">
        <f>SUM(L2228)</f>
        <v>75310000</v>
      </c>
      <c r="M2227" s="2144">
        <v>50</v>
      </c>
      <c r="N2227" s="2145">
        <f>SUM(N2228)</f>
        <v>35785000</v>
      </c>
      <c r="O2227" s="2144">
        <v>0</v>
      </c>
      <c r="P2227" s="2145">
        <f>SUM(P2228)</f>
        <v>0</v>
      </c>
      <c r="Q2227" s="2144">
        <v>0</v>
      </c>
      <c r="R2227" s="2145">
        <f>SUM(R2228)</f>
        <v>0</v>
      </c>
      <c r="S2227" s="2144">
        <v>0</v>
      </c>
      <c r="T2227" s="2145">
        <f>SUM(T2228)</f>
        <v>0</v>
      </c>
      <c r="U2227" s="2144"/>
      <c r="V2227" s="2146">
        <f>SUM(V2228)</f>
        <v>0</v>
      </c>
      <c r="W2227" s="2144"/>
      <c r="X2227" s="2146">
        <f>SUM(X2228)</f>
        <v>0</v>
      </c>
      <c r="Y2227" s="2144">
        <f t="shared" si="648"/>
        <v>0</v>
      </c>
      <c r="Z2227" s="2145">
        <f t="shared" si="648"/>
        <v>0</v>
      </c>
      <c r="AA2227" s="2144">
        <f t="shared" si="649"/>
        <v>50</v>
      </c>
      <c r="AB2227" s="2145">
        <f t="shared" si="649"/>
        <v>35785000</v>
      </c>
      <c r="AC2227" s="2147">
        <f t="shared" si="650"/>
        <v>50</v>
      </c>
      <c r="AD2227" s="2147">
        <f t="shared" si="650"/>
        <v>47.516930022573362</v>
      </c>
      <c r="AE2227" s="2204" t="s">
        <v>3683</v>
      </c>
    </row>
    <row r="2228" spans="1:71" s="2131" customFormat="1" ht="51">
      <c r="A2228" s="2379"/>
      <c r="B2228" s="2162"/>
      <c r="C2228" s="2164">
        <v>5</v>
      </c>
      <c r="D2228" s="2164" t="s">
        <v>34</v>
      </c>
      <c r="E2228" s="2164" t="s">
        <v>25</v>
      </c>
      <c r="F2228" s="2164" t="s">
        <v>45</v>
      </c>
      <c r="G2228" s="2164" t="s">
        <v>45</v>
      </c>
      <c r="H2228" s="2164" t="s">
        <v>31</v>
      </c>
      <c r="I2228" s="2162" t="s">
        <v>3655</v>
      </c>
      <c r="J2228" s="2162" t="s">
        <v>3656</v>
      </c>
      <c r="K2228" s="2166">
        <v>6</v>
      </c>
      <c r="L2228" s="2167">
        <v>75310000</v>
      </c>
      <c r="M2228" s="2166">
        <v>3</v>
      </c>
      <c r="N2228" s="2167">
        <v>35785000</v>
      </c>
      <c r="O2228" s="2166">
        <v>0</v>
      </c>
      <c r="P2228" s="2167"/>
      <c r="Q2228" s="2166">
        <v>0</v>
      </c>
      <c r="R2228" s="2167"/>
      <c r="S2228" s="2166">
        <v>0</v>
      </c>
      <c r="T2228" s="2167"/>
      <c r="U2228" s="2166"/>
      <c r="V2228" s="2202"/>
      <c r="W2228" s="2166"/>
      <c r="X2228" s="2166"/>
      <c r="Y2228" s="2240">
        <f t="shared" si="648"/>
        <v>0</v>
      </c>
      <c r="Z2228" s="2203">
        <f t="shared" si="648"/>
        <v>0</v>
      </c>
      <c r="AA2228" s="2240">
        <f t="shared" si="649"/>
        <v>3</v>
      </c>
      <c r="AB2228" s="2203">
        <f t="shared" si="649"/>
        <v>35785000</v>
      </c>
      <c r="AC2228" s="2243">
        <f t="shared" si="650"/>
        <v>50</v>
      </c>
      <c r="AD2228" s="2243">
        <f t="shared" si="650"/>
        <v>47.516930022573362</v>
      </c>
      <c r="AE2228" s="2409"/>
    </row>
    <row r="2229" spans="1:71" s="2131" customFormat="1" ht="63.75">
      <c r="A2229" s="2140" t="s">
        <v>3565</v>
      </c>
      <c r="B2229" s="2194"/>
      <c r="C2229" s="2142">
        <v>5</v>
      </c>
      <c r="D2229" s="2142" t="s">
        <v>34</v>
      </c>
      <c r="E2229" s="2142" t="s">
        <v>25</v>
      </c>
      <c r="F2229" s="2142" t="s">
        <v>45</v>
      </c>
      <c r="G2229" s="2142" t="s">
        <v>35</v>
      </c>
      <c r="H2229" s="2142"/>
      <c r="I2229" s="2143" t="s">
        <v>3597</v>
      </c>
      <c r="J2229" s="2143" t="s">
        <v>3598</v>
      </c>
      <c r="K2229" s="2144">
        <v>100</v>
      </c>
      <c r="L2229" s="2145">
        <f>SUM(L2230)</f>
        <v>25000000</v>
      </c>
      <c r="M2229" s="2144">
        <v>75</v>
      </c>
      <c r="N2229" s="2145">
        <f>SUM(N2230)</f>
        <v>3610000</v>
      </c>
      <c r="O2229" s="2144">
        <v>0</v>
      </c>
      <c r="P2229" s="2145">
        <f>SUM(P2230)</f>
        <v>0</v>
      </c>
      <c r="Q2229" s="2144">
        <v>0</v>
      </c>
      <c r="R2229" s="2145">
        <f>SUM(R2230)</f>
        <v>0</v>
      </c>
      <c r="S2229" s="2144">
        <v>0</v>
      </c>
      <c r="T2229" s="2145">
        <f>SUM(T2230)</f>
        <v>0</v>
      </c>
      <c r="U2229" s="2144"/>
      <c r="V2229" s="2145">
        <f>SUM(V2230)</f>
        <v>0</v>
      </c>
      <c r="W2229" s="2144"/>
      <c r="X2229" s="2145">
        <f>SUM(X2230)</f>
        <v>0</v>
      </c>
      <c r="Y2229" s="2144">
        <f t="shared" si="648"/>
        <v>0</v>
      </c>
      <c r="Z2229" s="2145">
        <f t="shared" si="648"/>
        <v>0</v>
      </c>
      <c r="AA2229" s="2144">
        <f t="shared" si="649"/>
        <v>75</v>
      </c>
      <c r="AB2229" s="2145">
        <f t="shared" si="649"/>
        <v>3610000</v>
      </c>
      <c r="AC2229" s="2147">
        <f t="shared" si="650"/>
        <v>75</v>
      </c>
      <c r="AD2229" s="2147">
        <f t="shared" si="650"/>
        <v>14.44</v>
      </c>
      <c r="AE2229" s="2204" t="s">
        <v>3683</v>
      </c>
    </row>
    <row r="2230" spans="1:71" s="2131" customFormat="1" ht="38.25">
      <c r="A2230" s="2152"/>
      <c r="B2230" s="2198"/>
      <c r="C2230" s="2164"/>
      <c r="D2230" s="2164"/>
      <c r="E2230" s="2164"/>
      <c r="F2230" s="2164"/>
      <c r="G2230" s="2164"/>
      <c r="H2230" s="2164">
        <v>27</v>
      </c>
      <c r="I2230" s="2198" t="s">
        <v>3701</v>
      </c>
      <c r="J2230" s="2198" t="s">
        <v>3702</v>
      </c>
      <c r="K2230" s="2240">
        <v>17</v>
      </c>
      <c r="L2230" s="2241">
        <v>25000000</v>
      </c>
      <c r="M2230" s="2240">
        <v>3</v>
      </c>
      <c r="N2230" s="2241">
        <v>3610000</v>
      </c>
      <c r="O2230" s="2240">
        <v>0</v>
      </c>
      <c r="P2230" s="2241"/>
      <c r="Q2230" s="2240">
        <v>0</v>
      </c>
      <c r="R2230" s="2241"/>
      <c r="S2230" s="2240">
        <v>0</v>
      </c>
      <c r="T2230" s="2241"/>
      <c r="U2230" s="2240"/>
      <c r="V2230" s="2242"/>
      <c r="W2230" s="2240"/>
      <c r="X2230" s="2240"/>
      <c r="Y2230" s="2240">
        <f t="shared" si="648"/>
        <v>0</v>
      </c>
      <c r="Z2230" s="2203">
        <f t="shared" si="648"/>
        <v>0</v>
      </c>
      <c r="AA2230" s="2240">
        <f t="shared" si="649"/>
        <v>3</v>
      </c>
      <c r="AB2230" s="2203">
        <f t="shared" si="649"/>
        <v>3610000</v>
      </c>
      <c r="AC2230" s="2243">
        <f t="shared" si="650"/>
        <v>17.647058823529413</v>
      </c>
      <c r="AD2230" s="2240">
        <f t="shared" si="650"/>
        <v>14.44</v>
      </c>
      <c r="AE2230" s="2216"/>
      <c r="AF2230" s="2259"/>
      <c r="AG2230" s="2259"/>
      <c r="AH2230" s="2259"/>
      <c r="AI2230" s="2259"/>
      <c r="AJ2230" s="2259"/>
      <c r="AK2230" s="2259"/>
      <c r="AL2230" s="2259"/>
      <c r="AM2230" s="2259"/>
      <c r="AN2230" s="2259"/>
      <c r="AO2230" s="2259"/>
      <c r="AP2230" s="2259"/>
      <c r="AQ2230" s="2259"/>
      <c r="AR2230" s="2259"/>
      <c r="AS2230" s="2259"/>
      <c r="AT2230" s="2259"/>
      <c r="AU2230" s="2259"/>
      <c r="AV2230" s="2259"/>
      <c r="AW2230" s="2259"/>
      <c r="AX2230" s="2259"/>
      <c r="AY2230" s="2259"/>
      <c r="AZ2230" s="2259"/>
      <c r="BA2230" s="2259"/>
      <c r="BB2230" s="2259"/>
      <c r="BC2230" s="2259"/>
      <c r="BD2230" s="2259"/>
      <c r="BE2230" s="2259"/>
      <c r="BF2230" s="2259"/>
      <c r="BG2230" s="2259"/>
      <c r="BH2230" s="2259"/>
      <c r="BI2230" s="2259"/>
      <c r="BJ2230" s="2259"/>
      <c r="BK2230" s="2259"/>
      <c r="BL2230" s="2259"/>
      <c r="BM2230" s="2259"/>
      <c r="BN2230" s="2259"/>
      <c r="BO2230" s="2259"/>
      <c r="BP2230" s="2259"/>
      <c r="BQ2230" s="2259"/>
      <c r="BR2230" s="2259"/>
      <c r="BS2230" s="2259"/>
    </row>
    <row r="2231" spans="1:71" s="2131" customFormat="1" ht="51">
      <c r="A2231" s="2140" t="s">
        <v>13</v>
      </c>
      <c r="B2231" s="2194"/>
      <c r="C2231" s="2142">
        <v>5</v>
      </c>
      <c r="D2231" s="2142" t="s">
        <v>34</v>
      </c>
      <c r="E2231" s="2142" t="s">
        <v>25</v>
      </c>
      <c r="F2231" s="2142" t="s">
        <v>45</v>
      </c>
      <c r="G2231" s="2142" t="s">
        <v>47</v>
      </c>
      <c r="H2231" s="2140"/>
      <c r="I2231" s="2143" t="s">
        <v>3661</v>
      </c>
      <c r="J2231" s="2143" t="s">
        <v>3662</v>
      </c>
      <c r="K2231" s="2144">
        <v>100</v>
      </c>
      <c r="L2231" s="2145">
        <f>SUM(L2232:L2232)</f>
        <v>29950000</v>
      </c>
      <c r="M2231" s="2144">
        <v>50</v>
      </c>
      <c r="N2231" s="2145">
        <f>SUM(N2232:N2232)</f>
        <v>9886000</v>
      </c>
      <c r="O2231" s="2144">
        <v>0</v>
      </c>
      <c r="P2231" s="2145">
        <f>SUM(P2232:P2232)</f>
        <v>0</v>
      </c>
      <c r="Q2231" s="2144">
        <v>0</v>
      </c>
      <c r="R2231" s="2145">
        <f>SUM(R2232:R2232)</f>
        <v>0</v>
      </c>
      <c r="S2231" s="2144">
        <v>0</v>
      </c>
      <c r="T2231" s="2145">
        <f>SUM(T2232:T2232)</f>
        <v>0</v>
      </c>
      <c r="U2231" s="2147"/>
      <c r="V2231" s="2146">
        <f>SUM(V2232:V2232)</f>
        <v>0</v>
      </c>
      <c r="W2231" s="2144"/>
      <c r="X2231" s="2146">
        <f>SUM(X2232:X2232)</f>
        <v>0</v>
      </c>
      <c r="Y2231" s="2195">
        <f t="shared" si="648"/>
        <v>0</v>
      </c>
      <c r="Z2231" s="2145">
        <f t="shared" si="648"/>
        <v>0</v>
      </c>
      <c r="AA2231" s="2147">
        <f t="shared" si="649"/>
        <v>50</v>
      </c>
      <c r="AB2231" s="2145">
        <f t="shared" si="649"/>
        <v>9886000</v>
      </c>
      <c r="AC2231" s="2147">
        <f t="shared" si="650"/>
        <v>50</v>
      </c>
      <c r="AD2231" s="2147">
        <f t="shared" si="650"/>
        <v>33.008347245409013</v>
      </c>
      <c r="AE2231" s="2204" t="s">
        <v>3683</v>
      </c>
      <c r="AF2231" s="2270"/>
      <c r="AG2231" s="2270"/>
      <c r="AH2231" s="2270"/>
      <c r="AI2231" s="2270"/>
      <c r="AJ2231" s="2270"/>
      <c r="AK2231" s="2270"/>
      <c r="AL2231" s="2270"/>
      <c r="AM2231" s="2270"/>
      <c r="AN2231" s="2270"/>
      <c r="AO2231" s="2270"/>
      <c r="AP2231" s="2270"/>
      <c r="AQ2231" s="2270"/>
      <c r="AR2231" s="2270"/>
      <c r="AS2231" s="2270"/>
      <c r="AT2231" s="2270"/>
      <c r="AU2231" s="2270"/>
      <c r="AV2231" s="2270"/>
      <c r="AW2231" s="2270"/>
      <c r="AX2231" s="2270"/>
      <c r="AY2231" s="2270"/>
      <c r="AZ2231" s="2270"/>
      <c r="BA2231" s="2270"/>
      <c r="BB2231" s="2270"/>
      <c r="BC2231" s="2270"/>
      <c r="BD2231" s="2270"/>
      <c r="BE2231" s="2270"/>
      <c r="BF2231" s="2270"/>
      <c r="BG2231" s="2270"/>
      <c r="BH2231" s="2270"/>
      <c r="BI2231" s="2270"/>
      <c r="BJ2231" s="2270"/>
      <c r="BK2231" s="2270"/>
      <c r="BL2231" s="2270"/>
      <c r="BM2231" s="2270"/>
      <c r="BN2231" s="2270"/>
      <c r="BO2231" s="2270"/>
      <c r="BP2231" s="2270"/>
      <c r="BQ2231" s="2270"/>
      <c r="BR2231" s="2270"/>
      <c r="BS2231" s="2270"/>
    </row>
    <row r="2232" spans="1:71" s="2131" customFormat="1" ht="51">
      <c r="A2232" s="2379"/>
      <c r="B2232" s="2162"/>
      <c r="C2232" s="2164">
        <v>5</v>
      </c>
      <c r="D2232" s="2164" t="s">
        <v>34</v>
      </c>
      <c r="E2232" s="2164" t="s">
        <v>25</v>
      </c>
      <c r="F2232" s="2164" t="s">
        <v>45</v>
      </c>
      <c r="G2232" s="2164" t="s">
        <v>47</v>
      </c>
      <c r="H2232" s="2151" t="s">
        <v>78</v>
      </c>
      <c r="I2232" s="2162" t="s">
        <v>3703</v>
      </c>
      <c r="J2232" s="2162" t="s">
        <v>3704</v>
      </c>
      <c r="K2232" s="2166">
        <v>36</v>
      </c>
      <c r="L2232" s="2167">
        <v>29950000</v>
      </c>
      <c r="M2232" s="2166">
        <v>12</v>
      </c>
      <c r="N2232" s="2167">
        <v>9886000</v>
      </c>
      <c r="O2232" s="2166">
        <v>0</v>
      </c>
      <c r="P2232" s="2167"/>
      <c r="Q2232" s="2166">
        <v>0</v>
      </c>
      <c r="R2232" s="2167"/>
      <c r="S2232" s="2166">
        <v>0</v>
      </c>
      <c r="T2232" s="2167"/>
      <c r="U2232" s="2166"/>
      <c r="V2232" s="2202"/>
      <c r="W2232" s="2166"/>
      <c r="X2232" s="2167"/>
      <c r="Y2232" s="2166">
        <f t="shared" si="648"/>
        <v>0</v>
      </c>
      <c r="Z2232" s="2203">
        <f t="shared" si="648"/>
        <v>0</v>
      </c>
      <c r="AA2232" s="2166">
        <f t="shared" si="649"/>
        <v>12</v>
      </c>
      <c r="AB2232" s="2203">
        <f t="shared" si="649"/>
        <v>9886000</v>
      </c>
      <c r="AC2232" s="2170">
        <f t="shared" si="650"/>
        <v>33.333333333333329</v>
      </c>
      <c r="AD2232" s="2170">
        <f t="shared" si="650"/>
        <v>33.008347245409013</v>
      </c>
      <c r="AE2232" s="2409"/>
      <c r="AF2232" s="2161"/>
      <c r="AG2232" s="2161"/>
      <c r="AH2232" s="2161"/>
      <c r="AI2232" s="2161"/>
      <c r="AJ2232" s="2161"/>
      <c r="AK2232" s="2161"/>
      <c r="AL2232" s="2161"/>
      <c r="AM2232" s="2161"/>
      <c r="AN2232" s="2161"/>
      <c r="AO2232" s="2161"/>
      <c r="AP2232" s="2161"/>
      <c r="AQ2232" s="2161"/>
      <c r="AR2232" s="2161"/>
      <c r="AS2232" s="2161"/>
      <c r="AT2232" s="2161"/>
      <c r="AU2232" s="2161"/>
      <c r="AV2232" s="2161"/>
      <c r="AW2232" s="2161"/>
      <c r="AX2232" s="2161"/>
      <c r="AY2232" s="2161"/>
      <c r="AZ2232" s="2161"/>
      <c r="BA2232" s="2161"/>
      <c r="BB2232" s="2161"/>
      <c r="BC2232" s="2161"/>
      <c r="BD2232" s="2161"/>
      <c r="BE2232" s="2161"/>
      <c r="BF2232" s="2161"/>
      <c r="BG2232" s="2161"/>
      <c r="BH2232" s="2161"/>
      <c r="BI2232" s="2161"/>
      <c r="BJ2232" s="2161"/>
      <c r="BK2232" s="2161"/>
      <c r="BL2232" s="2161"/>
      <c r="BM2232" s="2161"/>
      <c r="BN2232" s="2161"/>
      <c r="BO2232" s="2161"/>
      <c r="BP2232" s="2161"/>
      <c r="BQ2232" s="2161"/>
      <c r="BR2232" s="2161"/>
      <c r="BS2232" s="2161"/>
    </row>
    <row r="2233" spans="1:71" s="2131" customFormat="1" ht="63.75">
      <c r="A2233" s="2140" t="s">
        <v>3577</v>
      </c>
      <c r="B2233" s="2194"/>
      <c r="C2233" s="2142">
        <v>5</v>
      </c>
      <c r="D2233" s="2142" t="s">
        <v>34</v>
      </c>
      <c r="E2233" s="2142" t="s">
        <v>25</v>
      </c>
      <c r="F2233" s="2142" t="s">
        <v>45</v>
      </c>
      <c r="G2233" s="2142" t="s">
        <v>3667</v>
      </c>
      <c r="H2233" s="2140"/>
      <c r="I2233" s="2143" t="s">
        <v>3668</v>
      </c>
      <c r="J2233" s="2143" t="s">
        <v>3669</v>
      </c>
      <c r="K2233" s="2144">
        <v>100</v>
      </c>
      <c r="L2233" s="2145">
        <f>SUM(L2234:L2238)</f>
        <v>356671392</v>
      </c>
      <c r="M2233" s="2144">
        <v>52</v>
      </c>
      <c r="N2233" s="2145">
        <f>SUM(N2234:N2238)</f>
        <v>93750000</v>
      </c>
      <c r="O2233" s="2144">
        <v>0</v>
      </c>
      <c r="P2233" s="2145">
        <f>SUM(P2234:P2238)</f>
        <v>0</v>
      </c>
      <c r="Q2233" s="2144">
        <v>0</v>
      </c>
      <c r="R2233" s="2145">
        <f>SUM(R2234:R2238)</f>
        <v>0</v>
      </c>
      <c r="S2233" s="2144">
        <v>0</v>
      </c>
      <c r="T2233" s="2145">
        <f>SUM(T2234:T2238)</f>
        <v>0</v>
      </c>
      <c r="U2233" s="2147"/>
      <c r="V2233" s="2145">
        <f>SUM(V2234:V2238)</f>
        <v>0</v>
      </c>
      <c r="W2233" s="2144"/>
      <c r="X2233" s="2145">
        <f>SUM(X2234:X2238)</f>
        <v>0</v>
      </c>
      <c r="Y2233" s="2147">
        <f t="shared" si="648"/>
        <v>0</v>
      </c>
      <c r="Z2233" s="2145">
        <f t="shared" si="648"/>
        <v>0</v>
      </c>
      <c r="AA2233" s="2147">
        <f t="shared" si="649"/>
        <v>52</v>
      </c>
      <c r="AB2233" s="2145">
        <f t="shared" si="649"/>
        <v>93750000</v>
      </c>
      <c r="AC2233" s="2147">
        <f t="shared" si="650"/>
        <v>52</v>
      </c>
      <c r="AD2233" s="2147">
        <f t="shared" si="650"/>
        <v>26.28469849356463</v>
      </c>
      <c r="AE2233" s="2204" t="s">
        <v>3683</v>
      </c>
      <c r="AF2233" s="2149"/>
      <c r="AG2233" s="2149"/>
      <c r="AH2233" s="2149"/>
      <c r="AI2233" s="2149"/>
      <c r="AJ2233" s="2149"/>
      <c r="AK2233" s="2149"/>
      <c r="AL2233" s="2149"/>
      <c r="AM2233" s="2149"/>
      <c r="AN2233" s="2149"/>
      <c r="AO2233" s="2149"/>
      <c r="AP2233" s="2149"/>
      <c r="AQ2233" s="2149"/>
      <c r="AR2233" s="2149"/>
      <c r="AS2233" s="2149"/>
      <c r="AT2233" s="2149"/>
      <c r="AU2233" s="2149"/>
      <c r="AV2233" s="2149"/>
      <c r="AW2233" s="2149"/>
      <c r="AX2233" s="2149"/>
      <c r="AY2233" s="2149"/>
      <c r="AZ2233" s="2149"/>
      <c r="BA2233" s="2149"/>
      <c r="BB2233" s="2149"/>
      <c r="BC2233" s="2149"/>
      <c r="BD2233" s="2149"/>
      <c r="BE2233" s="2149"/>
      <c r="BF2233" s="2149"/>
      <c r="BG2233" s="2149"/>
      <c r="BH2233" s="2149"/>
      <c r="BI2233" s="2149"/>
      <c r="BJ2233" s="2149"/>
      <c r="BK2233" s="2149"/>
      <c r="BL2233" s="2149"/>
      <c r="BM2233" s="2149"/>
      <c r="BN2233" s="2149"/>
      <c r="BO2233" s="2149"/>
      <c r="BP2233" s="2149"/>
      <c r="BQ2233" s="2149"/>
      <c r="BR2233" s="2149"/>
      <c r="BS2233" s="2149"/>
    </row>
    <row r="2234" spans="1:71" s="2131" customFormat="1" ht="38.25">
      <c r="A2234" s="2267"/>
      <c r="B2234" s="2253"/>
      <c r="C2234" s="2164">
        <v>5</v>
      </c>
      <c r="D2234" s="2164" t="s">
        <v>34</v>
      </c>
      <c r="E2234" s="2164" t="s">
        <v>25</v>
      </c>
      <c r="F2234" s="2164" t="s">
        <v>45</v>
      </c>
      <c r="G2234" s="2164" t="s">
        <v>3667</v>
      </c>
      <c r="H2234" s="2254" t="s">
        <v>25</v>
      </c>
      <c r="I2234" s="2171" t="s">
        <v>3551</v>
      </c>
      <c r="J2234" s="2171" t="s">
        <v>3705</v>
      </c>
      <c r="K2234" s="2255">
        <v>36</v>
      </c>
      <c r="L2234" s="2203">
        <v>224265159</v>
      </c>
      <c r="M2234" s="2256">
        <v>24</v>
      </c>
      <c r="N2234" s="2257">
        <v>67522000</v>
      </c>
      <c r="O2234" s="2255">
        <v>0</v>
      </c>
      <c r="P2234" s="2258"/>
      <c r="Q2234" s="2256">
        <v>0</v>
      </c>
      <c r="R2234" s="2203"/>
      <c r="S2234" s="2256">
        <v>0</v>
      </c>
      <c r="T2234" s="2203"/>
      <c r="U2234" s="2255"/>
      <c r="V2234" s="2258"/>
      <c r="W2234" s="2255"/>
      <c r="X2234" s="2203"/>
      <c r="Y2234" s="2240">
        <f t="shared" si="648"/>
        <v>0</v>
      </c>
      <c r="Z2234" s="2203">
        <f t="shared" si="648"/>
        <v>0</v>
      </c>
      <c r="AA2234" s="2240">
        <f t="shared" si="649"/>
        <v>24</v>
      </c>
      <c r="AB2234" s="2203">
        <f t="shared" si="649"/>
        <v>67522000</v>
      </c>
      <c r="AC2234" s="2243">
        <f t="shared" si="650"/>
        <v>66.666666666666657</v>
      </c>
      <c r="AD2234" s="2243">
        <f t="shared" si="650"/>
        <v>30.108109659601652</v>
      </c>
      <c r="AE2234" s="2605"/>
      <c r="AF2234" s="2161"/>
      <c r="AG2234" s="2161"/>
      <c r="AH2234" s="2161"/>
      <c r="AI2234" s="2161"/>
      <c r="AJ2234" s="2161"/>
      <c r="AK2234" s="2161"/>
      <c r="AL2234" s="2161"/>
      <c r="AM2234" s="2161"/>
      <c r="AN2234" s="2161"/>
      <c r="AO2234" s="2161"/>
      <c r="AP2234" s="2161"/>
      <c r="AQ2234" s="2161"/>
      <c r="AR2234" s="2161"/>
      <c r="AS2234" s="2161"/>
      <c r="AT2234" s="2161"/>
      <c r="AU2234" s="2161"/>
      <c r="AV2234" s="2161"/>
      <c r="AW2234" s="2161"/>
      <c r="AX2234" s="2161"/>
      <c r="AY2234" s="2161"/>
      <c r="AZ2234" s="2161"/>
      <c r="BA2234" s="2161"/>
      <c r="BB2234" s="2161"/>
      <c r="BC2234" s="2161"/>
      <c r="BD2234" s="2161"/>
      <c r="BE2234" s="2161"/>
      <c r="BF2234" s="2161"/>
      <c r="BG2234" s="2161"/>
      <c r="BH2234" s="2161"/>
      <c r="BI2234" s="2161"/>
      <c r="BJ2234" s="2161"/>
      <c r="BK2234" s="2161"/>
      <c r="BL2234" s="2161"/>
      <c r="BM2234" s="2161"/>
      <c r="BN2234" s="2161"/>
      <c r="BO2234" s="2161"/>
      <c r="BP2234" s="2161"/>
      <c r="BQ2234" s="2161"/>
      <c r="BR2234" s="2161"/>
      <c r="BS2234" s="2161"/>
    </row>
    <row r="2235" spans="1:71" s="2131" customFormat="1" ht="60" customHeight="1">
      <c r="A2235" s="2267"/>
      <c r="B2235" s="2253"/>
      <c r="C2235" s="2164">
        <v>5</v>
      </c>
      <c r="D2235" s="2164" t="s">
        <v>34</v>
      </c>
      <c r="E2235" s="2164" t="s">
        <v>25</v>
      </c>
      <c r="F2235" s="2164" t="s">
        <v>45</v>
      </c>
      <c r="G2235" s="2164" t="s">
        <v>3667</v>
      </c>
      <c r="H2235" s="2254" t="s">
        <v>28</v>
      </c>
      <c r="I2235" s="2171" t="s">
        <v>3671</v>
      </c>
      <c r="J2235" s="2171" t="s">
        <v>3672</v>
      </c>
      <c r="K2235" s="2255">
        <v>6</v>
      </c>
      <c r="L2235" s="2268">
        <v>20003563</v>
      </c>
      <c r="M2235" s="2256">
        <v>24</v>
      </c>
      <c r="N2235" s="2257">
        <v>4122000</v>
      </c>
      <c r="O2235" s="2255">
        <v>0</v>
      </c>
      <c r="P2235" s="2258"/>
      <c r="Q2235" s="2257">
        <v>0</v>
      </c>
      <c r="R2235" s="2203"/>
      <c r="S2235" s="2257">
        <v>0</v>
      </c>
      <c r="T2235" s="2203"/>
      <c r="U2235" s="2255"/>
      <c r="V2235" s="2255"/>
      <c r="W2235" s="2255"/>
      <c r="X2235" s="2203"/>
      <c r="Y2235" s="2240">
        <f t="shared" si="648"/>
        <v>0</v>
      </c>
      <c r="Z2235" s="2203">
        <f t="shared" si="648"/>
        <v>0</v>
      </c>
      <c r="AA2235" s="2240">
        <f t="shared" si="649"/>
        <v>24</v>
      </c>
      <c r="AB2235" s="2203">
        <f t="shared" si="649"/>
        <v>4122000</v>
      </c>
      <c r="AC2235" s="2243">
        <f t="shared" si="650"/>
        <v>400</v>
      </c>
      <c r="AD2235" s="2243">
        <f t="shared" si="650"/>
        <v>20.606328982491771</v>
      </c>
      <c r="AE2235" s="2605"/>
      <c r="AF2235" s="2161"/>
      <c r="AG2235" s="2161"/>
      <c r="AH2235" s="2161"/>
      <c r="AI2235" s="2161"/>
      <c r="AJ2235" s="2161"/>
      <c r="AK2235" s="2161"/>
      <c r="AL2235" s="2161"/>
      <c r="AM2235" s="2161"/>
      <c r="AN2235" s="2161"/>
      <c r="AO2235" s="2161"/>
      <c r="AP2235" s="2161"/>
      <c r="AQ2235" s="2161"/>
      <c r="AR2235" s="2161"/>
      <c r="AS2235" s="2161"/>
      <c r="AT2235" s="2161"/>
      <c r="AU2235" s="2161"/>
      <c r="AV2235" s="2161"/>
      <c r="AW2235" s="2161"/>
      <c r="AX2235" s="2161"/>
      <c r="AY2235" s="2161"/>
      <c r="AZ2235" s="2161"/>
      <c r="BA2235" s="2161"/>
      <c r="BB2235" s="2161"/>
      <c r="BC2235" s="2161"/>
      <c r="BD2235" s="2161"/>
      <c r="BE2235" s="2161"/>
      <c r="BF2235" s="2161"/>
      <c r="BG2235" s="2161"/>
      <c r="BH2235" s="2161"/>
      <c r="BI2235" s="2161"/>
      <c r="BJ2235" s="2161"/>
      <c r="BK2235" s="2161"/>
      <c r="BL2235" s="2161"/>
      <c r="BM2235" s="2161"/>
      <c r="BN2235" s="2161"/>
      <c r="BO2235" s="2161"/>
      <c r="BP2235" s="2161"/>
      <c r="BQ2235" s="2161"/>
      <c r="BR2235" s="2161"/>
      <c r="BS2235" s="2161"/>
    </row>
    <row r="2236" spans="1:71" s="2131" customFormat="1" ht="81.75" customHeight="1">
      <c r="A2236" s="2267"/>
      <c r="B2236" s="2253"/>
      <c r="C2236" s="2164">
        <v>5</v>
      </c>
      <c r="D2236" s="2164" t="s">
        <v>34</v>
      </c>
      <c r="E2236" s="2164" t="s">
        <v>25</v>
      </c>
      <c r="F2236" s="2164" t="s">
        <v>45</v>
      </c>
      <c r="G2236" s="2164" t="s">
        <v>3667</v>
      </c>
      <c r="H2236" s="2254" t="s">
        <v>39</v>
      </c>
      <c r="I2236" s="2171" t="s">
        <v>3673</v>
      </c>
      <c r="J2236" s="2171" t="s">
        <v>3674</v>
      </c>
      <c r="K2236" s="2255">
        <v>6</v>
      </c>
      <c r="L2236" s="2203">
        <v>52402670</v>
      </c>
      <c r="M2236" s="2256">
        <v>3</v>
      </c>
      <c r="N2236" s="2257">
        <v>16375000</v>
      </c>
      <c r="O2236" s="2255">
        <v>0</v>
      </c>
      <c r="P2236" s="2258"/>
      <c r="Q2236" s="2256">
        <v>0</v>
      </c>
      <c r="R2236" s="2203"/>
      <c r="S2236" s="2256">
        <v>0</v>
      </c>
      <c r="T2236" s="2203"/>
      <c r="U2236" s="2255"/>
      <c r="V2236" s="2258"/>
      <c r="W2236" s="2255"/>
      <c r="X2236" s="2203"/>
      <c r="Y2236" s="2240">
        <f t="shared" si="648"/>
        <v>0</v>
      </c>
      <c r="Z2236" s="2203">
        <f t="shared" si="648"/>
        <v>0</v>
      </c>
      <c r="AA2236" s="2240">
        <f t="shared" si="649"/>
        <v>3</v>
      </c>
      <c r="AB2236" s="2203">
        <f t="shared" si="649"/>
        <v>16375000</v>
      </c>
      <c r="AC2236" s="2243">
        <f t="shared" si="650"/>
        <v>50</v>
      </c>
      <c r="AD2236" s="2243">
        <f t="shared" si="650"/>
        <v>31.248407762428897</v>
      </c>
      <c r="AE2236" s="2605"/>
      <c r="AF2236" s="2161"/>
      <c r="AG2236" s="2161"/>
      <c r="AH2236" s="2161"/>
      <c r="AI2236" s="2161"/>
      <c r="AJ2236" s="2161"/>
      <c r="AK2236" s="2161"/>
      <c r="AL2236" s="2161"/>
      <c r="AM2236" s="2161"/>
      <c r="AN2236" s="2161"/>
      <c r="AO2236" s="2161"/>
      <c r="AP2236" s="2161"/>
      <c r="AQ2236" s="2161"/>
      <c r="AR2236" s="2161"/>
      <c r="AS2236" s="2161"/>
      <c r="AT2236" s="2161"/>
      <c r="AU2236" s="2161"/>
      <c r="AV2236" s="2161"/>
      <c r="AW2236" s="2161"/>
      <c r="AX2236" s="2161"/>
      <c r="AY2236" s="2161"/>
      <c r="AZ2236" s="2161"/>
      <c r="BA2236" s="2161"/>
      <c r="BB2236" s="2161"/>
      <c r="BC2236" s="2161"/>
      <c r="BD2236" s="2161"/>
      <c r="BE2236" s="2161"/>
      <c r="BF2236" s="2161"/>
      <c r="BG2236" s="2161"/>
      <c r="BH2236" s="2161"/>
      <c r="BI2236" s="2161"/>
      <c r="BJ2236" s="2161"/>
      <c r="BK2236" s="2161"/>
      <c r="BL2236" s="2161"/>
      <c r="BM2236" s="2161"/>
      <c r="BN2236" s="2161"/>
      <c r="BO2236" s="2161"/>
      <c r="BP2236" s="2161"/>
      <c r="BQ2236" s="2161"/>
      <c r="BR2236" s="2161"/>
      <c r="BS2236" s="2161"/>
    </row>
    <row r="2237" spans="1:71" s="2131" customFormat="1" ht="60" customHeight="1">
      <c r="A2237" s="2267"/>
      <c r="B2237" s="2253"/>
      <c r="C2237" s="2164">
        <v>5</v>
      </c>
      <c r="D2237" s="2164" t="s">
        <v>34</v>
      </c>
      <c r="E2237" s="2164" t="s">
        <v>25</v>
      </c>
      <c r="F2237" s="2164" t="s">
        <v>45</v>
      </c>
      <c r="G2237" s="2164" t="s">
        <v>3667</v>
      </c>
      <c r="H2237" s="2254" t="s">
        <v>38</v>
      </c>
      <c r="I2237" s="2171" t="s">
        <v>3706</v>
      </c>
      <c r="J2237" s="2171" t="s">
        <v>3707</v>
      </c>
      <c r="K2237" s="2255">
        <v>6</v>
      </c>
      <c r="L2237" s="2203">
        <v>10000000</v>
      </c>
      <c r="M2237" s="2256">
        <v>3</v>
      </c>
      <c r="N2237" s="2257">
        <v>1225000</v>
      </c>
      <c r="O2237" s="2255">
        <v>0</v>
      </c>
      <c r="P2237" s="2258"/>
      <c r="Q2237" s="2256">
        <v>0</v>
      </c>
      <c r="R2237" s="2203"/>
      <c r="S2237" s="2256">
        <v>0</v>
      </c>
      <c r="T2237" s="2203"/>
      <c r="U2237" s="2255"/>
      <c r="V2237" s="2258"/>
      <c r="W2237" s="2255"/>
      <c r="X2237" s="2203"/>
      <c r="Y2237" s="2240">
        <f t="shared" si="648"/>
        <v>0</v>
      </c>
      <c r="Z2237" s="2203">
        <f t="shared" si="648"/>
        <v>0</v>
      </c>
      <c r="AA2237" s="2240">
        <f t="shared" si="649"/>
        <v>3</v>
      </c>
      <c r="AB2237" s="2203">
        <f t="shared" si="649"/>
        <v>1225000</v>
      </c>
      <c r="AC2237" s="2243">
        <f t="shared" si="650"/>
        <v>50</v>
      </c>
      <c r="AD2237" s="2243">
        <f t="shared" si="650"/>
        <v>12.25</v>
      </c>
      <c r="AE2237" s="2605"/>
      <c r="AF2237" s="2161"/>
      <c r="AG2237" s="2161"/>
      <c r="AH2237" s="2161"/>
      <c r="AI2237" s="2161"/>
      <c r="AJ2237" s="2161"/>
      <c r="AK2237" s="2161"/>
      <c r="AL2237" s="2161"/>
      <c r="AM2237" s="2161"/>
      <c r="AN2237" s="2161"/>
      <c r="AO2237" s="2161"/>
      <c r="AP2237" s="2161"/>
      <c r="AQ2237" s="2161"/>
      <c r="AR2237" s="2161"/>
      <c r="AS2237" s="2161"/>
      <c r="AT2237" s="2161"/>
      <c r="AU2237" s="2161"/>
      <c r="AV2237" s="2161"/>
      <c r="AW2237" s="2161"/>
      <c r="AX2237" s="2161"/>
      <c r="AY2237" s="2161"/>
      <c r="AZ2237" s="2161"/>
      <c r="BA2237" s="2161"/>
      <c r="BB2237" s="2161"/>
      <c r="BC2237" s="2161"/>
      <c r="BD2237" s="2161"/>
      <c r="BE2237" s="2161"/>
      <c r="BF2237" s="2161"/>
      <c r="BG2237" s="2161"/>
      <c r="BH2237" s="2161"/>
      <c r="BI2237" s="2161"/>
      <c r="BJ2237" s="2161"/>
      <c r="BK2237" s="2161"/>
      <c r="BL2237" s="2161"/>
      <c r="BM2237" s="2161"/>
      <c r="BN2237" s="2161"/>
      <c r="BO2237" s="2161"/>
      <c r="BP2237" s="2161"/>
      <c r="BQ2237" s="2161"/>
      <c r="BR2237" s="2161"/>
      <c r="BS2237" s="2161"/>
    </row>
    <row r="2238" spans="1:71" s="2131" customFormat="1" ht="60" customHeight="1">
      <c r="A2238" s="2267"/>
      <c r="B2238" s="2253"/>
      <c r="C2238" s="2164">
        <v>5</v>
      </c>
      <c r="D2238" s="2164" t="s">
        <v>34</v>
      </c>
      <c r="E2238" s="2164" t="s">
        <v>25</v>
      </c>
      <c r="F2238" s="2164" t="s">
        <v>45</v>
      </c>
      <c r="G2238" s="2164" t="s">
        <v>3667</v>
      </c>
      <c r="H2238" s="2254" t="s">
        <v>56</v>
      </c>
      <c r="I2238" s="2171" t="s">
        <v>3708</v>
      </c>
      <c r="J2238" s="2171" t="s">
        <v>3709</v>
      </c>
      <c r="K2238" s="2255">
        <v>6</v>
      </c>
      <c r="L2238" s="2203">
        <v>50000000</v>
      </c>
      <c r="M2238" s="2256">
        <v>2</v>
      </c>
      <c r="N2238" s="2257">
        <v>4506000</v>
      </c>
      <c r="O2238" s="2255">
        <v>0</v>
      </c>
      <c r="P2238" s="2258"/>
      <c r="Q2238" s="2256">
        <v>0</v>
      </c>
      <c r="R2238" s="2203"/>
      <c r="S2238" s="2256">
        <v>0</v>
      </c>
      <c r="T2238" s="2203"/>
      <c r="U2238" s="2255"/>
      <c r="V2238" s="2258"/>
      <c r="W2238" s="2255"/>
      <c r="X2238" s="2203"/>
      <c r="Y2238" s="2240">
        <f t="shared" si="648"/>
        <v>0</v>
      </c>
      <c r="Z2238" s="2203">
        <f t="shared" si="648"/>
        <v>0</v>
      </c>
      <c r="AA2238" s="2240">
        <f t="shared" si="649"/>
        <v>2</v>
      </c>
      <c r="AB2238" s="2203">
        <f t="shared" si="649"/>
        <v>4506000</v>
      </c>
      <c r="AC2238" s="2243">
        <f t="shared" si="650"/>
        <v>33.333333333333329</v>
      </c>
      <c r="AD2238" s="2243">
        <f t="shared" si="650"/>
        <v>9.0120000000000005</v>
      </c>
      <c r="AE2238" s="2605"/>
      <c r="AF2238" s="2161"/>
      <c r="AG2238" s="2161"/>
      <c r="AH2238" s="2161"/>
      <c r="AI2238" s="2161"/>
      <c r="AJ2238" s="2161"/>
      <c r="AK2238" s="2161"/>
      <c r="AL2238" s="2161"/>
      <c r="AM2238" s="2161"/>
      <c r="AN2238" s="2161"/>
      <c r="AO2238" s="2161"/>
      <c r="AP2238" s="2161"/>
      <c r="AQ2238" s="2161"/>
      <c r="AR2238" s="2161"/>
      <c r="AS2238" s="2161"/>
      <c r="AT2238" s="2161"/>
      <c r="AU2238" s="2161"/>
      <c r="AV2238" s="2161"/>
      <c r="AW2238" s="2161"/>
      <c r="AX2238" s="2161"/>
      <c r="AY2238" s="2161"/>
      <c r="AZ2238" s="2161"/>
      <c r="BA2238" s="2161"/>
      <c r="BB2238" s="2161"/>
      <c r="BC2238" s="2161"/>
      <c r="BD2238" s="2161"/>
      <c r="BE2238" s="2161"/>
      <c r="BF2238" s="2161"/>
      <c r="BG2238" s="2161"/>
      <c r="BH2238" s="2161"/>
      <c r="BI2238" s="2161"/>
      <c r="BJ2238" s="2161"/>
      <c r="BK2238" s="2161"/>
      <c r="BL2238" s="2161"/>
      <c r="BM2238" s="2161"/>
      <c r="BN2238" s="2161"/>
      <c r="BO2238" s="2161"/>
      <c r="BP2238" s="2161"/>
      <c r="BQ2238" s="2161"/>
      <c r="BR2238" s="2161"/>
      <c r="BS2238" s="2161"/>
    </row>
    <row r="2239" spans="1:71" s="2131" customFormat="1" ht="47.25" customHeight="1">
      <c r="A2239" s="2140" t="s">
        <v>19</v>
      </c>
      <c r="B2239" s="2194"/>
      <c r="C2239" s="2142">
        <v>5</v>
      </c>
      <c r="D2239" s="2142" t="s">
        <v>34</v>
      </c>
      <c r="E2239" s="2142" t="s">
        <v>25</v>
      </c>
      <c r="F2239" s="2142" t="s">
        <v>45</v>
      </c>
      <c r="G2239" s="2142" t="s">
        <v>104</v>
      </c>
      <c r="H2239" s="2140"/>
      <c r="I2239" s="2143" t="s">
        <v>3710</v>
      </c>
      <c r="J2239" s="2143" t="s">
        <v>3711</v>
      </c>
      <c r="K2239" s="2144">
        <v>95</v>
      </c>
      <c r="L2239" s="2145">
        <f>SUM(L2240)</f>
        <v>60000000</v>
      </c>
      <c r="M2239" s="2144">
        <v>85</v>
      </c>
      <c r="N2239" s="2145">
        <f>SUM(N2240)</f>
        <v>10721000</v>
      </c>
      <c r="O2239" s="2144">
        <v>0</v>
      </c>
      <c r="P2239" s="2145">
        <f>SUM(P2240)</f>
        <v>0</v>
      </c>
      <c r="Q2239" s="2144">
        <v>0</v>
      </c>
      <c r="R2239" s="2145">
        <f>SUM(R2240)</f>
        <v>0</v>
      </c>
      <c r="S2239" s="2144">
        <v>0</v>
      </c>
      <c r="T2239" s="2145">
        <f>SUM(T2240)</f>
        <v>0</v>
      </c>
      <c r="U2239" s="2195"/>
      <c r="V2239" s="2146">
        <f>SUM(V2240)</f>
        <v>0</v>
      </c>
      <c r="W2239" s="2144"/>
      <c r="X2239" s="2146">
        <f>SUM(X2240)</f>
        <v>0</v>
      </c>
      <c r="Y2239" s="2195">
        <f t="shared" si="648"/>
        <v>0</v>
      </c>
      <c r="Z2239" s="2145">
        <f t="shared" si="648"/>
        <v>0</v>
      </c>
      <c r="AA2239" s="2147">
        <f t="shared" si="649"/>
        <v>85</v>
      </c>
      <c r="AB2239" s="2145">
        <f t="shared" si="649"/>
        <v>10721000</v>
      </c>
      <c r="AC2239" s="2147">
        <f t="shared" si="650"/>
        <v>89.473684210526315</v>
      </c>
      <c r="AD2239" s="2147">
        <f t="shared" si="650"/>
        <v>17.868333333333332</v>
      </c>
      <c r="AE2239" s="2204" t="s">
        <v>3683</v>
      </c>
      <c r="AF2239" s="2270"/>
      <c r="AG2239" s="2270"/>
      <c r="AH2239" s="2270"/>
      <c r="AI2239" s="2270"/>
      <c r="AJ2239" s="2270"/>
      <c r="AK2239" s="2270"/>
      <c r="AL2239" s="2270"/>
      <c r="AM2239" s="2270"/>
      <c r="AN2239" s="2270"/>
      <c r="AO2239" s="2270"/>
      <c r="AP2239" s="2270"/>
      <c r="AQ2239" s="2270"/>
      <c r="AR2239" s="2270"/>
      <c r="AS2239" s="2270"/>
      <c r="AT2239" s="2270"/>
      <c r="AU2239" s="2270"/>
      <c r="AV2239" s="2270"/>
      <c r="AW2239" s="2270"/>
      <c r="AX2239" s="2270"/>
      <c r="AY2239" s="2270"/>
      <c r="AZ2239" s="2270"/>
      <c r="BA2239" s="2270"/>
      <c r="BB2239" s="2270"/>
      <c r="BC2239" s="2270"/>
      <c r="BD2239" s="2270"/>
      <c r="BE2239" s="2270"/>
      <c r="BF2239" s="2270"/>
      <c r="BG2239" s="2270"/>
      <c r="BH2239" s="2270"/>
      <c r="BI2239" s="2270"/>
      <c r="BJ2239" s="2270"/>
      <c r="BK2239" s="2270"/>
      <c r="BL2239" s="2270"/>
      <c r="BM2239" s="2270"/>
      <c r="BN2239" s="2270"/>
      <c r="BO2239" s="2270"/>
      <c r="BP2239" s="2270"/>
      <c r="BQ2239" s="2270"/>
      <c r="BR2239" s="2270"/>
      <c r="BS2239" s="2270"/>
    </row>
    <row r="2240" spans="1:71" s="2131" customFormat="1" ht="51">
      <c r="A2240" s="2379"/>
      <c r="B2240" s="2162"/>
      <c r="C2240" s="2164">
        <v>5</v>
      </c>
      <c r="D2240" s="2164" t="s">
        <v>34</v>
      </c>
      <c r="E2240" s="2164" t="s">
        <v>25</v>
      </c>
      <c r="F2240" s="2164" t="s">
        <v>45</v>
      </c>
      <c r="G2240" s="2164" t="s">
        <v>47</v>
      </c>
      <c r="H2240" s="2151" t="s">
        <v>28</v>
      </c>
      <c r="I2240" s="2162" t="s">
        <v>240</v>
      </c>
      <c r="J2240" s="2162" t="s">
        <v>3712</v>
      </c>
      <c r="K2240" s="2166">
        <v>72</v>
      </c>
      <c r="L2240" s="2167">
        <v>60000000</v>
      </c>
      <c r="M2240" s="2166">
        <v>36</v>
      </c>
      <c r="N2240" s="2167">
        <v>10721000</v>
      </c>
      <c r="O2240" s="2166">
        <v>0</v>
      </c>
      <c r="P2240" s="2167"/>
      <c r="Q2240" s="2166">
        <v>0</v>
      </c>
      <c r="R2240" s="2167"/>
      <c r="S2240" s="2166">
        <v>0</v>
      </c>
      <c r="T2240" s="2167"/>
      <c r="U2240" s="2166"/>
      <c r="V2240" s="2202"/>
      <c r="W2240" s="2166"/>
      <c r="X2240" s="2202"/>
      <c r="Y2240" s="2166">
        <f t="shared" si="648"/>
        <v>0</v>
      </c>
      <c r="Z2240" s="2203">
        <f t="shared" si="648"/>
        <v>0</v>
      </c>
      <c r="AA2240" s="2166">
        <f t="shared" si="649"/>
        <v>36</v>
      </c>
      <c r="AB2240" s="2203">
        <f t="shared" si="649"/>
        <v>10721000</v>
      </c>
      <c r="AC2240" s="2170">
        <f t="shared" si="650"/>
        <v>50</v>
      </c>
      <c r="AD2240" s="2170">
        <f t="shared" si="650"/>
        <v>17.868333333333332</v>
      </c>
      <c r="AE2240" s="2379"/>
      <c r="AF2240" s="2161"/>
      <c r="AG2240" s="2161"/>
      <c r="AH2240" s="2161"/>
      <c r="AI2240" s="2161"/>
      <c r="AJ2240" s="2161"/>
      <c r="AK2240" s="2161"/>
      <c r="AL2240" s="2161"/>
      <c r="AM2240" s="2161"/>
      <c r="AN2240" s="2161"/>
      <c r="AO2240" s="2161"/>
      <c r="AP2240" s="2161"/>
      <c r="AQ2240" s="2161"/>
      <c r="AR2240" s="2161"/>
      <c r="AS2240" s="2161"/>
      <c r="AT2240" s="2161"/>
      <c r="AU2240" s="2161"/>
      <c r="AV2240" s="2161"/>
      <c r="AW2240" s="2161"/>
      <c r="AX2240" s="2161"/>
      <c r="AY2240" s="2161"/>
      <c r="AZ2240" s="2161"/>
      <c r="BA2240" s="2161"/>
      <c r="BB2240" s="2161"/>
      <c r="BC2240" s="2161"/>
      <c r="BD2240" s="2161"/>
      <c r="BE2240" s="2161"/>
      <c r="BF2240" s="2161"/>
      <c r="BG2240" s="2161"/>
      <c r="BH2240" s="2161"/>
      <c r="BI2240" s="2161"/>
      <c r="BJ2240" s="2161"/>
      <c r="BK2240" s="2161"/>
      <c r="BL2240" s="2161"/>
      <c r="BM2240" s="2161"/>
      <c r="BN2240" s="2161"/>
      <c r="BO2240" s="2161"/>
      <c r="BP2240" s="2161"/>
      <c r="BQ2240" s="2161"/>
      <c r="BR2240" s="2161"/>
      <c r="BS2240" s="2161"/>
    </row>
    <row r="2241" spans="1:71" s="2131" customFormat="1" ht="63.75">
      <c r="A2241" s="2140" t="s">
        <v>3589</v>
      </c>
      <c r="B2241" s="2194"/>
      <c r="C2241" s="2142">
        <v>5</v>
      </c>
      <c r="D2241" s="2142" t="s">
        <v>34</v>
      </c>
      <c r="E2241" s="2142" t="s">
        <v>25</v>
      </c>
      <c r="F2241" s="2142" t="s">
        <v>45</v>
      </c>
      <c r="G2241" s="2142" t="s">
        <v>3613</v>
      </c>
      <c r="H2241" s="2140"/>
      <c r="I2241" s="2143" t="s">
        <v>3614</v>
      </c>
      <c r="J2241" s="2143" t="s">
        <v>3615</v>
      </c>
      <c r="K2241" s="2144">
        <v>100</v>
      </c>
      <c r="L2241" s="2145">
        <f>SUM(L2242:L2243)</f>
        <v>100000000</v>
      </c>
      <c r="M2241" s="2144">
        <v>70</v>
      </c>
      <c r="N2241" s="2145">
        <f>SUM(N2242:N2243)</f>
        <v>19500000</v>
      </c>
      <c r="O2241" s="2144">
        <v>20</v>
      </c>
      <c r="P2241" s="2145">
        <f>SUM(P2242:P2243)</f>
        <v>16340000</v>
      </c>
      <c r="Q2241" s="2144">
        <v>0</v>
      </c>
      <c r="R2241" s="2145">
        <f>SUM(R2242:R2243)</f>
        <v>0</v>
      </c>
      <c r="S2241" s="2144">
        <v>0</v>
      </c>
      <c r="T2241" s="2145">
        <f>SUM(T2242:T2243)</f>
        <v>0</v>
      </c>
      <c r="U2241" s="2144"/>
      <c r="V2241" s="2146">
        <f>SUM(V2242:V2243)</f>
        <v>0</v>
      </c>
      <c r="W2241" s="2144"/>
      <c r="X2241" s="2144">
        <f>SUM(X2242:X2243)</f>
        <v>0</v>
      </c>
      <c r="Y2241" s="2195">
        <f t="shared" si="648"/>
        <v>0</v>
      </c>
      <c r="Z2241" s="2145">
        <f t="shared" si="648"/>
        <v>0</v>
      </c>
      <c r="AA2241" s="2147">
        <f t="shared" si="649"/>
        <v>70</v>
      </c>
      <c r="AB2241" s="2145">
        <f t="shared" si="649"/>
        <v>19500000</v>
      </c>
      <c r="AC2241" s="2147">
        <f t="shared" si="650"/>
        <v>70</v>
      </c>
      <c r="AD2241" s="2147">
        <f t="shared" si="650"/>
        <v>19.5</v>
      </c>
      <c r="AE2241" s="2204" t="s">
        <v>3683</v>
      </c>
      <c r="AF2241" s="2270"/>
      <c r="AG2241" s="2270"/>
      <c r="AH2241" s="2270"/>
      <c r="AI2241" s="2270"/>
      <c r="AJ2241" s="2270"/>
      <c r="AK2241" s="2270"/>
      <c r="AL2241" s="2270"/>
      <c r="AM2241" s="2270"/>
      <c r="AN2241" s="2270"/>
      <c r="AO2241" s="2270"/>
      <c r="AP2241" s="2270"/>
      <c r="AQ2241" s="2270"/>
      <c r="AR2241" s="2270"/>
      <c r="AS2241" s="2270"/>
      <c r="AT2241" s="2270"/>
      <c r="AU2241" s="2270"/>
      <c r="AV2241" s="2270"/>
      <c r="AW2241" s="2270"/>
      <c r="AX2241" s="2270"/>
      <c r="AY2241" s="2270"/>
      <c r="AZ2241" s="2270"/>
      <c r="BA2241" s="2270"/>
      <c r="BB2241" s="2270"/>
      <c r="BC2241" s="2270"/>
      <c r="BD2241" s="2270"/>
      <c r="BE2241" s="2270"/>
      <c r="BF2241" s="2270"/>
      <c r="BG2241" s="2270"/>
      <c r="BH2241" s="2270"/>
      <c r="BI2241" s="2270"/>
      <c r="BJ2241" s="2270"/>
      <c r="BK2241" s="2270"/>
      <c r="BL2241" s="2270"/>
      <c r="BM2241" s="2270"/>
      <c r="BN2241" s="2270"/>
      <c r="BO2241" s="2270"/>
      <c r="BP2241" s="2270"/>
      <c r="BQ2241" s="2270"/>
      <c r="BR2241" s="2270"/>
      <c r="BS2241" s="2270"/>
    </row>
    <row r="2242" spans="1:71" s="2131" customFormat="1" ht="51">
      <c r="A2242" s="2379"/>
      <c r="B2242" s="2162"/>
      <c r="C2242" s="2164">
        <v>5</v>
      </c>
      <c r="D2242" s="2164" t="s">
        <v>34</v>
      </c>
      <c r="E2242" s="2164" t="s">
        <v>25</v>
      </c>
      <c r="F2242" s="2164" t="s">
        <v>45</v>
      </c>
      <c r="G2242" s="2164" t="s">
        <v>47</v>
      </c>
      <c r="H2242" s="2151" t="s">
        <v>78</v>
      </c>
      <c r="I2242" s="2271" t="s">
        <v>3616</v>
      </c>
      <c r="J2242" s="2271" t="s">
        <v>3713</v>
      </c>
      <c r="K2242" s="2240">
        <v>12</v>
      </c>
      <c r="L2242" s="2241">
        <v>50000000</v>
      </c>
      <c r="M2242" s="2240">
        <v>7</v>
      </c>
      <c r="N2242" s="2241">
        <v>19500000</v>
      </c>
      <c r="O2242" s="2240">
        <v>0</v>
      </c>
      <c r="P2242" s="2241">
        <v>0</v>
      </c>
      <c r="Q2242" s="2240">
        <v>0</v>
      </c>
      <c r="R2242" s="2203"/>
      <c r="S2242" s="2240">
        <v>0</v>
      </c>
      <c r="T2242" s="2203"/>
      <c r="U2242" s="2240"/>
      <c r="V2242" s="2258"/>
      <c r="W2242" s="2240"/>
      <c r="X2242" s="2242"/>
      <c r="Y2242" s="2166">
        <f t="shared" ref="Y2242:Z2243" si="654">Q2242+S2242+U2242+W2242</f>
        <v>0</v>
      </c>
      <c r="Z2242" s="2203">
        <f t="shared" si="654"/>
        <v>0</v>
      </c>
      <c r="AA2242" s="2166">
        <f t="shared" ref="AA2242:AB2243" si="655">M2242+Y2242</f>
        <v>7</v>
      </c>
      <c r="AB2242" s="2203">
        <f t="shared" si="655"/>
        <v>19500000</v>
      </c>
      <c r="AC2242" s="2170">
        <f t="shared" ref="AC2242:AD2243" si="656">(AA2242/K2242)*100</f>
        <v>58.333333333333336</v>
      </c>
      <c r="AD2242" s="2170">
        <f t="shared" si="656"/>
        <v>39</v>
      </c>
      <c r="AE2242" s="2409"/>
      <c r="AF2242" s="2161"/>
      <c r="AG2242" s="2161"/>
      <c r="AH2242" s="2161"/>
      <c r="AI2242" s="2161"/>
      <c r="AJ2242" s="2161"/>
      <c r="AK2242" s="2161"/>
      <c r="AL2242" s="2161"/>
      <c r="AM2242" s="2161"/>
      <c r="AN2242" s="2161"/>
      <c r="AO2242" s="2161"/>
      <c r="AP2242" s="2161"/>
      <c r="AQ2242" s="2161"/>
      <c r="AR2242" s="2161"/>
      <c r="AS2242" s="2161"/>
      <c r="AT2242" s="2161"/>
      <c r="AU2242" s="2161"/>
      <c r="AV2242" s="2161"/>
      <c r="AW2242" s="2161"/>
      <c r="AX2242" s="2161"/>
      <c r="AY2242" s="2161"/>
      <c r="AZ2242" s="2161"/>
      <c r="BA2242" s="2161"/>
      <c r="BB2242" s="2161"/>
      <c r="BC2242" s="2161"/>
      <c r="BD2242" s="2161"/>
      <c r="BE2242" s="2161"/>
      <c r="BF2242" s="2161"/>
      <c r="BG2242" s="2161"/>
      <c r="BH2242" s="2161"/>
      <c r="BI2242" s="2161"/>
      <c r="BJ2242" s="2161"/>
      <c r="BK2242" s="2161"/>
      <c r="BL2242" s="2161"/>
      <c r="BM2242" s="2161"/>
      <c r="BN2242" s="2161"/>
      <c r="BO2242" s="2161"/>
      <c r="BP2242" s="2161"/>
      <c r="BQ2242" s="2161"/>
      <c r="BR2242" s="2161"/>
      <c r="BS2242" s="2161"/>
    </row>
    <row r="2243" spans="1:71" s="2131" customFormat="1" ht="38.25">
      <c r="A2243" s="2379"/>
      <c r="B2243" s="2162"/>
      <c r="C2243" s="2164">
        <v>5</v>
      </c>
      <c r="D2243" s="2164" t="s">
        <v>34</v>
      </c>
      <c r="E2243" s="2164" t="s">
        <v>25</v>
      </c>
      <c r="F2243" s="2164" t="s">
        <v>45</v>
      </c>
      <c r="G2243" s="2164" t="s">
        <v>47</v>
      </c>
      <c r="H2243" s="2151" t="s">
        <v>29</v>
      </c>
      <c r="I2243" s="2271" t="s">
        <v>3714</v>
      </c>
      <c r="J2243" s="2271" t="s">
        <v>3715</v>
      </c>
      <c r="K2243" s="2240">
        <v>12</v>
      </c>
      <c r="L2243" s="2241">
        <v>50000000</v>
      </c>
      <c r="M2243" s="2240">
        <v>0</v>
      </c>
      <c r="N2243" s="2241">
        <v>0</v>
      </c>
      <c r="O2243" s="2240">
        <v>4</v>
      </c>
      <c r="P2243" s="2241">
        <v>16340000</v>
      </c>
      <c r="Q2243" s="2240">
        <v>0</v>
      </c>
      <c r="R2243" s="2203"/>
      <c r="S2243" s="2240">
        <v>0</v>
      </c>
      <c r="T2243" s="2203"/>
      <c r="U2243" s="2240"/>
      <c r="V2243" s="2258"/>
      <c r="W2243" s="2240"/>
      <c r="X2243" s="2242"/>
      <c r="Y2243" s="2166">
        <f t="shared" si="654"/>
        <v>0</v>
      </c>
      <c r="Z2243" s="2203">
        <f t="shared" si="654"/>
        <v>0</v>
      </c>
      <c r="AA2243" s="2166">
        <f t="shared" si="655"/>
        <v>0</v>
      </c>
      <c r="AB2243" s="2203">
        <f t="shared" si="655"/>
        <v>0</v>
      </c>
      <c r="AC2243" s="2170">
        <f t="shared" si="656"/>
        <v>0</v>
      </c>
      <c r="AD2243" s="2170">
        <f t="shared" si="656"/>
        <v>0</v>
      </c>
      <c r="AE2243" s="2409"/>
      <c r="AF2243" s="2161"/>
      <c r="AG2243" s="2161"/>
      <c r="AH2243" s="2161"/>
      <c r="AI2243" s="2161"/>
      <c r="AJ2243" s="2161"/>
      <c r="AK2243" s="2161"/>
      <c r="AL2243" s="2161"/>
      <c r="AM2243" s="2161"/>
      <c r="AN2243" s="2161"/>
      <c r="AO2243" s="2161"/>
      <c r="AP2243" s="2161"/>
      <c r="AQ2243" s="2161"/>
      <c r="AR2243" s="2161"/>
      <c r="AS2243" s="2161"/>
      <c r="AT2243" s="2161"/>
      <c r="AU2243" s="2161"/>
      <c r="AV2243" s="2161"/>
      <c r="AW2243" s="2161"/>
      <c r="AX2243" s="2161"/>
      <c r="AY2243" s="2161"/>
      <c r="AZ2243" s="2161"/>
      <c r="BA2243" s="2161"/>
      <c r="BB2243" s="2161"/>
      <c r="BC2243" s="2161"/>
      <c r="BD2243" s="2161"/>
      <c r="BE2243" s="2161"/>
      <c r="BF2243" s="2161"/>
      <c r="BG2243" s="2161"/>
      <c r="BH2243" s="2161"/>
      <c r="BI2243" s="2161"/>
      <c r="BJ2243" s="2161"/>
      <c r="BK2243" s="2161"/>
      <c r="BL2243" s="2161"/>
      <c r="BM2243" s="2161"/>
      <c r="BN2243" s="2161"/>
      <c r="BO2243" s="2161"/>
      <c r="BP2243" s="2161"/>
      <c r="BQ2243" s="2161"/>
      <c r="BR2243" s="2161"/>
      <c r="BS2243" s="2161"/>
    </row>
    <row r="2244" spans="1:71" s="2131" customFormat="1" ht="20.100000000000001" customHeight="1">
      <c r="A2244" s="2705" t="s">
        <v>63</v>
      </c>
      <c r="B2244" s="2705"/>
      <c r="C2244" s="2706"/>
      <c r="D2244" s="2706"/>
      <c r="E2244" s="2706"/>
      <c r="F2244" s="2706"/>
      <c r="G2244" s="2706"/>
      <c r="H2244" s="2706"/>
      <c r="I2244" s="2706"/>
      <c r="J2244" s="2706"/>
      <c r="K2244" s="2706"/>
      <c r="L2244" s="2706"/>
      <c r="M2244" s="2706"/>
      <c r="N2244" s="2706"/>
      <c r="O2244" s="2706"/>
      <c r="P2244" s="2706"/>
      <c r="Q2244" s="2706"/>
      <c r="R2244" s="2706"/>
      <c r="S2244" s="2706"/>
      <c r="T2244" s="2706"/>
      <c r="U2244" s="2706"/>
      <c r="V2244" s="2706"/>
      <c r="W2244" s="2706"/>
      <c r="X2244" s="2706"/>
      <c r="Y2244" s="2706"/>
      <c r="Z2244" s="2706"/>
      <c r="AA2244" s="2706"/>
      <c r="AB2244" s="2706"/>
      <c r="AC2244" s="2249">
        <f>(AC2200+AC2213+AC2218+AC2220+AC2222+AC2225+AC2227+AC2229+AC2231+AC2233+AC2239+AC2241)/12</f>
        <v>65.824979114452802</v>
      </c>
      <c r="AD2244" s="2249">
        <f>(AD2200+AD2213+AD2218+AD2220+AD2222+AD2225+AD2227+AD2229+AD2231+AD2233+AD2239+AD2241)/12</f>
        <v>25.89439539315514</v>
      </c>
      <c r="AE2244" s="2152"/>
    </row>
    <row r="2245" spans="1:71" s="2131" customFormat="1" ht="20.100000000000001" customHeight="1">
      <c r="A2245" s="2705" t="s">
        <v>64</v>
      </c>
      <c r="B2245" s="2705"/>
      <c r="C2245" s="2706"/>
      <c r="D2245" s="2706"/>
      <c r="E2245" s="2706"/>
      <c r="F2245" s="2706"/>
      <c r="G2245" s="2706"/>
      <c r="H2245" s="2706"/>
      <c r="I2245" s="2706"/>
      <c r="J2245" s="2706"/>
      <c r="K2245" s="2706"/>
      <c r="L2245" s="2706"/>
      <c r="M2245" s="2706"/>
      <c r="N2245" s="2706"/>
      <c r="O2245" s="2706"/>
      <c r="P2245" s="2706"/>
      <c r="Q2245" s="2706"/>
      <c r="R2245" s="2706"/>
      <c r="S2245" s="2706"/>
      <c r="T2245" s="2706"/>
      <c r="U2245" s="2706"/>
      <c r="V2245" s="2706"/>
      <c r="W2245" s="2706"/>
      <c r="X2245" s="2706"/>
      <c r="Y2245" s="2706"/>
      <c r="Z2245" s="2706"/>
      <c r="AA2245" s="2706"/>
      <c r="AB2245" s="2706"/>
      <c r="AC2245" s="2250" t="str">
        <f>IF(AC2244&gt;=91,"ST",IF(AC2244&gt;=76,"T",IF(AC2244&gt;=66,"S",IF(AC2244&gt;=51,"R","SR"))))</f>
        <v>R</v>
      </c>
      <c r="AD2245" s="2250" t="str">
        <f>IF(AD2244&gt;=91,"ST",IF(AD2244&gt;=76,"T",IF(AD2244&gt;=66,"S",IF(AD2244&gt;=51,"R","SR"))))</f>
        <v>SR</v>
      </c>
      <c r="AE2245" s="2152"/>
    </row>
    <row r="2246" spans="1:71" s="2131" customFormat="1" ht="27.95" customHeight="1">
      <c r="A2246" s="2132" t="s">
        <v>16</v>
      </c>
      <c r="B2246" s="2133"/>
      <c r="C2246" s="2132"/>
      <c r="D2246" s="2132"/>
      <c r="E2246" s="2132"/>
      <c r="F2246" s="2132"/>
      <c r="G2246" s="2132"/>
      <c r="H2246" s="2132"/>
      <c r="I2246" s="2272" t="s">
        <v>3716</v>
      </c>
      <c r="J2246" s="2272"/>
      <c r="K2246" s="2134"/>
      <c r="L2246" s="2135">
        <f>L2247+L2258+L2263+L2266+L2268+L2270+L2272+L2274+L2276+L2279+L2284+L2290+L2292+L2294</f>
        <v>3052652112</v>
      </c>
      <c r="M2246" s="2134"/>
      <c r="N2246" s="2136">
        <f>N2247+N2258+N2263+N2266+N2268+N2270+N2272+N2274+N2276+N2279+N2284+N2290+N2292+N2294</f>
        <v>1397721100</v>
      </c>
      <c r="O2246" s="2134"/>
      <c r="P2246" s="2136">
        <f>P2247+P2258+P2263+P2266+P2268+P2270+P2272+P2274+P2276+P2279+P2284+P2290+P2292+P2294</f>
        <v>568593604</v>
      </c>
      <c r="Q2246" s="2134"/>
      <c r="R2246" s="2136">
        <f>R2247+R2258+R2263+R2266+R2268+R2270+R2272+R2274+R2276+R2279+R2284+R2290+R2292+R2294</f>
        <v>70029940</v>
      </c>
      <c r="S2246" s="2134"/>
      <c r="T2246" s="2136">
        <f>T2247+T2258+T2263+T2266+T2268+T2270+T2272+T2274+T2276+T2279+T2284+T2290+T2292+T2294</f>
        <v>60029940</v>
      </c>
      <c r="U2246" s="2134"/>
      <c r="V2246" s="2136">
        <f>V2247+V2258+V2263+V2266+V2268+V2270+V2272+V2274+V2276+V2279+V2284+V2290+V2292+V2294</f>
        <v>0</v>
      </c>
      <c r="W2246" s="2134"/>
      <c r="X2246" s="2136">
        <f>X2247+X2258+X2263+X2266+X2268+X2270+X2272+X2274+X2276+X2279+X2284+X2290+X2292+X2294</f>
        <v>0</v>
      </c>
      <c r="Y2246" s="2134"/>
      <c r="Z2246" s="2136">
        <v>562300200</v>
      </c>
      <c r="AA2246" s="2134"/>
      <c r="AB2246" s="2136">
        <v>1343758100</v>
      </c>
      <c r="AC2246" s="2134"/>
      <c r="AD2246" s="2134"/>
      <c r="AE2246" s="2137"/>
      <c r="AF2246" s="2138"/>
      <c r="AG2246" s="2138"/>
      <c r="AH2246" s="2138"/>
      <c r="AI2246" s="2138"/>
      <c r="AJ2246" s="2138"/>
      <c r="AK2246" s="2138"/>
      <c r="AL2246" s="2138"/>
      <c r="AM2246" s="2138"/>
      <c r="AN2246" s="2138"/>
      <c r="AO2246" s="2138"/>
      <c r="AP2246" s="2138"/>
      <c r="AQ2246" s="2138"/>
      <c r="AR2246" s="2138"/>
      <c r="AS2246" s="2138"/>
      <c r="AT2246" s="2138"/>
      <c r="AU2246" s="2138"/>
      <c r="AV2246" s="2138"/>
      <c r="AW2246" s="2138"/>
      <c r="AX2246" s="2138"/>
      <c r="AY2246" s="2138"/>
      <c r="AZ2246" s="2138"/>
      <c r="BA2246" s="2138"/>
      <c r="BB2246" s="2138"/>
      <c r="BC2246" s="2138"/>
      <c r="BD2246" s="2138"/>
      <c r="BE2246" s="2138"/>
      <c r="BF2246" s="2138"/>
      <c r="BG2246" s="2138"/>
      <c r="BH2246" s="2138"/>
      <c r="BI2246" s="2138"/>
      <c r="BJ2246" s="2138"/>
      <c r="BK2246" s="2138"/>
      <c r="BL2246" s="2138"/>
      <c r="BM2246" s="2138"/>
      <c r="BN2246" s="2138"/>
      <c r="BO2246" s="2138"/>
      <c r="BP2246" s="2138"/>
      <c r="BQ2246" s="2138"/>
      <c r="BR2246" s="2138"/>
      <c r="BS2246" s="2138"/>
    </row>
    <row r="2247" spans="1:71" s="2131" customFormat="1" ht="63.75">
      <c r="A2247" s="2140" t="s">
        <v>113</v>
      </c>
      <c r="B2247" s="2194"/>
      <c r="C2247" s="2142">
        <v>5</v>
      </c>
      <c r="D2247" s="2142" t="s">
        <v>34</v>
      </c>
      <c r="E2247" s="2142" t="s">
        <v>25</v>
      </c>
      <c r="F2247" s="2142" t="s">
        <v>45</v>
      </c>
      <c r="G2247" s="2142" t="s">
        <v>25</v>
      </c>
      <c r="H2247" s="2140"/>
      <c r="I2247" s="2143" t="s">
        <v>3625</v>
      </c>
      <c r="J2247" s="2143" t="s">
        <v>3626</v>
      </c>
      <c r="K2247" s="2144">
        <v>72</v>
      </c>
      <c r="L2247" s="2145">
        <f>SUM(L2248:L2257)</f>
        <v>1286260600</v>
      </c>
      <c r="M2247" s="2144">
        <v>36</v>
      </c>
      <c r="N2247" s="2145">
        <f>SUM(N2248:N2257)</f>
        <v>629999000</v>
      </c>
      <c r="O2247" s="2144">
        <v>12</v>
      </c>
      <c r="P2247" s="2145">
        <f>SUM(P2248:P2257)</f>
        <v>227672800</v>
      </c>
      <c r="Q2247" s="2144">
        <v>3</v>
      </c>
      <c r="R2247" s="2145">
        <f>SUM(R2248:R2257)</f>
        <v>35928940</v>
      </c>
      <c r="S2247" s="2144">
        <v>3</v>
      </c>
      <c r="T2247" s="2145">
        <f>SUM(T2248:T2257)</f>
        <v>35928940</v>
      </c>
      <c r="U2247" s="2144"/>
      <c r="V2247" s="2145">
        <f>SUM(V2248:V2257)</f>
        <v>0</v>
      </c>
      <c r="W2247" s="2144"/>
      <c r="X2247" s="2145">
        <f>SUM(X2248:X2257)</f>
        <v>0</v>
      </c>
      <c r="Y2247" s="2195">
        <f t="shared" ref="Y2247:Z2295" si="657">Q2247+S2247+U2247+W2247</f>
        <v>6</v>
      </c>
      <c r="Z2247" s="2145">
        <f t="shared" si="657"/>
        <v>71857880</v>
      </c>
      <c r="AA2247" s="2195">
        <f t="shared" ref="AA2247:AB2295" si="658">M2247+Y2247</f>
        <v>42</v>
      </c>
      <c r="AB2247" s="2145">
        <f t="shared" si="658"/>
        <v>701856880</v>
      </c>
      <c r="AC2247" s="2147">
        <f t="shared" ref="AC2247:AD2295" si="659">(AA2247/K2247)*100</f>
        <v>58.333333333333336</v>
      </c>
      <c r="AD2247" s="2147">
        <f t="shared" si="659"/>
        <v>54.565682879503576</v>
      </c>
      <c r="AE2247" s="2140" t="s">
        <v>3717</v>
      </c>
      <c r="AF2247" s="2149"/>
      <c r="AG2247" s="2149"/>
      <c r="AH2247" s="2149"/>
      <c r="AI2247" s="2149"/>
      <c r="AJ2247" s="2149"/>
      <c r="AK2247" s="2149"/>
      <c r="AL2247" s="2149"/>
      <c r="AM2247" s="2149"/>
      <c r="AN2247" s="2149"/>
      <c r="AO2247" s="2149"/>
      <c r="AP2247" s="2149"/>
      <c r="AQ2247" s="2149"/>
      <c r="AR2247" s="2149"/>
      <c r="AS2247" s="2149"/>
      <c r="AT2247" s="2149"/>
      <c r="AU2247" s="2149"/>
      <c r="AV2247" s="2149"/>
      <c r="AW2247" s="2149"/>
      <c r="AX2247" s="2149"/>
      <c r="AY2247" s="2149"/>
      <c r="AZ2247" s="2149"/>
      <c r="BA2247" s="2149"/>
      <c r="BB2247" s="2149"/>
      <c r="BC2247" s="2149"/>
      <c r="BD2247" s="2149"/>
      <c r="BE2247" s="2149"/>
      <c r="BF2247" s="2149"/>
      <c r="BG2247" s="2149"/>
      <c r="BH2247" s="2149"/>
      <c r="BI2247" s="2149"/>
      <c r="BJ2247" s="2149"/>
      <c r="BK2247" s="2149"/>
      <c r="BL2247" s="2149"/>
      <c r="BM2247" s="2149"/>
      <c r="BN2247" s="2149"/>
      <c r="BO2247" s="2149"/>
      <c r="BP2247" s="2149"/>
      <c r="BQ2247" s="2149"/>
      <c r="BR2247" s="2149"/>
      <c r="BS2247" s="2149"/>
    </row>
    <row r="2248" spans="1:71" s="2131" customFormat="1" ht="51">
      <c r="A2248" s="2267"/>
      <c r="B2248" s="2253"/>
      <c r="C2248" s="2164">
        <v>5</v>
      </c>
      <c r="D2248" s="2164" t="s">
        <v>34</v>
      </c>
      <c r="E2248" s="2164" t="s">
        <v>25</v>
      </c>
      <c r="F2248" s="2164" t="s">
        <v>45</v>
      </c>
      <c r="G2248" s="2164" t="s">
        <v>25</v>
      </c>
      <c r="H2248" s="2254" t="s">
        <v>28</v>
      </c>
      <c r="I2248" s="2171" t="s">
        <v>3684</v>
      </c>
      <c r="J2248" s="2171" t="s">
        <v>3627</v>
      </c>
      <c r="K2248" s="2255">
        <v>72</v>
      </c>
      <c r="L2248" s="2203">
        <v>74170000</v>
      </c>
      <c r="M2248" s="2256">
        <v>36</v>
      </c>
      <c r="N2248" s="2257">
        <v>21323500</v>
      </c>
      <c r="O2248" s="2255">
        <v>12</v>
      </c>
      <c r="P2248" s="2258">
        <v>8640000</v>
      </c>
      <c r="Q2248" s="2256">
        <v>3</v>
      </c>
      <c r="R2248" s="2203">
        <v>478940</v>
      </c>
      <c r="S2248" s="2256">
        <v>3</v>
      </c>
      <c r="T2248" s="2203">
        <v>478940</v>
      </c>
      <c r="U2248" s="2255"/>
      <c r="V2248" s="2258"/>
      <c r="W2248" s="2255"/>
      <c r="X2248" s="2203"/>
      <c r="Y2248" s="2240">
        <f t="shared" si="657"/>
        <v>6</v>
      </c>
      <c r="Z2248" s="2203">
        <f t="shared" si="657"/>
        <v>957880</v>
      </c>
      <c r="AA2248" s="2240">
        <f t="shared" si="658"/>
        <v>42</v>
      </c>
      <c r="AB2248" s="2203">
        <f t="shared" si="658"/>
        <v>22281380</v>
      </c>
      <c r="AC2248" s="2243">
        <f t="shared" si="659"/>
        <v>58.333333333333336</v>
      </c>
      <c r="AD2248" s="2243">
        <f t="shared" si="659"/>
        <v>30.040959956855872</v>
      </c>
      <c r="AE2248" s="2267"/>
      <c r="AF2248" s="2259"/>
      <c r="AG2248" s="2259"/>
      <c r="AH2248" s="2259"/>
      <c r="AI2248" s="2259"/>
      <c r="AJ2248" s="2259"/>
      <c r="AK2248" s="2259"/>
      <c r="AL2248" s="2259"/>
      <c r="AM2248" s="2259"/>
      <c r="AN2248" s="2259"/>
      <c r="AO2248" s="2259"/>
      <c r="AP2248" s="2259"/>
      <c r="AQ2248" s="2259"/>
      <c r="AR2248" s="2259"/>
      <c r="AS2248" s="2259"/>
      <c r="AT2248" s="2259"/>
      <c r="AU2248" s="2259"/>
      <c r="AV2248" s="2259"/>
      <c r="AW2248" s="2259"/>
      <c r="AX2248" s="2259"/>
      <c r="AY2248" s="2259"/>
      <c r="AZ2248" s="2259"/>
      <c r="BA2248" s="2259"/>
      <c r="BB2248" s="2259"/>
      <c r="BC2248" s="2259"/>
      <c r="BD2248" s="2259"/>
      <c r="BE2248" s="2259"/>
      <c r="BF2248" s="2259"/>
      <c r="BG2248" s="2259"/>
      <c r="BH2248" s="2259"/>
      <c r="BI2248" s="2259"/>
      <c r="BJ2248" s="2259"/>
      <c r="BK2248" s="2259"/>
      <c r="BL2248" s="2259"/>
      <c r="BM2248" s="2259"/>
      <c r="BN2248" s="2259"/>
      <c r="BO2248" s="2259"/>
      <c r="BP2248" s="2259"/>
      <c r="BQ2248" s="2259"/>
      <c r="BR2248" s="2259"/>
      <c r="BS2248" s="2259"/>
    </row>
    <row r="2249" spans="1:71" s="2131" customFormat="1" ht="63.75">
      <c r="A2249" s="2267"/>
      <c r="B2249" s="2253"/>
      <c r="C2249" s="2164">
        <v>5</v>
      </c>
      <c r="D2249" s="2164" t="s">
        <v>34</v>
      </c>
      <c r="E2249" s="2164" t="s">
        <v>25</v>
      </c>
      <c r="F2249" s="2164" t="s">
        <v>45</v>
      </c>
      <c r="G2249" s="2164" t="s">
        <v>25</v>
      </c>
      <c r="H2249" s="2254" t="s">
        <v>29</v>
      </c>
      <c r="I2249" s="2171" t="s">
        <v>3685</v>
      </c>
      <c r="J2249" s="2171" t="s">
        <v>3628</v>
      </c>
      <c r="K2249" s="2255">
        <v>72</v>
      </c>
      <c r="L2249" s="2203">
        <v>199260600</v>
      </c>
      <c r="M2249" s="2256">
        <v>36</v>
      </c>
      <c r="N2249" s="2257">
        <v>103450000</v>
      </c>
      <c r="O2249" s="2255">
        <v>12</v>
      </c>
      <c r="P2249" s="2258">
        <v>42000000</v>
      </c>
      <c r="Q2249" s="2256">
        <v>3</v>
      </c>
      <c r="R2249" s="2203">
        <v>6000000</v>
      </c>
      <c r="S2249" s="2256">
        <v>3</v>
      </c>
      <c r="T2249" s="2203">
        <v>6000000</v>
      </c>
      <c r="U2249" s="2255"/>
      <c r="V2249" s="2258"/>
      <c r="W2249" s="2255"/>
      <c r="X2249" s="2203"/>
      <c r="Y2249" s="2240">
        <f t="shared" si="657"/>
        <v>6</v>
      </c>
      <c r="Z2249" s="2203">
        <f t="shared" si="657"/>
        <v>12000000</v>
      </c>
      <c r="AA2249" s="2240">
        <f t="shared" si="658"/>
        <v>42</v>
      </c>
      <c r="AB2249" s="2203">
        <f t="shared" si="658"/>
        <v>115450000</v>
      </c>
      <c r="AC2249" s="2243">
        <f t="shared" si="659"/>
        <v>58.333333333333336</v>
      </c>
      <c r="AD2249" s="2243">
        <f t="shared" si="659"/>
        <v>57.939201226935978</v>
      </c>
      <c r="AE2249" s="2267"/>
      <c r="AF2249" s="2259"/>
      <c r="AG2249" s="2259"/>
      <c r="AH2249" s="2259"/>
      <c r="AI2249" s="2259"/>
      <c r="AJ2249" s="2259"/>
      <c r="AK2249" s="2259"/>
      <c r="AL2249" s="2259"/>
      <c r="AM2249" s="2259"/>
      <c r="AN2249" s="2259"/>
      <c r="AO2249" s="2259"/>
      <c r="AP2249" s="2259"/>
      <c r="AQ2249" s="2259"/>
      <c r="AR2249" s="2259"/>
      <c r="AS2249" s="2259"/>
      <c r="AT2249" s="2259"/>
      <c r="AU2249" s="2259"/>
      <c r="AV2249" s="2259"/>
      <c r="AW2249" s="2259"/>
      <c r="AX2249" s="2259"/>
      <c r="AY2249" s="2259"/>
      <c r="AZ2249" s="2259"/>
      <c r="BA2249" s="2259"/>
      <c r="BB2249" s="2259"/>
      <c r="BC2249" s="2259"/>
      <c r="BD2249" s="2259"/>
      <c r="BE2249" s="2259"/>
      <c r="BF2249" s="2259"/>
      <c r="BG2249" s="2259"/>
      <c r="BH2249" s="2259"/>
      <c r="BI2249" s="2259"/>
      <c r="BJ2249" s="2259"/>
      <c r="BK2249" s="2259"/>
      <c r="BL2249" s="2259"/>
      <c r="BM2249" s="2259"/>
      <c r="BN2249" s="2259"/>
      <c r="BO2249" s="2259"/>
      <c r="BP2249" s="2259"/>
      <c r="BQ2249" s="2259"/>
      <c r="BR2249" s="2259"/>
      <c r="BS2249" s="2259"/>
    </row>
    <row r="2250" spans="1:71" s="2131" customFormat="1" ht="51">
      <c r="A2250" s="2152"/>
      <c r="B2250" s="2253"/>
      <c r="C2250" s="2164">
        <v>5</v>
      </c>
      <c r="D2250" s="2164" t="s">
        <v>34</v>
      </c>
      <c r="E2250" s="2164" t="s">
        <v>25</v>
      </c>
      <c r="F2250" s="2164" t="s">
        <v>45</v>
      </c>
      <c r="G2250" s="2164" t="s">
        <v>25</v>
      </c>
      <c r="H2250" s="2164" t="s">
        <v>30</v>
      </c>
      <c r="I2250" s="2260" t="s">
        <v>110</v>
      </c>
      <c r="J2250" s="2260" t="s">
        <v>3629</v>
      </c>
      <c r="K2250" s="2261">
        <v>72</v>
      </c>
      <c r="L2250" s="2241">
        <v>93500000</v>
      </c>
      <c r="M2250" s="2261">
        <v>36</v>
      </c>
      <c r="N2250" s="2262">
        <v>81625100</v>
      </c>
      <c r="O2250" s="2240">
        <v>12</v>
      </c>
      <c r="P2250" s="2242">
        <v>54800100</v>
      </c>
      <c r="Q2250" s="2261">
        <v>3</v>
      </c>
      <c r="R2250" s="2241">
        <v>9000000</v>
      </c>
      <c r="S2250" s="2261">
        <v>3</v>
      </c>
      <c r="T2250" s="2241">
        <v>9000000</v>
      </c>
      <c r="U2250" s="2240"/>
      <c r="V2250" s="2242"/>
      <c r="W2250" s="2240"/>
      <c r="X2250" s="2241"/>
      <c r="Y2250" s="2240">
        <f t="shared" si="657"/>
        <v>6</v>
      </c>
      <c r="Z2250" s="2241">
        <f t="shared" si="657"/>
        <v>18000000</v>
      </c>
      <c r="AA2250" s="2240">
        <f t="shared" si="658"/>
        <v>42</v>
      </c>
      <c r="AB2250" s="2241">
        <f t="shared" si="658"/>
        <v>99625100</v>
      </c>
      <c r="AC2250" s="2243">
        <f t="shared" si="659"/>
        <v>58.333333333333336</v>
      </c>
      <c r="AD2250" s="2243">
        <f t="shared" si="659"/>
        <v>106.5509090909091</v>
      </c>
      <c r="AE2250" s="2152"/>
      <c r="AF2250" s="2259"/>
      <c r="AG2250" s="2259"/>
      <c r="AH2250" s="2259"/>
      <c r="AI2250" s="2259"/>
      <c r="AJ2250" s="2259"/>
      <c r="AK2250" s="2259"/>
      <c r="AL2250" s="2259"/>
      <c r="AM2250" s="2259"/>
      <c r="AN2250" s="2259"/>
      <c r="AO2250" s="2259"/>
      <c r="AP2250" s="2259"/>
      <c r="AQ2250" s="2259"/>
      <c r="AR2250" s="2259"/>
      <c r="AS2250" s="2259"/>
      <c r="AT2250" s="2259"/>
      <c r="AU2250" s="2259"/>
      <c r="AV2250" s="2259"/>
      <c r="AW2250" s="2259"/>
      <c r="AX2250" s="2259"/>
      <c r="AY2250" s="2259"/>
      <c r="AZ2250" s="2259"/>
      <c r="BA2250" s="2259"/>
      <c r="BB2250" s="2259"/>
      <c r="BC2250" s="2259"/>
      <c r="BD2250" s="2259"/>
      <c r="BE2250" s="2259"/>
      <c r="BF2250" s="2259"/>
      <c r="BG2250" s="2259"/>
      <c r="BH2250" s="2259"/>
      <c r="BI2250" s="2259"/>
      <c r="BJ2250" s="2259"/>
      <c r="BK2250" s="2259"/>
      <c r="BL2250" s="2259"/>
      <c r="BM2250" s="2259"/>
      <c r="BN2250" s="2259"/>
      <c r="BO2250" s="2259"/>
      <c r="BP2250" s="2259"/>
      <c r="BQ2250" s="2259"/>
      <c r="BR2250" s="2259"/>
      <c r="BS2250" s="2259"/>
    </row>
    <row r="2251" spans="1:71" s="2131" customFormat="1" ht="25.5">
      <c r="A2251" s="2267"/>
      <c r="B2251" s="2263"/>
      <c r="C2251" s="2254">
        <v>5</v>
      </c>
      <c r="D2251" s="2254" t="s">
        <v>34</v>
      </c>
      <c r="E2251" s="2254" t="s">
        <v>25</v>
      </c>
      <c r="F2251" s="2254" t="s">
        <v>45</v>
      </c>
      <c r="G2251" s="2254" t="s">
        <v>25</v>
      </c>
      <c r="H2251" s="2254" t="s">
        <v>31</v>
      </c>
      <c r="I2251" s="2171" t="s">
        <v>163</v>
      </c>
      <c r="J2251" s="2171" t="s">
        <v>103</v>
      </c>
      <c r="K2251" s="2255">
        <v>72</v>
      </c>
      <c r="L2251" s="2203">
        <v>132600000</v>
      </c>
      <c r="M2251" s="2256">
        <v>36</v>
      </c>
      <c r="N2251" s="2257">
        <v>64112100</v>
      </c>
      <c r="O2251" s="2255">
        <v>12</v>
      </c>
      <c r="P2251" s="2258">
        <v>17079700</v>
      </c>
      <c r="Q2251" s="2256">
        <v>3</v>
      </c>
      <c r="R2251" s="2203">
        <v>5500000</v>
      </c>
      <c r="S2251" s="2256">
        <v>3</v>
      </c>
      <c r="T2251" s="2203">
        <v>5500000</v>
      </c>
      <c r="U2251" s="2255"/>
      <c r="V2251" s="2258"/>
      <c r="W2251" s="2255"/>
      <c r="X2251" s="2203"/>
      <c r="Y2251" s="2255">
        <f t="shared" si="657"/>
        <v>6</v>
      </c>
      <c r="Z2251" s="2203">
        <f t="shared" si="657"/>
        <v>11000000</v>
      </c>
      <c r="AA2251" s="2255">
        <f t="shared" si="658"/>
        <v>42</v>
      </c>
      <c r="AB2251" s="2203">
        <f t="shared" si="658"/>
        <v>75112100</v>
      </c>
      <c r="AC2251" s="2264">
        <f t="shared" si="659"/>
        <v>58.333333333333336</v>
      </c>
      <c r="AD2251" s="2264">
        <f t="shared" si="659"/>
        <v>56.645625942684759</v>
      </c>
      <c r="AE2251" s="2267"/>
      <c r="AF2251" s="2259"/>
      <c r="AG2251" s="2259"/>
      <c r="AH2251" s="2259"/>
      <c r="AI2251" s="2259"/>
      <c r="AJ2251" s="2259"/>
      <c r="AK2251" s="2259"/>
      <c r="AL2251" s="2259"/>
      <c r="AM2251" s="2259"/>
      <c r="AN2251" s="2259"/>
      <c r="AO2251" s="2259"/>
      <c r="AP2251" s="2259"/>
      <c r="AQ2251" s="2259"/>
      <c r="AR2251" s="2259"/>
      <c r="AS2251" s="2259"/>
      <c r="AT2251" s="2259"/>
      <c r="AU2251" s="2259"/>
      <c r="AV2251" s="2259"/>
      <c r="AW2251" s="2259"/>
      <c r="AX2251" s="2259"/>
      <c r="AY2251" s="2259"/>
      <c r="AZ2251" s="2259"/>
      <c r="BA2251" s="2259"/>
      <c r="BB2251" s="2259"/>
      <c r="BC2251" s="2259"/>
      <c r="BD2251" s="2259"/>
      <c r="BE2251" s="2259"/>
      <c r="BF2251" s="2259"/>
      <c r="BG2251" s="2259"/>
      <c r="BH2251" s="2259"/>
      <c r="BI2251" s="2259"/>
      <c r="BJ2251" s="2259"/>
      <c r="BK2251" s="2259"/>
      <c r="BL2251" s="2259"/>
      <c r="BM2251" s="2259"/>
      <c r="BN2251" s="2259"/>
      <c r="BO2251" s="2259"/>
      <c r="BP2251" s="2259"/>
      <c r="BQ2251" s="2259"/>
      <c r="BR2251" s="2259"/>
      <c r="BS2251" s="2259"/>
    </row>
    <row r="2252" spans="1:71" s="2131" customFormat="1" ht="38.25">
      <c r="A2252" s="2152"/>
      <c r="B2252" s="2253"/>
      <c r="C2252" s="2164">
        <v>5</v>
      </c>
      <c r="D2252" s="2164" t="s">
        <v>34</v>
      </c>
      <c r="E2252" s="2164" t="s">
        <v>25</v>
      </c>
      <c r="F2252" s="2164" t="s">
        <v>45</v>
      </c>
      <c r="G2252" s="2164" t="s">
        <v>25</v>
      </c>
      <c r="H2252" s="2164" t="s">
        <v>62</v>
      </c>
      <c r="I2252" s="2260" t="s">
        <v>155</v>
      </c>
      <c r="J2252" s="2265" t="s">
        <v>3630</v>
      </c>
      <c r="K2252" s="2240">
        <v>72</v>
      </c>
      <c r="L2252" s="2241">
        <v>65400000</v>
      </c>
      <c r="M2252" s="2261">
        <v>36</v>
      </c>
      <c r="N2252" s="2262">
        <v>34464300</v>
      </c>
      <c r="O2252" s="2240">
        <v>12</v>
      </c>
      <c r="P2252" s="2242">
        <v>11458000</v>
      </c>
      <c r="Q2252" s="2261">
        <v>3</v>
      </c>
      <c r="R2252" s="2241">
        <v>2900000</v>
      </c>
      <c r="S2252" s="2261">
        <v>3</v>
      </c>
      <c r="T2252" s="2241">
        <v>2900000</v>
      </c>
      <c r="U2252" s="2240"/>
      <c r="V2252" s="2241"/>
      <c r="W2252" s="2240"/>
      <c r="X2252" s="2241"/>
      <c r="Y2252" s="2240">
        <f t="shared" si="657"/>
        <v>6</v>
      </c>
      <c r="Z2252" s="2241">
        <f t="shared" si="657"/>
        <v>5800000</v>
      </c>
      <c r="AA2252" s="2240">
        <f t="shared" si="658"/>
        <v>42</v>
      </c>
      <c r="AB2252" s="2241">
        <f t="shared" si="658"/>
        <v>40264300</v>
      </c>
      <c r="AC2252" s="2243">
        <f t="shared" si="659"/>
        <v>58.333333333333336</v>
      </c>
      <c r="AD2252" s="2243">
        <f t="shared" si="659"/>
        <v>61.566207951070339</v>
      </c>
      <c r="AE2252" s="2152"/>
      <c r="AF2252" s="2259"/>
      <c r="AG2252" s="2259"/>
      <c r="AH2252" s="2259"/>
      <c r="AI2252" s="2259"/>
      <c r="AJ2252" s="2259"/>
      <c r="AK2252" s="2259"/>
      <c r="AL2252" s="2259"/>
      <c r="AM2252" s="2259"/>
      <c r="AN2252" s="2259"/>
      <c r="AO2252" s="2259"/>
      <c r="AP2252" s="2259"/>
      <c r="AQ2252" s="2259"/>
      <c r="AR2252" s="2259"/>
      <c r="AS2252" s="2259"/>
      <c r="AT2252" s="2259"/>
      <c r="AU2252" s="2259"/>
      <c r="AV2252" s="2259"/>
      <c r="AW2252" s="2259"/>
      <c r="AX2252" s="2259"/>
      <c r="AY2252" s="2259"/>
      <c r="AZ2252" s="2259"/>
      <c r="BA2252" s="2259"/>
      <c r="BB2252" s="2259"/>
      <c r="BC2252" s="2259"/>
      <c r="BD2252" s="2259"/>
      <c r="BE2252" s="2259"/>
      <c r="BF2252" s="2259"/>
      <c r="BG2252" s="2259"/>
      <c r="BH2252" s="2259"/>
      <c r="BI2252" s="2259"/>
      <c r="BJ2252" s="2259"/>
      <c r="BK2252" s="2259"/>
      <c r="BL2252" s="2259"/>
      <c r="BM2252" s="2259"/>
      <c r="BN2252" s="2259"/>
      <c r="BO2252" s="2259"/>
      <c r="BP2252" s="2259"/>
      <c r="BQ2252" s="2259"/>
      <c r="BR2252" s="2259"/>
      <c r="BS2252" s="2259"/>
    </row>
    <row r="2253" spans="1:71" s="2131" customFormat="1" ht="51">
      <c r="A2253" s="2152"/>
      <c r="B2253" s="2253"/>
      <c r="C2253" s="2164">
        <v>5</v>
      </c>
      <c r="D2253" s="2164" t="s">
        <v>34</v>
      </c>
      <c r="E2253" s="2164" t="s">
        <v>25</v>
      </c>
      <c r="F2253" s="2164" t="s">
        <v>45</v>
      </c>
      <c r="G2253" s="2164" t="s">
        <v>25</v>
      </c>
      <c r="H2253" s="2164" t="s">
        <v>52</v>
      </c>
      <c r="I2253" s="2260" t="s">
        <v>3687</v>
      </c>
      <c r="J2253" s="2260" t="s">
        <v>3631</v>
      </c>
      <c r="K2253" s="2240">
        <v>72</v>
      </c>
      <c r="L2253" s="2241">
        <v>15000000</v>
      </c>
      <c r="M2253" s="2261">
        <v>36</v>
      </c>
      <c r="N2253" s="2262">
        <v>5431000</v>
      </c>
      <c r="O2253" s="2240">
        <v>12</v>
      </c>
      <c r="P2253" s="2242">
        <v>1500000</v>
      </c>
      <c r="Q2253" s="2261">
        <v>3</v>
      </c>
      <c r="R2253" s="2241">
        <v>750000</v>
      </c>
      <c r="S2253" s="2261">
        <v>3</v>
      </c>
      <c r="T2253" s="2241">
        <v>750000</v>
      </c>
      <c r="U2253" s="2240"/>
      <c r="V2253" s="2242"/>
      <c r="W2253" s="2240"/>
      <c r="X2253" s="2241"/>
      <c r="Y2253" s="2240">
        <f t="shared" si="657"/>
        <v>6</v>
      </c>
      <c r="Z2253" s="2241">
        <f t="shared" si="657"/>
        <v>1500000</v>
      </c>
      <c r="AA2253" s="2240">
        <f t="shared" si="658"/>
        <v>42</v>
      </c>
      <c r="AB2253" s="2241">
        <f t="shared" si="658"/>
        <v>6931000</v>
      </c>
      <c r="AC2253" s="2243">
        <f t="shared" si="659"/>
        <v>58.333333333333336</v>
      </c>
      <c r="AD2253" s="2243">
        <f t="shared" si="659"/>
        <v>46.206666666666671</v>
      </c>
      <c r="AE2253" s="2152"/>
      <c r="AF2253" s="2259"/>
      <c r="AG2253" s="2259"/>
      <c r="AH2253" s="2259"/>
      <c r="AI2253" s="2259"/>
      <c r="AJ2253" s="2259"/>
      <c r="AK2253" s="2259"/>
      <c r="AL2253" s="2259"/>
      <c r="AM2253" s="2259"/>
      <c r="AN2253" s="2259"/>
      <c r="AO2253" s="2259"/>
      <c r="AP2253" s="2259"/>
      <c r="AQ2253" s="2259"/>
      <c r="AR2253" s="2259"/>
      <c r="AS2253" s="2259"/>
      <c r="AT2253" s="2259"/>
      <c r="AU2253" s="2259"/>
      <c r="AV2253" s="2259"/>
      <c r="AW2253" s="2259"/>
      <c r="AX2253" s="2259"/>
      <c r="AY2253" s="2259"/>
      <c r="AZ2253" s="2259"/>
      <c r="BA2253" s="2259"/>
      <c r="BB2253" s="2259"/>
      <c r="BC2253" s="2259"/>
      <c r="BD2253" s="2259"/>
      <c r="BE2253" s="2259"/>
      <c r="BF2253" s="2259"/>
      <c r="BG2253" s="2259"/>
      <c r="BH2253" s="2259"/>
      <c r="BI2253" s="2259"/>
      <c r="BJ2253" s="2259"/>
      <c r="BK2253" s="2259"/>
      <c r="BL2253" s="2259"/>
      <c r="BM2253" s="2259"/>
      <c r="BN2253" s="2259"/>
      <c r="BO2253" s="2259"/>
      <c r="BP2253" s="2259"/>
      <c r="BQ2253" s="2259"/>
      <c r="BR2253" s="2259"/>
      <c r="BS2253" s="2259"/>
    </row>
    <row r="2254" spans="1:71" s="2131" customFormat="1" ht="63.75">
      <c r="A2254" s="2267"/>
      <c r="B2254" s="2253"/>
      <c r="C2254" s="2164">
        <v>5</v>
      </c>
      <c r="D2254" s="2164" t="s">
        <v>34</v>
      </c>
      <c r="E2254" s="2164" t="s">
        <v>25</v>
      </c>
      <c r="F2254" s="2164" t="s">
        <v>45</v>
      </c>
      <c r="G2254" s="2164" t="s">
        <v>25</v>
      </c>
      <c r="H2254" s="2254" t="s">
        <v>45</v>
      </c>
      <c r="I2254" s="2171" t="s">
        <v>3688</v>
      </c>
      <c r="J2254" s="2171" t="s">
        <v>3632</v>
      </c>
      <c r="K2254" s="2255">
        <v>72</v>
      </c>
      <c r="L2254" s="2203">
        <v>20130000</v>
      </c>
      <c r="M2254" s="2256">
        <v>36</v>
      </c>
      <c r="N2254" s="2257">
        <v>9960000</v>
      </c>
      <c r="O2254" s="2255">
        <v>12</v>
      </c>
      <c r="P2254" s="2258">
        <v>4320000</v>
      </c>
      <c r="Q2254" s="2256">
        <v>3</v>
      </c>
      <c r="R2254" s="2203">
        <v>520000</v>
      </c>
      <c r="S2254" s="2256">
        <v>3</v>
      </c>
      <c r="T2254" s="2203">
        <v>520000</v>
      </c>
      <c r="U2254" s="2255"/>
      <c r="V2254" s="2258"/>
      <c r="W2254" s="2255"/>
      <c r="X2254" s="2203"/>
      <c r="Y2254" s="2240">
        <f t="shared" si="657"/>
        <v>6</v>
      </c>
      <c r="Z2254" s="2203">
        <f t="shared" si="657"/>
        <v>1040000</v>
      </c>
      <c r="AA2254" s="2240">
        <f t="shared" si="658"/>
        <v>42</v>
      </c>
      <c r="AB2254" s="2203">
        <f t="shared" si="658"/>
        <v>11000000</v>
      </c>
      <c r="AC2254" s="2243">
        <f t="shared" si="659"/>
        <v>58.333333333333336</v>
      </c>
      <c r="AD2254" s="2243">
        <f t="shared" si="659"/>
        <v>54.644808743169406</v>
      </c>
      <c r="AE2254" s="2267"/>
      <c r="AF2254" s="2259"/>
      <c r="AG2254" s="2259"/>
      <c r="AH2254" s="2259"/>
      <c r="AI2254" s="2259"/>
      <c r="AJ2254" s="2259"/>
      <c r="AK2254" s="2259"/>
      <c r="AL2254" s="2259"/>
      <c r="AM2254" s="2259"/>
      <c r="AN2254" s="2259"/>
      <c r="AO2254" s="2259"/>
      <c r="AP2254" s="2259"/>
      <c r="AQ2254" s="2259"/>
      <c r="AR2254" s="2259"/>
      <c r="AS2254" s="2259"/>
      <c r="AT2254" s="2259"/>
      <c r="AU2254" s="2259"/>
      <c r="AV2254" s="2259"/>
      <c r="AW2254" s="2259"/>
      <c r="AX2254" s="2259"/>
      <c r="AY2254" s="2259"/>
      <c r="AZ2254" s="2259"/>
      <c r="BA2254" s="2259"/>
      <c r="BB2254" s="2259"/>
      <c r="BC2254" s="2259"/>
      <c r="BD2254" s="2259"/>
      <c r="BE2254" s="2259"/>
      <c r="BF2254" s="2259"/>
      <c r="BG2254" s="2259"/>
      <c r="BH2254" s="2259"/>
      <c r="BI2254" s="2259"/>
      <c r="BJ2254" s="2259"/>
      <c r="BK2254" s="2259"/>
      <c r="BL2254" s="2259"/>
      <c r="BM2254" s="2259"/>
      <c r="BN2254" s="2259"/>
      <c r="BO2254" s="2259"/>
      <c r="BP2254" s="2259"/>
      <c r="BQ2254" s="2259"/>
      <c r="BR2254" s="2259"/>
      <c r="BS2254" s="2259"/>
    </row>
    <row r="2255" spans="1:71" s="2131" customFormat="1" ht="38.25">
      <c r="A2255" s="2152"/>
      <c r="B2255" s="2253"/>
      <c r="C2255" s="2164">
        <v>5</v>
      </c>
      <c r="D2255" s="2164" t="s">
        <v>34</v>
      </c>
      <c r="E2255" s="2164" t="s">
        <v>25</v>
      </c>
      <c r="F2255" s="2164" t="s">
        <v>45</v>
      </c>
      <c r="G2255" s="2164" t="s">
        <v>25</v>
      </c>
      <c r="H2255" s="2164" t="s">
        <v>74</v>
      </c>
      <c r="I2255" s="2260" t="s">
        <v>167</v>
      </c>
      <c r="J2255" s="2265" t="s">
        <v>3633</v>
      </c>
      <c r="K2255" s="2240">
        <v>72</v>
      </c>
      <c r="L2255" s="2241">
        <v>196500000</v>
      </c>
      <c r="M2255" s="2261">
        <v>36</v>
      </c>
      <c r="N2255" s="2262">
        <v>92575000</v>
      </c>
      <c r="O2255" s="2240">
        <v>12</v>
      </c>
      <c r="P2255" s="2242">
        <v>39325000</v>
      </c>
      <c r="Q2255" s="2261">
        <v>3</v>
      </c>
      <c r="R2255" s="2241">
        <v>6600000</v>
      </c>
      <c r="S2255" s="2261">
        <v>3</v>
      </c>
      <c r="T2255" s="2241">
        <v>6600000</v>
      </c>
      <c r="U2255" s="2240"/>
      <c r="V2255" s="2242"/>
      <c r="W2255" s="2240"/>
      <c r="X2255" s="2241"/>
      <c r="Y2255" s="2240">
        <f t="shared" si="657"/>
        <v>6</v>
      </c>
      <c r="Z2255" s="2241">
        <f t="shared" si="657"/>
        <v>13200000</v>
      </c>
      <c r="AA2255" s="2240">
        <f t="shared" si="658"/>
        <v>42</v>
      </c>
      <c r="AB2255" s="2241">
        <f t="shared" si="658"/>
        <v>105775000</v>
      </c>
      <c r="AC2255" s="2243">
        <f t="shared" si="659"/>
        <v>58.333333333333336</v>
      </c>
      <c r="AD2255" s="2243">
        <f t="shared" si="659"/>
        <v>53.829516539440206</v>
      </c>
      <c r="AE2255" s="2152"/>
      <c r="AF2255" s="2259"/>
      <c r="AG2255" s="2259"/>
      <c r="AH2255" s="2259"/>
      <c r="AI2255" s="2259"/>
      <c r="AJ2255" s="2259"/>
      <c r="AK2255" s="2259"/>
      <c r="AL2255" s="2259"/>
      <c r="AM2255" s="2259"/>
      <c r="AN2255" s="2259"/>
      <c r="AO2255" s="2259"/>
      <c r="AP2255" s="2259"/>
      <c r="AQ2255" s="2259"/>
      <c r="AR2255" s="2259"/>
      <c r="AS2255" s="2259"/>
      <c r="AT2255" s="2259"/>
      <c r="AU2255" s="2259"/>
      <c r="AV2255" s="2259"/>
      <c r="AW2255" s="2259"/>
      <c r="AX2255" s="2259"/>
      <c r="AY2255" s="2259"/>
      <c r="AZ2255" s="2259"/>
      <c r="BA2255" s="2259"/>
      <c r="BB2255" s="2259"/>
      <c r="BC2255" s="2259"/>
      <c r="BD2255" s="2259"/>
      <c r="BE2255" s="2259"/>
      <c r="BF2255" s="2259"/>
      <c r="BG2255" s="2259"/>
      <c r="BH2255" s="2259"/>
      <c r="BI2255" s="2259"/>
      <c r="BJ2255" s="2259"/>
      <c r="BK2255" s="2259"/>
      <c r="BL2255" s="2259"/>
      <c r="BM2255" s="2259"/>
      <c r="BN2255" s="2259"/>
      <c r="BO2255" s="2259"/>
      <c r="BP2255" s="2259"/>
      <c r="BQ2255" s="2259"/>
      <c r="BR2255" s="2259"/>
      <c r="BS2255" s="2259"/>
    </row>
    <row r="2256" spans="1:71" s="2131" customFormat="1" ht="51">
      <c r="A2256" s="2152"/>
      <c r="B2256" s="2253"/>
      <c r="C2256" s="2164">
        <v>5</v>
      </c>
      <c r="D2256" s="2164" t="s">
        <v>34</v>
      </c>
      <c r="E2256" s="2164" t="s">
        <v>25</v>
      </c>
      <c r="F2256" s="2164" t="s">
        <v>45</v>
      </c>
      <c r="G2256" s="2164" t="s">
        <v>25</v>
      </c>
      <c r="H2256" s="2164" t="s">
        <v>44</v>
      </c>
      <c r="I2256" s="2260" t="s">
        <v>233</v>
      </c>
      <c r="J2256" s="2260" t="s">
        <v>3634</v>
      </c>
      <c r="K2256" s="2240">
        <v>72</v>
      </c>
      <c r="L2256" s="2241">
        <v>195000000</v>
      </c>
      <c r="M2256" s="2261">
        <v>36</v>
      </c>
      <c r="N2256" s="2262">
        <v>113978000</v>
      </c>
      <c r="O2256" s="2240">
        <v>12</v>
      </c>
      <c r="P2256" s="2242">
        <v>27500000</v>
      </c>
      <c r="Q2256" s="2261">
        <v>3</v>
      </c>
      <c r="R2256" s="2241">
        <v>0</v>
      </c>
      <c r="S2256" s="2261">
        <v>3</v>
      </c>
      <c r="T2256" s="2241">
        <v>0</v>
      </c>
      <c r="U2256" s="2240"/>
      <c r="V2256" s="2242"/>
      <c r="W2256" s="2240"/>
      <c r="X2256" s="2241"/>
      <c r="Y2256" s="2240">
        <f t="shared" si="657"/>
        <v>6</v>
      </c>
      <c r="Z2256" s="2241">
        <f t="shared" si="657"/>
        <v>0</v>
      </c>
      <c r="AA2256" s="2240">
        <f t="shared" si="658"/>
        <v>42</v>
      </c>
      <c r="AB2256" s="2241">
        <f t="shared" si="658"/>
        <v>113978000</v>
      </c>
      <c r="AC2256" s="2243">
        <f t="shared" si="659"/>
        <v>58.333333333333336</v>
      </c>
      <c r="AD2256" s="2243">
        <f t="shared" si="659"/>
        <v>58.450256410256408</v>
      </c>
      <c r="AE2256" s="2152"/>
      <c r="AF2256" s="2259"/>
      <c r="AG2256" s="2259"/>
      <c r="AH2256" s="2259"/>
      <c r="AI2256" s="2259"/>
      <c r="AJ2256" s="2259"/>
      <c r="AK2256" s="2259"/>
      <c r="AL2256" s="2259"/>
      <c r="AM2256" s="2259"/>
      <c r="AN2256" s="2259"/>
      <c r="AO2256" s="2259"/>
      <c r="AP2256" s="2259"/>
      <c r="AQ2256" s="2259"/>
      <c r="AR2256" s="2259"/>
      <c r="AS2256" s="2259"/>
      <c r="AT2256" s="2259"/>
      <c r="AU2256" s="2259"/>
      <c r="AV2256" s="2259"/>
      <c r="AW2256" s="2259"/>
      <c r="AX2256" s="2259"/>
      <c r="AY2256" s="2259"/>
      <c r="AZ2256" s="2259"/>
      <c r="BA2256" s="2259"/>
      <c r="BB2256" s="2259"/>
      <c r="BC2256" s="2259"/>
      <c r="BD2256" s="2259"/>
      <c r="BE2256" s="2259"/>
      <c r="BF2256" s="2259"/>
      <c r="BG2256" s="2259"/>
      <c r="BH2256" s="2259"/>
      <c r="BI2256" s="2259"/>
      <c r="BJ2256" s="2259"/>
      <c r="BK2256" s="2259"/>
      <c r="BL2256" s="2259"/>
      <c r="BM2256" s="2259"/>
      <c r="BN2256" s="2259"/>
      <c r="BO2256" s="2259"/>
      <c r="BP2256" s="2259"/>
      <c r="BQ2256" s="2259"/>
      <c r="BR2256" s="2259"/>
      <c r="BS2256" s="2259"/>
    </row>
    <row r="2257" spans="1:71" s="2131" customFormat="1" ht="51">
      <c r="A2257" s="2267"/>
      <c r="B2257" s="2253"/>
      <c r="C2257" s="2164">
        <v>5</v>
      </c>
      <c r="D2257" s="2164" t="s">
        <v>34</v>
      </c>
      <c r="E2257" s="2164" t="s">
        <v>25</v>
      </c>
      <c r="F2257" s="2164" t="s">
        <v>45</v>
      </c>
      <c r="G2257" s="2164" t="s">
        <v>25</v>
      </c>
      <c r="H2257" s="2254" t="s">
        <v>54</v>
      </c>
      <c r="I2257" s="2171" t="s">
        <v>3689</v>
      </c>
      <c r="J2257" s="2171" t="s">
        <v>3635</v>
      </c>
      <c r="K2257" s="2255">
        <v>72</v>
      </c>
      <c r="L2257" s="2203">
        <v>294700000</v>
      </c>
      <c r="M2257" s="2256">
        <v>36</v>
      </c>
      <c r="N2257" s="2257">
        <v>103080000</v>
      </c>
      <c r="O2257" s="2255">
        <v>12</v>
      </c>
      <c r="P2257" s="2258">
        <v>21050000</v>
      </c>
      <c r="Q2257" s="2256">
        <v>3</v>
      </c>
      <c r="R2257" s="2203">
        <v>4180000</v>
      </c>
      <c r="S2257" s="2256">
        <v>3</v>
      </c>
      <c r="T2257" s="2203">
        <v>4180000</v>
      </c>
      <c r="U2257" s="2255"/>
      <c r="V2257" s="2258"/>
      <c r="W2257" s="2255"/>
      <c r="X2257" s="2203"/>
      <c r="Y2257" s="2240">
        <f t="shared" si="657"/>
        <v>6</v>
      </c>
      <c r="Z2257" s="2203">
        <f t="shared" si="657"/>
        <v>8360000</v>
      </c>
      <c r="AA2257" s="2240">
        <f t="shared" si="658"/>
        <v>42</v>
      </c>
      <c r="AB2257" s="2203">
        <f t="shared" si="658"/>
        <v>111440000</v>
      </c>
      <c r="AC2257" s="2243">
        <f t="shared" si="659"/>
        <v>58.333333333333336</v>
      </c>
      <c r="AD2257" s="2243">
        <f t="shared" si="659"/>
        <v>37.814726840855108</v>
      </c>
      <c r="AE2257" s="2267"/>
      <c r="AF2257" s="2259"/>
      <c r="AG2257" s="2259"/>
      <c r="AH2257" s="2259"/>
      <c r="AI2257" s="2259"/>
      <c r="AJ2257" s="2259"/>
      <c r="AK2257" s="2259"/>
      <c r="AL2257" s="2259"/>
      <c r="AM2257" s="2259"/>
      <c r="AN2257" s="2259"/>
      <c r="AO2257" s="2259"/>
      <c r="AP2257" s="2259"/>
      <c r="AQ2257" s="2259"/>
      <c r="AR2257" s="2259"/>
      <c r="AS2257" s="2259"/>
      <c r="AT2257" s="2259"/>
      <c r="AU2257" s="2259"/>
      <c r="AV2257" s="2259"/>
      <c r="AW2257" s="2259"/>
      <c r="AX2257" s="2259"/>
      <c r="AY2257" s="2259"/>
      <c r="AZ2257" s="2259"/>
      <c r="BA2257" s="2259"/>
      <c r="BB2257" s="2259"/>
      <c r="BC2257" s="2259"/>
      <c r="BD2257" s="2259"/>
      <c r="BE2257" s="2259"/>
      <c r="BF2257" s="2259"/>
      <c r="BG2257" s="2259"/>
      <c r="BH2257" s="2259"/>
      <c r="BI2257" s="2259"/>
      <c r="BJ2257" s="2259"/>
      <c r="BK2257" s="2259"/>
      <c r="BL2257" s="2259"/>
      <c r="BM2257" s="2259"/>
      <c r="BN2257" s="2259"/>
      <c r="BO2257" s="2259"/>
      <c r="BP2257" s="2259"/>
      <c r="BQ2257" s="2259"/>
      <c r="BR2257" s="2259"/>
      <c r="BS2257" s="2259"/>
    </row>
    <row r="2258" spans="1:71" s="2131" customFormat="1" ht="63.75">
      <c r="A2258" s="2140" t="s">
        <v>114</v>
      </c>
      <c r="B2258" s="2194"/>
      <c r="C2258" s="2142">
        <v>5</v>
      </c>
      <c r="D2258" s="2142" t="s">
        <v>34</v>
      </c>
      <c r="E2258" s="2142" t="s">
        <v>25</v>
      </c>
      <c r="F2258" s="2142" t="s">
        <v>45</v>
      </c>
      <c r="G2258" s="2142" t="s">
        <v>28</v>
      </c>
      <c r="H2258" s="2140"/>
      <c r="I2258" s="2143" t="s">
        <v>3636</v>
      </c>
      <c r="J2258" s="2143" t="s">
        <v>3531</v>
      </c>
      <c r="K2258" s="2144">
        <v>72</v>
      </c>
      <c r="L2258" s="2145">
        <f>SUM(L2259:L2262)</f>
        <v>328106000</v>
      </c>
      <c r="M2258" s="2144">
        <v>36</v>
      </c>
      <c r="N2258" s="2145">
        <f>SUM(N2259:N2262)</f>
        <v>166549000</v>
      </c>
      <c r="O2258" s="2144">
        <v>12</v>
      </c>
      <c r="P2258" s="2145">
        <f>SUM(P2259:P2262)</f>
        <v>113930000</v>
      </c>
      <c r="Q2258" s="2144">
        <v>3</v>
      </c>
      <c r="R2258" s="2145">
        <f>SUM(R2259:R2262)</f>
        <v>5250000</v>
      </c>
      <c r="S2258" s="2144">
        <v>3</v>
      </c>
      <c r="T2258" s="2145">
        <f>SUM(T2259:T2262)</f>
        <v>5250000</v>
      </c>
      <c r="U2258" s="2144"/>
      <c r="V2258" s="2145">
        <f>SUM(V2259:V2262)</f>
        <v>0</v>
      </c>
      <c r="W2258" s="2144"/>
      <c r="X2258" s="2145">
        <f>SUM(X2259:X2262)</f>
        <v>0</v>
      </c>
      <c r="Y2258" s="2144">
        <f t="shared" si="657"/>
        <v>6</v>
      </c>
      <c r="Z2258" s="2145">
        <f t="shared" si="657"/>
        <v>10500000</v>
      </c>
      <c r="AA2258" s="2144">
        <f t="shared" si="658"/>
        <v>42</v>
      </c>
      <c r="AB2258" s="2145">
        <f t="shared" si="658"/>
        <v>177049000</v>
      </c>
      <c r="AC2258" s="2147">
        <f t="shared" si="659"/>
        <v>58.333333333333336</v>
      </c>
      <c r="AD2258" s="2147">
        <f t="shared" si="659"/>
        <v>53.960915070129779</v>
      </c>
      <c r="AE2258" s="2140" t="s">
        <v>3717</v>
      </c>
      <c r="AF2258" s="2266"/>
      <c r="AG2258" s="2266"/>
      <c r="AH2258" s="2266"/>
      <c r="AI2258" s="2266"/>
      <c r="AJ2258" s="2266"/>
      <c r="AK2258" s="2266"/>
      <c r="AL2258" s="2266"/>
      <c r="AM2258" s="2266"/>
      <c r="AN2258" s="2266"/>
      <c r="AO2258" s="2266"/>
      <c r="AP2258" s="2266"/>
      <c r="AQ2258" s="2266"/>
      <c r="AR2258" s="2266"/>
      <c r="AS2258" s="2266"/>
      <c r="AT2258" s="2266"/>
      <c r="AU2258" s="2266"/>
      <c r="AV2258" s="2266"/>
      <c r="AW2258" s="2266"/>
      <c r="AX2258" s="2266"/>
      <c r="AY2258" s="2266"/>
      <c r="AZ2258" s="2266"/>
      <c r="BA2258" s="2266"/>
      <c r="BB2258" s="2266"/>
      <c r="BC2258" s="2266"/>
      <c r="BD2258" s="2266"/>
      <c r="BE2258" s="2266"/>
      <c r="BF2258" s="2266"/>
      <c r="BG2258" s="2266"/>
      <c r="BH2258" s="2266"/>
      <c r="BI2258" s="2266"/>
      <c r="BJ2258" s="2266"/>
      <c r="BK2258" s="2266"/>
      <c r="BL2258" s="2266"/>
      <c r="BM2258" s="2266"/>
      <c r="BN2258" s="2266"/>
      <c r="BO2258" s="2266"/>
      <c r="BP2258" s="2266"/>
      <c r="BQ2258" s="2266"/>
      <c r="BR2258" s="2266"/>
      <c r="BS2258" s="2266"/>
    </row>
    <row r="2259" spans="1:71" s="2131" customFormat="1" ht="38.25">
      <c r="A2259" s="2267"/>
      <c r="B2259" s="2253"/>
      <c r="C2259" s="2164">
        <v>5</v>
      </c>
      <c r="D2259" s="2164" t="s">
        <v>34</v>
      </c>
      <c r="E2259" s="2164" t="s">
        <v>25</v>
      </c>
      <c r="F2259" s="2164" t="s">
        <v>45</v>
      </c>
      <c r="G2259" s="2164" t="s">
        <v>28</v>
      </c>
      <c r="H2259" s="2164" t="s">
        <v>29</v>
      </c>
      <c r="I2259" s="2171" t="s">
        <v>234</v>
      </c>
      <c r="J2259" s="2171" t="s">
        <v>3718</v>
      </c>
      <c r="K2259" s="2255">
        <v>72</v>
      </c>
      <c r="L2259" s="2203">
        <v>27000000</v>
      </c>
      <c r="M2259" s="2256">
        <v>36</v>
      </c>
      <c r="N2259" s="2257">
        <v>28125000</v>
      </c>
      <c r="O2259" s="2255">
        <v>12</v>
      </c>
      <c r="P2259" s="2258">
        <v>49300000</v>
      </c>
      <c r="Q2259" s="2256">
        <v>3</v>
      </c>
      <c r="R2259" s="2203">
        <v>0</v>
      </c>
      <c r="S2259" s="2256">
        <v>3</v>
      </c>
      <c r="T2259" s="2203">
        <v>0</v>
      </c>
      <c r="U2259" s="2255"/>
      <c r="V2259" s="2258"/>
      <c r="W2259" s="2255"/>
      <c r="X2259" s="2203"/>
      <c r="Y2259" s="2240">
        <f t="shared" si="657"/>
        <v>6</v>
      </c>
      <c r="Z2259" s="2203">
        <f t="shared" si="657"/>
        <v>0</v>
      </c>
      <c r="AA2259" s="2240">
        <f t="shared" si="658"/>
        <v>42</v>
      </c>
      <c r="AB2259" s="2203">
        <f t="shared" si="658"/>
        <v>28125000</v>
      </c>
      <c r="AC2259" s="2243">
        <f t="shared" si="659"/>
        <v>58.333333333333336</v>
      </c>
      <c r="AD2259" s="2243">
        <f t="shared" si="659"/>
        <v>104.16666666666667</v>
      </c>
      <c r="AE2259" s="2267"/>
    </row>
    <row r="2260" spans="1:71" s="2131" customFormat="1" ht="38.25">
      <c r="A2260" s="2267"/>
      <c r="B2260" s="2253"/>
      <c r="C2260" s="2164">
        <v>5</v>
      </c>
      <c r="D2260" s="2164" t="s">
        <v>34</v>
      </c>
      <c r="E2260" s="2164" t="s">
        <v>25</v>
      </c>
      <c r="F2260" s="2164" t="s">
        <v>45</v>
      </c>
      <c r="G2260" s="2164" t="s">
        <v>28</v>
      </c>
      <c r="H2260" s="2164" t="s">
        <v>61</v>
      </c>
      <c r="I2260" s="2171" t="s">
        <v>37</v>
      </c>
      <c r="J2260" s="2171" t="s">
        <v>3719</v>
      </c>
      <c r="K2260" s="2255">
        <v>72</v>
      </c>
      <c r="L2260" s="2203">
        <v>27000000</v>
      </c>
      <c r="M2260" s="2256">
        <v>36</v>
      </c>
      <c r="N2260" s="2257">
        <v>18175000</v>
      </c>
      <c r="O2260" s="2255">
        <v>12</v>
      </c>
      <c r="P2260" s="2258">
        <v>20000000</v>
      </c>
      <c r="Q2260" s="2256">
        <v>3</v>
      </c>
      <c r="R2260" s="2203">
        <v>0</v>
      </c>
      <c r="S2260" s="2256">
        <v>3</v>
      </c>
      <c r="T2260" s="2203">
        <v>0</v>
      </c>
      <c r="U2260" s="2255"/>
      <c r="V2260" s="2258"/>
      <c r="W2260" s="2255"/>
      <c r="X2260" s="2203"/>
      <c r="Y2260" s="2240">
        <f t="shared" si="657"/>
        <v>6</v>
      </c>
      <c r="Z2260" s="2203">
        <f t="shared" si="657"/>
        <v>0</v>
      </c>
      <c r="AA2260" s="2240">
        <f t="shared" si="658"/>
        <v>42</v>
      </c>
      <c r="AB2260" s="2203">
        <f t="shared" si="658"/>
        <v>18175000</v>
      </c>
      <c r="AC2260" s="2243">
        <f t="shared" si="659"/>
        <v>58.333333333333336</v>
      </c>
      <c r="AD2260" s="2243">
        <f t="shared" si="659"/>
        <v>67.31481481481481</v>
      </c>
      <c r="AE2260" s="2267"/>
    </row>
    <row r="2261" spans="1:71" s="2131" customFormat="1" ht="51">
      <c r="A2261" s="2267"/>
      <c r="B2261" s="2253"/>
      <c r="C2261" s="2164">
        <v>5</v>
      </c>
      <c r="D2261" s="2164" t="s">
        <v>34</v>
      </c>
      <c r="E2261" s="2164" t="s">
        <v>25</v>
      </c>
      <c r="F2261" s="2164" t="s">
        <v>45</v>
      </c>
      <c r="G2261" s="2164" t="s">
        <v>28</v>
      </c>
      <c r="H2261" s="2164" t="s">
        <v>84</v>
      </c>
      <c r="I2261" s="2171" t="s">
        <v>239</v>
      </c>
      <c r="J2261" s="2171" t="s">
        <v>3720</v>
      </c>
      <c r="K2261" s="2255">
        <v>72</v>
      </c>
      <c r="L2261" s="2203">
        <v>247106000</v>
      </c>
      <c r="M2261" s="2256">
        <v>36</v>
      </c>
      <c r="N2261" s="2257">
        <v>109469000</v>
      </c>
      <c r="O2261" s="2255">
        <v>12</v>
      </c>
      <c r="P2261" s="2258">
        <v>41630000</v>
      </c>
      <c r="Q2261" s="2256">
        <v>3</v>
      </c>
      <c r="R2261" s="2203">
        <v>5250000</v>
      </c>
      <c r="S2261" s="2256">
        <v>3</v>
      </c>
      <c r="T2261" s="2203">
        <v>5250000</v>
      </c>
      <c r="U2261" s="2255"/>
      <c r="V2261" s="2258"/>
      <c r="W2261" s="2255"/>
      <c r="X2261" s="2203"/>
      <c r="Y2261" s="2240">
        <f t="shared" si="657"/>
        <v>6</v>
      </c>
      <c r="Z2261" s="2203">
        <f t="shared" si="657"/>
        <v>10500000</v>
      </c>
      <c r="AA2261" s="2240">
        <f t="shared" si="658"/>
        <v>42</v>
      </c>
      <c r="AB2261" s="2203">
        <f t="shared" si="658"/>
        <v>119969000</v>
      </c>
      <c r="AC2261" s="2243">
        <f t="shared" si="659"/>
        <v>58.333333333333336</v>
      </c>
      <c r="AD2261" s="2243">
        <f t="shared" si="659"/>
        <v>48.549610288702013</v>
      </c>
      <c r="AE2261" s="2267"/>
    </row>
    <row r="2262" spans="1:71" s="2131" customFormat="1" ht="38.25">
      <c r="A2262" s="2267"/>
      <c r="B2262" s="2253"/>
      <c r="C2262" s="2164">
        <v>5</v>
      </c>
      <c r="D2262" s="2164" t="s">
        <v>34</v>
      </c>
      <c r="E2262" s="2164" t="s">
        <v>25</v>
      </c>
      <c r="F2262" s="2164" t="s">
        <v>45</v>
      </c>
      <c r="G2262" s="2164" t="s">
        <v>28</v>
      </c>
      <c r="H2262" s="2164" t="s">
        <v>50</v>
      </c>
      <c r="I2262" s="2171" t="s">
        <v>520</v>
      </c>
      <c r="J2262" s="2171" t="s">
        <v>3721</v>
      </c>
      <c r="K2262" s="2255">
        <v>72</v>
      </c>
      <c r="L2262" s="2203">
        <v>27000000</v>
      </c>
      <c r="M2262" s="2256">
        <v>36</v>
      </c>
      <c r="N2262" s="2257">
        <v>10780000</v>
      </c>
      <c r="O2262" s="2255">
        <v>12</v>
      </c>
      <c r="P2262" s="2258">
        <v>3000000</v>
      </c>
      <c r="Q2262" s="2256">
        <v>0</v>
      </c>
      <c r="R2262" s="2203">
        <v>0</v>
      </c>
      <c r="S2262" s="2256">
        <v>0</v>
      </c>
      <c r="T2262" s="2203">
        <v>0</v>
      </c>
      <c r="U2262" s="2255"/>
      <c r="V2262" s="2258"/>
      <c r="W2262" s="2255"/>
      <c r="X2262" s="2203"/>
      <c r="Y2262" s="2240">
        <f t="shared" si="657"/>
        <v>0</v>
      </c>
      <c r="Z2262" s="2203">
        <f t="shared" si="657"/>
        <v>0</v>
      </c>
      <c r="AA2262" s="2240">
        <f t="shared" si="658"/>
        <v>36</v>
      </c>
      <c r="AB2262" s="2203">
        <f t="shared" si="658"/>
        <v>10780000</v>
      </c>
      <c r="AC2262" s="2243">
        <f t="shared" si="659"/>
        <v>50</v>
      </c>
      <c r="AD2262" s="2243">
        <f t="shared" si="659"/>
        <v>39.925925925925924</v>
      </c>
      <c r="AE2262" s="2267"/>
    </row>
    <row r="2263" spans="1:71" s="2131" customFormat="1" ht="51">
      <c r="A2263" s="2140" t="s">
        <v>3538</v>
      </c>
      <c r="B2263" s="2194"/>
      <c r="C2263" s="2142">
        <v>5</v>
      </c>
      <c r="D2263" s="2142" t="s">
        <v>34</v>
      </c>
      <c r="E2263" s="2142" t="s">
        <v>25</v>
      </c>
      <c r="F2263" s="2142" t="s">
        <v>45</v>
      </c>
      <c r="G2263" s="2142" t="s">
        <v>74</v>
      </c>
      <c r="H2263" s="2142"/>
      <c r="I2263" s="2143" t="s">
        <v>3722</v>
      </c>
      <c r="J2263" s="2143" t="s">
        <v>3723</v>
      </c>
      <c r="K2263" s="2144">
        <v>80</v>
      </c>
      <c r="L2263" s="2145">
        <f>SUM(L2264:L2265)</f>
        <v>23000000</v>
      </c>
      <c r="M2263" s="2144">
        <v>70</v>
      </c>
      <c r="N2263" s="2145">
        <f>SUM(N2264:N2265)</f>
        <v>11125000</v>
      </c>
      <c r="O2263" s="2144">
        <v>10</v>
      </c>
      <c r="P2263" s="2145">
        <f>SUM(P2264:P2265)</f>
        <v>3625000</v>
      </c>
      <c r="Q2263" s="2144">
        <v>0</v>
      </c>
      <c r="R2263" s="2145">
        <f>SUM(R2264:R2265)</f>
        <v>1250000</v>
      </c>
      <c r="S2263" s="2144">
        <v>0</v>
      </c>
      <c r="T2263" s="2145">
        <f>SUM(T2264:T2265)</f>
        <v>1250000</v>
      </c>
      <c r="U2263" s="2144"/>
      <c r="V2263" s="2145">
        <f>SUM(V2264:V2265)</f>
        <v>0</v>
      </c>
      <c r="W2263" s="2144"/>
      <c r="X2263" s="2145">
        <f>SUM(X2264:X2265)</f>
        <v>0</v>
      </c>
      <c r="Y2263" s="2144">
        <f t="shared" si="657"/>
        <v>0</v>
      </c>
      <c r="Z2263" s="2145">
        <f t="shared" si="657"/>
        <v>2500000</v>
      </c>
      <c r="AA2263" s="2144">
        <f t="shared" si="658"/>
        <v>70</v>
      </c>
      <c r="AB2263" s="2145">
        <f t="shared" si="658"/>
        <v>13625000</v>
      </c>
      <c r="AC2263" s="2147">
        <f t="shared" si="659"/>
        <v>87.5</v>
      </c>
      <c r="AD2263" s="2147">
        <f t="shared" si="659"/>
        <v>59.239130434782602</v>
      </c>
      <c r="AE2263" s="2140" t="s">
        <v>3717</v>
      </c>
    </row>
    <row r="2264" spans="1:71" s="2131" customFormat="1" ht="38.25">
      <c r="A2264" s="2152"/>
      <c r="B2264" s="2198"/>
      <c r="C2264" s="2164">
        <v>5</v>
      </c>
      <c r="D2264" s="2164" t="s">
        <v>34</v>
      </c>
      <c r="E2264" s="2164" t="s">
        <v>25</v>
      </c>
      <c r="F2264" s="2164" t="s">
        <v>45</v>
      </c>
      <c r="G2264" s="2164" t="s">
        <v>74</v>
      </c>
      <c r="H2264" s="2164" t="s">
        <v>25</v>
      </c>
      <c r="I2264" s="2198" t="s">
        <v>3724</v>
      </c>
      <c r="J2264" s="2198" t="s">
        <v>3725</v>
      </c>
      <c r="K2264" s="2240">
        <v>36</v>
      </c>
      <c r="L2264" s="2241">
        <v>8000000</v>
      </c>
      <c r="M2264" s="2240">
        <v>18</v>
      </c>
      <c r="N2264" s="2241">
        <v>3875000</v>
      </c>
      <c r="O2264" s="2240">
        <v>6</v>
      </c>
      <c r="P2264" s="2241">
        <v>1375000</v>
      </c>
      <c r="Q2264" s="2240">
        <v>1</v>
      </c>
      <c r="R2264" s="2241">
        <v>0</v>
      </c>
      <c r="S2264" s="2240">
        <v>1</v>
      </c>
      <c r="T2264" s="2241">
        <v>0</v>
      </c>
      <c r="U2264" s="2240"/>
      <c r="V2264" s="2242"/>
      <c r="W2264" s="2240"/>
      <c r="X2264" s="2241"/>
      <c r="Y2264" s="2240">
        <f t="shared" si="657"/>
        <v>2</v>
      </c>
      <c r="Z2264" s="2203">
        <f t="shared" si="657"/>
        <v>0</v>
      </c>
      <c r="AA2264" s="2240">
        <f t="shared" si="658"/>
        <v>20</v>
      </c>
      <c r="AB2264" s="2203">
        <f t="shared" si="658"/>
        <v>3875000</v>
      </c>
      <c r="AC2264" s="2243">
        <f t="shared" si="659"/>
        <v>55.555555555555557</v>
      </c>
      <c r="AD2264" s="2170">
        <f t="shared" si="659"/>
        <v>48.4375</v>
      </c>
      <c r="AE2264" s="2152"/>
    </row>
    <row r="2265" spans="1:71" s="2131" customFormat="1" ht="38.25">
      <c r="A2265" s="2152"/>
      <c r="B2265" s="2198"/>
      <c r="C2265" s="2164">
        <v>5</v>
      </c>
      <c r="D2265" s="2164" t="s">
        <v>34</v>
      </c>
      <c r="E2265" s="2164" t="s">
        <v>25</v>
      </c>
      <c r="F2265" s="2164" t="s">
        <v>45</v>
      </c>
      <c r="G2265" s="2164" t="s">
        <v>74</v>
      </c>
      <c r="H2265" s="2164" t="s">
        <v>29</v>
      </c>
      <c r="I2265" s="2198" t="s">
        <v>85</v>
      </c>
      <c r="J2265" s="2198" t="s">
        <v>3726</v>
      </c>
      <c r="K2265" s="2240">
        <v>30</v>
      </c>
      <c r="L2265" s="2241">
        <v>15000000</v>
      </c>
      <c r="M2265" s="2240">
        <v>10</v>
      </c>
      <c r="N2265" s="2241">
        <v>7250000</v>
      </c>
      <c r="O2265" s="2240">
        <v>5</v>
      </c>
      <c r="P2265" s="2241">
        <v>2250000</v>
      </c>
      <c r="Q2265" s="2240">
        <v>1</v>
      </c>
      <c r="R2265" s="2241">
        <v>1250000</v>
      </c>
      <c r="S2265" s="2240">
        <v>1</v>
      </c>
      <c r="T2265" s="2241">
        <v>1250000</v>
      </c>
      <c r="U2265" s="2240"/>
      <c r="V2265" s="2242"/>
      <c r="W2265" s="2240"/>
      <c r="X2265" s="2241"/>
      <c r="Y2265" s="2240">
        <f t="shared" si="657"/>
        <v>2</v>
      </c>
      <c r="Z2265" s="2203">
        <f t="shared" si="657"/>
        <v>2500000</v>
      </c>
      <c r="AA2265" s="2240">
        <f t="shared" si="658"/>
        <v>12</v>
      </c>
      <c r="AB2265" s="2203">
        <f t="shared" si="658"/>
        <v>9750000</v>
      </c>
      <c r="AC2265" s="2243">
        <f t="shared" si="659"/>
        <v>40</v>
      </c>
      <c r="AD2265" s="2170">
        <f t="shared" si="659"/>
        <v>65</v>
      </c>
      <c r="AE2265" s="2152"/>
    </row>
    <row r="2266" spans="1:71" s="2131" customFormat="1" ht="38.25">
      <c r="A2266" s="2140" t="s">
        <v>3543</v>
      </c>
      <c r="B2266" s="2194"/>
      <c r="C2266" s="2142">
        <v>5</v>
      </c>
      <c r="D2266" s="2142" t="s">
        <v>34</v>
      </c>
      <c r="E2266" s="2142" t="s">
        <v>25</v>
      </c>
      <c r="F2266" s="2142" t="s">
        <v>45</v>
      </c>
      <c r="G2266" s="2142" t="s">
        <v>45</v>
      </c>
      <c r="H2266" s="2140"/>
      <c r="I2266" s="2143" t="s">
        <v>1830</v>
      </c>
      <c r="J2266" s="2143" t="s">
        <v>3645</v>
      </c>
      <c r="K2266" s="2144">
        <v>400</v>
      </c>
      <c r="L2266" s="2145">
        <f>SUM(L2267)</f>
        <v>42158712</v>
      </c>
      <c r="M2266" s="2147">
        <v>100</v>
      </c>
      <c r="N2266" s="2145">
        <f>SUM(N2267)</f>
        <v>0</v>
      </c>
      <c r="O2266" s="2144">
        <v>100</v>
      </c>
      <c r="P2266" s="2145">
        <f>SUM(P2267)</f>
        <v>14052904</v>
      </c>
      <c r="Q2266" s="2144">
        <v>0</v>
      </c>
      <c r="R2266" s="2145">
        <f>SUM(R2267)</f>
        <v>0</v>
      </c>
      <c r="S2266" s="2144">
        <v>0</v>
      </c>
      <c r="T2266" s="2145">
        <f>SUM(T2267)</f>
        <v>0</v>
      </c>
      <c r="U2266" s="2147"/>
      <c r="V2266" s="2145">
        <f>SUM(V2267)</f>
        <v>0</v>
      </c>
      <c r="W2266" s="2144"/>
      <c r="X2266" s="2145">
        <f>SUM(X2267)</f>
        <v>0</v>
      </c>
      <c r="Y2266" s="2147">
        <f t="shared" si="657"/>
        <v>0</v>
      </c>
      <c r="Z2266" s="2145">
        <f t="shared" si="657"/>
        <v>0</v>
      </c>
      <c r="AA2266" s="2147">
        <f t="shared" si="658"/>
        <v>100</v>
      </c>
      <c r="AB2266" s="2145">
        <f t="shared" si="658"/>
        <v>0</v>
      </c>
      <c r="AC2266" s="2147">
        <f t="shared" si="659"/>
        <v>25</v>
      </c>
      <c r="AD2266" s="2147">
        <f t="shared" si="659"/>
        <v>0</v>
      </c>
      <c r="AE2266" s="2140" t="s">
        <v>3717</v>
      </c>
    </row>
    <row r="2267" spans="1:71" s="2131" customFormat="1" ht="25.5">
      <c r="A2267" s="2379"/>
      <c r="B2267" s="2162"/>
      <c r="C2267" s="2164">
        <v>5</v>
      </c>
      <c r="D2267" s="2164" t="s">
        <v>34</v>
      </c>
      <c r="E2267" s="2164" t="s">
        <v>25</v>
      </c>
      <c r="F2267" s="2164" t="s">
        <v>45</v>
      </c>
      <c r="G2267" s="2164" t="s">
        <v>45</v>
      </c>
      <c r="H2267" s="2164">
        <v>15</v>
      </c>
      <c r="I2267" s="2162" t="s">
        <v>3646</v>
      </c>
      <c r="J2267" s="2162" t="s">
        <v>3727</v>
      </c>
      <c r="K2267" s="2166">
        <v>6</v>
      </c>
      <c r="L2267" s="2167">
        <f>3*P2267</f>
        <v>42158712</v>
      </c>
      <c r="M2267" s="2166">
        <v>0</v>
      </c>
      <c r="N2267" s="2167">
        <v>0</v>
      </c>
      <c r="O2267" s="2166">
        <v>2</v>
      </c>
      <c r="P2267" s="2167">
        <v>14052904</v>
      </c>
      <c r="Q2267" s="2166">
        <v>0</v>
      </c>
      <c r="R2267" s="2167">
        <v>0</v>
      </c>
      <c r="S2267" s="2166">
        <v>0</v>
      </c>
      <c r="T2267" s="2167">
        <v>0</v>
      </c>
      <c r="U2267" s="2166"/>
      <c r="V2267" s="2202"/>
      <c r="W2267" s="2166"/>
      <c r="X2267" s="2203"/>
      <c r="Y2267" s="2166">
        <f t="shared" si="657"/>
        <v>0</v>
      </c>
      <c r="Z2267" s="2203">
        <f t="shared" si="657"/>
        <v>0</v>
      </c>
      <c r="AA2267" s="2166">
        <f t="shared" si="658"/>
        <v>0</v>
      </c>
      <c r="AB2267" s="2203">
        <f t="shared" si="658"/>
        <v>0</v>
      </c>
      <c r="AC2267" s="2170">
        <f t="shared" si="659"/>
        <v>0</v>
      </c>
      <c r="AD2267" s="2170">
        <f t="shared" si="659"/>
        <v>0</v>
      </c>
      <c r="AE2267" s="2379"/>
    </row>
    <row r="2268" spans="1:71" s="2131" customFormat="1" ht="51">
      <c r="A2268" s="2140" t="s">
        <v>3547</v>
      </c>
      <c r="B2268" s="2194"/>
      <c r="C2268" s="2142">
        <v>5</v>
      </c>
      <c r="D2268" s="2142" t="s">
        <v>34</v>
      </c>
      <c r="E2268" s="2142" t="s">
        <v>25</v>
      </c>
      <c r="F2268" s="2142" t="s">
        <v>45</v>
      </c>
      <c r="G2268" s="2142"/>
      <c r="H2268" s="2142"/>
      <c r="I2268" s="2143" t="s">
        <v>1833</v>
      </c>
      <c r="J2268" s="2143" t="s">
        <v>3728</v>
      </c>
      <c r="K2268" s="2144">
        <v>80</v>
      </c>
      <c r="L2268" s="2145">
        <f>SUM(L2269:L2269)</f>
        <v>8000000</v>
      </c>
      <c r="M2268" s="2144">
        <v>50</v>
      </c>
      <c r="N2268" s="2145">
        <f>SUM(N2269:N2269)</f>
        <v>0</v>
      </c>
      <c r="O2268" s="2144">
        <v>10</v>
      </c>
      <c r="P2268" s="2145">
        <f>SUM(P2269:P2269)</f>
        <v>16695000</v>
      </c>
      <c r="Q2268" s="2144">
        <v>0</v>
      </c>
      <c r="R2268" s="2145">
        <f>SUM(R2269:R2269)</f>
        <v>4985000</v>
      </c>
      <c r="S2268" s="2144">
        <v>0</v>
      </c>
      <c r="T2268" s="2145">
        <f>SUM(T2269:T2269)</f>
        <v>4985000</v>
      </c>
      <c r="U2268" s="2144"/>
      <c r="V2268" s="2145">
        <f>SUM(V2269:V2269)</f>
        <v>0</v>
      </c>
      <c r="W2268" s="2144"/>
      <c r="X2268" s="2145">
        <f>SUM(X2269:X2269)</f>
        <v>0</v>
      </c>
      <c r="Y2268" s="2144">
        <f t="shared" si="657"/>
        <v>0</v>
      </c>
      <c r="Z2268" s="2145">
        <f t="shared" si="657"/>
        <v>9970000</v>
      </c>
      <c r="AA2268" s="2144">
        <f t="shared" si="658"/>
        <v>50</v>
      </c>
      <c r="AB2268" s="2145">
        <f t="shared" si="658"/>
        <v>9970000</v>
      </c>
      <c r="AC2268" s="2147">
        <f t="shared" si="659"/>
        <v>62.5</v>
      </c>
      <c r="AD2268" s="2147">
        <f t="shared" si="659"/>
        <v>124.62500000000001</v>
      </c>
      <c r="AE2268" s="2140" t="s">
        <v>3717</v>
      </c>
    </row>
    <row r="2269" spans="1:71" s="2131" customFormat="1" ht="51">
      <c r="A2269" s="2152"/>
      <c r="B2269" s="2198"/>
      <c r="C2269" s="2164">
        <v>5</v>
      </c>
      <c r="D2269" s="2164" t="s">
        <v>34</v>
      </c>
      <c r="E2269" s="2164" t="s">
        <v>25</v>
      </c>
      <c r="F2269" s="2164" t="s">
        <v>45</v>
      </c>
      <c r="G2269" s="2164"/>
      <c r="H2269" s="2164">
        <v>15</v>
      </c>
      <c r="I2269" s="2198" t="s">
        <v>3541</v>
      </c>
      <c r="J2269" s="2198" t="s">
        <v>3729</v>
      </c>
      <c r="K2269" s="2240">
        <v>36</v>
      </c>
      <c r="L2269" s="2241">
        <v>8000000</v>
      </c>
      <c r="M2269" s="2240">
        <v>0</v>
      </c>
      <c r="N2269" s="2241">
        <v>0</v>
      </c>
      <c r="O2269" s="2240">
        <v>12</v>
      </c>
      <c r="P2269" s="2241">
        <v>16695000</v>
      </c>
      <c r="Q2269" s="2240">
        <v>3</v>
      </c>
      <c r="R2269" s="2241">
        <v>4985000</v>
      </c>
      <c r="S2269" s="2240">
        <v>3</v>
      </c>
      <c r="T2269" s="2241">
        <v>4985000</v>
      </c>
      <c r="U2269" s="2240"/>
      <c r="V2269" s="2242"/>
      <c r="W2269" s="2240"/>
      <c r="X2269" s="2241"/>
      <c r="Y2269" s="2240">
        <f t="shared" si="657"/>
        <v>6</v>
      </c>
      <c r="Z2269" s="2203">
        <f t="shared" si="657"/>
        <v>9970000</v>
      </c>
      <c r="AA2269" s="2240">
        <f t="shared" si="658"/>
        <v>6</v>
      </c>
      <c r="AB2269" s="2203">
        <f t="shared" si="658"/>
        <v>9970000</v>
      </c>
      <c r="AC2269" s="2243">
        <f t="shared" si="659"/>
        <v>16.666666666666664</v>
      </c>
      <c r="AD2269" s="2170">
        <f t="shared" si="659"/>
        <v>124.62500000000001</v>
      </c>
      <c r="AE2269" s="2152"/>
    </row>
    <row r="2270" spans="1:71" s="2131" customFormat="1" ht="51">
      <c r="A2270" s="2140" t="s">
        <v>3555</v>
      </c>
      <c r="B2270" s="2194"/>
      <c r="C2270" s="2142">
        <v>5</v>
      </c>
      <c r="D2270" s="2142" t="s">
        <v>34</v>
      </c>
      <c r="E2270" s="2142" t="s">
        <v>25</v>
      </c>
      <c r="F2270" s="2142" t="s">
        <v>45</v>
      </c>
      <c r="G2270" s="2142" t="s">
        <v>74</v>
      </c>
      <c r="H2270" s="2140"/>
      <c r="I2270" s="2143" t="s">
        <v>3648</v>
      </c>
      <c r="J2270" s="2143" t="s">
        <v>3649</v>
      </c>
      <c r="K2270" s="2144">
        <v>100</v>
      </c>
      <c r="L2270" s="2145">
        <f>SUM(L2271)</f>
        <v>120000000</v>
      </c>
      <c r="M2270" s="2147">
        <v>100.02721088435374</v>
      </c>
      <c r="N2270" s="2145">
        <f>SUM(N2271)</f>
        <v>59600000</v>
      </c>
      <c r="O2270" s="2144">
        <v>18</v>
      </c>
      <c r="P2270" s="2145">
        <f>SUM(P2271)</f>
        <v>18375000</v>
      </c>
      <c r="Q2270" s="2144">
        <v>0</v>
      </c>
      <c r="R2270" s="2145">
        <f>SUM(R2271)</f>
        <v>0</v>
      </c>
      <c r="S2270" s="2144">
        <v>0</v>
      </c>
      <c r="T2270" s="2145">
        <f>SUM(T2271)</f>
        <v>0</v>
      </c>
      <c r="U2270" s="2147"/>
      <c r="V2270" s="2145">
        <f>SUM(V2271)</f>
        <v>0</v>
      </c>
      <c r="W2270" s="2144"/>
      <c r="X2270" s="2145">
        <f>SUM(X2271)</f>
        <v>0</v>
      </c>
      <c r="Y2270" s="2147">
        <f t="shared" si="657"/>
        <v>0</v>
      </c>
      <c r="Z2270" s="2145">
        <f t="shared" si="657"/>
        <v>0</v>
      </c>
      <c r="AA2270" s="2147">
        <f t="shared" si="658"/>
        <v>100.02721088435374</v>
      </c>
      <c r="AB2270" s="2145">
        <f t="shared" si="658"/>
        <v>59600000</v>
      </c>
      <c r="AC2270" s="2147">
        <f t="shared" si="659"/>
        <v>100.02721088435374</v>
      </c>
      <c r="AD2270" s="2147">
        <f t="shared" si="659"/>
        <v>49.666666666666664</v>
      </c>
      <c r="AE2270" s="2140" t="s">
        <v>3717</v>
      </c>
    </row>
    <row r="2271" spans="1:71" s="2131" customFormat="1" ht="25.5">
      <c r="A2271" s="2379"/>
      <c r="B2271" s="2162"/>
      <c r="C2271" s="2164">
        <v>5</v>
      </c>
      <c r="D2271" s="2164" t="s">
        <v>34</v>
      </c>
      <c r="E2271" s="2164" t="s">
        <v>25</v>
      </c>
      <c r="F2271" s="2164" t="s">
        <v>45</v>
      </c>
      <c r="G2271" s="2164" t="s">
        <v>74</v>
      </c>
      <c r="H2271" s="2164" t="s">
        <v>56</v>
      </c>
      <c r="I2271" s="2162" t="s">
        <v>2284</v>
      </c>
      <c r="J2271" s="2162" t="s">
        <v>3651</v>
      </c>
      <c r="K2271" s="2166">
        <v>6</v>
      </c>
      <c r="L2271" s="2167">
        <v>120000000</v>
      </c>
      <c r="M2271" s="2166">
        <v>3</v>
      </c>
      <c r="N2271" s="2167">
        <v>59600000</v>
      </c>
      <c r="O2271" s="2166">
        <v>1</v>
      </c>
      <c r="P2271" s="2167">
        <v>18375000</v>
      </c>
      <c r="Q2271" s="2166">
        <v>0</v>
      </c>
      <c r="R2271" s="2167">
        <v>0</v>
      </c>
      <c r="S2271" s="2166">
        <v>0</v>
      </c>
      <c r="T2271" s="2167">
        <v>0</v>
      </c>
      <c r="U2271" s="2166"/>
      <c r="V2271" s="2202"/>
      <c r="W2271" s="2166"/>
      <c r="X2271" s="2203"/>
      <c r="Y2271" s="2166">
        <f t="shared" si="657"/>
        <v>0</v>
      </c>
      <c r="Z2271" s="2203">
        <f t="shared" si="657"/>
        <v>0</v>
      </c>
      <c r="AA2271" s="2166">
        <f t="shared" si="658"/>
        <v>3</v>
      </c>
      <c r="AB2271" s="2203">
        <f t="shared" si="658"/>
        <v>59600000</v>
      </c>
      <c r="AC2271" s="2170">
        <f t="shared" si="659"/>
        <v>50</v>
      </c>
      <c r="AD2271" s="2170">
        <f t="shared" si="659"/>
        <v>49.666666666666664</v>
      </c>
      <c r="AE2271" s="2379"/>
    </row>
    <row r="2272" spans="1:71" s="2131" customFormat="1" ht="38.25">
      <c r="A2272" s="2196" t="s">
        <v>3559</v>
      </c>
      <c r="B2272" s="2194"/>
      <c r="C2272" s="2204">
        <v>5</v>
      </c>
      <c r="D2272" s="2205">
        <v>0</v>
      </c>
      <c r="E2272" s="2205">
        <v>1</v>
      </c>
      <c r="F2272" s="2205">
        <v>18</v>
      </c>
      <c r="G2272" s="2205">
        <v>18</v>
      </c>
      <c r="H2272" s="2205"/>
      <c r="I2272" s="2206" t="s">
        <v>3556</v>
      </c>
      <c r="J2272" s="2194" t="s">
        <v>2155</v>
      </c>
      <c r="K2272" s="2207">
        <v>150</v>
      </c>
      <c r="L2272" s="2208">
        <f>SUM(L2273)</f>
        <v>60534000</v>
      </c>
      <c r="M2272" s="2209">
        <v>115</v>
      </c>
      <c r="N2272" s="2208">
        <f>SUM(N2273)</f>
        <v>0</v>
      </c>
      <c r="O2272" s="2207">
        <v>30</v>
      </c>
      <c r="P2272" s="2208">
        <f>SUM(P2273)</f>
        <v>20178000</v>
      </c>
      <c r="Q2272" s="2210">
        <v>3</v>
      </c>
      <c r="R2272" s="2208">
        <f>SUM(R2273)</f>
        <v>0</v>
      </c>
      <c r="S2272" s="2210">
        <v>3</v>
      </c>
      <c r="T2272" s="2208">
        <f>SUM(T2273)</f>
        <v>0</v>
      </c>
      <c r="U2272" s="2210"/>
      <c r="V2272" s="2212">
        <f>SUM(V2273)</f>
        <v>0</v>
      </c>
      <c r="W2272" s="2210"/>
      <c r="X2272" s="2212">
        <f>SUM(X2273)</f>
        <v>0</v>
      </c>
      <c r="Y2272" s="2210">
        <f t="shared" si="657"/>
        <v>6</v>
      </c>
      <c r="Z2272" s="2213">
        <f t="shared" si="657"/>
        <v>0</v>
      </c>
      <c r="AA2272" s="2210">
        <f t="shared" si="658"/>
        <v>121</v>
      </c>
      <c r="AB2272" s="2213">
        <f t="shared" si="658"/>
        <v>0</v>
      </c>
      <c r="AC2272" s="2214">
        <f t="shared" si="659"/>
        <v>80.666666666666657</v>
      </c>
      <c r="AD2272" s="2214">
        <f t="shared" si="659"/>
        <v>0</v>
      </c>
      <c r="AE2272" s="2196" t="s">
        <v>3550</v>
      </c>
    </row>
    <row r="2273" spans="1:31" s="2131" customFormat="1" ht="38.25">
      <c r="A2273" s="2215">
        <v>1</v>
      </c>
      <c r="B2273" s="2198"/>
      <c r="C2273" s="2216">
        <v>5</v>
      </c>
      <c r="D2273" s="2217">
        <v>0</v>
      </c>
      <c r="E2273" s="2217">
        <v>1</v>
      </c>
      <c r="F2273" s="2217">
        <v>18</v>
      </c>
      <c r="G2273" s="2217">
        <v>18</v>
      </c>
      <c r="H2273" s="2217">
        <v>25</v>
      </c>
      <c r="I2273" s="2218" t="s">
        <v>3730</v>
      </c>
      <c r="J2273" s="2198" t="s">
        <v>3558</v>
      </c>
      <c r="K2273" s="2199">
        <v>36</v>
      </c>
      <c r="L2273" s="2200">
        <f>3*P2273</f>
        <v>60534000</v>
      </c>
      <c r="M2273" s="2201">
        <v>0</v>
      </c>
      <c r="N2273" s="2200"/>
      <c r="O2273" s="2199">
        <v>12</v>
      </c>
      <c r="P2273" s="2200">
        <v>20178000</v>
      </c>
      <c r="Q2273" s="2219">
        <v>3</v>
      </c>
      <c r="R2273" s="2200">
        <v>0</v>
      </c>
      <c r="S2273" s="2219">
        <v>3</v>
      </c>
      <c r="T2273" s="2200">
        <v>0</v>
      </c>
      <c r="U2273" s="2221"/>
      <c r="V2273" s="2220"/>
      <c r="W2273" s="2219"/>
      <c r="X2273" s="2222"/>
      <c r="Y2273" s="2219">
        <f t="shared" si="657"/>
        <v>6</v>
      </c>
      <c r="Z2273" s="2223">
        <f t="shared" si="657"/>
        <v>0</v>
      </c>
      <c r="AA2273" s="2219">
        <f t="shared" si="658"/>
        <v>6</v>
      </c>
      <c r="AB2273" s="2224">
        <f t="shared" si="658"/>
        <v>0</v>
      </c>
      <c r="AC2273" s="2225">
        <f t="shared" si="659"/>
        <v>16.666666666666664</v>
      </c>
      <c r="AD2273" s="2225">
        <f t="shared" si="659"/>
        <v>0</v>
      </c>
      <c r="AE2273" s="2215"/>
    </row>
    <row r="2274" spans="1:31" s="2131" customFormat="1" ht="63.75">
      <c r="A2274" s="2140" t="s">
        <v>3565</v>
      </c>
      <c r="B2274" s="2194"/>
      <c r="C2274" s="2142">
        <v>5</v>
      </c>
      <c r="D2274" s="2142" t="s">
        <v>34</v>
      </c>
      <c r="E2274" s="2142" t="s">
        <v>25</v>
      </c>
      <c r="F2274" s="2142" t="s">
        <v>45</v>
      </c>
      <c r="G2274" s="2142" t="s">
        <v>45</v>
      </c>
      <c r="H2274" s="2142"/>
      <c r="I2274" s="2143" t="s">
        <v>3653</v>
      </c>
      <c r="J2274" s="2143" t="s">
        <v>3654</v>
      </c>
      <c r="K2274" s="2144">
        <v>100</v>
      </c>
      <c r="L2274" s="2145">
        <f>L2275</f>
        <v>75310000</v>
      </c>
      <c r="M2274" s="2144">
        <v>50</v>
      </c>
      <c r="N2274" s="2145">
        <f>N2275</f>
        <v>33730000</v>
      </c>
      <c r="O2274" s="2144">
        <v>18</v>
      </c>
      <c r="P2274" s="2145">
        <f>P2275</f>
        <v>13125000</v>
      </c>
      <c r="Q2274" s="2144">
        <v>0</v>
      </c>
      <c r="R2274" s="2145">
        <f>R2275</f>
        <v>0</v>
      </c>
      <c r="S2274" s="2144">
        <v>0</v>
      </c>
      <c r="T2274" s="2145">
        <f>T2275</f>
        <v>0</v>
      </c>
      <c r="U2274" s="2144"/>
      <c r="V2274" s="2146">
        <f>V2275</f>
        <v>0</v>
      </c>
      <c r="W2274" s="2144"/>
      <c r="X2274" s="2146">
        <f>X2275</f>
        <v>0</v>
      </c>
      <c r="Y2274" s="2144">
        <f t="shared" si="657"/>
        <v>0</v>
      </c>
      <c r="Z2274" s="2145">
        <f t="shared" si="657"/>
        <v>0</v>
      </c>
      <c r="AA2274" s="2144">
        <f t="shared" si="658"/>
        <v>50</v>
      </c>
      <c r="AB2274" s="2145">
        <f t="shared" si="658"/>
        <v>33730000</v>
      </c>
      <c r="AC2274" s="2147">
        <f t="shared" si="659"/>
        <v>50</v>
      </c>
      <c r="AD2274" s="2147">
        <f t="shared" si="659"/>
        <v>44.788208737219492</v>
      </c>
      <c r="AE2274" s="2140" t="s">
        <v>3717</v>
      </c>
    </row>
    <row r="2275" spans="1:31" s="2131" customFormat="1" ht="51">
      <c r="A2275" s="2379"/>
      <c r="B2275" s="2162"/>
      <c r="C2275" s="2164">
        <v>5</v>
      </c>
      <c r="D2275" s="2164" t="s">
        <v>34</v>
      </c>
      <c r="E2275" s="2164" t="s">
        <v>25</v>
      </c>
      <c r="F2275" s="2164" t="s">
        <v>45</v>
      </c>
      <c r="G2275" s="2164" t="s">
        <v>45</v>
      </c>
      <c r="H2275" s="2164">
        <v>18</v>
      </c>
      <c r="I2275" s="2162" t="s">
        <v>3655</v>
      </c>
      <c r="J2275" s="2162" t="s">
        <v>3656</v>
      </c>
      <c r="K2275" s="2166">
        <v>6</v>
      </c>
      <c r="L2275" s="2167">
        <v>75310000</v>
      </c>
      <c r="M2275" s="2166">
        <v>3</v>
      </c>
      <c r="N2275" s="2167">
        <v>33730000</v>
      </c>
      <c r="O2275" s="2166">
        <v>1</v>
      </c>
      <c r="P2275" s="2167">
        <v>13125000</v>
      </c>
      <c r="Q2275" s="2167">
        <v>0</v>
      </c>
      <c r="R2275" s="2167">
        <v>0</v>
      </c>
      <c r="S2275" s="2167">
        <v>0</v>
      </c>
      <c r="T2275" s="2167">
        <v>0</v>
      </c>
      <c r="U2275" s="2166"/>
      <c r="V2275" s="2202"/>
      <c r="W2275" s="2166"/>
      <c r="X2275" s="2167"/>
      <c r="Y2275" s="2240">
        <f t="shared" si="657"/>
        <v>0</v>
      </c>
      <c r="Z2275" s="2203">
        <f t="shared" si="657"/>
        <v>0</v>
      </c>
      <c r="AA2275" s="2240">
        <f t="shared" si="658"/>
        <v>3</v>
      </c>
      <c r="AB2275" s="2203">
        <f t="shared" si="658"/>
        <v>33730000</v>
      </c>
      <c r="AC2275" s="2243">
        <f t="shared" si="659"/>
        <v>50</v>
      </c>
      <c r="AD2275" s="2243">
        <f t="shared" si="659"/>
        <v>44.788208737219492</v>
      </c>
      <c r="AE2275" s="2379"/>
    </row>
    <row r="2276" spans="1:31" s="2131" customFormat="1" ht="51">
      <c r="A2276" s="2140" t="s">
        <v>13</v>
      </c>
      <c r="B2276" s="2194"/>
      <c r="C2276" s="2142">
        <v>5</v>
      </c>
      <c r="D2276" s="2142" t="s">
        <v>34</v>
      </c>
      <c r="E2276" s="2142" t="s">
        <v>25</v>
      </c>
      <c r="F2276" s="2142" t="s">
        <v>45</v>
      </c>
      <c r="G2276" s="2142" t="s">
        <v>47</v>
      </c>
      <c r="H2276" s="2140"/>
      <c r="I2276" s="2143" t="s">
        <v>3661</v>
      </c>
      <c r="J2276" s="2143" t="s">
        <v>3662</v>
      </c>
      <c r="K2276" s="2144">
        <v>100</v>
      </c>
      <c r="L2276" s="2145">
        <f>SUM(L2277:L2278)</f>
        <v>192900000</v>
      </c>
      <c r="M2276" s="2144">
        <v>50</v>
      </c>
      <c r="N2276" s="2145">
        <f>SUM(N2277:N2278)</f>
        <v>94254700</v>
      </c>
      <c r="O2276" s="2144">
        <v>18</v>
      </c>
      <c r="P2276" s="2145">
        <f>SUM(P2277:P2278)</f>
        <v>62074700</v>
      </c>
      <c r="Q2276" s="2144">
        <v>4</v>
      </c>
      <c r="R2276" s="2145">
        <f>SUM(R2277:R2278)</f>
        <v>4635000</v>
      </c>
      <c r="S2276" s="2144">
        <v>4</v>
      </c>
      <c r="T2276" s="2145">
        <f>SUM(T2277:T2278)</f>
        <v>4635000</v>
      </c>
      <c r="U2276" s="2147"/>
      <c r="V2276" s="2146">
        <f>SUM(V2277:V2278)</f>
        <v>0</v>
      </c>
      <c r="W2276" s="2144"/>
      <c r="X2276" s="2146">
        <f>SUM(X2277:X2278)</f>
        <v>0</v>
      </c>
      <c r="Y2276" s="2147">
        <f t="shared" si="657"/>
        <v>8</v>
      </c>
      <c r="Z2276" s="2145">
        <f t="shared" si="657"/>
        <v>9270000</v>
      </c>
      <c r="AA2276" s="2147">
        <f t="shared" si="658"/>
        <v>58</v>
      </c>
      <c r="AB2276" s="2145">
        <f t="shared" si="658"/>
        <v>103524700</v>
      </c>
      <c r="AC2276" s="2147">
        <f t="shared" si="659"/>
        <v>57.999999999999993</v>
      </c>
      <c r="AD2276" s="2147">
        <f t="shared" si="659"/>
        <v>53.66754795230689</v>
      </c>
      <c r="AE2276" s="2140" t="s">
        <v>3717</v>
      </c>
    </row>
    <row r="2277" spans="1:31" s="2131" customFormat="1" ht="30.75" customHeight="1">
      <c r="A2277" s="2379"/>
      <c r="B2277" s="2162"/>
      <c r="C2277" s="2164">
        <v>5</v>
      </c>
      <c r="D2277" s="2164" t="s">
        <v>34</v>
      </c>
      <c r="E2277" s="2164" t="s">
        <v>25</v>
      </c>
      <c r="F2277" s="2164" t="s">
        <v>45</v>
      </c>
      <c r="G2277" s="2164" t="s">
        <v>47</v>
      </c>
      <c r="H2277" s="2151" t="s">
        <v>78</v>
      </c>
      <c r="I2277" s="2162" t="s">
        <v>231</v>
      </c>
      <c r="J2277" s="2162" t="s">
        <v>3731</v>
      </c>
      <c r="K2277" s="2166">
        <v>120</v>
      </c>
      <c r="L2277" s="2167">
        <v>45000000</v>
      </c>
      <c r="M2277" s="2166">
        <v>60</v>
      </c>
      <c r="N2277" s="2167">
        <v>22745000</v>
      </c>
      <c r="O2277" s="2166">
        <v>20</v>
      </c>
      <c r="P2277" s="2167">
        <v>22649700</v>
      </c>
      <c r="Q2277" s="2166">
        <v>3</v>
      </c>
      <c r="R2277" s="2167">
        <v>2705000</v>
      </c>
      <c r="S2277" s="2166">
        <v>3</v>
      </c>
      <c r="T2277" s="2167">
        <v>2705000</v>
      </c>
      <c r="U2277" s="2166"/>
      <c r="V2277" s="2202"/>
      <c r="W2277" s="2166"/>
      <c r="X2277" s="2167"/>
      <c r="Y2277" s="2166">
        <f t="shared" si="657"/>
        <v>6</v>
      </c>
      <c r="Z2277" s="2203">
        <f t="shared" si="657"/>
        <v>5410000</v>
      </c>
      <c r="AA2277" s="2166">
        <f t="shared" si="658"/>
        <v>66</v>
      </c>
      <c r="AB2277" s="2203">
        <f t="shared" si="658"/>
        <v>28155000</v>
      </c>
      <c r="AC2277" s="2170">
        <f t="shared" si="659"/>
        <v>55.000000000000007</v>
      </c>
      <c r="AD2277" s="2170">
        <f t="shared" si="659"/>
        <v>62.56666666666667</v>
      </c>
      <c r="AE2277" s="2379"/>
    </row>
    <row r="2278" spans="1:31" s="2131" customFormat="1" ht="38.25">
      <c r="A2278" s="2379"/>
      <c r="B2278" s="2162"/>
      <c r="C2278" s="2164">
        <v>5</v>
      </c>
      <c r="D2278" s="2164" t="s">
        <v>34</v>
      </c>
      <c r="E2278" s="2164" t="s">
        <v>25</v>
      </c>
      <c r="F2278" s="2164" t="s">
        <v>45</v>
      </c>
      <c r="G2278" s="2164" t="s">
        <v>47</v>
      </c>
      <c r="H2278" s="2151" t="s">
        <v>38</v>
      </c>
      <c r="I2278" s="2162" t="s">
        <v>3732</v>
      </c>
      <c r="J2278" s="2162" t="s">
        <v>3733</v>
      </c>
      <c r="K2278" s="2166">
        <v>120</v>
      </c>
      <c r="L2278" s="2167">
        <v>147900000</v>
      </c>
      <c r="M2278" s="2166">
        <v>60</v>
      </c>
      <c r="N2278" s="2167">
        <v>71509700</v>
      </c>
      <c r="O2278" s="2166">
        <v>20</v>
      </c>
      <c r="P2278" s="2167">
        <v>39425000</v>
      </c>
      <c r="Q2278" s="2166">
        <v>3</v>
      </c>
      <c r="R2278" s="2167">
        <v>1930000</v>
      </c>
      <c r="S2278" s="2166">
        <v>3</v>
      </c>
      <c r="T2278" s="2167">
        <v>1930000</v>
      </c>
      <c r="U2278" s="2166"/>
      <c r="V2278" s="2202"/>
      <c r="W2278" s="2166"/>
      <c r="X2278" s="2167"/>
      <c r="Y2278" s="2166">
        <f t="shared" si="657"/>
        <v>6</v>
      </c>
      <c r="Z2278" s="2203">
        <f t="shared" si="657"/>
        <v>3860000</v>
      </c>
      <c r="AA2278" s="2166">
        <f t="shared" si="658"/>
        <v>66</v>
      </c>
      <c r="AB2278" s="2203">
        <f t="shared" si="658"/>
        <v>75369700</v>
      </c>
      <c r="AC2278" s="2170">
        <f t="shared" si="659"/>
        <v>55.000000000000007</v>
      </c>
      <c r="AD2278" s="2170">
        <f t="shared" si="659"/>
        <v>50.95990534144692</v>
      </c>
      <c r="AE2278" s="2379"/>
    </row>
    <row r="2279" spans="1:31" s="2131" customFormat="1" ht="63.75">
      <c r="A2279" s="2140" t="s">
        <v>3577</v>
      </c>
      <c r="B2279" s="2194"/>
      <c r="C2279" s="2142">
        <v>5</v>
      </c>
      <c r="D2279" s="2142" t="s">
        <v>34</v>
      </c>
      <c r="E2279" s="2142" t="s">
        <v>25</v>
      </c>
      <c r="F2279" s="2142" t="s">
        <v>45</v>
      </c>
      <c r="G2279" s="2142" t="s">
        <v>3613</v>
      </c>
      <c r="H2279" s="2140"/>
      <c r="I2279" s="2143" t="s">
        <v>3614</v>
      </c>
      <c r="J2279" s="2143" t="s">
        <v>3615</v>
      </c>
      <c r="K2279" s="2144">
        <v>100</v>
      </c>
      <c r="L2279" s="2145">
        <f>SUM(L2280:L2283)</f>
        <v>264900000</v>
      </c>
      <c r="M2279" s="2144">
        <v>70</v>
      </c>
      <c r="N2279" s="2145">
        <f>SUM(N2280:N2283)</f>
        <v>88763000</v>
      </c>
      <c r="O2279" s="2144">
        <v>20</v>
      </c>
      <c r="P2279" s="2145">
        <f>SUM(P2280:P2283)</f>
        <v>6298000</v>
      </c>
      <c r="Q2279" s="2144">
        <v>0</v>
      </c>
      <c r="R2279" s="2145">
        <f>SUM(R2280:R2283)</f>
        <v>0</v>
      </c>
      <c r="S2279" s="2144">
        <v>0</v>
      </c>
      <c r="T2279" s="2145">
        <f>SUM(T2280:T2283)</f>
        <v>0</v>
      </c>
      <c r="U2279" s="2144"/>
      <c r="V2279" s="2145">
        <f>SUM(V2280:V2283)</f>
        <v>0</v>
      </c>
      <c r="W2279" s="2144"/>
      <c r="X2279" s="2145">
        <f>SUM(X2280:X2283)</f>
        <v>0</v>
      </c>
      <c r="Y2279" s="2195">
        <f t="shared" si="657"/>
        <v>0</v>
      </c>
      <c r="Z2279" s="2145">
        <f t="shared" si="657"/>
        <v>0</v>
      </c>
      <c r="AA2279" s="2147">
        <f t="shared" si="658"/>
        <v>70</v>
      </c>
      <c r="AB2279" s="2145">
        <f t="shared" si="658"/>
        <v>88763000</v>
      </c>
      <c r="AC2279" s="2147">
        <f t="shared" si="659"/>
        <v>70</v>
      </c>
      <c r="AD2279" s="2147">
        <f t="shared" si="659"/>
        <v>33.508116270290678</v>
      </c>
      <c r="AE2279" s="2140" t="s">
        <v>3717</v>
      </c>
    </row>
    <row r="2280" spans="1:31" s="2131" customFormat="1" ht="38.25">
      <c r="A2280" s="2379"/>
      <c r="B2280" s="2162"/>
      <c r="C2280" s="2164">
        <v>5</v>
      </c>
      <c r="D2280" s="2164" t="s">
        <v>34</v>
      </c>
      <c r="E2280" s="2164" t="s">
        <v>25</v>
      </c>
      <c r="F2280" s="2164" t="s">
        <v>45</v>
      </c>
      <c r="G2280" s="2273" t="s">
        <v>3613</v>
      </c>
      <c r="H2280" s="2151" t="s">
        <v>39</v>
      </c>
      <c r="I2280" s="2162" t="s">
        <v>3734</v>
      </c>
      <c r="J2280" s="2162" t="s">
        <v>3735</v>
      </c>
      <c r="K2280" s="2166">
        <v>120</v>
      </c>
      <c r="L2280" s="2167">
        <v>147900000</v>
      </c>
      <c r="M2280" s="2166">
        <v>60</v>
      </c>
      <c r="N2280" s="2167">
        <v>64795000</v>
      </c>
      <c r="O2280" s="2167">
        <v>0</v>
      </c>
      <c r="P2280" s="2167">
        <v>0</v>
      </c>
      <c r="Q2280" s="2167">
        <v>0</v>
      </c>
      <c r="R2280" s="2167">
        <v>0</v>
      </c>
      <c r="S2280" s="2167">
        <v>0</v>
      </c>
      <c r="T2280" s="2167">
        <v>0</v>
      </c>
      <c r="U2280" s="2166"/>
      <c r="V2280" s="2202"/>
      <c r="W2280" s="2166"/>
      <c r="X2280" s="2167"/>
      <c r="Y2280" s="2166">
        <f t="shared" si="657"/>
        <v>0</v>
      </c>
      <c r="Z2280" s="2203">
        <f t="shared" si="657"/>
        <v>0</v>
      </c>
      <c r="AA2280" s="2166">
        <f t="shared" si="658"/>
        <v>60</v>
      </c>
      <c r="AB2280" s="2203">
        <f t="shared" si="658"/>
        <v>64795000</v>
      </c>
      <c r="AC2280" s="2170">
        <f t="shared" si="659"/>
        <v>50</v>
      </c>
      <c r="AD2280" s="2170">
        <f t="shared" si="659"/>
        <v>43.810006761325219</v>
      </c>
      <c r="AE2280" s="2379"/>
    </row>
    <row r="2281" spans="1:31" s="2131" customFormat="1" ht="38.25">
      <c r="A2281" s="2379"/>
      <c r="B2281" s="2162"/>
      <c r="C2281" s="2164">
        <v>5</v>
      </c>
      <c r="D2281" s="2164" t="s">
        <v>34</v>
      </c>
      <c r="E2281" s="2164" t="s">
        <v>25</v>
      </c>
      <c r="F2281" s="2164" t="s">
        <v>45</v>
      </c>
      <c r="G2281" s="2273" t="s">
        <v>3613</v>
      </c>
      <c r="H2281" s="2151" t="s">
        <v>38</v>
      </c>
      <c r="I2281" s="2162" t="s">
        <v>3665</v>
      </c>
      <c r="J2281" s="2162" t="s">
        <v>3666</v>
      </c>
      <c r="K2281" s="2166">
        <v>72</v>
      </c>
      <c r="L2281" s="2167">
        <v>27000000</v>
      </c>
      <c r="M2281" s="2166">
        <v>36</v>
      </c>
      <c r="N2281" s="2167">
        <v>14805000</v>
      </c>
      <c r="O2281" s="2167">
        <v>0</v>
      </c>
      <c r="P2281" s="2167">
        <v>0</v>
      </c>
      <c r="Q2281" s="2167">
        <v>0</v>
      </c>
      <c r="R2281" s="2167">
        <v>0</v>
      </c>
      <c r="S2281" s="2167">
        <v>0</v>
      </c>
      <c r="T2281" s="2167">
        <v>0</v>
      </c>
      <c r="U2281" s="2166"/>
      <c r="V2281" s="2202"/>
      <c r="W2281" s="2166"/>
      <c r="X2281" s="2167"/>
      <c r="Y2281" s="2166">
        <f t="shared" si="657"/>
        <v>0</v>
      </c>
      <c r="Z2281" s="2203">
        <f t="shared" si="657"/>
        <v>0</v>
      </c>
      <c r="AA2281" s="2166">
        <f t="shared" si="658"/>
        <v>36</v>
      </c>
      <c r="AB2281" s="2203">
        <f t="shared" si="658"/>
        <v>14805000</v>
      </c>
      <c r="AC2281" s="2170">
        <f t="shared" si="659"/>
        <v>50</v>
      </c>
      <c r="AD2281" s="2170">
        <f t="shared" si="659"/>
        <v>54.833333333333336</v>
      </c>
      <c r="AE2281" s="2379"/>
    </row>
    <row r="2282" spans="1:31" s="2131" customFormat="1" ht="51">
      <c r="A2282" s="2379"/>
      <c r="B2282" s="2162"/>
      <c r="C2282" s="2164">
        <v>5</v>
      </c>
      <c r="D2282" s="2164" t="s">
        <v>34</v>
      </c>
      <c r="E2282" s="2164" t="s">
        <v>25</v>
      </c>
      <c r="F2282" s="2164" t="s">
        <v>45</v>
      </c>
      <c r="G2282" s="2273" t="s">
        <v>3613</v>
      </c>
      <c r="H2282" s="2151" t="s">
        <v>30</v>
      </c>
      <c r="I2282" s="2162" t="s">
        <v>3616</v>
      </c>
      <c r="J2282" s="2162" t="s">
        <v>225</v>
      </c>
      <c r="K2282" s="2166">
        <v>72</v>
      </c>
      <c r="L2282" s="2167">
        <v>45000000</v>
      </c>
      <c r="M2282" s="2166">
        <v>36</v>
      </c>
      <c r="N2282" s="2167">
        <v>9163000</v>
      </c>
      <c r="O2282" s="2167">
        <v>0</v>
      </c>
      <c r="P2282" s="2167">
        <v>0</v>
      </c>
      <c r="Q2282" s="2167">
        <v>0</v>
      </c>
      <c r="R2282" s="2167">
        <v>0</v>
      </c>
      <c r="S2282" s="2167">
        <v>0</v>
      </c>
      <c r="T2282" s="2167">
        <v>0</v>
      </c>
      <c r="U2282" s="2166"/>
      <c r="V2282" s="2202"/>
      <c r="W2282" s="2166"/>
      <c r="X2282" s="2167"/>
      <c r="Y2282" s="2166">
        <f t="shared" si="657"/>
        <v>0</v>
      </c>
      <c r="Z2282" s="2203">
        <f t="shared" si="657"/>
        <v>0</v>
      </c>
      <c r="AA2282" s="2166">
        <f t="shared" si="658"/>
        <v>36</v>
      </c>
      <c r="AB2282" s="2203">
        <f t="shared" si="658"/>
        <v>9163000</v>
      </c>
      <c r="AC2282" s="2170">
        <f t="shared" si="659"/>
        <v>50</v>
      </c>
      <c r="AD2282" s="2170">
        <f t="shared" si="659"/>
        <v>20.362222222222222</v>
      </c>
      <c r="AE2282" s="2379"/>
    </row>
    <row r="2283" spans="1:31" s="2131" customFormat="1" ht="51">
      <c r="A2283" s="2379"/>
      <c r="B2283" s="2162"/>
      <c r="C2283" s="2164">
        <v>5</v>
      </c>
      <c r="D2283" s="2164" t="s">
        <v>34</v>
      </c>
      <c r="E2283" s="2164" t="s">
        <v>25</v>
      </c>
      <c r="F2283" s="2164" t="s">
        <v>45</v>
      </c>
      <c r="G2283" s="2273" t="s">
        <v>3613</v>
      </c>
      <c r="H2283" s="2151" t="s">
        <v>43</v>
      </c>
      <c r="I2283" s="2162" t="s">
        <v>1942</v>
      </c>
      <c r="J2283" s="2162" t="s">
        <v>225</v>
      </c>
      <c r="K2283" s="2166">
        <v>36</v>
      </c>
      <c r="L2283" s="2167">
        <v>45000000</v>
      </c>
      <c r="M2283" s="2166">
        <v>0</v>
      </c>
      <c r="N2283" s="2167">
        <v>0</v>
      </c>
      <c r="O2283" s="2166">
        <v>12</v>
      </c>
      <c r="P2283" s="2167">
        <v>6298000</v>
      </c>
      <c r="Q2283" s="2166">
        <v>3</v>
      </c>
      <c r="R2283" s="2167">
        <v>0</v>
      </c>
      <c r="S2283" s="2166">
        <v>3</v>
      </c>
      <c r="T2283" s="2167">
        <v>0</v>
      </c>
      <c r="U2283" s="2166"/>
      <c r="V2283" s="2202"/>
      <c r="W2283" s="2166"/>
      <c r="X2283" s="2167"/>
      <c r="Y2283" s="2166">
        <f t="shared" si="657"/>
        <v>6</v>
      </c>
      <c r="Z2283" s="2203">
        <f t="shared" si="657"/>
        <v>0</v>
      </c>
      <c r="AA2283" s="2166">
        <f t="shared" si="658"/>
        <v>6</v>
      </c>
      <c r="AB2283" s="2203">
        <f t="shared" si="658"/>
        <v>0</v>
      </c>
      <c r="AC2283" s="2170">
        <f t="shared" si="659"/>
        <v>16.666666666666664</v>
      </c>
      <c r="AD2283" s="2170">
        <f t="shared" si="659"/>
        <v>0</v>
      </c>
      <c r="AE2283" s="2379"/>
    </row>
    <row r="2284" spans="1:31" s="2131" customFormat="1" ht="63.75">
      <c r="A2284" s="2140" t="s">
        <v>19</v>
      </c>
      <c r="B2284" s="2194"/>
      <c r="C2284" s="2142">
        <v>5</v>
      </c>
      <c r="D2284" s="2142" t="s">
        <v>34</v>
      </c>
      <c r="E2284" s="2142" t="s">
        <v>25</v>
      </c>
      <c r="F2284" s="2142" t="s">
        <v>45</v>
      </c>
      <c r="G2284" s="2142" t="s">
        <v>3667</v>
      </c>
      <c r="H2284" s="2140"/>
      <c r="I2284" s="2143" t="s">
        <v>3668</v>
      </c>
      <c r="J2284" s="2143" t="s">
        <v>3669</v>
      </c>
      <c r="K2284" s="2144">
        <v>100</v>
      </c>
      <c r="L2284" s="2145">
        <f>SUM(L2285:L2289)</f>
        <v>584023000</v>
      </c>
      <c r="M2284" s="2144">
        <v>52</v>
      </c>
      <c r="N2284" s="2145">
        <f>SUM(N2285:N2289)</f>
        <v>251050400</v>
      </c>
      <c r="O2284" s="2144">
        <v>20</v>
      </c>
      <c r="P2284" s="2145">
        <f>SUM(P2285:P2289)</f>
        <v>61820200</v>
      </c>
      <c r="Q2284" s="2144">
        <v>0</v>
      </c>
      <c r="R2284" s="2145">
        <f>SUM(R2285:R2289)</f>
        <v>16781000</v>
      </c>
      <c r="S2284" s="2144">
        <v>0</v>
      </c>
      <c r="T2284" s="2145">
        <f>SUM(T2285:T2289)</f>
        <v>6781000</v>
      </c>
      <c r="U2284" s="2147"/>
      <c r="V2284" s="2145">
        <f>SUM(V2285:V2289)</f>
        <v>0</v>
      </c>
      <c r="W2284" s="2144"/>
      <c r="X2284" s="2145">
        <f>SUM(X2285:X2289)</f>
        <v>0</v>
      </c>
      <c r="Y2284" s="2147">
        <f t="shared" si="657"/>
        <v>0</v>
      </c>
      <c r="Z2284" s="2145">
        <f t="shared" si="657"/>
        <v>23562000</v>
      </c>
      <c r="AA2284" s="2147">
        <f t="shared" si="658"/>
        <v>52</v>
      </c>
      <c r="AB2284" s="2145">
        <f t="shared" si="658"/>
        <v>274612400</v>
      </c>
      <c r="AC2284" s="2147">
        <f t="shared" si="659"/>
        <v>52</v>
      </c>
      <c r="AD2284" s="2147">
        <f t="shared" si="659"/>
        <v>47.020819385537898</v>
      </c>
      <c r="AE2284" s="2140" t="s">
        <v>3717</v>
      </c>
    </row>
    <row r="2285" spans="1:31" s="2131" customFormat="1" ht="25.5">
      <c r="A2285" s="2267"/>
      <c r="B2285" s="2253"/>
      <c r="C2285" s="2164">
        <v>5</v>
      </c>
      <c r="D2285" s="2164" t="s">
        <v>34</v>
      </c>
      <c r="E2285" s="2164" t="s">
        <v>25</v>
      </c>
      <c r="F2285" s="2164" t="s">
        <v>45</v>
      </c>
      <c r="G2285" s="2164" t="s">
        <v>3667</v>
      </c>
      <c r="H2285" s="2254" t="s">
        <v>25</v>
      </c>
      <c r="I2285" s="2171" t="s">
        <v>3551</v>
      </c>
      <c r="J2285" s="2171" t="s">
        <v>3670</v>
      </c>
      <c r="K2285" s="2255">
        <v>60</v>
      </c>
      <c r="L2285" s="2203">
        <v>188580500</v>
      </c>
      <c r="M2285" s="2256">
        <v>25</v>
      </c>
      <c r="N2285" s="2257">
        <v>103077900</v>
      </c>
      <c r="O2285" s="2255">
        <v>10</v>
      </c>
      <c r="P2285" s="2258">
        <v>36060000</v>
      </c>
      <c r="Q2285" s="2256">
        <v>1</v>
      </c>
      <c r="R2285" s="2203">
        <v>2805000</v>
      </c>
      <c r="S2285" s="2256">
        <v>1</v>
      </c>
      <c r="T2285" s="2203">
        <v>2805000</v>
      </c>
      <c r="U2285" s="2255"/>
      <c r="V2285" s="2258"/>
      <c r="W2285" s="2255"/>
      <c r="X2285" s="2203"/>
      <c r="Y2285" s="2240">
        <f t="shared" si="657"/>
        <v>2</v>
      </c>
      <c r="Z2285" s="2203">
        <f t="shared" si="657"/>
        <v>5610000</v>
      </c>
      <c r="AA2285" s="2240">
        <f t="shared" si="658"/>
        <v>27</v>
      </c>
      <c r="AB2285" s="2203">
        <f t="shared" si="658"/>
        <v>108687900</v>
      </c>
      <c r="AC2285" s="2243">
        <f t="shared" si="659"/>
        <v>45</v>
      </c>
      <c r="AD2285" s="2243">
        <f t="shared" si="659"/>
        <v>57.634750146489168</v>
      </c>
      <c r="AE2285" s="2267"/>
    </row>
    <row r="2286" spans="1:31" s="2131" customFormat="1" ht="38.25">
      <c r="A2286" s="2267"/>
      <c r="B2286" s="2253"/>
      <c r="C2286" s="2164">
        <v>5</v>
      </c>
      <c r="D2286" s="2164" t="s">
        <v>34</v>
      </c>
      <c r="E2286" s="2164" t="s">
        <v>25</v>
      </c>
      <c r="F2286" s="2164" t="s">
        <v>45</v>
      </c>
      <c r="G2286" s="2164" t="s">
        <v>3667</v>
      </c>
      <c r="H2286" s="2254" t="s">
        <v>28</v>
      </c>
      <c r="I2286" s="2171" t="s">
        <v>3671</v>
      </c>
      <c r="J2286" s="2171" t="s">
        <v>3672</v>
      </c>
      <c r="K2286" s="2255">
        <v>6</v>
      </c>
      <c r="L2286" s="2268">
        <v>137849500</v>
      </c>
      <c r="M2286" s="2256">
        <v>2</v>
      </c>
      <c r="N2286" s="2257">
        <v>40018000</v>
      </c>
      <c r="O2286" s="2255">
        <v>1</v>
      </c>
      <c r="P2286" s="2258">
        <v>3870000</v>
      </c>
      <c r="Q2286" s="2257">
        <v>0</v>
      </c>
      <c r="R2286" s="2203">
        <v>0</v>
      </c>
      <c r="S2286" s="2257">
        <v>0</v>
      </c>
      <c r="T2286" s="2203">
        <v>0</v>
      </c>
      <c r="U2286" s="2255"/>
      <c r="V2286" s="2255"/>
      <c r="W2286" s="2255"/>
      <c r="X2286" s="2203"/>
      <c r="Y2286" s="2240">
        <f t="shared" si="657"/>
        <v>0</v>
      </c>
      <c r="Z2286" s="2203">
        <f t="shared" si="657"/>
        <v>0</v>
      </c>
      <c r="AA2286" s="2240">
        <f t="shared" si="658"/>
        <v>2</v>
      </c>
      <c r="AB2286" s="2203">
        <f t="shared" si="658"/>
        <v>40018000</v>
      </c>
      <c r="AC2286" s="2243">
        <f t="shared" si="659"/>
        <v>33.333333333333329</v>
      </c>
      <c r="AD2286" s="2243">
        <f t="shared" si="659"/>
        <v>29.030210483171864</v>
      </c>
      <c r="AE2286" s="2267"/>
    </row>
    <row r="2287" spans="1:31" s="2131" customFormat="1" ht="51">
      <c r="A2287" s="2267"/>
      <c r="B2287" s="2253"/>
      <c r="C2287" s="2164">
        <v>5</v>
      </c>
      <c r="D2287" s="2164" t="s">
        <v>34</v>
      </c>
      <c r="E2287" s="2164" t="s">
        <v>25</v>
      </c>
      <c r="F2287" s="2164" t="s">
        <v>45</v>
      </c>
      <c r="G2287" s="2164" t="s">
        <v>3667</v>
      </c>
      <c r="H2287" s="2254" t="s">
        <v>78</v>
      </c>
      <c r="I2287" s="2162" t="s">
        <v>3736</v>
      </c>
      <c r="J2287" s="2171" t="s">
        <v>3737</v>
      </c>
      <c r="K2287" s="2255">
        <v>4</v>
      </c>
      <c r="L2287" s="2203">
        <v>10000000</v>
      </c>
      <c r="M2287" s="2256">
        <v>1</v>
      </c>
      <c r="N2287" s="2256">
        <v>1760000</v>
      </c>
      <c r="O2287" s="2255">
        <v>1</v>
      </c>
      <c r="P2287" s="2258">
        <v>1760000</v>
      </c>
      <c r="Q2287" s="2256">
        <v>0</v>
      </c>
      <c r="R2287" s="2203">
        <v>0</v>
      </c>
      <c r="S2287" s="2256">
        <v>0</v>
      </c>
      <c r="T2287" s="2203">
        <v>0</v>
      </c>
      <c r="U2287" s="2255"/>
      <c r="V2287" s="2258"/>
      <c r="W2287" s="2255"/>
      <c r="X2287" s="2203"/>
      <c r="Y2287" s="2240">
        <f t="shared" si="657"/>
        <v>0</v>
      </c>
      <c r="Z2287" s="2203">
        <f t="shared" si="657"/>
        <v>0</v>
      </c>
      <c r="AA2287" s="2240">
        <f t="shared" si="658"/>
        <v>1</v>
      </c>
      <c r="AB2287" s="2203">
        <f t="shared" si="658"/>
        <v>1760000</v>
      </c>
      <c r="AC2287" s="2243">
        <f t="shared" si="659"/>
        <v>25</v>
      </c>
      <c r="AD2287" s="2243">
        <f t="shared" si="659"/>
        <v>17.599999999999998</v>
      </c>
      <c r="AE2287" s="2267"/>
    </row>
    <row r="2288" spans="1:31" s="2131" customFormat="1" ht="63.75">
      <c r="A2288" s="2267"/>
      <c r="B2288" s="2253"/>
      <c r="C2288" s="2164">
        <v>5</v>
      </c>
      <c r="D2288" s="2164" t="s">
        <v>34</v>
      </c>
      <c r="E2288" s="2164" t="s">
        <v>25</v>
      </c>
      <c r="F2288" s="2164" t="s">
        <v>45</v>
      </c>
      <c r="G2288" s="2164" t="s">
        <v>3667</v>
      </c>
      <c r="H2288" s="2254" t="s">
        <v>39</v>
      </c>
      <c r="I2288" s="2171" t="s">
        <v>3673</v>
      </c>
      <c r="J2288" s="2171" t="s">
        <v>3674</v>
      </c>
      <c r="K2288" s="2255">
        <v>6</v>
      </c>
      <c r="L2288" s="2203">
        <v>171393000</v>
      </c>
      <c r="M2288" s="2256">
        <v>3</v>
      </c>
      <c r="N2288" s="2257">
        <v>68841500</v>
      </c>
      <c r="O2288" s="2255">
        <v>1</v>
      </c>
      <c r="P2288" s="2258">
        <v>20130200</v>
      </c>
      <c r="Q2288" s="2256">
        <v>1</v>
      </c>
      <c r="R2288" s="2203">
        <v>13976000</v>
      </c>
      <c r="S2288" s="2256">
        <v>0</v>
      </c>
      <c r="T2288" s="2203">
        <v>3976000</v>
      </c>
      <c r="U2288" s="2255"/>
      <c r="V2288" s="2258"/>
      <c r="W2288" s="2255"/>
      <c r="X2288" s="2203"/>
      <c r="Y2288" s="2240">
        <f t="shared" si="657"/>
        <v>1</v>
      </c>
      <c r="Z2288" s="2203">
        <f t="shared" si="657"/>
        <v>17952000</v>
      </c>
      <c r="AA2288" s="2240">
        <f t="shared" si="658"/>
        <v>4</v>
      </c>
      <c r="AB2288" s="2203">
        <f t="shared" si="658"/>
        <v>86793500</v>
      </c>
      <c r="AC2288" s="2243">
        <f t="shared" si="659"/>
        <v>66.666666666666657</v>
      </c>
      <c r="AD2288" s="2243">
        <f t="shared" si="659"/>
        <v>50.640049476933136</v>
      </c>
      <c r="AE2288" s="2267"/>
    </row>
    <row r="2289" spans="1:71" s="2131" customFormat="1" ht="38.25">
      <c r="A2289" s="2267"/>
      <c r="B2289" s="2253"/>
      <c r="C2289" s="2164">
        <v>5</v>
      </c>
      <c r="D2289" s="2164" t="s">
        <v>34</v>
      </c>
      <c r="E2289" s="2164" t="s">
        <v>25</v>
      </c>
      <c r="F2289" s="2164" t="s">
        <v>45</v>
      </c>
      <c r="G2289" s="2164" t="s">
        <v>3667</v>
      </c>
      <c r="H2289" s="2254" t="s">
        <v>56</v>
      </c>
      <c r="I2289" s="2171" t="s">
        <v>3678</v>
      </c>
      <c r="J2289" s="2171" t="s">
        <v>3679</v>
      </c>
      <c r="K2289" s="2255">
        <v>150</v>
      </c>
      <c r="L2289" s="2203">
        <v>76200000</v>
      </c>
      <c r="M2289" s="2256">
        <v>52</v>
      </c>
      <c r="N2289" s="2257">
        <v>37353000</v>
      </c>
      <c r="O2289" s="2255">
        <v>0</v>
      </c>
      <c r="P2289" s="2258">
        <v>0</v>
      </c>
      <c r="Q2289" s="2256">
        <v>0</v>
      </c>
      <c r="R2289" s="2203">
        <v>0</v>
      </c>
      <c r="S2289" s="2256">
        <v>0</v>
      </c>
      <c r="T2289" s="2203">
        <v>0</v>
      </c>
      <c r="U2289" s="2255"/>
      <c r="V2289" s="2258"/>
      <c r="W2289" s="2255"/>
      <c r="X2289" s="2203"/>
      <c r="Y2289" s="2240">
        <f t="shared" si="657"/>
        <v>0</v>
      </c>
      <c r="Z2289" s="2203">
        <f t="shared" si="657"/>
        <v>0</v>
      </c>
      <c r="AA2289" s="2240">
        <f t="shared" si="658"/>
        <v>52</v>
      </c>
      <c r="AB2289" s="2203">
        <f t="shared" si="658"/>
        <v>37353000</v>
      </c>
      <c r="AC2289" s="2243">
        <f t="shared" si="659"/>
        <v>34.666666666666671</v>
      </c>
      <c r="AD2289" s="2243">
        <f t="shared" si="659"/>
        <v>49.019685039370081</v>
      </c>
      <c r="AE2289" s="2267"/>
    </row>
    <row r="2290" spans="1:71" s="2274" customFormat="1" ht="51">
      <c r="A2290" s="2140" t="s">
        <v>3589</v>
      </c>
      <c r="B2290" s="2140"/>
      <c r="C2290" s="2142">
        <v>5</v>
      </c>
      <c r="D2290" s="2142" t="s">
        <v>34</v>
      </c>
      <c r="E2290" s="2142" t="s">
        <v>25</v>
      </c>
      <c r="F2290" s="2142" t="s">
        <v>45</v>
      </c>
      <c r="G2290" s="2142" t="s">
        <v>3619</v>
      </c>
      <c r="H2290" s="2140"/>
      <c r="I2290" s="2143" t="s">
        <v>3738</v>
      </c>
      <c r="J2290" s="2143" t="s">
        <v>3739</v>
      </c>
      <c r="K2290" s="2144">
        <v>10</v>
      </c>
      <c r="L2290" s="2145">
        <f>L2291</f>
        <v>27459800</v>
      </c>
      <c r="M2290" s="2144">
        <v>2</v>
      </c>
      <c r="N2290" s="2145">
        <f>N2291</f>
        <v>3410000</v>
      </c>
      <c r="O2290" s="2144">
        <v>2</v>
      </c>
      <c r="P2290" s="2145">
        <f>P2291</f>
        <v>10747000</v>
      </c>
      <c r="Q2290" s="2144">
        <v>0</v>
      </c>
      <c r="R2290" s="2145">
        <f>R2291</f>
        <v>1200000</v>
      </c>
      <c r="S2290" s="2144">
        <v>0</v>
      </c>
      <c r="T2290" s="2145">
        <f>T2291</f>
        <v>1200000</v>
      </c>
      <c r="U2290" s="2147"/>
      <c r="V2290" s="2146">
        <f>V2291</f>
        <v>0</v>
      </c>
      <c r="W2290" s="2144"/>
      <c r="X2290" s="2146">
        <f>X2291</f>
        <v>0</v>
      </c>
      <c r="Y2290" s="2147">
        <f t="shared" si="657"/>
        <v>0</v>
      </c>
      <c r="Z2290" s="2145">
        <f t="shared" si="657"/>
        <v>2400000</v>
      </c>
      <c r="AA2290" s="2147">
        <f t="shared" si="658"/>
        <v>2</v>
      </c>
      <c r="AB2290" s="2145">
        <f t="shared" si="658"/>
        <v>5810000</v>
      </c>
      <c r="AC2290" s="2147">
        <f t="shared" si="659"/>
        <v>20</v>
      </c>
      <c r="AD2290" s="2147">
        <f t="shared" si="659"/>
        <v>21.1582021719022</v>
      </c>
      <c r="AE2290" s="2140" t="s">
        <v>3717</v>
      </c>
    </row>
    <row r="2291" spans="1:71" s="2131" customFormat="1" ht="40.5" customHeight="1">
      <c r="A2291" s="2165"/>
      <c r="B2291" s="2275"/>
      <c r="C2291" s="2164">
        <v>5</v>
      </c>
      <c r="D2291" s="2164" t="s">
        <v>34</v>
      </c>
      <c r="E2291" s="2164" t="s">
        <v>25</v>
      </c>
      <c r="F2291" s="2164" t="s">
        <v>45</v>
      </c>
      <c r="G2291" s="2164" t="s">
        <v>3619</v>
      </c>
      <c r="H2291" s="2151" t="s">
        <v>25</v>
      </c>
      <c r="I2291" s="2153" t="s">
        <v>3740</v>
      </c>
      <c r="J2291" s="2153" t="s">
        <v>3741</v>
      </c>
      <c r="K2291" s="2154">
        <v>10</v>
      </c>
      <c r="L2291" s="2155">
        <v>27459800</v>
      </c>
      <c r="M2291" s="2156">
        <v>2</v>
      </c>
      <c r="N2291" s="2156">
        <v>3410000</v>
      </c>
      <c r="O2291" s="2154">
        <v>2</v>
      </c>
      <c r="P2291" s="2158">
        <v>10747000</v>
      </c>
      <c r="Q2291" s="2156">
        <v>0</v>
      </c>
      <c r="R2291" s="2155">
        <v>1200000</v>
      </c>
      <c r="S2291" s="2156">
        <v>0</v>
      </c>
      <c r="T2291" s="2155">
        <v>1200000</v>
      </c>
      <c r="U2291" s="2154"/>
      <c r="V2291" s="2158"/>
      <c r="W2291" s="2154"/>
      <c r="X2291" s="2155"/>
      <c r="Y2291" s="2154">
        <f t="shared" si="657"/>
        <v>0</v>
      </c>
      <c r="Z2291" s="2203">
        <f t="shared" si="657"/>
        <v>2400000</v>
      </c>
      <c r="AA2291" s="2154">
        <f t="shared" si="658"/>
        <v>2</v>
      </c>
      <c r="AB2291" s="2203">
        <f t="shared" si="658"/>
        <v>5810000</v>
      </c>
      <c r="AC2291" s="2160">
        <f t="shared" si="659"/>
        <v>20</v>
      </c>
      <c r="AD2291" s="2160">
        <f t="shared" si="659"/>
        <v>21.1582021719022</v>
      </c>
      <c r="AE2291" s="2165"/>
    </row>
    <row r="2292" spans="1:71" s="2131" customFormat="1" ht="63.75">
      <c r="A2292" s="2140" t="s">
        <v>3596</v>
      </c>
      <c r="B2292" s="2194"/>
      <c r="C2292" s="2142">
        <v>5</v>
      </c>
      <c r="D2292" s="2142" t="s">
        <v>34</v>
      </c>
      <c r="E2292" s="2142" t="s">
        <v>25</v>
      </c>
      <c r="F2292" s="2142" t="s">
        <v>45</v>
      </c>
      <c r="G2292" s="2142" t="s">
        <v>35</v>
      </c>
      <c r="H2292" s="2140"/>
      <c r="I2292" s="2143" t="s">
        <v>3742</v>
      </c>
      <c r="J2292" s="2143" t="s">
        <v>3743</v>
      </c>
      <c r="K2292" s="2144">
        <v>100</v>
      </c>
      <c r="L2292" s="2145">
        <f>SUM(L2293)</f>
        <v>20000000</v>
      </c>
      <c r="M2292" s="2144">
        <v>75</v>
      </c>
      <c r="N2292" s="2145">
        <f>SUM(N2293)</f>
        <v>6000000</v>
      </c>
      <c r="O2292" s="2144">
        <v>0</v>
      </c>
      <c r="P2292" s="2145">
        <f>SUM(P2293)</f>
        <v>0</v>
      </c>
      <c r="Q2292" s="2144">
        <v>0</v>
      </c>
      <c r="R2292" s="2145">
        <f>SUM(R2293)</f>
        <v>0</v>
      </c>
      <c r="S2292" s="2144">
        <v>0</v>
      </c>
      <c r="T2292" s="2145">
        <f>SUM(T2293)</f>
        <v>0</v>
      </c>
      <c r="U2292" s="2195"/>
      <c r="V2292" s="2145">
        <f>SUM(V2293)</f>
        <v>0</v>
      </c>
      <c r="W2292" s="2144"/>
      <c r="X2292" s="2145">
        <f>SUM(X2293)</f>
        <v>0</v>
      </c>
      <c r="Y2292" s="2147">
        <f t="shared" si="657"/>
        <v>0</v>
      </c>
      <c r="Z2292" s="2145">
        <f t="shared" si="657"/>
        <v>0</v>
      </c>
      <c r="AA2292" s="2147">
        <f t="shared" si="658"/>
        <v>75</v>
      </c>
      <c r="AB2292" s="2145">
        <f t="shared" si="658"/>
        <v>6000000</v>
      </c>
      <c r="AC2292" s="2147">
        <f t="shared" si="659"/>
        <v>75</v>
      </c>
      <c r="AD2292" s="2147">
        <f t="shared" si="659"/>
        <v>30</v>
      </c>
      <c r="AE2292" s="2140" t="s">
        <v>3717</v>
      </c>
    </row>
    <row r="2293" spans="1:71" s="2131" customFormat="1" ht="25.5">
      <c r="A2293" s="2379"/>
      <c r="B2293" s="2162"/>
      <c r="C2293" s="2164">
        <v>5</v>
      </c>
      <c r="D2293" s="2164" t="s">
        <v>34</v>
      </c>
      <c r="E2293" s="2164" t="s">
        <v>25</v>
      </c>
      <c r="F2293" s="2164" t="s">
        <v>45</v>
      </c>
      <c r="G2293" s="2164" t="s">
        <v>35</v>
      </c>
      <c r="H2293" s="2164" t="s">
        <v>49</v>
      </c>
      <c r="I2293" s="2162" t="s">
        <v>3744</v>
      </c>
      <c r="J2293" s="2162" t="s">
        <v>3745</v>
      </c>
      <c r="K2293" s="2166">
        <v>5</v>
      </c>
      <c r="L2293" s="2167">
        <v>20000000</v>
      </c>
      <c r="M2293" s="2166">
        <v>1</v>
      </c>
      <c r="N2293" s="2167">
        <v>6000000</v>
      </c>
      <c r="O2293" s="2166">
        <v>0</v>
      </c>
      <c r="P2293" s="2167">
        <v>0</v>
      </c>
      <c r="Q2293" s="2166">
        <v>0</v>
      </c>
      <c r="R2293" s="2167">
        <v>0</v>
      </c>
      <c r="S2293" s="2166">
        <v>0</v>
      </c>
      <c r="T2293" s="2167">
        <v>0</v>
      </c>
      <c r="U2293" s="2166"/>
      <c r="V2293" s="2202"/>
      <c r="W2293" s="2166"/>
      <c r="X2293" s="2167"/>
      <c r="Y2293" s="2166">
        <f t="shared" si="657"/>
        <v>0</v>
      </c>
      <c r="Z2293" s="2203">
        <f t="shared" si="657"/>
        <v>0</v>
      </c>
      <c r="AA2293" s="2166">
        <f t="shared" si="658"/>
        <v>1</v>
      </c>
      <c r="AB2293" s="2203">
        <f t="shared" si="658"/>
        <v>6000000</v>
      </c>
      <c r="AC2293" s="2170">
        <f t="shared" si="659"/>
        <v>20</v>
      </c>
      <c r="AD2293" s="2170">
        <f t="shared" si="659"/>
        <v>30</v>
      </c>
      <c r="AE2293" s="2379"/>
    </row>
    <row r="2294" spans="1:71" s="2131" customFormat="1" ht="38.25">
      <c r="A2294" s="2140" t="s">
        <v>3612</v>
      </c>
      <c r="B2294" s="2194"/>
      <c r="C2294" s="2142">
        <v>5</v>
      </c>
      <c r="D2294" s="2142" t="s">
        <v>34</v>
      </c>
      <c r="E2294" s="2142" t="s">
        <v>25</v>
      </c>
      <c r="F2294" s="2142" t="s">
        <v>45</v>
      </c>
      <c r="G2294" s="2142" t="s">
        <v>35</v>
      </c>
      <c r="H2294" s="2140"/>
      <c r="I2294" s="2143" t="s">
        <v>3746</v>
      </c>
      <c r="J2294" s="2143" t="s">
        <v>3571</v>
      </c>
      <c r="K2294" s="2144">
        <v>70</v>
      </c>
      <c r="L2294" s="2145">
        <f>SUM(L2295)</f>
        <v>20000000</v>
      </c>
      <c r="M2294" s="2144">
        <v>35</v>
      </c>
      <c r="N2294" s="2145">
        <f>SUM(N2295)</f>
        <v>53240000</v>
      </c>
      <c r="O2294" s="2144">
        <v>0</v>
      </c>
      <c r="P2294" s="2145">
        <f>SUM(P2295)</f>
        <v>0</v>
      </c>
      <c r="Q2294" s="2144">
        <v>0</v>
      </c>
      <c r="R2294" s="2145">
        <f>SUM(R2295)</f>
        <v>0</v>
      </c>
      <c r="S2294" s="2144">
        <v>0</v>
      </c>
      <c r="T2294" s="2145">
        <f>SUM(T2295)</f>
        <v>0</v>
      </c>
      <c r="U2294" s="2195"/>
      <c r="V2294" s="2145">
        <f>SUM(V2295)</f>
        <v>0</v>
      </c>
      <c r="W2294" s="2144"/>
      <c r="X2294" s="2145">
        <f>SUM(X2295)</f>
        <v>0</v>
      </c>
      <c r="Y2294" s="2147">
        <f t="shared" si="657"/>
        <v>0</v>
      </c>
      <c r="Z2294" s="2145">
        <f t="shared" si="657"/>
        <v>0</v>
      </c>
      <c r="AA2294" s="2147">
        <f t="shared" si="658"/>
        <v>35</v>
      </c>
      <c r="AB2294" s="2145">
        <f t="shared" si="658"/>
        <v>53240000</v>
      </c>
      <c r="AC2294" s="2147">
        <f t="shared" si="659"/>
        <v>50</v>
      </c>
      <c r="AD2294" s="2147">
        <f t="shared" si="659"/>
        <v>266.2</v>
      </c>
      <c r="AE2294" s="2140" t="s">
        <v>3717</v>
      </c>
    </row>
    <row r="2295" spans="1:71" s="2131" customFormat="1" ht="25.5">
      <c r="A2295" s="2379"/>
      <c r="B2295" s="2162"/>
      <c r="C2295" s="2164">
        <v>5</v>
      </c>
      <c r="D2295" s="2164" t="s">
        <v>34</v>
      </c>
      <c r="E2295" s="2164" t="s">
        <v>25</v>
      </c>
      <c r="F2295" s="2164" t="s">
        <v>45</v>
      </c>
      <c r="G2295" s="2164" t="s">
        <v>35</v>
      </c>
      <c r="H2295" s="2164" t="s">
        <v>25</v>
      </c>
      <c r="I2295" s="2162" t="s">
        <v>3747</v>
      </c>
      <c r="J2295" s="2162" t="s">
        <v>3748</v>
      </c>
      <c r="K2295" s="2166">
        <v>3</v>
      </c>
      <c r="L2295" s="2167">
        <v>20000000</v>
      </c>
      <c r="M2295" s="2166">
        <v>1</v>
      </c>
      <c r="N2295" s="2167">
        <v>53240000</v>
      </c>
      <c r="O2295" s="2166">
        <v>0</v>
      </c>
      <c r="P2295" s="2167">
        <v>0</v>
      </c>
      <c r="Q2295" s="2166">
        <v>0</v>
      </c>
      <c r="R2295" s="2167">
        <v>0</v>
      </c>
      <c r="S2295" s="2166">
        <v>0</v>
      </c>
      <c r="T2295" s="2167">
        <v>0</v>
      </c>
      <c r="U2295" s="2166"/>
      <c r="V2295" s="2202"/>
      <c r="W2295" s="2166"/>
      <c r="X2295" s="2167"/>
      <c r="Y2295" s="2166">
        <f t="shared" si="657"/>
        <v>0</v>
      </c>
      <c r="Z2295" s="2203">
        <f t="shared" si="657"/>
        <v>0</v>
      </c>
      <c r="AA2295" s="2166">
        <f t="shared" si="658"/>
        <v>1</v>
      </c>
      <c r="AB2295" s="2203">
        <f t="shared" si="658"/>
        <v>53240000</v>
      </c>
      <c r="AC2295" s="2170">
        <f t="shared" si="659"/>
        <v>33.333333333333329</v>
      </c>
      <c r="AD2295" s="2170">
        <f t="shared" si="659"/>
        <v>266.2</v>
      </c>
      <c r="AE2295" s="2379"/>
    </row>
    <row r="2296" spans="1:71" s="2290" customFormat="1" ht="20.100000000000001" customHeight="1">
      <c r="A2296" s="2715" t="s">
        <v>63</v>
      </c>
      <c r="B2296" s="2715"/>
      <c r="C2296" s="2716"/>
      <c r="D2296" s="2716"/>
      <c r="E2296" s="2716"/>
      <c r="F2296" s="2716"/>
      <c r="G2296" s="2716"/>
      <c r="H2296" s="2716"/>
      <c r="I2296" s="2716"/>
      <c r="J2296" s="2716"/>
      <c r="K2296" s="2716"/>
      <c r="L2296" s="2716"/>
      <c r="M2296" s="2716"/>
      <c r="N2296" s="2716"/>
      <c r="O2296" s="2716"/>
      <c r="P2296" s="2716"/>
      <c r="Q2296" s="2716"/>
      <c r="R2296" s="2716"/>
      <c r="S2296" s="2716"/>
      <c r="T2296" s="2716"/>
      <c r="U2296" s="2716"/>
      <c r="V2296" s="2716"/>
      <c r="W2296" s="2716"/>
      <c r="X2296" s="2716"/>
      <c r="Y2296" s="2716"/>
      <c r="Z2296" s="2716"/>
      <c r="AA2296" s="2716"/>
      <c r="AB2296" s="2716"/>
      <c r="AC2296" s="2614">
        <f>(AC2247+AC2258+AC2263+AC2266+AC2268+AC2270+AC2272+AC2274+AC2276+AC2279+AC2284+AC2290+AC2292+AC2294)/14</f>
        <v>60.525753158406225</v>
      </c>
      <c r="AD2296" s="2614">
        <f>(AD2247+AD2258+AD2263+AD2266+AD2268+AD2270+AD2272+AD2274+AD2276+AD2279+AD2284+AD2290+AD2292+AD2294)/14</f>
        <v>59.885734969167125</v>
      </c>
      <c r="AE2296" s="2615"/>
    </row>
    <row r="2297" spans="1:71" s="2290" customFormat="1" ht="20.100000000000001" customHeight="1">
      <c r="A2297" s="2715" t="s">
        <v>64</v>
      </c>
      <c r="B2297" s="2715"/>
      <c r="C2297" s="2716"/>
      <c r="D2297" s="2716"/>
      <c r="E2297" s="2716"/>
      <c r="F2297" s="2716"/>
      <c r="G2297" s="2716"/>
      <c r="H2297" s="2716"/>
      <c r="I2297" s="2716"/>
      <c r="J2297" s="2716"/>
      <c r="K2297" s="2716"/>
      <c r="L2297" s="2716"/>
      <c r="M2297" s="2716"/>
      <c r="N2297" s="2716"/>
      <c r="O2297" s="2716"/>
      <c r="P2297" s="2716"/>
      <c r="Q2297" s="2716"/>
      <c r="R2297" s="2716"/>
      <c r="S2297" s="2716"/>
      <c r="T2297" s="2716"/>
      <c r="U2297" s="2716"/>
      <c r="V2297" s="2716"/>
      <c r="W2297" s="2716"/>
      <c r="X2297" s="2716"/>
      <c r="Y2297" s="2716"/>
      <c r="Z2297" s="2716"/>
      <c r="AA2297" s="2716"/>
      <c r="AB2297" s="2716"/>
      <c r="AC2297" s="2616" t="str">
        <f>IF(AC2296&gt;=91,"ST",IF(AC2296&gt;=76,"T",IF(AC2296&gt;=66,"S",IF(AC2296&gt;=51,"R","SR"))))</f>
        <v>R</v>
      </c>
      <c r="AD2297" s="2616" t="str">
        <f>IF(AD2296&gt;=91,"ST",IF(AD2296&gt;=76,"T",IF(AD2296&gt;=66,"S",IF(AD2296&gt;=51,"R","SR"))))</f>
        <v>R</v>
      </c>
      <c r="AE2297" s="2615"/>
    </row>
    <row r="2298" spans="1:71" s="2131" customFormat="1" ht="27.95" customHeight="1">
      <c r="A2298" s="2132" t="s">
        <v>86</v>
      </c>
      <c r="B2298" s="2133"/>
      <c r="C2298" s="2132"/>
      <c r="D2298" s="2132"/>
      <c r="E2298" s="2132"/>
      <c r="F2298" s="2132"/>
      <c r="G2298" s="2132"/>
      <c r="H2298" s="2132"/>
      <c r="I2298" s="2707" t="s">
        <v>3749</v>
      </c>
      <c r="J2298" s="2708"/>
      <c r="K2298" s="2134"/>
      <c r="L2298" s="2135">
        <f>L2299+L2311+L2317+L2319+L2321+L2323+L2326+L2328+L2334+L2337+L2339</f>
        <v>2905347440</v>
      </c>
      <c r="M2298" s="2134"/>
      <c r="N2298" s="2136">
        <f>N2299+N2311+N2317+N2319+N2321+N2323+N2326+N2328+N2334+N2337+N2339</f>
        <v>1418188270</v>
      </c>
      <c r="O2298" s="2134"/>
      <c r="P2298" s="2136">
        <f>P2299+P2311+P2317+P2319+P2321+P2323+P2326+P2328+P2334+P2337+P2339</f>
        <v>528689500</v>
      </c>
      <c r="Q2298" s="2134"/>
      <c r="R2298" s="2136">
        <f>R2299+R2311+R2317+R2319+R2321+R2323+R2326+R2328+R2334+R2337+R2339</f>
        <v>75941179</v>
      </c>
      <c r="S2298" s="2134"/>
      <c r="T2298" s="2136">
        <f>T2299+T2311+T2317+T2319+T2321+T2323+T2326+T2328+T2334+T2337+T2339</f>
        <v>65486179</v>
      </c>
      <c r="U2298" s="2134"/>
      <c r="V2298" s="2136">
        <f>V2299+V2311+V2317+V2319+V2321+V2323+V2326+V2328+V2334+V2337+V2339</f>
        <v>0</v>
      </c>
      <c r="W2298" s="2134"/>
      <c r="X2298" s="2251">
        <f>X2299+X2311+X2317+X2319+X2321+X2323+X2326+X2328+X2334+X2337+X2339</f>
        <v>0</v>
      </c>
      <c r="Y2298" s="2134">
        <v>0</v>
      </c>
      <c r="Z2298" s="2136">
        <f>Z2299+Z2311+Z2317+Z2319+Z2321+Z2323+Z2326+Z2328+Z2334+Z2337+Z2339</f>
        <v>141427358</v>
      </c>
      <c r="AA2298" s="2134"/>
      <c r="AB2298" s="2136">
        <v>1516340770</v>
      </c>
      <c r="AC2298" s="2134"/>
      <c r="AD2298" s="2134"/>
      <c r="AE2298" s="2137"/>
      <c r="AF2298" s="2138"/>
      <c r="AG2298" s="2138"/>
      <c r="AH2298" s="2138"/>
      <c r="AI2298" s="2138"/>
      <c r="AJ2298" s="2138"/>
      <c r="AK2298" s="2138"/>
      <c r="AL2298" s="2138"/>
      <c r="AM2298" s="2138"/>
      <c r="AN2298" s="2138"/>
      <c r="AO2298" s="2138"/>
      <c r="AP2298" s="2138"/>
      <c r="AQ2298" s="2138"/>
      <c r="AR2298" s="2138"/>
      <c r="AS2298" s="2138"/>
      <c r="AT2298" s="2138"/>
      <c r="AU2298" s="2138"/>
      <c r="AV2298" s="2138"/>
      <c r="AW2298" s="2138"/>
      <c r="AX2298" s="2138"/>
      <c r="AY2298" s="2138"/>
      <c r="AZ2298" s="2138"/>
      <c r="BA2298" s="2138"/>
      <c r="BB2298" s="2138"/>
      <c r="BC2298" s="2138"/>
      <c r="BD2298" s="2138"/>
      <c r="BE2298" s="2138"/>
      <c r="BF2298" s="2138"/>
      <c r="BG2298" s="2138"/>
      <c r="BH2298" s="2138"/>
      <c r="BI2298" s="2138"/>
      <c r="BJ2298" s="2138"/>
      <c r="BK2298" s="2138"/>
      <c r="BL2298" s="2138"/>
      <c r="BM2298" s="2138"/>
      <c r="BN2298" s="2138"/>
      <c r="BO2298" s="2138"/>
      <c r="BP2298" s="2138"/>
      <c r="BQ2298" s="2138"/>
      <c r="BR2298" s="2138"/>
      <c r="BS2298" s="2138"/>
    </row>
    <row r="2299" spans="1:71" s="2131" customFormat="1" ht="63.75">
      <c r="A2299" s="2140">
        <v>1</v>
      </c>
      <c r="B2299" s="2194"/>
      <c r="C2299" s="2142">
        <v>5</v>
      </c>
      <c r="D2299" s="2142" t="s">
        <v>34</v>
      </c>
      <c r="E2299" s="2142" t="s">
        <v>25</v>
      </c>
      <c r="F2299" s="2142" t="s">
        <v>45</v>
      </c>
      <c r="G2299" s="2142" t="s">
        <v>25</v>
      </c>
      <c r="H2299" s="2140"/>
      <c r="I2299" s="2143" t="s">
        <v>3625</v>
      </c>
      <c r="J2299" s="2143" t="s">
        <v>3626</v>
      </c>
      <c r="K2299" s="2144">
        <v>72</v>
      </c>
      <c r="L2299" s="2145">
        <f>SUM(L2300:L2310)</f>
        <v>1341260600</v>
      </c>
      <c r="M2299" s="2144">
        <v>36</v>
      </c>
      <c r="N2299" s="2145">
        <f>SUM(N2300:N2310)</f>
        <v>641358920</v>
      </c>
      <c r="O2299" s="2144">
        <v>12</v>
      </c>
      <c r="P2299" s="2145">
        <f>SUM(P2300:P2310)</f>
        <v>260274500</v>
      </c>
      <c r="Q2299" s="2144">
        <v>3</v>
      </c>
      <c r="R2299" s="2145">
        <f>SUM(R2300:R2310)</f>
        <v>47838179</v>
      </c>
      <c r="S2299" s="2144">
        <v>3</v>
      </c>
      <c r="T2299" s="2145">
        <f>SUM(T2300:T2310)</f>
        <v>47838179</v>
      </c>
      <c r="U2299" s="2144"/>
      <c r="V2299" s="2145">
        <f>SUM(V2300:V2310)</f>
        <v>0</v>
      </c>
      <c r="W2299" s="2144"/>
      <c r="X2299" s="2145">
        <f>SUM(X2300:X2310)</f>
        <v>0</v>
      </c>
      <c r="Y2299" s="2147">
        <f t="shared" ref="Y2299:Z2340" si="660">Q2299+S2299+U2299+W2299</f>
        <v>6</v>
      </c>
      <c r="Z2299" s="2145">
        <f t="shared" si="660"/>
        <v>95676358</v>
      </c>
      <c r="AA2299" s="2147">
        <f t="shared" ref="AA2299:AB2340" si="661">M2299+Y2299</f>
        <v>42</v>
      </c>
      <c r="AB2299" s="2145">
        <f t="shared" si="661"/>
        <v>737035278</v>
      </c>
      <c r="AC2299" s="2147">
        <f t="shared" ref="AC2299:AD2340" si="662">(AA2299/K2299)*100</f>
        <v>58.333333333333336</v>
      </c>
      <c r="AD2299" s="2147">
        <f t="shared" si="662"/>
        <v>54.950937796875564</v>
      </c>
      <c r="AE2299" s="2204" t="s">
        <v>3750</v>
      </c>
      <c r="AF2299" s="2149"/>
      <c r="AG2299" s="2149"/>
      <c r="AH2299" s="2149"/>
      <c r="AI2299" s="2149"/>
      <c r="AJ2299" s="2149"/>
      <c r="AK2299" s="2149"/>
      <c r="AL2299" s="2149"/>
      <c r="AM2299" s="2149"/>
      <c r="AN2299" s="2149"/>
      <c r="AO2299" s="2149"/>
      <c r="AP2299" s="2149"/>
      <c r="AQ2299" s="2149"/>
      <c r="AR2299" s="2149"/>
      <c r="AS2299" s="2149"/>
      <c r="AT2299" s="2149"/>
      <c r="AU2299" s="2149"/>
      <c r="AV2299" s="2149"/>
      <c r="AW2299" s="2149"/>
      <c r="AX2299" s="2149"/>
      <c r="AY2299" s="2149"/>
      <c r="AZ2299" s="2149"/>
      <c r="BA2299" s="2149"/>
      <c r="BB2299" s="2149"/>
      <c r="BC2299" s="2149"/>
      <c r="BD2299" s="2149"/>
      <c r="BE2299" s="2149"/>
      <c r="BF2299" s="2149"/>
      <c r="BG2299" s="2149"/>
      <c r="BH2299" s="2149"/>
      <c r="BI2299" s="2149"/>
      <c r="BJ2299" s="2149"/>
      <c r="BK2299" s="2149"/>
      <c r="BL2299" s="2149"/>
      <c r="BM2299" s="2149"/>
      <c r="BN2299" s="2149"/>
      <c r="BO2299" s="2149"/>
      <c r="BP2299" s="2149"/>
      <c r="BQ2299" s="2149"/>
      <c r="BR2299" s="2149"/>
      <c r="BS2299" s="2149"/>
    </row>
    <row r="2300" spans="1:71" s="2131" customFormat="1" ht="51">
      <c r="A2300" s="2267"/>
      <c r="B2300" s="2253"/>
      <c r="C2300" s="2164">
        <v>5</v>
      </c>
      <c r="D2300" s="2164" t="s">
        <v>34</v>
      </c>
      <c r="E2300" s="2164" t="s">
        <v>25</v>
      </c>
      <c r="F2300" s="2164" t="s">
        <v>45</v>
      </c>
      <c r="G2300" s="2164" t="s">
        <v>25</v>
      </c>
      <c r="H2300" s="2254" t="s">
        <v>28</v>
      </c>
      <c r="I2300" s="2171" t="s">
        <v>3684</v>
      </c>
      <c r="J2300" s="2171" t="s">
        <v>3627</v>
      </c>
      <c r="K2300" s="2255">
        <v>72</v>
      </c>
      <c r="L2300" s="2203">
        <v>74170000</v>
      </c>
      <c r="M2300" s="2256">
        <v>36</v>
      </c>
      <c r="N2300" s="2257">
        <v>31609720</v>
      </c>
      <c r="O2300" s="2255">
        <v>12</v>
      </c>
      <c r="P2300" s="2258">
        <v>12000000</v>
      </c>
      <c r="Q2300" s="2256">
        <v>3</v>
      </c>
      <c r="R2300" s="2203">
        <v>1430179</v>
      </c>
      <c r="S2300" s="2256">
        <v>3</v>
      </c>
      <c r="T2300" s="2203">
        <v>1430179</v>
      </c>
      <c r="U2300" s="2255"/>
      <c r="V2300" s="2258"/>
      <c r="W2300" s="2255"/>
      <c r="X2300" s="2203"/>
      <c r="Y2300" s="2240">
        <f t="shared" si="660"/>
        <v>6</v>
      </c>
      <c r="Z2300" s="2203">
        <f t="shared" si="660"/>
        <v>2860358</v>
      </c>
      <c r="AA2300" s="2240">
        <f t="shared" si="661"/>
        <v>42</v>
      </c>
      <c r="AB2300" s="2203">
        <f t="shared" si="661"/>
        <v>34470078</v>
      </c>
      <c r="AC2300" s="2243">
        <f t="shared" si="662"/>
        <v>58.333333333333336</v>
      </c>
      <c r="AD2300" s="2243">
        <f t="shared" si="662"/>
        <v>46.474420924902248</v>
      </c>
      <c r="AE2300" s="2605"/>
      <c r="AF2300" s="2259"/>
      <c r="AG2300" s="2259"/>
      <c r="AH2300" s="2259"/>
      <c r="AI2300" s="2259"/>
      <c r="AJ2300" s="2259"/>
      <c r="AK2300" s="2259"/>
      <c r="AL2300" s="2259"/>
      <c r="AM2300" s="2259"/>
      <c r="AN2300" s="2259"/>
      <c r="AO2300" s="2259"/>
      <c r="AP2300" s="2259"/>
      <c r="AQ2300" s="2259"/>
      <c r="AR2300" s="2259"/>
      <c r="AS2300" s="2259"/>
      <c r="AT2300" s="2259"/>
      <c r="AU2300" s="2259"/>
      <c r="AV2300" s="2259"/>
      <c r="AW2300" s="2259"/>
      <c r="AX2300" s="2259"/>
      <c r="AY2300" s="2259"/>
      <c r="AZ2300" s="2259"/>
      <c r="BA2300" s="2259"/>
      <c r="BB2300" s="2259"/>
      <c r="BC2300" s="2259"/>
      <c r="BD2300" s="2259"/>
      <c r="BE2300" s="2259"/>
      <c r="BF2300" s="2259"/>
      <c r="BG2300" s="2259"/>
      <c r="BH2300" s="2259"/>
      <c r="BI2300" s="2259"/>
      <c r="BJ2300" s="2259"/>
      <c r="BK2300" s="2259"/>
      <c r="BL2300" s="2259"/>
      <c r="BM2300" s="2259"/>
      <c r="BN2300" s="2259"/>
      <c r="BO2300" s="2259"/>
      <c r="BP2300" s="2259"/>
      <c r="BQ2300" s="2259"/>
      <c r="BR2300" s="2259"/>
      <c r="BS2300" s="2259"/>
    </row>
    <row r="2301" spans="1:71" s="2131" customFormat="1" ht="63.75">
      <c r="A2301" s="2267"/>
      <c r="B2301" s="2253"/>
      <c r="C2301" s="2164">
        <v>5</v>
      </c>
      <c r="D2301" s="2164" t="s">
        <v>34</v>
      </c>
      <c r="E2301" s="2164" t="s">
        <v>25</v>
      </c>
      <c r="F2301" s="2164" t="s">
        <v>45</v>
      </c>
      <c r="G2301" s="2164" t="s">
        <v>25</v>
      </c>
      <c r="H2301" s="2254" t="s">
        <v>29</v>
      </c>
      <c r="I2301" s="2171" t="s">
        <v>3685</v>
      </c>
      <c r="J2301" s="2171" t="s">
        <v>3628</v>
      </c>
      <c r="K2301" s="2255">
        <v>72</v>
      </c>
      <c r="L2301" s="2203">
        <v>199260600</v>
      </c>
      <c r="M2301" s="2256">
        <v>36</v>
      </c>
      <c r="N2301" s="2257">
        <v>132550000</v>
      </c>
      <c r="O2301" s="2255">
        <v>12</v>
      </c>
      <c r="P2301" s="2258">
        <v>114000000</v>
      </c>
      <c r="Q2301" s="2256">
        <v>3</v>
      </c>
      <c r="R2301" s="2203">
        <v>17495000</v>
      </c>
      <c r="S2301" s="2256">
        <v>3</v>
      </c>
      <c r="T2301" s="2203">
        <v>17495000</v>
      </c>
      <c r="U2301" s="2255"/>
      <c r="V2301" s="2258"/>
      <c r="W2301" s="2255"/>
      <c r="X2301" s="2203"/>
      <c r="Y2301" s="2240">
        <f t="shared" si="660"/>
        <v>6</v>
      </c>
      <c r="Z2301" s="2203">
        <f t="shared" si="660"/>
        <v>34990000</v>
      </c>
      <c r="AA2301" s="2240">
        <f t="shared" si="661"/>
        <v>42</v>
      </c>
      <c r="AB2301" s="2203">
        <f t="shared" si="661"/>
        <v>167540000</v>
      </c>
      <c r="AC2301" s="2243">
        <f t="shared" si="662"/>
        <v>58.333333333333336</v>
      </c>
      <c r="AD2301" s="2243">
        <f t="shared" si="662"/>
        <v>84.080846890955868</v>
      </c>
      <c r="AE2301" s="2605"/>
      <c r="AF2301" s="2259"/>
      <c r="AG2301" s="2259"/>
      <c r="AH2301" s="2259"/>
      <c r="AI2301" s="2259"/>
      <c r="AJ2301" s="2259"/>
      <c r="AK2301" s="2259"/>
      <c r="AL2301" s="2259"/>
      <c r="AM2301" s="2259"/>
      <c r="AN2301" s="2259"/>
      <c r="AO2301" s="2259"/>
      <c r="AP2301" s="2259"/>
      <c r="AQ2301" s="2259"/>
      <c r="AR2301" s="2259"/>
      <c r="AS2301" s="2259"/>
      <c r="AT2301" s="2259"/>
      <c r="AU2301" s="2259"/>
      <c r="AV2301" s="2259"/>
      <c r="AW2301" s="2259"/>
      <c r="AX2301" s="2259"/>
      <c r="AY2301" s="2259"/>
      <c r="AZ2301" s="2259"/>
      <c r="BA2301" s="2259"/>
      <c r="BB2301" s="2259"/>
      <c r="BC2301" s="2259"/>
      <c r="BD2301" s="2259"/>
      <c r="BE2301" s="2259"/>
      <c r="BF2301" s="2259"/>
      <c r="BG2301" s="2259"/>
      <c r="BH2301" s="2259"/>
      <c r="BI2301" s="2259"/>
      <c r="BJ2301" s="2259"/>
      <c r="BK2301" s="2259"/>
      <c r="BL2301" s="2259"/>
      <c r="BM2301" s="2259"/>
      <c r="BN2301" s="2259"/>
      <c r="BO2301" s="2259"/>
      <c r="BP2301" s="2259"/>
      <c r="BQ2301" s="2259"/>
      <c r="BR2301" s="2259"/>
      <c r="BS2301" s="2259"/>
    </row>
    <row r="2302" spans="1:71" s="2131" customFormat="1" ht="51">
      <c r="A2302" s="2152"/>
      <c r="B2302" s="2253"/>
      <c r="C2302" s="2164">
        <v>5</v>
      </c>
      <c r="D2302" s="2164" t="s">
        <v>34</v>
      </c>
      <c r="E2302" s="2164" t="s">
        <v>25</v>
      </c>
      <c r="F2302" s="2164" t="s">
        <v>45</v>
      </c>
      <c r="G2302" s="2164" t="s">
        <v>25</v>
      </c>
      <c r="H2302" s="2164" t="s">
        <v>30</v>
      </c>
      <c r="I2302" s="2260" t="s">
        <v>110</v>
      </c>
      <c r="J2302" s="2260" t="s">
        <v>3629</v>
      </c>
      <c r="K2302" s="2261">
        <v>72</v>
      </c>
      <c r="L2302" s="2241">
        <v>93500000</v>
      </c>
      <c r="M2302" s="2261">
        <v>36</v>
      </c>
      <c r="N2302" s="2262">
        <v>39220500</v>
      </c>
      <c r="O2302" s="2240">
        <v>12</v>
      </c>
      <c r="P2302" s="2242">
        <v>11326000</v>
      </c>
      <c r="Q2302" s="2261">
        <v>3</v>
      </c>
      <c r="R2302" s="2241">
        <v>2043500</v>
      </c>
      <c r="S2302" s="2261">
        <v>3</v>
      </c>
      <c r="T2302" s="2241">
        <v>2043500</v>
      </c>
      <c r="U2302" s="2240"/>
      <c r="V2302" s="2242"/>
      <c r="W2302" s="2240"/>
      <c r="X2302" s="2241"/>
      <c r="Y2302" s="2240">
        <f t="shared" si="660"/>
        <v>6</v>
      </c>
      <c r="Z2302" s="2241">
        <f t="shared" si="660"/>
        <v>4087000</v>
      </c>
      <c r="AA2302" s="2240">
        <f t="shared" si="661"/>
        <v>42</v>
      </c>
      <c r="AB2302" s="2241">
        <f t="shared" si="661"/>
        <v>43307500</v>
      </c>
      <c r="AC2302" s="2243">
        <f t="shared" si="662"/>
        <v>58.333333333333336</v>
      </c>
      <c r="AD2302" s="2243">
        <f t="shared" si="662"/>
        <v>46.31818181818182</v>
      </c>
      <c r="AE2302" s="2216"/>
      <c r="AF2302" s="2259"/>
      <c r="AG2302" s="2259"/>
      <c r="AH2302" s="2259"/>
      <c r="AI2302" s="2259"/>
      <c r="AJ2302" s="2259"/>
      <c r="AK2302" s="2259"/>
      <c r="AL2302" s="2259"/>
      <c r="AM2302" s="2259"/>
      <c r="AN2302" s="2259"/>
      <c r="AO2302" s="2259"/>
      <c r="AP2302" s="2259"/>
      <c r="AQ2302" s="2259"/>
      <c r="AR2302" s="2259"/>
      <c r="AS2302" s="2259"/>
      <c r="AT2302" s="2259"/>
      <c r="AU2302" s="2259"/>
      <c r="AV2302" s="2259"/>
      <c r="AW2302" s="2259"/>
      <c r="AX2302" s="2259"/>
      <c r="AY2302" s="2259"/>
      <c r="AZ2302" s="2259"/>
      <c r="BA2302" s="2259"/>
      <c r="BB2302" s="2259"/>
      <c r="BC2302" s="2259"/>
      <c r="BD2302" s="2259"/>
      <c r="BE2302" s="2259"/>
      <c r="BF2302" s="2259"/>
      <c r="BG2302" s="2259"/>
      <c r="BH2302" s="2259"/>
      <c r="BI2302" s="2259"/>
      <c r="BJ2302" s="2259"/>
      <c r="BK2302" s="2259"/>
      <c r="BL2302" s="2259"/>
      <c r="BM2302" s="2259"/>
      <c r="BN2302" s="2259"/>
      <c r="BO2302" s="2259"/>
      <c r="BP2302" s="2259"/>
      <c r="BQ2302" s="2259"/>
      <c r="BR2302" s="2259"/>
      <c r="BS2302" s="2259"/>
    </row>
    <row r="2303" spans="1:71" s="2131" customFormat="1" ht="25.5">
      <c r="A2303" s="2267"/>
      <c r="B2303" s="2263"/>
      <c r="C2303" s="2254">
        <v>5</v>
      </c>
      <c r="D2303" s="2254" t="s">
        <v>34</v>
      </c>
      <c r="E2303" s="2254" t="s">
        <v>25</v>
      </c>
      <c r="F2303" s="2254" t="s">
        <v>45</v>
      </c>
      <c r="G2303" s="2254" t="s">
        <v>25</v>
      </c>
      <c r="H2303" s="2254" t="s">
        <v>31</v>
      </c>
      <c r="I2303" s="2171" t="s">
        <v>163</v>
      </c>
      <c r="J2303" s="2171" t="s">
        <v>103</v>
      </c>
      <c r="K2303" s="2255">
        <v>72</v>
      </c>
      <c r="L2303" s="2203">
        <v>132600000</v>
      </c>
      <c r="M2303" s="2256">
        <v>36</v>
      </c>
      <c r="N2303" s="2257">
        <v>59913500</v>
      </c>
      <c r="O2303" s="2255">
        <v>12</v>
      </c>
      <c r="P2303" s="2258">
        <v>20144500</v>
      </c>
      <c r="Q2303" s="2256">
        <v>3</v>
      </c>
      <c r="R2303" s="2203">
        <v>6332000</v>
      </c>
      <c r="S2303" s="2256">
        <v>3</v>
      </c>
      <c r="T2303" s="2203">
        <v>6332000</v>
      </c>
      <c r="U2303" s="2255"/>
      <c r="V2303" s="2258"/>
      <c r="W2303" s="2255"/>
      <c r="X2303" s="2203"/>
      <c r="Y2303" s="2255">
        <f t="shared" si="660"/>
        <v>6</v>
      </c>
      <c r="Z2303" s="2203">
        <f t="shared" si="660"/>
        <v>12664000</v>
      </c>
      <c r="AA2303" s="2255">
        <f t="shared" si="661"/>
        <v>42</v>
      </c>
      <c r="AB2303" s="2203">
        <f t="shared" si="661"/>
        <v>72577500</v>
      </c>
      <c r="AC2303" s="2264">
        <f t="shared" si="662"/>
        <v>58.333333333333336</v>
      </c>
      <c r="AD2303" s="2264">
        <f t="shared" si="662"/>
        <v>54.734162895927611</v>
      </c>
      <c r="AE2303" s="2605"/>
      <c r="AF2303" s="2259"/>
      <c r="AG2303" s="2259"/>
      <c r="AH2303" s="2259"/>
      <c r="AI2303" s="2259"/>
      <c r="AJ2303" s="2259"/>
      <c r="AK2303" s="2259"/>
      <c r="AL2303" s="2259"/>
      <c r="AM2303" s="2259"/>
      <c r="AN2303" s="2259"/>
      <c r="AO2303" s="2259"/>
      <c r="AP2303" s="2259"/>
      <c r="AQ2303" s="2259"/>
      <c r="AR2303" s="2259"/>
      <c r="AS2303" s="2259"/>
      <c r="AT2303" s="2259"/>
      <c r="AU2303" s="2259"/>
      <c r="AV2303" s="2259"/>
      <c r="AW2303" s="2259"/>
      <c r="AX2303" s="2259"/>
      <c r="AY2303" s="2259"/>
      <c r="AZ2303" s="2259"/>
      <c r="BA2303" s="2259"/>
      <c r="BB2303" s="2259"/>
      <c r="BC2303" s="2259"/>
      <c r="BD2303" s="2259"/>
      <c r="BE2303" s="2259"/>
      <c r="BF2303" s="2259"/>
      <c r="BG2303" s="2259"/>
      <c r="BH2303" s="2259"/>
      <c r="BI2303" s="2259"/>
      <c r="BJ2303" s="2259"/>
      <c r="BK2303" s="2259"/>
      <c r="BL2303" s="2259"/>
      <c r="BM2303" s="2259"/>
      <c r="BN2303" s="2259"/>
      <c r="BO2303" s="2259"/>
      <c r="BP2303" s="2259"/>
      <c r="BQ2303" s="2259"/>
      <c r="BR2303" s="2259"/>
      <c r="BS2303" s="2259"/>
    </row>
    <row r="2304" spans="1:71" s="2131" customFormat="1" ht="38.25">
      <c r="A2304" s="2152"/>
      <c r="B2304" s="2253"/>
      <c r="C2304" s="2164">
        <v>5</v>
      </c>
      <c r="D2304" s="2164" t="s">
        <v>34</v>
      </c>
      <c r="E2304" s="2164" t="s">
        <v>25</v>
      </c>
      <c r="F2304" s="2164" t="s">
        <v>45</v>
      </c>
      <c r="G2304" s="2164" t="s">
        <v>25</v>
      </c>
      <c r="H2304" s="2164" t="s">
        <v>62</v>
      </c>
      <c r="I2304" s="2260" t="s">
        <v>155</v>
      </c>
      <c r="J2304" s="2265" t="s">
        <v>3630</v>
      </c>
      <c r="K2304" s="2240">
        <v>72</v>
      </c>
      <c r="L2304" s="2241">
        <v>65400000</v>
      </c>
      <c r="M2304" s="2261">
        <v>36</v>
      </c>
      <c r="N2304" s="2262">
        <v>30147900</v>
      </c>
      <c r="O2304" s="2240">
        <v>12</v>
      </c>
      <c r="P2304" s="2242">
        <v>7779000</v>
      </c>
      <c r="Q2304" s="2261">
        <v>3</v>
      </c>
      <c r="R2304" s="2241">
        <v>1710000</v>
      </c>
      <c r="S2304" s="2261">
        <v>3</v>
      </c>
      <c r="T2304" s="2241">
        <v>1710000</v>
      </c>
      <c r="U2304" s="2240"/>
      <c r="V2304" s="2241"/>
      <c r="W2304" s="2240"/>
      <c r="X2304" s="2241"/>
      <c r="Y2304" s="2240">
        <f t="shared" si="660"/>
        <v>6</v>
      </c>
      <c r="Z2304" s="2241">
        <f t="shared" si="660"/>
        <v>3420000</v>
      </c>
      <c r="AA2304" s="2240">
        <f t="shared" si="661"/>
        <v>42</v>
      </c>
      <c r="AB2304" s="2241">
        <f t="shared" si="661"/>
        <v>33567900</v>
      </c>
      <c r="AC2304" s="2243">
        <f t="shared" si="662"/>
        <v>58.333333333333336</v>
      </c>
      <c r="AD2304" s="2243">
        <f t="shared" si="662"/>
        <v>51.32706422018348</v>
      </c>
      <c r="AE2304" s="2216"/>
      <c r="AF2304" s="2259"/>
      <c r="AG2304" s="2259"/>
      <c r="AH2304" s="2259"/>
      <c r="AI2304" s="2259"/>
      <c r="AJ2304" s="2259"/>
      <c r="AK2304" s="2259"/>
      <c r="AL2304" s="2259"/>
      <c r="AM2304" s="2259"/>
      <c r="AN2304" s="2259"/>
      <c r="AO2304" s="2259"/>
      <c r="AP2304" s="2259"/>
      <c r="AQ2304" s="2259"/>
      <c r="AR2304" s="2259"/>
      <c r="AS2304" s="2259"/>
      <c r="AT2304" s="2259"/>
      <c r="AU2304" s="2259"/>
      <c r="AV2304" s="2259"/>
      <c r="AW2304" s="2259"/>
      <c r="AX2304" s="2259"/>
      <c r="AY2304" s="2259"/>
      <c r="AZ2304" s="2259"/>
      <c r="BA2304" s="2259"/>
      <c r="BB2304" s="2259"/>
      <c r="BC2304" s="2259"/>
      <c r="BD2304" s="2259"/>
      <c r="BE2304" s="2259"/>
      <c r="BF2304" s="2259"/>
      <c r="BG2304" s="2259"/>
      <c r="BH2304" s="2259"/>
      <c r="BI2304" s="2259"/>
      <c r="BJ2304" s="2259"/>
      <c r="BK2304" s="2259"/>
      <c r="BL2304" s="2259"/>
      <c r="BM2304" s="2259"/>
      <c r="BN2304" s="2259"/>
      <c r="BO2304" s="2259"/>
      <c r="BP2304" s="2259"/>
      <c r="BQ2304" s="2259"/>
      <c r="BR2304" s="2259"/>
      <c r="BS2304" s="2259"/>
    </row>
    <row r="2305" spans="1:71" s="2131" customFormat="1" ht="51">
      <c r="A2305" s="2152"/>
      <c r="B2305" s="2253"/>
      <c r="C2305" s="2164">
        <v>5</v>
      </c>
      <c r="D2305" s="2164" t="s">
        <v>34</v>
      </c>
      <c r="E2305" s="2164" t="s">
        <v>25</v>
      </c>
      <c r="F2305" s="2164" t="s">
        <v>45</v>
      </c>
      <c r="G2305" s="2164" t="s">
        <v>25</v>
      </c>
      <c r="H2305" s="2164" t="s">
        <v>52</v>
      </c>
      <c r="I2305" s="2260" t="s">
        <v>3687</v>
      </c>
      <c r="J2305" s="2260" t="s">
        <v>3631</v>
      </c>
      <c r="K2305" s="2240">
        <v>72</v>
      </c>
      <c r="L2305" s="2241">
        <v>15000000</v>
      </c>
      <c r="M2305" s="2261">
        <v>36</v>
      </c>
      <c r="N2305" s="2262">
        <v>6043500</v>
      </c>
      <c r="O2305" s="2240">
        <v>12</v>
      </c>
      <c r="P2305" s="2242">
        <v>1685000</v>
      </c>
      <c r="Q2305" s="2261">
        <v>3</v>
      </c>
      <c r="R2305" s="2241">
        <v>450000</v>
      </c>
      <c r="S2305" s="2261">
        <v>3</v>
      </c>
      <c r="T2305" s="2241">
        <v>450000</v>
      </c>
      <c r="U2305" s="2240"/>
      <c r="V2305" s="2242"/>
      <c r="W2305" s="2240"/>
      <c r="X2305" s="2241"/>
      <c r="Y2305" s="2240">
        <f t="shared" si="660"/>
        <v>6</v>
      </c>
      <c r="Z2305" s="2241">
        <f t="shared" si="660"/>
        <v>900000</v>
      </c>
      <c r="AA2305" s="2240">
        <f t="shared" si="661"/>
        <v>42</v>
      </c>
      <c r="AB2305" s="2241">
        <f t="shared" si="661"/>
        <v>6943500</v>
      </c>
      <c r="AC2305" s="2243">
        <f t="shared" si="662"/>
        <v>58.333333333333336</v>
      </c>
      <c r="AD2305" s="2243">
        <f t="shared" si="662"/>
        <v>46.29</v>
      </c>
      <c r="AE2305" s="2216"/>
      <c r="AF2305" s="2259"/>
      <c r="AG2305" s="2259"/>
      <c r="AH2305" s="2259"/>
      <c r="AI2305" s="2259"/>
      <c r="AJ2305" s="2259"/>
      <c r="AK2305" s="2259"/>
      <c r="AL2305" s="2259"/>
      <c r="AM2305" s="2259"/>
      <c r="AN2305" s="2259"/>
      <c r="AO2305" s="2259"/>
      <c r="AP2305" s="2259"/>
      <c r="AQ2305" s="2259"/>
      <c r="AR2305" s="2259"/>
      <c r="AS2305" s="2259"/>
      <c r="AT2305" s="2259"/>
      <c r="AU2305" s="2259"/>
      <c r="AV2305" s="2259"/>
      <c r="AW2305" s="2259"/>
      <c r="AX2305" s="2259"/>
      <c r="AY2305" s="2259"/>
      <c r="AZ2305" s="2259"/>
      <c r="BA2305" s="2259"/>
      <c r="BB2305" s="2259"/>
      <c r="BC2305" s="2259"/>
      <c r="BD2305" s="2259"/>
      <c r="BE2305" s="2259"/>
      <c r="BF2305" s="2259"/>
      <c r="BG2305" s="2259"/>
      <c r="BH2305" s="2259"/>
      <c r="BI2305" s="2259"/>
      <c r="BJ2305" s="2259"/>
      <c r="BK2305" s="2259"/>
      <c r="BL2305" s="2259"/>
      <c r="BM2305" s="2259"/>
      <c r="BN2305" s="2259"/>
      <c r="BO2305" s="2259"/>
      <c r="BP2305" s="2259"/>
      <c r="BQ2305" s="2259"/>
      <c r="BR2305" s="2259"/>
      <c r="BS2305" s="2259"/>
    </row>
    <row r="2306" spans="1:71" s="2131" customFormat="1" ht="63.75">
      <c r="A2306" s="2267"/>
      <c r="B2306" s="2253"/>
      <c r="C2306" s="2164">
        <v>5</v>
      </c>
      <c r="D2306" s="2164" t="s">
        <v>34</v>
      </c>
      <c r="E2306" s="2164" t="s">
        <v>25</v>
      </c>
      <c r="F2306" s="2164" t="s">
        <v>45</v>
      </c>
      <c r="G2306" s="2164" t="s">
        <v>25</v>
      </c>
      <c r="H2306" s="2254" t="s">
        <v>45</v>
      </c>
      <c r="I2306" s="2171" t="s">
        <v>3688</v>
      </c>
      <c r="J2306" s="2171" t="s">
        <v>3632</v>
      </c>
      <c r="K2306" s="2255">
        <v>72</v>
      </c>
      <c r="L2306" s="2203">
        <v>20130000</v>
      </c>
      <c r="M2306" s="2256">
        <v>36</v>
      </c>
      <c r="N2306" s="2257">
        <v>8520000</v>
      </c>
      <c r="O2306" s="2255">
        <v>12</v>
      </c>
      <c r="P2306" s="2258">
        <v>4200000</v>
      </c>
      <c r="Q2306" s="2256">
        <v>3</v>
      </c>
      <c r="R2306" s="2203">
        <v>300000</v>
      </c>
      <c r="S2306" s="2256">
        <v>3</v>
      </c>
      <c r="T2306" s="2203">
        <v>300000</v>
      </c>
      <c r="U2306" s="2255"/>
      <c r="V2306" s="2258"/>
      <c r="W2306" s="2255"/>
      <c r="X2306" s="2203"/>
      <c r="Y2306" s="2240">
        <f t="shared" si="660"/>
        <v>6</v>
      </c>
      <c r="Z2306" s="2203">
        <f t="shared" si="660"/>
        <v>600000</v>
      </c>
      <c r="AA2306" s="2240">
        <f t="shared" si="661"/>
        <v>42</v>
      </c>
      <c r="AB2306" s="2203">
        <f t="shared" si="661"/>
        <v>9120000</v>
      </c>
      <c r="AC2306" s="2243">
        <f t="shared" si="662"/>
        <v>58.333333333333336</v>
      </c>
      <c r="AD2306" s="2243">
        <f t="shared" si="662"/>
        <v>45.305514157973178</v>
      </c>
      <c r="AE2306" s="2605"/>
      <c r="AF2306" s="2259"/>
      <c r="AG2306" s="2259"/>
      <c r="AH2306" s="2259"/>
      <c r="AI2306" s="2259"/>
      <c r="AJ2306" s="2259"/>
      <c r="AK2306" s="2259"/>
      <c r="AL2306" s="2259"/>
      <c r="AM2306" s="2259"/>
      <c r="AN2306" s="2259"/>
      <c r="AO2306" s="2259"/>
      <c r="AP2306" s="2259"/>
      <c r="AQ2306" s="2259"/>
      <c r="AR2306" s="2259"/>
      <c r="AS2306" s="2259"/>
      <c r="AT2306" s="2259"/>
      <c r="AU2306" s="2259"/>
      <c r="AV2306" s="2259"/>
      <c r="AW2306" s="2259"/>
      <c r="AX2306" s="2259"/>
      <c r="AY2306" s="2259"/>
      <c r="AZ2306" s="2259"/>
      <c r="BA2306" s="2259"/>
      <c r="BB2306" s="2259"/>
      <c r="BC2306" s="2259"/>
      <c r="BD2306" s="2259"/>
      <c r="BE2306" s="2259"/>
      <c r="BF2306" s="2259"/>
      <c r="BG2306" s="2259"/>
      <c r="BH2306" s="2259"/>
      <c r="BI2306" s="2259"/>
      <c r="BJ2306" s="2259"/>
      <c r="BK2306" s="2259"/>
      <c r="BL2306" s="2259"/>
      <c r="BM2306" s="2259"/>
      <c r="BN2306" s="2259"/>
      <c r="BO2306" s="2259"/>
      <c r="BP2306" s="2259"/>
      <c r="BQ2306" s="2259"/>
      <c r="BR2306" s="2259"/>
      <c r="BS2306" s="2259"/>
    </row>
    <row r="2307" spans="1:71" s="2131" customFormat="1" ht="38.25">
      <c r="A2307" s="2152"/>
      <c r="B2307" s="2253"/>
      <c r="C2307" s="2164">
        <v>5</v>
      </c>
      <c r="D2307" s="2164" t="s">
        <v>34</v>
      </c>
      <c r="E2307" s="2164" t="s">
        <v>25</v>
      </c>
      <c r="F2307" s="2164" t="s">
        <v>45</v>
      </c>
      <c r="G2307" s="2164" t="s">
        <v>25</v>
      </c>
      <c r="H2307" s="2164" t="s">
        <v>74</v>
      </c>
      <c r="I2307" s="2260" t="s">
        <v>167</v>
      </c>
      <c r="J2307" s="2265" t="s">
        <v>3633</v>
      </c>
      <c r="K2307" s="2240">
        <v>72</v>
      </c>
      <c r="L2307" s="2241">
        <v>196500000</v>
      </c>
      <c r="M2307" s="2261">
        <v>36</v>
      </c>
      <c r="N2307" s="2262">
        <v>80940000</v>
      </c>
      <c r="O2307" s="2240">
        <v>12</v>
      </c>
      <c r="P2307" s="2242">
        <v>21625000</v>
      </c>
      <c r="Q2307" s="2261">
        <v>3</v>
      </c>
      <c r="R2307" s="2241">
        <v>4017500</v>
      </c>
      <c r="S2307" s="2261">
        <v>3</v>
      </c>
      <c r="T2307" s="2241">
        <v>4017500</v>
      </c>
      <c r="U2307" s="2240"/>
      <c r="V2307" s="2242"/>
      <c r="W2307" s="2240"/>
      <c r="X2307" s="2241"/>
      <c r="Y2307" s="2240">
        <f t="shared" si="660"/>
        <v>6</v>
      </c>
      <c r="Z2307" s="2241">
        <f t="shared" si="660"/>
        <v>8035000</v>
      </c>
      <c r="AA2307" s="2240">
        <f t="shared" si="661"/>
        <v>42</v>
      </c>
      <c r="AB2307" s="2241">
        <f t="shared" si="661"/>
        <v>88975000</v>
      </c>
      <c r="AC2307" s="2243">
        <f t="shared" si="662"/>
        <v>58.333333333333336</v>
      </c>
      <c r="AD2307" s="2243">
        <f t="shared" si="662"/>
        <v>45.279898218829516</v>
      </c>
      <c r="AE2307" s="2216"/>
      <c r="AF2307" s="2259"/>
      <c r="AG2307" s="2259"/>
      <c r="AH2307" s="2259"/>
      <c r="AI2307" s="2259"/>
      <c r="AJ2307" s="2259"/>
      <c r="AK2307" s="2259"/>
      <c r="AL2307" s="2259"/>
      <c r="AM2307" s="2259"/>
      <c r="AN2307" s="2259"/>
      <c r="AO2307" s="2259"/>
      <c r="AP2307" s="2259"/>
      <c r="AQ2307" s="2259"/>
      <c r="AR2307" s="2259"/>
      <c r="AS2307" s="2259"/>
      <c r="AT2307" s="2259"/>
      <c r="AU2307" s="2259"/>
      <c r="AV2307" s="2259"/>
      <c r="AW2307" s="2259"/>
      <c r="AX2307" s="2259"/>
      <c r="AY2307" s="2259"/>
      <c r="AZ2307" s="2259"/>
      <c r="BA2307" s="2259"/>
      <c r="BB2307" s="2259"/>
      <c r="BC2307" s="2259"/>
      <c r="BD2307" s="2259"/>
      <c r="BE2307" s="2259"/>
      <c r="BF2307" s="2259"/>
      <c r="BG2307" s="2259"/>
      <c r="BH2307" s="2259"/>
      <c r="BI2307" s="2259"/>
      <c r="BJ2307" s="2259"/>
      <c r="BK2307" s="2259"/>
      <c r="BL2307" s="2259"/>
      <c r="BM2307" s="2259"/>
      <c r="BN2307" s="2259"/>
      <c r="BO2307" s="2259"/>
      <c r="BP2307" s="2259"/>
      <c r="BQ2307" s="2259"/>
      <c r="BR2307" s="2259"/>
      <c r="BS2307" s="2259"/>
    </row>
    <row r="2308" spans="1:71" s="2131" customFormat="1" ht="51">
      <c r="A2308" s="2152"/>
      <c r="B2308" s="2253"/>
      <c r="C2308" s="2164">
        <v>5</v>
      </c>
      <c r="D2308" s="2164" t="s">
        <v>34</v>
      </c>
      <c r="E2308" s="2164" t="s">
        <v>25</v>
      </c>
      <c r="F2308" s="2164" t="s">
        <v>45</v>
      </c>
      <c r="G2308" s="2164" t="s">
        <v>25</v>
      </c>
      <c r="H2308" s="2164" t="s">
        <v>44</v>
      </c>
      <c r="I2308" s="2260" t="s">
        <v>233</v>
      </c>
      <c r="J2308" s="2260" t="s">
        <v>3634</v>
      </c>
      <c r="K2308" s="2240">
        <v>72</v>
      </c>
      <c r="L2308" s="2241">
        <v>195000000</v>
      </c>
      <c r="M2308" s="2261">
        <v>36</v>
      </c>
      <c r="N2308" s="2262">
        <v>93005800</v>
      </c>
      <c r="O2308" s="2240">
        <v>12</v>
      </c>
      <c r="P2308" s="2242">
        <v>12000000</v>
      </c>
      <c r="Q2308" s="2261">
        <v>3</v>
      </c>
      <c r="R2308" s="2241"/>
      <c r="S2308" s="2261">
        <v>3</v>
      </c>
      <c r="T2308" s="2241"/>
      <c r="U2308" s="2240"/>
      <c r="V2308" s="2242"/>
      <c r="W2308" s="2240"/>
      <c r="X2308" s="2241"/>
      <c r="Y2308" s="2240">
        <f t="shared" si="660"/>
        <v>6</v>
      </c>
      <c r="Z2308" s="2241">
        <f t="shared" si="660"/>
        <v>0</v>
      </c>
      <c r="AA2308" s="2240">
        <f t="shared" si="661"/>
        <v>42</v>
      </c>
      <c r="AB2308" s="2241">
        <f t="shared" si="661"/>
        <v>93005800</v>
      </c>
      <c r="AC2308" s="2243">
        <f t="shared" si="662"/>
        <v>58.333333333333336</v>
      </c>
      <c r="AD2308" s="2243">
        <f t="shared" si="662"/>
        <v>47.695282051282049</v>
      </c>
      <c r="AE2308" s="2216"/>
      <c r="AF2308" s="2259"/>
      <c r="AG2308" s="2259"/>
      <c r="AH2308" s="2259"/>
      <c r="AI2308" s="2259"/>
      <c r="AJ2308" s="2259"/>
      <c r="AK2308" s="2259"/>
      <c r="AL2308" s="2259"/>
      <c r="AM2308" s="2259"/>
      <c r="AN2308" s="2259"/>
      <c r="AO2308" s="2259"/>
      <c r="AP2308" s="2259"/>
      <c r="AQ2308" s="2259"/>
      <c r="AR2308" s="2259"/>
      <c r="AS2308" s="2259"/>
      <c r="AT2308" s="2259"/>
      <c r="AU2308" s="2259"/>
      <c r="AV2308" s="2259"/>
      <c r="AW2308" s="2259"/>
      <c r="AX2308" s="2259"/>
      <c r="AY2308" s="2259"/>
      <c r="AZ2308" s="2259"/>
      <c r="BA2308" s="2259"/>
      <c r="BB2308" s="2259"/>
      <c r="BC2308" s="2259"/>
      <c r="BD2308" s="2259"/>
      <c r="BE2308" s="2259"/>
      <c r="BF2308" s="2259"/>
      <c r="BG2308" s="2259"/>
      <c r="BH2308" s="2259"/>
      <c r="BI2308" s="2259"/>
      <c r="BJ2308" s="2259"/>
      <c r="BK2308" s="2259"/>
      <c r="BL2308" s="2259"/>
      <c r="BM2308" s="2259"/>
      <c r="BN2308" s="2259"/>
      <c r="BO2308" s="2259"/>
      <c r="BP2308" s="2259"/>
      <c r="BQ2308" s="2259"/>
      <c r="BR2308" s="2259"/>
      <c r="BS2308" s="2259"/>
    </row>
    <row r="2309" spans="1:71" s="2131" customFormat="1" ht="51">
      <c r="A2309" s="2267"/>
      <c r="B2309" s="2253"/>
      <c r="C2309" s="2164">
        <v>5</v>
      </c>
      <c r="D2309" s="2164" t="s">
        <v>34</v>
      </c>
      <c r="E2309" s="2164" t="s">
        <v>25</v>
      </c>
      <c r="F2309" s="2164" t="s">
        <v>45</v>
      </c>
      <c r="G2309" s="2164" t="s">
        <v>25</v>
      </c>
      <c r="H2309" s="2254" t="s">
        <v>54</v>
      </c>
      <c r="I2309" s="2171" t="s">
        <v>3689</v>
      </c>
      <c r="J2309" s="2171" t="s">
        <v>3635</v>
      </c>
      <c r="K2309" s="2255">
        <v>72</v>
      </c>
      <c r="L2309" s="2203">
        <v>294700000</v>
      </c>
      <c r="M2309" s="2256">
        <v>36</v>
      </c>
      <c r="N2309" s="2257">
        <v>138560000</v>
      </c>
      <c r="O2309" s="2255">
        <v>12</v>
      </c>
      <c r="P2309" s="2258">
        <v>47740000</v>
      </c>
      <c r="Q2309" s="2256">
        <v>3</v>
      </c>
      <c r="R2309" s="2203">
        <v>13010000</v>
      </c>
      <c r="S2309" s="2256">
        <v>3</v>
      </c>
      <c r="T2309" s="2203">
        <v>13010000</v>
      </c>
      <c r="U2309" s="2255"/>
      <c r="V2309" s="2258"/>
      <c r="W2309" s="2255"/>
      <c r="X2309" s="2203"/>
      <c r="Y2309" s="2240">
        <f t="shared" si="660"/>
        <v>6</v>
      </c>
      <c r="Z2309" s="2203">
        <f t="shared" si="660"/>
        <v>26020000</v>
      </c>
      <c r="AA2309" s="2240">
        <f t="shared" si="661"/>
        <v>42</v>
      </c>
      <c r="AB2309" s="2203">
        <f t="shared" si="661"/>
        <v>164580000</v>
      </c>
      <c r="AC2309" s="2243">
        <f t="shared" si="662"/>
        <v>58.333333333333336</v>
      </c>
      <c r="AD2309" s="2243">
        <f t="shared" si="662"/>
        <v>55.846623685103495</v>
      </c>
      <c r="AE2309" s="2605"/>
      <c r="AF2309" s="2259"/>
      <c r="AG2309" s="2259"/>
      <c r="AH2309" s="2259"/>
      <c r="AI2309" s="2259"/>
      <c r="AJ2309" s="2259"/>
      <c r="AK2309" s="2259"/>
      <c r="AL2309" s="2259"/>
      <c r="AM2309" s="2259"/>
      <c r="AN2309" s="2259"/>
      <c r="AO2309" s="2259"/>
      <c r="AP2309" s="2259"/>
      <c r="AQ2309" s="2259"/>
      <c r="AR2309" s="2259"/>
      <c r="AS2309" s="2259"/>
      <c r="AT2309" s="2259"/>
      <c r="AU2309" s="2259"/>
      <c r="AV2309" s="2259"/>
      <c r="AW2309" s="2259"/>
      <c r="AX2309" s="2259"/>
      <c r="AY2309" s="2259"/>
      <c r="AZ2309" s="2259"/>
      <c r="BA2309" s="2259"/>
      <c r="BB2309" s="2259"/>
      <c r="BC2309" s="2259"/>
      <c r="BD2309" s="2259"/>
      <c r="BE2309" s="2259"/>
      <c r="BF2309" s="2259"/>
      <c r="BG2309" s="2259"/>
      <c r="BH2309" s="2259"/>
      <c r="BI2309" s="2259"/>
      <c r="BJ2309" s="2259"/>
      <c r="BK2309" s="2259"/>
      <c r="BL2309" s="2259"/>
      <c r="BM2309" s="2259"/>
      <c r="BN2309" s="2259"/>
      <c r="BO2309" s="2259"/>
      <c r="BP2309" s="2259"/>
      <c r="BQ2309" s="2259"/>
      <c r="BR2309" s="2259"/>
      <c r="BS2309" s="2259"/>
    </row>
    <row r="2310" spans="1:71" s="2131" customFormat="1" ht="25.5">
      <c r="A2310" s="2267"/>
      <c r="B2310" s="2253"/>
      <c r="C2310" s="2164">
        <v>5</v>
      </c>
      <c r="D2310" s="2164" t="s">
        <v>34</v>
      </c>
      <c r="E2310" s="2164" t="s">
        <v>25</v>
      </c>
      <c r="F2310" s="2164" t="s">
        <v>45</v>
      </c>
      <c r="G2310" s="2164" t="s">
        <v>25</v>
      </c>
      <c r="H2310" s="2254" t="s">
        <v>54</v>
      </c>
      <c r="I2310" s="2171" t="s">
        <v>3690</v>
      </c>
      <c r="J2310" s="2171" t="s">
        <v>3691</v>
      </c>
      <c r="K2310" s="2255">
        <v>48</v>
      </c>
      <c r="L2310" s="2203">
        <v>55000000</v>
      </c>
      <c r="M2310" s="2256">
        <v>24</v>
      </c>
      <c r="N2310" s="2257">
        <v>20848000</v>
      </c>
      <c r="O2310" s="2255">
        <v>8</v>
      </c>
      <c r="P2310" s="2258">
        <v>7775000</v>
      </c>
      <c r="Q2310" s="2256">
        <v>3</v>
      </c>
      <c r="R2310" s="2203">
        <v>1050000</v>
      </c>
      <c r="S2310" s="2256">
        <v>3</v>
      </c>
      <c r="T2310" s="2203">
        <v>1050000</v>
      </c>
      <c r="U2310" s="2255"/>
      <c r="V2310" s="2258"/>
      <c r="W2310" s="2255"/>
      <c r="X2310" s="2203"/>
      <c r="Y2310" s="2240">
        <f t="shared" si="660"/>
        <v>6</v>
      </c>
      <c r="Z2310" s="2203">
        <f t="shared" si="660"/>
        <v>2100000</v>
      </c>
      <c r="AA2310" s="2240">
        <f t="shared" si="661"/>
        <v>30</v>
      </c>
      <c r="AB2310" s="2203">
        <f t="shared" si="661"/>
        <v>22948000</v>
      </c>
      <c r="AC2310" s="2243">
        <f t="shared" si="662"/>
        <v>62.5</v>
      </c>
      <c r="AD2310" s="2243">
        <f t="shared" si="662"/>
        <v>41.723636363636359</v>
      </c>
      <c r="AE2310" s="2605"/>
      <c r="AF2310" s="2259"/>
      <c r="AG2310" s="2259"/>
      <c r="AH2310" s="2259"/>
      <c r="AI2310" s="2259"/>
      <c r="AJ2310" s="2259"/>
      <c r="AK2310" s="2259"/>
      <c r="AL2310" s="2259"/>
      <c r="AM2310" s="2259"/>
      <c r="AN2310" s="2259"/>
      <c r="AO2310" s="2259"/>
      <c r="AP2310" s="2259"/>
      <c r="AQ2310" s="2259"/>
      <c r="AR2310" s="2259"/>
      <c r="AS2310" s="2259"/>
      <c r="AT2310" s="2259"/>
      <c r="AU2310" s="2259"/>
      <c r="AV2310" s="2259"/>
      <c r="AW2310" s="2259"/>
      <c r="AX2310" s="2259"/>
      <c r="AY2310" s="2259"/>
      <c r="AZ2310" s="2259"/>
      <c r="BA2310" s="2259"/>
      <c r="BB2310" s="2259"/>
      <c r="BC2310" s="2259"/>
      <c r="BD2310" s="2259"/>
      <c r="BE2310" s="2259"/>
      <c r="BF2310" s="2259"/>
      <c r="BG2310" s="2259"/>
      <c r="BH2310" s="2259"/>
      <c r="BI2310" s="2259"/>
      <c r="BJ2310" s="2259"/>
      <c r="BK2310" s="2259"/>
      <c r="BL2310" s="2259"/>
      <c r="BM2310" s="2259"/>
      <c r="BN2310" s="2259"/>
      <c r="BO2310" s="2259"/>
      <c r="BP2310" s="2259"/>
      <c r="BQ2310" s="2259"/>
      <c r="BR2310" s="2259"/>
      <c r="BS2310" s="2259"/>
    </row>
    <row r="2311" spans="1:71" s="2131" customFormat="1" ht="63.75">
      <c r="A2311" s="2140">
        <v>2</v>
      </c>
      <c r="B2311" s="2194"/>
      <c r="C2311" s="2142">
        <v>5</v>
      </c>
      <c r="D2311" s="2142" t="s">
        <v>34</v>
      </c>
      <c r="E2311" s="2142" t="s">
        <v>25</v>
      </c>
      <c r="F2311" s="2142" t="s">
        <v>45</v>
      </c>
      <c r="G2311" s="2142" t="s">
        <v>28</v>
      </c>
      <c r="H2311" s="2140"/>
      <c r="I2311" s="2143" t="s">
        <v>3636</v>
      </c>
      <c r="J2311" s="2143" t="s">
        <v>3531</v>
      </c>
      <c r="K2311" s="2144">
        <v>72</v>
      </c>
      <c r="L2311" s="2145">
        <f>SUM(L2312:L2316)</f>
        <v>72500000</v>
      </c>
      <c r="M2311" s="2144">
        <v>36</v>
      </c>
      <c r="N2311" s="2145">
        <f>SUM(N2312:N2316)</f>
        <v>259624450</v>
      </c>
      <c r="O2311" s="2144">
        <v>12</v>
      </c>
      <c r="P2311" s="2145">
        <f>SUM(P2312:P2316)</f>
        <v>60650000</v>
      </c>
      <c r="Q2311" s="2144">
        <v>3</v>
      </c>
      <c r="R2311" s="2145">
        <f>SUM(R2312:R2316)</f>
        <v>7403000</v>
      </c>
      <c r="S2311" s="2144">
        <v>3</v>
      </c>
      <c r="T2311" s="2145">
        <f>SUM(T2312:T2316)</f>
        <v>7403000</v>
      </c>
      <c r="U2311" s="2144"/>
      <c r="V2311" s="2145">
        <f>SUM(V2312:V2316)</f>
        <v>0</v>
      </c>
      <c r="W2311" s="2144"/>
      <c r="X2311" s="2145">
        <f>SUM(X2312:X2316)</f>
        <v>0</v>
      </c>
      <c r="Y2311" s="2144">
        <f t="shared" si="660"/>
        <v>6</v>
      </c>
      <c r="Z2311" s="2145">
        <f t="shared" si="660"/>
        <v>14806000</v>
      </c>
      <c r="AA2311" s="2144">
        <f t="shared" si="661"/>
        <v>42</v>
      </c>
      <c r="AB2311" s="2145">
        <f t="shared" si="661"/>
        <v>274430450</v>
      </c>
      <c r="AC2311" s="2147">
        <f t="shared" si="662"/>
        <v>58.333333333333336</v>
      </c>
      <c r="AD2311" s="2147">
        <f t="shared" si="662"/>
        <v>378.52475862068962</v>
      </c>
      <c r="AE2311" s="2204" t="s">
        <v>3750</v>
      </c>
      <c r="AF2311" s="2266"/>
      <c r="AG2311" s="2266"/>
      <c r="AH2311" s="2266"/>
      <c r="AI2311" s="2266"/>
      <c r="AJ2311" s="2266"/>
      <c r="AK2311" s="2266"/>
      <c r="AL2311" s="2266"/>
      <c r="AM2311" s="2266"/>
      <c r="AN2311" s="2266"/>
      <c r="AO2311" s="2266"/>
      <c r="AP2311" s="2266"/>
      <c r="AQ2311" s="2266"/>
      <c r="AR2311" s="2266"/>
      <c r="AS2311" s="2266"/>
      <c r="AT2311" s="2266"/>
      <c r="AU2311" s="2266"/>
      <c r="AV2311" s="2266"/>
      <c r="AW2311" s="2266"/>
      <c r="AX2311" s="2266"/>
      <c r="AY2311" s="2266"/>
      <c r="AZ2311" s="2266"/>
      <c r="BA2311" s="2266"/>
      <c r="BB2311" s="2266"/>
      <c r="BC2311" s="2266"/>
      <c r="BD2311" s="2266"/>
      <c r="BE2311" s="2266"/>
      <c r="BF2311" s="2266"/>
      <c r="BG2311" s="2266"/>
      <c r="BH2311" s="2266"/>
      <c r="BI2311" s="2266"/>
      <c r="BJ2311" s="2266"/>
      <c r="BK2311" s="2266"/>
      <c r="BL2311" s="2266"/>
      <c r="BM2311" s="2266"/>
      <c r="BN2311" s="2266"/>
      <c r="BO2311" s="2266"/>
      <c r="BP2311" s="2266"/>
      <c r="BQ2311" s="2266"/>
      <c r="BR2311" s="2266"/>
      <c r="BS2311" s="2266"/>
    </row>
    <row r="2312" spans="1:71" s="2131" customFormat="1" ht="38.25">
      <c r="A2312" s="2267"/>
      <c r="B2312" s="2253"/>
      <c r="C2312" s="2164">
        <v>5</v>
      </c>
      <c r="D2312" s="2164" t="s">
        <v>34</v>
      </c>
      <c r="E2312" s="2164" t="s">
        <v>25</v>
      </c>
      <c r="F2312" s="2164" t="s">
        <v>45</v>
      </c>
      <c r="G2312" s="2164" t="s">
        <v>28</v>
      </c>
      <c r="H2312" s="2164" t="s">
        <v>43</v>
      </c>
      <c r="I2312" s="2171" t="s">
        <v>82</v>
      </c>
      <c r="J2312" s="2171" t="s">
        <v>97</v>
      </c>
      <c r="K2312" s="2255">
        <v>72</v>
      </c>
      <c r="L2312" s="2203">
        <v>15000000</v>
      </c>
      <c r="M2312" s="2256">
        <v>25</v>
      </c>
      <c r="N2312" s="2257">
        <v>112983400</v>
      </c>
      <c r="O2312" s="2255">
        <v>12</v>
      </c>
      <c r="P2312" s="2258">
        <v>9500000</v>
      </c>
      <c r="Q2312" s="2256">
        <v>0</v>
      </c>
      <c r="R2312" s="2203">
        <v>0</v>
      </c>
      <c r="S2312" s="2256">
        <v>0</v>
      </c>
      <c r="T2312" s="2203">
        <v>0</v>
      </c>
      <c r="U2312" s="2256"/>
      <c r="V2312" s="2258"/>
      <c r="W2312" s="2256"/>
      <c r="X2312" s="2203"/>
      <c r="Y2312" s="2240">
        <f t="shared" si="660"/>
        <v>0</v>
      </c>
      <c r="Z2312" s="2203">
        <f t="shared" si="660"/>
        <v>0</v>
      </c>
      <c r="AA2312" s="2240">
        <f t="shared" si="661"/>
        <v>25</v>
      </c>
      <c r="AB2312" s="2203">
        <f t="shared" si="661"/>
        <v>112983400</v>
      </c>
      <c r="AC2312" s="2243">
        <f t="shared" si="662"/>
        <v>34.722222222222221</v>
      </c>
      <c r="AD2312" s="2243">
        <f t="shared" si="662"/>
        <v>753.22266666666667</v>
      </c>
      <c r="AE2312" s="2605"/>
      <c r="AF2312" s="2259"/>
      <c r="AG2312" s="2259"/>
      <c r="AH2312" s="2259"/>
      <c r="AI2312" s="2259"/>
      <c r="AJ2312" s="2259"/>
      <c r="AK2312" s="2259"/>
      <c r="AL2312" s="2259"/>
      <c r="AM2312" s="2259"/>
      <c r="AN2312" s="2259"/>
      <c r="AO2312" s="2259"/>
      <c r="AP2312" s="2259"/>
      <c r="AQ2312" s="2259"/>
      <c r="AR2312" s="2259"/>
      <c r="AS2312" s="2259"/>
      <c r="AT2312" s="2259"/>
      <c r="AU2312" s="2259"/>
      <c r="AV2312" s="2259"/>
      <c r="AW2312" s="2259"/>
      <c r="AX2312" s="2259"/>
      <c r="AY2312" s="2259"/>
      <c r="AZ2312" s="2259"/>
      <c r="BA2312" s="2259"/>
      <c r="BB2312" s="2259"/>
      <c r="BC2312" s="2259"/>
      <c r="BD2312" s="2259"/>
      <c r="BE2312" s="2259"/>
      <c r="BF2312" s="2259"/>
      <c r="BG2312" s="2259"/>
      <c r="BH2312" s="2259"/>
      <c r="BI2312" s="2259"/>
      <c r="BJ2312" s="2259"/>
      <c r="BK2312" s="2259"/>
      <c r="BL2312" s="2259"/>
      <c r="BM2312" s="2259"/>
      <c r="BN2312" s="2259"/>
      <c r="BO2312" s="2259"/>
      <c r="BP2312" s="2259"/>
      <c r="BQ2312" s="2259"/>
      <c r="BR2312" s="2259"/>
      <c r="BS2312" s="2259"/>
    </row>
    <row r="2313" spans="1:71" s="2131" customFormat="1" ht="38.25">
      <c r="A2313" s="2267"/>
      <c r="B2313" s="2253"/>
      <c r="C2313" s="2164">
        <v>5</v>
      </c>
      <c r="D2313" s="2164" t="s">
        <v>34</v>
      </c>
      <c r="E2313" s="2164" t="s">
        <v>25</v>
      </c>
      <c r="F2313" s="2164" t="s">
        <v>45</v>
      </c>
      <c r="G2313" s="2164" t="s">
        <v>28</v>
      </c>
      <c r="H2313" s="2164" t="s">
        <v>61</v>
      </c>
      <c r="I2313" s="2171" t="s">
        <v>241</v>
      </c>
      <c r="J2313" s="2171" t="s">
        <v>3751</v>
      </c>
      <c r="K2313" s="2255">
        <v>72</v>
      </c>
      <c r="L2313" s="2203">
        <v>10000000</v>
      </c>
      <c r="M2313" s="2256">
        <v>36</v>
      </c>
      <c r="N2313" s="2257">
        <v>9500000</v>
      </c>
      <c r="O2313" s="2255">
        <v>0</v>
      </c>
      <c r="P2313" s="2258">
        <v>0</v>
      </c>
      <c r="Q2313" s="2256">
        <v>0</v>
      </c>
      <c r="R2313" s="2203">
        <v>0</v>
      </c>
      <c r="S2313" s="2256">
        <v>0</v>
      </c>
      <c r="T2313" s="2203">
        <v>0</v>
      </c>
      <c r="U2313" s="2255"/>
      <c r="V2313" s="2258"/>
      <c r="W2313" s="2255"/>
      <c r="X2313" s="2255"/>
      <c r="Y2313" s="2240">
        <f t="shared" si="660"/>
        <v>0</v>
      </c>
      <c r="Z2313" s="2203">
        <f t="shared" si="660"/>
        <v>0</v>
      </c>
      <c r="AA2313" s="2240">
        <f t="shared" si="661"/>
        <v>36</v>
      </c>
      <c r="AB2313" s="2203">
        <f t="shared" si="661"/>
        <v>9500000</v>
      </c>
      <c r="AC2313" s="2243">
        <f t="shared" si="662"/>
        <v>50</v>
      </c>
      <c r="AD2313" s="2243">
        <f t="shared" si="662"/>
        <v>95</v>
      </c>
      <c r="AE2313" s="2605"/>
      <c r="AF2313" s="2259"/>
      <c r="AG2313" s="2259"/>
      <c r="AH2313" s="2259"/>
      <c r="AI2313" s="2259"/>
      <c r="AJ2313" s="2259"/>
      <c r="AK2313" s="2259"/>
      <c r="AL2313" s="2259"/>
      <c r="AM2313" s="2259"/>
      <c r="AN2313" s="2259"/>
      <c r="AO2313" s="2259"/>
      <c r="AP2313" s="2259"/>
      <c r="AQ2313" s="2259"/>
      <c r="AR2313" s="2259"/>
      <c r="AS2313" s="2259"/>
      <c r="AT2313" s="2259"/>
      <c r="AU2313" s="2259"/>
      <c r="AV2313" s="2259"/>
      <c r="AW2313" s="2259"/>
      <c r="AX2313" s="2259"/>
      <c r="AY2313" s="2259"/>
      <c r="AZ2313" s="2259"/>
      <c r="BA2313" s="2259"/>
      <c r="BB2313" s="2259"/>
      <c r="BC2313" s="2259"/>
      <c r="BD2313" s="2259"/>
      <c r="BE2313" s="2259"/>
      <c r="BF2313" s="2259"/>
      <c r="BG2313" s="2259"/>
      <c r="BH2313" s="2259"/>
      <c r="BI2313" s="2259"/>
      <c r="BJ2313" s="2259"/>
      <c r="BK2313" s="2259"/>
      <c r="BL2313" s="2259"/>
      <c r="BM2313" s="2259"/>
      <c r="BN2313" s="2259"/>
      <c r="BO2313" s="2259"/>
      <c r="BP2313" s="2259"/>
      <c r="BQ2313" s="2259"/>
      <c r="BR2313" s="2259"/>
      <c r="BS2313" s="2259"/>
    </row>
    <row r="2314" spans="1:71" s="2131" customFormat="1" ht="25.5">
      <c r="A2314" s="2267"/>
      <c r="B2314" s="2253"/>
      <c r="C2314" s="2164">
        <v>5</v>
      </c>
      <c r="D2314" s="2164" t="s">
        <v>34</v>
      </c>
      <c r="E2314" s="2164" t="s">
        <v>25</v>
      </c>
      <c r="F2314" s="2164" t="s">
        <v>45</v>
      </c>
      <c r="G2314" s="2164" t="s">
        <v>28</v>
      </c>
      <c r="H2314" s="2164" t="s">
        <v>61</v>
      </c>
      <c r="I2314" s="2171" t="s">
        <v>37</v>
      </c>
      <c r="J2314" s="2171" t="s">
        <v>3752</v>
      </c>
      <c r="K2314" s="2255">
        <v>6</v>
      </c>
      <c r="L2314" s="2203">
        <v>15000000</v>
      </c>
      <c r="M2314" s="2256">
        <v>71.515742128935528</v>
      </c>
      <c r="N2314" s="2257">
        <v>93700000</v>
      </c>
      <c r="O2314" s="2255">
        <v>1</v>
      </c>
      <c r="P2314" s="2258">
        <v>11500000</v>
      </c>
      <c r="Q2314" s="2256">
        <v>0</v>
      </c>
      <c r="R2314" s="2203">
        <v>0</v>
      </c>
      <c r="S2314" s="2256">
        <v>0</v>
      </c>
      <c r="T2314" s="2203">
        <v>0</v>
      </c>
      <c r="U2314" s="2255"/>
      <c r="V2314" s="2258"/>
      <c r="W2314" s="2255"/>
      <c r="X2314" s="2203"/>
      <c r="Y2314" s="2240">
        <f t="shared" si="660"/>
        <v>0</v>
      </c>
      <c r="Z2314" s="2203">
        <f t="shared" si="660"/>
        <v>0</v>
      </c>
      <c r="AA2314" s="2240">
        <f t="shared" si="661"/>
        <v>71.515742128935528</v>
      </c>
      <c r="AB2314" s="2203">
        <f t="shared" si="661"/>
        <v>93700000</v>
      </c>
      <c r="AC2314" s="2243">
        <f t="shared" si="662"/>
        <v>1191.9290354822588</v>
      </c>
      <c r="AD2314" s="2243">
        <f t="shared" si="662"/>
        <v>624.66666666666674</v>
      </c>
      <c r="AE2314" s="2605"/>
      <c r="AF2314" s="2259"/>
      <c r="AG2314" s="2259"/>
      <c r="AH2314" s="2259"/>
      <c r="AI2314" s="2259"/>
      <c r="AJ2314" s="2259"/>
      <c r="AK2314" s="2259"/>
      <c r="AL2314" s="2259"/>
      <c r="AM2314" s="2259"/>
      <c r="AN2314" s="2259"/>
      <c r="AO2314" s="2259"/>
      <c r="AP2314" s="2259"/>
      <c r="AQ2314" s="2259"/>
      <c r="AR2314" s="2259"/>
      <c r="AS2314" s="2259"/>
      <c r="AT2314" s="2259"/>
      <c r="AU2314" s="2259"/>
      <c r="AV2314" s="2259"/>
      <c r="AW2314" s="2259"/>
      <c r="AX2314" s="2259"/>
      <c r="AY2314" s="2259"/>
      <c r="AZ2314" s="2259"/>
      <c r="BA2314" s="2259"/>
      <c r="BB2314" s="2259"/>
      <c r="BC2314" s="2259"/>
      <c r="BD2314" s="2259"/>
      <c r="BE2314" s="2259"/>
      <c r="BF2314" s="2259"/>
      <c r="BG2314" s="2259"/>
      <c r="BH2314" s="2259"/>
      <c r="BI2314" s="2259"/>
      <c r="BJ2314" s="2259"/>
      <c r="BK2314" s="2259"/>
      <c r="BL2314" s="2259"/>
      <c r="BM2314" s="2259"/>
      <c r="BN2314" s="2259"/>
      <c r="BO2314" s="2259"/>
      <c r="BP2314" s="2259"/>
      <c r="BQ2314" s="2259"/>
      <c r="BR2314" s="2259"/>
      <c r="BS2314" s="2259"/>
    </row>
    <row r="2315" spans="1:71" s="2131" customFormat="1" ht="38.25">
      <c r="A2315" s="2267"/>
      <c r="B2315" s="2253"/>
      <c r="C2315" s="2164">
        <v>5</v>
      </c>
      <c r="D2315" s="2164" t="s">
        <v>34</v>
      </c>
      <c r="E2315" s="2164" t="s">
        <v>25</v>
      </c>
      <c r="F2315" s="2164" t="s">
        <v>45</v>
      </c>
      <c r="G2315" s="2164" t="s">
        <v>28</v>
      </c>
      <c r="H2315" s="2164" t="s">
        <v>84</v>
      </c>
      <c r="I2315" s="2171" t="s">
        <v>3753</v>
      </c>
      <c r="J2315" s="2171" t="s">
        <v>3754</v>
      </c>
      <c r="K2315" s="2255">
        <v>72</v>
      </c>
      <c r="L2315" s="2203">
        <v>30000000</v>
      </c>
      <c r="M2315" s="2256">
        <v>25</v>
      </c>
      <c r="N2315" s="2257">
        <v>39311050</v>
      </c>
      <c r="O2315" s="2255">
        <v>12</v>
      </c>
      <c r="P2315" s="2258">
        <v>36650000</v>
      </c>
      <c r="Q2315" s="2256">
        <v>3</v>
      </c>
      <c r="R2315" s="2203">
        <v>6433000</v>
      </c>
      <c r="S2315" s="2256">
        <v>3</v>
      </c>
      <c r="T2315" s="2203">
        <v>6433000</v>
      </c>
      <c r="U2315" s="2256"/>
      <c r="V2315" s="2258"/>
      <c r="W2315" s="2256"/>
      <c r="X2315" s="2203"/>
      <c r="Y2315" s="2240">
        <f t="shared" si="660"/>
        <v>6</v>
      </c>
      <c r="Z2315" s="2203">
        <f t="shared" si="660"/>
        <v>12866000</v>
      </c>
      <c r="AA2315" s="2240">
        <f t="shared" si="661"/>
        <v>31</v>
      </c>
      <c r="AB2315" s="2203">
        <f t="shared" si="661"/>
        <v>52177050</v>
      </c>
      <c r="AC2315" s="2243">
        <f t="shared" si="662"/>
        <v>43.055555555555557</v>
      </c>
      <c r="AD2315" s="2243">
        <f t="shared" si="662"/>
        <v>173.92350000000002</v>
      </c>
      <c r="AE2315" s="2605"/>
      <c r="AF2315" s="2259"/>
      <c r="AG2315" s="2259"/>
      <c r="AH2315" s="2259"/>
      <c r="AI2315" s="2259"/>
      <c r="AJ2315" s="2259"/>
      <c r="AK2315" s="2259"/>
      <c r="AL2315" s="2259"/>
      <c r="AM2315" s="2259"/>
      <c r="AN2315" s="2259"/>
      <c r="AO2315" s="2259"/>
      <c r="AP2315" s="2259"/>
      <c r="AQ2315" s="2259"/>
      <c r="AR2315" s="2259"/>
      <c r="AS2315" s="2259"/>
      <c r="AT2315" s="2259"/>
      <c r="AU2315" s="2259"/>
      <c r="AV2315" s="2259"/>
      <c r="AW2315" s="2259"/>
      <c r="AX2315" s="2259"/>
      <c r="AY2315" s="2259"/>
      <c r="AZ2315" s="2259"/>
      <c r="BA2315" s="2259"/>
      <c r="BB2315" s="2259"/>
      <c r="BC2315" s="2259"/>
      <c r="BD2315" s="2259"/>
      <c r="BE2315" s="2259"/>
      <c r="BF2315" s="2259"/>
      <c r="BG2315" s="2259"/>
      <c r="BH2315" s="2259"/>
      <c r="BI2315" s="2259"/>
      <c r="BJ2315" s="2259"/>
      <c r="BK2315" s="2259"/>
      <c r="BL2315" s="2259"/>
      <c r="BM2315" s="2259"/>
      <c r="BN2315" s="2259"/>
      <c r="BO2315" s="2259"/>
      <c r="BP2315" s="2259"/>
      <c r="BQ2315" s="2259"/>
      <c r="BR2315" s="2259"/>
      <c r="BS2315" s="2259"/>
    </row>
    <row r="2316" spans="1:71" s="2131" customFormat="1" ht="51">
      <c r="A2316" s="2267"/>
      <c r="B2316" s="2253"/>
      <c r="C2316" s="2164">
        <v>5</v>
      </c>
      <c r="D2316" s="2164" t="s">
        <v>34</v>
      </c>
      <c r="E2316" s="2164" t="s">
        <v>25</v>
      </c>
      <c r="F2316" s="2164" t="s">
        <v>45</v>
      </c>
      <c r="G2316" s="2164" t="s">
        <v>28</v>
      </c>
      <c r="H2316" s="2164" t="s">
        <v>50</v>
      </c>
      <c r="I2316" s="2171" t="s">
        <v>3755</v>
      </c>
      <c r="J2316" s="2171" t="s">
        <v>3756</v>
      </c>
      <c r="K2316" s="2255">
        <v>72</v>
      </c>
      <c r="L2316" s="2203">
        <v>2500000</v>
      </c>
      <c r="M2316" s="2256">
        <v>36</v>
      </c>
      <c r="N2316" s="2257">
        <v>4130000</v>
      </c>
      <c r="O2316" s="2255">
        <v>12</v>
      </c>
      <c r="P2316" s="2258">
        <v>3000000</v>
      </c>
      <c r="Q2316" s="2256">
        <v>3</v>
      </c>
      <c r="R2316" s="2203">
        <v>970000</v>
      </c>
      <c r="S2316" s="2256">
        <v>3</v>
      </c>
      <c r="T2316" s="2203">
        <v>970000</v>
      </c>
      <c r="U2316" s="2256"/>
      <c r="V2316" s="2258"/>
      <c r="W2316" s="2256"/>
      <c r="X2316" s="2203"/>
      <c r="Y2316" s="2240">
        <f t="shared" si="660"/>
        <v>6</v>
      </c>
      <c r="Z2316" s="2203">
        <f t="shared" si="660"/>
        <v>1940000</v>
      </c>
      <c r="AA2316" s="2240">
        <f t="shared" si="661"/>
        <v>42</v>
      </c>
      <c r="AB2316" s="2203">
        <f t="shared" si="661"/>
        <v>6070000</v>
      </c>
      <c r="AC2316" s="2243">
        <f t="shared" si="662"/>
        <v>58.333333333333336</v>
      </c>
      <c r="AD2316" s="2243">
        <f t="shared" si="662"/>
        <v>242.79999999999998</v>
      </c>
      <c r="AE2316" s="2605"/>
      <c r="AF2316" s="2259"/>
      <c r="AG2316" s="2259"/>
      <c r="AH2316" s="2259"/>
      <c r="AI2316" s="2259"/>
      <c r="AJ2316" s="2259"/>
      <c r="AK2316" s="2259"/>
      <c r="AL2316" s="2259"/>
      <c r="AM2316" s="2259"/>
      <c r="AN2316" s="2259"/>
      <c r="AO2316" s="2259"/>
      <c r="AP2316" s="2259"/>
      <c r="AQ2316" s="2259"/>
      <c r="AR2316" s="2259"/>
      <c r="AS2316" s="2259"/>
      <c r="AT2316" s="2259"/>
      <c r="AU2316" s="2259"/>
      <c r="AV2316" s="2259"/>
      <c r="AW2316" s="2259"/>
      <c r="AX2316" s="2259"/>
      <c r="AY2316" s="2259"/>
      <c r="AZ2316" s="2259"/>
      <c r="BA2316" s="2259"/>
      <c r="BB2316" s="2259"/>
      <c r="BC2316" s="2259"/>
      <c r="BD2316" s="2259"/>
      <c r="BE2316" s="2259"/>
      <c r="BF2316" s="2259"/>
      <c r="BG2316" s="2259"/>
      <c r="BH2316" s="2259"/>
      <c r="BI2316" s="2259"/>
      <c r="BJ2316" s="2259"/>
      <c r="BK2316" s="2259"/>
      <c r="BL2316" s="2259"/>
      <c r="BM2316" s="2259"/>
      <c r="BN2316" s="2259"/>
      <c r="BO2316" s="2259"/>
      <c r="BP2316" s="2259"/>
      <c r="BQ2316" s="2259"/>
      <c r="BR2316" s="2259"/>
      <c r="BS2316" s="2259"/>
    </row>
    <row r="2317" spans="1:71" s="2131" customFormat="1" ht="51">
      <c r="A2317" s="2140">
        <v>3</v>
      </c>
      <c r="B2317" s="2194"/>
      <c r="C2317" s="2142">
        <v>5</v>
      </c>
      <c r="D2317" s="2142" t="s">
        <v>34</v>
      </c>
      <c r="E2317" s="2142" t="s">
        <v>25</v>
      </c>
      <c r="F2317" s="2142" t="s">
        <v>45</v>
      </c>
      <c r="G2317" s="2142" t="s">
        <v>74</v>
      </c>
      <c r="H2317" s="2140"/>
      <c r="I2317" s="2143" t="s">
        <v>3648</v>
      </c>
      <c r="J2317" s="2143" t="s">
        <v>3649</v>
      </c>
      <c r="K2317" s="2144">
        <v>100</v>
      </c>
      <c r="L2317" s="2145">
        <f>L2318</f>
        <v>174225000</v>
      </c>
      <c r="M2317" s="2144">
        <v>50</v>
      </c>
      <c r="N2317" s="2145">
        <f>N2318</f>
        <v>69450000</v>
      </c>
      <c r="O2317" s="2144">
        <v>18</v>
      </c>
      <c r="P2317" s="2145">
        <f>P2318</f>
        <v>72975000</v>
      </c>
      <c r="Q2317" s="2144">
        <v>0</v>
      </c>
      <c r="R2317" s="2145">
        <f>R2318</f>
        <v>0</v>
      </c>
      <c r="S2317" s="2144">
        <v>0</v>
      </c>
      <c r="T2317" s="2145">
        <f>T2318</f>
        <v>0</v>
      </c>
      <c r="U2317" s="2195"/>
      <c r="V2317" s="2145">
        <f>V2318</f>
        <v>0</v>
      </c>
      <c r="W2317" s="2144"/>
      <c r="X2317" s="2145">
        <f>X2318</f>
        <v>0</v>
      </c>
      <c r="Y2317" s="2195">
        <f t="shared" si="660"/>
        <v>0</v>
      </c>
      <c r="Z2317" s="2145">
        <f t="shared" si="660"/>
        <v>0</v>
      </c>
      <c r="AA2317" s="2147">
        <f t="shared" si="661"/>
        <v>50</v>
      </c>
      <c r="AB2317" s="2145">
        <f t="shared" si="661"/>
        <v>69450000</v>
      </c>
      <c r="AC2317" s="2147">
        <f t="shared" si="662"/>
        <v>50</v>
      </c>
      <c r="AD2317" s="2147">
        <f t="shared" si="662"/>
        <v>39.862247094274643</v>
      </c>
      <c r="AE2317" s="2204" t="s">
        <v>3750</v>
      </c>
      <c r="AF2317" s="2266"/>
      <c r="AG2317" s="2266"/>
      <c r="AH2317" s="2266"/>
      <c r="AI2317" s="2266"/>
      <c r="AJ2317" s="2266"/>
      <c r="AK2317" s="2266"/>
      <c r="AL2317" s="2266"/>
      <c r="AM2317" s="2266"/>
      <c r="AN2317" s="2266"/>
      <c r="AO2317" s="2266"/>
      <c r="AP2317" s="2266"/>
      <c r="AQ2317" s="2266"/>
      <c r="AR2317" s="2266"/>
      <c r="AS2317" s="2266"/>
      <c r="AT2317" s="2266"/>
      <c r="AU2317" s="2266"/>
      <c r="AV2317" s="2266"/>
      <c r="AW2317" s="2266"/>
      <c r="AX2317" s="2266"/>
      <c r="AY2317" s="2266"/>
      <c r="AZ2317" s="2266"/>
      <c r="BA2317" s="2266"/>
      <c r="BB2317" s="2266"/>
      <c r="BC2317" s="2266"/>
      <c r="BD2317" s="2266"/>
      <c r="BE2317" s="2266"/>
      <c r="BF2317" s="2266"/>
      <c r="BG2317" s="2266"/>
      <c r="BH2317" s="2266"/>
      <c r="BI2317" s="2266"/>
      <c r="BJ2317" s="2266"/>
      <c r="BK2317" s="2266"/>
      <c r="BL2317" s="2266"/>
      <c r="BM2317" s="2266"/>
      <c r="BN2317" s="2266"/>
      <c r="BO2317" s="2266"/>
      <c r="BP2317" s="2266"/>
      <c r="BQ2317" s="2266"/>
      <c r="BR2317" s="2266"/>
      <c r="BS2317" s="2266"/>
    </row>
    <row r="2318" spans="1:71" s="2131" customFormat="1" ht="25.5">
      <c r="A2318" s="2379"/>
      <c r="B2318" s="2162"/>
      <c r="C2318" s="2164">
        <v>5</v>
      </c>
      <c r="D2318" s="2164" t="s">
        <v>34</v>
      </c>
      <c r="E2318" s="2164" t="s">
        <v>25</v>
      </c>
      <c r="F2318" s="2164" t="s">
        <v>45</v>
      </c>
      <c r="G2318" s="2164" t="s">
        <v>74</v>
      </c>
      <c r="H2318" s="2164" t="s">
        <v>56</v>
      </c>
      <c r="I2318" s="2162" t="s">
        <v>2284</v>
      </c>
      <c r="J2318" s="2162" t="s">
        <v>3651</v>
      </c>
      <c r="K2318" s="2166">
        <v>6</v>
      </c>
      <c r="L2318" s="2167">
        <v>174225000</v>
      </c>
      <c r="M2318" s="2166">
        <v>3</v>
      </c>
      <c r="N2318" s="2167">
        <v>69450000</v>
      </c>
      <c r="O2318" s="2166">
        <v>1</v>
      </c>
      <c r="P2318" s="2167">
        <v>72975000</v>
      </c>
      <c r="Q2318" s="2166">
        <v>0</v>
      </c>
      <c r="R2318" s="2167"/>
      <c r="S2318" s="2166">
        <v>0</v>
      </c>
      <c r="T2318" s="2167"/>
      <c r="U2318" s="2166"/>
      <c r="V2318" s="2202"/>
      <c r="W2318" s="2166"/>
      <c r="X2318" s="2166"/>
      <c r="Y2318" s="2166">
        <f t="shared" si="660"/>
        <v>0</v>
      </c>
      <c r="Z2318" s="2203">
        <f t="shared" si="660"/>
        <v>0</v>
      </c>
      <c r="AA2318" s="2166">
        <f t="shared" si="661"/>
        <v>3</v>
      </c>
      <c r="AB2318" s="2203">
        <f t="shared" si="661"/>
        <v>69450000</v>
      </c>
      <c r="AC2318" s="2170">
        <f t="shared" si="662"/>
        <v>50</v>
      </c>
      <c r="AD2318" s="2170">
        <f t="shared" si="662"/>
        <v>39.862247094274643</v>
      </c>
      <c r="AE2318" s="2409"/>
      <c r="AF2318" s="2259"/>
      <c r="AG2318" s="2259"/>
      <c r="AH2318" s="2259"/>
      <c r="AI2318" s="2259"/>
      <c r="AJ2318" s="2259"/>
      <c r="AK2318" s="2259"/>
      <c r="AL2318" s="2259"/>
      <c r="AM2318" s="2259"/>
      <c r="AN2318" s="2259"/>
      <c r="AO2318" s="2259"/>
      <c r="AP2318" s="2259"/>
      <c r="AQ2318" s="2259"/>
      <c r="AR2318" s="2259"/>
      <c r="AS2318" s="2259"/>
      <c r="AT2318" s="2259"/>
      <c r="AU2318" s="2259"/>
      <c r="AV2318" s="2259"/>
      <c r="AW2318" s="2259"/>
      <c r="AX2318" s="2259"/>
      <c r="AY2318" s="2259"/>
      <c r="AZ2318" s="2259"/>
      <c r="BA2318" s="2259"/>
      <c r="BB2318" s="2259"/>
      <c r="BC2318" s="2259"/>
      <c r="BD2318" s="2259"/>
      <c r="BE2318" s="2259"/>
      <c r="BF2318" s="2259"/>
      <c r="BG2318" s="2259"/>
      <c r="BH2318" s="2259"/>
      <c r="BI2318" s="2259"/>
      <c r="BJ2318" s="2259"/>
      <c r="BK2318" s="2259"/>
      <c r="BL2318" s="2259"/>
      <c r="BM2318" s="2259"/>
      <c r="BN2318" s="2259"/>
      <c r="BO2318" s="2259"/>
      <c r="BP2318" s="2259"/>
      <c r="BQ2318" s="2259"/>
      <c r="BR2318" s="2259"/>
      <c r="BS2318" s="2259"/>
    </row>
    <row r="2319" spans="1:71" s="2131" customFormat="1" ht="63.75">
      <c r="A2319" s="2140">
        <v>6</v>
      </c>
      <c r="B2319" s="2194"/>
      <c r="C2319" s="2142">
        <v>5</v>
      </c>
      <c r="D2319" s="2142" t="s">
        <v>34</v>
      </c>
      <c r="E2319" s="2142" t="s">
        <v>25</v>
      </c>
      <c r="F2319" s="2142" t="s">
        <v>45</v>
      </c>
      <c r="G2319" s="2142" t="s">
        <v>45</v>
      </c>
      <c r="H2319" s="2142"/>
      <c r="I2319" s="2143" t="s">
        <v>3653</v>
      </c>
      <c r="J2319" s="2143" t="s">
        <v>3654</v>
      </c>
      <c r="K2319" s="2144">
        <v>100</v>
      </c>
      <c r="L2319" s="2145">
        <f>L2320</f>
        <v>75310000</v>
      </c>
      <c r="M2319" s="2144">
        <v>50</v>
      </c>
      <c r="N2319" s="2145">
        <f>N2320</f>
        <v>33455000</v>
      </c>
      <c r="O2319" s="2144">
        <v>18</v>
      </c>
      <c r="P2319" s="2145">
        <f>P2320</f>
        <v>16697500</v>
      </c>
      <c r="Q2319" s="2144">
        <v>0</v>
      </c>
      <c r="R2319" s="2145">
        <f>R2320</f>
        <v>0</v>
      </c>
      <c r="S2319" s="2144">
        <v>0</v>
      </c>
      <c r="T2319" s="2145">
        <f>T2320</f>
        <v>0</v>
      </c>
      <c r="U2319" s="2144"/>
      <c r="V2319" s="2146">
        <f>V2320</f>
        <v>0</v>
      </c>
      <c r="W2319" s="2144"/>
      <c r="X2319" s="2146">
        <f>X2320</f>
        <v>0</v>
      </c>
      <c r="Y2319" s="2144">
        <f t="shared" si="660"/>
        <v>0</v>
      </c>
      <c r="Z2319" s="2145">
        <f t="shared" si="660"/>
        <v>0</v>
      </c>
      <c r="AA2319" s="2144">
        <f t="shared" si="661"/>
        <v>50</v>
      </c>
      <c r="AB2319" s="2145">
        <f t="shared" si="661"/>
        <v>33455000</v>
      </c>
      <c r="AC2319" s="2147">
        <f t="shared" si="662"/>
        <v>50</v>
      </c>
      <c r="AD2319" s="2147">
        <f t="shared" si="662"/>
        <v>44.42305138759793</v>
      </c>
      <c r="AE2319" s="2204" t="s">
        <v>3750</v>
      </c>
      <c r="AF2319" s="2266"/>
      <c r="AG2319" s="2266"/>
      <c r="AH2319" s="2266"/>
      <c r="AI2319" s="2266"/>
      <c r="AJ2319" s="2266"/>
      <c r="AK2319" s="2266"/>
      <c r="AL2319" s="2266"/>
      <c r="AM2319" s="2266"/>
      <c r="AN2319" s="2266"/>
      <c r="AO2319" s="2266"/>
      <c r="AP2319" s="2266"/>
      <c r="AQ2319" s="2266"/>
      <c r="AR2319" s="2266"/>
      <c r="AS2319" s="2266"/>
      <c r="AT2319" s="2266"/>
      <c r="AU2319" s="2266"/>
      <c r="AV2319" s="2266"/>
      <c r="AW2319" s="2266"/>
      <c r="AX2319" s="2266"/>
      <c r="AY2319" s="2266"/>
      <c r="AZ2319" s="2266"/>
      <c r="BA2319" s="2266"/>
      <c r="BB2319" s="2266"/>
      <c r="BC2319" s="2266"/>
      <c r="BD2319" s="2266"/>
      <c r="BE2319" s="2266"/>
      <c r="BF2319" s="2266"/>
      <c r="BG2319" s="2266"/>
      <c r="BH2319" s="2266"/>
      <c r="BI2319" s="2266"/>
      <c r="BJ2319" s="2266"/>
      <c r="BK2319" s="2266"/>
      <c r="BL2319" s="2266"/>
      <c r="BM2319" s="2266"/>
      <c r="BN2319" s="2266"/>
      <c r="BO2319" s="2266"/>
      <c r="BP2319" s="2266"/>
      <c r="BQ2319" s="2266"/>
      <c r="BR2319" s="2266"/>
      <c r="BS2319" s="2266"/>
    </row>
    <row r="2320" spans="1:71" s="2131" customFormat="1" ht="51">
      <c r="A2320" s="2379"/>
      <c r="B2320" s="2162"/>
      <c r="C2320" s="2164">
        <v>5</v>
      </c>
      <c r="D2320" s="2164" t="s">
        <v>34</v>
      </c>
      <c r="E2320" s="2164" t="s">
        <v>25</v>
      </c>
      <c r="F2320" s="2164" t="s">
        <v>45</v>
      </c>
      <c r="G2320" s="2164" t="s">
        <v>45</v>
      </c>
      <c r="H2320" s="2164" t="s">
        <v>31</v>
      </c>
      <c r="I2320" s="2162" t="s">
        <v>3655</v>
      </c>
      <c r="J2320" s="2162" t="s">
        <v>3656</v>
      </c>
      <c r="K2320" s="2166">
        <v>6</v>
      </c>
      <c r="L2320" s="2167">
        <v>75310000</v>
      </c>
      <c r="M2320" s="2166">
        <v>3</v>
      </c>
      <c r="N2320" s="2167">
        <v>33455000</v>
      </c>
      <c r="O2320" s="2166">
        <v>1</v>
      </c>
      <c r="P2320" s="2167">
        <v>16697500</v>
      </c>
      <c r="Q2320" s="2166">
        <v>0</v>
      </c>
      <c r="R2320" s="2167"/>
      <c r="S2320" s="2166">
        <v>0</v>
      </c>
      <c r="T2320" s="2167"/>
      <c r="U2320" s="2166"/>
      <c r="V2320" s="2202"/>
      <c r="W2320" s="2166"/>
      <c r="X2320" s="2166"/>
      <c r="Y2320" s="2240">
        <f t="shared" si="660"/>
        <v>0</v>
      </c>
      <c r="Z2320" s="2203">
        <f t="shared" si="660"/>
        <v>0</v>
      </c>
      <c r="AA2320" s="2240">
        <f t="shared" si="661"/>
        <v>3</v>
      </c>
      <c r="AB2320" s="2203">
        <f t="shared" si="661"/>
        <v>33455000</v>
      </c>
      <c r="AC2320" s="2243">
        <f t="shared" si="662"/>
        <v>50</v>
      </c>
      <c r="AD2320" s="2243">
        <f t="shared" si="662"/>
        <v>44.42305138759793</v>
      </c>
      <c r="AE2320" s="2409"/>
      <c r="AF2320" s="2259"/>
      <c r="AG2320" s="2259"/>
      <c r="AH2320" s="2259"/>
      <c r="AI2320" s="2259"/>
      <c r="AJ2320" s="2259"/>
      <c r="AK2320" s="2259"/>
      <c r="AL2320" s="2259"/>
      <c r="AM2320" s="2259"/>
      <c r="AN2320" s="2259"/>
      <c r="AO2320" s="2259"/>
      <c r="AP2320" s="2259"/>
      <c r="AQ2320" s="2259"/>
      <c r="AR2320" s="2259"/>
      <c r="AS2320" s="2259"/>
      <c r="AT2320" s="2259"/>
      <c r="AU2320" s="2259"/>
      <c r="AV2320" s="2259"/>
      <c r="AW2320" s="2259"/>
      <c r="AX2320" s="2259"/>
      <c r="AY2320" s="2259"/>
      <c r="AZ2320" s="2259"/>
      <c r="BA2320" s="2259"/>
      <c r="BB2320" s="2259"/>
      <c r="BC2320" s="2259"/>
      <c r="BD2320" s="2259"/>
      <c r="BE2320" s="2259"/>
      <c r="BF2320" s="2259"/>
      <c r="BG2320" s="2259"/>
      <c r="BH2320" s="2259"/>
      <c r="BI2320" s="2259"/>
      <c r="BJ2320" s="2259"/>
      <c r="BK2320" s="2259"/>
      <c r="BL2320" s="2259"/>
      <c r="BM2320" s="2259"/>
      <c r="BN2320" s="2259"/>
      <c r="BO2320" s="2259"/>
      <c r="BP2320" s="2259"/>
      <c r="BQ2320" s="2259"/>
      <c r="BR2320" s="2259"/>
      <c r="BS2320" s="2259"/>
    </row>
    <row r="2321" spans="1:71" s="2131" customFormat="1" ht="51">
      <c r="A2321" s="2140">
        <v>8</v>
      </c>
      <c r="B2321" s="2194"/>
      <c r="C2321" s="2142">
        <v>5</v>
      </c>
      <c r="D2321" s="2142" t="s">
        <v>34</v>
      </c>
      <c r="E2321" s="2142" t="s">
        <v>25</v>
      </c>
      <c r="F2321" s="2142" t="s">
        <v>45</v>
      </c>
      <c r="G2321" s="2142" t="s">
        <v>47</v>
      </c>
      <c r="H2321" s="2140"/>
      <c r="I2321" s="2143" t="s">
        <v>3661</v>
      </c>
      <c r="J2321" s="2143" t="s">
        <v>3662</v>
      </c>
      <c r="K2321" s="2144">
        <v>100</v>
      </c>
      <c r="L2321" s="2145">
        <f>SUM(L2322:L2322)</f>
        <v>129353840</v>
      </c>
      <c r="M2321" s="2144">
        <v>50</v>
      </c>
      <c r="N2321" s="2145">
        <f>SUM(N2322:N2322)</f>
        <v>54662500</v>
      </c>
      <c r="O2321" s="2144">
        <v>18</v>
      </c>
      <c r="P2321" s="2145">
        <f>SUM(P2322:P2322)</f>
        <v>12960000</v>
      </c>
      <c r="Q2321" s="2144">
        <v>4</v>
      </c>
      <c r="R2321" s="2145">
        <f>SUM(R2322:R2322)</f>
        <v>6455000</v>
      </c>
      <c r="S2321" s="2144">
        <v>4</v>
      </c>
      <c r="T2321" s="2145">
        <f>SUM(T2322:T2322)</f>
        <v>0</v>
      </c>
      <c r="U2321" s="2195"/>
      <c r="V2321" s="2146">
        <f>SUM(V2322:V2322)</f>
        <v>0</v>
      </c>
      <c r="W2321" s="2144"/>
      <c r="X2321" s="2146">
        <f>SUM(X2322:X2322)</f>
        <v>0</v>
      </c>
      <c r="Y2321" s="2195">
        <f t="shared" si="660"/>
        <v>8</v>
      </c>
      <c r="Z2321" s="2145">
        <f t="shared" si="660"/>
        <v>6455000</v>
      </c>
      <c r="AA2321" s="2147">
        <f t="shared" si="661"/>
        <v>58</v>
      </c>
      <c r="AB2321" s="2145">
        <f t="shared" si="661"/>
        <v>61117500</v>
      </c>
      <c r="AC2321" s="2147">
        <f t="shared" si="662"/>
        <v>57.999999999999993</v>
      </c>
      <c r="AD2321" s="2147">
        <f t="shared" si="662"/>
        <v>47.248307433316242</v>
      </c>
      <c r="AE2321" s="2204" t="s">
        <v>3750</v>
      </c>
      <c r="AF2321" s="2270"/>
      <c r="AG2321" s="2270"/>
      <c r="AH2321" s="2270"/>
      <c r="AI2321" s="2270"/>
      <c r="AJ2321" s="2270"/>
      <c r="AK2321" s="2270"/>
      <c r="AL2321" s="2270"/>
      <c r="AM2321" s="2270"/>
      <c r="AN2321" s="2270"/>
      <c r="AO2321" s="2270"/>
      <c r="AP2321" s="2270"/>
      <c r="AQ2321" s="2270"/>
      <c r="AR2321" s="2270"/>
      <c r="AS2321" s="2270"/>
      <c r="AT2321" s="2270"/>
      <c r="AU2321" s="2270"/>
      <c r="AV2321" s="2270"/>
      <c r="AW2321" s="2270"/>
      <c r="AX2321" s="2270"/>
      <c r="AY2321" s="2270"/>
      <c r="AZ2321" s="2270"/>
      <c r="BA2321" s="2270"/>
      <c r="BB2321" s="2270"/>
      <c r="BC2321" s="2270"/>
      <c r="BD2321" s="2270"/>
      <c r="BE2321" s="2270"/>
      <c r="BF2321" s="2270"/>
      <c r="BG2321" s="2270"/>
      <c r="BH2321" s="2270"/>
      <c r="BI2321" s="2270"/>
      <c r="BJ2321" s="2270"/>
      <c r="BK2321" s="2270"/>
      <c r="BL2321" s="2270"/>
      <c r="BM2321" s="2270"/>
      <c r="BN2321" s="2270"/>
      <c r="BO2321" s="2270"/>
      <c r="BP2321" s="2270"/>
      <c r="BQ2321" s="2270"/>
      <c r="BR2321" s="2270"/>
      <c r="BS2321" s="2270"/>
    </row>
    <row r="2322" spans="1:71" s="2131" customFormat="1" ht="38.25">
      <c r="A2322" s="2379"/>
      <c r="B2322" s="2162"/>
      <c r="C2322" s="2164">
        <v>5</v>
      </c>
      <c r="D2322" s="2164" t="s">
        <v>34</v>
      </c>
      <c r="E2322" s="2164" t="s">
        <v>25</v>
      </c>
      <c r="F2322" s="2164" t="s">
        <v>45</v>
      </c>
      <c r="G2322" s="2164" t="s">
        <v>47</v>
      </c>
      <c r="H2322" s="2151" t="s">
        <v>43</v>
      </c>
      <c r="I2322" s="2162" t="s">
        <v>3703</v>
      </c>
      <c r="J2322" s="2162" t="s">
        <v>3757</v>
      </c>
      <c r="K2322" s="2166">
        <v>60</v>
      </c>
      <c r="L2322" s="2167">
        <v>129353840</v>
      </c>
      <c r="M2322" s="2166">
        <v>30</v>
      </c>
      <c r="N2322" s="2167">
        <v>54662500</v>
      </c>
      <c r="O2322" s="2166">
        <v>10</v>
      </c>
      <c r="P2322" s="2167">
        <v>12960000</v>
      </c>
      <c r="Q2322" s="2166">
        <v>2</v>
      </c>
      <c r="R2322" s="2167">
        <v>6455000</v>
      </c>
      <c r="S2322" s="2166">
        <v>2</v>
      </c>
      <c r="T2322" s="2167">
        <v>0</v>
      </c>
      <c r="U2322" s="2166"/>
      <c r="V2322" s="2202"/>
      <c r="W2322" s="2166"/>
      <c r="X2322" s="2167"/>
      <c r="Y2322" s="2166">
        <f t="shared" si="660"/>
        <v>4</v>
      </c>
      <c r="Z2322" s="2203">
        <f t="shared" si="660"/>
        <v>6455000</v>
      </c>
      <c r="AA2322" s="2166">
        <f t="shared" si="661"/>
        <v>34</v>
      </c>
      <c r="AB2322" s="2203">
        <f t="shared" si="661"/>
        <v>61117500</v>
      </c>
      <c r="AC2322" s="2170">
        <f t="shared" si="662"/>
        <v>56.666666666666664</v>
      </c>
      <c r="AD2322" s="2170">
        <f t="shared" si="662"/>
        <v>47.248307433316242</v>
      </c>
      <c r="AE2322" s="2409"/>
      <c r="AF2322" s="2161"/>
      <c r="AG2322" s="2161"/>
      <c r="AH2322" s="2161"/>
      <c r="AI2322" s="2161"/>
      <c r="AJ2322" s="2161"/>
      <c r="AK2322" s="2161"/>
      <c r="AL2322" s="2161"/>
      <c r="AM2322" s="2161"/>
      <c r="AN2322" s="2161"/>
      <c r="AO2322" s="2161"/>
      <c r="AP2322" s="2161"/>
      <c r="AQ2322" s="2161"/>
      <c r="AR2322" s="2161"/>
      <c r="AS2322" s="2161"/>
      <c r="AT2322" s="2161"/>
      <c r="AU2322" s="2161"/>
      <c r="AV2322" s="2161"/>
      <c r="AW2322" s="2161"/>
      <c r="AX2322" s="2161"/>
      <c r="AY2322" s="2161"/>
      <c r="AZ2322" s="2161"/>
      <c r="BA2322" s="2161"/>
      <c r="BB2322" s="2161"/>
      <c r="BC2322" s="2161"/>
      <c r="BD2322" s="2161"/>
      <c r="BE2322" s="2161"/>
      <c r="BF2322" s="2161"/>
      <c r="BG2322" s="2161"/>
      <c r="BH2322" s="2161"/>
      <c r="BI2322" s="2161"/>
      <c r="BJ2322" s="2161"/>
      <c r="BK2322" s="2161"/>
      <c r="BL2322" s="2161"/>
      <c r="BM2322" s="2161"/>
      <c r="BN2322" s="2161"/>
      <c r="BO2322" s="2161"/>
      <c r="BP2322" s="2161"/>
      <c r="BQ2322" s="2161"/>
      <c r="BR2322" s="2161"/>
      <c r="BS2322" s="2161"/>
    </row>
    <row r="2323" spans="1:71" s="2131" customFormat="1" ht="63.75">
      <c r="A2323" s="2140">
        <v>10</v>
      </c>
      <c r="B2323" s="2194"/>
      <c r="C2323" s="2142">
        <v>5</v>
      </c>
      <c r="D2323" s="2142" t="s">
        <v>34</v>
      </c>
      <c r="E2323" s="2142" t="s">
        <v>25</v>
      </c>
      <c r="F2323" s="2142" t="s">
        <v>45</v>
      </c>
      <c r="G2323" s="2142">
        <v>47</v>
      </c>
      <c r="H2323" s="2140"/>
      <c r="I2323" s="2143" t="s">
        <v>3614</v>
      </c>
      <c r="J2323" s="2143" t="s">
        <v>3615</v>
      </c>
      <c r="K2323" s="2144">
        <v>100</v>
      </c>
      <c r="L2323" s="2145">
        <f>SUM(L2324:L2325)</f>
        <v>54150000</v>
      </c>
      <c r="M2323" s="2144">
        <v>70</v>
      </c>
      <c r="N2323" s="2145">
        <f>SUM(N2324:N2325)</f>
        <v>12550000</v>
      </c>
      <c r="O2323" s="2144">
        <v>20</v>
      </c>
      <c r="P2323" s="2145">
        <f>SUM(P2324:P2325)</f>
        <v>4150000</v>
      </c>
      <c r="Q2323" s="2144">
        <v>0</v>
      </c>
      <c r="R2323" s="2145">
        <f>SUM(R2324:R2325)</f>
        <v>0</v>
      </c>
      <c r="S2323" s="2144">
        <v>0</v>
      </c>
      <c r="T2323" s="2145">
        <f>SUM(T2324:T2325)</f>
        <v>0</v>
      </c>
      <c r="U2323" s="2144"/>
      <c r="V2323" s="2146">
        <f>SUM(V2324:V2325)</f>
        <v>0</v>
      </c>
      <c r="W2323" s="2144"/>
      <c r="X2323" s="2144">
        <f>SUM(X2324:X2325)</f>
        <v>0</v>
      </c>
      <c r="Y2323" s="2195">
        <f t="shared" si="660"/>
        <v>0</v>
      </c>
      <c r="Z2323" s="2145">
        <f t="shared" si="660"/>
        <v>0</v>
      </c>
      <c r="AA2323" s="2147">
        <f t="shared" si="661"/>
        <v>70</v>
      </c>
      <c r="AB2323" s="2145">
        <f t="shared" si="661"/>
        <v>12550000</v>
      </c>
      <c r="AC2323" s="2147">
        <f t="shared" si="662"/>
        <v>70</v>
      </c>
      <c r="AD2323" s="2147">
        <f t="shared" si="662"/>
        <v>23.176361957525394</v>
      </c>
      <c r="AE2323" s="2204" t="s">
        <v>3750</v>
      </c>
      <c r="AF2323" s="2270"/>
      <c r="AG2323" s="2270"/>
      <c r="AH2323" s="2270"/>
      <c r="AI2323" s="2270"/>
      <c r="AJ2323" s="2270"/>
      <c r="AK2323" s="2270"/>
      <c r="AL2323" s="2270"/>
      <c r="AM2323" s="2270"/>
      <c r="AN2323" s="2270"/>
      <c r="AO2323" s="2270"/>
      <c r="AP2323" s="2270"/>
      <c r="AQ2323" s="2270"/>
      <c r="AR2323" s="2270"/>
      <c r="AS2323" s="2270"/>
      <c r="AT2323" s="2270"/>
      <c r="AU2323" s="2270"/>
      <c r="AV2323" s="2270"/>
      <c r="AW2323" s="2270"/>
      <c r="AX2323" s="2270"/>
      <c r="AY2323" s="2270"/>
      <c r="AZ2323" s="2270"/>
      <c r="BA2323" s="2270"/>
      <c r="BB2323" s="2270"/>
      <c r="BC2323" s="2270"/>
      <c r="BD2323" s="2270"/>
      <c r="BE2323" s="2270"/>
      <c r="BF2323" s="2270"/>
      <c r="BG2323" s="2270"/>
      <c r="BH2323" s="2270"/>
      <c r="BI2323" s="2270"/>
      <c r="BJ2323" s="2270"/>
      <c r="BK2323" s="2270"/>
      <c r="BL2323" s="2270"/>
      <c r="BM2323" s="2270"/>
      <c r="BN2323" s="2270"/>
      <c r="BO2323" s="2270"/>
      <c r="BP2323" s="2270"/>
      <c r="BQ2323" s="2270"/>
      <c r="BR2323" s="2270"/>
      <c r="BS2323" s="2270"/>
    </row>
    <row r="2324" spans="1:71" s="2131" customFormat="1" ht="38.25">
      <c r="A2324" s="2379"/>
      <c r="B2324" s="2162"/>
      <c r="C2324" s="2164">
        <v>5</v>
      </c>
      <c r="D2324" s="2164" t="s">
        <v>34</v>
      </c>
      <c r="E2324" s="2164" t="s">
        <v>25</v>
      </c>
      <c r="F2324" s="2164" t="s">
        <v>45</v>
      </c>
      <c r="G2324" s="2164">
        <v>47</v>
      </c>
      <c r="H2324" s="2151" t="s">
        <v>28</v>
      </c>
      <c r="I2324" s="2271" t="s">
        <v>3758</v>
      </c>
      <c r="J2324" s="2271" t="s">
        <v>3759</v>
      </c>
      <c r="K2324" s="2240">
        <v>30</v>
      </c>
      <c r="L2324" s="2241">
        <v>50000000</v>
      </c>
      <c r="M2324" s="2240">
        <v>12</v>
      </c>
      <c r="N2324" s="2241">
        <v>12550000</v>
      </c>
      <c r="O2324" s="2240"/>
      <c r="P2324" s="2241"/>
      <c r="Q2324" s="2240"/>
      <c r="R2324" s="2242"/>
      <c r="S2324" s="2240"/>
      <c r="T2324" s="2242"/>
      <c r="U2324" s="2240"/>
      <c r="V2324" s="2242"/>
      <c r="W2324" s="2240"/>
      <c r="X2324" s="2242"/>
      <c r="Y2324" s="2166">
        <f t="shared" si="660"/>
        <v>0</v>
      </c>
      <c r="Z2324" s="2203">
        <f t="shared" si="660"/>
        <v>0</v>
      </c>
      <c r="AA2324" s="2166">
        <f t="shared" si="661"/>
        <v>12</v>
      </c>
      <c r="AB2324" s="2203">
        <f t="shared" si="661"/>
        <v>12550000</v>
      </c>
      <c r="AC2324" s="2170">
        <f t="shared" si="662"/>
        <v>40</v>
      </c>
      <c r="AD2324" s="2170">
        <f t="shared" si="662"/>
        <v>25.1</v>
      </c>
      <c r="AE2324" s="2409"/>
      <c r="AF2324" s="2161"/>
      <c r="AG2324" s="2161"/>
      <c r="AH2324" s="2161"/>
      <c r="AI2324" s="2161"/>
      <c r="AJ2324" s="2161"/>
      <c r="AK2324" s="2161"/>
      <c r="AL2324" s="2161"/>
      <c r="AM2324" s="2161"/>
      <c r="AN2324" s="2161"/>
      <c r="AO2324" s="2161"/>
      <c r="AP2324" s="2161"/>
      <c r="AQ2324" s="2161"/>
      <c r="AR2324" s="2161"/>
      <c r="AS2324" s="2161"/>
      <c r="AT2324" s="2161"/>
      <c r="AU2324" s="2161"/>
      <c r="AV2324" s="2161"/>
      <c r="AW2324" s="2161"/>
      <c r="AX2324" s="2161"/>
      <c r="AY2324" s="2161"/>
      <c r="AZ2324" s="2161"/>
      <c r="BA2324" s="2161"/>
      <c r="BB2324" s="2161"/>
      <c r="BC2324" s="2161"/>
      <c r="BD2324" s="2161"/>
      <c r="BE2324" s="2161"/>
      <c r="BF2324" s="2161"/>
      <c r="BG2324" s="2161"/>
      <c r="BH2324" s="2161"/>
      <c r="BI2324" s="2161"/>
      <c r="BJ2324" s="2161"/>
      <c r="BK2324" s="2161"/>
      <c r="BL2324" s="2161"/>
      <c r="BM2324" s="2161"/>
      <c r="BN2324" s="2161"/>
      <c r="BO2324" s="2161"/>
      <c r="BP2324" s="2161"/>
      <c r="BQ2324" s="2161"/>
      <c r="BR2324" s="2161"/>
      <c r="BS2324" s="2161"/>
    </row>
    <row r="2325" spans="1:71" s="2131" customFormat="1" ht="25.5">
      <c r="A2325" s="2267"/>
      <c r="B2325" s="2253"/>
      <c r="C2325" s="2164">
        <v>5</v>
      </c>
      <c r="D2325" s="2164" t="s">
        <v>34</v>
      </c>
      <c r="E2325" s="2164" t="s">
        <v>25</v>
      </c>
      <c r="F2325" s="2164" t="s">
        <v>45</v>
      </c>
      <c r="G2325" s="2164">
        <v>47</v>
      </c>
      <c r="H2325" s="2254">
        <v>12</v>
      </c>
      <c r="I2325" s="2162" t="s">
        <v>3760</v>
      </c>
      <c r="J2325" s="2171" t="s">
        <v>3761</v>
      </c>
      <c r="K2325" s="2255">
        <v>1</v>
      </c>
      <c r="L2325" s="2203">
        <f>P2325</f>
        <v>4150000</v>
      </c>
      <c r="M2325" s="2256">
        <v>0</v>
      </c>
      <c r="N2325" s="2257">
        <v>0</v>
      </c>
      <c r="O2325" s="2255">
        <v>1</v>
      </c>
      <c r="P2325" s="2258">
        <v>4150000</v>
      </c>
      <c r="Q2325" s="2257">
        <v>0</v>
      </c>
      <c r="R2325" s="2203"/>
      <c r="S2325" s="2257">
        <v>0</v>
      </c>
      <c r="T2325" s="2203"/>
      <c r="U2325" s="2203"/>
      <c r="V2325" s="2203"/>
      <c r="W2325" s="2203"/>
      <c r="X2325" s="2203"/>
      <c r="Y2325" s="2240">
        <f t="shared" si="660"/>
        <v>0</v>
      </c>
      <c r="Z2325" s="2203">
        <f t="shared" si="660"/>
        <v>0</v>
      </c>
      <c r="AA2325" s="2240">
        <f t="shared" si="661"/>
        <v>0</v>
      </c>
      <c r="AB2325" s="2203">
        <f t="shared" si="661"/>
        <v>0</v>
      </c>
      <c r="AC2325" s="2243">
        <f t="shared" si="662"/>
        <v>0</v>
      </c>
      <c r="AD2325" s="2243">
        <f t="shared" si="662"/>
        <v>0</v>
      </c>
      <c r="AE2325" s="2267"/>
      <c r="AF2325" s="2161"/>
      <c r="AG2325" s="2161"/>
      <c r="AH2325" s="2161"/>
      <c r="AI2325" s="2161"/>
      <c r="AJ2325" s="2161"/>
      <c r="AK2325" s="2161"/>
      <c r="AL2325" s="2161"/>
      <c r="AM2325" s="2161"/>
      <c r="AN2325" s="2161"/>
      <c r="AO2325" s="2161"/>
      <c r="AP2325" s="2161"/>
      <c r="AQ2325" s="2161"/>
      <c r="AR2325" s="2161"/>
      <c r="AS2325" s="2161"/>
      <c r="AT2325" s="2161"/>
      <c r="AU2325" s="2161"/>
      <c r="AV2325" s="2161"/>
      <c r="AW2325" s="2161"/>
      <c r="AX2325" s="2161"/>
      <c r="AY2325" s="2161"/>
      <c r="AZ2325" s="2161"/>
      <c r="BA2325" s="2161"/>
      <c r="BB2325" s="2161"/>
      <c r="BC2325" s="2161"/>
      <c r="BD2325" s="2161"/>
      <c r="BE2325" s="2161"/>
      <c r="BF2325" s="2161"/>
      <c r="BG2325" s="2161"/>
      <c r="BH2325" s="2161"/>
      <c r="BI2325" s="2161"/>
      <c r="BJ2325" s="2161"/>
      <c r="BK2325" s="2161"/>
      <c r="BL2325" s="2161"/>
      <c r="BM2325" s="2161"/>
      <c r="BN2325" s="2161"/>
      <c r="BO2325" s="2161"/>
      <c r="BP2325" s="2161"/>
      <c r="BQ2325" s="2161"/>
      <c r="BR2325" s="2161"/>
      <c r="BS2325" s="2161"/>
    </row>
    <row r="2326" spans="1:71" s="2131" customFormat="1" ht="38.25">
      <c r="A2326" s="2140">
        <v>4</v>
      </c>
      <c r="B2326" s="2194"/>
      <c r="C2326" s="2142">
        <v>5</v>
      </c>
      <c r="D2326" s="2142" t="s">
        <v>34</v>
      </c>
      <c r="E2326" s="2142" t="s">
        <v>25</v>
      </c>
      <c r="F2326" s="2142" t="s">
        <v>45</v>
      </c>
      <c r="G2326" s="2142" t="s">
        <v>35</v>
      </c>
      <c r="H2326" s="2140"/>
      <c r="I2326" s="2143" t="s">
        <v>3570</v>
      </c>
      <c r="J2326" s="2143" t="s">
        <v>3571</v>
      </c>
      <c r="K2326" s="2144">
        <v>70</v>
      </c>
      <c r="L2326" s="2145">
        <f>L2327</f>
        <v>15525000</v>
      </c>
      <c r="M2326" s="2144">
        <v>50</v>
      </c>
      <c r="N2326" s="2145">
        <f>N2327</f>
        <v>0</v>
      </c>
      <c r="O2326" s="2144">
        <v>18</v>
      </c>
      <c r="P2326" s="2145">
        <f>P2327</f>
        <v>5175000</v>
      </c>
      <c r="Q2326" s="2144">
        <v>0</v>
      </c>
      <c r="R2326" s="2145">
        <f>R2327</f>
        <v>0</v>
      </c>
      <c r="S2326" s="2144">
        <v>0</v>
      </c>
      <c r="T2326" s="2145">
        <f>T2327</f>
        <v>0</v>
      </c>
      <c r="U2326" s="2195"/>
      <c r="V2326" s="2146">
        <f>V2327</f>
        <v>0</v>
      </c>
      <c r="W2326" s="2144"/>
      <c r="X2326" s="2146">
        <f>X2327</f>
        <v>0</v>
      </c>
      <c r="Y2326" s="2195">
        <f t="shared" si="660"/>
        <v>0</v>
      </c>
      <c r="Z2326" s="2145">
        <f t="shared" si="660"/>
        <v>0</v>
      </c>
      <c r="AA2326" s="2147">
        <f t="shared" si="661"/>
        <v>50</v>
      </c>
      <c r="AB2326" s="2145">
        <f t="shared" si="661"/>
        <v>0</v>
      </c>
      <c r="AC2326" s="2147">
        <f t="shared" si="662"/>
        <v>71.428571428571431</v>
      </c>
      <c r="AD2326" s="2147">
        <f t="shared" si="662"/>
        <v>0</v>
      </c>
      <c r="AE2326" s="2204" t="s">
        <v>3750</v>
      </c>
      <c r="AF2326" s="2270"/>
      <c r="AG2326" s="2270"/>
      <c r="AH2326" s="2270"/>
      <c r="AI2326" s="2270"/>
      <c r="AJ2326" s="2270"/>
      <c r="AK2326" s="2270"/>
      <c r="AL2326" s="2270"/>
      <c r="AM2326" s="2270"/>
      <c r="AN2326" s="2270"/>
      <c r="AO2326" s="2270"/>
      <c r="AP2326" s="2270"/>
      <c r="AQ2326" s="2270"/>
      <c r="AR2326" s="2270"/>
      <c r="AS2326" s="2270"/>
      <c r="AT2326" s="2270"/>
      <c r="AU2326" s="2270"/>
      <c r="AV2326" s="2270"/>
      <c r="AW2326" s="2270"/>
      <c r="AX2326" s="2270"/>
      <c r="AY2326" s="2270"/>
      <c r="AZ2326" s="2270"/>
      <c r="BA2326" s="2270"/>
      <c r="BB2326" s="2270"/>
      <c r="BC2326" s="2270"/>
      <c r="BD2326" s="2270"/>
      <c r="BE2326" s="2270"/>
      <c r="BF2326" s="2270"/>
      <c r="BG2326" s="2270"/>
      <c r="BH2326" s="2270"/>
      <c r="BI2326" s="2270"/>
      <c r="BJ2326" s="2270"/>
      <c r="BK2326" s="2270"/>
      <c r="BL2326" s="2270"/>
      <c r="BM2326" s="2270"/>
      <c r="BN2326" s="2270"/>
      <c r="BO2326" s="2270"/>
      <c r="BP2326" s="2270"/>
      <c r="BQ2326" s="2270"/>
      <c r="BR2326" s="2270"/>
      <c r="BS2326" s="2270"/>
    </row>
    <row r="2327" spans="1:71" s="2131" customFormat="1" ht="38.25">
      <c r="A2327" s="2379"/>
      <c r="B2327" s="2162"/>
      <c r="C2327" s="2164">
        <v>5</v>
      </c>
      <c r="D2327" s="2164" t="s">
        <v>34</v>
      </c>
      <c r="E2327" s="2164" t="s">
        <v>25</v>
      </c>
      <c r="F2327" s="2164" t="s">
        <v>45</v>
      </c>
      <c r="G2327" s="2164" t="s">
        <v>35</v>
      </c>
      <c r="H2327" s="2151" t="s">
        <v>29</v>
      </c>
      <c r="I2327" s="2162" t="s">
        <v>3762</v>
      </c>
      <c r="J2327" s="2162" t="s">
        <v>3763</v>
      </c>
      <c r="K2327" s="2166">
        <v>36</v>
      </c>
      <c r="L2327" s="2167">
        <f>3*P2327</f>
        <v>15525000</v>
      </c>
      <c r="M2327" s="2166">
        <v>0</v>
      </c>
      <c r="N2327" s="2167">
        <v>0</v>
      </c>
      <c r="O2327" s="2166">
        <v>12</v>
      </c>
      <c r="P2327" s="2167">
        <v>5175000</v>
      </c>
      <c r="Q2327" s="2166">
        <v>0</v>
      </c>
      <c r="R2327" s="2167"/>
      <c r="S2327" s="2166">
        <v>0</v>
      </c>
      <c r="T2327" s="2167"/>
      <c r="U2327" s="2166"/>
      <c r="V2327" s="2202"/>
      <c r="W2327" s="2166"/>
      <c r="X2327" s="2167"/>
      <c r="Y2327" s="2166">
        <f t="shared" si="660"/>
        <v>0</v>
      </c>
      <c r="Z2327" s="2203">
        <f t="shared" si="660"/>
        <v>0</v>
      </c>
      <c r="AA2327" s="2166">
        <f t="shared" si="661"/>
        <v>0</v>
      </c>
      <c r="AB2327" s="2203">
        <f t="shared" si="661"/>
        <v>0</v>
      </c>
      <c r="AC2327" s="2276">
        <f t="shared" si="662"/>
        <v>0</v>
      </c>
      <c r="AD2327" s="2170">
        <f t="shared" si="662"/>
        <v>0</v>
      </c>
      <c r="AE2327" s="2379"/>
      <c r="AF2327" s="2161"/>
      <c r="AG2327" s="2161"/>
      <c r="AH2327" s="2161"/>
      <c r="AI2327" s="2161"/>
      <c r="AJ2327" s="2161"/>
      <c r="AK2327" s="2161"/>
      <c r="AL2327" s="2161"/>
      <c r="AM2327" s="2161"/>
      <c r="AN2327" s="2161"/>
      <c r="AO2327" s="2161"/>
      <c r="AP2327" s="2161"/>
      <c r="AQ2327" s="2161"/>
      <c r="AR2327" s="2161"/>
      <c r="AS2327" s="2161"/>
      <c r="AT2327" s="2161"/>
      <c r="AU2327" s="2161"/>
      <c r="AV2327" s="2161"/>
      <c r="AW2327" s="2161"/>
      <c r="AX2327" s="2161"/>
      <c r="AY2327" s="2161"/>
      <c r="AZ2327" s="2161"/>
      <c r="BA2327" s="2161"/>
      <c r="BB2327" s="2161"/>
      <c r="BC2327" s="2161"/>
      <c r="BD2327" s="2161"/>
      <c r="BE2327" s="2161"/>
      <c r="BF2327" s="2161"/>
      <c r="BG2327" s="2161"/>
      <c r="BH2327" s="2161"/>
      <c r="BI2327" s="2161"/>
      <c r="BJ2327" s="2161"/>
      <c r="BK2327" s="2161"/>
      <c r="BL2327" s="2161"/>
      <c r="BM2327" s="2161"/>
      <c r="BN2327" s="2161"/>
      <c r="BO2327" s="2161"/>
      <c r="BP2327" s="2161"/>
      <c r="BQ2327" s="2161"/>
      <c r="BR2327" s="2161"/>
      <c r="BS2327" s="2161"/>
    </row>
    <row r="2328" spans="1:71" s="2131" customFormat="1" ht="63.75">
      <c r="A2328" s="2140">
        <v>9</v>
      </c>
      <c r="B2328" s="2194"/>
      <c r="C2328" s="2142">
        <v>5</v>
      </c>
      <c r="D2328" s="2142" t="s">
        <v>34</v>
      </c>
      <c r="E2328" s="2142" t="s">
        <v>25</v>
      </c>
      <c r="F2328" s="2142" t="s">
        <v>45</v>
      </c>
      <c r="G2328" s="2142" t="s">
        <v>3667</v>
      </c>
      <c r="H2328" s="2140"/>
      <c r="I2328" s="2143" t="s">
        <v>3668</v>
      </c>
      <c r="J2328" s="2143" t="s">
        <v>3669</v>
      </c>
      <c r="K2328" s="2144">
        <v>100</v>
      </c>
      <c r="L2328" s="2145">
        <f>SUM(L2329:L2333)</f>
        <v>610023000</v>
      </c>
      <c r="M2328" s="2144">
        <v>52</v>
      </c>
      <c r="N2328" s="2145">
        <f>SUM(N2329:N2333)</f>
        <v>274844900</v>
      </c>
      <c r="O2328" s="2144">
        <v>20</v>
      </c>
      <c r="P2328" s="2145">
        <f>SUM(P2329:P2333)</f>
        <v>75852500</v>
      </c>
      <c r="Q2328" s="2144">
        <v>5</v>
      </c>
      <c r="R2328" s="2145">
        <f>SUM(R2329:R2333)</f>
        <v>11950000</v>
      </c>
      <c r="S2328" s="2144">
        <v>5</v>
      </c>
      <c r="T2328" s="2145">
        <f>SUM(T2329:T2333)</f>
        <v>7950000</v>
      </c>
      <c r="U2328" s="2195"/>
      <c r="V2328" s="2145">
        <f>SUM(V2329:V2333)</f>
        <v>0</v>
      </c>
      <c r="W2328" s="2144"/>
      <c r="X2328" s="2145">
        <f>SUM(X2329:X2333)</f>
        <v>0</v>
      </c>
      <c r="Y2328" s="2195">
        <f t="shared" si="660"/>
        <v>10</v>
      </c>
      <c r="Z2328" s="2145">
        <f t="shared" si="660"/>
        <v>19900000</v>
      </c>
      <c r="AA2328" s="2147">
        <f t="shared" si="661"/>
        <v>62</v>
      </c>
      <c r="AB2328" s="2145">
        <f t="shared" si="661"/>
        <v>294744900</v>
      </c>
      <c r="AC2328" s="2147">
        <f t="shared" si="662"/>
        <v>62</v>
      </c>
      <c r="AD2328" s="2147">
        <f t="shared" si="662"/>
        <v>48.317014276510882</v>
      </c>
      <c r="AE2328" s="2204" t="s">
        <v>3750</v>
      </c>
      <c r="AF2328" s="2149"/>
      <c r="AG2328" s="2149"/>
      <c r="AH2328" s="2149"/>
      <c r="AI2328" s="2149"/>
      <c r="AJ2328" s="2149"/>
      <c r="AK2328" s="2149"/>
      <c r="AL2328" s="2149"/>
      <c r="AM2328" s="2149"/>
      <c r="AN2328" s="2149"/>
      <c r="AO2328" s="2149"/>
      <c r="AP2328" s="2149"/>
      <c r="AQ2328" s="2149"/>
      <c r="AR2328" s="2149"/>
      <c r="AS2328" s="2149"/>
      <c r="AT2328" s="2149"/>
      <c r="AU2328" s="2149"/>
      <c r="AV2328" s="2149"/>
      <c r="AW2328" s="2149"/>
      <c r="AX2328" s="2149"/>
      <c r="AY2328" s="2149"/>
      <c r="AZ2328" s="2149"/>
      <c r="BA2328" s="2149"/>
      <c r="BB2328" s="2149"/>
      <c r="BC2328" s="2149"/>
      <c r="BD2328" s="2149"/>
      <c r="BE2328" s="2149"/>
      <c r="BF2328" s="2149"/>
      <c r="BG2328" s="2149"/>
      <c r="BH2328" s="2149"/>
      <c r="BI2328" s="2149"/>
      <c r="BJ2328" s="2149"/>
      <c r="BK2328" s="2149"/>
      <c r="BL2328" s="2149"/>
      <c r="BM2328" s="2149"/>
      <c r="BN2328" s="2149"/>
      <c r="BO2328" s="2149"/>
      <c r="BP2328" s="2149"/>
      <c r="BQ2328" s="2149"/>
      <c r="BR2328" s="2149"/>
      <c r="BS2328" s="2149"/>
    </row>
    <row r="2329" spans="1:71" s="2131" customFormat="1" ht="25.5">
      <c r="A2329" s="2267"/>
      <c r="B2329" s="2253"/>
      <c r="C2329" s="2164">
        <v>5</v>
      </c>
      <c r="D2329" s="2164" t="s">
        <v>34</v>
      </c>
      <c r="E2329" s="2164" t="s">
        <v>25</v>
      </c>
      <c r="F2329" s="2164" t="s">
        <v>45</v>
      </c>
      <c r="G2329" s="2164" t="s">
        <v>3667</v>
      </c>
      <c r="H2329" s="2254" t="s">
        <v>25</v>
      </c>
      <c r="I2329" s="2171" t="s">
        <v>3551</v>
      </c>
      <c r="J2329" s="2171" t="s">
        <v>3670</v>
      </c>
      <c r="K2329" s="2255">
        <v>60</v>
      </c>
      <c r="L2329" s="2203">
        <v>188580500</v>
      </c>
      <c r="M2329" s="2256">
        <v>30</v>
      </c>
      <c r="N2329" s="2257">
        <v>129727900</v>
      </c>
      <c r="O2329" s="2255">
        <v>10</v>
      </c>
      <c r="P2329" s="2258">
        <v>50062500</v>
      </c>
      <c r="Q2329" s="2256">
        <v>1</v>
      </c>
      <c r="R2329" s="2203">
        <v>6055000</v>
      </c>
      <c r="S2329" s="2256">
        <v>1</v>
      </c>
      <c r="T2329" s="2203">
        <v>6055000</v>
      </c>
      <c r="U2329" s="2255"/>
      <c r="V2329" s="2258"/>
      <c r="W2329" s="2255"/>
      <c r="X2329" s="2203"/>
      <c r="Y2329" s="2240">
        <f t="shared" si="660"/>
        <v>2</v>
      </c>
      <c r="Z2329" s="2203">
        <f t="shared" si="660"/>
        <v>12110000</v>
      </c>
      <c r="AA2329" s="2240">
        <f t="shared" si="661"/>
        <v>32</v>
      </c>
      <c r="AB2329" s="2203">
        <f t="shared" si="661"/>
        <v>141837900</v>
      </c>
      <c r="AC2329" s="2243">
        <f t="shared" si="662"/>
        <v>53.333333333333336</v>
      </c>
      <c r="AD2329" s="2243">
        <f t="shared" si="662"/>
        <v>75.213449959036055</v>
      </c>
      <c r="AE2329" s="2605"/>
      <c r="AF2329" s="2161"/>
      <c r="AG2329" s="2161"/>
      <c r="AH2329" s="2161"/>
      <c r="AI2329" s="2161"/>
      <c r="AJ2329" s="2161"/>
      <c r="AK2329" s="2161"/>
      <c r="AL2329" s="2161"/>
      <c r="AM2329" s="2161"/>
      <c r="AN2329" s="2161"/>
      <c r="AO2329" s="2161"/>
      <c r="AP2329" s="2161"/>
      <c r="AQ2329" s="2161"/>
      <c r="AR2329" s="2161"/>
      <c r="AS2329" s="2161"/>
      <c r="AT2329" s="2161"/>
      <c r="AU2329" s="2161"/>
      <c r="AV2329" s="2161"/>
      <c r="AW2329" s="2161"/>
      <c r="AX2329" s="2161"/>
      <c r="AY2329" s="2161"/>
      <c r="AZ2329" s="2161"/>
      <c r="BA2329" s="2161"/>
      <c r="BB2329" s="2161"/>
      <c r="BC2329" s="2161"/>
      <c r="BD2329" s="2161"/>
      <c r="BE2329" s="2161"/>
      <c r="BF2329" s="2161"/>
      <c r="BG2329" s="2161"/>
      <c r="BH2329" s="2161"/>
      <c r="BI2329" s="2161"/>
      <c r="BJ2329" s="2161"/>
      <c r="BK2329" s="2161"/>
      <c r="BL2329" s="2161"/>
      <c r="BM2329" s="2161"/>
      <c r="BN2329" s="2161"/>
      <c r="BO2329" s="2161"/>
      <c r="BP2329" s="2161"/>
      <c r="BQ2329" s="2161"/>
      <c r="BR2329" s="2161"/>
      <c r="BS2329" s="2161"/>
    </row>
    <row r="2330" spans="1:71" s="2131" customFormat="1" ht="38.25">
      <c r="A2330" s="2267"/>
      <c r="B2330" s="2253"/>
      <c r="C2330" s="2164">
        <v>5</v>
      </c>
      <c r="D2330" s="2164" t="s">
        <v>34</v>
      </c>
      <c r="E2330" s="2164" t="s">
        <v>25</v>
      </c>
      <c r="F2330" s="2164" t="s">
        <v>45</v>
      </c>
      <c r="G2330" s="2164" t="s">
        <v>3667</v>
      </c>
      <c r="H2330" s="2254" t="s">
        <v>28</v>
      </c>
      <c r="I2330" s="2171" t="s">
        <v>3671</v>
      </c>
      <c r="J2330" s="2171" t="s">
        <v>3672</v>
      </c>
      <c r="K2330" s="2255">
        <v>6</v>
      </c>
      <c r="L2330" s="2268">
        <v>137849500</v>
      </c>
      <c r="M2330" s="2256">
        <v>3</v>
      </c>
      <c r="N2330" s="2257">
        <v>43543000</v>
      </c>
      <c r="O2330" s="2255">
        <v>1</v>
      </c>
      <c r="P2330" s="2258">
        <v>6315000</v>
      </c>
      <c r="Q2330" s="2257">
        <v>0</v>
      </c>
      <c r="R2330" s="2203"/>
      <c r="S2330" s="2257">
        <v>0</v>
      </c>
      <c r="T2330" s="2203"/>
      <c r="U2330" s="2255"/>
      <c r="V2330" s="2203"/>
      <c r="W2330" s="2255"/>
      <c r="X2330" s="2203"/>
      <c r="Y2330" s="2240">
        <f t="shared" si="660"/>
        <v>0</v>
      </c>
      <c r="Z2330" s="2203">
        <f t="shared" si="660"/>
        <v>0</v>
      </c>
      <c r="AA2330" s="2240">
        <f t="shared" si="661"/>
        <v>3</v>
      </c>
      <c r="AB2330" s="2203">
        <f t="shared" si="661"/>
        <v>43543000</v>
      </c>
      <c r="AC2330" s="2243">
        <f t="shared" si="662"/>
        <v>50</v>
      </c>
      <c r="AD2330" s="2243">
        <f t="shared" si="662"/>
        <v>31.587347070537071</v>
      </c>
      <c r="AE2330" s="2605"/>
      <c r="AF2330" s="2161"/>
      <c r="AG2330" s="2161"/>
      <c r="AH2330" s="2161"/>
      <c r="AI2330" s="2161"/>
      <c r="AJ2330" s="2161"/>
      <c r="AK2330" s="2161"/>
      <c r="AL2330" s="2161"/>
      <c r="AM2330" s="2161"/>
      <c r="AN2330" s="2161"/>
      <c r="AO2330" s="2161"/>
      <c r="AP2330" s="2161"/>
      <c r="AQ2330" s="2161"/>
      <c r="AR2330" s="2161"/>
      <c r="AS2330" s="2161"/>
      <c r="AT2330" s="2161"/>
      <c r="AU2330" s="2161"/>
      <c r="AV2330" s="2161"/>
      <c r="AW2330" s="2161"/>
      <c r="AX2330" s="2161"/>
      <c r="AY2330" s="2161"/>
      <c r="AZ2330" s="2161"/>
      <c r="BA2330" s="2161"/>
      <c r="BB2330" s="2161"/>
      <c r="BC2330" s="2161"/>
      <c r="BD2330" s="2161"/>
      <c r="BE2330" s="2161"/>
      <c r="BF2330" s="2161"/>
      <c r="BG2330" s="2161"/>
      <c r="BH2330" s="2161"/>
      <c r="BI2330" s="2161"/>
      <c r="BJ2330" s="2161"/>
      <c r="BK2330" s="2161"/>
      <c r="BL2330" s="2161"/>
      <c r="BM2330" s="2161"/>
      <c r="BN2330" s="2161"/>
      <c r="BO2330" s="2161"/>
      <c r="BP2330" s="2161"/>
      <c r="BQ2330" s="2161"/>
      <c r="BR2330" s="2161"/>
      <c r="BS2330" s="2161"/>
    </row>
    <row r="2331" spans="1:71" s="2131" customFormat="1" ht="38.25">
      <c r="A2331" s="2267"/>
      <c r="B2331" s="2253"/>
      <c r="C2331" s="2164">
        <v>5</v>
      </c>
      <c r="D2331" s="2164" t="s">
        <v>34</v>
      </c>
      <c r="E2331" s="2164" t="s">
        <v>25</v>
      </c>
      <c r="F2331" s="2164" t="s">
        <v>45</v>
      </c>
      <c r="G2331" s="2164" t="s">
        <v>3667</v>
      </c>
      <c r="H2331" s="2254" t="s">
        <v>56</v>
      </c>
      <c r="I2331" s="2171" t="s">
        <v>3678</v>
      </c>
      <c r="J2331" s="2171" t="s">
        <v>3679</v>
      </c>
      <c r="K2331" s="2255">
        <v>150</v>
      </c>
      <c r="L2331" s="2203">
        <v>76200000</v>
      </c>
      <c r="M2331" s="2256">
        <v>56</v>
      </c>
      <c r="N2331" s="2257">
        <v>25745000</v>
      </c>
      <c r="O2331" s="2255">
        <v>6</v>
      </c>
      <c r="P2331" s="2258">
        <v>3260000</v>
      </c>
      <c r="Q2331" s="2256">
        <v>0</v>
      </c>
      <c r="R2331" s="2203"/>
      <c r="S2331" s="2256">
        <v>0</v>
      </c>
      <c r="T2331" s="2203"/>
      <c r="U2331" s="2255"/>
      <c r="V2331" s="2258"/>
      <c r="W2331" s="2255"/>
      <c r="X2331" s="2203"/>
      <c r="Y2331" s="2240">
        <f t="shared" si="660"/>
        <v>0</v>
      </c>
      <c r="Z2331" s="2203">
        <f t="shared" si="660"/>
        <v>0</v>
      </c>
      <c r="AA2331" s="2240">
        <f t="shared" si="661"/>
        <v>56</v>
      </c>
      <c r="AB2331" s="2203">
        <f t="shared" si="661"/>
        <v>25745000</v>
      </c>
      <c r="AC2331" s="2243">
        <f t="shared" si="662"/>
        <v>37.333333333333336</v>
      </c>
      <c r="AD2331" s="2243">
        <f t="shared" si="662"/>
        <v>33.786089238845143</v>
      </c>
      <c r="AE2331" s="2605"/>
      <c r="AF2331" s="2161"/>
      <c r="AG2331" s="2161"/>
      <c r="AH2331" s="2161"/>
      <c r="AI2331" s="2161"/>
      <c r="AJ2331" s="2161"/>
      <c r="AK2331" s="2161"/>
      <c r="AL2331" s="2161"/>
      <c r="AM2331" s="2161"/>
      <c r="AN2331" s="2161"/>
      <c r="AO2331" s="2161"/>
      <c r="AP2331" s="2161"/>
      <c r="AQ2331" s="2161"/>
      <c r="AR2331" s="2161"/>
      <c r="AS2331" s="2161"/>
      <c r="AT2331" s="2161"/>
      <c r="AU2331" s="2161"/>
      <c r="AV2331" s="2161"/>
      <c r="AW2331" s="2161"/>
      <c r="AX2331" s="2161"/>
      <c r="AY2331" s="2161"/>
      <c r="AZ2331" s="2161"/>
      <c r="BA2331" s="2161"/>
      <c r="BB2331" s="2161"/>
      <c r="BC2331" s="2161"/>
      <c r="BD2331" s="2161"/>
      <c r="BE2331" s="2161"/>
      <c r="BF2331" s="2161"/>
      <c r="BG2331" s="2161"/>
      <c r="BH2331" s="2161"/>
      <c r="BI2331" s="2161"/>
      <c r="BJ2331" s="2161"/>
      <c r="BK2331" s="2161"/>
      <c r="BL2331" s="2161"/>
      <c r="BM2331" s="2161"/>
      <c r="BN2331" s="2161"/>
      <c r="BO2331" s="2161"/>
      <c r="BP2331" s="2161"/>
      <c r="BQ2331" s="2161"/>
      <c r="BR2331" s="2161"/>
      <c r="BS2331" s="2161"/>
    </row>
    <row r="2332" spans="1:71" s="2131" customFormat="1" ht="63.75">
      <c r="A2332" s="2267"/>
      <c r="B2332" s="2253"/>
      <c r="C2332" s="2164">
        <v>5</v>
      </c>
      <c r="D2332" s="2164" t="s">
        <v>34</v>
      </c>
      <c r="E2332" s="2164" t="s">
        <v>25</v>
      </c>
      <c r="F2332" s="2164" t="s">
        <v>45</v>
      </c>
      <c r="G2332" s="2164" t="s">
        <v>3667</v>
      </c>
      <c r="H2332" s="2254" t="s">
        <v>39</v>
      </c>
      <c r="I2332" s="2171" t="s">
        <v>3673</v>
      </c>
      <c r="J2332" s="2171" t="s">
        <v>3674</v>
      </c>
      <c r="K2332" s="2255">
        <v>6</v>
      </c>
      <c r="L2332" s="2203">
        <v>171393000</v>
      </c>
      <c r="M2332" s="2256">
        <v>3</v>
      </c>
      <c r="N2332" s="2257">
        <v>57069000</v>
      </c>
      <c r="O2332" s="2255">
        <v>1</v>
      </c>
      <c r="P2332" s="2258">
        <v>8295000</v>
      </c>
      <c r="Q2332" s="2256">
        <v>1</v>
      </c>
      <c r="R2332" s="2203">
        <v>5895000</v>
      </c>
      <c r="S2332" s="2256">
        <v>0</v>
      </c>
      <c r="T2332" s="2203">
        <v>1895000</v>
      </c>
      <c r="U2332" s="2255"/>
      <c r="V2332" s="2258"/>
      <c r="W2332" s="2255"/>
      <c r="X2332" s="2203"/>
      <c r="Y2332" s="2240">
        <f t="shared" si="660"/>
        <v>1</v>
      </c>
      <c r="Z2332" s="2203">
        <f t="shared" si="660"/>
        <v>7790000</v>
      </c>
      <c r="AA2332" s="2240">
        <f t="shared" si="661"/>
        <v>4</v>
      </c>
      <c r="AB2332" s="2203">
        <f t="shared" si="661"/>
        <v>64859000</v>
      </c>
      <c r="AC2332" s="2243">
        <f t="shared" si="662"/>
        <v>66.666666666666657</v>
      </c>
      <c r="AD2332" s="2243">
        <f t="shared" si="662"/>
        <v>37.842268937471189</v>
      </c>
      <c r="AE2332" s="2605"/>
      <c r="AF2332" s="2161"/>
      <c r="AG2332" s="2161"/>
      <c r="AH2332" s="2161"/>
      <c r="AI2332" s="2161"/>
      <c r="AJ2332" s="2161"/>
      <c r="AK2332" s="2161"/>
      <c r="AL2332" s="2161"/>
      <c r="AM2332" s="2161"/>
      <c r="AN2332" s="2161"/>
      <c r="AO2332" s="2161"/>
      <c r="AP2332" s="2161"/>
      <c r="AQ2332" s="2161"/>
      <c r="AR2332" s="2161"/>
      <c r="AS2332" s="2161"/>
      <c r="AT2332" s="2161"/>
      <c r="AU2332" s="2161"/>
      <c r="AV2332" s="2161"/>
      <c r="AW2332" s="2161"/>
      <c r="AX2332" s="2161"/>
      <c r="AY2332" s="2161"/>
      <c r="AZ2332" s="2161"/>
      <c r="BA2332" s="2161"/>
      <c r="BB2332" s="2161"/>
      <c r="BC2332" s="2161"/>
      <c r="BD2332" s="2161"/>
      <c r="BE2332" s="2161"/>
      <c r="BF2332" s="2161"/>
      <c r="BG2332" s="2161"/>
      <c r="BH2332" s="2161"/>
      <c r="BI2332" s="2161"/>
      <c r="BJ2332" s="2161"/>
      <c r="BK2332" s="2161"/>
      <c r="BL2332" s="2161"/>
      <c r="BM2332" s="2161"/>
      <c r="BN2332" s="2161"/>
      <c r="BO2332" s="2161"/>
      <c r="BP2332" s="2161"/>
      <c r="BQ2332" s="2161"/>
      <c r="BR2332" s="2161"/>
      <c r="BS2332" s="2161"/>
    </row>
    <row r="2333" spans="1:71" s="2131" customFormat="1" ht="51">
      <c r="A2333" s="2267"/>
      <c r="B2333" s="2253"/>
      <c r="C2333" s="2164">
        <v>5</v>
      </c>
      <c r="D2333" s="2164" t="s">
        <v>34</v>
      </c>
      <c r="E2333" s="2164" t="s">
        <v>25</v>
      </c>
      <c r="F2333" s="2164" t="s">
        <v>45</v>
      </c>
      <c r="G2333" s="2164" t="s">
        <v>3667</v>
      </c>
      <c r="H2333" s="2254" t="s">
        <v>38</v>
      </c>
      <c r="I2333" s="2171" t="s">
        <v>3676</v>
      </c>
      <c r="J2333" s="2171" t="s">
        <v>3677</v>
      </c>
      <c r="K2333" s="2255">
        <v>72</v>
      </c>
      <c r="L2333" s="2203">
        <v>36000000</v>
      </c>
      <c r="M2333" s="2256">
        <v>36</v>
      </c>
      <c r="N2333" s="2257">
        <v>18760000</v>
      </c>
      <c r="O2333" s="2255">
        <v>12</v>
      </c>
      <c r="P2333" s="2258">
        <v>7920000</v>
      </c>
      <c r="Q2333" s="2256">
        <v>0</v>
      </c>
      <c r="R2333" s="2203"/>
      <c r="S2333" s="2256">
        <v>0</v>
      </c>
      <c r="T2333" s="2203"/>
      <c r="U2333" s="2255"/>
      <c r="V2333" s="2258"/>
      <c r="W2333" s="2255"/>
      <c r="X2333" s="2203"/>
      <c r="Y2333" s="2240">
        <f t="shared" si="660"/>
        <v>0</v>
      </c>
      <c r="Z2333" s="2203">
        <f t="shared" si="660"/>
        <v>0</v>
      </c>
      <c r="AA2333" s="2240">
        <f t="shared" si="661"/>
        <v>36</v>
      </c>
      <c r="AB2333" s="2203">
        <f t="shared" si="661"/>
        <v>18760000</v>
      </c>
      <c r="AC2333" s="2243">
        <f t="shared" si="662"/>
        <v>50</v>
      </c>
      <c r="AD2333" s="2243">
        <f t="shared" si="662"/>
        <v>52.111111111111107</v>
      </c>
      <c r="AE2333" s="2605"/>
      <c r="AF2333" s="2161"/>
      <c r="AG2333" s="2161"/>
      <c r="AH2333" s="2161"/>
      <c r="AI2333" s="2161"/>
      <c r="AJ2333" s="2161"/>
      <c r="AK2333" s="2161"/>
      <c r="AL2333" s="2161"/>
      <c r="AM2333" s="2161"/>
      <c r="AN2333" s="2161"/>
      <c r="AO2333" s="2161"/>
      <c r="AP2333" s="2161"/>
      <c r="AQ2333" s="2161"/>
      <c r="AR2333" s="2161"/>
      <c r="AS2333" s="2161"/>
      <c r="AT2333" s="2161"/>
      <c r="AU2333" s="2161"/>
      <c r="AV2333" s="2161"/>
      <c r="AW2333" s="2161"/>
      <c r="AX2333" s="2161"/>
      <c r="AY2333" s="2161"/>
      <c r="AZ2333" s="2161"/>
      <c r="BA2333" s="2161"/>
      <c r="BB2333" s="2161"/>
      <c r="BC2333" s="2161"/>
      <c r="BD2333" s="2161"/>
      <c r="BE2333" s="2161"/>
      <c r="BF2333" s="2161"/>
      <c r="BG2333" s="2161"/>
      <c r="BH2333" s="2161"/>
      <c r="BI2333" s="2161"/>
      <c r="BJ2333" s="2161"/>
      <c r="BK2333" s="2161"/>
      <c r="BL2333" s="2161"/>
      <c r="BM2333" s="2161"/>
      <c r="BN2333" s="2161"/>
      <c r="BO2333" s="2161"/>
      <c r="BP2333" s="2161"/>
      <c r="BQ2333" s="2161"/>
      <c r="BR2333" s="2161"/>
      <c r="BS2333" s="2161"/>
    </row>
    <row r="2334" spans="1:71" s="2131" customFormat="1" ht="63.75">
      <c r="A2334" s="2140">
        <v>10</v>
      </c>
      <c r="B2334" s="2194"/>
      <c r="C2334" s="2142">
        <v>5</v>
      </c>
      <c r="D2334" s="2142" t="s">
        <v>34</v>
      </c>
      <c r="E2334" s="2142" t="s">
        <v>25</v>
      </c>
      <c r="F2334" s="2142" t="s">
        <v>45</v>
      </c>
      <c r="G2334" s="2142" t="s">
        <v>3613</v>
      </c>
      <c r="H2334" s="2140"/>
      <c r="I2334" s="2143" t="s">
        <v>3614</v>
      </c>
      <c r="J2334" s="2143" t="s">
        <v>3615</v>
      </c>
      <c r="K2334" s="2144">
        <v>100</v>
      </c>
      <c r="L2334" s="2145">
        <f>SUM(L2335:L2336)</f>
        <v>93000000</v>
      </c>
      <c r="M2334" s="2144">
        <v>70</v>
      </c>
      <c r="N2334" s="2145">
        <f>SUM(N2335:N2336)</f>
        <v>27205000</v>
      </c>
      <c r="O2334" s="2144">
        <v>20</v>
      </c>
      <c r="P2334" s="2145">
        <f>SUM(P2335:P2336)</f>
        <v>19955000</v>
      </c>
      <c r="Q2334" s="2144">
        <v>0</v>
      </c>
      <c r="R2334" s="2145">
        <f>SUM(R2335:R2336)</f>
        <v>2295000</v>
      </c>
      <c r="S2334" s="2144">
        <v>0</v>
      </c>
      <c r="T2334" s="2145">
        <f>SUM(T2335:T2336)</f>
        <v>2295000</v>
      </c>
      <c r="U2334" s="2144"/>
      <c r="V2334" s="2146">
        <f>SUM(V2335:V2336)</f>
        <v>0</v>
      </c>
      <c r="W2334" s="2144"/>
      <c r="X2334" s="2144">
        <f>SUM(X2335:X2336)</f>
        <v>0</v>
      </c>
      <c r="Y2334" s="2195">
        <f t="shared" si="660"/>
        <v>0</v>
      </c>
      <c r="Z2334" s="2145">
        <f t="shared" si="660"/>
        <v>4590000</v>
      </c>
      <c r="AA2334" s="2147">
        <f t="shared" si="661"/>
        <v>70</v>
      </c>
      <c r="AB2334" s="2145">
        <f t="shared" si="661"/>
        <v>31795000</v>
      </c>
      <c r="AC2334" s="2147">
        <f t="shared" si="662"/>
        <v>70</v>
      </c>
      <c r="AD2334" s="2147">
        <f t="shared" si="662"/>
        <v>34.188172043010752</v>
      </c>
      <c r="AE2334" s="2204" t="s">
        <v>3750</v>
      </c>
      <c r="AF2334" s="2270"/>
      <c r="AG2334" s="2270"/>
      <c r="AH2334" s="2270"/>
      <c r="AI2334" s="2270"/>
      <c r="AJ2334" s="2270"/>
      <c r="AK2334" s="2270"/>
      <c r="AL2334" s="2270"/>
      <c r="AM2334" s="2270"/>
      <c r="AN2334" s="2270"/>
      <c r="AO2334" s="2270"/>
      <c r="AP2334" s="2270"/>
      <c r="AQ2334" s="2270"/>
      <c r="AR2334" s="2270"/>
      <c r="AS2334" s="2270"/>
      <c r="AT2334" s="2270"/>
      <c r="AU2334" s="2270"/>
      <c r="AV2334" s="2270"/>
      <c r="AW2334" s="2270"/>
      <c r="AX2334" s="2270"/>
      <c r="AY2334" s="2270"/>
      <c r="AZ2334" s="2270"/>
      <c r="BA2334" s="2270"/>
      <c r="BB2334" s="2270"/>
      <c r="BC2334" s="2270"/>
      <c r="BD2334" s="2270"/>
      <c r="BE2334" s="2270"/>
      <c r="BF2334" s="2270"/>
      <c r="BG2334" s="2270"/>
      <c r="BH2334" s="2270"/>
      <c r="BI2334" s="2270"/>
      <c r="BJ2334" s="2270"/>
      <c r="BK2334" s="2270"/>
      <c r="BL2334" s="2270"/>
      <c r="BM2334" s="2270"/>
      <c r="BN2334" s="2270"/>
      <c r="BO2334" s="2270"/>
      <c r="BP2334" s="2270"/>
      <c r="BQ2334" s="2270"/>
      <c r="BR2334" s="2270"/>
      <c r="BS2334" s="2270"/>
    </row>
    <row r="2335" spans="1:71" s="2131" customFormat="1" ht="42" customHeight="1">
      <c r="A2335" s="2267"/>
      <c r="B2335" s="2253"/>
      <c r="C2335" s="2164">
        <v>5</v>
      </c>
      <c r="D2335" s="2164" t="s">
        <v>34</v>
      </c>
      <c r="E2335" s="2164" t="s">
        <v>25</v>
      </c>
      <c r="F2335" s="2164" t="s">
        <v>45</v>
      </c>
      <c r="G2335" s="2164" t="s">
        <v>3667</v>
      </c>
      <c r="H2335" s="2254" t="s">
        <v>38</v>
      </c>
      <c r="I2335" s="2162" t="s">
        <v>3680</v>
      </c>
      <c r="J2335" s="2171" t="s">
        <v>3681</v>
      </c>
      <c r="K2335" s="2255">
        <v>6</v>
      </c>
      <c r="L2335" s="2203">
        <v>56925000</v>
      </c>
      <c r="M2335" s="2256">
        <v>3</v>
      </c>
      <c r="N2335" s="2257">
        <v>27205000</v>
      </c>
      <c r="O2335" s="2255">
        <v>1</v>
      </c>
      <c r="P2335" s="2258">
        <v>7930000</v>
      </c>
      <c r="Q2335" s="2257">
        <v>0</v>
      </c>
      <c r="R2335" s="2203">
        <v>2295000</v>
      </c>
      <c r="S2335" s="2257">
        <v>0</v>
      </c>
      <c r="T2335" s="2203">
        <v>2295000</v>
      </c>
      <c r="U2335" s="2203"/>
      <c r="V2335" s="2203"/>
      <c r="W2335" s="2203"/>
      <c r="X2335" s="2203"/>
      <c r="Y2335" s="2240">
        <f t="shared" si="660"/>
        <v>0</v>
      </c>
      <c r="Z2335" s="2203">
        <f t="shared" si="660"/>
        <v>4590000</v>
      </c>
      <c r="AA2335" s="2240">
        <f t="shared" si="661"/>
        <v>3</v>
      </c>
      <c r="AB2335" s="2203">
        <f t="shared" si="661"/>
        <v>31795000</v>
      </c>
      <c r="AC2335" s="2243">
        <f t="shared" si="662"/>
        <v>50</v>
      </c>
      <c r="AD2335" s="2243">
        <f t="shared" si="662"/>
        <v>55.854194115063684</v>
      </c>
      <c r="AE2335" s="2267"/>
      <c r="AF2335" s="2161"/>
      <c r="AG2335" s="2161"/>
      <c r="AH2335" s="2161"/>
      <c r="AI2335" s="2161"/>
      <c r="AJ2335" s="2161"/>
      <c r="AK2335" s="2161"/>
      <c r="AL2335" s="2161"/>
      <c r="AM2335" s="2161"/>
      <c r="AN2335" s="2161"/>
      <c r="AO2335" s="2161"/>
      <c r="AP2335" s="2161"/>
      <c r="AQ2335" s="2161"/>
      <c r="AR2335" s="2161"/>
      <c r="AS2335" s="2161"/>
      <c r="AT2335" s="2161"/>
      <c r="AU2335" s="2161"/>
      <c r="AV2335" s="2161"/>
      <c r="AW2335" s="2161"/>
      <c r="AX2335" s="2161"/>
      <c r="AY2335" s="2161"/>
      <c r="AZ2335" s="2161"/>
      <c r="BA2335" s="2161"/>
      <c r="BB2335" s="2161"/>
      <c r="BC2335" s="2161"/>
      <c r="BD2335" s="2161"/>
      <c r="BE2335" s="2161"/>
      <c r="BF2335" s="2161"/>
      <c r="BG2335" s="2161"/>
      <c r="BH2335" s="2161"/>
      <c r="BI2335" s="2161"/>
      <c r="BJ2335" s="2161"/>
      <c r="BK2335" s="2161"/>
      <c r="BL2335" s="2161"/>
      <c r="BM2335" s="2161"/>
      <c r="BN2335" s="2161"/>
      <c r="BO2335" s="2161"/>
      <c r="BP2335" s="2161"/>
      <c r="BQ2335" s="2161"/>
      <c r="BR2335" s="2161"/>
      <c r="BS2335" s="2161"/>
    </row>
    <row r="2336" spans="1:71" s="2131" customFormat="1" ht="42" customHeight="1">
      <c r="A2336" s="2267"/>
      <c r="B2336" s="2253"/>
      <c r="C2336" s="2164">
        <v>5</v>
      </c>
      <c r="D2336" s="2164" t="s">
        <v>34</v>
      </c>
      <c r="E2336" s="2164" t="s">
        <v>25</v>
      </c>
      <c r="F2336" s="2164" t="s">
        <v>45</v>
      </c>
      <c r="G2336" s="2164" t="s">
        <v>3667</v>
      </c>
      <c r="H2336" s="2254" t="s">
        <v>29</v>
      </c>
      <c r="I2336" s="2162" t="s">
        <v>3714</v>
      </c>
      <c r="J2336" s="2171" t="s">
        <v>3764</v>
      </c>
      <c r="K2336" s="2255">
        <v>3</v>
      </c>
      <c r="L2336" s="2203">
        <f>3*P2336</f>
        <v>36075000</v>
      </c>
      <c r="M2336" s="2256">
        <v>0</v>
      </c>
      <c r="N2336" s="2257">
        <v>0</v>
      </c>
      <c r="O2336" s="2255"/>
      <c r="P2336" s="2258">
        <v>12025000</v>
      </c>
      <c r="Q2336" s="2257"/>
      <c r="R2336" s="2203"/>
      <c r="S2336" s="2257"/>
      <c r="T2336" s="2203"/>
      <c r="U2336" s="2203"/>
      <c r="V2336" s="2203"/>
      <c r="W2336" s="2203"/>
      <c r="X2336" s="2203"/>
      <c r="Y2336" s="2240">
        <f t="shared" si="660"/>
        <v>0</v>
      </c>
      <c r="Z2336" s="2203">
        <f t="shared" si="660"/>
        <v>0</v>
      </c>
      <c r="AA2336" s="2240">
        <f t="shared" si="661"/>
        <v>0</v>
      </c>
      <c r="AB2336" s="2203">
        <f t="shared" si="661"/>
        <v>0</v>
      </c>
      <c r="AC2336" s="2243">
        <f t="shared" si="662"/>
        <v>0</v>
      </c>
      <c r="AD2336" s="2243">
        <f t="shared" si="662"/>
        <v>0</v>
      </c>
      <c r="AE2336" s="2267"/>
      <c r="AF2336" s="2161"/>
      <c r="AG2336" s="2161"/>
      <c r="AH2336" s="2161"/>
      <c r="AI2336" s="2161"/>
      <c r="AJ2336" s="2161"/>
      <c r="AK2336" s="2161"/>
      <c r="AL2336" s="2161"/>
      <c r="AM2336" s="2161"/>
      <c r="AN2336" s="2161"/>
      <c r="AO2336" s="2161"/>
      <c r="AP2336" s="2161"/>
      <c r="AQ2336" s="2161"/>
      <c r="AR2336" s="2161"/>
      <c r="AS2336" s="2161"/>
      <c r="AT2336" s="2161"/>
      <c r="AU2336" s="2161"/>
      <c r="AV2336" s="2161"/>
      <c r="AW2336" s="2161"/>
      <c r="AX2336" s="2161"/>
      <c r="AY2336" s="2161"/>
      <c r="AZ2336" s="2161"/>
      <c r="BA2336" s="2161"/>
      <c r="BB2336" s="2161"/>
      <c r="BC2336" s="2161"/>
      <c r="BD2336" s="2161"/>
      <c r="BE2336" s="2161"/>
      <c r="BF2336" s="2161"/>
      <c r="BG2336" s="2161"/>
      <c r="BH2336" s="2161"/>
      <c r="BI2336" s="2161"/>
      <c r="BJ2336" s="2161"/>
      <c r="BK2336" s="2161"/>
      <c r="BL2336" s="2161"/>
      <c r="BM2336" s="2161"/>
      <c r="BN2336" s="2161"/>
      <c r="BO2336" s="2161"/>
      <c r="BP2336" s="2161"/>
      <c r="BQ2336" s="2161"/>
      <c r="BR2336" s="2161"/>
      <c r="BS2336" s="2161"/>
    </row>
    <row r="2337" spans="1:71" s="2131" customFormat="1" ht="36" customHeight="1">
      <c r="A2337" s="2140">
        <v>5</v>
      </c>
      <c r="B2337" s="2194"/>
      <c r="C2337" s="2142">
        <v>5</v>
      </c>
      <c r="D2337" s="2142" t="s">
        <v>34</v>
      </c>
      <c r="E2337" s="2142" t="s">
        <v>25</v>
      </c>
      <c r="F2337" s="2142" t="s">
        <v>45</v>
      </c>
      <c r="G2337" s="2142" t="s">
        <v>84</v>
      </c>
      <c r="H2337" s="2140"/>
      <c r="I2337" s="2143" t="s">
        <v>3765</v>
      </c>
      <c r="J2337" s="2143" t="s">
        <v>3766</v>
      </c>
      <c r="K2337" s="2277" t="s">
        <v>2689</v>
      </c>
      <c r="L2337" s="2145">
        <f>L2338</f>
        <v>240000000</v>
      </c>
      <c r="M2337" s="2277" t="s">
        <v>2689</v>
      </c>
      <c r="N2337" s="2145">
        <f>N2338</f>
        <v>34190000</v>
      </c>
      <c r="O2337" s="2277"/>
      <c r="P2337" s="2145">
        <f>P2338</f>
        <v>0</v>
      </c>
      <c r="Q2337" s="2277"/>
      <c r="R2337" s="2145">
        <f>R2338</f>
        <v>0</v>
      </c>
      <c r="S2337" s="2277"/>
      <c r="T2337" s="2145">
        <f>T2338</f>
        <v>0</v>
      </c>
      <c r="U2337" s="2277"/>
      <c r="V2337" s="2146">
        <f>V2338</f>
        <v>0</v>
      </c>
      <c r="W2337" s="2277"/>
      <c r="X2337" s="2146">
        <f>X2338</f>
        <v>0</v>
      </c>
      <c r="Y2337" s="2277">
        <f t="shared" si="660"/>
        <v>0</v>
      </c>
      <c r="Z2337" s="2145">
        <f t="shared" si="660"/>
        <v>0</v>
      </c>
      <c r="AA2337" s="2277" t="s">
        <v>2689</v>
      </c>
      <c r="AB2337" s="2145">
        <f t="shared" si="661"/>
        <v>34190000</v>
      </c>
      <c r="AC2337" s="2195">
        <v>100</v>
      </c>
      <c r="AD2337" s="2147">
        <f t="shared" si="662"/>
        <v>14.245833333333332</v>
      </c>
      <c r="AE2337" s="2140"/>
      <c r="AF2337" s="2270"/>
      <c r="AG2337" s="2270"/>
      <c r="AH2337" s="2270"/>
      <c r="AI2337" s="2270"/>
      <c r="AJ2337" s="2270"/>
      <c r="AK2337" s="2270"/>
      <c r="AL2337" s="2270"/>
      <c r="AM2337" s="2270"/>
      <c r="AN2337" s="2270"/>
      <c r="AO2337" s="2270"/>
      <c r="AP2337" s="2270"/>
      <c r="AQ2337" s="2270"/>
      <c r="AR2337" s="2270"/>
      <c r="AS2337" s="2270"/>
      <c r="AT2337" s="2270"/>
      <c r="AU2337" s="2270"/>
      <c r="AV2337" s="2270"/>
      <c r="AW2337" s="2270"/>
      <c r="AX2337" s="2270"/>
      <c r="AY2337" s="2270"/>
      <c r="AZ2337" s="2270"/>
      <c r="BA2337" s="2270"/>
      <c r="BB2337" s="2270"/>
      <c r="BC2337" s="2270"/>
      <c r="BD2337" s="2270"/>
      <c r="BE2337" s="2270"/>
      <c r="BF2337" s="2270"/>
      <c r="BG2337" s="2270"/>
      <c r="BH2337" s="2270"/>
      <c r="BI2337" s="2270"/>
      <c r="BJ2337" s="2270"/>
      <c r="BK2337" s="2270"/>
      <c r="BL2337" s="2270"/>
      <c r="BM2337" s="2270"/>
      <c r="BN2337" s="2270"/>
      <c r="BO2337" s="2270"/>
      <c r="BP2337" s="2270"/>
      <c r="BQ2337" s="2270"/>
      <c r="BR2337" s="2270"/>
      <c r="BS2337" s="2270"/>
    </row>
    <row r="2338" spans="1:71" s="2131" customFormat="1" ht="25.5">
      <c r="A2338" s="2379"/>
      <c r="B2338" s="2162"/>
      <c r="C2338" s="2164">
        <v>5</v>
      </c>
      <c r="D2338" s="2164" t="s">
        <v>34</v>
      </c>
      <c r="E2338" s="2164" t="s">
        <v>25</v>
      </c>
      <c r="F2338" s="2164" t="s">
        <v>45</v>
      </c>
      <c r="G2338" s="2164" t="s">
        <v>84</v>
      </c>
      <c r="H2338" s="2151" t="s">
        <v>38</v>
      </c>
      <c r="I2338" s="2162" t="s">
        <v>3767</v>
      </c>
      <c r="J2338" s="2162" t="s">
        <v>3768</v>
      </c>
      <c r="K2338" s="2166">
        <v>5</v>
      </c>
      <c r="L2338" s="2167">
        <v>240000000</v>
      </c>
      <c r="M2338" s="2166">
        <v>1</v>
      </c>
      <c r="N2338" s="2278">
        <v>34190000</v>
      </c>
      <c r="O2338" s="2166"/>
      <c r="P2338" s="2167"/>
      <c r="Q2338" s="2166"/>
      <c r="R2338" s="2167"/>
      <c r="S2338" s="2166"/>
      <c r="T2338" s="2167"/>
      <c r="U2338" s="2166"/>
      <c r="V2338" s="2202"/>
      <c r="W2338" s="2166"/>
      <c r="X2338" s="2167"/>
      <c r="Y2338" s="2166">
        <f t="shared" si="660"/>
        <v>0</v>
      </c>
      <c r="Z2338" s="2203">
        <f t="shared" si="660"/>
        <v>0</v>
      </c>
      <c r="AA2338" s="2166">
        <f t="shared" si="661"/>
        <v>1</v>
      </c>
      <c r="AB2338" s="2203">
        <f t="shared" si="661"/>
        <v>34190000</v>
      </c>
      <c r="AC2338" s="2170">
        <f t="shared" si="662"/>
        <v>20</v>
      </c>
      <c r="AD2338" s="2170">
        <f t="shared" si="662"/>
        <v>14.245833333333332</v>
      </c>
      <c r="AE2338" s="2379"/>
      <c r="AF2338" s="2161"/>
      <c r="AG2338" s="2161"/>
      <c r="AH2338" s="2161"/>
      <c r="AI2338" s="2161"/>
      <c r="AJ2338" s="2161"/>
      <c r="AK2338" s="2161"/>
      <c r="AL2338" s="2161"/>
      <c r="AM2338" s="2161"/>
      <c r="AN2338" s="2161"/>
      <c r="AO2338" s="2161"/>
      <c r="AP2338" s="2161"/>
      <c r="AQ2338" s="2161"/>
      <c r="AR2338" s="2161"/>
      <c r="AS2338" s="2161"/>
      <c r="AT2338" s="2161"/>
      <c r="AU2338" s="2161"/>
      <c r="AV2338" s="2161"/>
      <c r="AW2338" s="2161"/>
      <c r="AX2338" s="2161"/>
      <c r="AY2338" s="2161"/>
      <c r="AZ2338" s="2161"/>
      <c r="BA2338" s="2161"/>
      <c r="BB2338" s="2161"/>
      <c r="BC2338" s="2161"/>
      <c r="BD2338" s="2161"/>
      <c r="BE2338" s="2161"/>
      <c r="BF2338" s="2161"/>
      <c r="BG2338" s="2161"/>
      <c r="BH2338" s="2161"/>
      <c r="BI2338" s="2161"/>
      <c r="BJ2338" s="2161"/>
      <c r="BK2338" s="2161"/>
      <c r="BL2338" s="2161"/>
      <c r="BM2338" s="2161"/>
      <c r="BN2338" s="2161"/>
      <c r="BO2338" s="2161"/>
      <c r="BP2338" s="2161"/>
      <c r="BQ2338" s="2161"/>
      <c r="BR2338" s="2161"/>
      <c r="BS2338" s="2161"/>
    </row>
    <row r="2339" spans="1:71" s="2131" customFormat="1" ht="63.75">
      <c r="A2339" s="2140">
        <v>7</v>
      </c>
      <c r="B2339" s="2194"/>
      <c r="C2339" s="2142">
        <v>5</v>
      </c>
      <c r="D2339" s="2142" t="s">
        <v>34</v>
      </c>
      <c r="E2339" s="2142" t="s">
        <v>25</v>
      </c>
      <c r="F2339" s="2142" t="s">
        <v>45</v>
      </c>
      <c r="G2339" s="2142" t="s">
        <v>35</v>
      </c>
      <c r="H2339" s="2142"/>
      <c r="I2339" s="2143" t="s">
        <v>3769</v>
      </c>
      <c r="J2339" s="2143" t="s">
        <v>3743</v>
      </c>
      <c r="K2339" s="2144">
        <v>100</v>
      </c>
      <c r="L2339" s="2145">
        <f>L2340</f>
        <v>100000000</v>
      </c>
      <c r="M2339" s="2144">
        <v>75</v>
      </c>
      <c r="N2339" s="2145">
        <f>N2340</f>
        <v>10847500</v>
      </c>
      <c r="O2339" s="2144"/>
      <c r="P2339" s="2145">
        <f>P2340</f>
        <v>0</v>
      </c>
      <c r="Q2339" s="2144"/>
      <c r="R2339" s="2145">
        <f>R2340</f>
        <v>0</v>
      </c>
      <c r="S2339" s="2144"/>
      <c r="T2339" s="2145">
        <f>T2340</f>
        <v>0</v>
      </c>
      <c r="U2339" s="2144"/>
      <c r="V2339" s="2145">
        <f>V2340</f>
        <v>0</v>
      </c>
      <c r="W2339" s="2144"/>
      <c r="X2339" s="2145">
        <f>X2340</f>
        <v>0</v>
      </c>
      <c r="Y2339" s="2144">
        <f t="shared" si="660"/>
        <v>0</v>
      </c>
      <c r="Z2339" s="2145">
        <f t="shared" si="660"/>
        <v>0</v>
      </c>
      <c r="AA2339" s="2144">
        <f t="shared" si="661"/>
        <v>75</v>
      </c>
      <c r="AB2339" s="2145">
        <f t="shared" si="661"/>
        <v>10847500</v>
      </c>
      <c r="AC2339" s="2147">
        <f t="shared" si="662"/>
        <v>75</v>
      </c>
      <c r="AD2339" s="2147">
        <f t="shared" si="662"/>
        <v>10.8475</v>
      </c>
      <c r="AE2339" s="2204" t="s">
        <v>3750</v>
      </c>
      <c r="AF2339" s="2266"/>
      <c r="AG2339" s="2266"/>
      <c r="AH2339" s="2266"/>
      <c r="AI2339" s="2266"/>
      <c r="AJ2339" s="2266"/>
      <c r="AK2339" s="2266"/>
      <c r="AL2339" s="2266"/>
      <c r="AM2339" s="2266"/>
      <c r="AN2339" s="2266"/>
      <c r="AO2339" s="2266"/>
      <c r="AP2339" s="2266"/>
      <c r="AQ2339" s="2266"/>
      <c r="AR2339" s="2266"/>
      <c r="AS2339" s="2266"/>
      <c r="AT2339" s="2266"/>
      <c r="AU2339" s="2266"/>
      <c r="AV2339" s="2266"/>
      <c r="AW2339" s="2266"/>
      <c r="AX2339" s="2266"/>
      <c r="AY2339" s="2266"/>
      <c r="AZ2339" s="2266"/>
      <c r="BA2339" s="2266"/>
      <c r="BB2339" s="2266"/>
      <c r="BC2339" s="2266"/>
      <c r="BD2339" s="2266"/>
      <c r="BE2339" s="2266"/>
      <c r="BF2339" s="2266"/>
      <c r="BG2339" s="2266"/>
      <c r="BH2339" s="2266"/>
      <c r="BI2339" s="2266"/>
      <c r="BJ2339" s="2266"/>
      <c r="BK2339" s="2266"/>
      <c r="BL2339" s="2266"/>
      <c r="BM2339" s="2266"/>
      <c r="BN2339" s="2266"/>
      <c r="BO2339" s="2266"/>
      <c r="BP2339" s="2266"/>
      <c r="BQ2339" s="2266"/>
      <c r="BR2339" s="2266"/>
      <c r="BS2339" s="2266"/>
    </row>
    <row r="2340" spans="1:71" s="2131" customFormat="1" ht="25.5">
      <c r="A2340" s="2152"/>
      <c r="B2340" s="2198"/>
      <c r="C2340" s="2164">
        <v>5</v>
      </c>
      <c r="D2340" s="2164" t="s">
        <v>34</v>
      </c>
      <c r="E2340" s="2164" t="s">
        <v>25</v>
      </c>
      <c r="F2340" s="2164" t="s">
        <v>45</v>
      </c>
      <c r="G2340" s="2164" t="s">
        <v>35</v>
      </c>
      <c r="H2340" s="2164" t="s">
        <v>49</v>
      </c>
      <c r="I2340" s="2198" t="s">
        <v>3770</v>
      </c>
      <c r="J2340" s="2198" t="s">
        <v>3771</v>
      </c>
      <c r="K2340" s="2240">
        <v>5</v>
      </c>
      <c r="L2340" s="2241">
        <v>100000000</v>
      </c>
      <c r="M2340" s="2240">
        <v>1</v>
      </c>
      <c r="N2340" s="2241">
        <v>10847500</v>
      </c>
      <c r="O2340" s="2240"/>
      <c r="P2340" s="2241"/>
      <c r="Q2340" s="2240"/>
      <c r="R2340" s="2241"/>
      <c r="S2340" s="2240"/>
      <c r="T2340" s="2241"/>
      <c r="U2340" s="2240"/>
      <c r="V2340" s="2242"/>
      <c r="W2340" s="2240"/>
      <c r="X2340" s="2279"/>
      <c r="Y2340" s="2240">
        <f t="shared" si="660"/>
        <v>0</v>
      </c>
      <c r="Z2340" s="2203">
        <f t="shared" si="660"/>
        <v>0</v>
      </c>
      <c r="AA2340" s="2240">
        <f t="shared" si="661"/>
        <v>1</v>
      </c>
      <c r="AB2340" s="2203">
        <f t="shared" si="661"/>
        <v>10847500</v>
      </c>
      <c r="AC2340" s="2243">
        <f t="shared" si="662"/>
        <v>20</v>
      </c>
      <c r="AD2340" s="2240">
        <f t="shared" si="662"/>
        <v>10.8475</v>
      </c>
      <c r="AE2340" s="2216"/>
      <c r="AF2340" s="2259"/>
      <c r="AG2340" s="2259"/>
      <c r="AH2340" s="2259"/>
      <c r="AI2340" s="2259"/>
      <c r="AJ2340" s="2259"/>
      <c r="AK2340" s="2259"/>
      <c r="AL2340" s="2259"/>
      <c r="AM2340" s="2259"/>
      <c r="AN2340" s="2259"/>
      <c r="AO2340" s="2259"/>
      <c r="AP2340" s="2259"/>
      <c r="AQ2340" s="2259"/>
      <c r="AR2340" s="2259"/>
      <c r="AS2340" s="2259"/>
      <c r="AT2340" s="2259"/>
      <c r="AU2340" s="2259"/>
      <c r="AV2340" s="2259"/>
      <c r="AW2340" s="2259"/>
      <c r="AX2340" s="2259"/>
      <c r="AY2340" s="2259"/>
      <c r="AZ2340" s="2259"/>
      <c r="BA2340" s="2259"/>
      <c r="BB2340" s="2259"/>
      <c r="BC2340" s="2259"/>
      <c r="BD2340" s="2259"/>
      <c r="BE2340" s="2259"/>
      <c r="BF2340" s="2259"/>
      <c r="BG2340" s="2259"/>
      <c r="BH2340" s="2259"/>
      <c r="BI2340" s="2259"/>
      <c r="BJ2340" s="2259"/>
      <c r="BK2340" s="2259"/>
      <c r="BL2340" s="2259"/>
      <c r="BM2340" s="2259"/>
      <c r="BN2340" s="2259"/>
      <c r="BO2340" s="2259"/>
      <c r="BP2340" s="2259"/>
      <c r="BQ2340" s="2259"/>
      <c r="BR2340" s="2259"/>
      <c r="BS2340" s="2259"/>
    </row>
    <row r="2341" spans="1:71" s="2290" customFormat="1" ht="20.100000000000001" customHeight="1">
      <c r="A2341" s="2715" t="s">
        <v>63</v>
      </c>
      <c r="B2341" s="2715"/>
      <c r="C2341" s="2716"/>
      <c r="D2341" s="2716"/>
      <c r="E2341" s="2716"/>
      <c r="F2341" s="2716"/>
      <c r="G2341" s="2716"/>
      <c r="H2341" s="2716"/>
      <c r="I2341" s="2716"/>
      <c r="J2341" s="2716"/>
      <c r="K2341" s="2716"/>
      <c r="L2341" s="2716"/>
      <c r="M2341" s="2716"/>
      <c r="N2341" s="2716"/>
      <c r="O2341" s="2716"/>
      <c r="P2341" s="2716"/>
      <c r="Q2341" s="2716"/>
      <c r="R2341" s="2716"/>
      <c r="S2341" s="2716"/>
      <c r="T2341" s="2716"/>
      <c r="U2341" s="2716"/>
      <c r="V2341" s="2716"/>
      <c r="W2341" s="2716"/>
      <c r="X2341" s="2716"/>
      <c r="Y2341" s="2716"/>
      <c r="Z2341" s="2716"/>
      <c r="AA2341" s="2716"/>
      <c r="AB2341" s="2716"/>
      <c r="AC2341" s="2614">
        <f>(AC2299+AC2311+AC2317+AC2319+AC2321+AC2323+AC2326+AC2328+AC2334+AC2337+AC2339)/11</f>
        <v>65.735930735930737</v>
      </c>
      <c r="AD2341" s="2614">
        <f>(AD2299+AD2311+AD2317+AD2319+AD2321+AD2323+AD2326+AD2328+AD2334+AD2337+AD2339)/11</f>
        <v>63.253107631194034</v>
      </c>
      <c r="AE2341" s="2615"/>
    </row>
    <row r="2342" spans="1:71" s="2290" customFormat="1" ht="20.100000000000001" customHeight="1">
      <c r="A2342" s="2715" t="s">
        <v>64</v>
      </c>
      <c r="B2342" s="2715"/>
      <c r="C2342" s="2716"/>
      <c r="D2342" s="2716"/>
      <c r="E2342" s="2716"/>
      <c r="F2342" s="2716"/>
      <c r="G2342" s="2716"/>
      <c r="H2342" s="2716"/>
      <c r="I2342" s="2716"/>
      <c r="J2342" s="2716"/>
      <c r="K2342" s="2716"/>
      <c r="L2342" s="2716"/>
      <c r="M2342" s="2716"/>
      <c r="N2342" s="2716"/>
      <c r="O2342" s="2716"/>
      <c r="P2342" s="2716"/>
      <c r="Q2342" s="2716"/>
      <c r="R2342" s="2716"/>
      <c r="S2342" s="2716"/>
      <c r="T2342" s="2716"/>
      <c r="U2342" s="2716"/>
      <c r="V2342" s="2716"/>
      <c r="W2342" s="2716"/>
      <c r="X2342" s="2716"/>
      <c r="Y2342" s="2716"/>
      <c r="Z2342" s="2716"/>
      <c r="AA2342" s="2716"/>
      <c r="AB2342" s="2716"/>
      <c r="AC2342" s="2616" t="str">
        <f>IF(AC2341&gt;=91,"ST",IF(AC2341&gt;=76,"T",IF(AC2341&gt;=66,"S",IF(AC2341&gt;=51,"R","SR"))))</f>
        <v>R</v>
      </c>
      <c r="AD2342" s="2616" t="str">
        <f>IF(AD2341&gt;=91,"ST",IF(AD2341&gt;=76,"T",IF(AD2341&gt;=66,"S",IF(AD2341&gt;=51,"R","SR"))))</f>
        <v>R</v>
      </c>
      <c r="AE2342" s="2615"/>
    </row>
    <row r="2343" spans="1:71" s="2131" customFormat="1" ht="27.95" customHeight="1">
      <c r="A2343" s="2132" t="s">
        <v>91</v>
      </c>
      <c r="B2343" s="2133"/>
      <c r="C2343" s="2132"/>
      <c r="D2343" s="2132"/>
      <c r="E2343" s="2132"/>
      <c r="F2343" s="2132"/>
      <c r="G2343" s="2132"/>
      <c r="H2343" s="2132"/>
      <c r="I2343" s="2707" t="s">
        <v>3772</v>
      </c>
      <c r="J2343" s="2708"/>
      <c r="K2343" s="2134"/>
      <c r="L2343" s="2135">
        <f>L2344+L2356+L2361+L2363+L2365+L2367+L2369+L2372+L2375</f>
        <v>3215778440</v>
      </c>
      <c r="M2343" s="2134"/>
      <c r="N2343" s="2136">
        <f>N2344+N2356+N2361+N2363+N2365+N2367+N2369+N2372+N2375</f>
        <v>1414859040</v>
      </c>
      <c r="O2343" s="2134"/>
      <c r="P2343" s="2136">
        <f>P2344+P2356+P2361+P2363+P2365+P2367+P2369+P2372+P2375</f>
        <v>355903700</v>
      </c>
      <c r="Q2343" s="2134"/>
      <c r="R2343" s="2136">
        <f>R2344+R2356+R2361+R2363+R2365+R2367+R2369+R2372+R2375</f>
        <v>19473500</v>
      </c>
      <c r="S2343" s="2134"/>
      <c r="T2343" s="2136">
        <f>T2344+T2356+T2361+T2363+T2365+T2367+T2369+T2372+T2375</f>
        <v>19473500</v>
      </c>
      <c r="U2343" s="2134"/>
      <c r="V2343" s="2136">
        <f>V2344+V2356+V2361+V2363+V2365+V2367+V2369+V2372+V2375</f>
        <v>0</v>
      </c>
      <c r="W2343" s="2134"/>
      <c r="X2343" s="2136">
        <f>X2344+X2356+X2361+X2363+X2365+X2367+X2369+X2372+X2375</f>
        <v>0</v>
      </c>
      <c r="Y2343" s="2134">
        <v>0</v>
      </c>
      <c r="Z2343" s="2136">
        <f>Z2344+Z2356+Z2361+Z2363+Z2365+Z2367+Z2369+Z2372+Z2375</f>
        <v>38947000</v>
      </c>
      <c r="AA2343" s="2134"/>
      <c r="AB2343" s="2136">
        <f>AB2344+AB2356+AB2361+AB2363+AB2365+AB2367+AB2369+AB2372+AB2375</f>
        <v>1453806040</v>
      </c>
      <c r="AC2343" s="2134"/>
      <c r="AD2343" s="2134"/>
      <c r="AE2343" s="2137"/>
      <c r="AF2343" s="2138"/>
      <c r="AG2343" s="2138"/>
      <c r="AH2343" s="2138"/>
      <c r="AI2343" s="2138"/>
      <c r="AJ2343" s="2138"/>
      <c r="AK2343" s="2138"/>
      <c r="AL2343" s="2138"/>
      <c r="AM2343" s="2138"/>
      <c r="AN2343" s="2138"/>
      <c r="AO2343" s="2138"/>
      <c r="AP2343" s="2138"/>
      <c r="AQ2343" s="2138"/>
      <c r="AR2343" s="2138"/>
      <c r="AS2343" s="2138"/>
      <c r="AT2343" s="2138"/>
      <c r="AU2343" s="2138"/>
      <c r="AV2343" s="2138"/>
      <c r="AW2343" s="2138"/>
      <c r="AX2343" s="2138"/>
      <c r="AY2343" s="2138"/>
      <c r="AZ2343" s="2138"/>
      <c r="BA2343" s="2138"/>
      <c r="BB2343" s="2138"/>
      <c r="BC2343" s="2138"/>
      <c r="BD2343" s="2138"/>
      <c r="BE2343" s="2138"/>
      <c r="BF2343" s="2138"/>
      <c r="BG2343" s="2138"/>
      <c r="BH2343" s="2138"/>
      <c r="BI2343" s="2138"/>
      <c r="BJ2343" s="2138"/>
      <c r="BK2343" s="2138"/>
      <c r="BL2343" s="2138"/>
      <c r="BM2343" s="2138"/>
      <c r="BN2343" s="2138"/>
      <c r="BO2343" s="2138"/>
      <c r="BP2343" s="2138"/>
      <c r="BQ2343" s="2138"/>
      <c r="BR2343" s="2138"/>
      <c r="BS2343" s="2138"/>
    </row>
    <row r="2344" spans="1:71" s="2131" customFormat="1" ht="75" customHeight="1">
      <c r="A2344" s="2140">
        <v>1</v>
      </c>
      <c r="B2344" s="2194"/>
      <c r="C2344" s="2142">
        <v>5</v>
      </c>
      <c r="D2344" s="2142" t="s">
        <v>34</v>
      </c>
      <c r="E2344" s="2142" t="s">
        <v>25</v>
      </c>
      <c r="F2344" s="2142" t="s">
        <v>45</v>
      </c>
      <c r="G2344" s="2142" t="s">
        <v>25</v>
      </c>
      <c r="H2344" s="2140"/>
      <c r="I2344" s="2143" t="s">
        <v>3625</v>
      </c>
      <c r="J2344" s="2143" t="s">
        <v>3626</v>
      </c>
      <c r="K2344" s="2144">
        <v>72</v>
      </c>
      <c r="L2344" s="2145">
        <f>SUM(L2345:L2354)</f>
        <v>1286260600</v>
      </c>
      <c r="M2344" s="2144">
        <v>36</v>
      </c>
      <c r="N2344" s="2145">
        <f>SUM(N2345:N2354)</f>
        <v>578624000</v>
      </c>
      <c r="O2344" s="2144">
        <v>12</v>
      </c>
      <c r="P2344" s="2145">
        <f>SUM(P2345:P2355)</f>
        <v>255358700</v>
      </c>
      <c r="Q2344" s="2144">
        <v>3</v>
      </c>
      <c r="R2344" s="2145">
        <f>SUM(R2345:R2355)</f>
        <v>15338500</v>
      </c>
      <c r="S2344" s="2144">
        <v>3</v>
      </c>
      <c r="T2344" s="2145">
        <f>SUM(T2345:T2355)</f>
        <v>15338500</v>
      </c>
      <c r="U2344" s="2144"/>
      <c r="V2344" s="2145">
        <f>SUM(V2345:V2354)</f>
        <v>0</v>
      </c>
      <c r="W2344" s="2144"/>
      <c r="X2344" s="2145">
        <f>SUM(X2345:X2354)</f>
        <v>0</v>
      </c>
      <c r="Y2344" s="2147">
        <f t="shared" ref="Y2344:Z2381" si="663">Q2344+S2344+U2344+W2344</f>
        <v>6</v>
      </c>
      <c r="Z2344" s="2145">
        <f t="shared" si="663"/>
        <v>30677000</v>
      </c>
      <c r="AA2344" s="2147">
        <f t="shared" ref="AA2344:AB2381" si="664">M2344+Y2344</f>
        <v>42</v>
      </c>
      <c r="AB2344" s="2145">
        <f t="shared" si="664"/>
        <v>609301000</v>
      </c>
      <c r="AC2344" s="2147">
        <f t="shared" ref="AC2344:AD2381" si="665">(AA2344/K2344)*100</f>
        <v>58.333333333333336</v>
      </c>
      <c r="AD2344" s="2147">
        <f t="shared" si="665"/>
        <v>47.369949759792071</v>
      </c>
      <c r="AE2344" s="2140" t="s">
        <v>3773</v>
      </c>
      <c r="AF2344" s="2149"/>
      <c r="AG2344" s="2149"/>
      <c r="AH2344" s="2149"/>
      <c r="AI2344" s="2149"/>
      <c r="AJ2344" s="2149"/>
      <c r="AK2344" s="2149"/>
      <c r="AL2344" s="2149"/>
      <c r="AM2344" s="2149"/>
      <c r="AN2344" s="2149"/>
      <c r="AO2344" s="2149"/>
      <c r="AP2344" s="2149"/>
      <c r="AQ2344" s="2149"/>
      <c r="AR2344" s="2149"/>
      <c r="AS2344" s="2149"/>
      <c r="AT2344" s="2149"/>
      <c r="AU2344" s="2149"/>
      <c r="AV2344" s="2149"/>
      <c r="AW2344" s="2149"/>
      <c r="AX2344" s="2149"/>
      <c r="AY2344" s="2149"/>
      <c r="AZ2344" s="2149"/>
      <c r="BA2344" s="2149"/>
      <c r="BB2344" s="2149"/>
      <c r="BC2344" s="2149"/>
      <c r="BD2344" s="2149"/>
      <c r="BE2344" s="2149"/>
      <c r="BF2344" s="2149"/>
      <c r="BG2344" s="2149"/>
      <c r="BH2344" s="2149"/>
      <c r="BI2344" s="2149"/>
      <c r="BJ2344" s="2149"/>
      <c r="BK2344" s="2149"/>
      <c r="BL2344" s="2149"/>
      <c r="BM2344" s="2149"/>
      <c r="BN2344" s="2149"/>
      <c r="BO2344" s="2149"/>
      <c r="BP2344" s="2149"/>
      <c r="BQ2344" s="2149"/>
      <c r="BR2344" s="2149"/>
      <c r="BS2344" s="2149"/>
    </row>
    <row r="2345" spans="1:71" s="2131" customFormat="1" ht="66" customHeight="1">
      <c r="A2345" s="2267"/>
      <c r="B2345" s="2253"/>
      <c r="C2345" s="2164">
        <v>5</v>
      </c>
      <c r="D2345" s="2164" t="s">
        <v>34</v>
      </c>
      <c r="E2345" s="2164" t="s">
        <v>25</v>
      </c>
      <c r="F2345" s="2164" t="s">
        <v>45</v>
      </c>
      <c r="G2345" s="2164" t="s">
        <v>25</v>
      </c>
      <c r="H2345" s="2254" t="s">
        <v>28</v>
      </c>
      <c r="I2345" s="2171" t="s">
        <v>3684</v>
      </c>
      <c r="J2345" s="2171" t="s">
        <v>3627</v>
      </c>
      <c r="K2345" s="2255">
        <v>72</v>
      </c>
      <c r="L2345" s="2203">
        <v>74170000</v>
      </c>
      <c r="M2345" s="2256">
        <v>36</v>
      </c>
      <c r="N2345" s="2257">
        <v>22659000</v>
      </c>
      <c r="O2345" s="2255">
        <v>12</v>
      </c>
      <c r="P2345" s="2280">
        <v>6240000</v>
      </c>
      <c r="Q2345" s="2256">
        <v>3</v>
      </c>
      <c r="R2345" s="2280">
        <v>0</v>
      </c>
      <c r="S2345" s="2256">
        <v>3</v>
      </c>
      <c r="T2345" s="2280">
        <v>0</v>
      </c>
      <c r="U2345" s="2255"/>
      <c r="V2345" s="2258"/>
      <c r="W2345" s="2255"/>
      <c r="X2345" s="2203"/>
      <c r="Y2345" s="2240">
        <f t="shared" si="663"/>
        <v>6</v>
      </c>
      <c r="Z2345" s="2203">
        <f t="shared" si="663"/>
        <v>0</v>
      </c>
      <c r="AA2345" s="2240">
        <f t="shared" si="664"/>
        <v>42</v>
      </c>
      <c r="AB2345" s="2203">
        <f t="shared" si="664"/>
        <v>22659000</v>
      </c>
      <c r="AC2345" s="2243">
        <f t="shared" si="665"/>
        <v>58.333333333333336</v>
      </c>
      <c r="AD2345" s="2243">
        <f t="shared" si="665"/>
        <v>30.550087636510721</v>
      </c>
      <c r="AE2345" s="2267"/>
      <c r="AF2345" s="2259"/>
      <c r="AG2345" s="2259"/>
      <c r="AH2345" s="2259"/>
      <c r="AI2345" s="2259"/>
      <c r="AJ2345" s="2259"/>
      <c r="AK2345" s="2259"/>
      <c r="AL2345" s="2259"/>
      <c r="AM2345" s="2259"/>
      <c r="AN2345" s="2259"/>
      <c r="AO2345" s="2259"/>
      <c r="AP2345" s="2259"/>
      <c r="AQ2345" s="2259"/>
      <c r="AR2345" s="2259"/>
      <c r="AS2345" s="2259"/>
      <c r="AT2345" s="2259"/>
      <c r="AU2345" s="2259"/>
      <c r="AV2345" s="2259"/>
      <c r="AW2345" s="2259"/>
      <c r="AX2345" s="2259"/>
      <c r="AY2345" s="2259"/>
      <c r="AZ2345" s="2259"/>
      <c r="BA2345" s="2259"/>
      <c r="BB2345" s="2259"/>
      <c r="BC2345" s="2259"/>
      <c r="BD2345" s="2259"/>
      <c r="BE2345" s="2259"/>
      <c r="BF2345" s="2259"/>
      <c r="BG2345" s="2259"/>
      <c r="BH2345" s="2259"/>
      <c r="BI2345" s="2259"/>
      <c r="BJ2345" s="2259"/>
      <c r="BK2345" s="2259"/>
      <c r="BL2345" s="2259"/>
      <c r="BM2345" s="2259"/>
      <c r="BN2345" s="2259"/>
      <c r="BO2345" s="2259"/>
      <c r="BP2345" s="2259"/>
      <c r="BQ2345" s="2259"/>
      <c r="BR2345" s="2259"/>
      <c r="BS2345" s="2259"/>
    </row>
    <row r="2346" spans="1:71" s="2131" customFormat="1" ht="89.25" customHeight="1">
      <c r="A2346" s="2267"/>
      <c r="B2346" s="2253"/>
      <c r="C2346" s="2164">
        <v>5</v>
      </c>
      <c r="D2346" s="2164" t="s">
        <v>34</v>
      </c>
      <c r="E2346" s="2164" t="s">
        <v>25</v>
      </c>
      <c r="F2346" s="2164" t="s">
        <v>45</v>
      </c>
      <c r="G2346" s="2164" t="s">
        <v>25</v>
      </c>
      <c r="H2346" s="2254" t="s">
        <v>29</v>
      </c>
      <c r="I2346" s="2171" t="s">
        <v>3685</v>
      </c>
      <c r="J2346" s="2171" t="s">
        <v>3628</v>
      </c>
      <c r="K2346" s="2255">
        <v>72</v>
      </c>
      <c r="L2346" s="2203">
        <v>199260600</v>
      </c>
      <c r="M2346" s="2256">
        <v>36</v>
      </c>
      <c r="N2346" s="2257">
        <v>111050000</v>
      </c>
      <c r="O2346" s="2255">
        <v>12</v>
      </c>
      <c r="P2346" s="2280">
        <v>48000000</v>
      </c>
      <c r="Q2346" s="2256">
        <v>3</v>
      </c>
      <c r="R2346" s="2280">
        <v>0</v>
      </c>
      <c r="S2346" s="2256">
        <v>3</v>
      </c>
      <c r="T2346" s="2280">
        <v>0</v>
      </c>
      <c r="U2346" s="2255"/>
      <c r="V2346" s="2258"/>
      <c r="W2346" s="2255"/>
      <c r="X2346" s="2203"/>
      <c r="Y2346" s="2240">
        <f t="shared" si="663"/>
        <v>6</v>
      </c>
      <c r="Z2346" s="2203">
        <f t="shared" si="663"/>
        <v>0</v>
      </c>
      <c r="AA2346" s="2240">
        <f t="shared" si="664"/>
        <v>42</v>
      </c>
      <c r="AB2346" s="2203">
        <f t="shared" si="664"/>
        <v>111050000</v>
      </c>
      <c r="AC2346" s="2243">
        <f t="shared" si="665"/>
        <v>58.333333333333336</v>
      </c>
      <c r="AD2346" s="2243">
        <f t="shared" si="665"/>
        <v>55.731037646177917</v>
      </c>
      <c r="AE2346" s="2267"/>
      <c r="AF2346" s="2259"/>
      <c r="AG2346" s="2259"/>
      <c r="AH2346" s="2259"/>
      <c r="AI2346" s="2259"/>
      <c r="AJ2346" s="2259"/>
      <c r="AK2346" s="2259"/>
      <c r="AL2346" s="2259"/>
      <c r="AM2346" s="2259"/>
      <c r="AN2346" s="2259"/>
      <c r="AO2346" s="2259"/>
      <c r="AP2346" s="2259"/>
      <c r="AQ2346" s="2259"/>
      <c r="AR2346" s="2259"/>
      <c r="AS2346" s="2259"/>
      <c r="AT2346" s="2259"/>
      <c r="AU2346" s="2259"/>
      <c r="AV2346" s="2259"/>
      <c r="AW2346" s="2259"/>
      <c r="AX2346" s="2259"/>
      <c r="AY2346" s="2259"/>
      <c r="AZ2346" s="2259"/>
      <c r="BA2346" s="2259"/>
      <c r="BB2346" s="2259"/>
      <c r="BC2346" s="2259"/>
      <c r="BD2346" s="2259"/>
      <c r="BE2346" s="2259"/>
      <c r="BF2346" s="2259"/>
      <c r="BG2346" s="2259"/>
      <c r="BH2346" s="2259"/>
      <c r="BI2346" s="2259"/>
      <c r="BJ2346" s="2259"/>
      <c r="BK2346" s="2259"/>
      <c r="BL2346" s="2259"/>
      <c r="BM2346" s="2259"/>
      <c r="BN2346" s="2259"/>
      <c r="BO2346" s="2259"/>
      <c r="BP2346" s="2259"/>
      <c r="BQ2346" s="2259"/>
      <c r="BR2346" s="2259"/>
      <c r="BS2346" s="2259"/>
    </row>
    <row r="2347" spans="1:71" s="2131" customFormat="1" ht="57.75" customHeight="1">
      <c r="A2347" s="2152"/>
      <c r="B2347" s="2253"/>
      <c r="C2347" s="2164">
        <v>5</v>
      </c>
      <c r="D2347" s="2164" t="s">
        <v>34</v>
      </c>
      <c r="E2347" s="2164" t="s">
        <v>25</v>
      </c>
      <c r="F2347" s="2164" t="s">
        <v>45</v>
      </c>
      <c r="G2347" s="2164" t="s">
        <v>25</v>
      </c>
      <c r="H2347" s="2164" t="s">
        <v>30</v>
      </c>
      <c r="I2347" s="2260" t="s">
        <v>110</v>
      </c>
      <c r="J2347" s="2260" t="s">
        <v>3629</v>
      </c>
      <c r="K2347" s="2261">
        <v>72</v>
      </c>
      <c r="L2347" s="2241">
        <v>93500000</v>
      </c>
      <c r="M2347" s="2261">
        <v>36</v>
      </c>
      <c r="N2347" s="2262">
        <v>40223000</v>
      </c>
      <c r="O2347" s="2240">
        <v>12</v>
      </c>
      <c r="P2347" s="2281">
        <v>40170000</v>
      </c>
      <c r="Q2347" s="2261">
        <v>3</v>
      </c>
      <c r="R2347" s="2281">
        <v>1325500</v>
      </c>
      <c r="S2347" s="2261">
        <v>3</v>
      </c>
      <c r="T2347" s="2281">
        <v>1325500</v>
      </c>
      <c r="U2347" s="2240"/>
      <c r="V2347" s="2242"/>
      <c r="W2347" s="2255"/>
      <c r="X2347" s="2241"/>
      <c r="Y2347" s="2240">
        <f t="shared" si="663"/>
        <v>6</v>
      </c>
      <c r="Z2347" s="2241">
        <f t="shared" si="663"/>
        <v>2651000</v>
      </c>
      <c r="AA2347" s="2240">
        <f t="shared" si="664"/>
        <v>42</v>
      </c>
      <c r="AB2347" s="2241">
        <f t="shared" si="664"/>
        <v>42874000</v>
      </c>
      <c r="AC2347" s="2243">
        <f t="shared" si="665"/>
        <v>58.333333333333336</v>
      </c>
      <c r="AD2347" s="2243">
        <f t="shared" si="665"/>
        <v>45.854545454545452</v>
      </c>
      <c r="AE2347" s="2152"/>
      <c r="AF2347" s="2259"/>
      <c r="AG2347" s="2259"/>
      <c r="AH2347" s="2259"/>
      <c r="AI2347" s="2259"/>
      <c r="AJ2347" s="2259"/>
      <c r="AK2347" s="2259"/>
      <c r="AL2347" s="2259"/>
      <c r="AM2347" s="2259"/>
      <c r="AN2347" s="2259"/>
      <c r="AO2347" s="2259"/>
      <c r="AP2347" s="2259"/>
      <c r="AQ2347" s="2259"/>
      <c r="AR2347" s="2259"/>
      <c r="AS2347" s="2259"/>
      <c r="AT2347" s="2259"/>
      <c r="AU2347" s="2259"/>
      <c r="AV2347" s="2259"/>
      <c r="AW2347" s="2259"/>
      <c r="AX2347" s="2259"/>
      <c r="AY2347" s="2259"/>
      <c r="AZ2347" s="2259"/>
      <c r="BA2347" s="2259"/>
      <c r="BB2347" s="2259"/>
      <c r="BC2347" s="2259"/>
      <c r="BD2347" s="2259"/>
      <c r="BE2347" s="2259"/>
      <c r="BF2347" s="2259"/>
      <c r="BG2347" s="2259"/>
      <c r="BH2347" s="2259"/>
      <c r="BI2347" s="2259"/>
      <c r="BJ2347" s="2259"/>
      <c r="BK2347" s="2259"/>
      <c r="BL2347" s="2259"/>
      <c r="BM2347" s="2259"/>
      <c r="BN2347" s="2259"/>
      <c r="BO2347" s="2259"/>
      <c r="BP2347" s="2259"/>
      <c r="BQ2347" s="2259"/>
      <c r="BR2347" s="2259"/>
      <c r="BS2347" s="2259"/>
    </row>
    <row r="2348" spans="1:71" s="2131" customFormat="1" ht="36" customHeight="1">
      <c r="A2348" s="2267"/>
      <c r="B2348" s="2263"/>
      <c r="C2348" s="2254">
        <v>5</v>
      </c>
      <c r="D2348" s="2254" t="s">
        <v>34</v>
      </c>
      <c r="E2348" s="2254" t="s">
        <v>25</v>
      </c>
      <c r="F2348" s="2254" t="s">
        <v>45</v>
      </c>
      <c r="G2348" s="2254" t="s">
        <v>25</v>
      </c>
      <c r="H2348" s="2254" t="s">
        <v>31</v>
      </c>
      <c r="I2348" s="2171" t="s">
        <v>163</v>
      </c>
      <c r="J2348" s="2171" t="s">
        <v>103</v>
      </c>
      <c r="K2348" s="2255">
        <v>72</v>
      </c>
      <c r="L2348" s="2203">
        <v>132600000</v>
      </c>
      <c r="M2348" s="2256">
        <v>36</v>
      </c>
      <c r="N2348" s="2257">
        <v>55533000</v>
      </c>
      <c r="O2348" s="2255">
        <v>12</v>
      </c>
      <c r="P2348" s="2280">
        <v>25439100</v>
      </c>
      <c r="Q2348" s="2256">
        <v>3</v>
      </c>
      <c r="R2348" s="2280">
        <v>5561500</v>
      </c>
      <c r="S2348" s="2256">
        <v>3</v>
      </c>
      <c r="T2348" s="2280">
        <v>5561500</v>
      </c>
      <c r="U2348" s="2255"/>
      <c r="V2348" s="2258"/>
      <c r="W2348" s="2255"/>
      <c r="X2348" s="2203"/>
      <c r="Y2348" s="2255">
        <f t="shared" si="663"/>
        <v>6</v>
      </c>
      <c r="Z2348" s="2203">
        <f t="shared" si="663"/>
        <v>11123000</v>
      </c>
      <c r="AA2348" s="2255">
        <f t="shared" si="664"/>
        <v>42</v>
      </c>
      <c r="AB2348" s="2203">
        <f t="shared" si="664"/>
        <v>66656000</v>
      </c>
      <c r="AC2348" s="2264">
        <f t="shared" si="665"/>
        <v>58.333333333333336</v>
      </c>
      <c r="AD2348" s="2264">
        <f t="shared" si="665"/>
        <v>50.268476621417804</v>
      </c>
      <c r="AE2348" s="2267"/>
    </row>
    <row r="2349" spans="1:71" s="2131" customFormat="1" ht="38.25">
      <c r="A2349" s="2152"/>
      <c r="B2349" s="2253"/>
      <c r="C2349" s="2164">
        <v>5</v>
      </c>
      <c r="D2349" s="2164" t="s">
        <v>34</v>
      </c>
      <c r="E2349" s="2164" t="s">
        <v>25</v>
      </c>
      <c r="F2349" s="2164" t="s">
        <v>45</v>
      </c>
      <c r="G2349" s="2164" t="s">
        <v>25</v>
      </c>
      <c r="H2349" s="2164" t="s">
        <v>62</v>
      </c>
      <c r="I2349" s="2260" t="s">
        <v>155</v>
      </c>
      <c r="J2349" s="2265" t="s">
        <v>3630</v>
      </c>
      <c r="K2349" s="2240">
        <v>72</v>
      </c>
      <c r="L2349" s="2241">
        <v>65400000</v>
      </c>
      <c r="M2349" s="2261">
        <v>36</v>
      </c>
      <c r="N2349" s="2262">
        <v>31044000</v>
      </c>
      <c r="O2349" s="2240">
        <v>12</v>
      </c>
      <c r="P2349" s="2281">
        <v>13180600</v>
      </c>
      <c r="Q2349" s="2261">
        <v>3</v>
      </c>
      <c r="R2349" s="2281">
        <v>2797000</v>
      </c>
      <c r="S2349" s="2261">
        <v>3</v>
      </c>
      <c r="T2349" s="2281">
        <v>2797000</v>
      </c>
      <c r="U2349" s="2240"/>
      <c r="V2349" s="2241"/>
      <c r="W2349" s="2255"/>
      <c r="X2349" s="2241"/>
      <c r="Y2349" s="2240">
        <f t="shared" si="663"/>
        <v>6</v>
      </c>
      <c r="Z2349" s="2241">
        <f t="shared" si="663"/>
        <v>5594000</v>
      </c>
      <c r="AA2349" s="2240">
        <f t="shared" si="664"/>
        <v>42</v>
      </c>
      <c r="AB2349" s="2241">
        <f t="shared" si="664"/>
        <v>36638000</v>
      </c>
      <c r="AC2349" s="2243">
        <f t="shared" si="665"/>
        <v>58.333333333333336</v>
      </c>
      <c r="AD2349" s="2243">
        <f t="shared" si="665"/>
        <v>56.021406727828747</v>
      </c>
      <c r="AE2349" s="2152"/>
    </row>
    <row r="2350" spans="1:71" s="2131" customFormat="1" ht="54" customHeight="1">
      <c r="A2350" s="2152"/>
      <c r="B2350" s="2253"/>
      <c r="C2350" s="2164">
        <v>5</v>
      </c>
      <c r="D2350" s="2164" t="s">
        <v>34</v>
      </c>
      <c r="E2350" s="2164" t="s">
        <v>25</v>
      </c>
      <c r="F2350" s="2164" t="s">
        <v>45</v>
      </c>
      <c r="G2350" s="2164" t="s">
        <v>25</v>
      </c>
      <c r="H2350" s="2164" t="s">
        <v>52</v>
      </c>
      <c r="I2350" s="2260" t="s">
        <v>3687</v>
      </c>
      <c r="J2350" s="2260" t="s">
        <v>3631</v>
      </c>
      <c r="K2350" s="2240">
        <v>72</v>
      </c>
      <c r="L2350" s="2241">
        <v>15000000</v>
      </c>
      <c r="M2350" s="2261">
        <v>36</v>
      </c>
      <c r="N2350" s="2262">
        <v>5947000</v>
      </c>
      <c r="O2350" s="2240">
        <v>12</v>
      </c>
      <c r="P2350" s="2281">
        <v>1928000</v>
      </c>
      <c r="Q2350" s="2261">
        <v>3</v>
      </c>
      <c r="R2350" s="2281">
        <v>242000</v>
      </c>
      <c r="S2350" s="2261">
        <v>3</v>
      </c>
      <c r="T2350" s="2281">
        <v>242000</v>
      </c>
      <c r="U2350" s="2240"/>
      <c r="V2350" s="2242"/>
      <c r="W2350" s="2255"/>
      <c r="X2350" s="2241"/>
      <c r="Y2350" s="2240">
        <f t="shared" si="663"/>
        <v>6</v>
      </c>
      <c r="Z2350" s="2241">
        <f t="shared" si="663"/>
        <v>484000</v>
      </c>
      <c r="AA2350" s="2240">
        <f t="shared" si="664"/>
        <v>42</v>
      </c>
      <c r="AB2350" s="2241">
        <f t="shared" si="664"/>
        <v>6431000</v>
      </c>
      <c r="AC2350" s="2243">
        <f t="shared" si="665"/>
        <v>58.333333333333336</v>
      </c>
      <c r="AD2350" s="2243">
        <f t="shared" si="665"/>
        <v>42.873333333333335</v>
      </c>
      <c r="AE2350" s="2152"/>
    </row>
    <row r="2351" spans="1:71" s="2131" customFormat="1" ht="70.5" customHeight="1">
      <c r="A2351" s="2267"/>
      <c r="B2351" s="2253"/>
      <c r="C2351" s="2164">
        <v>5</v>
      </c>
      <c r="D2351" s="2164" t="s">
        <v>34</v>
      </c>
      <c r="E2351" s="2164" t="s">
        <v>25</v>
      </c>
      <c r="F2351" s="2164" t="s">
        <v>45</v>
      </c>
      <c r="G2351" s="2164" t="s">
        <v>25</v>
      </c>
      <c r="H2351" s="2254" t="s">
        <v>45</v>
      </c>
      <c r="I2351" s="2171" t="s">
        <v>3688</v>
      </c>
      <c r="J2351" s="2171" t="s">
        <v>3632</v>
      </c>
      <c r="K2351" s="2255">
        <v>72</v>
      </c>
      <c r="L2351" s="2203">
        <v>20130000</v>
      </c>
      <c r="M2351" s="2256">
        <v>36</v>
      </c>
      <c r="N2351" s="2257">
        <v>8520000</v>
      </c>
      <c r="O2351" s="2255">
        <v>12</v>
      </c>
      <c r="P2351" s="2280">
        <v>2880000</v>
      </c>
      <c r="Q2351" s="2256">
        <v>3</v>
      </c>
      <c r="R2351" s="2280">
        <v>480000</v>
      </c>
      <c r="S2351" s="2256">
        <v>3</v>
      </c>
      <c r="T2351" s="2280">
        <v>480000</v>
      </c>
      <c r="U2351" s="2255"/>
      <c r="V2351" s="2258"/>
      <c r="W2351" s="2255"/>
      <c r="X2351" s="2203"/>
      <c r="Y2351" s="2240">
        <f t="shared" si="663"/>
        <v>6</v>
      </c>
      <c r="Z2351" s="2203">
        <f t="shared" si="663"/>
        <v>960000</v>
      </c>
      <c r="AA2351" s="2240">
        <f t="shared" si="664"/>
        <v>42</v>
      </c>
      <c r="AB2351" s="2203">
        <f t="shared" si="664"/>
        <v>9480000</v>
      </c>
      <c r="AC2351" s="2243">
        <f t="shared" si="665"/>
        <v>58.333333333333336</v>
      </c>
      <c r="AD2351" s="2243">
        <f t="shared" si="665"/>
        <v>47.093889716840536</v>
      </c>
      <c r="AE2351" s="2267"/>
    </row>
    <row r="2352" spans="1:71" s="2131" customFormat="1" ht="46.5" customHeight="1">
      <c r="A2352" s="2152"/>
      <c r="B2352" s="2253"/>
      <c r="C2352" s="2164">
        <v>5</v>
      </c>
      <c r="D2352" s="2164" t="s">
        <v>34</v>
      </c>
      <c r="E2352" s="2164" t="s">
        <v>25</v>
      </c>
      <c r="F2352" s="2164" t="s">
        <v>45</v>
      </c>
      <c r="G2352" s="2164" t="s">
        <v>25</v>
      </c>
      <c r="H2352" s="2164" t="s">
        <v>74</v>
      </c>
      <c r="I2352" s="2260" t="s">
        <v>167</v>
      </c>
      <c r="J2352" s="2265" t="s">
        <v>3633</v>
      </c>
      <c r="K2352" s="2240">
        <v>72</v>
      </c>
      <c r="L2352" s="2241">
        <v>196500000</v>
      </c>
      <c r="M2352" s="2261">
        <v>36</v>
      </c>
      <c r="N2352" s="2262">
        <v>81575000</v>
      </c>
      <c r="O2352" s="2240">
        <v>12</v>
      </c>
      <c r="P2352" s="2281">
        <v>47300000</v>
      </c>
      <c r="Q2352" s="2261">
        <v>3</v>
      </c>
      <c r="R2352" s="2281">
        <v>2612500</v>
      </c>
      <c r="S2352" s="2261">
        <v>3</v>
      </c>
      <c r="T2352" s="2281">
        <v>2612500</v>
      </c>
      <c r="U2352" s="2240"/>
      <c r="V2352" s="2242"/>
      <c r="W2352" s="2255"/>
      <c r="X2352" s="2241"/>
      <c r="Y2352" s="2240">
        <f t="shared" si="663"/>
        <v>6</v>
      </c>
      <c r="Z2352" s="2241">
        <f t="shared" si="663"/>
        <v>5225000</v>
      </c>
      <c r="AA2352" s="2240">
        <f t="shared" si="664"/>
        <v>42</v>
      </c>
      <c r="AB2352" s="2241">
        <f t="shared" si="664"/>
        <v>86800000</v>
      </c>
      <c r="AC2352" s="2243">
        <f t="shared" si="665"/>
        <v>58.333333333333336</v>
      </c>
      <c r="AD2352" s="2243">
        <f t="shared" si="665"/>
        <v>44.173027989821882</v>
      </c>
      <c r="AE2352" s="2152"/>
    </row>
    <row r="2353" spans="1:71" s="2131" customFormat="1" ht="57.75" customHeight="1">
      <c r="A2353" s="2152"/>
      <c r="B2353" s="2253"/>
      <c r="C2353" s="2164">
        <v>5</v>
      </c>
      <c r="D2353" s="2164" t="s">
        <v>34</v>
      </c>
      <c r="E2353" s="2164" t="s">
        <v>25</v>
      </c>
      <c r="F2353" s="2164" t="s">
        <v>45</v>
      </c>
      <c r="G2353" s="2164" t="s">
        <v>25</v>
      </c>
      <c r="H2353" s="2164" t="s">
        <v>44</v>
      </c>
      <c r="I2353" s="2260" t="s">
        <v>233</v>
      </c>
      <c r="J2353" s="2260" t="s">
        <v>3634</v>
      </c>
      <c r="K2353" s="2240">
        <v>72</v>
      </c>
      <c r="L2353" s="2241">
        <v>195000000</v>
      </c>
      <c r="M2353" s="2261">
        <v>36</v>
      </c>
      <c r="N2353" s="2262">
        <v>91143000</v>
      </c>
      <c r="O2353" s="2282">
        <v>12</v>
      </c>
      <c r="P2353" s="2283">
        <v>19400000</v>
      </c>
      <c r="Q2353" s="2284">
        <v>3</v>
      </c>
      <c r="R2353" s="2283">
        <v>1350000</v>
      </c>
      <c r="S2353" s="2284">
        <v>3</v>
      </c>
      <c r="T2353" s="2283">
        <v>1350000</v>
      </c>
      <c r="U2353" s="2240"/>
      <c r="V2353" s="2242"/>
      <c r="W2353" s="2255"/>
      <c r="X2353" s="2241"/>
      <c r="Y2353" s="2240">
        <f t="shared" si="663"/>
        <v>6</v>
      </c>
      <c r="Z2353" s="2241">
        <f t="shared" si="663"/>
        <v>2700000</v>
      </c>
      <c r="AA2353" s="2240">
        <f t="shared" si="664"/>
        <v>42</v>
      </c>
      <c r="AB2353" s="2241">
        <f t="shared" si="664"/>
        <v>93843000</v>
      </c>
      <c r="AC2353" s="2243">
        <f t="shared" si="665"/>
        <v>58.333333333333336</v>
      </c>
      <c r="AD2353" s="2243">
        <f t="shared" si="665"/>
        <v>48.124615384615382</v>
      </c>
      <c r="AE2353" s="2152"/>
    </row>
    <row r="2354" spans="1:71" s="2131" customFormat="1" ht="54.75" customHeight="1">
      <c r="A2354" s="2267"/>
      <c r="B2354" s="2253"/>
      <c r="C2354" s="2164">
        <v>5</v>
      </c>
      <c r="D2354" s="2164" t="s">
        <v>34</v>
      </c>
      <c r="E2354" s="2164" t="s">
        <v>25</v>
      </c>
      <c r="F2354" s="2164" t="s">
        <v>45</v>
      </c>
      <c r="G2354" s="2164" t="s">
        <v>25</v>
      </c>
      <c r="H2354" s="2254" t="s">
        <v>54</v>
      </c>
      <c r="I2354" s="2171" t="s">
        <v>3689</v>
      </c>
      <c r="J2354" s="2171" t="s">
        <v>3635</v>
      </c>
      <c r="K2354" s="2255">
        <v>72</v>
      </c>
      <c r="L2354" s="2203">
        <v>294700000</v>
      </c>
      <c r="M2354" s="2256">
        <v>36</v>
      </c>
      <c r="N2354" s="2257">
        <v>130930000</v>
      </c>
      <c r="O2354" s="2285">
        <v>12</v>
      </c>
      <c r="P2354" s="2286">
        <v>43100000</v>
      </c>
      <c r="Q2354" s="2287">
        <v>3</v>
      </c>
      <c r="R2354" s="2288">
        <v>0</v>
      </c>
      <c r="S2354" s="2287">
        <v>3</v>
      </c>
      <c r="T2354" s="2288">
        <v>0</v>
      </c>
      <c r="U2354" s="2255"/>
      <c r="V2354" s="2258"/>
      <c r="W2354" s="2255"/>
      <c r="X2354" s="2203"/>
      <c r="Y2354" s="2240">
        <f t="shared" si="663"/>
        <v>6</v>
      </c>
      <c r="Z2354" s="2203">
        <f t="shared" si="663"/>
        <v>0</v>
      </c>
      <c r="AA2354" s="2240">
        <f t="shared" si="664"/>
        <v>42</v>
      </c>
      <c r="AB2354" s="2203">
        <f t="shared" si="664"/>
        <v>130930000</v>
      </c>
      <c r="AC2354" s="2243">
        <f t="shared" si="665"/>
        <v>58.333333333333336</v>
      </c>
      <c r="AD2354" s="2243">
        <f t="shared" si="665"/>
        <v>44.428232100441129</v>
      </c>
      <c r="AE2354" s="2267"/>
    </row>
    <row r="2355" spans="1:71" s="2131" customFormat="1" ht="58.5" customHeight="1">
      <c r="A2355" s="2267"/>
      <c r="B2355" s="2253"/>
      <c r="C2355" s="2164">
        <v>5</v>
      </c>
      <c r="D2355" s="2164" t="s">
        <v>34</v>
      </c>
      <c r="E2355" s="2164" t="s">
        <v>25</v>
      </c>
      <c r="F2355" s="2164" t="s">
        <v>45</v>
      </c>
      <c r="G2355" s="2164" t="s">
        <v>25</v>
      </c>
      <c r="H2355" s="2254" t="s">
        <v>54</v>
      </c>
      <c r="I2355" s="2171" t="s">
        <v>3774</v>
      </c>
      <c r="J2355" s="2171" t="s">
        <v>4013</v>
      </c>
      <c r="K2355" s="2255"/>
      <c r="L2355" s="2203"/>
      <c r="M2355" s="2256"/>
      <c r="N2355" s="2257"/>
      <c r="O2355" s="2285"/>
      <c r="P2355" s="2289">
        <v>7721000</v>
      </c>
      <c r="Q2355" s="2287"/>
      <c r="R2355" s="2701">
        <v>970000</v>
      </c>
      <c r="S2355" s="2256"/>
      <c r="T2355" s="2701">
        <v>970000</v>
      </c>
      <c r="U2355" s="2255"/>
      <c r="V2355" s="2258"/>
      <c r="W2355" s="2255"/>
      <c r="X2355" s="2203"/>
      <c r="Y2355" s="2240"/>
      <c r="Z2355" s="2203">
        <f t="shared" si="663"/>
        <v>1940000</v>
      </c>
      <c r="AA2355" s="2240"/>
      <c r="AB2355" s="2203"/>
      <c r="AC2355" s="2243"/>
      <c r="AD2355" s="2243"/>
      <c r="AE2355" s="2267"/>
    </row>
    <row r="2356" spans="1:71" s="2131" customFormat="1" ht="73.5" customHeight="1">
      <c r="A2356" s="2140">
        <v>2</v>
      </c>
      <c r="B2356" s="2194"/>
      <c r="C2356" s="2142">
        <v>5</v>
      </c>
      <c r="D2356" s="2142" t="s">
        <v>34</v>
      </c>
      <c r="E2356" s="2142" t="s">
        <v>25</v>
      </c>
      <c r="F2356" s="2142" t="s">
        <v>45</v>
      </c>
      <c r="G2356" s="2142" t="s">
        <v>28</v>
      </c>
      <c r="H2356" s="2140"/>
      <c r="I2356" s="2143" t="s">
        <v>3636</v>
      </c>
      <c r="J2356" s="2143" t="s">
        <v>3531</v>
      </c>
      <c r="K2356" s="2144">
        <v>72</v>
      </c>
      <c r="L2356" s="2145">
        <f>SUM(L2357:L2360)</f>
        <v>328106000</v>
      </c>
      <c r="M2356" s="2144">
        <v>36</v>
      </c>
      <c r="N2356" s="2145">
        <f>SUM(N2357:N2360)</f>
        <v>147827000</v>
      </c>
      <c r="O2356" s="2144">
        <v>12</v>
      </c>
      <c r="P2356" s="2145">
        <f>SUM(P2357:P2360)</f>
        <v>72470000</v>
      </c>
      <c r="Q2356" s="2144">
        <v>3</v>
      </c>
      <c r="R2356" s="2537">
        <f>SUM(R2357:R2360)</f>
        <v>4135000</v>
      </c>
      <c r="S2356" s="2144">
        <v>3</v>
      </c>
      <c r="T2356" s="2537">
        <f>SUM(T2357:T2360)</f>
        <v>4135000</v>
      </c>
      <c r="U2356" s="2144"/>
      <c r="V2356" s="2145">
        <f>SUM(V2357:V2360)</f>
        <v>0</v>
      </c>
      <c r="W2356" s="2144"/>
      <c r="X2356" s="2145">
        <f>SUM(X2357:X2360)</f>
        <v>0</v>
      </c>
      <c r="Y2356" s="2144">
        <f t="shared" si="663"/>
        <v>6</v>
      </c>
      <c r="Z2356" s="2145">
        <f t="shared" si="663"/>
        <v>8270000</v>
      </c>
      <c r="AA2356" s="2144">
        <f t="shared" si="664"/>
        <v>42</v>
      </c>
      <c r="AB2356" s="2145">
        <f t="shared" si="664"/>
        <v>156097000</v>
      </c>
      <c r="AC2356" s="2147">
        <f t="shared" si="665"/>
        <v>58.333333333333336</v>
      </c>
      <c r="AD2356" s="2147">
        <f t="shared" si="665"/>
        <v>47.575173876734958</v>
      </c>
      <c r="AE2356" s="2140" t="s">
        <v>3773</v>
      </c>
    </row>
    <row r="2357" spans="1:71" s="2131" customFormat="1" ht="48.75" customHeight="1">
      <c r="A2357" s="2267"/>
      <c r="B2357" s="2253"/>
      <c r="C2357" s="2164">
        <v>5</v>
      </c>
      <c r="D2357" s="2164" t="s">
        <v>34</v>
      </c>
      <c r="E2357" s="2164" t="s">
        <v>25</v>
      </c>
      <c r="F2357" s="2164" t="s">
        <v>45</v>
      </c>
      <c r="G2357" s="2164" t="s">
        <v>28</v>
      </c>
      <c r="H2357" s="2164" t="s">
        <v>61</v>
      </c>
      <c r="I2357" s="2171" t="s">
        <v>3775</v>
      </c>
      <c r="J2357" s="2171" t="s">
        <v>3776</v>
      </c>
      <c r="K2357" s="2255">
        <v>6</v>
      </c>
      <c r="L2357" s="2203">
        <v>27000000</v>
      </c>
      <c r="M2357" s="2256">
        <v>3</v>
      </c>
      <c r="N2357" s="2257">
        <v>13125000</v>
      </c>
      <c r="O2357" s="2255">
        <v>0</v>
      </c>
      <c r="P2357" s="2258">
        <v>3500000</v>
      </c>
      <c r="Q2357" s="2256">
        <v>1</v>
      </c>
      <c r="R2357" s="2203"/>
      <c r="S2357" s="2256">
        <v>1</v>
      </c>
      <c r="T2357" s="2203"/>
      <c r="U2357" s="2255"/>
      <c r="V2357" s="2258"/>
      <c r="W2357" s="2255"/>
      <c r="X2357" s="2203"/>
      <c r="Y2357" s="2240">
        <f t="shared" si="663"/>
        <v>2</v>
      </c>
      <c r="Z2357" s="2203">
        <f t="shared" si="663"/>
        <v>0</v>
      </c>
      <c r="AA2357" s="2240">
        <f t="shared" si="664"/>
        <v>5</v>
      </c>
      <c r="AB2357" s="2203">
        <f t="shared" si="664"/>
        <v>13125000</v>
      </c>
      <c r="AC2357" s="2243">
        <f t="shared" si="665"/>
        <v>83.333333333333343</v>
      </c>
      <c r="AD2357" s="2243">
        <f t="shared" si="665"/>
        <v>48.611111111111107</v>
      </c>
      <c r="AE2357" s="2267"/>
    </row>
    <row r="2358" spans="1:71" s="2131" customFormat="1" ht="48.75" customHeight="1">
      <c r="A2358" s="2267"/>
      <c r="B2358" s="2253"/>
      <c r="C2358" s="2164">
        <v>5</v>
      </c>
      <c r="D2358" s="2164" t="s">
        <v>34</v>
      </c>
      <c r="E2358" s="2164" t="s">
        <v>25</v>
      </c>
      <c r="F2358" s="2164" t="s">
        <v>45</v>
      </c>
      <c r="G2358" s="2164" t="s">
        <v>28</v>
      </c>
      <c r="H2358" s="2164" t="s">
        <v>61</v>
      </c>
      <c r="I2358" s="2171" t="s">
        <v>134</v>
      </c>
      <c r="J2358" s="2171" t="s">
        <v>3695</v>
      </c>
      <c r="K2358" s="2255">
        <v>6</v>
      </c>
      <c r="L2358" s="2203">
        <v>27000000</v>
      </c>
      <c r="M2358" s="2256">
        <v>3</v>
      </c>
      <c r="N2358" s="2257">
        <v>16125000</v>
      </c>
      <c r="O2358" s="2255">
        <v>1</v>
      </c>
      <c r="P2358" s="2258">
        <v>23000000</v>
      </c>
      <c r="Q2358" s="2256">
        <v>1</v>
      </c>
      <c r="R2358" s="2203">
        <v>500000</v>
      </c>
      <c r="S2358" s="2256">
        <v>1</v>
      </c>
      <c r="T2358" s="2203">
        <v>500000</v>
      </c>
      <c r="U2358" s="2255"/>
      <c r="V2358" s="2258"/>
      <c r="W2358" s="2255"/>
      <c r="X2358" s="2203"/>
      <c r="Y2358" s="2240">
        <f t="shared" si="663"/>
        <v>2</v>
      </c>
      <c r="Z2358" s="2203">
        <f t="shared" si="663"/>
        <v>1000000</v>
      </c>
      <c r="AA2358" s="2240">
        <f t="shared" si="664"/>
        <v>5</v>
      </c>
      <c r="AB2358" s="2203">
        <f t="shared" si="664"/>
        <v>17125000</v>
      </c>
      <c r="AC2358" s="2243">
        <f t="shared" si="665"/>
        <v>83.333333333333343</v>
      </c>
      <c r="AD2358" s="2243">
        <f t="shared" si="665"/>
        <v>63.425925925925931</v>
      </c>
      <c r="AE2358" s="2267"/>
    </row>
    <row r="2359" spans="1:71" s="2131" customFormat="1" ht="51">
      <c r="A2359" s="2267"/>
      <c r="B2359" s="2253"/>
      <c r="C2359" s="2164">
        <v>5</v>
      </c>
      <c r="D2359" s="2164" t="s">
        <v>34</v>
      </c>
      <c r="E2359" s="2164" t="s">
        <v>25</v>
      </c>
      <c r="F2359" s="2164" t="s">
        <v>45</v>
      </c>
      <c r="G2359" s="2164" t="s">
        <v>28</v>
      </c>
      <c r="H2359" s="2164" t="s">
        <v>84</v>
      </c>
      <c r="I2359" s="2171" t="s">
        <v>239</v>
      </c>
      <c r="J2359" s="2171" t="s">
        <v>3777</v>
      </c>
      <c r="K2359" s="2255">
        <v>24</v>
      </c>
      <c r="L2359" s="2203">
        <v>247106000</v>
      </c>
      <c r="M2359" s="2256">
        <v>9</v>
      </c>
      <c r="N2359" s="2257">
        <v>111997000</v>
      </c>
      <c r="O2359" s="2255">
        <v>4</v>
      </c>
      <c r="P2359" s="2258">
        <v>41070000</v>
      </c>
      <c r="Q2359" s="2256">
        <v>1</v>
      </c>
      <c r="R2359" s="2203">
        <v>3335000</v>
      </c>
      <c r="S2359" s="2256">
        <v>1</v>
      </c>
      <c r="T2359" s="2203">
        <v>3335000</v>
      </c>
      <c r="U2359" s="2255"/>
      <c r="V2359" s="2258"/>
      <c r="W2359" s="2255"/>
      <c r="X2359" s="2203"/>
      <c r="Y2359" s="2240">
        <f t="shared" si="663"/>
        <v>2</v>
      </c>
      <c r="Z2359" s="2203">
        <f t="shared" si="663"/>
        <v>6670000</v>
      </c>
      <c r="AA2359" s="2240">
        <f t="shared" si="664"/>
        <v>11</v>
      </c>
      <c r="AB2359" s="2203">
        <f t="shared" si="664"/>
        <v>118667000</v>
      </c>
      <c r="AC2359" s="2243">
        <f t="shared" si="665"/>
        <v>45.833333333333329</v>
      </c>
      <c r="AD2359" s="2243">
        <f t="shared" si="665"/>
        <v>48.022710901394547</v>
      </c>
      <c r="AE2359" s="2267"/>
    </row>
    <row r="2360" spans="1:71" s="2131" customFormat="1" ht="54" customHeight="1">
      <c r="A2360" s="2267"/>
      <c r="B2360" s="2253"/>
      <c r="C2360" s="2164">
        <v>5</v>
      </c>
      <c r="D2360" s="2164" t="s">
        <v>34</v>
      </c>
      <c r="E2360" s="2164" t="s">
        <v>25</v>
      </c>
      <c r="F2360" s="2164" t="s">
        <v>45</v>
      </c>
      <c r="G2360" s="2164" t="s">
        <v>28</v>
      </c>
      <c r="H2360" s="2164" t="s">
        <v>50</v>
      </c>
      <c r="I2360" s="2171" t="s">
        <v>3778</v>
      </c>
      <c r="J2360" s="2171" t="s">
        <v>3779</v>
      </c>
      <c r="K2360" s="2255">
        <v>96</v>
      </c>
      <c r="L2360" s="2203">
        <v>27000000</v>
      </c>
      <c r="M2360" s="2256">
        <v>24</v>
      </c>
      <c r="N2360" s="2257">
        <v>6580000</v>
      </c>
      <c r="O2360" s="2255">
        <v>13</v>
      </c>
      <c r="P2360" s="2258">
        <v>4900000</v>
      </c>
      <c r="Q2360" s="2256">
        <v>3</v>
      </c>
      <c r="R2360" s="2203">
        <v>300000</v>
      </c>
      <c r="S2360" s="2256">
        <v>3</v>
      </c>
      <c r="T2360" s="2203">
        <v>300000</v>
      </c>
      <c r="U2360" s="2255"/>
      <c r="V2360" s="2258"/>
      <c r="W2360" s="2255"/>
      <c r="X2360" s="2203"/>
      <c r="Y2360" s="2240">
        <f t="shared" si="663"/>
        <v>6</v>
      </c>
      <c r="Z2360" s="2203">
        <f t="shared" si="663"/>
        <v>600000</v>
      </c>
      <c r="AA2360" s="2240">
        <f t="shared" si="664"/>
        <v>30</v>
      </c>
      <c r="AB2360" s="2203">
        <f t="shared" si="664"/>
        <v>7180000</v>
      </c>
      <c r="AC2360" s="2243">
        <f t="shared" si="665"/>
        <v>31.25</v>
      </c>
      <c r="AD2360" s="2243">
        <f t="shared" si="665"/>
        <v>26.592592592592588</v>
      </c>
      <c r="AE2360" s="2267"/>
    </row>
    <row r="2361" spans="1:71" s="2131" customFormat="1" ht="55.5" customHeight="1">
      <c r="A2361" s="2140">
        <v>3</v>
      </c>
      <c r="B2361" s="2194"/>
      <c r="C2361" s="2142">
        <v>5</v>
      </c>
      <c r="D2361" s="2142" t="s">
        <v>34</v>
      </c>
      <c r="E2361" s="2142" t="s">
        <v>25</v>
      </c>
      <c r="F2361" s="2142" t="s">
        <v>45</v>
      </c>
      <c r="G2361" s="2142" t="s">
        <v>74</v>
      </c>
      <c r="H2361" s="2140"/>
      <c r="I2361" s="2143" t="s">
        <v>3648</v>
      </c>
      <c r="J2361" s="2143" t="s">
        <v>3649</v>
      </c>
      <c r="K2361" s="2144">
        <v>100</v>
      </c>
      <c r="L2361" s="2145">
        <f>L2362</f>
        <v>174225000</v>
      </c>
      <c r="M2361" s="2144">
        <v>50</v>
      </c>
      <c r="N2361" s="2145">
        <f>N2362</f>
        <v>69300000</v>
      </c>
      <c r="O2361" s="2144">
        <v>18</v>
      </c>
      <c r="P2361" s="2145">
        <f>P2362</f>
        <v>28075000</v>
      </c>
      <c r="Q2361" s="2144">
        <v>0</v>
      </c>
      <c r="R2361" s="2145">
        <f>R2362</f>
        <v>0</v>
      </c>
      <c r="S2361" s="2144">
        <v>0</v>
      </c>
      <c r="T2361" s="2145">
        <f>T2362</f>
        <v>0</v>
      </c>
      <c r="U2361" s="2195"/>
      <c r="V2361" s="2145">
        <f>V2362</f>
        <v>0</v>
      </c>
      <c r="W2361" s="2144"/>
      <c r="X2361" s="2145">
        <f>X2362</f>
        <v>0</v>
      </c>
      <c r="Y2361" s="2147">
        <f t="shared" si="663"/>
        <v>0</v>
      </c>
      <c r="Z2361" s="2145">
        <f t="shared" si="663"/>
        <v>0</v>
      </c>
      <c r="AA2361" s="2147">
        <f t="shared" si="664"/>
        <v>50</v>
      </c>
      <c r="AB2361" s="2145">
        <f t="shared" si="664"/>
        <v>69300000</v>
      </c>
      <c r="AC2361" s="2147">
        <f t="shared" si="665"/>
        <v>50</v>
      </c>
      <c r="AD2361" s="2147">
        <f t="shared" si="665"/>
        <v>39.776151528196294</v>
      </c>
      <c r="AE2361" s="2140" t="s">
        <v>3773</v>
      </c>
    </row>
    <row r="2362" spans="1:71" s="2131" customFormat="1" ht="46.5" customHeight="1">
      <c r="A2362" s="2379"/>
      <c r="B2362" s="2162"/>
      <c r="C2362" s="2164">
        <v>5</v>
      </c>
      <c r="D2362" s="2164" t="s">
        <v>34</v>
      </c>
      <c r="E2362" s="2164" t="s">
        <v>25</v>
      </c>
      <c r="F2362" s="2164" t="s">
        <v>45</v>
      </c>
      <c r="G2362" s="2164" t="s">
        <v>74</v>
      </c>
      <c r="H2362" s="2164" t="s">
        <v>56</v>
      </c>
      <c r="I2362" s="2162" t="s">
        <v>3650</v>
      </c>
      <c r="J2362" s="2162" t="s">
        <v>3651</v>
      </c>
      <c r="K2362" s="2166">
        <v>6</v>
      </c>
      <c r="L2362" s="2167">
        <v>174225000</v>
      </c>
      <c r="M2362" s="2166">
        <v>3</v>
      </c>
      <c r="N2362" s="2167">
        <v>69300000</v>
      </c>
      <c r="O2362" s="2166">
        <v>1</v>
      </c>
      <c r="P2362" s="2167">
        <v>28075000</v>
      </c>
      <c r="Q2362" s="2166">
        <v>0</v>
      </c>
      <c r="R2362" s="2167"/>
      <c r="S2362" s="2166">
        <v>0</v>
      </c>
      <c r="T2362" s="2167"/>
      <c r="U2362" s="2166"/>
      <c r="V2362" s="2202"/>
      <c r="W2362" s="2166"/>
      <c r="X2362" s="2167"/>
      <c r="Y2362" s="2166">
        <f t="shared" si="663"/>
        <v>0</v>
      </c>
      <c r="Z2362" s="2203">
        <f t="shared" si="663"/>
        <v>0</v>
      </c>
      <c r="AA2362" s="2166">
        <f t="shared" si="664"/>
        <v>3</v>
      </c>
      <c r="AB2362" s="2203">
        <f t="shared" si="664"/>
        <v>69300000</v>
      </c>
      <c r="AC2362" s="2170">
        <f t="shared" si="665"/>
        <v>50</v>
      </c>
      <c r="AD2362" s="2170">
        <f t="shared" si="665"/>
        <v>39.776151528196294</v>
      </c>
      <c r="AE2362" s="2379"/>
    </row>
    <row r="2363" spans="1:71" s="2131" customFormat="1" ht="77.25" customHeight="1">
      <c r="A2363" s="2140">
        <v>4</v>
      </c>
      <c r="B2363" s="2194"/>
      <c r="C2363" s="2142">
        <v>5</v>
      </c>
      <c r="D2363" s="2142" t="s">
        <v>34</v>
      </c>
      <c r="E2363" s="2142" t="s">
        <v>25</v>
      </c>
      <c r="F2363" s="2142" t="s">
        <v>45</v>
      </c>
      <c r="G2363" s="2142" t="s">
        <v>35</v>
      </c>
      <c r="H2363" s="2142"/>
      <c r="I2363" s="2143" t="s">
        <v>3769</v>
      </c>
      <c r="J2363" s="2143" t="s">
        <v>3743</v>
      </c>
      <c r="K2363" s="2144">
        <v>100</v>
      </c>
      <c r="L2363" s="2145">
        <f>L2364</f>
        <v>30000000</v>
      </c>
      <c r="M2363" s="2144">
        <v>75</v>
      </c>
      <c r="N2363" s="2145">
        <f>N2364</f>
        <v>7305000</v>
      </c>
      <c r="O2363" s="2144">
        <v>15</v>
      </c>
      <c r="P2363" s="2145">
        <f>P2364</f>
        <v>0</v>
      </c>
      <c r="Q2363" s="2144">
        <v>0</v>
      </c>
      <c r="R2363" s="2145">
        <f>R2364</f>
        <v>0</v>
      </c>
      <c r="S2363" s="2144">
        <v>0</v>
      </c>
      <c r="T2363" s="2145">
        <f>T2364</f>
        <v>0</v>
      </c>
      <c r="U2363" s="2144"/>
      <c r="V2363" s="2145">
        <f>V2364</f>
        <v>0</v>
      </c>
      <c r="W2363" s="2144"/>
      <c r="X2363" s="2145">
        <f>X2364</f>
        <v>0</v>
      </c>
      <c r="Y2363" s="2144">
        <f t="shared" si="663"/>
        <v>0</v>
      </c>
      <c r="Z2363" s="2145">
        <f t="shared" si="663"/>
        <v>0</v>
      </c>
      <c r="AA2363" s="2144">
        <f t="shared" si="664"/>
        <v>75</v>
      </c>
      <c r="AB2363" s="2145">
        <f t="shared" si="664"/>
        <v>7305000</v>
      </c>
      <c r="AC2363" s="2147">
        <f t="shared" si="665"/>
        <v>75</v>
      </c>
      <c r="AD2363" s="2147">
        <f t="shared" si="665"/>
        <v>24.349999999999998</v>
      </c>
      <c r="AE2363" s="2140" t="s">
        <v>3773</v>
      </c>
    </row>
    <row r="2364" spans="1:71" s="2131" customFormat="1" ht="46.5" customHeight="1">
      <c r="A2364" s="2152"/>
      <c r="B2364" s="2198"/>
      <c r="C2364" s="2164"/>
      <c r="D2364" s="2164"/>
      <c r="E2364" s="2164"/>
      <c r="F2364" s="2164"/>
      <c r="G2364" s="2164"/>
      <c r="H2364" s="2164">
        <v>21</v>
      </c>
      <c r="I2364" s="2198" t="s">
        <v>3780</v>
      </c>
      <c r="J2364" s="2198" t="s">
        <v>3771</v>
      </c>
      <c r="K2364" s="2240">
        <v>5</v>
      </c>
      <c r="L2364" s="2241">
        <v>30000000</v>
      </c>
      <c r="M2364" s="2240">
        <v>1</v>
      </c>
      <c r="N2364" s="2241">
        <v>7305000</v>
      </c>
      <c r="O2364" s="2240">
        <v>1</v>
      </c>
      <c r="P2364" s="2241"/>
      <c r="Q2364" s="2240">
        <v>0</v>
      </c>
      <c r="R2364" s="2241"/>
      <c r="S2364" s="2240">
        <v>0</v>
      </c>
      <c r="T2364" s="2241"/>
      <c r="U2364" s="2240"/>
      <c r="V2364" s="2242"/>
      <c r="W2364" s="2240"/>
      <c r="X2364" s="2240"/>
      <c r="Y2364" s="2240">
        <f t="shared" si="663"/>
        <v>0</v>
      </c>
      <c r="Z2364" s="2203">
        <f t="shared" si="663"/>
        <v>0</v>
      </c>
      <c r="AA2364" s="2240">
        <f t="shared" si="664"/>
        <v>1</v>
      </c>
      <c r="AB2364" s="2203">
        <f t="shared" si="664"/>
        <v>7305000</v>
      </c>
      <c r="AC2364" s="2243">
        <f t="shared" si="665"/>
        <v>20</v>
      </c>
      <c r="AD2364" s="2240">
        <f t="shared" si="665"/>
        <v>24.349999999999998</v>
      </c>
      <c r="AE2364" s="2152"/>
    </row>
    <row r="2365" spans="1:71" s="2131" customFormat="1" ht="48.75" customHeight="1">
      <c r="A2365" s="2140">
        <v>5</v>
      </c>
      <c r="B2365" s="2194"/>
      <c r="C2365" s="2142">
        <v>5</v>
      </c>
      <c r="D2365" s="2142" t="s">
        <v>34</v>
      </c>
      <c r="E2365" s="2142" t="s">
        <v>25</v>
      </c>
      <c r="F2365" s="2142" t="s">
        <v>45</v>
      </c>
      <c r="G2365" s="2142" t="s">
        <v>35</v>
      </c>
      <c r="H2365" s="2140"/>
      <c r="I2365" s="2143" t="s">
        <v>3570</v>
      </c>
      <c r="J2365" s="2143" t="s">
        <v>3571</v>
      </c>
      <c r="K2365" s="2144">
        <v>70</v>
      </c>
      <c r="L2365" s="2145">
        <f>L2366</f>
        <v>240000000</v>
      </c>
      <c r="M2365" s="2144">
        <v>48</v>
      </c>
      <c r="N2365" s="2145">
        <f>N2366</f>
        <v>122000000</v>
      </c>
      <c r="O2365" s="2144">
        <v>18</v>
      </c>
      <c r="P2365" s="2145">
        <f>P2366</f>
        <v>0</v>
      </c>
      <c r="Q2365" s="2144">
        <v>0</v>
      </c>
      <c r="R2365" s="2145">
        <f>R2366</f>
        <v>0</v>
      </c>
      <c r="S2365" s="2144">
        <v>0</v>
      </c>
      <c r="T2365" s="2145">
        <f>T2366</f>
        <v>0</v>
      </c>
      <c r="U2365" s="2195"/>
      <c r="V2365" s="2146">
        <f>V2366</f>
        <v>0</v>
      </c>
      <c r="W2365" s="2144"/>
      <c r="X2365" s="2146">
        <f>X2366</f>
        <v>0</v>
      </c>
      <c r="Y2365" s="2195">
        <f t="shared" si="663"/>
        <v>0</v>
      </c>
      <c r="Z2365" s="2145">
        <f t="shared" si="663"/>
        <v>0</v>
      </c>
      <c r="AA2365" s="2147">
        <f t="shared" si="664"/>
        <v>48</v>
      </c>
      <c r="AB2365" s="2145">
        <f t="shared" si="664"/>
        <v>122000000</v>
      </c>
      <c r="AC2365" s="2147">
        <f t="shared" si="665"/>
        <v>68.571428571428569</v>
      </c>
      <c r="AD2365" s="2147">
        <f t="shared" si="665"/>
        <v>50.833333333333329</v>
      </c>
      <c r="AE2365" s="2140" t="s">
        <v>3593</v>
      </c>
      <c r="AF2365" s="2270"/>
      <c r="AG2365" s="2270"/>
      <c r="AH2365" s="2270"/>
      <c r="AI2365" s="2270"/>
      <c r="AJ2365" s="2270"/>
      <c r="AK2365" s="2270"/>
      <c r="AL2365" s="2270"/>
      <c r="AM2365" s="2270"/>
      <c r="AN2365" s="2270"/>
      <c r="AO2365" s="2270"/>
      <c r="AP2365" s="2270"/>
      <c r="AQ2365" s="2270"/>
      <c r="AR2365" s="2270"/>
      <c r="AS2365" s="2270"/>
      <c r="AT2365" s="2270"/>
      <c r="AU2365" s="2270"/>
      <c r="AV2365" s="2270"/>
      <c r="AW2365" s="2270"/>
      <c r="AX2365" s="2270"/>
      <c r="AY2365" s="2270"/>
      <c r="AZ2365" s="2270"/>
      <c r="BA2365" s="2270"/>
      <c r="BB2365" s="2270"/>
      <c r="BC2365" s="2270"/>
      <c r="BD2365" s="2270"/>
      <c r="BE2365" s="2270"/>
      <c r="BF2365" s="2270"/>
      <c r="BG2365" s="2270"/>
      <c r="BH2365" s="2270"/>
      <c r="BI2365" s="2270"/>
      <c r="BJ2365" s="2270"/>
      <c r="BK2365" s="2270"/>
      <c r="BL2365" s="2270"/>
      <c r="BM2365" s="2270"/>
      <c r="BN2365" s="2270"/>
      <c r="BO2365" s="2270"/>
      <c r="BP2365" s="2270"/>
      <c r="BQ2365" s="2270"/>
      <c r="BR2365" s="2270"/>
      <c r="BS2365" s="2270"/>
    </row>
    <row r="2366" spans="1:71" s="2131" customFormat="1" ht="56.25" customHeight="1">
      <c r="A2366" s="2379"/>
      <c r="B2366" s="2162"/>
      <c r="C2366" s="2164">
        <v>5</v>
      </c>
      <c r="D2366" s="2164" t="s">
        <v>34</v>
      </c>
      <c r="E2366" s="2164" t="s">
        <v>25</v>
      </c>
      <c r="F2366" s="2164" t="s">
        <v>45</v>
      </c>
      <c r="G2366" s="2164" t="s">
        <v>35</v>
      </c>
      <c r="H2366" s="2151" t="s">
        <v>25</v>
      </c>
      <c r="I2366" s="2162" t="s">
        <v>3659</v>
      </c>
      <c r="J2366" s="2162" t="s">
        <v>3574</v>
      </c>
      <c r="K2366" s="2166">
        <v>6</v>
      </c>
      <c r="L2366" s="2167">
        <v>240000000</v>
      </c>
      <c r="M2366" s="2166">
        <v>3</v>
      </c>
      <c r="N2366" s="2167">
        <v>122000000</v>
      </c>
      <c r="O2366" s="2166">
        <v>1</v>
      </c>
      <c r="P2366" s="2167"/>
      <c r="Q2366" s="2166">
        <v>0</v>
      </c>
      <c r="R2366" s="2167"/>
      <c r="S2366" s="2166">
        <v>0</v>
      </c>
      <c r="T2366" s="2167"/>
      <c r="U2366" s="2166"/>
      <c r="V2366" s="2202"/>
      <c r="W2366" s="2166"/>
      <c r="X2366" s="2167"/>
      <c r="Y2366" s="2166">
        <f t="shared" si="663"/>
        <v>0</v>
      </c>
      <c r="Z2366" s="2203">
        <f t="shared" si="663"/>
        <v>0</v>
      </c>
      <c r="AA2366" s="2166">
        <f t="shared" si="664"/>
        <v>3</v>
      </c>
      <c r="AB2366" s="2203">
        <f t="shared" si="664"/>
        <v>122000000</v>
      </c>
      <c r="AC2366" s="2170">
        <f t="shared" si="665"/>
        <v>50</v>
      </c>
      <c r="AD2366" s="2170">
        <f t="shared" si="665"/>
        <v>50.833333333333329</v>
      </c>
      <c r="AE2366" s="2379"/>
      <c r="AF2366" s="2161"/>
      <c r="AG2366" s="2161"/>
      <c r="AH2366" s="2161"/>
      <c r="AI2366" s="2161"/>
      <c r="AJ2366" s="2161"/>
      <c r="AK2366" s="2161"/>
      <c r="AL2366" s="2161"/>
      <c r="AM2366" s="2161"/>
      <c r="AN2366" s="2161"/>
      <c r="AO2366" s="2161"/>
      <c r="AP2366" s="2161"/>
      <c r="AQ2366" s="2161"/>
      <c r="AR2366" s="2161"/>
      <c r="AS2366" s="2161"/>
      <c r="AT2366" s="2161"/>
      <c r="AU2366" s="2161"/>
      <c r="AV2366" s="2161"/>
      <c r="AW2366" s="2161"/>
      <c r="AX2366" s="2161"/>
      <c r="AY2366" s="2161"/>
      <c r="AZ2366" s="2161"/>
      <c r="BA2366" s="2161"/>
      <c r="BB2366" s="2161"/>
      <c r="BC2366" s="2161"/>
      <c r="BD2366" s="2161"/>
      <c r="BE2366" s="2161"/>
      <c r="BF2366" s="2161"/>
      <c r="BG2366" s="2161"/>
      <c r="BH2366" s="2161"/>
      <c r="BI2366" s="2161"/>
      <c r="BJ2366" s="2161"/>
      <c r="BK2366" s="2161"/>
      <c r="BL2366" s="2161"/>
      <c r="BM2366" s="2161"/>
      <c r="BN2366" s="2161"/>
      <c r="BO2366" s="2161"/>
      <c r="BP2366" s="2161"/>
      <c r="BQ2366" s="2161"/>
      <c r="BR2366" s="2161"/>
      <c r="BS2366" s="2161"/>
    </row>
    <row r="2367" spans="1:71" s="2131" customFormat="1" ht="84.75" customHeight="1">
      <c r="A2367" s="2140">
        <v>6</v>
      </c>
      <c r="B2367" s="2194"/>
      <c r="C2367" s="2142">
        <v>5</v>
      </c>
      <c r="D2367" s="2142" t="s">
        <v>34</v>
      </c>
      <c r="E2367" s="2142" t="s">
        <v>25</v>
      </c>
      <c r="F2367" s="2142" t="s">
        <v>45</v>
      </c>
      <c r="G2367" s="2142" t="s">
        <v>45</v>
      </c>
      <c r="H2367" s="2142"/>
      <c r="I2367" s="2143" t="s">
        <v>3653</v>
      </c>
      <c r="J2367" s="2143" t="s">
        <v>3654</v>
      </c>
      <c r="K2367" s="2144">
        <v>100</v>
      </c>
      <c r="L2367" s="2145">
        <f>L2368</f>
        <v>75310000</v>
      </c>
      <c r="M2367" s="2144">
        <v>50</v>
      </c>
      <c r="N2367" s="2145">
        <f>N2368</f>
        <v>34060000</v>
      </c>
      <c r="O2367" s="2144">
        <v>18</v>
      </c>
      <c r="P2367" s="2145">
        <f>P2368</f>
        <v>0</v>
      </c>
      <c r="Q2367" s="2144">
        <v>0</v>
      </c>
      <c r="R2367" s="2145">
        <f>R2368</f>
        <v>0</v>
      </c>
      <c r="S2367" s="2144">
        <v>0</v>
      </c>
      <c r="T2367" s="2145">
        <f>T2368</f>
        <v>0</v>
      </c>
      <c r="U2367" s="2144"/>
      <c r="V2367" s="2146">
        <f>V2368</f>
        <v>0</v>
      </c>
      <c r="W2367" s="2144"/>
      <c r="X2367" s="2146">
        <f>X2368</f>
        <v>0</v>
      </c>
      <c r="Y2367" s="2144">
        <f t="shared" si="663"/>
        <v>0</v>
      </c>
      <c r="Z2367" s="2145">
        <f t="shared" si="663"/>
        <v>0</v>
      </c>
      <c r="AA2367" s="2144">
        <f t="shared" si="664"/>
        <v>50</v>
      </c>
      <c r="AB2367" s="2145">
        <f t="shared" si="664"/>
        <v>34060000</v>
      </c>
      <c r="AC2367" s="2147">
        <f t="shared" si="665"/>
        <v>50</v>
      </c>
      <c r="AD2367" s="2147">
        <f t="shared" si="665"/>
        <v>45.22639755676537</v>
      </c>
      <c r="AE2367" s="2140" t="s">
        <v>3773</v>
      </c>
      <c r="AF2367" s="2266"/>
      <c r="AG2367" s="2266"/>
      <c r="AH2367" s="2266"/>
      <c r="AI2367" s="2266"/>
      <c r="AJ2367" s="2266"/>
      <c r="AK2367" s="2266"/>
      <c r="AL2367" s="2266"/>
      <c r="AM2367" s="2266"/>
      <c r="AN2367" s="2266"/>
      <c r="AO2367" s="2266"/>
      <c r="AP2367" s="2266"/>
      <c r="AQ2367" s="2266"/>
      <c r="AR2367" s="2266"/>
      <c r="AS2367" s="2266"/>
      <c r="AT2367" s="2266"/>
      <c r="AU2367" s="2266"/>
      <c r="AV2367" s="2266"/>
      <c r="AW2367" s="2266"/>
      <c r="AX2367" s="2266"/>
      <c r="AY2367" s="2266"/>
      <c r="AZ2367" s="2266"/>
      <c r="BA2367" s="2266"/>
      <c r="BB2367" s="2266"/>
      <c r="BC2367" s="2266"/>
      <c r="BD2367" s="2266"/>
      <c r="BE2367" s="2266"/>
      <c r="BF2367" s="2266"/>
      <c r="BG2367" s="2266"/>
      <c r="BH2367" s="2266"/>
      <c r="BI2367" s="2266"/>
      <c r="BJ2367" s="2266"/>
      <c r="BK2367" s="2266"/>
      <c r="BL2367" s="2266"/>
      <c r="BM2367" s="2266"/>
      <c r="BN2367" s="2266"/>
      <c r="BO2367" s="2266"/>
      <c r="BP2367" s="2266"/>
      <c r="BQ2367" s="2266"/>
      <c r="BR2367" s="2266"/>
      <c r="BS2367" s="2266"/>
    </row>
    <row r="2368" spans="1:71" s="2131" customFormat="1" ht="61.5" customHeight="1">
      <c r="A2368" s="2379"/>
      <c r="B2368" s="2162"/>
      <c r="C2368" s="2164">
        <v>5</v>
      </c>
      <c r="D2368" s="2164" t="s">
        <v>34</v>
      </c>
      <c r="E2368" s="2164" t="s">
        <v>25</v>
      </c>
      <c r="F2368" s="2164" t="s">
        <v>45</v>
      </c>
      <c r="G2368" s="2164" t="s">
        <v>45</v>
      </c>
      <c r="H2368" s="2164" t="s">
        <v>31</v>
      </c>
      <c r="I2368" s="2162" t="s">
        <v>3655</v>
      </c>
      <c r="J2368" s="2162" t="s">
        <v>3656</v>
      </c>
      <c r="K2368" s="2166">
        <v>6</v>
      </c>
      <c r="L2368" s="2167">
        <v>75310000</v>
      </c>
      <c r="M2368" s="2166">
        <v>3</v>
      </c>
      <c r="N2368" s="2167">
        <v>34060000</v>
      </c>
      <c r="O2368" s="2166">
        <v>1</v>
      </c>
      <c r="P2368" s="2167"/>
      <c r="Q2368" s="2166">
        <v>0</v>
      </c>
      <c r="R2368" s="2167"/>
      <c r="S2368" s="2166">
        <v>0</v>
      </c>
      <c r="T2368" s="2167"/>
      <c r="U2368" s="2166"/>
      <c r="V2368" s="2202"/>
      <c r="W2368" s="2166"/>
      <c r="X2368" s="2167"/>
      <c r="Y2368" s="2240">
        <f t="shared" si="663"/>
        <v>0</v>
      </c>
      <c r="Z2368" s="2203">
        <f t="shared" si="663"/>
        <v>0</v>
      </c>
      <c r="AA2368" s="2240">
        <f t="shared" si="664"/>
        <v>3</v>
      </c>
      <c r="AB2368" s="2203">
        <f t="shared" si="664"/>
        <v>34060000</v>
      </c>
      <c r="AC2368" s="2243">
        <f t="shared" si="665"/>
        <v>50</v>
      </c>
      <c r="AD2368" s="2243">
        <f t="shared" si="665"/>
        <v>45.22639755676537</v>
      </c>
      <c r="AE2368" s="2379"/>
      <c r="AF2368" s="2259"/>
      <c r="AG2368" s="2259"/>
      <c r="AH2368" s="2259"/>
      <c r="AI2368" s="2259"/>
      <c r="AJ2368" s="2259"/>
      <c r="AK2368" s="2259"/>
      <c r="AL2368" s="2259"/>
      <c r="AM2368" s="2259"/>
      <c r="AN2368" s="2259"/>
      <c r="AO2368" s="2259"/>
      <c r="AP2368" s="2259"/>
      <c r="AQ2368" s="2259"/>
      <c r="AR2368" s="2259"/>
      <c r="AS2368" s="2259"/>
      <c r="AT2368" s="2259"/>
      <c r="AU2368" s="2259"/>
      <c r="AV2368" s="2259"/>
      <c r="AW2368" s="2259"/>
      <c r="AX2368" s="2259"/>
      <c r="AY2368" s="2259"/>
      <c r="AZ2368" s="2259"/>
      <c r="BA2368" s="2259"/>
      <c r="BB2368" s="2259"/>
      <c r="BC2368" s="2259"/>
      <c r="BD2368" s="2259"/>
      <c r="BE2368" s="2259"/>
      <c r="BF2368" s="2259"/>
      <c r="BG2368" s="2259"/>
      <c r="BH2368" s="2259"/>
      <c r="BI2368" s="2259"/>
      <c r="BJ2368" s="2259"/>
      <c r="BK2368" s="2259"/>
      <c r="BL2368" s="2259"/>
      <c r="BM2368" s="2259"/>
      <c r="BN2368" s="2259"/>
      <c r="BO2368" s="2259"/>
      <c r="BP2368" s="2259"/>
      <c r="BQ2368" s="2259"/>
      <c r="BR2368" s="2259"/>
      <c r="BS2368" s="2259"/>
    </row>
    <row r="2369" spans="1:71" s="2131" customFormat="1" ht="60.75" customHeight="1">
      <c r="A2369" s="2140">
        <v>7</v>
      </c>
      <c r="B2369" s="2194"/>
      <c r="C2369" s="2142">
        <v>5</v>
      </c>
      <c r="D2369" s="2142" t="s">
        <v>34</v>
      </c>
      <c r="E2369" s="2142" t="s">
        <v>25</v>
      </c>
      <c r="F2369" s="2142" t="s">
        <v>45</v>
      </c>
      <c r="G2369" s="2142" t="s">
        <v>74</v>
      </c>
      <c r="H2369" s="2142"/>
      <c r="I2369" s="2143" t="s">
        <v>3722</v>
      </c>
      <c r="J2369" s="2143" t="s">
        <v>3723</v>
      </c>
      <c r="K2369" s="2144">
        <v>80</v>
      </c>
      <c r="L2369" s="2145">
        <f>SUM(L2370:L2371)</f>
        <v>200000000</v>
      </c>
      <c r="M2369" s="2144">
        <v>75</v>
      </c>
      <c r="N2369" s="2145">
        <f>SUM(N2370:N2371)</f>
        <v>9440000</v>
      </c>
      <c r="O2369" s="2144">
        <v>15</v>
      </c>
      <c r="P2369" s="2145">
        <f>SUM(P2370:P2371)</f>
        <v>0</v>
      </c>
      <c r="Q2369" s="2144">
        <v>0</v>
      </c>
      <c r="R2369" s="2145">
        <f>SUM(R2370:R2371)</f>
        <v>0</v>
      </c>
      <c r="S2369" s="2144">
        <v>0</v>
      </c>
      <c r="T2369" s="2145">
        <f>SUM(T2370:T2371)</f>
        <v>0</v>
      </c>
      <c r="U2369" s="2144"/>
      <c r="V2369" s="2145">
        <f>SUM(V2370:V2371)</f>
        <v>0</v>
      </c>
      <c r="W2369" s="2144"/>
      <c r="X2369" s="2145">
        <f>SUM(X2370:X2371)</f>
        <v>0</v>
      </c>
      <c r="Y2369" s="2144">
        <f t="shared" si="663"/>
        <v>0</v>
      </c>
      <c r="Z2369" s="2145">
        <f t="shared" si="663"/>
        <v>0</v>
      </c>
      <c r="AA2369" s="2144">
        <f t="shared" si="664"/>
        <v>75</v>
      </c>
      <c r="AB2369" s="2145">
        <f t="shared" si="664"/>
        <v>9440000</v>
      </c>
      <c r="AC2369" s="2147">
        <f t="shared" si="665"/>
        <v>93.75</v>
      </c>
      <c r="AD2369" s="2147">
        <f t="shared" si="665"/>
        <v>4.72</v>
      </c>
      <c r="AE2369" s="2140" t="s">
        <v>3773</v>
      </c>
      <c r="AF2369" s="2266"/>
      <c r="AG2369" s="2266"/>
      <c r="AH2369" s="2266"/>
      <c r="AI2369" s="2266"/>
      <c r="AJ2369" s="2266"/>
      <c r="AK2369" s="2266"/>
      <c r="AL2369" s="2266"/>
      <c r="AM2369" s="2266"/>
      <c r="AN2369" s="2266"/>
      <c r="AO2369" s="2266"/>
      <c r="AP2369" s="2266"/>
      <c r="AQ2369" s="2266"/>
      <c r="AR2369" s="2266"/>
      <c r="AS2369" s="2266"/>
      <c r="AT2369" s="2266"/>
      <c r="AU2369" s="2266"/>
      <c r="AV2369" s="2266"/>
      <c r="AW2369" s="2266"/>
      <c r="AX2369" s="2266"/>
      <c r="AY2369" s="2266"/>
      <c r="AZ2369" s="2266"/>
      <c r="BA2369" s="2266"/>
      <c r="BB2369" s="2266"/>
      <c r="BC2369" s="2266"/>
      <c r="BD2369" s="2266"/>
      <c r="BE2369" s="2266"/>
      <c r="BF2369" s="2266"/>
      <c r="BG2369" s="2266"/>
      <c r="BH2369" s="2266"/>
      <c r="BI2369" s="2266"/>
      <c r="BJ2369" s="2266"/>
      <c r="BK2369" s="2266"/>
      <c r="BL2369" s="2266"/>
      <c r="BM2369" s="2266"/>
      <c r="BN2369" s="2266"/>
      <c r="BO2369" s="2266"/>
      <c r="BP2369" s="2266"/>
      <c r="BQ2369" s="2266"/>
      <c r="BR2369" s="2266"/>
      <c r="BS2369" s="2266"/>
    </row>
    <row r="2370" spans="1:71" s="2131" customFormat="1" ht="63.75">
      <c r="A2370" s="2152"/>
      <c r="B2370" s="2198"/>
      <c r="C2370" s="2164"/>
      <c r="D2370" s="2164"/>
      <c r="E2370" s="2164"/>
      <c r="F2370" s="2164"/>
      <c r="G2370" s="2164"/>
      <c r="H2370" s="2164"/>
      <c r="I2370" s="2183" t="s">
        <v>3562</v>
      </c>
      <c r="J2370" s="2183" t="s">
        <v>3563</v>
      </c>
      <c r="K2370" s="2184">
        <v>36</v>
      </c>
      <c r="L2370" s="2241">
        <v>100000000</v>
      </c>
      <c r="M2370" s="2240">
        <v>16</v>
      </c>
      <c r="N2370" s="2241">
        <v>4670000</v>
      </c>
      <c r="O2370" s="2240">
        <v>6</v>
      </c>
      <c r="P2370" s="2241"/>
      <c r="Q2370" s="2240">
        <v>1</v>
      </c>
      <c r="R2370" s="2241"/>
      <c r="S2370" s="2240">
        <v>1</v>
      </c>
      <c r="T2370" s="2241"/>
      <c r="U2370" s="2241"/>
      <c r="V2370" s="2241"/>
      <c r="W2370" s="2241"/>
      <c r="X2370" s="2241"/>
      <c r="Y2370" s="2240">
        <f t="shared" si="663"/>
        <v>2</v>
      </c>
      <c r="Z2370" s="2203">
        <f t="shared" si="663"/>
        <v>0</v>
      </c>
      <c r="AA2370" s="2240">
        <f t="shared" si="664"/>
        <v>18</v>
      </c>
      <c r="AB2370" s="2203">
        <f t="shared" si="664"/>
        <v>4670000</v>
      </c>
      <c r="AC2370" s="2243">
        <f t="shared" si="665"/>
        <v>50</v>
      </c>
      <c r="AD2370" s="2240">
        <f t="shared" si="665"/>
        <v>4.67</v>
      </c>
      <c r="AE2370" s="2152"/>
      <c r="AF2370" s="2259"/>
      <c r="AG2370" s="2259"/>
      <c r="AH2370" s="2259"/>
      <c r="AI2370" s="2259"/>
      <c r="AJ2370" s="2259"/>
      <c r="AK2370" s="2259"/>
      <c r="AL2370" s="2259"/>
      <c r="AM2370" s="2259"/>
      <c r="AN2370" s="2259"/>
      <c r="AO2370" s="2259"/>
      <c r="AP2370" s="2259"/>
      <c r="AQ2370" s="2259"/>
      <c r="AR2370" s="2259"/>
      <c r="AS2370" s="2259"/>
      <c r="AT2370" s="2259"/>
      <c r="AU2370" s="2259"/>
      <c r="AV2370" s="2259"/>
      <c r="AW2370" s="2259"/>
      <c r="AX2370" s="2259"/>
      <c r="AY2370" s="2259"/>
      <c r="AZ2370" s="2259"/>
      <c r="BA2370" s="2259"/>
      <c r="BB2370" s="2259"/>
      <c r="BC2370" s="2259"/>
      <c r="BD2370" s="2259"/>
      <c r="BE2370" s="2259"/>
      <c r="BF2370" s="2259"/>
      <c r="BG2370" s="2259"/>
      <c r="BH2370" s="2259"/>
      <c r="BI2370" s="2259"/>
      <c r="BJ2370" s="2259"/>
      <c r="BK2370" s="2259"/>
      <c r="BL2370" s="2259"/>
      <c r="BM2370" s="2259"/>
      <c r="BN2370" s="2259"/>
      <c r="BO2370" s="2259"/>
      <c r="BP2370" s="2259"/>
      <c r="BQ2370" s="2259"/>
      <c r="BR2370" s="2259"/>
      <c r="BS2370" s="2259"/>
    </row>
    <row r="2371" spans="1:71" s="2131" customFormat="1" ht="109.5" customHeight="1">
      <c r="A2371" s="2152"/>
      <c r="B2371" s="2198"/>
      <c r="C2371" s="2164"/>
      <c r="D2371" s="2164"/>
      <c r="E2371" s="2164"/>
      <c r="F2371" s="2164"/>
      <c r="G2371" s="2164"/>
      <c r="H2371" s="2164"/>
      <c r="I2371" s="2227" t="s">
        <v>85</v>
      </c>
      <c r="J2371" s="2228" t="s">
        <v>3564</v>
      </c>
      <c r="K2371" s="2188">
        <v>24</v>
      </c>
      <c r="L2371" s="2241">
        <v>100000000</v>
      </c>
      <c r="M2371" s="2240">
        <v>12</v>
      </c>
      <c r="N2371" s="2241">
        <v>4770000</v>
      </c>
      <c r="O2371" s="2240">
        <v>4</v>
      </c>
      <c r="P2371" s="2241"/>
      <c r="Q2371" s="2240">
        <v>0</v>
      </c>
      <c r="R2371" s="2241"/>
      <c r="S2371" s="2240">
        <v>0</v>
      </c>
      <c r="T2371" s="2241"/>
      <c r="U2371" s="2241"/>
      <c r="V2371" s="2241"/>
      <c r="W2371" s="2241"/>
      <c r="X2371" s="2241"/>
      <c r="Y2371" s="2240">
        <f t="shared" si="663"/>
        <v>0</v>
      </c>
      <c r="Z2371" s="2203">
        <f t="shared" si="663"/>
        <v>0</v>
      </c>
      <c r="AA2371" s="2240">
        <f t="shared" si="664"/>
        <v>12</v>
      </c>
      <c r="AB2371" s="2203">
        <f t="shared" si="664"/>
        <v>4770000</v>
      </c>
      <c r="AC2371" s="2243">
        <f t="shared" si="665"/>
        <v>50</v>
      </c>
      <c r="AD2371" s="2240">
        <f t="shared" si="665"/>
        <v>4.7699999999999996</v>
      </c>
      <c r="AE2371" s="2152"/>
      <c r="AF2371" s="2259"/>
      <c r="AG2371" s="2259"/>
      <c r="AH2371" s="2259"/>
      <c r="AI2371" s="2259"/>
      <c r="AJ2371" s="2259"/>
      <c r="AK2371" s="2259"/>
      <c r="AL2371" s="2259"/>
      <c r="AM2371" s="2259"/>
      <c r="AN2371" s="2259"/>
      <c r="AO2371" s="2259"/>
      <c r="AP2371" s="2259"/>
      <c r="AQ2371" s="2259"/>
      <c r="AR2371" s="2259"/>
      <c r="AS2371" s="2259"/>
      <c r="AT2371" s="2259"/>
      <c r="AU2371" s="2259"/>
      <c r="AV2371" s="2259"/>
      <c r="AW2371" s="2259"/>
      <c r="AX2371" s="2259"/>
      <c r="AY2371" s="2259"/>
      <c r="AZ2371" s="2259"/>
      <c r="BA2371" s="2259"/>
      <c r="BB2371" s="2259"/>
      <c r="BC2371" s="2259"/>
      <c r="BD2371" s="2259"/>
      <c r="BE2371" s="2259"/>
      <c r="BF2371" s="2259"/>
      <c r="BG2371" s="2259"/>
      <c r="BH2371" s="2259"/>
      <c r="BI2371" s="2259"/>
      <c r="BJ2371" s="2259"/>
      <c r="BK2371" s="2259"/>
      <c r="BL2371" s="2259"/>
      <c r="BM2371" s="2259"/>
      <c r="BN2371" s="2259"/>
      <c r="BO2371" s="2259"/>
      <c r="BP2371" s="2259"/>
      <c r="BQ2371" s="2259"/>
      <c r="BR2371" s="2259"/>
      <c r="BS2371" s="2259"/>
    </row>
    <row r="2372" spans="1:71" s="2131" customFormat="1" ht="104.25" customHeight="1">
      <c r="A2372" s="2140">
        <v>8</v>
      </c>
      <c r="B2372" s="2194"/>
      <c r="C2372" s="2142">
        <v>5</v>
      </c>
      <c r="D2372" s="2142" t="s">
        <v>34</v>
      </c>
      <c r="E2372" s="2142" t="s">
        <v>25</v>
      </c>
      <c r="F2372" s="2142" t="s">
        <v>45</v>
      </c>
      <c r="G2372" s="2142" t="s">
        <v>47</v>
      </c>
      <c r="H2372" s="2140"/>
      <c r="I2372" s="2143" t="s">
        <v>3661</v>
      </c>
      <c r="J2372" s="2143" t="s">
        <v>3662</v>
      </c>
      <c r="K2372" s="2144">
        <v>100</v>
      </c>
      <c r="L2372" s="2145">
        <v>174353840</v>
      </c>
      <c r="M2372" s="2144">
        <v>50</v>
      </c>
      <c r="N2372" s="2145">
        <v>174353840</v>
      </c>
      <c r="O2372" s="2144">
        <v>18</v>
      </c>
      <c r="P2372" s="2145"/>
      <c r="Q2372" s="2144">
        <v>0</v>
      </c>
      <c r="R2372" s="2145"/>
      <c r="S2372" s="2144">
        <v>0</v>
      </c>
      <c r="T2372" s="2145"/>
      <c r="U2372" s="2195">
        <v>0</v>
      </c>
      <c r="V2372" s="2146">
        <v>0</v>
      </c>
      <c r="W2372" s="2144">
        <v>0</v>
      </c>
      <c r="X2372" s="2146">
        <v>0</v>
      </c>
      <c r="Y2372" s="2195">
        <f t="shared" si="663"/>
        <v>0</v>
      </c>
      <c r="Z2372" s="2145">
        <f t="shared" si="663"/>
        <v>0</v>
      </c>
      <c r="AA2372" s="2147">
        <f t="shared" si="664"/>
        <v>50</v>
      </c>
      <c r="AB2372" s="2145">
        <f t="shared" si="664"/>
        <v>174353840</v>
      </c>
      <c r="AC2372" s="2147">
        <f t="shared" si="665"/>
        <v>50</v>
      </c>
      <c r="AD2372" s="2147">
        <f t="shared" si="665"/>
        <v>100</v>
      </c>
      <c r="AE2372" s="2140" t="s">
        <v>3773</v>
      </c>
      <c r="AF2372" s="2270"/>
      <c r="AG2372" s="2270"/>
      <c r="AH2372" s="2270"/>
      <c r="AI2372" s="2270"/>
      <c r="AJ2372" s="2270"/>
      <c r="AK2372" s="2270"/>
      <c r="AL2372" s="2270"/>
      <c r="AM2372" s="2270"/>
      <c r="AN2372" s="2270"/>
      <c r="AO2372" s="2270"/>
      <c r="AP2372" s="2270"/>
      <c r="AQ2372" s="2270"/>
      <c r="AR2372" s="2270"/>
      <c r="AS2372" s="2270"/>
      <c r="AT2372" s="2270"/>
      <c r="AU2372" s="2270"/>
      <c r="AV2372" s="2270"/>
      <c r="AW2372" s="2270"/>
      <c r="AX2372" s="2270"/>
      <c r="AY2372" s="2270"/>
      <c r="AZ2372" s="2270"/>
      <c r="BA2372" s="2270"/>
      <c r="BB2372" s="2270"/>
      <c r="BC2372" s="2270"/>
      <c r="BD2372" s="2270"/>
      <c r="BE2372" s="2270"/>
      <c r="BF2372" s="2270"/>
      <c r="BG2372" s="2270"/>
      <c r="BH2372" s="2270"/>
      <c r="BI2372" s="2270"/>
      <c r="BJ2372" s="2270"/>
      <c r="BK2372" s="2270"/>
      <c r="BL2372" s="2270"/>
      <c r="BM2372" s="2270"/>
      <c r="BN2372" s="2270"/>
      <c r="BO2372" s="2270"/>
      <c r="BP2372" s="2270"/>
      <c r="BQ2372" s="2270"/>
      <c r="BR2372" s="2270"/>
      <c r="BS2372" s="2270"/>
    </row>
    <row r="2373" spans="1:71" s="2131" customFormat="1" ht="73.5" customHeight="1">
      <c r="A2373" s="2379"/>
      <c r="B2373" s="2162"/>
      <c r="C2373" s="2164">
        <v>5</v>
      </c>
      <c r="D2373" s="2164" t="s">
        <v>34</v>
      </c>
      <c r="E2373" s="2164" t="s">
        <v>25</v>
      </c>
      <c r="F2373" s="2164" t="s">
        <v>45</v>
      </c>
      <c r="G2373" s="2164" t="s">
        <v>47</v>
      </c>
      <c r="H2373" s="2151" t="s">
        <v>28</v>
      </c>
      <c r="I2373" s="2162" t="s">
        <v>3703</v>
      </c>
      <c r="J2373" s="2162" t="s">
        <v>3781</v>
      </c>
      <c r="K2373" s="2166">
        <v>60</v>
      </c>
      <c r="L2373" s="2167">
        <v>129353840</v>
      </c>
      <c r="M2373" s="2166">
        <v>30</v>
      </c>
      <c r="N2373" s="2167">
        <v>59830000</v>
      </c>
      <c r="O2373" s="2166">
        <v>10</v>
      </c>
      <c r="P2373" s="2167"/>
      <c r="Q2373" s="2166">
        <v>2</v>
      </c>
      <c r="R2373" s="2167"/>
      <c r="S2373" s="2166">
        <v>2</v>
      </c>
      <c r="T2373" s="2167"/>
      <c r="U2373" s="2166"/>
      <c r="V2373" s="2202"/>
      <c r="W2373" s="2166"/>
      <c r="X2373" s="2167"/>
      <c r="Y2373" s="2166">
        <f t="shared" si="663"/>
        <v>4</v>
      </c>
      <c r="Z2373" s="2203">
        <f t="shared" si="663"/>
        <v>0</v>
      </c>
      <c r="AA2373" s="2166">
        <f t="shared" si="664"/>
        <v>34</v>
      </c>
      <c r="AB2373" s="2203">
        <f t="shared" si="664"/>
        <v>59830000</v>
      </c>
      <c r="AC2373" s="2170">
        <f t="shared" si="665"/>
        <v>56.666666666666664</v>
      </c>
      <c r="AD2373" s="2170">
        <f t="shared" si="665"/>
        <v>46.252975559132999</v>
      </c>
      <c r="AE2373" s="2379"/>
      <c r="AF2373" s="2161"/>
      <c r="AG2373" s="2161"/>
      <c r="AH2373" s="2161"/>
      <c r="AI2373" s="2161"/>
      <c r="AJ2373" s="2161"/>
      <c r="AK2373" s="2161"/>
      <c r="AL2373" s="2161"/>
      <c r="AM2373" s="2161"/>
      <c r="AN2373" s="2161"/>
      <c r="AO2373" s="2161"/>
      <c r="AP2373" s="2161"/>
      <c r="AQ2373" s="2161"/>
      <c r="AR2373" s="2161"/>
      <c r="AS2373" s="2161"/>
      <c r="AT2373" s="2161"/>
      <c r="AU2373" s="2161"/>
      <c r="AV2373" s="2161"/>
      <c r="AW2373" s="2161"/>
      <c r="AX2373" s="2161"/>
      <c r="AY2373" s="2161"/>
      <c r="AZ2373" s="2161"/>
      <c r="BA2373" s="2161"/>
      <c r="BB2373" s="2161"/>
      <c r="BC2373" s="2161"/>
      <c r="BD2373" s="2161"/>
      <c r="BE2373" s="2161"/>
      <c r="BF2373" s="2161"/>
      <c r="BG2373" s="2161"/>
      <c r="BH2373" s="2161"/>
      <c r="BI2373" s="2161"/>
      <c r="BJ2373" s="2161"/>
      <c r="BK2373" s="2161"/>
      <c r="BL2373" s="2161"/>
      <c r="BM2373" s="2161"/>
      <c r="BN2373" s="2161"/>
      <c r="BO2373" s="2161"/>
      <c r="BP2373" s="2161"/>
      <c r="BQ2373" s="2161"/>
      <c r="BR2373" s="2161"/>
      <c r="BS2373" s="2161"/>
    </row>
    <row r="2374" spans="1:71" s="2131" customFormat="1" ht="33.75" customHeight="1">
      <c r="A2374" s="2379"/>
      <c r="B2374" s="2162"/>
      <c r="C2374" s="2164">
        <v>5</v>
      </c>
      <c r="D2374" s="2164" t="s">
        <v>34</v>
      </c>
      <c r="E2374" s="2164" t="s">
        <v>25</v>
      </c>
      <c r="F2374" s="2164" t="s">
        <v>45</v>
      </c>
      <c r="G2374" s="2164" t="s">
        <v>47</v>
      </c>
      <c r="H2374" s="2151" t="s">
        <v>39</v>
      </c>
      <c r="I2374" s="2162" t="s">
        <v>3782</v>
      </c>
      <c r="J2374" s="2162" t="s">
        <v>3731</v>
      </c>
      <c r="K2374" s="2166">
        <v>60</v>
      </c>
      <c r="L2374" s="2167">
        <v>45000000</v>
      </c>
      <c r="M2374" s="2166">
        <v>10</v>
      </c>
      <c r="N2374" s="2167">
        <v>6730000</v>
      </c>
      <c r="O2374" s="2166">
        <v>10</v>
      </c>
      <c r="P2374" s="2167"/>
      <c r="Q2374" s="2166">
        <v>2</v>
      </c>
      <c r="R2374" s="2167"/>
      <c r="S2374" s="2166">
        <v>2</v>
      </c>
      <c r="T2374" s="2167"/>
      <c r="U2374" s="2166"/>
      <c r="V2374" s="2202"/>
      <c r="W2374" s="2166"/>
      <c r="X2374" s="2167"/>
      <c r="Y2374" s="2166">
        <f t="shared" si="663"/>
        <v>4</v>
      </c>
      <c r="Z2374" s="2203">
        <f t="shared" si="663"/>
        <v>0</v>
      </c>
      <c r="AA2374" s="2166">
        <f t="shared" si="664"/>
        <v>14</v>
      </c>
      <c r="AB2374" s="2203">
        <f t="shared" si="664"/>
        <v>6730000</v>
      </c>
      <c r="AC2374" s="2170">
        <f t="shared" si="665"/>
        <v>23.333333333333332</v>
      </c>
      <c r="AD2374" s="2170">
        <f t="shared" si="665"/>
        <v>14.955555555555556</v>
      </c>
      <c r="AE2374" s="2379"/>
      <c r="AF2374" s="2161"/>
      <c r="AG2374" s="2161"/>
      <c r="AH2374" s="2161"/>
      <c r="AI2374" s="2161"/>
      <c r="AJ2374" s="2161"/>
      <c r="AK2374" s="2161"/>
      <c r="AL2374" s="2161"/>
      <c r="AM2374" s="2161"/>
      <c r="AN2374" s="2161"/>
      <c r="AO2374" s="2161"/>
      <c r="AP2374" s="2161"/>
      <c r="AQ2374" s="2161"/>
      <c r="AR2374" s="2161"/>
      <c r="AS2374" s="2161"/>
      <c r="AT2374" s="2161"/>
      <c r="AU2374" s="2161"/>
      <c r="AV2374" s="2161"/>
      <c r="AW2374" s="2161"/>
      <c r="AX2374" s="2161"/>
      <c r="AY2374" s="2161"/>
      <c r="AZ2374" s="2161"/>
      <c r="BA2374" s="2161"/>
      <c r="BB2374" s="2161"/>
      <c r="BC2374" s="2161"/>
      <c r="BD2374" s="2161"/>
      <c r="BE2374" s="2161"/>
      <c r="BF2374" s="2161"/>
      <c r="BG2374" s="2161"/>
      <c r="BH2374" s="2161"/>
      <c r="BI2374" s="2161"/>
      <c r="BJ2374" s="2161"/>
      <c r="BK2374" s="2161"/>
      <c r="BL2374" s="2161"/>
      <c r="BM2374" s="2161"/>
      <c r="BN2374" s="2161"/>
      <c r="BO2374" s="2161"/>
      <c r="BP2374" s="2161"/>
      <c r="BQ2374" s="2161"/>
      <c r="BR2374" s="2161"/>
      <c r="BS2374" s="2161"/>
    </row>
    <row r="2375" spans="1:71" s="2131" customFormat="1" ht="63.75">
      <c r="A2375" s="2140">
        <v>8</v>
      </c>
      <c r="B2375" s="2194"/>
      <c r="C2375" s="2142">
        <v>5</v>
      </c>
      <c r="D2375" s="2142" t="s">
        <v>34</v>
      </c>
      <c r="E2375" s="2142" t="s">
        <v>25</v>
      </c>
      <c r="F2375" s="2142" t="s">
        <v>45</v>
      </c>
      <c r="G2375" s="2142" t="s">
        <v>3667</v>
      </c>
      <c r="H2375" s="2140"/>
      <c r="I2375" s="2143" t="s">
        <v>3668</v>
      </c>
      <c r="J2375" s="2143" t="s">
        <v>3669</v>
      </c>
      <c r="K2375" s="2144">
        <v>100</v>
      </c>
      <c r="L2375" s="2145">
        <f>SUM(L2376:L2381)</f>
        <v>707523000</v>
      </c>
      <c r="M2375" s="2144">
        <v>52</v>
      </c>
      <c r="N2375" s="2145">
        <f>SUM(N2376:N2381)</f>
        <v>271949200</v>
      </c>
      <c r="O2375" s="2144">
        <v>20</v>
      </c>
      <c r="P2375" s="2145">
        <f>SUM(P2376:P2381)</f>
        <v>0</v>
      </c>
      <c r="Q2375" s="2144">
        <v>0</v>
      </c>
      <c r="R2375" s="2145">
        <f>SUM(R2376:R2381)</f>
        <v>0</v>
      </c>
      <c r="S2375" s="2144">
        <v>0</v>
      </c>
      <c r="T2375" s="2145">
        <f>SUM(T2376:T2381)</f>
        <v>0</v>
      </c>
      <c r="U2375" s="2195"/>
      <c r="V2375" s="2145">
        <f>SUM(V2376:V2381)</f>
        <v>0</v>
      </c>
      <c r="W2375" s="2144"/>
      <c r="X2375" s="2145">
        <f>SUM(X2376:X2381)</f>
        <v>0</v>
      </c>
      <c r="Y2375" s="2195">
        <f t="shared" si="663"/>
        <v>0</v>
      </c>
      <c r="Z2375" s="2145">
        <f t="shared" si="663"/>
        <v>0</v>
      </c>
      <c r="AA2375" s="2147">
        <f t="shared" si="664"/>
        <v>52</v>
      </c>
      <c r="AB2375" s="2145">
        <f t="shared" si="664"/>
        <v>271949200</v>
      </c>
      <c r="AC2375" s="2147">
        <f t="shared" si="665"/>
        <v>52</v>
      </c>
      <c r="AD2375" s="2147">
        <f t="shared" si="665"/>
        <v>38.436799934419092</v>
      </c>
      <c r="AE2375" s="2140" t="s">
        <v>3773</v>
      </c>
      <c r="AF2375" s="2149"/>
      <c r="AG2375" s="2149"/>
      <c r="AH2375" s="2149"/>
      <c r="AI2375" s="2149"/>
      <c r="AJ2375" s="2149"/>
      <c r="AK2375" s="2149"/>
      <c r="AL2375" s="2149"/>
      <c r="AM2375" s="2149"/>
      <c r="AN2375" s="2149"/>
      <c r="AO2375" s="2149"/>
      <c r="AP2375" s="2149"/>
      <c r="AQ2375" s="2149"/>
      <c r="AR2375" s="2149"/>
      <c r="AS2375" s="2149"/>
      <c r="AT2375" s="2149"/>
      <c r="AU2375" s="2149"/>
      <c r="AV2375" s="2149"/>
      <c r="AW2375" s="2149"/>
      <c r="AX2375" s="2149"/>
      <c r="AY2375" s="2149"/>
      <c r="AZ2375" s="2149"/>
      <c r="BA2375" s="2149"/>
      <c r="BB2375" s="2149"/>
      <c r="BC2375" s="2149"/>
      <c r="BD2375" s="2149"/>
      <c r="BE2375" s="2149"/>
      <c r="BF2375" s="2149"/>
      <c r="BG2375" s="2149"/>
      <c r="BH2375" s="2149"/>
      <c r="BI2375" s="2149"/>
      <c r="BJ2375" s="2149"/>
      <c r="BK2375" s="2149"/>
      <c r="BL2375" s="2149"/>
      <c r="BM2375" s="2149"/>
      <c r="BN2375" s="2149"/>
      <c r="BO2375" s="2149"/>
      <c r="BP2375" s="2149"/>
      <c r="BQ2375" s="2149"/>
      <c r="BR2375" s="2149"/>
      <c r="BS2375" s="2149"/>
    </row>
    <row r="2376" spans="1:71" s="2131" customFormat="1" ht="38.25">
      <c r="A2376" s="2267"/>
      <c r="B2376" s="2253"/>
      <c r="C2376" s="2164">
        <v>5</v>
      </c>
      <c r="D2376" s="2164" t="s">
        <v>34</v>
      </c>
      <c r="E2376" s="2164" t="s">
        <v>25</v>
      </c>
      <c r="F2376" s="2164" t="s">
        <v>45</v>
      </c>
      <c r="G2376" s="2164" t="s">
        <v>3667</v>
      </c>
      <c r="H2376" s="2254" t="s">
        <v>25</v>
      </c>
      <c r="I2376" s="2171" t="s">
        <v>3551</v>
      </c>
      <c r="J2376" s="2171" t="s">
        <v>3783</v>
      </c>
      <c r="K2376" s="2255">
        <v>60</v>
      </c>
      <c r="L2376" s="2203">
        <v>188580500</v>
      </c>
      <c r="M2376" s="2256">
        <v>30</v>
      </c>
      <c r="N2376" s="2257">
        <v>93954700</v>
      </c>
      <c r="O2376" s="2255">
        <v>10</v>
      </c>
      <c r="P2376" s="2258"/>
      <c r="Q2376" s="2256">
        <v>1</v>
      </c>
      <c r="R2376" s="2203"/>
      <c r="S2376" s="2256">
        <v>1</v>
      </c>
      <c r="T2376" s="2203"/>
      <c r="U2376" s="2255"/>
      <c r="V2376" s="2258"/>
      <c r="W2376" s="2255"/>
      <c r="X2376" s="2203"/>
      <c r="Y2376" s="2240">
        <f t="shared" si="663"/>
        <v>2</v>
      </c>
      <c r="Z2376" s="2203">
        <f t="shared" si="663"/>
        <v>0</v>
      </c>
      <c r="AA2376" s="2240">
        <f t="shared" si="664"/>
        <v>32</v>
      </c>
      <c r="AB2376" s="2203">
        <f t="shared" si="664"/>
        <v>93954700</v>
      </c>
      <c r="AC2376" s="2243">
        <f t="shared" si="665"/>
        <v>53.333333333333336</v>
      </c>
      <c r="AD2376" s="2243">
        <f t="shared" si="665"/>
        <v>49.822065377915528</v>
      </c>
      <c r="AE2376" s="2267"/>
      <c r="AF2376" s="2161"/>
      <c r="AG2376" s="2161"/>
      <c r="AH2376" s="2161"/>
      <c r="AI2376" s="2161"/>
      <c r="AJ2376" s="2161"/>
      <c r="AK2376" s="2161"/>
      <c r="AL2376" s="2161"/>
      <c r="AM2376" s="2161"/>
      <c r="AN2376" s="2161"/>
      <c r="AO2376" s="2161"/>
      <c r="AP2376" s="2161"/>
      <c r="AQ2376" s="2161"/>
      <c r="AR2376" s="2161"/>
      <c r="AS2376" s="2161"/>
      <c r="AT2376" s="2161"/>
      <c r="AU2376" s="2161"/>
      <c r="AV2376" s="2161"/>
      <c r="AW2376" s="2161"/>
      <c r="AX2376" s="2161"/>
      <c r="AY2376" s="2161"/>
      <c r="AZ2376" s="2161"/>
      <c r="BA2376" s="2161"/>
      <c r="BB2376" s="2161"/>
      <c r="BC2376" s="2161"/>
      <c r="BD2376" s="2161"/>
      <c r="BE2376" s="2161"/>
      <c r="BF2376" s="2161"/>
      <c r="BG2376" s="2161"/>
      <c r="BH2376" s="2161"/>
      <c r="BI2376" s="2161"/>
      <c r="BJ2376" s="2161"/>
      <c r="BK2376" s="2161"/>
      <c r="BL2376" s="2161"/>
      <c r="BM2376" s="2161"/>
      <c r="BN2376" s="2161"/>
      <c r="BO2376" s="2161"/>
      <c r="BP2376" s="2161"/>
      <c r="BQ2376" s="2161"/>
      <c r="BR2376" s="2161"/>
      <c r="BS2376" s="2161"/>
    </row>
    <row r="2377" spans="1:71" s="2131" customFormat="1" ht="38.25">
      <c r="A2377" s="2267"/>
      <c r="B2377" s="2253"/>
      <c r="C2377" s="2164">
        <v>5</v>
      </c>
      <c r="D2377" s="2164" t="s">
        <v>34</v>
      </c>
      <c r="E2377" s="2164" t="s">
        <v>25</v>
      </c>
      <c r="F2377" s="2164" t="s">
        <v>45</v>
      </c>
      <c r="G2377" s="2164" t="s">
        <v>3667</v>
      </c>
      <c r="H2377" s="2254" t="s">
        <v>28</v>
      </c>
      <c r="I2377" s="2171" t="s">
        <v>3671</v>
      </c>
      <c r="J2377" s="2171" t="s">
        <v>3672</v>
      </c>
      <c r="K2377" s="2255">
        <v>6</v>
      </c>
      <c r="L2377" s="2268">
        <v>137849500</v>
      </c>
      <c r="M2377" s="2256">
        <v>3</v>
      </c>
      <c r="N2377" s="2257">
        <v>53003000</v>
      </c>
      <c r="O2377" s="2255">
        <v>1</v>
      </c>
      <c r="P2377" s="2258"/>
      <c r="Q2377" s="2257">
        <v>0</v>
      </c>
      <c r="R2377" s="2203"/>
      <c r="S2377" s="2257">
        <v>0</v>
      </c>
      <c r="T2377" s="2203"/>
      <c r="U2377" s="2255"/>
      <c r="V2377" s="2255"/>
      <c r="W2377" s="2255"/>
      <c r="X2377" s="2203"/>
      <c r="Y2377" s="2240">
        <f t="shared" si="663"/>
        <v>0</v>
      </c>
      <c r="Z2377" s="2203">
        <f t="shared" si="663"/>
        <v>0</v>
      </c>
      <c r="AA2377" s="2240">
        <f t="shared" si="664"/>
        <v>3</v>
      </c>
      <c r="AB2377" s="2203">
        <f t="shared" si="664"/>
        <v>53003000</v>
      </c>
      <c r="AC2377" s="2243">
        <f t="shared" si="665"/>
        <v>50</v>
      </c>
      <c r="AD2377" s="2243">
        <f t="shared" si="665"/>
        <v>38.44990369932426</v>
      </c>
      <c r="AE2377" s="2267"/>
      <c r="AF2377" s="2161"/>
      <c r="AG2377" s="2161"/>
      <c r="AH2377" s="2161"/>
      <c r="AI2377" s="2161"/>
      <c r="AJ2377" s="2161"/>
      <c r="AK2377" s="2161"/>
      <c r="AL2377" s="2161"/>
      <c r="AM2377" s="2161"/>
      <c r="AN2377" s="2161"/>
      <c r="AO2377" s="2161"/>
      <c r="AP2377" s="2161"/>
      <c r="AQ2377" s="2161"/>
      <c r="AR2377" s="2161"/>
      <c r="AS2377" s="2161"/>
      <c r="AT2377" s="2161"/>
      <c r="AU2377" s="2161"/>
      <c r="AV2377" s="2161"/>
      <c r="AW2377" s="2161"/>
      <c r="AX2377" s="2161"/>
      <c r="AY2377" s="2161"/>
      <c r="AZ2377" s="2161"/>
      <c r="BA2377" s="2161"/>
      <c r="BB2377" s="2161"/>
      <c r="BC2377" s="2161"/>
      <c r="BD2377" s="2161"/>
      <c r="BE2377" s="2161"/>
      <c r="BF2377" s="2161"/>
      <c r="BG2377" s="2161"/>
      <c r="BH2377" s="2161"/>
      <c r="BI2377" s="2161"/>
      <c r="BJ2377" s="2161"/>
      <c r="BK2377" s="2161"/>
      <c r="BL2377" s="2161"/>
      <c r="BM2377" s="2161"/>
      <c r="BN2377" s="2161"/>
      <c r="BO2377" s="2161"/>
      <c r="BP2377" s="2161"/>
      <c r="BQ2377" s="2161"/>
      <c r="BR2377" s="2161"/>
      <c r="BS2377" s="2161"/>
    </row>
    <row r="2378" spans="1:71" s="2131" customFormat="1" ht="63.75">
      <c r="A2378" s="2267"/>
      <c r="B2378" s="2253"/>
      <c r="C2378" s="2164">
        <v>5</v>
      </c>
      <c r="D2378" s="2164" t="s">
        <v>34</v>
      </c>
      <c r="E2378" s="2164" t="s">
        <v>25</v>
      </c>
      <c r="F2378" s="2164" t="s">
        <v>45</v>
      </c>
      <c r="G2378" s="2164" t="s">
        <v>3667</v>
      </c>
      <c r="H2378" s="2254" t="s">
        <v>39</v>
      </c>
      <c r="I2378" s="2171" t="s">
        <v>3673</v>
      </c>
      <c r="J2378" s="2171" t="s">
        <v>3674</v>
      </c>
      <c r="K2378" s="2255">
        <v>6</v>
      </c>
      <c r="L2378" s="2203">
        <v>171393000</v>
      </c>
      <c r="M2378" s="2256">
        <v>3</v>
      </c>
      <c r="N2378" s="2257">
        <v>72816500</v>
      </c>
      <c r="O2378" s="2255">
        <v>1</v>
      </c>
      <c r="P2378" s="2258"/>
      <c r="Q2378" s="2256">
        <v>1</v>
      </c>
      <c r="R2378" s="2203"/>
      <c r="S2378" s="2256">
        <v>1</v>
      </c>
      <c r="T2378" s="2203"/>
      <c r="U2378" s="2255"/>
      <c r="V2378" s="2258"/>
      <c r="W2378" s="2255"/>
      <c r="X2378" s="2203"/>
      <c r="Y2378" s="2240">
        <f t="shared" si="663"/>
        <v>2</v>
      </c>
      <c r="Z2378" s="2203">
        <f t="shared" si="663"/>
        <v>0</v>
      </c>
      <c r="AA2378" s="2240">
        <f t="shared" si="664"/>
        <v>5</v>
      </c>
      <c r="AB2378" s="2203">
        <f t="shared" si="664"/>
        <v>72816500</v>
      </c>
      <c r="AC2378" s="2243">
        <f t="shared" si="665"/>
        <v>83.333333333333343</v>
      </c>
      <c r="AD2378" s="2243">
        <f t="shared" si="665"/>
        <v>42.485107326436903</v>
      </c>
      <c r="AE2378" s="2267"/>
      <c r="AF2378" s="2161"/>
      <c r="AG2378" s="2161"/>
      <c r="AH2378" s="2161"/>
      <c r="AI2378" s="2161"/>
      <c r="AJ2378" s="2161"/>
      <c r="AK2378" s="2161"/>
      <c r="AL2378" s="2161"/>
      <c r="AM2378" s="2161"/>
      <c r="AN2378" s="2161"/>
      <c r="AO2378" s="2161"/>
      <c r="AP2378" s="2161"/>
      <c r="AQ2378" s="2161"/>
      <c r="AR2378" s="2161"/>
      <c r="AS2378" s="2161"/>
      <c r="AT2378" s="2161"/>
      <c r="AU2378" s="2161"/>
      <c r="AV2378" s="2161"/>
      <c r="AW2378" s="2161"/>
      <c r="AX2378" s="2161"/>
      <c r="AY2378" s="2161"/>
      <c r="AZ2378" s="2161"/>
      <c r="BA2378" s="2161"/>
      <c r="BB2378" s="2161"/>
      <c r="BC2378" s="2161"/>
      <c r="BD2378" s="2161"/>
      <c r="BE2378" s="2161"/>
      <c r="BF2378" s="2161"/>
      <c r="BG2378" s="2161"/>
      <c r="BH2378" s="2161"/>
      <c r="BI2378" s="2161"/>
      <c r="BJ2378" s="2161"/>
      <c r="BK2378" s="2161"/>
      <c r="BL2378" s="2161"/>
      <c r="BM2378" s="2161"/>
      <c r="BN2378" s="2161"/>
      <c r="BO2378" s="2161"/>
      <c r="BP2378" s="2161"/>
      <c r="BQ2378" s="2161"/>
      <c r="BR2378" s="2161"/>
      <c r="BS2378" s="2161"/>
    </row>
    <row r="2379" spans="1:71" s="2131" customFormat="1" ht="51">
      <c r="A2379" s="2267"/>
      <c r="B2379" s="2253"/>
      <c r="C2379" s="2164">
        <v>5</v>
      </c>
      <c r="D2379" s="2164" t="s">
        <v>34</v>
      </c>
      <c r="E2379" s="2164" t="s">
        <v>25</v>
      </c>
      <c r="F2379" s="2164" t="s">
        <v>45</v>
      </c>
      <c r="G2379" s="2164" t="s">
        <v>3667</v>
      </c>
      <c r="H2379" s="2254" t="s">
        <v>38</v>
      </c>
      <c r="I2379" s="2171" t="s">
        <v>3676</v>
      </c>
      <c r="J2379" s="2171" t="s">
        <v>3677</v>
      </c>
      <c r="K2379" s="2255">
        <v>72</v>
      </c>
      <c r="L2379" s="2203">
        <v>36000000</v>
      </c>
      <c r="M2379" s="2256">
        <v>31</v>
      </c>
      <c r="N2379" s="2257">
        <v>12000000</v>
      </c>
      <c r="O2379" s="2255">
        <v>0</v>
      </c>
      <c r="P2379" s="2258"/>
      <c r="Q2379" s="2256">
        <v>3</v>
      </c>
      <c r="R2379" s="2203"/>
      <c r="S2379" s="2256">
        <v>3</v>
      </c>
      <c r="T2379" s="2203"/>
      <c r="U2379" s="2255"/>
      <c r="V2379" s="2258"/>
      <c r="W2379" s="2255"/>
      <c r="X2379" s="2203"/>
      <c r="Y2379" s="2240">
        <f t="shared" si="663"/>
        <v>6</v>
      </c>
      <c r="Z2379" s="2203">
        <f t="shared" si="663"/>
        <v>0</v>
      </c>
      <c r="AA2379" s="2240">
        <f t="shared" si="664"/>
        <v>37</v>
      </c>
      <c r="AB2379" s="2203">
        <f t="shared" si="664"/>
        <v>12000000</v>
      </c>
      <c r="AC2379" s="2243">
        <f t="shared" si="665"/>
        <v>51.388888888888886</v>
      </c>
      <c r="AD2379" s="2243">
        <f t="shared" si="665"/>
        <v>33.333333333333329</v>
      </c>
      <c r="AE2379" s="2267"/>
      <c r="AF2379" s="2161"/>
      <c r="AG2379" s="2161"/>
      <c r="AH2379" s="2161"/>
      <c r="AI2379" s="2161"/>
      <c r="AJ2379" s="2161"/>
      <c r="AK2379" s="2161"/>
      <c r="AL2379" s="2161"/>
      <c r="AM2379" s="2161"/>
      <c r="AN2379" s="2161"/>
      <c r="AO2379" s="2161"/>
      <c r="AP2379" s="2161"/>
      <c r="AQ2379" s="2161"/>
      <c r="AR2379" s="2161"/>
      <c r="AS2379" s="2161"/>
      <c r="AT2379" s="2161"/>
      <c r="AU2379" s="2161"/>
      <c r="AV2379" s="2161"/>
      <c r="AW2379" s="2161"/>
      <c r="AX2379" s="2161"/>
      <c r="AY2379" s="2161"/>
      <c r="AZ2379" s="2161"/>
      <c r="BA2379" s="2161"/>
      <c r="BB2379" s="2161"/>
      <c r="BC2379" s="2161"/>
      <c r="BD2379" s="2161"/>
      <c r="BE2379" s="2161"/>
      <c r="BF2379" s="2161"/>
      <c r="BG2379" s="2161"/>
      <c r="BH2379" s="2161"/>
      <c r="BI2379" s="2161"/>
      <c r="BJ2379" s="2161"/>
      <c r="BK2379" s="2161"/>
      <c r="BL2379" s="2161"/>
      <c r="BM2379" s="2161"/>
      <c r="BN2379" s="2161"/>
      <c r="BO2379" s="2161"/>
      <c r="BP2379" s="2161"/>
      <c r="BQ2379" s="2161"/>
      <c r="BR2379" s="2161"/>
      <c r="BS2379" s="2161"/>
    </row>
    <row r="2380" spans="1:71" s="2131" customFormat="1" ht="38.25">
      <c r="A2380" s="2267"/>
      <c r="B2380" s="2253"/>
      <c r="C2380" s="2164">
        <v>5</v>
      </c>
      <c r="D2380" s="2164" t="s">
        <v>34</v>
      </c>
      <c r="E2380" s="2164" t="s">
        <v>25</v>
      </c>
      <c r="F2380" s="2164" t="s">
        <v>45</v>
      </c>
      <c r="G2380" s="2164" t="s">
        <v>3667</v>
      </c>
      <c r="H2380" s="2254" t="s">
        <v>56</v>
      </c>
      <c r="I2380" s="2171" t="s">
        <v>3678</v>
      </c>
      <c r="J2380" s="2171" t="s">
        <v>3679</v>
      </c>
      <c r="K2380" s="2255">
        <v>150</v>
      </c>
      <c r="L2380" s="2203">
        <v>76200000</v>
      </c>
      <c r="M2380" s="2256">
        <v>52</v>
      </c>
      <c r="N2380" s="2257">
        <v>21200000</v>
      </c>
      <c r="O2380" s="2255">
        <v>0</v>
      </c>
      <c r="P2380" s="2258"/>
      <c r="Q2380" s="2256">
        <v>0</v>
      </c>
      <c r="R2380" s="2203"/>
      <c r="S2380" s="2256">
        <v>0</v>
      </c>
      <c r="T2380" s="2203"/>
      <c r="U2380" s="2255"/>
      <c r="V2380" s="2258"/>
      <c r="W2380" s="2255"/>
      <c r="X2380" s="2203"/>
      <c r="Y2380" s="2240">
        <f t="shared" si="663"/>
        <v>0</v>
      </c>
      <c r="Z2380" s="2203">
        <f t="shared" si="663"/>
        <v>0</v>
      </c>
      <c r="AA2380" s="2240">
        <f t="shared" si="664"/>
        <v>52</v>
      </c>
      <c r="AB2380" s="2203">
        <f t="shared" si="664"/>
        <v>21200000</v>
      </c>
      <c r="AC2380" s="2243">
        <f t="shared" si="665"/>
        <v>34.666666666666671</v>
      </c>
      <c r="AD2380" s="2243">
        <f t="shared" si="665"/>
        <v>27.821522309711288</v>
      </c>
      <c r="AE2380" s="2267"/>
      <c r="AF2380" s="2161"/>
      <c r="AG2380" s="2161"/>
      <c r="AH2380" s="2161"/>
      <c r="AI2380" s="2161"/>
      <c r="AJ2380" s="2161"/>
      <c r="AK2380" s="2161"/>
      <c r="AL2380" s="2161"/>
      <c r="AM2380" s="2161"/>
      <c r="AN2380" s="2161"/>
      <c r="AO2380" s="2161"/>
      <c r="AP2380" s="2161"/>
      <c r="AQ2380" s="2161"/>
      <c r="AR2380" s="2161"/>
      <c r="AS2380" s="2161"/>
      <c r="AT2380" s="2161"/>
      <c r="AU2380" s="2161"/>
      <c r="AV2380" s="2161"/>
      <c r="AW2380" s="2161"/>
      <c r="AX2380" s="2161"/>
      <c r="AY2380" s="2161"/>
      <c r="AZ2380" s="2161"/>
      <c r="BA2380" s="2161"/>
      <c r="BB2380" s="2161"/>
      <c r="BC2380" s="2161"/>
      <c r="BD2380" s="2161"/>
      <c r="BE2380" s="2161"/>
      <c r="BF2380" s="2161"/>
      <c r="BG2380" s="2161"/>
      <c r="BH2380" s="2161"/>
      <c r="BI2380" s="2161"/>
      <c r="BJ2380" s="2161"/>
      <c r="BK2380" s="2161"/>
      <c r="BL2380" s="2161"/>
      <c r="BM2380" s="2161"/>
      <c r="BN2380" s="2161"/>
      <c r="BO2380" s="2161"/>
      <c r="BP2380" s="2161"/>
      <c r="BQ2380" s="2161"/>
      <c r="BR2380" s="2161"/>
      <c r="BS2380" s="2161"/>
    </row>
    <row r="2381" spans="1:71" s="2131" customFormat="1" ht="51">
      <c r="A2381" s="2267"/>
      <c r="B2381" s="2253"/>
      <c r="C2381" s="2164">
        <v>5</v>
      </c>
      <c r="D2381" s="2164" t="s">
        <v>34</v>
      </c>
      <c r="E2381" s="2164" t="s">
        <v>25</v>
      </c>
      <c r="F2381" s="2164" t="s">
        <v>45</v>
      </c>
      <c r="G2381" s="2164" t="s">
        <v>3667</v>
      </c>
      <c r="H2381" s="2254"/>
      <c r="I2381" s="2162" t="s">
        <v>3784</v>
      </c>
      <c r="J2381" s="2171" t="s">
        <v>3737</v>
      </c>
      <c r="K2381" s="2255">
        <v>4</v>
      </c>
      <c r="L2381" s="2203">
        <v>97500000</v>
      </c>
      <c r="M2381" s="2256">
        <v>1</v>
      </c>
      <c r="N2381" s="2256">
        <v>18975000</v>
      </c>
      <c r="O2381" s="2255">
        <v>1</v>
      </c>
      <c r="P2381" s="2258"/>
      <c r="Q2381" s="2256">
        <v>0</v>
      </c>
      <c r="R2381" s="2203"/>
      <c r="S2381" s="2256">
        <v>0</v>
      </c>
      <c r="T2381" s="2203"/>
      <c r="U2381" s="2255"/>
      <c r="V2381" s="2258"/>
      <c r="W2381" s="2255"/>
      <c r="X2381" s="2203"/>
      <c r="Y2381" s="2240">
        <f t="shared" si="663"/>
        <v>0</v>
      </c>
      <c r="Z2381" s="2203">
        <f t="shared" si="663"/>
        <v>0</v>
      </c>
      <c r="AA2381" s="2240">
        <f t="shared" si="664"/>
        <v>1</v>
      </c>
      <c r="AB2381" s="2203">
        <f t="shared" si="664"/>
        <v>18975000</v>
      </c>
      <c r="AC2381" s="2243">
        <f t="shared" si="665"/>
        <v>25</v>
      </c>
      <c r="AD2381" s="2243">
        <f t="shared" si="665"/>
        <v>19.46153846153846</v>
      </c>
      <c r="AE2381" s="2267"/>
      <c r="AF2381" s="2161"/>
      <c r="AG2381" s="2161"/>
      <c r="AH2381" s="2161"/>
      <c r="AI2381" s="2161"/>
      <c r="AJ2381" s="2161"/>
      <c r="AK2381" s="2161"/>
      <c r="AL2381" s="2161"/>
      <c r="AM2381" s="2161"/>
      <c r="AN2381" s="2161"/>
      <c r="AO2381" s="2161"/>
      <c r="AP2381" s="2161"/>
      <c r="AQ2381" s="2161"/>
      <c r="AR2381" s="2161"/>
      <c r="AS2381" s="2161"/>
      <c r="AT2381" s="2161"/>
      <c r="AU2381" s="2161"/>
      <c r="AV2381" s="2161"/>
      <c r="AW2381" s="2161"/>
      <c r="AX2381" s="2161"/>
      <c r="AY2381" s="2161"/>
      <c r="AZ2381" s="2161"/>
      <c r="BA2381" s="2161"/>
      <c r="BB2381" s="2161"/>
      <c r="BC2381" s="2161"/>
      <c r="BD2381" s="2161"/>
      <c r="BE2381" s="2161"/>
      <c r="BF2381" s="2161"/>
      <c r="BG2381" s="2161"/>
      <c r="BH2381" s="2161"/>
      <c r="BI2381" s="2161"/>
      <c r="BJ2381" s="2161"/>
      <c r="BK2381" s="2161"/>
      <c r="BL2381" s="2161"/>
      <c r="BM2381" s="2161"/>
      <c r="BN2381" s="2161"/>
      <c r="BO2381" s="2161"/>
      <c r="BP2381" s="2161"/>
      <c r="BQ2381" s="2161"/>
      <c r="BR2381" s="2161"/>
      <c r="BS2381" s="2161"/>
    </row>
    <row r="2382" spans="1:71" s="2131" customFormat="1" ht="20.100000000000001" customHeight="1">
      <c r="A2382" s="2705" t="s">
        <v>63</v>
      </c>
      <c r="B2382" s="2705"/>
      <c r="C2382" s="2706"/>
      <c r="D2382" s="2706"/>
      <c r="E2382" s="2706"/>
      <c r="F2382" s="2706"/>
      <c r="G2382" s="2706"/>
      <c r="H2382" s="2706"/>
      <c r="I2382" s="2706"/>
      <c r="J2382" s="2706"/>
      <c r="K2382" s="2706"/>
      <c r="L2382" s="2706"/>
      <c r="M2382" s="2706"/>
      <c r="N2382" s="2706"/>
      <c r="O2382" s="2706"/>
      <c r="P2382" s="2706"/>
      <c r="Q2382" s="2706"/>
      <c r="R2382" s="2706"/>
      <c r="S2382" s="2706"/>
      <c r="T2382" s="2706"/>
      <c r="U2382" s="2706"/>
      <c r="V2382" s="2706"/>
      <c r="W2382" s="2706"/>
      <c r="X2382" s="2706"/>
      <c r="Y2382" s="2706"/>
      <c r="Z2382" s="2706"/>
      <c r="AA2382" s="2706"/>
      <c r="AB2382" s="2706"/>
      <c r="AC2382" s="2249">
        <v>59.92460317460317</v>
      </c>
      <c r="AD2382" s="2249">
        <v>34.796814029542581</v>
      </c>
      <c r="AE2382" s="2152"/>
    </row>
    <row r="2383" spans="1:71" s="2131" customFormat="1" ht="20.100000000000001" customHeight="1">
      <c r="A2383" s="2705" t="s">
        <v>64</v>
      </c>
      <c r="B2383" s="2705"/>
      <c r="C2383" s="2706"/>
      <c r="D2383" s="2706"/>
      <c r="E2383" s="2706"/>
      <c r="F2383" s="2706"/>
      <c r="G2383" s="2706"/>
      <c r="H2383" s="2706"/>
      <c r="I2383" s="2706"/>
      <c r="J2383" s="2706"/>
      <c r="K2383" s="2706"/>
      <c r="L2383" s="2706"/>
      <c r="M2383" s="2706"/>
      <c r="N2383" s="2706"/>
      <c r="O2383" s="2706"/>
      <c r="P2383" s="2706"/>
      <c r="Q2383" s="2706"/>
      <c r="R2383" s="2706"/>
      <c r="S2383" s="2706"/>
      <c r="T2383" s="2706"/>
      <c r="U2383" s="2706"/>
      <c r="V2383" s="2706"/>
      <c r="W2383" s="2706"/>
      <c r="X2383" s="2706"/>
      <c r="Y2383" s="2706"/>
      <c r="Z2383" s="2706"/>
      <c r="AA2383" s="2706"/>
      <c r="AB2383" s="2706"/>
      <c r="AC2383" s="2250" t="str">
        <f>IF(AC2382&gt;=91,"ST",IF(AC2382&gt;=76,"T",IF(AC2382&gt;=66,"S",IF(AC2382&gt;=51,"R","SR"))))</f>
        <v>R</v>
      </c>
      <c r="AD2383" s="2250" t="str">
        <f>IF(AD2382&gt;=91,"ST",IF(AD2382&gt;=76,"T",IF(AD2382&gt;=66,"S",IF(AD2382&gt;=51,"R","SR"))))</f>
        <v>SR</v>
      </c>
      <c r="AE2383" s="2152"/>
    </row>
    <row r="2384" spans="1:71" s="2290" customFormat="1" ht="27.95" customHeight="1">
      <c r="A2384" s="2132" t="s">
        <v>115</v>
      </c>
      <c r="B2384" s="2133"/>
      <c r="C2384" s="2132"/>
      <c r="D2384" s="2132"/>
      <c r="E2384" s="2132"/>
      <c r="F2384" s="2132"/>
      <c r="G2384" s="2132"/>
      <c r="H2384" s="2132"/>
      <c r="I2384" s="2707" t="s">
        <v>3785</v>
      </c>
      <c r="J2384" s="2708"/>
      <c r="K2384" s="2134"/>
      <c r="L2384" s="2135">
        <f>L2385+L2397+L2399+L2405+L2407+L2410+L2412+L2414+L2425</f>
        <v>3375636060</v>
      </c>
      <c r="M2384" s="2134"/>
      <c r="N2384" s="2136">
        <f>N2385+N2397+N2399+N2405+N2407+N2410+N2412+N2414+N2425</f>
        <v>1509254114</v>
      </c>
      <c r="O2384" s="2134"/>
      <c r="P2384" s="2136">
        <f>P2385+P2397+P2399+P2405+P2407+P2410+P2412+P2414+P2425</f>
        <v>559439500</v>
      </c>
      <c r="Q2384" s="2134"/>
      <c r="R2384" s="2136">
        <f>R2385+R2397+R2399+R2405+R2407+R2410+R2412+R2414+R2425</f>
        <v>137876758</v>
      </c>
      <c r="S2384" s="2134"/>
      <c r="T2384" s="2136">
        <f>T2385+T2397+T2399+T2405+T2407+T2410+T2412+T2414+T2425</f>
        <v>120185616</v>
      </c>
      <c r="U2384" s="2134"/>
      <c r="V2384" s="2136">
        <f>V2385+V2397+V2399+V2405+V2407+V2410+V2412+V2414+V2425</f>
        <v>0</v>
      </c>
      <c r="W2384" s="2134"/>
      <c r="X2384" s="2136">
        <f>X2385+X2397+X2399+X2405+X2407+X2410+X2412+X2414+X2425</f>
        <v>0</v>
      </c>
      <c r="Y2384" s="2134"/>
      <c r="Z2384" s="2136">
        <f>R2384+T2384+V2384+X2384</f>
        <v>258062374</v>
      </c>
      <c r="AA2384" s="2134"/>
      <c r="AB2384" s="2136">
        <f>N2384+Z2384</f>
        <v>1767316488</v>
      </c>
      <c r="AC2384" s="2134"/>
      <c r="AD2384" s="2134"/>
      <c r="AE2384" s="2137"/>
      <c r="AF2384" s="2138"/>
      <c r="AG2384" s="2138"/>
      <c r="AH2384" s="2138"/>
      <c r="AI2384" s="2138"/>
      <c r="AJ2384" s="2138"/>
      <c r="AK2384" s="2138"/>
      <c r="AL2384" s="2138"/>
      <c r="AM2384" s="2138"/>
      <c r="AN2384" s="2138"/>
      <c r="AO2384" s="2138"/>
      <c r="AP2384" s="2138"/>
      <c r="AQ2384" s="2138"/>
      <c r="AR2384" s="2138"/>
      <c r="AS2384" s="2138"/>
      <c r="AT2384" s="2138"/>
      <c r="AU2384" s="2138"/>
      <c r="AV2384" s="2138"/>
      <c r="AW2384" s="2138"/>
      <c r="AX2384" s="2138"/>
      <c r="AY2384" s="2138"/>
      <c r="AZ2384" s="2138"/>
      <c r="BA2384" s="2138"/>
      <c r="BB2384" s="2138"/>
      <c r="BC2384" s="2138"/>
      <c r="BD2384" s="2138"/>
      <c r="BE2384" s="2138"/>
      <c r="BF2384" s="2138"/>
      <c r="BG2384" s="2138"/>
      <c r="BH2384" s="2138"/>
      <c r="BI2384" s="2138"/>
      <c r="BJ2384" s="2138"/>
      <c r="BK2384" s="2138"/>
      <c r="BL2384" s="2138"/>
      <c r="BM2384" s="2138"/>
      <c r="BN2384" s="2138"/>
      <c r="BO2384" s="2138"/>
      <c r="BP2384" s="2138"/>
      <c r="BQ2384" s="2138"/>
      <c r="BR2384" s="2138"/>
      <c r="BS2384" s="2138"/>
    </row>
    <row r="2385" spans="1:71" s="2161" customFormat="1" ht="63.75">
      <c r="A2385" s="2291" t="s">
        <v>113</v>
      </c>
      <c r="B2385" s="2291"/>
      <c r="C2385" s="2292">
        <v>5</v>
      </c>
      <c r="D2385" s="2293" t="s">
        <v>34</v>
      </c>
      <c r="E2385" s="2293" t="s">
        <v>25</v>
      </c>
      <c r="F2385" s="2293" t="s">
        <v>25</v>
      </c>
      <c r="G2385" s="2293"/>
      <c r="H2385" s="2292"/>
      <c r="I2385" s="2194" t="s">
        <v>66</v>
      </c>
      <c r="J2385" s="2206" t="s">
        <v>3786</v>
      </c>
      <c r="K2385" s="2207">
        <v>72</v>
      </c>
      <c r="L2385" s="2269">
        <f>SUM(L2386:L2396)</f>
        <v>1276633300</v>
      </c>
      <c r="M2385" s="2210">
        <v>36</v>
      </c>
      <c r="N2385" s="2269">
        <f>SUM(N2386:N2396)</f>
        <v>650610660</v>
      </c>
      <c r="O2385" s="2210">
        <v>12</v>
      </c>
      <c r="P2385" s="2269">
        <f>SUM(P2386:P2396)</f>
        <v>243510600</v>
      </c>
      <c r="Q2385" s="2210">
        <v>3</v>
      </c>
      <c r="R2385" s="2269">
        <f>SUM(R2386:R2396)</f>
        <v>32144758</v>
      </c>
      <c r="S2385" s="2210">
        <v>3</v>
      </c>
      <c r="T2385" s="2269">
        <f>SUM(T2386:T2396)</f>
        <v>66153416</v>
      </c>
      <c r="U2385" s="2210"/>
      <c r="V2385" s="2269">
        <f>SUM(V2386:V2396)</f>
        <v>0</v>
      </c>
      <c r="W2385" s="2210"/>
      <c r="X2385" s="2269">
        <f>SUM(X2386:X2396)</f>
        <v>0</v>
      </c>
      <c r="Y2385" s="2210">
        <f>Q2385+S2385+U2385+W2385</f>
        <v>6</v>
      </c>
      <c r="Z2385" s="2294">
        <f>R2385+T2385+V2385+X2385</f>
        <v>98298174</v>
      </c>
      <c r="AA2385" s="2210">
        <f>M2385+Y2385</f>
        <v>42</v>
      </c>
      <c r="AB2385" s="2210">
        <f>N2385+Z2385</f>
        <v>748908834</v>
      </c>
      <c r="AC2385" s="2214">
        <f>(AA2385/K2385)*100</f>
        <v>58.333333333333336</v>
      </c>
      <c r="AD2385" s="2214">
        <f>(AB2385/L2385)*100</f>
        <v>58.662799568208037</v>
      </c>
      <c r="AE2385" s="2196" t="s">
        <v>3787</v>
      </c>
      <c r="AF2385" s="2295"/>
      <c r="AG2385" s="2295"/>
      <c r="AH2385" s="2295"/>
      <c r="AI2385" s="2295"/>
      <c r="AJ2385" s="2295"/>
      <c r="AK2385" s="2295"/>
      <c r="AL2385" s="2295"/>
      <c r="AM2385" s="2295"/>
      <c r="AN2385" s="2295"/>
      <c r="AO2385" s="2295"/>
      <c r="AP2385" s="2295"/>
      <c r="AQ2385" s="2295"/>
      <c r="AR2385" s="2295"/>
      <c r="AS2385" s="2295"/>
      <c r="AT2385" s="2295"/>
      <c r="AU2385" s="2295"/>
      <c r="AV2385" s="2295"/>
      <c r="AW2385" s="2295"/>
      <c r="AX2385" s="2295"/>
      <c r="AY2385" s="2295"/>
      <c r="AZ2385" s="2295"/>
      <c r="BA2385" s="2295"/>
      <c r="BB2385" s="2295"/>
      <c r="BC2385" s="2295"/>
      <c r="BD2385" s="2295"/>
      <c r="BE2385" s="2295"/>
      <c r="BF2385" s="2295"/>
      <c r="BG2385" s="2295"/>
      <c r="BH2385" s="2295"/>
      <c r="BI2385" s="2295"/>
      <c r="BJ2385" s="2295"/>
      <c r="BK2385" s="2295"/>
      <c r="BL2385" s="2295"/>
      <c r="BM2385" s="2295"/>
      <c r="BN2385" s="2295"/>
      <c r="BO2385" s="2295"/>
      <c r="BP2385" s="2295"/>
      <c r="BQ2385" s="2295"/>
      <c r="BR2385" s="2295"/>
      <c r="BS2385" s="2295"/>
    </row>
    <row r="2386" spans="1:71" s="2131" customFormat="1" ht="38.25">
      <c r="A2386" s="2296">
        <v>1</v>
      </c>
      <c r="B2386" s="2297"/>
      <c r="C2386" s="2298">
        <v>5</v>
      </c>
      <c r="D2386" s="2299" t="s">
        <v>25</v>
      </c>
      <c r="E2386" s="2299" t="s">
        <v>25</v>
      </c>
      <c r="F2386" s="2299" t="s">
        <v>25</v>
      </c>
      <c r="G2386" s="2299"/>
      <c r="H2386" s="2299" t="s">
        <v>28</v>
      </c>
      <c r="I2386" s="2300" t="s">
        <v>3788</v>
      </c>
      <c r="J2386" s="2301" t="s">
        <v>3789</v>
      </c>
      <c r="K2386" s="2302">
        <v>72</v>
      </c>
      <c r="L2386" s="2303">
        <v>70398000</v>
      </c>
      <c r="M2386" s="2304">
        <v>36</v>
      </c>
      <c r="N2386" s="2303">
        <v>23970000</v>
      </c>
      <c r="O2386" s="2304">
        <v>12</v>
      </c>
      <c r="P2386" s="2303">
        <v>12200000</v>
      </c>
      <c r="Q2386" s="2219">
        <v>3</v>
      </c>
      <c r="R2386" s="2303">
        <v>2214758</v>
      </c>
      <c r="S2386" s="2219">
        <v>3</v>
      </c>
      <c r="T2386" s="2305">
        <v>2678416</v>
      </c>
      <c r="U2386" s="2219"/>
      <c r="V2386" s="2306"/>
      <c r="W2386" s="2219"/>
      <c r="X2386" s="2306"/>
      <c r="Y2386" s="2219">
        <f t="shared" ref="Y2386:Z2426" si="666">Q2386+S2386+U2386+W2386</f>
        <v>6</v>
      </c>
      <c r="Z2386" s="2306">
        <f t="shared" si="666"/>
        <v>4893174</v>
      </c>
      <c r="AA2386" s="2219">
        <f t="shared" ref="AA2386:AB2426" si="667">M2386+Y2386</f>
        <v>42</v>
      </c>
      <c r="AB2386" s="2307">
        <f t="shared" si="667"/>
        <v>28863174</v>
      </c>
      <c r="AC2386" s="2308">
        <f t="shared" ref="AC2386:AD2426" si="668">(AA2386/K2386)*100</f>
        <v>58.333333333333336</v>
      </c>
      <c r="AD2386" s="2308">
        <f t="shared" si="668"/>
        <v>40.999991477030598</v>
      </c>
      <c r="AE2386" s="2215"/>
    </row>
    <row r="2387" spans="1:71" s="2131" customFormat="1" ht="51">
      <c r="A2387" s="2296">
        <v>2</v>
      </c>
      <c r="B2387" s="2297"/>
      <c r="C2387" s="2298">
        <v>5</v>
      </c>
      <c r="D2387" s="2299" t="s">
        <v>34</v>
      </c>
      <c r="E2387" s="2299" t="s">
        <v>25</v>
      </c>
      <c r="F2387" s="2299" t="s">
        <v>25</v>
      </c>
      <c r="G2387" s="2299"/>
      <c r="H2387" s="2299" t="s">
        <v>29</v>
      </c>
      <c r="I2387" s="2300" t="s">
        <v>102</v>
      </c>
      <c r="J2387" s="2301" t="s">
        <v>3790</v>
      </c>
      <c r="K2387" s="2302">
        <v>72</v>
      </c>
      <c r="L2387" s="2303">
        <v>214000000</v>
      </c>
      <c r="M2387" s="2302">
        <v>36</v>
      </c>
      <c r="N2387" s="2303">
        <v>165900000</v>
      </c>
      <c r="O2387" s="2302">
        <v>12</v>
      </c>
      <c r="P2387" s="2303">
        <v>91000000</v>
      </c>
      <c r="Q2387" s="2219">
        <v>3</v>
      </c>
      <c r="R2387" s="2303">
        <v>9100000</v>
      </c>
      <c r="S2387" s="2219">
        <v>3</v>
      </c>
      <c r="T2387" s="2309">
        <v>19650000</v>
      </c>
      <c r="U2387" s="2219"/>
      <c r="V2387" s="2306"/>
      <c r="W2387" s="2219"/>
      <c r="X2387" s="2306"/>
      <c r="Y2387" s="2219">
        <f t="shared" si="666"/>
        <v>6</v>
      </c>
      <c r="Z2387" s="2306">
        <f t="shared" si="666"/>
        <v>28750000</v>
      </c>
      <c r="AA2387" s="2219">
        <f t="shared" si="667"/>
        <v>42</v>
      </c>
      <c r="AB2387" s="2307">
        <f t="shared" si="667"/>
        <v>194650000</v>
      </c>
      <c r="AC2387" s="2308">
        <f t="shared" si="668"/>
        <v>58.333333333333336</v>
      </c>
      <c r="AD2387" s="2308">
        <f t="shared" si="668"/>
        <v>90.957943925233636</v>
      </c>
      <c r="AE2387" s="2215"/>
    </row>
    <row r="2388" spans="1:71" s="2131" customFormat="1" ht="25.5">
      <c r="A2388" s="2296">
        <v>3</v>
      </c>
      <c r="B2388" s="2301"/>
      <c r="C2388" s="2298">
        <v>5</v>
      </c>
      <c r="D2388" s="2299" t="s">
        <v>34</v>
      </c>
      <c r="E2388" s="2299" t="s">
        <v>25</v>
      </c>
      <c r="F2388" s="2299" t="s">
        <v>25</v>
      </c>
      <c r="G2388" s="2299"/>
      <c r="H2388" s="2299" t="s">
        <v>30</v>
      </c>
      <c r="I2388" s="2300" t="s">
        <v>110</v>
      </c>
      <c r="J2388" s="2301" t="s">
        <v>3791</v>
      </c>
      <c r="K2388" s="2302">
        <v>72</v>
      </c>
      <c r="L2388" s="2303">
        <v>91461500</v>
      </c>
      <c r="M2388" s="2302">
        <v>36</v>
      </c>
      <c r="N2388" s="2303">
        <v>51009824</v>
      </c>
      <c r="O2388" s="2302">
        <v>12</v>
      </c>
      <c r="P2388" s="2303">
        <v>15895200</v>
      </c>
      <c r="Q2388" s="2219">
        <v>3</v>
      </c>
      <c r="R2388" s="2303">
        <v>2000000</v>
      </c>
      <c r="S2388" s="2219">
        <v>3</v>
      </c>
      <c r="T2388" s="2309">
        <v>5700000</v>
      </c>
      <c r="U2388" s="2219"/>
      <c r="V2388" s="2306"/>
      <c r="W2388" s="2219"/>
      <c r="X2388" s="2306"/>
      <c r="Y2388" s="2219">
        <f t="shared" si="666"/>
        <v>6</v>
      </c>
      <c r="Z2388" s="2306">
        <f t="shared" si="666"/>
        <v>7700000</v>
      </c>
      <c r="AA2388" s="2219">
        <f t="shared" si="667"/>
        <v>42</v>
      </c>
      <c r="AB2388" s="2307">
        <f t="shared" si="667"/>
        <v>58709824</v>
      </c>
      <c r="AC2388" s="2308">
        <f t="shared" si="668"/>
        <v>58.333333333333336</v>
      </c>
      <c r="AD2388" s="2308">
        <f t="shared" si="668"/>
        <v>64.190751299727211</v>
      </c>
      <c r="AE2388" s="2215"/>
    </row>
    <row r="2389" spans="1:71" s="2131" customFormat="1" ht="38.25">
      <c r="A2389" s="2296">
        <v>4</v>
      </c>
      <c r="B2389" s="2297"/>
      <c r="C2389" s="2298">
        <v>20</v>
      </c>
      <c r="D2389" s="2299">
        <v>19</v>
      </c>
      <c r="E2389" s="2299" t="s">
        <v>25</v>
      </c>
      <c r="F2389" s="2299" t="s">
        <v>43</v>
      </c>
      <c r="G2389" s="2299"/>
      <c r="H2389" s="2299"/>
      <c r="I2389" s="2300" t="s">
        <v>118</v>
      </c>
      <c r="J2389" s="2301" t="s">
        <v>3792</v>
      </c>
      <c r="K2389" s="2302">
        <v>72</v>
      </c>
      <c r="L2389" s="2303">
        <v>3200000</v>
      </c>
      <c r="M2389" s="2302">
        <v>36</v>
      </c>
      <c r="N2389" s="2303">
        <v>6070000</v>
      </c>
      <c r="O2389" s="2302">
        <v>12</v>
      </c>
      <c r="P2389" s="2303">
        <v>3000000</v>
      </c>
      <c r="Q2389" s="2219">
        <v>3</v>
      </c>
      <c r="R2389" s="2303">
        <v>0</v>
      </c>
      <c r="S2389" s="2219">
        <v>3</v>
      </c>
      <c r="T2389" s="2309">
        <v>960000</v>
      </c>
      <c r="U2389" s="2219"/>
      <c r="V2389" s="2306"/>
      <c r="W2389" s="2219"/>
      <c r="X2389" s="2306"/>
      <c r="Y2389" s="2219">
        <f t="shared" si="666"/>
        <v>6</v>
      </c>
      <c r="Z2389" s="2306">
        <f t="shared" si="666"/>
        <v>960000</v>
      </c>
      <c r="AA2389" s="2219">
        <f t="shared" si="667"/>
        <v>42</v>
      </c>
      <c r="AB2389" s="2307">
        <f t="shared" si="667"/>
        <v>7030000</v>
      </c>
      <c r="AC2389" s="2308">
        <f t="shared" si="668"/>
        <v>58.333333333333336</v>
      </c>
      <c r="AD2389" s="2308">
        <f t="shared" si="668"/>
        <v>219.6875</v>
      </c>
      <c r="AE2389" s="2215"/>
    </row>
    <row r="2390" spans="1:71" s="2131" customFormat="1" ht="38.25">
      <c r="A2390" s="2296">
        <v>5</v>
      </c>
      <c r="B2390" s="2301"/>
      <c r="C2390" s="2298">
        <v>5</v>
      </c>
      <c r="D2390" s="2299" t="s">
        <v>34</v>
      </c>
      <c r="E2390" s="2299" t="s">
        <v>25</v>
      </c>
      <c r="F2390" s="2299" t="s">
        <v>25</v>
      </c>
      <c r="G2390" s="2299"/>
      <c r="H2390" s="2299" t="s">
        <v>31</v>
      </c>
      <c r="I2390" s="2300" t="s">
        <v>32</v>
      </c>
      <c r="J2390" s="2301" t="s">
        <v>3793</v>
      </c>
      <c r="K2390" s="2302">
        <v>72</v>
      </c>
      <c r="L2390" s="2303">
        <v>129877000</v>
      </c>
      <c r="M2390" s="2304">
        <v>36</v>
      </c>
      <c r="N2390" s="2303">
        <v>52029521</v>
      </c>
      <c r="O2390" s="2304">
        <v>12</v>
      </c>
      <c r="P2390" s="2303">
        <v>23263000</v>
      </c>
      <c r="Q2390" s="2219">
        <v>3</v>
      </c>
      <c r="R2390" s="2303">
        <v>2500000</v>
      </c>
      <c r="S2390" s="2219">
        <v>3</v>
      </c>
      <c r="T2390" s="2310">
        <v>8200000</v>
      </c>
      <c r="U2390" s="2219"/>
      <c r="V2390" s="2306"/>
      <c r="W2390" s="2219"/>
      <c r="X2390" s="2306"/>
      <c r="Y2390" s="2219">
        <f t="shared" si="666"/>
        <v>6</v>
      </c>
      <c r="Z2390" s="2306">
        <f t="shared" si="666"/>
        <v>10700000</v>
      </c>
      <c r="AA2390" s="2219">
        <f t="shared" si="667"/>
        <v>42</v>
      </c>
      <c r="AB2390" s="2307">
        <f t="shared" si="667"/>
        <v>62729521</v>
      </c>
      <c r="AC2390" s="2308">
        <f t="shared" si="668"/>
        <v>58.333333333333336</v>
      </c>
      <c r="AD2390" s="2308">
        <f t="shared" si="668"/>
        <v>48.29917614358201</v>
      </c>
      <c r="AE2390" s="2215"/>
    </row>
    <row r="2391" spans="1:71" s="2131" customFormat="1" ht="38.25">
      <c r="A2391" s="2296">
        <v>6</v>
      </c>
      <c r="B2391" s="2301"/>
      <c r="C2391" s="2298">
        <v>5</v>
      </c>
      <c r="D2391" s="2299" t="s">
        <v>34</v>
      </c>
      <c r="E2391" s="2299" t="s">
        <v>25</v>
      </c>
      <c r="F2391" s="2299" t="s">
        <v>25</v>
      </c>
      <c r="G2391" s="2299"/>
      <c r="H2391" s="2299" t="s">
        <v>62</v>
      </c>
      <c r="I2391" s="2300" t="s">
        <v>155</v>
      </c>
      <c r="J2391" s="2297" t="s">
        <v>3794</v>
      </c>
      <c r="K2391" s="2302">
        <v>72</v>
      </c>
      <c r="L2391" s="2303">
        <v>112116800</v>
      </c>
      <c r="M2391" s="2302">
        <v>36</v>
      </c>
      <c r="N2391" s="2303">
        <v>39243475</v>
      </c>
      <c r="O2391" s="2302">
        <v>12</v>
      </c>
      <c r="P2391" s="2303">
        <v>14891400</v>
      </c>
      <c r="Q2391" s="2219">
        <v>3</v>
      </c>
      <c r="R2391" s="2303">
        <v>1600000</v>
      </c>
      <c r="S2391" s="2219">
        <v>3</v>
      </c>
      <c r="T2391" s="2310">
        <v>3000000</v>
      </c>
      <c r="U2391" s="2219"/>
      <c r="V2391" s="2306"/>
      <c r="W2391" s="2219"/>
      <c r="X2391" s="2306"/>
      <c r="Y2391" s="2219">
        <f t="shared" si="666"/>
        <v>6</v>
      </c>
      <c r="Z2391" s="2306">
        <f t="shared" si="666"/>
        <v>4600000</v>
      </c>
      <c r="AA2391" s="2219">
        <f t="shared" si="667"/>
        <v>42</v>
      </c>
      <c r="AB2391" s="2307">
        <f t="shared" si="667"/>
        <v>43843475</v>
      </c>
      <c r="AC2391" s="2308">
        <f t="shared" si="668"/>
        <v>58.333333333333336</v>
      </c>
      <c r="AD2391" s="2308">
        <f t="shared" si="668"/>
        <v>39.105178706491799</v>
      </c>
      <c r="AE2391" s="2215"/>
    </row>
    <row r="2392" spans="1:71" s="2131" customFormat="1" ht="51">
      <c r="A2392" s="2296">
        <v>7</v>
      </c>
      <c r="B2392" s="2301"/>
      <c r="C2392" s="2298">
        <v>5</v>
      </c>
      <c r="D2392" s="2299" t="s">
        <v>34</v>
      </c>
      <c r="E2392" s="2299" t="s">
        <v>25</v>
      </c>
      <c r="F2392" s="2299" t="s">
        <v>25</v>
      </c>
      <c r="G2392" s="2299"/>
      <c r="H2392" s="2299" t="s">
        <v>52</v>
      </c>
      <c r="I2392" s="2300" t="s">
        <v>156</v>
      </c>
      <c r="J2392" s="2297" t="s">
        <v>3795</v>
      </c>
      <c r="K2392" s="2302">
        <v>72</v>
      </c>
      <c r="L2392" s="2303">
        <v>24298000</v>
      </c>
      <c r="M2392" s="2302">
        <v>36</v>
      </c>
      <c r="N2392" s="2303">
        <v>9951240</v>
      </c>
      <c r="O2392" s="2302">
        <v>12</v>
      </c>
      <c r="P2392" s="2303">
        <v>4951000</v>
      </c>
      <c r="Q2392" s="2219">
        <v>3</v>
      </c>
      <c r="R2392" s="2303">
        <v>0</v>
      </c>
      <c r="S2392" s="2219">
        <v>3</v>
      </c>
      <c r="T2392" s="2310">
        <v>260000</v>
      </c>
      <c r="U2392" s="2219"/>
      <c r="V2392" s="2306"/>
      <c r="W2392" s="2219"/>
      <c r="X2392" s="2306"/>
      <c r="Y2392" s="2219">
        <f t="shared" si="666"/>
        <v>6</v>
      </c>
      <c r="Z2392" s="2306">
        <f t="shared" si="666"/>
        <v>260000</v>
      </c>
      <c r="AA2392" s="2219">
        <f t="shared" si="667"/>
        <v>42</v>
      </c>
      <c r="AB2392" s="2307">
        <f t="shared" si="667"/>
        <v>10211240</v>
      </c>
      <c r="AC2392" s="2308">
        <f t="shared" si="668"/>
        <v>58.333333333333336</v>
      </c>
      <c r="AD2392" s="2308">
        <f t="shared" si="668"/>
        <v>42.025022635607868</v>
      </c>
      <c r="AE2392" s="2215"/>
    </row>
    <row r="2393" spans="1:71" s="2131" customFormat="1" ht="25.5">
      <c r="A2393" s="2296">
        <v>8</v>
      </c>
      <c r="B2393" s="2301"/>
      <c r="C2393" s="2298">
        <v>5</v>
      </c>
      <c r="D2393" s="2299" t="s">
        <v>25</v>
      </c>
      <c r="E2393" s="2299" t="s">
        <v>25</v>
      </c>
      <c r="F2393" s="2298"/>
      <c r="G2393" s="2298"/>
      <c r="H2393" s="2299" t="s">
        <v>45</v>
      </c>
      <c r="I2393" s="2300" t="s">
        <v>73</v>
      </c>
      <c r="J2393" s="2297" t="s">
        <v>3796</v>
      </c>
      <c r="K2393" s="2302">
        <v>72</v>
      </c>
      <c r="L2393" s="2303">
        <v>28600000</v>
      </c>
      <c r="M2393" s="2304">
        <v>36</v>
      </c>
      <c r="N2393" s="2303">
        <v>11680000</v>
      </c>
      <c r="O2393" s="2304">
        <v>12</v>
      </c>
      <c r="P2393" s="2303">
        <v>4320000</v>
      </c>
      <c r="Q2393" s="2219">
        <v>3</v>
      </c>
      <c r="R2393" s="2303">
        <v>520000</v>
      </c>
      <c r="S2393" s="2219">
        <v>3</v>
      </c>
      <c r="T2393" s="2310">
        <v>780000</v>
      </c>
      <c r="U2393" s="2219"/>
      <c r="V2393" s="2306"/>
      <c r="W2393" s="2219"/>
      <c r="X2393" s="2306"/>
      <c r="Y2393" s="2219">
        <f t="shared" si="666"/>
        <v>6</v>
      </c>
      <c r="Z2393" s="2306">
        <f t="shared" si="666"/>
        <v>1300000</v>
      </c>
      <c r="AA2393" s="2219">
        <f t="shared" si="667"/>
        <v>42</v>
      </c>
      <c r="AB2393" s="2307">
        <f t="shared" si="667"/>
        <v>12980000</v>
      </c>
      <c r="AC2393" s="2308">
        <f t="shared" si="668"/>
        <v>58.333333333333336</v>
      </c>
      <c r="AD2393" s="2308">
        <f t="shared" si="668"/>
        <v>45.384615384615387</v>
      </c>
      <c r="AE2393" s="2215"/>
    </row>
    <row r="2394" spans="1:71" s="2131" customFormat="1" ht="25.5">
      <c r="A2394" s="2296">
        <v>9</v>
      </c>
      <c r="B2394" s="2301"/>
      <c r="C2394" s="2298">
        <v>5</v>
      </c>
      <c r="D2394" s="2299" t="s">
        <v>25</v>
      </c>
      <c r="E2394" s="2299" t="s">
        <v>25</v>
      </c>
      <c r="F2394" s="2298"/>
      <c r="G2394" s="2298"/>
      <c r="H2394" s="2299" t="s">
        <v>74</v>
      </c>
      <c r="I2394" s="2300" t="s">
        <v>75</v>
      </c>
      <c r="J2394" s="2297" t="s">
        <v>3797</v>
      </c>
      <c r="K2394" s="2302">
        <v>72</v>
      </c>
      <c r="L2394" s="2303">
        <v>156682000</v>
      </c>
      <c r="M2394" s="2302">
        <v>36</v>
      </c>
      <c r="N2394" s="2303">
        <v>81432000</v>
      </c>
      <c r="O2394" s="2302">
        <v>12</v>
      </c>
      <c r="P2394" s="2303">
        <v>44000000</v>
      </c>
      <c r="Q2394" s="2219">
        <v>3</v>
      </c>
      <c r="R2394" s="2303">
        <v>7535000</v>
      </c>
      <c r="S2394" s="2219">
        <v>3</v>
      </c>
      <c r="T2394" s="2310">
        <v>15950000</v>
      </c>
      <c r="U2394" s="2219"/>
      <c r="V2394" s="2306"/>
      <c r="W2394" s="2219"/>
      <c r="X2394" s="2306"/>
      <c r="Y2394" s="2219">
        <f t="shared" si="666"/>
        <v>6</v>
      </c>
      <c r="Z2394" s="2306">
        <f t="shared" si="666"/>
        <v>23485000</v>
      </c>
      <c r="AA2394" s="2219">
        <f t="shared" si="667"/>
        <v>42</v>
      </c>
      <c r="AB2394" s="2307">
        <f t="shared" si="667"/>
        <v>104917000</v>
      </c>
      <c r="AC2394" s="2308">
        <f t="shared" si="668"/>
        <v>58.333333333333336</v>
      </c>
      <c r="AD2394" s="2308">
        <f t="shared" si="668"/>
        <v>66.961744169719566</v>
      </c>
      <c r="AE2394" s="2215"/>
    </row>
    <row r="2395" spans="1:71" s="2131" customFormat="1" ht="51">
      <c r="A2395" s="2296">
        <v>10</v>
      </c>
      <c r="B2395" s="2301"/>
      <c r="C2395" s="2298">
        <v>5</v>
      </c>
      <c r="D2395" s="2299" t="s">
        <v>25</v>
      </c>
      <c r="E2395" s="2299" t="s">
        <v>25</v>
      </c>
      <c r="F2395" s="2298"/>
      <c r="G2395" s="2298"/>
      <c r="H2395" s="2299" t="s">
        <v>44</v>
      </c>
      <c r="I2395" s="2300" t="s">
        <v>76</v>
      </c>
      <c r="J2395" s="2297" t="s">
        <v>3798</v>
      </c>
      <c r="K2395" s="2302">
        <v>72</v>
      </c>
      <c r="L2395" s="2303">
        <v>186000000</v>
      </c>
      <c r="M2395" s="2304">
        <v>36</v>
      </c>
      <c r="N2395" s="2303">
        <v>89044600</v>
      </c>
      <c r="O2395" s="2302">
        <v>12</v>
      </c>
      <c r="P2395" s="2303">
        <v>6600000</v>
      </c>
      <c r="Q2395" s="2219">
        <v>3</v>
      </c>
      <c r="R2395" s="2303">
        <v>0</v>
      </c>
      <c r="S2395" s="2219">
        <v>3</v>
      </c>
      <c r="T2395" s="2311">
        <v>500000</v>
      </c>
      <c r="U2395" s="2219"/>
      <c r="V2395" s="2306"/>
      <c r="W2395" s="2219"/>
      <c r="X2395" s="2306"/>
      <c r="Y2395" s="2219">
        <f t="shared" si="666"/>
        <v>6</v>
      </c>
      <c r="Z2395" s="2306">
        <f t="shared" si="666"/>
        <v>500000</v>
      </c>
      <c r="AA2395" s="2219">
        <f t="shared" si="667"/>
        <v>42</v>
      </c>
      <c r="AB2395" s="2307">
        <f t="shared" si="667"/>
        <v>89544600</v>
      </c>
      <c r="AC2395" s="2308">
        <f t="shared" si="668"/>
        <v>58.333333333333336</v>
      </c>
      <c r="AD2395" s="2308">
        <f t="shared" si="668"/>
        <v>48.142258064516128</v>
      </c>
      <c r="AE2395" s="2215"/>
    </row>
    <row r="2396" spans="1:71" s="2131" customFormat="1" ht="51">
      <c r="A2396" s="2296">
        <v>11</v>
      </c>
      <c r="B2396" s="2301"/>
      <c r="C2396" s="2298">
        <v>5</v>
      </c>
      <c r="D2396" s="2299" t="s">
        <v>25</v>
      </c>
      <c r="E2396" s="2299" t="s">
        <v>25</v>
      </c>
      <c r="F2396" s="2298"/>
      <c r="G2396" s="2298"/>
      <c r="H2396" s="2299" t="s">
        <v>54</v>
      </c>
      <c r="I2396" s="2300" t="s">
        <v>77</v>
      </c>
      <c r="J2396" s="2297" t="s">
        <v>3799</v>
      </c>
      <c r="K2396" s="2302">
        <v>72</v>
      </c>
      <c r="L2396" s="2303">
        <v>260000000</v>
      </c>
      <c r="M2396" s="2304">
        <v>36</v>
      </c>
      <c r="N2396" s="2303">
        <v>120280000</v>
      </c>
      <c r="O2396" s="2302">
        <v>12</v>
      </c>
      <c r="P2396" s="2303">
        <v>23390000</v>
      </c>
      <c r="Q2396" s="2219">
        <v>3</v>
      </c>
      <c r="R2396" s="2303">
        <v>6675000</v>
      </c>
      <c r="S2396" s="2219">
        <v>3</v>
      </c>
      <c r="T2396" s="2306">
        <v>8475000</v>
      </c>
      <c r="U2396" s="2219"/>
      <c r="V2396" s="2306"/>
      <c r="W2396" s="2219"/>
      <c r="X2396" s="2306"/>
      <c r="Y2396" s="2219">
        <f t="shared" si="666"/>
        <v>6</v>
      </c>
      <c r="Z2396" s="2306">
        <f t="shared" si="666"/>
        <v>15150000</v>
      </c>
      <c r="AA2396" s="2219">
        <f t="shared" si="667"/>
        <v>42</v>
      </c>
      <c r="AB2396" s="2307">
        <f t="shared" si="667"/>
        <v>135430000</v>
      </c>
      <c r="AC2396" s="2308">
        <f t="shared" si="668"/>
        <v>58.333333333333336</v>
      </c>
      <c r="AD2396" s="2308">
        <f t="shared" si="668"/>
        <v>52.088461538461537</v>
      </c>
      <c r="AE2396" s="2215"/>
    </row>
    <row r="2397" spans="1:71" s="2161" customFormat="1" ht="51">
      <c r="A2397" s="2196" t="s">
        <v>114</v>
      </c>
      <c r="B2397" s="2312"/>
      <c r="C2397" s="2204">
        <v>5</v>
      </c>
      <c r="D2397" s="2205" t="s">
        <v>25</v>
      </c>
      <c r="E2397" s="2205" t="s">
        <v>25</v>
      </c>
      <c r="F2397" s="2204"/>
      <c r="G2397" s="2205" t="s">
        <v>56</v>
      </c>
      <c r="H2397" s="2205"/>
      <c r="I2397" s="2206" t="s">
        <v>175</v>
      </c>
      <c r="J2397" s="2312" t="s">
        <v>3800</v>
      </c>
      <c r="K2397" s="2207" t="s">
        <v>113</v>
      </c>
      <c r="L2397" s="2208">
        <f>SUM(L2398)</f>
        <v>51082800</v>
      </c>
      <c r="M2397" s="2207" t="s">
        <v>3538</v>
      </c>
      <c r="N2397" s="2208">
        <f>SUM(N2398)</f>
        <v>19265300</v>
      </c>
      <c r="O2397" s="2207" t="s">
        <v>114</v>
      </c>
      <c r="P2397" s="2208">
        <f>SUM(P2398)</f>
        <v>0</v>
      </c>
      <c r="Q2397" s="2210"/>
      <c r="R2397" s="2208">
        <f>SUM(R2398)</f>
        <v>0</v>
      </c>
      <c r="S2397" s="2210"/>
      <c r="T2397" s="2208">
        <f>SUM(T2398)</f>
        <v>0</v>
      </c>
      <c r="U2397" s="2210"/>
      <c r="V2397" s="2208">
        <f>SUM(V2398)</f>
        <v>0</v>
      </c>
      <c r="W2397" s="2210"/>
      <c r="X2397" s="2208">
        <f>SUM(X2398)</f>
        <v>0</v>
      </c>
      <c r="Y2397" s="2210">
        <f t="shared" si="666"/>
        <v>0</v>
      </c>
      <c r="Z2397" s="2313">
        <f t="shared" si="666"/>
        <v>0</v>
      </c>
      <c r="AA2397" s="2210" t="s">
        <v>114</v>
      </c>
      <c r="AB2397" s="2213">
        <f t="shared" si="667"/>
        <v>19265300</v>
      </c>
      <c r="AC2397" s="2214">
        <v>95</v>
      </c>
      <c r="AD2397" s="2214">
        <f t="shared" si="668"/>
        <v>37.713868464532091</v>
      </c>
      <c r="AE2397" s="2196" t="s">
        <v>3787</v>
      </c>
    </row>
    <row r="2398" spans="1:71" s="2131" customFormat="1" ht="51">
      <c r="A2398" s="2296"/>
      <c r="B2398" s="2297"/>
      <c r="C2398" s="2314">
        <v>5</v>
      </c>
      <c r="D2398" s="2315" t="s">
        <v>25</v>
      </c>
      <c r="E2398" s="2315" t="s">
        <v>25</v>
      </c>
      <c r="F2398" s="2314"/>
      <c r="G2398" s="2315" t="s">
        <v>56</v>
      </c>
      <c r="H2398" s="2315" t="s">
        <v>25</v>
      </c>
      <c r="I2398" s="2300" t="s">
        <v>3801</v>
      </c>
      <c r="J2398" s="2297" t="s">
        <v>3802</v>
      </c>
      <c r="K2398" s="2199">
        <v>16</v>
      </c>
      <c r="L2398" s="2303">
        <v>51082800</v>
      </c>
      <c r="M2398" s="2302">
        <v>8</v>
      </c>
      <c r="N2398" s="2303">
        <v>19265300</v>
      </c>
      <c r="O2398" s="2302">
        <v>0</v>
      </c>
      <c r="P2398" s="2303">
        <v>0</v>
      </c>
      <c r="Q2398" s="2219">
        <v>0</v>
      </c>
      <c r="R2398" s="2303"/>
      <c r="S2398" s="2219">
        <v>0</v>
      </c>
      <c r="T2398" s="2306">
        <v>0</v>
      </c>
      <c r="U2398" s="2219"/>
      <c r="V2398" s="2306"/>
      <c r="W2398" s="2219"/>
      <c r="X2398" s="2306"/>
      <c r="Y2398" s="2219">
        <f t="shared" si="666"/>
        <v>0</v>
      </c>
      <c r="Z2398" s="2306">
        <f t="shared" si="666"/>
        <v>0</v>
      </c>
      <c r="AA2398" s="2219">
        <f t="shared" si="667"/>
        <v>8</v>
      </c>
      <c r="AB2398" s="2307">
        <f t="shared" si="667"/>
        <v>19265300</v>
      </c>
      <c r="AC2398" s="2308">
        <f t="shared" si="668"/>
        <v>50</v>
      </c>
      <c r="AD2398" s="2308">
        <f t="shared" si="668"/>
        <v>37.713868464532091</v>
      </c>
      <c r="AE2398" s="2215"/>
    </row>
    <row r="2399" spans="1:71" s="2161" customFormat="1" ht="76.5">
      <c r="A2399" s="2196" t="s">
        <v>3538</v>
      </c>
      <c r="B2399" s="2206"/>
      <c r="C2399" s="2205" t="s">
        <v>3803</v>
      </c>
      <c r="D2399" s="2205" t="s">
        <v>34</v>
      </c>
      <c r="E2399" s="2205" t="s">
        <v>25</v>
      </c>
      <c r="F2399" s="2205" t="s">
        <v>28</v>
      </c>
      <c r="G2399" s="2205"/>
      <c r="H2399" s="2204"/>
      <c r="I2399" s="2206" t="s">
        <v>3804</v>
      </c>
      <c r="J2399" s="2206" t="s">
        <v>3805</v>
      </c>
      <c r="K2399" s="2207">
        <v>72</v>
      </c>
      <c r="L2399" s="2208">
        <f>SUM(L2400:L2404)</f>
        <v>511755060</v>
      </c>
      <c r="M2399" s="2207">
        <v>24</v>
      </c>
      <c r="N2399" s="2208">
        <f>SUM(N2400:N2404)</f>
        <v>310393254</v>
      </c>
      <c r="O2399" s="2207">
        <v>12</v>
      </c>
      <c r="P2399" s="2208">
        <f>SUM(P2400:P2404)</f>
        <v>102921000</v>
      </c>
      <c r="Q2399" s="2210">
        <v>3</v>
      </c>
      <c r="R2399" s="2208">
        <f>SUM(R2400:R2404)</f>
        <v>70747000</v>
      </c>
      <c r="S2399" s="2210">
        <v>3</v>
      </c>
      <c r="T2399" s="2313">
        <f>SUM(T2400:T2404)</f>
        <v>9581800</v>
      </c>
      <c r="U2399" s="2210"/>
      <c r="V2399" s="2313">
        <f>SUM(V2400:V2404)</f>
        <v>0</v>
      </c>
      <c r="W2399" s="2210"/>
      <c r="X2399" s="2313">
        <f>SUM(X2400:X2404)</f>
        <v>0</v>
      </c>
      <c r="Y2399" s="2210">
        <f t="shared" si="666"/>
        <v>6</v>
      </c>
      <c r="Z2399" s="2313">
        <f t="shared" si="666"/>
        <v>80328800</v>
      </c>
      <c r="AA2399" s="2210">
        <f t="shared" si="667"/>
        <v>30</v>
      </c>
      <c r="AB2399" s="2213">
        <f t="shared" si="667"/>
        <v>390722054</v>
      </c>
      <c r="AC2399" s="2214">
        <f t="shared" si="668"/>
        <v>41.666666666666671</v>
      </c>
      <c r="AD2399" s="2214">
        <f t="shared" si="668"/>
        <v>76.349426618273199</v>
      </c>
      <c r="AE2399" s="2196" t="s">
        <v>3787</v>
      </c>
    </row>
    <row r="2400" spans="1:71" s="2131" customFormat="1" ht="51">
      <c r="A2400" s="2296">
        <v>1</v>
      </c>
      <c r="B2400" s="2300"/>
      <c r="C2400" s="2299" t="s">
        <v>3803</v>
      </c>
      <c r="D2400" s="2299" t="s">
        <v>34</v>
      </c>
      <c r="E2400" s="2299" t="s">
        <v>25</v>
      </c>
      <c r="F2400" s="2299" t="s">
        <v>28</v>
      </c>
      <c r="G2400" s="2299"/>
      <c r="H2400" s="2299" t="s">
        <v>56</v>
      </c>
      <c r="I2400" s="2300" t="s">
        <v>3806</v>
      </c>
      <c r="J2400" s="2316" t="s">
        <v>3807</v>
      </c>
      <c r="K2400" s="2302">
        <v>2</v>
      </c>
      <c r="L2400" s="2317">
        <v>40200000</v>
      </c>
      <c r="M2400" s="2302">
        <v>7</v>
      </c>
      <c r="N2400" s="2317">
        <v>62400000</v>
      </c>
      <c r="O2400" s="2302">
        <v>0</v>
      </c>
      <c r="P2400" s="2303">
        <v>0</v>
      </c>
      <c r="Q2400" s="2219">
        <v>0</v>
      </c>
      <c r="R2400" s="2303">
        <v>0</v>
      </c>
      <c r="S2400" s="2219">
        <v>0</v>
      </c>
      <c r="T2400" s="2309">
        <v>0</v>
      </c>
      <c r="U2400" s="2219"/>
      <c r="V2400" s="2306"/>
      <c r="W2400" s="2219"/>
      <c r="X2400" s="2306"/>
      <c r="Y2400" s="2219">
        <f t="shared" si="666"/>
        <v>0</v>
      </c>
      <c r="Z2400" s="2306">
        <f t="shared" si="666"/>
        <v>0</v>
      </c>
      <c r="AA2400" s="2219">
        <f t="shared" si="667"/>
        <v>7</v>
      </c>
      <c r="AB2400" s="2307">
        <f t="shared" si="667"/>
        <v>62400000</v>
      </c>
      <c r="AC2400" s="2308">
        <f t="shared" si="668"/>
        <v>350</v>
      </c>
      <c r="AD2400" s="2308">
        <f t="shared" si="668"/>
        <v>155.22388059701493</v>
      </c>
      <c r="AE2400" s="2215"/>
    </row>
    <row r="2401" spans="1:31" s="2131" customFormat="1" ht="38.25">
      <c r="A2401" s="2296"/>
      <c r="B2401" s="2300"/>
      <c r="C2401" s="2299"/>
      <c r="D2401" s="2299"/>
      <c r="E2401" s="2299"/>
      <c r="F2401" s="2299"/>
      <c r="G2401" s="2299"/>
      <c r="H2401" s="2299" t="s">
        <v>43</v>
      </c>
      <c r="I2401" s="2300" t="s">
        <v>127</v>
      </c>
      <c r="J2401" s="2316" t="s">
        <v>3808</v>
      </c>
      <c r="K2401" s="2302">
        <v>72</v>
      </c>
      <c r="L2401" s="2317">
        <v>200000000</v>
      </c>
      <c r="M2401" s="2302">
        <v>36</v>
      </c>
      <c r="N2401" s="2317">
        <v>122747823</v>
      </c>
      <c r="O2401" s="2302">
        <v>12</v>
      </c>
      <c r="P2401" s="2303">
        <v>76000000</v>
      </c>
      <c r="Q2401" s="2219">
        <v>3</v>
      </c>
      <c r="R2401" s="2303">
        <v>62000000</v>
      </c>
      <c r="S2401" s="2219">
        <v>3</v>
      </c>
      <c r="T2401" s="2309">
        <v>0</v>
      </c>
      <c r="U2401" s="2219"/>
      <c r="V2401" s="2306"/>
      <c r="W2401" s="2219"/>
      <c r="X2401" s="2306"/>
      <c r="Y2401" s="2219">
        <f t="shared" si="666"/>
        <v>6</v>
      </c>
      <c r="Z2401" s="2306">
        <f t="shared" si="666"/>
        <v>62000000</v>
      </c>
      <c r="AA2401" s="2219">
        <f t="shared" si="667"/>
        <v>42</v>
      </c>
      <c r="AB2401" s="2307">
        <f t="shared" si="667"/>
        <v>184747823</v>
      </c>
      <c r="AC2401" s="2308">
        <f t="shared" si="668"/>
        <v>58.333333333333336</v>
      </c>
      <c r="AD2401" s="2308">
        <f t="shared" si="668"/>
        <v>92.373911500000006</v>
      </c>
      <c r="AE2401" s="2215"/>
    </row>
    <row r="2402" spans="1:31" s="2131" customFormat="1" ht="25.5">
      <c r="A2402" s="2296">
        <v>2</v>
      </c>
      <c r="B2402" s="2316"/>
      <c r="C2402" s="2299" t="s">
        <v>3803</v>
      </c>
      <c r="D2402" s="2299" t="s">
        <v>34</v>
      </c>
      <c r="E2402" s="2299" t="s">
        <v>25</v>
      </c>
      <c r="F2402" s="2299" t="s">
        <v>28</v>
      </c>
      <c r="G2402" s="2299"/>
      <c r="H2402" s="2299" t="s">
        <v>61</v>
      </c>
      <c r="I2402" s="2300" t="s">
        <v>3809</v>
      </c>
      <c r="J2402" s="2316" t="s">
        <v>3810</v>
      </c>
      <c r="K2402" s="2302">
        <v>72</v>
      </c>
      <c r="L2402" s="2317">
        <v>78867500</v>
      </c>
      <c r="M2402" s="2302">
        <v>36</v>
      </c>
      <c r="N2402" s="2317">
        <v>45016571</v>
      </c>
      <c r="O2402" s="2302">
        <v>12</v>
      </c>
      <c r="P2402" s="2303">
        <v>6547000</v>
      </c>
      <c r="Q2402" s="2219">
        <v>3</v>
      </c>
      <c r="R2402" s="2303">
        <v>6547000</v>
      </c>
      <c r="S2402" s="2219">
        <v>3</v>
      </c>
      <c r="T2402" s="2309">
        <v>0</v>
      </c>
      <c r="U2402" s="2219"/>
      <c r="V2402" s="2306"/>
      <c r="W2402" s="2219"/>
      <c r="X2402" s="2306"/>
      <c r="Y2402" s="2219">
        <f t="shared" si="666"/>
        <v>6</v>
      </c>
      <c r="Z2402" s="2306">
        <f t="shared" si="666"/>
        <v>6547000</v>
      </c>
      <c r="AA2402" s="2219">
        <f t="shared" si="667"/>
        <v>42</v>
      </c>
      <c r="AB2402" s="2307">
        <f t="shared" si="667"/>
        <v>51563571</v>
      </c>
      <c r="AC2402" s="2308">
        <f t="shared" si="668"/>
        <v>58.333333333333336</v>
      </c>
      <c r="AD2402" s="2308">
        <f t="shared" si="668"/>
        <v>65.379999366025302</v>
      </c>
      <c r="AE2402" s="2215"/>
    </row>
    <row r="2403" spans="1:31" s="2131" customFormat="1" ht="25.5">
      <c r="A2403" s="2296">
        <v>4</v>
      </c>
      <c r="B2403" s="2316"/>
      <c r="C2403" s="2299">
        <v>5</v>
      </c>
      <c r="D2403" s="2299" t="s">
        <v>34</v>
      </c>
      <c r="E2403" s="2299" t="s">
        <v>25</v>
      </c>
      <c r="F2403" s="2299" t="s">
        <v>28</v>
      </c>
      <c r="G2403" s="2299"/>
      <c r="H2403" s="2299">
        <v>22</v>
      </c>
      <c r="I2403" s="2300" t="s">
        <v>3811</v>
      </c>
      <c r="J2403" s="2316" t="s">
        <v>3812</v>
      </c>
      <c r="K2403" s="2302">
        <v>6</v>
      </c>
      <c r="L2403" s="2303">
        <v>34600000</v>
      </c>
      <c r="M2403" s="2304">
        <v>2</v>
      </c>
      <c r="N2403" s="2317">
        <v>9600000</v>
      </c>
      <c r="O2403" s="2302">
        <v>0</v>
      </c>
      <c r="P2403" s="2303">
        <v>0</v>
      </c>
      <c r="Q2403" s="2219">
        <v>0</v>
      </c>
      <c r="R2403" s="2303"/>
      <c r="S2403" s="2219">
        <v>0</v>
      </c>
      <c r="T2403" s="2702">
        <v>0</v>
      </c>
      <c r="U2403" s="2219"/>
      <c r="V2403" s="2318"/>
      <c r="W2403" s="2219"/>
      <c r="X2403" s="2318"/>
      <c r="Y2403" s="2219">
        <f t="shared" si="666"/>
        <v>0</v>
      </c>
      <c r="Z2403" s="2306">
        <f t="shared" si="666"/>
        <v>0</v>
      </c>
      <c r="AA2403" s="2219">
        <f t="shared" si="667"/>
        <v>2</v>
      </c>
      <c r="AB2403" s="2307">
        <f t="shared" si="667"/>
        <v>9600000</v>
      </c>
      <c r="AC2403" s="2308">
        <f t="shared" si="668"/>
        <v>33.333333333333329</v>
      </c>
      <c r="AD2403" s="2308">
        <f t="shared" si="668"/>
        <v>27.74566473988439</v>
      </c>
      <c r="AE2403" s="2215"/>
    </row>
    <row r="2404" spans="1:31" s="2131" customFormat="1" ht="25.5">
      <c r="A2404" s="2296">
        <v>5</v>
      </c>
      <c r="B2404" s="2316"/>
      <c r="C2404" s="2299" t="s">
        <v>3803</v>
      </c>
      <c r="D2404" s="2299" t="s">
        <v>34</v>
      </c>
      <c r="E2404" s="2299" t="s">
        <v>25</v>
      </c>
      <c r="F2404" s="2299" t="s">
        <v>28</v>
      </c>
      <c r="G2404" s="2299"/>
      <c r="H2404" s="2299" t="s">
        <v>84</v>
      </c>
      <c r="I2404" s="2300" t="s">
        <v>3813</v>
      </c>
      <c r="J2404" s="2316" t="s">
        <v>3814</v>
      </c>
      <c r="K2404" s="2302">
        <v>72</v>
      </c>
      <c r="L2404" s="2303">
        <v>158087560</v>
      </c>
      <c r="M2404" s="2304">
        <v>33</v>
      </c>
      <c r="N2404" s="2303">
        <v>70628860</v>
      </c>
      <c r="O2404" s="2302">
        <v>12</v>
      </c>
      <c r="P2404" s="2303">
        <v>20374000</v>
      </c>
      <c r="Q2404" s="2219">
        <v>3</v>
      </c>
      <c r="R2404" s="2303">
        <v>2200000</v>
      </c>
      <c r="S2404" s="2219">
        <v>3</v>
      </c>
      <c r="T2404" s="2306">
        <v>9581800</v>
      </c>
      <c r="U2404" s="2219"/>
      <c r="V2404" s="2306"/>
      <c r="W2404" s="2219"/>
      <c r="X2404" s="2306"/>
      <c r="Y2404" s="2219">
        <f t="shared" si="666"/>
        <v>6</v>
      </c>
      <c r="Z2404" s="2306">
        <f t="shared" si="666"/>
        <v>11781800</v>
      </c>
      <c r="AA2404" s="2219">
        <f t="shared" si="667"/>
        <v>39</v>
      </c>
      <c r="AB2404" s="2307">
        <f t="shared" si="667"/>
        <v>82410660</v>
      </c>
      <c r="AC2404" s="2308">
        <f t="shared" si="668"/>
        <v>54.166666666666664</v>
      </c>
      <c r="AD2404" s="2308">
        <f t="shared" si="668"/>
        <v>52.129756446364283</v>
      </c>
      <c r="AE2404" s="2215"/>
    </row>
    <row r="2405" spans="1:31" s="2161" customFormat="1" ht="33" customHeight="1">
      <c r="A2405" s="2196" t="s">
        <v>3543</v>
      </c>
      <c r="B2405" s="2194"/>
      <c r="C2405" s="2204">
        <v>5</v>
      </c>
      <c r="D2405" s="2205">
        <v>0</v>
      </c>
      <c r="E2405" s="2205">
        <v>1</v>
      </c>
      <c r="F2405" s="2205">
        <v>21</v>
      </c>
      <c r="G2405" s="2205"/>
      <c r="H2405" s="2205"/>
      <c r="I2405" s="2206" t="s">
        <v>3590</v>
      </c>
      <c r="J2405" s="2194" t="s">
        <v>3591</v>
      </c>
      <c r="K2405" s="2207" t="s">
        <v>3063</v>
      </c>
      <c r="L2405" s="2208">
        <f>SUM(L2406:L2406)</f>
        <v>100000000</v>
      </c>
      <c r="M2405" s="2207" t="s">
        <v>3063</v>
      </c>
      <c r="N2405" s="2208">
        <f>SUM(N2406:N2406)</f>
        <v>29625000</v>
      </c>
      <c r="O2405" s="2207" t="s">
        <v>3063</v>
      </c>
      <c r="P2405" s="2208">
        <f>SUM(P2406:P2406)</f>
        <v>5500000</v>
      </c>
      <c r="Q2405" s="2210">
        <v>0</v>
      </c>
      <c r="R2405" s="2208">
        <f>SUM(R2406:R2406)</f>
        <v>0</v>
      </c>
      <c r="S2405" s="2210">
        <v>0</v>
      </c>
      <c r="T2405" s="2208">
        <f>SUM(T2406:T2406)</f>
        <v>0</v>
      </c>
      <c r="U2405" s="2210"/>
      <c r="V2405" s="2208">
        <f>SUM(V2406:V2406)</f>
        <v>0</v>
      </c>
      <c r="W2405" s="2210"/>
      <c r="X2405" s="2208">
        <f>SUM(X2406:X2406)</f>
        <v>0</v>
      </c>
      <c r="Y2405" s="2210">
        <f t="shared" si="666"/>
        <v>0</v>
      </c>
      <c r="Z2405" s="2313">
        <f t="shared" si="666"/>
        <v>0</v>
      </c>
      <c r="AA2405" s="2210" t="s">
        <v>3063</v>
      </c>
      <c r="AB2405" s="2213">
        <f t="shared" si="667"/>
        <v>29625000</v>
      </c>
      <c r="AC2405" s="2214">
        <v>100</v>
      </c>
      <c r="AD2405" s="2214">
        <f t="shared" si="668"/>
        <v>29.625</v>
      </c>
      <c r="AE2405" s="2196" t="s">
        <v>3787</v>
      </c>
    </row>
    <row r="2406" spans="1:31" s="2161" customFormat="1" ht="42.75" customHeight="1">
      <c r="A2406" s="2215">
        <v>3</v>
      </c>
      <c r="B2406" s="2198"/>
      <c r="C2406" s="2216">
        <v>5</v>
      </c>
      <c r="D2406" s="2217">
        <v>0</v>
      </c>
      <c r="E2406" s="2217">
        <v>1</v>
      </c>
      <c r="F2406" s="2217">
        <v>21</v>
      </c>
      <c r="G2406" s="2217"/>
      <c r="H2406" s="2217" t="s">
        <v>39</v>
      </c>
      <c r="I2406" s="2218" t="s">
        <v>3815</v>
      </c>
      <c r="J2406" s="2218" t="s">
        <v>3816</v>
      </c>
      <c r="K2406" s="2319">
        <v>72</v>
      </c>
      <c r="L2406" s="2200">
        <v>100000000</v>
      </c>
      <c r="M2406" s="2201">
        <v>36</v>
      </c>
      <c r="N2406" s="2200">
        <v>29625000</v>
      </c>
      <c r="O2406" s="2319">
        <v>12</v>
      </c>
      <c r="P2406" s="2200">
        <v>5500000</v>
      </c>
      <c r="Q2406" s="2320">
        <v>3</v>
      </c>
      <c r="R2406" s="2200">
        <v>0</v>
      </c>
      <c r="S2406" s="2219">
        <v>0</v>
      </c>
      <c r="T2406" s="2222">
        <v>0</v>
      </c>
      <c r="U2406" s="2320"/>
      <c r="V2406" s="2220"/>
      <c r="W2406" s="2320"/>
      <c r="X2406" s="2222"/>
      <c r="Y2406" s="2219">
        <f t="shared" si="666"/>
        <v>3</v>
      </c>
      <c r="Z2406" s="2223">
        <f t="shared" si="666"/>
        <v>0</v>
      </c>
      <c r="AA2406" s="2219">
        <f t="shared" si="667"/>
        <v>39</v>
      </c>
      <c r="AB2406" s="2307">
        <f t="shared" si="667"/>
        <v>29625000</v>
      </c>
      <c r="AC2406" s="2308">
        <f t="shared" si="668"/>
        <v>54.166666666666664</v>
      </c>
      <c r="AD2406" s="2308">
        <f t="shared" si="668"/>
        <v>29.625</v>
      </c>
      <c r="AE2406" s="2215"/>
    </row>
    <row r="2407" spans="1:31" s="2131" customFormat="1" ht="76.5">
      <c r="A2407" s="2196" t="s">
        <v>3547</v>
      </c>
      <c r="B2407" s="2321"/>
      <c r="C2407" s="2322">
        <v>5</v>
      </c>
      <c r="D2407" s="2323" t="s">
        <v>34</v>
      </c>
      <c r="E2407" s="2323" t="s">
        <v>25</v>
      </c>
      <c r="F2407" s="2322">
        <v>17</v>
      </c>
      <c r="G2407" s="2322"/>
      <c r="H2407" s="2323"/>
      <c r="I2407" s="2206" t="s">
        <v>3817</v>
      </c>
      <c r="J2407" s="2194" t="s">
        <v>3818</v>
      </c>
      <c r="K2407" s="2207">
        <v>100</v>
      </c>
      <c r="L2407" s="2208">
        <f>SUM(L2408:L2409)</f>
        <v>205128000</v>
      </c>
      <c r="M2407" s="2209">
        <v>70</v>
      </c>
      <c r="N2407" s="2208">
        <f>SUM(N2408:N2409)</f>
        <v>50878000</v>
      </c>
      <c r="O2407" s="2207">
        <v>10</v>
      </c>
      <c r="P2407" s="2208">
        <f>SUM(P2408:P2409)</f>
        <v>17295000</v>
      </c>
      <c r="Q2407" s="2210">
        <v>0</v>
      </c>
      <c r="R2407" s="2208">
        <f>SUM(R2408:R2409)</f>
        <v>0</v>
      </c>
      <c r="S2407" s="2210">
        <v>0</v>
      </c>
      <c r="T2407" s="2208">
        <f>SUM(T2408:T2409)</f>
        <v>0</v>
      </c>
      <c r="U2407" s="2210"/>
      <c r="V2407" s="2208">
        <f>SUM(V2408:V2409)</f>
        <v>0</v>
      </c>
      <c r="W2407" s="2210"/>
      <c r="X2407" s="2208">
        <f>SUM(X2408:X2409)</f>
        <v>0</v>
      </c>
      <c r="Y2407" s="2210">
        <f t="shared" si="666"/>
        <v>0</v>
      </c>
      <c r="Z2407" s="2313">
        <f t="shared" si="666"/>
        <v>0</v>
      </c>
      <c r="AA2407" s="2210">
        <f t="shared" si="667"/>
        <v>70</v>
      </c>
      <c r="AB2407" s="2213">
        <f t="shared" si="667"/>
        <v>50878000</v>
      </c>
      <c r="AC2407" s="2214">
        <f t="shared" si="668"/>
        <v>70</v>
      </c>
      <c r="AD2407" s="2214">
        <f t="shared" si="668"/>
        <v>24.803049803049802</v>
      </c>
      <c r="AE2407" s="2196" t="s">
        <v>3787</v>
      </c>
    </row>
    <row r="2408" spans="1:31" s="2131" customFormat="1" ht="25.5">
      <c r="A2408" s="2215">
        <v>1</v>
      </c>
      <c r="B2408" s="2218"/>
      <c r="C2408" s="2314">
        <v>5</v>
      </c>
      <c r="D2408" s="2315" t="s">
        <v>34</v>
      </c>
      <c r="E2408" s="2315" t="s">
        <v>25</v>
      </c>
      <c r="F2408" s="2314">
        <v>17</v>
      </c>
      <c r="G2408" s="2314"/>
      <c r="H2408" s="2315" t="s">
        <v>56</v>
      </c>
      <c r="I2408" s="2218" t="s">
        <v>3819</v>
      </c>
      <c r="J2408" s="2198" t="s">
        <v>3820</v>
      </c>
      <c r="K2408" s="2199">
        <v>6</v>
      </c>
      <c r="L2408" s="2200">
        <v>124128000</v>
      </c>
      <c r="M2408" s="2201">
        <v>5</v>
      </c>
      <c r="N2408" s="2200">
        <v>50878000</v>
      </c>
      <c r="O2408" s="2199">
        <v>1</v>
      </c>
      <c r="P2408" s="2200">
        <v>9725000</v>
      </c>
      <c r="Q2408" s="2219">
        <v>0</v>
      </c>
      <c r="R2408" s="2200">
        <v>0</v>
      </c>
      <c r="S2408" s="2219">
        <v>0</v>
      </c>
      <c r="T2408" s="2331">
        <v>0</v>
      </c>
      <c r="U2408" s="2219"/>
      <c r="V2408" s="2223"/>
      <c r="W2408" s="2219"/>
      <c r="X2408" s="2223"/>
      <c r="Y2408" s="2219">
        <f t="shared" si="666"/>
        <v>0</v>
      </c>
      <c r="Z2408" s="2223">
        <f t="shared" si="666"/>
        <v>0</v>
      </c>
      <c r="AA2408" s="2219">
        <f t="shared" si="667"/>
        <v>5</v>
      </c>
      <c r="AB2408" s="2307">
        <f t="shared" si="667"/>
        <v>50878000</v>
      </c>
      <c r="AC2408" s="2308">
        <f t="shared" si="668"/>
        <v>83.333333333333343</v>
      </c>
      <c r="AD2408" s="2308">
        <f t="shared" si="668"/>
        <v>40.98833462232534</v>
      </c>
      <c r="AE2408" s="2215"/>
    </row>
    <row r="2409" spans="1:31" s="2131" customFormat="1" ht="33" customHeight="1">
      <c r="A2409" s="2215">
        <v>2</v>
      </c>
      <c r="B2409" s="2324"/>
      <c r="C2409" s="2314">
        <v>5</v>
      </c>
      <c r="D2409" s="2315">
        <v>0</v>
      </c>
      <c r="E2409" s="2315">
        <v>1</v>
      </c>
      <c r="F2409" s="2314">
        <v>17</v>
      </c>
      <c r="G2409" s="2314"/>
      <c r="H2409" s="2315">
        <v>20</v>
      </c>
      <c r="I2409" s="2218" t="s">
        <v>3821</v>
      </c>
      <c r="J2409" s="2198" t="s">
        <v>3822</v>
      </c>
      <c r="K2409" s="2199">
        <v>12</v>
      </c>
      <c r="L2409" s="2200">
        <v>81000000</v>
      </c>
      <c r="M2409" s="2201">
        <v>0</v>
      </c>
      <c r="N2409" s="2200">
        <v>0</v>
      </c>
      <c r="O2409" s="2199">
        <v>2</v>
      </c>
      <c r="P2409" s="2200">
        <v>7570000</v>
      </c>
      <c r="Q2409" s="2219">
        <v>0</v>
      </c>
      <c r="R2409" s="2200">
        <v>0</v>
      </c>
      <c r="S2409" s="2219">
        <v>0</v>
      </c>
      <c r="T2409" s="2331">
        <v>0</v>
      </c>
      <c r="U2409" s="2219"/>
      <c r="V2409" s="2223"/>
      <c r="W2409" s="2219"/>
      <c r="X2409" s="2223"/>
      <c r="Y2409" s="2219">
        <f t="shared" si="666"/>
        <v>0</v>
      </c>
      <c r="Z2409" s="2223">
        <f t="shared" si="666"/>
        <v>0</v>
      </c>
      <c r="AA2409" s="2219">
        <f t="shared" si="667"/>
        <v>0</v>
      </c>
      <c r="AB2409" s="2307">
        <f t="shared" si="667"/>
        <v>0</v>
      </c>
      <c r="AC2409" s="2308">
        <f t="shared" si="668"/>
        <v>0</v>
      </c>
      <c r="AD2409" s="2308">
        <f t="shared" si="668"/>
        <v>0</v>
      </c>
      <c r="AE2409" s="2215"/>
    </row>
    <row r="2410" spans="1:31" s="2131" customFormat="1" ht="47.25" customHeight="1">
      <c r="A2410" s="2196" t="s">
        <v>3555</v>
      </c>
      <c r="B2410" s="2321"/>
      <c r="C2410" s="2322">
        <v>5</v>
      </c>
      <c r="D2410" s="2323" t="s">
        <v>34</v>
      </c>
      <c r="E2410" s="2323" t="s">
        <v>25</v>
      </c>
      <c r="F2410" s="2322">
        <v>15</v>
      </c>
      <c r="G2410" s="2322"/>
      <c r="H2410" s="2323"/>
      <c r="I2410" s="2194" t="s">
        <v>93</v>
      </c>
      <c r="J2410" s="2194" t="s">
        <v>3823</v>
      </c>
      <c r="K2410" s="2269">
        <v>6</v>
      </c>
      <c r="L2410" s="2208">
        <f>SUM(L2411)</f>
        <v>148406100</v>
      </c>
      <c r="M2410" s="2209">
        <v>3</v>
      </c>
      <c r="N2410" s="2208">
        <f>SUM(N2411)</f>
        <v>60746100</v>
      </c>
      <c r="O2410" s="2207">
        <v>1</v>
      </c>
      <c r="P2410" s="2208">
        <f>SUM(P2411)</f>
        <v>9380000</v>
      </c>
      <c r="Q2410" s="2210">
        <v>0</v>
      </c>
      <c r="R2410" s="2208">
        <f>SUM(R2411)</f>
        <v>0</v>
      </c>
      <c r="S2410" s="2210"/>
      <c r="T2410" s="2269">
        <f>SUM(T2411)</f>
        <v>0</v>
      </c>
      <c r="U2410" s="2210"/>
      <c r="V2410" s="2313">
        <f>SUM(V2411)</f>
        <v>0</v>
      </c>
      <c r="W2410" s="2210"/>
      <c r="X2410" s="2325">
        <f>SUM(X2411)</f>
        <v>0</v>
      </c>
      <c r="Y2410" s="2210">
        <f t="shared" si="666"/>
        <v>0</v>
      </c>
      <c r="Z2410" s="2313">
        <f t="shared" si="666"/>
        <v>0</v>
      </c>
      <c r="AA2410" s="2210">
        <f t="shared" si="667"/>
        <v>3</v>
      </c>
      <c r="AB2410" s="2213">
        <f t="shared" si="667"/>
        <v>60746100</v>
      </c>
      <c r="AC2410" s="2214">
        <f t="shared" si="668"/>
        <v>50</v>
      </c>
      <c r="AD2410" s="2214">
        <f t="shared" si="668"/>
        <v>40.932347120502463</v>
      </c>
      <c r="AE2410" s="2196" t="s">
        <v>3787</v>
      </c>
    </row>
    <row r="2411" spans="1:31" s="2131" customFormat="1" ht="38.25">
      <c r="A2411" s="2215">
        <v>1</v>
      </c>
      <c r="B2411" s="2326"/>
      <c r="C2411" s="2314">
        <v>5</v>
      </c>
      <c r="D2411" s="2315" t="s">
        <v>34</v>
      </c>
      <c r="E2411" s="2315" t="s">
        <v>25</v>
      </c>
      <c r="F2411" s="2314">
        <v>15</v>
      </c>
      <c r="G2411" s="2314"/>
      <c r="H2411" s="2315">
        <v>20</v>
      </c>
      <c r="I2411" s="2198" t="s">
        <v>3824</v>
      </c>
      <c r="J2411" s="2198" t="s">
        <v>3825</v>
      </c>
      <c r="K2411" s="2199">
        <v>6</v>
      </c>
      <c r="L2411" s="2200">
        <v>148406100</v>
      </c>
      <c r="M2411" s="2201">
        <v>3</v>
      </c>
      <c r="N2411" s="2200">
        <v>60746100</v>
      </c>
      <c r="O2411" s="2199">
        <v>1</v>
      </c>
      <c r="P2411" s="2200">
        <v>9380000</v>
      </c>
      <c r="Q2411" s="2219">
        <v>0</v>
      </c>
      <c r="R2411" s="2200">
        <v>0</v>
      </c>
      <c r="S2411" s="2219"/>
      <c r="T2411" s="2223">
        <v>0</v>
      </c>
      <c r="U2411" s="2219"/>
      <c r="V2411" s="2327"/>
      <c r="W2411" s="2219"/>
      <c r="X2411" s="2327"/>
      <c r="Y2411" s="2219">
        <f t="shared" si="666"/>
        <v>0</v>
      </c>
      <c r="Z2411" s="2223">
        <f t="shared" si="666"/>
        <v>0</v>
      </c>
      <c r="AA2411" s="2219">
        <f t="shared" si="667"/>
        <v>3</v>
      </c>
      <c r="AB2411" s="2307">
        <f t="shared" si="667"/>
        <v>60746100</v>
      </c>
      <c r="AC2411" s="2308">
        <f t="shared" si="668"/>
        <v>50</v>
      </c>
      <c r="AD2411" s="2308">
        <f t="shared" si="668"/>
        <v>40.932347120502463</v>
      </c>
      <c r="AE2411" s="2215"/>
    </row>
    <row r="2412" spans="1:31" s="2131" customFormat="1" ht="51">
      <c r="A2412" s="2196" t="s">
        <v>3559</v>
      </c>
      <c r="B2412" s="2321"/>
      <c r="C2412" s="2322">
        <v>5</v>
      </c>
      <c r="D2412" s="2323" t="s">
        <v>34</v>
      </c>
      <c r="E2412" s="2323" t="s">
        <v>25</v>
      </c>
      <c r="F2412" s="2322">
        <v>19</v>
      </c>
      <c r="G2412" s="2322"/>
      <c r="H2412" s="2323"/>
      <c r="I2412" s="2194" t="s">
        <v>3826</v>
      </c>
      <c r="J2412" s="2194" t="s">
        <v>4130</v>
      </c>
      <c r="K2412" s="2207">
        <v>100</v>
      </c>
      <c r="L2412" s="2208">
        <f>SUM(L2413)</f>
        <v>146827000</v>
      </c>
      <c r="M2412" s="2209">
        <v>60</v>
      </c>
      <c r="N2412" s="2208">
        <f>SUM(N2413)</f>
        <v>54914500</v>
      </c>
      <c r="O2412" s="2207">
        <v>10</v>
      </c>
      <c r="P2412" s="2208">
        <f>SUM(P2413)</f>
        <v>9600000</v>
      </c>
      <c r="Q2412" s="2210">
        <v>2</v>
      </c>
      <c r="R2412" s="2208">
        <f>SUM(R2413)</f>
        <v>0</v>
      </c>
      <c r="S2412" s="2210">
        <v>3</v>
      </c>
      <c r="T2412" s="2208">
        <f>SUM(T2413)</f>
        <v>2750000</v>
      </c>
      <c r="U2412" s="2210"/>
      <c r="V2412" s="2208">
        <f>SUM(V2413)</f>
        <v>0</v>
      </c>
      <c r="W2412" s="2210"/>
      <c r="X2412" s="2328">
        <f>SUM(X2413)</f>
        <v>0</v>
      </c>
      <c r="Y2412" s="2210">
        <f t="shared" si="666"/>
        <v>5</v>
      </c>
      <c r="Z2412" s="2313">
        <f t="shared" si="666"/>
        <v>2750000</v>
      </c>
      <c r="AA2412" s="2210">
        <f t="shared" si="667"/>
        <v>65</v>
      </c>
      <c r="AB2412" s="2213">
        <f t="shared" si="667"/>
        <v>57664500</v>
      </c>
      <c r="AC2412" s="2214">
        <f t="shared" si="668"/>
        <v>65</v>
      </c>
      <c r="AD2412" s="2214">
        <f t="shared" si="668"/>
        <v>39.273771172876927</v>
      </c>
      <c r="AE2412" s="2196" t="s">
        <v>3787</v>
      </c>
    </row>
    <row r="2413" spans="1:31" s="2131" customFormat="1" ht="51">
      <c r="A2413" s="2215">
        <v>1</v>
      </c>
      <c r="B2413" s="2218"/>
      <c r="C2413" s="2314">
        <v>5</v>
      </c>
      <c r="D2413" s="2315">
        <v>0</v>
      </c>
      <c r="E2413" s="2315" t="s">
        <v>25</v>
      </c>
      <c r="F2413" s="2314">
        <v>19</v>
      </c>
      <c r="G2413" s="2314"/>
      <c r="H2413" s="2315">
        <v>7</v>
      </c>
      <c r="I2413" s="2218" t="s">
        <v>3827</v>
      </c>
      <c r="J2413" s="2218" t="s">
        <v>3828</v>
      </c>
      <c r="K2413" s="2199">
        <v>72</v>
      </c>
      <c r="L2413" s="2200">
        <v>146827000</v>
      </c>
      <c r="M2413" s="2201">
        <v>36</v>
      </c>
      <c r="N2413" s="2200">
        <v>54914500</v>
      </c>
      <c r="O2413" s="2199">
        <v>12</v>
      </c>
      <c r="P2413" s="2200">
        <v>9600000</v>
      </c>
      <c r="Q2413" s="2219">
        <v>3</v>
      </c>
      <c r="R2413" s="2200">
        <v>0</v>
      </c>
      <c r="S2413" s="2219">
        <v>3</v>
      </c>
      <c r="T2413" s="2223">
        <v>2750000</v>
      </c>
      <c r="U2413" s="2219"/>
      <c r="V2413" s="2223"/>
      <c r="W2413" s="2219"/>
      <c r="X2413" s="2327"/>
      <c r="Y2413" s="2219">
        <f t="shared" si="666"/>
        <v>6</v>
      </c>
      <c r="Z2413" s="2223">
        <f t="shared" si="666"/>
        <v>2750000</v>
      </c>
      <c r="AA2413" s="2219">
        <f t="shared" si="667"/>
        <v>42</v>
      </c>
      <c r="AB2413" s="2307">
        <f t="shared" si="667"/>
        <v>57664500</v>
      </c>
      <c r="AC2413" s="2308">
        <f t="shared" si="668"/>
        <v>58.333333333333336</v>
      </c>
      <c r="AD2413" s="2308">
        <f t="shared" si="668"/>
        <v>39.273771172876927</v>
      </c>
      <c r="AE2413" s="2215"/>
    </row>
    <row r="2414" spans="1:31" s="2131" customFormat="1" ht="51">
      <c r="A2414" s="2196" t="s">
        <v>3565</v>
      </c>
      <c r="B2414" s="2321"/>
      <c r="C2414" s="2322">
        <v>5</v>
      </c>
      <c r="D2414" s="2323" t="s">
        <v>34</v>
      </c>
      <c r="E2414" s="2323" t="s">
        <v>25</v>
      </c>
      <c r="F2414" s="2322">
        <v>56</v>
      </c>
      <c r="G2414" s="2322"/>
      <c r="H2414" s="2323"/>
      <c r="I2414" s="2329" t="s">
        <v>3829</v>
      </c>
      <c r="J2414" s="2329" t="s">
        <v>3830</v>
      </c>
      <c r="K2414" s="2207">
        <v>72</v>
      </c>
      <c r="L2414" s="2208">
        <f>SUM(L2415:L2424)</f>
        <v>863803800</v>
      </c>
      <c r="M2414" s="2209">
        <v>36</v>
      </c>
      <c r="N2414" s="2208">
        <f>SUM(N2415:N2424)</f>
        <v>330571300</v>
      </c>
      <c r="O2414" s="2207">
        <v>12</v>
      </c>
      <c r="P2414" s="2208">
        <f>SUM(P2415:P2424)</f>
        <v>165372900</v>
      </c>
      <c r="Q2414" s="2210">
        <v>3</v>
      </c>
      <c r="R2414" s="2208">
        <f>SUM(R2415:R2424)</f>
        <v>34985000</v>
      </c>
      <c r="S2414" s="2210">
        <v>3</v>
      </c>
      <c r="T2414" s="2208">
        <f>SUM(T2415:T2424)</f>
        <v>41700400</v>
      </c>
      <c r="U2414" s="2210"/>
      <c r="V2414" s="2208">
        <f>SUM(V2415:V2424)</f>
        <v>0</v>
      </c>
      <c r="W2414" s="2210"/>
      <c r="X2414" s="2208">
        <f>SUM(X2415:X2424)</f>
        <v>0</v>
      </c>
      <c r="Y2414" s="2210">
        <f t="shared" si="666"/>
        <v>6</v>
      </c>
      <c r="Z2414" s="2313">
        <f t="shared" si="666"/>
        <v>76685400</v>
      </c>
      <c r="AA2414" s="2210">
        <f t="shared" si="667"/>
        <v>42</v>
      </c>
      <c r="AB2414" s="2213">
        <f t="shared" si="667"/>
        <v>407256700</v>
      </c>
      <c r="AC2414" s="2214">
        <f t="shared" si="668"/>
        <v>58.333333333333336</v>
      </c>
      <c r="AD2414" s="2214">
        <f t="shared" si="668"/>
        <v>47.146898404475643</v>
      </c>
      <c r="AE2414" s="2196" t="s">
        <v>3787</v>
      </c>
    </row>
    <row r="2415" spans="1:31" s="2131" customFormat="1" ht="38.25">
      <c r="A2415" s="2215">
        <v>1</v>
      </c>
      <c r="B2415" s="2198"/>
      <c r="C2415" s="2314">
        <v>5</v>
      </c>
      <c r="D2415" s="2315" t="s">
        <v>34</v>
      </c>
      <c r="E2415" s="2315" t="s">
        <v>25</v>
      </c>
      <c r="F2415" s="2314">
        <v>56</v>
      </c>
      <c r="G2415" s="2314"/>
      <c r="H2415" s="2315" t="s">
        <v>25</v>
      </c>
      <c r="I2415" s="2197" t="s">
        <v>3551</v>
      </c>
      <c r="J2415" s="2198" t="s">
        <v>3552</v>
      </c>
      <c r="K2415" s="2199">
        <v>72</v>
      </c>
      <c r="L2415" s="2200">
        <v>284456000</v>
      </c>
      <c r="M2415" s="2201">
        <v>36</v>
      </c>
      <c r="N2415" s="2200">
        <v>152981000</v>
      </c>
      <c r="O2415" s="2199">
        <v>12</v>
      </c>
      <c r="P2415" s="2200">
        <v>42500400</v>
      </c>
      <c r="Q2415" s="2219">
        <v>3</v>
      </c>
      <c r="R2415" s="2200">
        <v>4030000</v>
      </c>
      <c r="S2415" s="2219">
        <v>3</v>
      </c>
      <c r="T2415" s="2223">
        <v>24100000</v>
      </c>
      <c r="U2415" s="2219"/>
      <c r="V2415" s="2330"/>
      <c r="W2415" s="2219"/>
      <c r="X2415" s="2223"/>
      <c r="Y2415" s="2219">
        <f t="shared" si="666"/>
        <v>6</v>
      </c>
      <c r="Z2415" s="2223">
        <f t="shared" si="666"/>
        <v>28130000</v>
      </c>
      <c r="AA2415" s="2219">
        <f t="shared" si="667"/>
        <v>42</v>
      </c>
      <c r="AB2415" s="2307">
        <f t="shared" si="667"/>
        <v>181111000</v>
      </c>
      <c r="AC2415" s="2308">
        <f t="shared" si="668"/>
        <v>58.333333333333336</v>
      </c>
      <c r="AD2415" s="2308">
        <f t="shared" si="668"/>
        <v>63.669249374244174</v>
      </c>
      <c r="AE2415" s="2215"/>
    </row>
    <row r="2416" spans="1:31" s="2131" customFormat="1" ht="38.25">
      <c r="A2416" s="2215">
        <v>2</v>
      </c>
      <c r="B2416" s="2326"/>
      <c r="C2416" s="2314">
        <v>5</v>
      </c>
      <c r="D2416" s="2315" t="s">
        <v>34</v>
      </c>
      <c r="E2416" s="2315" t="s">
        <v>25</v>
      </c>
      <c r="F2416" s="2314">
        <v>56</v>
      </c>
      <c r="G2416" s="2314"/>
      <c r="H2416" s="2315" t="s">
        <v>28</v>
      </c>
      <c r="I2416" s="2198" t="s">
        <v>3831</v>
      </c>
      <c r="J2416" s="2198" t="s">
        <v>3554</v>
      </c>
      <c r="K2416" s="2199">
        <v>6</v>
      </c>
      <c r="L2416" s="2200">
        <v>116411000</v>
      </c>
      <c r="M2416" s="2201">
        <v>3</v>
      </c>
      <c r="N2416" s="2200">
        <v>48911000</v>
      </c>
      <c r="O2416" s="2199">
        <v>1</v>
      </c>
      <c r="P2416" s="2200">
        <v>11250000</v>
      </c>
      <c r="Q2416" s="2219">
        <v>0</v>
      </c>
      <c r="R2416" s="2200">
        <v>0</v>
      </c>
      <c r="S2416" s="2219">
        <v>1</v>
      </c>
      <c r="T2416" s="2223">
        <v>8550400</v>
      </c>
      <c r="U2416" s="2219"/>
      <c r="V2416" s="2223"/>
      <c r="W2416" s="2219"/>
      <c r="X2416" s="2223"/>
      <c r="Y2416" s="2219">
        <f t="shared" si="666"/>
        <v>1</v>
      </c>
      <c r="Z2416" s="2223">
        <f t="shared" si="666"/>
        <v>8550400</v>
      </c>
      <c r="AA2416" s="2219">
        <f t="shared" si="667"/>
        <v>4</v>
      </c>
      <c r="AB2416" s="2307">
        <f t="shared" si="667"/>
        <v>57461400</v>
      </c>
      <c r="AC2416" s="2308">
        <f t="shared" si="668"/>
        <v>66.666666666666657</v>
      </c>
      <c r="AD2416" s="2308">
        <f t="shared" si="668"/>
        <v>49.360799237185489</v>
      </c>
      <c r="AE2416" s="2215"/>
    </row>
    <row r="2417" spans="1:71" s="2131" customFormat="1" ht="32.25" customHeight="1">
      <c r="A2417" s="2215">
        <v>3</v>
      </c>
      <c r="B2417" s="2198"/>
      <c r="C2417" s="2314">
        <v>5</v>
      </c>
      <c r="D2417" s="2315" t="s">
        <v>34</v>
      </c>
      <c r="E2417" s="2315" t="s">
        <v>25</v>
      </c>
      <c r="F2417" s="2314">
        <v>56</v>
      </c>
      <c r="G2417" s="2314"/>
      <c r="H2417" s="2315" t="s">
        <v>39</v>
      </c>
      <c r="I2417" s="2218" t="s">
        <v>3832</v>
      </c>
      <c r="J2417" s="2198" t="s">
        <v>3833</v>
      </c>
      <c r="K2417" s="2199">
        <v>3</v>
      </c>
      <c r="L2417" s="2200">
        <v>74841400</v>
      </c>
      <c r="M2417" s="2201">
        <v>3</v>
      </c>
      <c r="N2417" s="2200">
        <v>35291400</v>
      </c>
      <c r="O2417" s="2199"/>
      <c r="P2417" s="2200"/>
      <c r="Q2417" s="2219"/>
      <c r="R2417" s="2200">
        <v>0</v>
      </c>
      <c r="S2417" s="2219">
        <v>0</v>
      </c>
      <c r="T2417" s="2223">
        <v>0</v>
      </c>
      <c r="U2417" s="2219"/>
      <c r="V2417" s="2223"/>
      <c r="W2417" s="2219"/>
      <c r="X2417" s="2223"/>
      <c r="Y2417" s="2219">
        <f t="shared" si="666"/>
        <v>0</v>
      </c>
      <c r="Z2417" s="2223">
        <f t="shared" si="666"/>
        <v>0</v>
      </c>
      <c r="AA2417" s="2219">
        <f t="shared" si="667"/>
        <v>3</v>
      </c>
      <c r="AB2417" s="2307">
        <f t="shared" si="667"/>
        <v>35291400</v>
      </c>
      <c r="AC2417" s="2308">
        <f t="shared" si="668"/>
        <v>100</v>
      </c>
      <c r="AD2417" s="2308">
        <f t="shared" si="668"/>
        <v>47.154916931003427</v>
      </c>
      <c r="AE2417" s="2215"/>
    </row>
    <row r="2418" spans="1:71" s="2131" customFormat="1" ht="38.25">
      <c r="A2418" s="2215">
        <v>4</v>
      </c>
      <c r="B2418" s="2326"/>
      <c r="C2418" s="2314">
        <v>5</v>
      </c>
      <c r="D2418" s="2315">
        <v>0</v>
      </c>
      <c r="E2418" s="2315">
        <v>1</v>
      </c>
      <c r="F2418" s="2314">
        <v>56</v>
      </c>
      <c r="G2418" s="2314"/>
      <c r="H2418" s="2315">
        <v>22</v>
      </c>
      <c r="I2418" s="2218" t="s">
        <v>3834</v>
      </c>
      <c r="J2418" s="2198" t="s">
        <v>3835</v>
      </c>
      <c r="K2418" s="2199">
        <v>6</v>
      </c>
      <c r="L2418" s="2200">
        <v>88000000</v>
      </c>
      <c r="M2418" s="2201">
        <v>1</v>
      </c>
      <c r="N2418" s="2200">
        <v>5312500</v>
      </c>
      <c r="O2418" s="2199">
        <v>1</v>
      </c>
      <c r="P2418" s="2200">
        <v>5692500</v>
      </c>
      <c r="Q2418" s="2219">
        <v>0</v>
      </c>
      <c r="R2418" s="2200">
        <v>0</v>
      </c>
      <c r="S2418" s="2219">
        <v>0</v>
      </c>
      <c r="T2418" s="2223">
        <v>0</v>
      </c>
      <c r="U2418" s="2219"/>
      <c r="V2418" s="2223"/>
      <c r="W2418" s="2219"/>
      <c r="X2418" s="2223"/>
      <c r="Y2418" s="2219">
        <f t="shared" si="666"/>
        <v>0</v>
      </c>
      <c r="Z2418" s="2223">
        <f t="shared" si="666"/>
        <v>0</v>
      </c>
      <c r="AA2418" s="2219">
        <f t="shared" si="667"/>
        <v>1</v>
      </c>
      <c r="AB2418" s="2307">
        <f t="shared" si="667"/>
        <v>5312500</v>
      </c>
      <c r="AC2418" s="2308">
        <f t="shared" si="668"/>
        <v>16.666666666666664</v>
      </c>
      <c r="AD2418" s="2308">
        <f t="shared" si="668"/>
        <v>6.0369318181818183</v>
      </c>
      <c r="AE2418" s="2215"/>
    </row>
    <row r="2419" spans="1:71" s="2131" customFormat="1" ht="38.25">
      <c r="A2419" s="2215">
        <v>5</v>
      </c>
      <c r="B2419" s="2326"/>
      <c r="C2419" s="2314">
        <v>5</v>
      </c>
      <c r="D2419" s="2315" t="s">
        <v>34</v>
      </c>
      <c r="E2419" s="2315" t="s">
        <v>25</v>
      </c>
      <c r="F2419" s="2314">
        <v>56</v>
      </c>
      <c r="G2419" s="2314"/>
      <c r="H2419" s="2315" t="s">
        <v>49</v>
      </c>
      <c r="I2419" s="2218" t="s">
        <v>3836</v>
      </c>
      <c r="J2419" s="2198" t="s">
        <v>3837</v>
      </c>
      <c r="K2419" s="2199">
        <v>72</v>
      </c>
      <c r="L2419" s="2200">
        <v>33720000</v>
      </c>
      <c r="M2419" s="2201">
        <v>36</v>
      </c>
      <c r="N2419" s="2200">
        <v>19920000</v>
      </c>
      <c r="O2419" s="2199">
        <v>12</v>
      </c>
      <c r="P2419" s="2200">
        <v>10800000</v>
      </c>
      <c r="Q2419" s="2219">
        <v>3</v>
      </c>
      <c r="R2419" s="2200">
        <v>0</v>
      </c>
      <c r="S2419" s="2219">
        <v>3</v>
      </c>
      <c r="T2419" s="2223">
        <v>5000000</v>
      </c>
      <c r="U2419" s="2219"/>
      <c r="V2419" s="2223"/>
      <c r="W2419" s="2219"/>
      <c r="X2419" s="2331"/>
      <c r="Y2419" s="2219">
        <f t="shared" si="666"/>
        <v>6</v>
      </c>
      <c r="Z2419" s="2223">
        <f t="shared" si="666"/>
        <v>5000000</v>
      </c>
      <c r="AA2419" s="2219">
        <f t="shared" si="667"/>
        <v>42</v>
      </c>
      <c r="AB2419" s="2307">
        <f t="shared" si="667"/>
        <v>24920000</v>
      </c>
      <c r="AC2419" s="2308">
        <f t="shared" si="668"/>
        <v>58.333333333333336</v>
      </c>
      <c r="AD2419" s="2308">
        <f t="shared" si="668"/>
        <v>73.902728351126925</v>
      </c>
      <c r="AE2419" s="2215"/>
    </row>
    <row r="2420" spans="1:71" s="2131" customFormat="1" ht="38.25">
      <c r="A2420" s="2215">
        <v>6</v>
      </c>
      <c r="B2420" s="2326"/>
      <c r="C2420" s="2314">
        <v>5</v>
      </c>
      <c r="D2420" s="2315" t="s">
        <v>34</v>
      </c>
      <c r="E2420" s="2315" t="s">
        <v>25</v>
      </c>
      <c r="F2420" s="2314">
        <v>56</v>
      </c>
      <c r="G2420" s="2314"/>
      <c r="H2420" s="2315" t="s">
        <v>31</v>
      </c>
      <c r="I2420" s="2218" t="s">
        <v>3838</v>
      </c>
      <c r="J2420" s="2198" t="s">
        <v>3839</v>
      </c>
      <c r="K2420" s="2199">
        <v>48</v>
      </c>
      <c r="L2420" s="2200">
        <v>66000000</v>
      </c>
      <c r="M2420" s="2201">
        <v>12</v>
      </c>
      <c r="N2420" s="2200">
        <v>9655000</v>
      </c>
      <c r="O2420" s="2199">
        <v>12</v>
      </c>
      <c r="P2420" s="2200">
        <v>12050000</v>
      </c>
      <c r="Q2420" s="2219">
        <v>3</v>
      </c>
      <c r="R2420" s="2200">
        <v>7675000</v>
      </c>
      <c r="S2420" s="2219">
        <v>3</v>
      </c>
      <c r="T2420" s="2223">
        <v>2450000</v>
      </c>
      <c r="U2420" s="2219"/>
      <c r="V2420" s="2223"/>
      <c r="W2420" s="2219"/>
      <c r="X2420" s="2331"/>
      <c r="Y2420" s="2219">
        <f t="shared" si="666"/>
        <v>6</v>
      </c>
      <c r="Z2420" s="2223">
        <f t="shared" si="666"/>
        <v>10125000</v>
      </c>
      <c r="AA2420" s="2219">
        <f t="shared" si="667"/>
        <v>18</v>
      </c>
      <c r="AB2420" s="2307">
        <f t="shared" si="667"/>
        <v>19780000</v>
      </c>
      <c r="AC2420" s="2308">
        <f t="shared" si="668"/>
        <v>37.5</v>
      </c>
      <c r="AD2420" s="2308">
        <f t="shared" si="668"/>
        <v>29.969696969696969</v>
      </c>
      <c r="AE2420" s="2215"/>
    </row>
    <row r="2421" spans="1:71" s="2131" customFormat="1" ht="33" customHeight="1">
      <c r="A2421" s="2296">
        <v>7</v>
      </c>
      <c r="B2421" s="2332"/>
      <c r="C2421" s="2314">
        <v>5</v>
      </c>
      <c r="D2421" s="2315">
        <v>0</v>
      </c>
      <c r="E2421" s="2315">
        <v>1</v>
      </c>
      <c r="F2421" s="2314">
        <v>56</v>
      </c>
      <c r="G2421" s="2314"/>
      <c r="H2421" s="2315">
        <v>28</v>
      </c>
      <c r="I2421" s="2218" t="s">
        <v>3840</v>
      </c>
      <c r="J2421" s="2198" t="s">
        <v>3841</v>
      </c>
      <c r="K2421" s="2199">
        <v>24</v>
      </c>
      <c r="L2421" s="2200">
        <v>8250000</v>
      </c>
      <c r="M2421" s="2201">
        <v>9</v>
      </c>
      <c r="N2421" s="2200">
        <v>16500000</v>
      </c>
      <c r="O2421" s="2199">
        <v>3</v>
      </c>
      <c r="P2421" s="2200">
        <v>8250000</v>
      </c>
      <c r="Q2421" s="2219">
        <v>0</v>
      </c>
      <c r="R2421" s="2200">
        <v>0</v>
      </c>
      <c r="S2421" s="2219">
        <v>0</v>
      </c>
      <c r="T2421" s="2223">
        <v>0</v>
      </c>
      <c r="U2421" s="2219"/>
      <c r="V2421" s="2223"/>
      <c r="W2421" s="2219"/>
      <c r="X2421" s="2222"/>
      <c r="Y2421" s="2219">
        <f t="shared" si="666"/>
        <v>0</v>
      </c>
      <c r="Z2421" s="2306">
        <f t="shared" si="666"/>
        <v>0</v>
      </c>
      <c r="AA2421" s="2219">
        <f t="shared" si="667"/>
        <v>9</v>
      </c>
      <c r="AB2421" s="2307">
        <f t="shared" si="667"/>
        <v>16500000</v>
      </c>
      <c r="AC2421" s="2308">
        <f t="shared" si="668"/>
        <v>37.5</v>
      </c>
      <c r="AD2421" s="2308">
        <f t="shared" si="668"/>
        <v>200</v>
      </c>
      <c r="AE2421" s="2215"/>
    </row>
    <row r="2422" spans="1:71" s="2161" customFormat="1" ht="63.75">
      <c r="A2422" s="2215">
        <v>8</v>
      </c>
      <c r="B2422" s="2198"/>
      <c r="C2422" s="2216">
        <v>5</v>
      </c>
      <c r="D2422" s="2217" t="s">
        <v>34</v>
      </c>
      <c r="E2422" s="2217" t="s">
        <v>25</v>
      </c>
      <c r="F2422" s="2216">
        <v>56</v>
      </c>
      <c r="G2422" s="2216"/>
      <c r="H2422" s="2217" t="s">
        <v>56</v>
      </c>
      <c r="I2422" s="2218" t="s">
        <v>3842</v>
      </c>
      <c r="J2422" s="2198" t="s">
        <v>3843</v>
      </c>
      <c r="K2422" s="2199">
        <v>72</v>
      </c>
      <c r="L2422" s="2200">
        <v>92125400</v>
      </c>
      <c r="M2422" s="2201">
        <v>36</v>
      </c>
      <c r="N2422" s="2200">
        <v>42000400</v>
      </c>
      <c r="O2422" s="2199">
        <v>12</v>
      </c>
      <c r="P2422" s="2200">
        <v>10680000</v>
      </c>
      <c r="Q2422" s="2219">
        <v>3</v>
      </c>
      <c r="R2422" s="2200">
        <v>3025000</v>
      </c>
      <c r="S2422" s="2219">
        <v>3</v>
      </c>
      <c r="T2422" s="2223">
        <v>1600000</v>
      </c>
      <c r="U2422" s="2219"/>
      <c r="V2422" s="2223"/>
      <c r="W2422" s="2219"/>
      <c r="X2422" s="2222"/>
      <c r="Y2422" s="2219">
        <f t="shared" si="666"/>
        <v>6</v>
      </c>
      <c r="Z2422" s="2223">
        <f t="shared" si="666"/>
        <v>4625000</v>
      </c>
      <c r="AA2422" s="2219">
        <f t="shared" si="667"/>
        <v>42</v>
      </c>
      <c r="AB2422" s="2307">
        <f t="shared" si="667"/>
        <v>46625400</v>
      </c>
      <c r="AC2422" s="2308">
        <f t="shared" si="668"/>
        <v>58.333333333333336</v>
      </c>
      <c r="AD2422" s="2308">
        <f t="shared" si="668"/>
        <v>50.61079789070115</v>
      </c>
      <c r="AE2422" s="2215"/>
    </row>
    <row r="2423" spans="1:71" s="2161" customFormat="1" ht="38.25">
      <c r="A2423" s="2215">
        <v>9</v>
      </c>
      <c r="B2423" s="2198"/>
      <c r="C2423" s="2216">
        <v>5</v>
      </c>
      <c r="D2423" s="2217" t="s">
        <v>34</v>
      </c>
      <c r="E2423" s="2217" t="s">
        <v>25</v>
      </c>
      <c r="F2423" s="2216">
        <v>56</v>
      </c>
      <c r="G2423" s="2216"/>
      <c r="H2423" s="2217" t="s">
        <v>29</v>
      </c>
      <c r="I2423" s="2218" t="s">
        <v>3844</v>
      </c>
      <c r="J2423" s="2198" t="s">
        <v>3595</v>
      </c>
      <c r="K2423" s="2199">
        <v>12</v>
      </c>
      <c r="L2423" s="2200">
        <v>50000000</v>
      </c>
      <c r="M2423" s="2201"/>
      <c r="N2423" s="2200">
        <v>0</v>
      </c>
      <c r="O2423" s="2199">
        <v>12</v>
      </c>
      <c r="P2423" s="2200">
        <v>50000000</v>
      </c>
      <c r="Q2423" s="2219">
        <v>3</v>
      </c>
      <c r="R2423" s="2200">
        <v>6105000</v>
      </c>
      <c r="S2423" s="2219"/>
      <c r="T2423" s="2223"/>
      <c r="U2423" s="2219"/>
      <c r="V2423" s="2223"/>
      <c r="W2423" s="2219"/>
      <c r="X2423" s="2222"/>
      <c r="Y2423" s="2219">
        <f t="shared" si="666"/>
        <v>3</v>
      </c>
      <c r="Z2423" s="2223">
        <f t="shared" si="666"/>
        <v>6105000</v>
      </c>
      <c r="AA2423" s="2219">
        <f t="shared" si="667"/>
        <v>3</v>
      </c>
      <c r="AB2423" s="2307">
        <f t="shared" si="667"/>
        <v>6105000</v>
      </c>
      <c r="AC2423" s="2308">
        <f t="shared" si="668"/>
        <v>25</v>
      </c>
      <c r="AD2423" s="2308">
        <f t="shared" si="668"/>
        <v>12.21</v>
      </c>
      <c r="AE2423" s="2215"/>
    </row>
    <row r="2424" spans="1:71" s="2161" customFormat="1" ht="38.25">
      <c r="A2424" s="2215">
        <v>10</v>
      </c>
      <c r="B2424" s="2198"/>
      <c r="C2424" s="2216">
        <v>5</v>
      </c>
      <c r="D2424" s="2217" t="s">
        <v>34</v>
      </c>
      <c r="E2424" s="2217" t="s">
        <v>25</v>
      </c>
      <c r="F2424" s="2216">
        <v>56</v>
      </c>
      <c r="G2424" s="2216"/>
      <c r="H2424" s="2217" t="s">
        <v>35</v>
      </c>
      <c r="I2424" s="2218" t="s">
        <v>3845</v>
      </c>
      <c r="J2424" s="2198" t="s">
        <v>3846</v>
      </c>
      <c r="K2424" s="2199">
        <v>3</v>
      </c>
      <c r="L2424" s="2200">
        <v>50000000</v>
      </c>
      <c r="M2424" s="2201"/>
      <c r="N2424" s="2200">
        <v>0</v>
      </c>
      <c r="O2424" s="2199">
        <v>1</v>
      </c>
      <c r="P2424" s="2200">
        <v>14150000</v>
      </c>
      <c r="Q2424" s="2219">
        <v>1</v>
      </c>
      <c r="R2424" s="2200">
        <v>14150000</v>
      </c>
      <c r="S2424" s="2219"/>
      <c r="T2424" s="2223"/>
      <c r="U2424" s="2219"/>
      <c r="V2424" s="2223"/>
      <c r="W2424" s="2219"/>
      <c r="X2424" s="2222"/>
      <c r="Y2424" s="2219">
        <f t="shared" si="666"/>
        <v>1</v>
      </c>
      <c r="Z2424" s="2223">
        <f t="shared" si="666"/>
        <v>14150000</v>
      </c>
      <c r="AA2424" s="2219">
        <f t="shared" si="667"/>
        <v>1</v>
      </c>
      <c r="AB2424" s="2307">
        <f t="shared" si="667"/>
        <v>14150000</v>
      </c>
      <c r="AC2424" s="2308">
        <f t="shared" si="668"/>
        <v>33.333333333333329</v>
      </c>
      <c r="AD2424" s="2308">
        <f t="shared" si="668"/>
        <v>28.299999999999997</v>
      </c>
      <c r="AE2424" s="2215"/>
    </row>
    <row r="2425" spans="1:71" s="2131" customFormat="1" ht="51">
      <c r="A2425" s="2196" t="s">
        <v>13</v>
      </c>
      <c r="B2425" s="2321"/>
      <c r="C2425" s="2322">
        <v>5</v>
      </c>
      <c r="D2425" s="2323">
        <v>0</v>
      </c>
      <c r="E2425" s="2323">
        <v>1</v>
      </c>
      <c r="F2425" s="2322">
        <v>56</v>
      </c>
      <c r="G2425" s="2322"/>
      <c r="H2425" s="2323">
        <v>29</v>
      </c>
      <c r="I2425" s="2206" t="s">
        <v>3847</v>
      </c>
      <c r="J2425" s="2194" t="s">
        <v>3848</v>
      </c>
      <c r="K2425" s="2207">
        <v>72</v>
      </c>
      <c r="L2425" s="2208">
        <f>SUM(L2426)</f>
        <v>72000000</v>
      </c>
      <c r="M2425" s="2209">
        <v>40</v>
      </c>
      <c r="N2425" s="2208">
        <f>SUM(N2426)</f>
        <v>2250000</v>
      </c>
      <c r="O2425" s="2207">
        <v>15</v>
      </c>
      <c r="P2425" s="2208">
        <f>SUM(P2426)</f>
        <v>5860000</v>
      </c>
      <c r="Q2425" s="2210">
        <v>0</v>
      </c>
      <c r="R2425" s="2208">
        <f>SUM(R2426)</f>
        <v>0</v>
      </c>
      <c r="S2425" s="2210">
        <v>0</v>
      </c>
      <c r="T2425" s="2313">
        <f>SUM(T2426)</f>
        <v>0</v>
      </c>
      <c r="U2425" s="2210"/>
      <c r="V2425" s="2313">
        <f>SUM(V2426)</f>
        <v>0</v>
      </c>
      <c r="W2425" s="2210"/>
      <c r="X2425" s="2313">
        <f>SUM(X2426)</f>
        <v>0</v>
      </c>
      <c r="Y2425" s="2210">
        <f t="shared" si="666"/>
        <v>0</v>
      </c>
      <c r="Z2425" s="2313">
        <f t="shared" si="666"/>
        <v>0</v>
      </c>
      <c r="AA2425" s="2210">
        <f t="shared" si="667"/>
        <v>40</v>
      </c>
      <c r="AB2425" s="2213">
        <f t="shared" si="667"/>
        <v>2250000</v>
      </c>
      <c r="AC2425" s="2214">
        <f t="shared" si="668"/>
        <v>55.555555555555557</v>
      </c>
      <c r="AD2425" s="2214">
        <f t="shared" si="668"/>
        <v>3.125</v>
      </c>
      <c r="AE2425" s="2196" t="s">
        <v>3787</v>
      </c>
    </row>
    <row r="2426" spans="1:71" s="2131" customFormat="1" ht="59.25" customHeight="1">
      <c r="A2426" s="2333">
        <v>1</v>
      </c>
      <c r="B2426" s="2334"/>
      <c r="C2426" s="2335">
        <v>5</v>
      </c>
      <c r="D2426" s="2336">
        <v>0</v>
      </c>
      <c r="E2426" s="2336">
        <v>1</v>
      </c>
      <c r="F2426" s="2335">
        <v>56</v>
      </c>
      <c r="G2426" s="2335"/>
      <c r="H2426" s="2336">
        <v>30</v>
      </c>
      <c r="I2426" s="2337" t="s">
        <v>3849</v>
      </c>
      <c r="J2426" s="2337" t="s">
        <v>3850</v>
      </c>
      <c r="K2426" s="2338">
        <v>20</v>
      </c>
      <c r="L2426" s="2339">
        <v>72000000</v>
      </c>
      <c r="M2426" s="2340">
        <v>5</v>
      </c>
      <c r="N2426" s="2339">
        <v>2250000</v>
      </c>
      <c r="O2426" s="2338">
        <v>5</v>
      </c>
      <c r="P2426" s="2339">
        <v>5860000</v>
      </c>
      <c r="Q2426" s="2320">
        <v>0</v>
      </c>
      <c r="R2426" s="2341">
        <v>0</v>
      </c>
      <c r="S2426" s="2219">
        <v>0</v>
      </c>
      <c r="T2426" s="2342">
        <v>0</v>
      </c>
      <c r="U2426" s="2320"/>
      <c r="V2426" s="2342"/>
      <c r="W2426" s="2320"/>
      <c r="X2426" s="2342"/>
      <c r="Y2426" s="2219">
        <f t="shared" si="666"/>
        <v>0</v>
      </c>
      <c r="Z2426" s="2306">
        <f t="shared" si="666"/>
        <v>0</v>
      </c>
      <c r="AA2426" s="2219">
        <f t="shared" si="667"/>
        <v>5</v>
      </c>
      <c r="AB2426" s="2307">
        <f t="shared" si="667"/>
        <v>2250000</v>
      </c>
      <c r="AC2426" s="2308">
        <f t="shared" si="668"/>
        <v>25</v>
      </c>
      <c r="AD2426" s="2308">
        <f t="shared" si="668"/>
        <v>3.125</v>
      </c>
      <c r="AE2426" s="2215"/>
    </row>
    <row r="2427" spans="1:71" s="2131" customFormat="1" ht="20.100000000000001" customHeight="1">
      <c r="A2427" s="2705" t="s">
        <v>63</v>
      </c>
      <c r="B2427" s="2705"/>
      <c r="C2427" s="2706"/>
      <c r="D2427" s="2706"/>
      <c r="E2427" s="2706"/>
      <c r="F2427" s="2706"/>
      <c r="G2427" s="2706"/>
      <c r="H2427" s="2706"/>
      <c r="I2427" s="2706"/>
      <c r="J2427" s="2706"/>
      <c r="K2427" s="2706"/>
      <c r="L2427" s="2706"/>
      <c r="M2427" s="2706"/>
      <c r="N2427" s="2706"/>
      <c r="O2427" s="2706"/>
      <c r="P2427" s="2706"/>
      <c r="Q2427" s="2706"/>
      <c r="R2427" s="2706"/>
      <c r="S2427" s="2706"/>
      <c r="T2427" s="2706"/>
      <c r="U2427" s="2706"/>
      <c r="V2427" s="2706"/>
      <c r="W2427" s="2706"/>
      <c r="X2427" s="2706"/>
      <c r="Y2427" s="2706"/>
      <c r="Z2427" s="2706"/>
      <c r="AA2427" s="2706"/>
      <c r="AB2427" s="2706"/>
      <c r="AC2427" s="2249">
        <f>(AC2385+AC2397+AC2399+AC2405+AC2407+AC2410+AC2412+AC2414+AC2425)/9</f>
        <v>65.987654320987659</v>
      </c>
      <c r="AD2427" s="2249">
        <f>(AD2385+AD2397+AD2399+AD2405+AD2407+AD2410+AD2412+AD2414+AD2425)/9</f>
        <v>39.736906794657578</v>
      </c>
      <c r="AE2427" s="2152"/>
    </row>
    <row r="2428" spans="1:71" s="2131" customFormat="1" ht="20.100000000000001" customHeight="1">
      <c r="A2428" s="2705" t="s">
        <v>64</v>
      </c>
      <c r="B2428" s="2705"/>
      <c r="C2428" s="2706"/>
      <c r="D2428" s="2706"/>
      <c r="E2428" s="2706"/>
      <c r="F2428" s="2706"/>
      <c r="G2428" s="2706"/>
      <c r="H2428" s="2706"/>
      <c r="I2428" s="2706"/>
      <c r="J2428" s="2706"/>
      <c r="K2428" s="2706"/>
      <c r="L2428" s="2706"/>
      <c r="M2428" s="2706"/>
      <c r="N2428" s="2706"/>
      <c r="O2428" s="2706"/>
      <c r="P2428" s="2706"/>
      <c r="Q2428" s="2706"/>
      <c r="R2428" s="2706"/>
      <c r="S2428" s="2706"/>
      <c r="T2428" s="2706"/>
      <c r="U2428" s="2706"/>
      <c r="V2428" s="2706"/>
      <c r="W2428" s="2706"/>
      <c r="X2428" s="2706"/>
      <c r="Y2428" s="2706"/>
      <c r="Z2428" s="2706"/>
      <c r="AA2428" s="2706"/>
      <c r="AB2428" s="2706"/>
      <c r="AC2428" s="2250" t="str">
        <f>IF(AC2427&gt;=91,"ST",IF(AC2427&gt;=76,"T",IF(AC2427&gt;=66,"S",IF(AC2427&gt;=51,"R","SR"))))</f>
        <v>R</v>
      </c>
      <c r="AD2428" s="2250" t="str">
        <f>IF(AD2427&gt;=91,"ST",IF(AD2427&gt;=76,"T",IF(AD2427&gt;=66,"S",IF(AD2427&gt;=51,"R","SR"))))</f>
        <v>SR</v>
      </c>
      <c r="AE2428" s="2152"/>
    </row>
    <row r="2429" spans="1:71" s="2131" customFormat="1" ht="27.95" customHeight="1">
      <c r="A2429" s="2343" t="s">
        <v>119</v>
      </c>
      <c r="B2429" s="2344"/>
      <c r="C2429" s="2343"/>
      <c r="D2429" s="2343"/>
      <c r="E2429" s="2343"/>
      <c r="F2429" s="2343"/>
      <c r="G2429" s="2343"/>
      <c r="H2429" s="2343"/>
      <c r="I2429" s="2707" t="s">
        <v>3851</v>
      </c>
      <c r="J2429" s="2708"/>
      <c r="K2429" s="2345"/>
      <c r="L2429" s="2346">
        <f>L2430+L2441+L2445+L2447+L2449+L2451+L2455+L2457+L2459+L2463</f>
        <v>2756832083</v>
      </c>
      <c r="M2429" s="2345"/>
      <c r="N2429" s="2347">
        <f>N2430+N2441+N2445+N2447+N2449+N2451+N2455+N2457+N2459+N2463</f>
        <v>1216343923</v>
      </c>
      <c r="O2429" s="2345"/>
      <c r="P2429" s="2347">
        <f>P2430+P2441+P2445+P2447+P2449+P2451+P2455+P2457+P2459+P2463</f>
        <v>546036007</v>
      </c>
      <c r="Q2429" s="2345"/>
      <c r="R2429" s="2347">
        <f>R2430+R2441+R2445+R2447+R2449+R2451+R2455+R2457+R2459+R2463</f>
        <v>90986727</v>
      </c>
      <c r="S2429" s="2345"/>
      <c r="T2429" s="2347">
        <f>T2430+T2441+T2445+T2447+T2449+T2451+T2455+T2457+T2459+T2463</f>
        <v>179664273</v>
      </c>
      <c r="U2429" s="2345"/>
      <c r="V2429" s="2347">
        <f>V2430+V2441+V2445+V2447+V2449+V2451+V2455+V2457+V2459+V2463</f>
        <v>0</v>
      </c>
      <c r="W2429" s="2345"/>
      <c r="X2429" s="2348">
        <f>X2430+X2441+X2445+X2447+X2449+X2451+X2455+X2457+X2459+X2463</f>
        <v>0</v>
      </c>
      <c r="Y2429" s="2345">
        <v>0</v>
      </c>
      <c r="Z2429" s="2347">
        <f>Z2430+Z2441+Z2445+Z2447+Z2449+Z2451+Z2455+Z2457+Z2459+Z2463</f>
        <v>270651000</v>
      </c>
      <c r="AA2429" s="2345"/>
      <c r="AB2429" s="2347">
        <f>AB2430+AB2441+AB2445+AB2447+AB2449+AB2451+AB2455+AB2457+AB2459+AB2463</f>
        <v>1486994923</v>
      </c>
      <c r="AC2429" s="2345"/>
      <c r="AD2429" s="2134"/>
      <c r="AE2429" s="2137"/>
      <c r="AF2429" s="2138"/>
      <c r="AG2429" s="2138"/>
      <c r="AH2429" s="2138"/>
      <c r="AI2429" s="2138"/>
      <c r="AJ2429" s="2138"/>
      <c r="AK2429" s="2138"/>
      <c r="AL2429" s="2138"/>
      <c r="AM2429" s="2138"/>
      <c r="AN2429" s="2138"/>
      <c r="AO2429" s="2138"/>
      <c r="AP2429" s="2138"/>
      <c r="AQ2429" s="2138"/>
      <c r="AR2429" s="2138"/>
      <c r="AS2429" s="2138"/>
      <c r="AT2429" s="2138"/>
      <c r="AU2429" s="2138"/>
      <c r="AV2429" s="2138"/>
      <c r="AW2429" s="2138"/>
      <c r="AX2429" s="2138"/>
      <c r="AY2429" s="2138"/>
      <c r="AZ2429" s="2138"/>
      <c r="BA2429" s="2138"/>
      <c r="BB2429" s="2138"/>
      <c r="BC2429" s="2138"/>
      <c r="BD2429" s="2138"/>
      <c r="BE2429" s="2138"/>
      <c r="BF2429" s="2138"/>
      <c r="BG2429" s="2138"/>
      <c r="BH2429" s="2138"/>
      <c r="BI2429" s="2138"/>
      <c r="BJ2429" s="2138"/>
      <c r="BK2429" s="2138"/>
      <c r="BL2429" s="2138"/>
      <c r="BM2429" s="2138"/>
      <c r="BN2429" s="2138"/>
      <c r="BO2429" s="2138"/>
      <c r="BP2429" s="2138"/>
      <c r="BQ2429" s="2138"/>
      <c r="BR2429" s="2138"/>
      <c r="BS2429" s="2138"/>
    </row>
    <row r="2430" spans="1:71" s="2131" customFormat="1" ht="33.75" customHeight="1">
      <c r="A2430" s="2196" t="s">
        <v>113</v>
      </c>
      <c r="B2430" s="2196"/>
      <c r="C2430" s="2204">
        <v>5</v>
      </c>
      <c r="D2430" s="2205" t="s">
        <v>34</v>
      </c>
      <c r="E2430" s="2205" t="s">
        <v>25</v>
      </c>
      <c r="F2430" s="2205" t="s">
        <v>25</v>
      </c>
      <c r="G2430" s="2205"/>
      <c r="H2430" s="2204"/>
      <c r="I2430" s="2194" t="s">
        <v>66</v>
      </c>
      <c r="J2430" s="2206"/>
      <c r="K2430" s="2207">
        <v>72</v>
      </c>
      <c r="L2430" s="2269">
        <f>SUM(L2431:L2440)</f>
        <v>953178000</v>
      </c>
      <c r="M2430" s="2210">
        <v>36</v>
      </c>
      <c r="N2430" s="2349">
        <f>SUM(N2431:N2440)</f>
        <v>486690724</v>
      </c>
      <c r="O2430" s="2210">
        <v>12</v>
      </c>
      <c r="P2430" s="2349">
        <f>SUM(P2431:P2440)</f>
        <v>205929260</v>
      </c>
      <c r="Q2430" s="2210">
        <v>3</v>
      </c>
      <c r="R2430" s="2349">
        <f>SUM(R2431:R2440)</f>
        <v>46769302</v>
      </c>
      <c r="S2430" s="2210">
        <v>3</v>
      </c>
      <c r="T2430" s="2349">
        <f>SUM(T2431:T2440)</f>
        <v>69693111</v>
      </c>
      <c r="U2430" s="2210"/>
      <c r="V2430" s="2350">
        <f>SUM(V2431:V2440)</f>
        <v>0</v>
      </c>
      <c r="W2430" s="2210"/>
      <c r="X2430" s="2350">
        <f>SUM(X2431:X2440)</f>
        <v>0</v>
      </c>
      <c r="Y2430" s="2210">
        <f>Q2430+S2430+U2430+W2430</f>
        <v>6</v>
      </c>
      <c r="Z2430" s="2351">
        <f>R2430+T2430+V2430+X2430</f>
        <v>116462413</v>
      </c>
      <c r="AA2430" s="2210">
        <f>M2430+Y2430</f>
        <v>42</v>
      </c>
      <c r="AB2430" s="2213">
        <f>N2430+Z2430</f>
        <v>603153137</v>
      </c>
      <c r="AC2430" s="2214">
        <f>(AA2430/K2430)*100</f>
        <v>58.333333333333336</v>
      </c>
      <c r="AD2430" s="2352">
        <f>(AB2430/L2430)*100</f>
        <v>63.278121924761166</v>
      </c>
      <c r="AE2430" s="2291" t="s">
        <v>3550</v>
      </c>
      <c r="AF2430" s="2353"/>
      <c r="AG2430" s="2353"/>
      <c r="AH2430" s="2353"/>
      <c r="AI2430" s="2353"/>
      <c r="AJ2430" s="2353"/>
      <c r="AK2430" s="2353"/>
      <c r="AL2430" s="2353"/>
      <c r="AM2430" s="2353"/>
      <c r="AN2430" s="2353"/>
      <c r="AO2430" s="2353"/>
      <c r="AP2430" s="2353"/>
      <c r="AQ2430" s="2353"/>
      <c r="AR2430" s="2353"/>
      <c r="AS2430" s="2353"/>
      <c r="AT2430" s="2353"/>
      <c r="AU2430" s="2353"/>
      <c r="AV2430" s="2353"/>
      <c r="AW2430" s="2353"/>
      <c r="AX2430" s="2353"/>
      <c r="AY2430" s="2353"/>
      <c r="AZ2430" s="2353"/>
      <c r="BA2430" s="2353"/>
      <c r="BB2430" s="2353"/>
      <c r="BC2430" s="2353"/>
      <c r="BD2430" s="2353"/>
      <c r="BE2430" s="2353"/>
      <c r="BF2430" s="2353"/>
      <c r="BG2430" s="2353"/>
      <c r="BH2430" s="2353"/>
      <c r="BI2430" s="2353"/>
      <c r="BJ2430" s="2353"/>
      <c r="BK2430" s="2353"/>
      <c r="BL2430" s="2353"/>
      <c r="BM2430" s="2353"/>
      <c r="BN2430" s="2353"/>
      <c r="BO2430" s="2353"/>
      <c r="BP2430" s="2353"/>
      <c r="BQ2430" s="2353"/>
      <c r="BR2430" s="2353"/>
      <c r="BS2430" s="2353"/>
    </row>
    <row r="2431" spans="1:71" s="2131" customFormat="1" ht="36" customHeight="1">
      <c r="A2431" s="2215">
        <v>1</v>
      </c>
      <c r="B2431" s="2354"/>
      <c r="C2431" s="2216">
        <v>5</v>
      </c>
      <c r="D2431" s="2217" t="s">
        <v>25</v>
      </c>
      <c r="E2431" s="2217" t="s">
        <v>25</v>
      </c>
      <c r="F2431" s="2217" t="s">
        <v>25</v>
      </c>
      <c r="G2431" s="2217"/>
      <c r="H2431" s="2217" t="s">
        <v>28</v>
      </c>
      <c r="I2431" s="2218" t="s">
        <v>67</v>
      </c>
      <c r="J2431" s="2354" t="s">
        <v>3789</v>
      </c>
      <c r="K2431" s="2199">
        <v>72</v>
      </c>
      <c r="L2431" s="2200">
        <v>72978000</v>
      </c>
      <c r="M2431" s="2201">
        <v>36</v>
      </c>
      <c r="N2431" s="2200">
        <v>43404000</v>
      </c>
      <c r="O2431" s="2201">
        <v>12</v>
      </c>
      <c r="P2431" s="2200">
        <v>18000000</v>
      </c>
      <c r="Q2431" s="2219">
        <v>3</v>
      </c>
      <c r="R2431" s="2200">
        <v>3229360</v>
      </c>
      <c r="S2431" s="2219">
        <v>3</v>
      </c>
      <c r="T2431" s="2355">
        <v>3177712</v>
      </c>
      <c r="U2431" s="2219"/>
      <c r="V2431" s="2223"/>
      <c r="W2431" s="2219"/>
      <c r="X2431" s="2222"/>
      <c r="Y2431" s="2219">
        <f t="shared" ref="Y2431:Z2464" si="669">Q2431+S2431+U2431+W2431</f>
        <v>6</v>
      </c>
      <c r="Z2431" s="2223">
        <f t="shared" si="669"/>
        <v>6407072</v>
      </c>
      <c r="AA2431" s="2219">
        <f t="shared" ref="AA2431:AB2464" si="670">M2431+Y2431</f>
        <v>42</v>
      </c>
      <c r="AB2431" s="2224">
        <f t="shared" si="670"/>
        <v>49811072</v>
      </c>
      <c r="AC2431" s="2308">
        <f t="shared" ref="AC2431:AD2464" si="671">(AA2431/K2431)*100</f>
        <v>58.333333333333336</v>
      </c>
      <c r="AD2431" s="2308">
        <f t="shared" si="671"/>
        <v>68.254915179917234</v>
      </c>
      <c r="AE2431" s="2215"/>
    </row>
    <row r="2432" spans="1:71" s="2131" customFormat="1" ht="60.75" customHeight="1">
      <c r="A2432" s="2215">
        <v>2</v>
      </c>
      <c r="B2432" s="2354"/>
      <c r="C2432" s="2216">
        <v>5</v>
      </c>
      <c r="D2432" s="2217" t="s">
        <v>34</v>
      </c>
      <c r="E2432" s="2217" t="s">
        <v>25</v>
      </c>
      <c r="F2432" s="2217" t="s">
        <v>25</v>
      </c>
      <c r="G2432" s="2217"/>
      <c r="H2432" s="2217" t="s">
        <v>29</v>
      </c>
      <c r="I2432" s="2218" t="s">
        <v>68</v>
      </c>
      <c r="J2432" s="2354" t="s">
        <v>3790</v>
      </c>
      <c r="K2432" s="2199">
        <v>72</v>
      </c>
      <c r="L2432" s="2200">
        <v>153000000</v>
      </c>
      <c r="M2432" s="2199">
        <v>33</v>
      </c>
      <c r="N2432" s="2200">
        <v>48500000</v>
      </c>
      <c r="O2432" s="2199">
        <v>12</v>
      </c>
      <c r="P2432" s="2200">
        <v>38800000</v>
      </c>
      <c r="Q2432" s="2356" t="s">
        <v>40</v>
      </c>
      <c r="R2432" s="2357">
        <v>0</v>
      </c>
      <c r="S2432" s="2219">
        <v>3</v>
      </c>
      <c r="T2432" s="2222">
        <v>16750000</v>
      </c>
      <c r="U2432" s="2219"/>
      <c r="V2432" s="2223"/>
      <c r="W2432" s="2219"/>
      <c r="X2432" s="2222"/>
      <c r="Y2432" s="2219">
        <f t="shared" si="669"/>
        <v>3</v>
      </c>
      <c r="Z2432" s="2223">
        <f t="shared" si="669"/>
        <v>16750000</v>
      </c>
      <c r="AA2432" s="2219">
        <f t="shared" si="670"/>
        <v>36</v>
      </c>
      <c r="AB2432" s="2224">
        <f t="shared" si="670"/>
        <v>65250000</v>
      </c>
      <c r="AC2432" s="2308">
        <f t="shared" si="671"/>
        <v>50</v>
      </c>
      <c r="AD2432" s="2308">
        <f t="shared" si="671"/>
        <v>42.647058823529413</v>
      </c>
      <c r="AE2432" s="2215"/>
    </row>
    <row r="2433" spans="1:71" s="2131" customFormat="1" ht="45" customHeight="1">
      <c r="A2433" s="2215">
        <v>3</v>
      </c>
      <c r="B2433" s="2354"/>
      <c r="C2433" s="2216">
        <v>5</v>
      </c>
      <c r="D2433" s="2217" t="s">
        <v>34</v>
      </c>
      <c r="E2433" s="2217" t="s">
        <v>25</v>
      </c>
      <c r="F2433" s="2217" t="s">
        <v>25</v>
      </c>
      <c r="G2433" s="2217"/>
      <c r="H2433" s="2217" t="s">
        <v>30</v>
      </c>
      <c r="I2433" s="2218" t="s">
        <v>69</v>
      </c>
      <c r="J2433" s="2354" t="s">
        <v>3791</v>
      </c>
      <c r="K2433" s="2199">
        <v>72</v>
      </c>
      <c r="L2433" s="2200">
        <v>69000000</v>
      </c>
      <c r="M2433" s="2199">
        <v>36</v>
      </c>
      <c r="N2433" s="2200">
        <v>67698524</v>
      </c>
      <c r="O2433" s="2199">
        <v>12</v>
      </c>
      <c r="P2433" s="2200">
        <v>14716245</v>
      </c>
      <c r="Q2433" s="2219">
        <v>3</v>
      </c>
      <c r="R2433" s="2200">
        <v>2600492</v>
      </c>
      <c r="S2433" s="2219">
        <v>3</v>
      </c>
      <c r="T2433" s="2222">
        <v>5930000</v>
      </c>
      <c r="U2433" s="2219"/>
      <c r="V2433" s="2223"/>
      <c r="W2433" s="2219"/>
      <c r="X2433" s="2222"/>
      <c r="Y2433" s="2219">
        <f t="shared" si="669"/>
        <v>6</v>
      </c>
      <c r="Z2433" s="2223">
        <f t="shared" si="669"/>
        <v>8530492</v>
      </c>
      <c r="AA2433" s="2219">
        <f t="shared" si="670"/>
        <v>42</v>
      </c>
      <c r="AB2433" s="2224">
        <f t="shared" si="670"/>
        <v>76229016</v>
      </c>
      <c r="AC2433" s="2308">
        <f t="shared" si="671"/>
        <v>58.333333333333336</v>
      </c>
      <c r="AD2433" s="2308">
        <f t="shared" si="671"/>
        <v>110.47683478260871</v>
      </c>
      <c r="AE2433" s="2215"/>
    </row>
    <row r="2434" spans="1:71" s="2131" customFormat="1" ht="50.25" customHeight="1">
      <c r="A2434" s="2215">
        <v>5</v>
      </c>
      <c r="B2434" s="2354"/>
      <c r="C2434" s="2216">
        <v>5</v>
      </c>
      <c r="D2434" s="2217" t="s">
        <v>34</v>
      </c>
      <c r="E2434" s="2217" t="s">
        <v>25</v>
      </c>
      <c r="F2434" s="2217" t="s">
        <v>25</v>
      </c>
      <c r="G2434" s="2217"/>
      <c r="H2434" s="2217" t="s">
        <v>31</v>
      </c>
      <c r="I2434" s="2218" t="s">
        <v>70</v>
      </c>
      <c r="J2434" s="2354" t="s">
        <v>3793</v>
      </c>
      <c r="K2434" s="2199">
        <v>72</v>
      </c>
      <c r="L2434" s="2200">
        <v>105000000</v>
      </c>
      <c r="M2434" s="2201">
        <v>36</v>
      </c>
      <c r="N2434" s="2200">
        <v>28921383</v>
      </c>
      <c r="O2434" s="2201">
        <v>12</v>
      </c>
      <c r="P2434" s="2200">
        <v>26392505</v>
      </c>
      <c r="Q2434" s="2219">
        <v>3</v>
      </c>
      <c r="R2434" s="2200">
        <v>7689384</v>
      </c>
      <c r="S2434" s="2219">
        <v>3</v>
      </c>
      <c r="T2434" s="2358">
        <v>10038190</v>
      </c>
      <c r="U2434" s="2219"/>
      <c r="V2434" s="2223"/>
      <c r="W2434" s="2219"/>
      <c r="X2434" s="2222"/>
      <c r="Y2434" s="2219">
        <f t="shared" si="669"/>
        <v>6</v>
      </c>
      <c r="Z2434" s="2223">
        <f t="shared" si="669"/>
        <v>17727574</v>
      </c>
      <c r="AA2434" s="2219">
        <f t="shared" si="670"/>
        <v>42</v>
      </c>
      <c r="AB2434" s="2224">
        <f t="shared" si="670"/>
        <v>46648957</v>
      </c>
      <c r="AC2434" s="2308">
        <f t="shared" si="671"/>
        <v>58.333333333333336</v>
      </c>
      <c r="AD2434" s="2308">
        <f t="shared" si="671"/>
        <v>44.427578095238097</v>
      </c>
      <c r="AE2434" s="2215"/>
    </row>
    <row r="2435" spans="1:71" s="2131" customFormat="1" ht="45" customHeight="1">
      <c r="A2435" s="2215">
        <v>6</v>
      </c>
      <c r="B2435" s="2354"/>
      <c r="C2435" s="2216">
        <v>5</v>
      </c>
      <c r="D2435" s="2217" t="s">
        <v>34</v>
      </c>
      <c r="E2435" s="2217" t="s">
        <v>25</v>
      </c>
      <c r="F2435" s="2217" t="s">
        <v>25</v>
      </c>
      <c r="G2435" s="2217"/>
      <c r="H2435" s="2217" t="s">
        <v>62</v>
      </c>
      <c r="I2435" s="2218" t="s">
        <v>71</v>
      </c>
      <c r="J2435" s="2354" t="s">
        <v>3794</v>
      </c>
      <c r="K2435" s="2199">
        <v>72</v>
      </c>
      <c r="L2435" s="2200">
        <v>74000000</v>
      </c>
      <c r="M2435" s="2199">
        <v>36</v>
      </c>
      <c r="N2435" s="2200">
        <v>63443117</v>
      </c>
      <c r="O2435" s="2199">
        <v>12</v>
      </c>
      <c r="P2435" s="2200">
        <v>7530360</v>
      </c>
      <c r="Q2435" s="2219">
        <v>3</v>
      </c>
      <c r="R2435" s="2200">
        <v>2169250</v>
      </c>
      <c r="S2435" s="2219">
        <v>3</v>
      </c>
      <c r="T2435" s="2358">
        <v>2765000</v>
      </c>
      <c r="U2435" s="2219"/>
      <c r="V2435" s="2223"/>
      <c r="W2435" s="2219"/>
      <c r="X2435" s="2222"/>
      <c r="Y2435" s="2219">
        <f t="shared" si="669"/>
        <v>6</v>
      </c>
      <c r="Z2435" s="2223">
        <f t="shared" si="669"/>
        <v>4934250</v>
      </c>
      <c r="AA2435" s="2219">
        <f t="shared" si="670"/>
        <v>42</v>
      </c>
      <c r="AB2435" s="2224">
        <f t="shared" si="670"/>
        <v>68377367</v>
      </c>
      <c r="AC2435" s="2308">
        <f t="shared" si="671"/>
        <v>58.333333333333336</v>
      </c>
      <c r="AD2435" s="2308">
        <f t="shared" si="671"/>
        <v>92.401847297297309</v>
      </c>
      <c r="AE2435" s="2215"/>
    </row>
    <row r="2436" spans="1:71" s="2131" customFormat="1" ht="64.5" customHeight="1">
      <c r="A2436" s="2215">
        <v>7</v>
      </c>
      <c r="B2436" s="2354"/>
      <c r="C2436" s="2216">
        <v>5</v>
      </c>
      <c r="D2436" s="2217" t="s">
        <v>34</v>
      </c>
      <c r="E2436" s="2217" t="s">
        <v>25</v>
      </c>
      <c r="F2436" s="2217" t="s">
        <v>25</v>
      </c>
      <c r="G2436" s="2217"/>
      <c r="H2436" s="2217" t="s">
        <v>52</v>
      </c>
      <c r="I2436" s="2218" t="s">
        <v>72</v>
      </c>
      <c r="J2436" s="2354" t="s">
        <v>3795</v>
      </c>
      <c r="K2436" s="2199">
        <v>72</v>
      </c>
      <c r="L2436" s="2200">
        <v>15000000</v>
      </c>
      <c r="M2436" s="2199">
        <v>36</v>
      </c>
      <c r="N2436" s="2200">
        <v>19197200</v>
      </c>
      <c r="O2436" s="2199">
        <v>12</v>
      </c>
      <c r="P2436" s="2200">
        <v>14855084</v>
      </c>
      <c r="Q2436" s="2219">
        <v>3</v>
      </c>
      <c r="R2436" s="2200">
        <v>595816</v>
      </c>
      <c r="S2436" s="2219">
        <v>3</v>
      </c>
      <c r="T2436" s="2358">
        <v>7397209</v>
      </c>
      <c r="U2436" s="2219"/>
      <c r="V2436" s="2220"/>
      <c r="W2436" s="2219"/>
      <c r="X2436" s="2222"/>
      <c r="Y2436" s="2219">
        <f t="shared" si="669"/>
        <v>6</v>
      </c>
      <c r="Z2436" s="2223">
        <f t="shared" si="669"/>
        <v>7993025</v>
      </c>
      <c r="AA2436" s="2219">
        <f t="shared" si="670"/>
        <v>42</v>
      </c>
      <c r="AB2436" s="2224">
        <f t="shared" si="670"/>
        <v>27190225</v>
      </c>
      <c r="AC2436" s="2308">
        <f t="shared" si="671"/>
        <v>58.333333333333336</v>
      </c>
      <c r="AD2436" s="2308">
        <f t="shared" si="671"/>
        <v>181.26816666666667</v>
      </c>
      <c r="AE2436" s="2215"/>
    </row>
    <row r="2437" spans="1:71" s="2131" customFormat="1" ht="63.75" customHeight="1">
      <c r="A2437" s="2215">
        <v>8</v>
      </c>
      <c r="B2437" s="2354"/>
      <c r="C2437" s="2216">
        <v>5</v>
      </c>
      <c r="D2437" s="2217" t="s">
        <v>25</v>
      </c>
      <c r="E2437" s="2217" t="s">
        <v>25</v>
      </c>
      <c r="F2437" s="2216"/>
      <c r="G2437" s="2216"/>
      <c r="H2437" s="2217" t="s">
        <v>45</v>
      </c>
      <c r="I2437" s="2218" t="s">
        <v>73</v>
      </c>
      <c r="J2437" s="2354" t="s">
        <v>3796</v>
      </c>
      <c r="K2437" s="2199">
        <v>72</v>
      </c>
      <c r="L2437" s="2200">
        <v>12600000</v>
      </c>
      <c r="M2437" s="2201">
        <v>36</v>
      </c>
      <c r="N2437" s="2200">
        <v>20177000</v>
      </c>
      <c r="O2437" s="2201">
        <v>12</v>
      </c>
      <c r="P2437" s="2200">
        <v>5400000</v>
      </c>
      <c r="Q2437" s="2219">
        <v>3</v>
      </c>
      <c r="R2437" s="2200">
        <v>400000</v>
      </c>
      <c r="S2437" s="2219">
        <v>3</v>
      </c>
      <c r="T2437" s="2358">
        <v>1800000</v>
      </c>
      <c r="U2437" s="2219"/>
      <c r="V2437" s="2223"/>
      <c r="W2437" s="2219"/>
      <c r="X2437" s="2222"/>
      <c r="Y2437" s="2219">
        <f t="shared" si="669"/>
        <v>6</v>
      </c>
      <c r="Z2437" s="2223">
        <f t="shared" si="669"/>
        <v>2200000</v>
      </c>
      <c r="AA2437" s="2219">
        <f t="shared" si="670"/>
        <v>42</v>
      </c>
      <c r="AB2437" s="2224">
        <f t="shared" si="670"/>
        <v>22377000</v>
      </c>
      <c r="AC2437" s="2308">
        <f t="shared" si="671"/>
        <v>58.333333333333336</v>
      </c>
      <c r="AD2437" s="2308">
        <f t="shared" si="671"/>
        <v>177.5952380952381</v>
      </c>
      <c r="AE2437" s="2215"/>
    </row>
    <row r="2438" spans="1:71" s="2131" customFormat="1" ht="63.75" customHeight="1">
      <c r="A2438" s="2215">
        <v>9</v>
      </c>
      <c r="B2438" s="2354"/>
      <c r="C2438" s="2216">
        <v>5</v>
      </c>
      <c r="D2438" s="2217" t="s">
        <v>25</v>
      </c>
      <c r="E2438" s="2217" t="s">
        <v>25</v>
      </c>
      <c r="F2438" s="2216"/>
      <c r="G2438" s="2216"/>
      <c r="H2438" s="2217" t="s">
        <v>74</v>
      </c>
      <c r="I2438" s="2218" t="s">
        <v>75</v>
      </c>
      <c r="J2438" s="2354" t="s">
        <v>3797</v>
      </c>
      <c r="K2438" s="2199">
        <v>72</v>
      </c>
      <c r="L2438" s="2200">
        <v>100000000</v>
      </c>
      <c r="M2438" s="2199">
        <v>36</v>
      </c>
      <c r="N2438" s="2200">
        <v>28709500</v>
      </c>
      <c r="O2438" s="2199">
        <v>12</v>
      </c>
      <c r="P2438" s="2200">
        <v>25685066</v>
      </c>
      <c r="Q2438" s="2219">
        <v>3</v>
      </c>
      <c r="R2438" s="2200">
        <v>17545000</v>
      </c>
      <c r="S2438" s="2219">
        <v>3</v>
      </c>
      <c r="T2438" s="2358">
        <v>1650000</v>
      </c>
      <c r="U2438" s="2219"/>
      <c r="V2438" s="2223"/>
      <c r="W2438" s="2219"/>
      <c r="X2438" s="2222"/>
      <c r="Y2438" s="2219">
        <f t="shared" si="669"/>
        <v>6</v>
      </c>
      <c r="Z2438" s="2223">
        <f t="shared" si="669"/>
        <v>19195000</v>
      </c>
      <c r="AA2438" s="2219">
        <f t="shared" si="670"/>
        <v>42</v>
      </c>
      <c r="AB2438" s="2224">
        <f t="shared" si="670"/>
        <v>47904500</v>
      </c>
      <c r="AC2438" s="2308">
        <f t="shared" si="671"/>
        <v>58.333333333333336</v>
      </c>
      <c r="AD2438" s="2308">
        <f t="shared" si="671"/>
        <v>47.904499999999999</v>
      </c>
      <c r="AE2438" s="2215"/>
    </row>
    <row r="2439" spans="1:71" s="2131" customFormat="1" ht="60.75" customHeight="1">
      <c r="A2439" s="2215">
        <v>10</v>
      </c>
      <c r="B2439" s="2354"/>
      <c r="C2439" s="2216">
        <v>5</v>
      </c>
      <c r="D2439" s="2217" t="s">
        <v>25</v>
      </c>
      <c r="E2439" s="2217" t="s">
        <v>25</v>
      </c>
      <c r="F2439" s="2216"/>
      <c r="G2439" s="2216"/>
      <c r="H2439" s="2217" t="s">
        <v>44</v>
      </c>
      <c r="I2439" s="2218" t="s">
        <v>76</v>
      </c>
      <c r="J2439" s="2354" t="s">
        <v>3798</v>
      </c>
      <c r="K2439" s="2199">
        <v>72</v>
      </c>
      <c r="L2439" s="2200">
        <v>120350000</v>
      </c>
      <c r="M2439" s="2201">
        <v>36</v>
      </c>
      <c r="N2439" s="2200">
        <v>66345000</v>
      </c>
      <c r="O2439" s="2199">
        <v>12</v>
      </c>
      <c r="P2439" s="2357">
        <v>12450000</v>
      </c>
      <c r="Q2439" s="2219">
        <v>3</v>
      </c>
      <c r="R2439" s="2357">
        <v>250000</v>
      </c>
      <c r="S2439" s="2219">
        <v>3</v>
      </c>
      <c r="T2439" s="2268">
        <v>525000</v>
      </c>
      <c r="U2439" s="2219"/>
      <c r="V2439" s="2223"/>
      <c r="W2439" s="2219"/>
      <c r="X2439" s="2222"/>
      <c r="Y2439" s="2219">
        <f t="shared" si="669"/>
        <v>6</v>
      </c>
      <c r="Z2439" s="2220">
        <f t="shared" si="669"/>
        <v>775000</v>
      </c>
      <c r="AA2439" s="2219">
        <f t="shared" si="670"/>
        <v>42</v>
      </c>
      <c r="AB2439" s="2224">
        <f t="shared" si="670"/>
        <v>67120000</v>
      </c>
      <c r="AC2439" s="2308">
        <f t="shared" si="671"/>
        <v>58.333333333333336</v>
      </c>
      <c r="AD2439" s="2308">
        <f t="shared" si="671"/>
        <v>55.770668882426257</v>
      </c>
      <c r="AE2439" s="2215"/>
    </row>
    <row r="2440" spans="1:71" s="2131" customFormat="1" ht="60.75" customHeight="1">
      <c r="A2440" s="2215">
        <v>11</v>
      </c>
      <c r="B2440" s="2354"/>
      <c r="C2440" s="2216">
        <v>5</v>
      </c>
      <c r="D2440" s="2217" t="s">
        <v>25</v>
      </c>
      <c r="E2440" s="2217" t="s">
        <v>25</v>
      </c>
      <c r="F2440" s="2216"/>
      <c r="G2440" s="2216"/>
      <c r="H2440" s="2217" t="s">
        <v>54</v>
      </c>
      <c r="I2440" s="2218" t="s">
        <v>77</v>
      </c>
      <c r="J2440" s="2354" t="s">
        <v>3799</v>
      </c>
      <c r="K2440" s="2199">
        <v>72</v>
      </c>
      <c r="L2440" s="2200">
        <v>231250000</v>
      </c>
      <c r="M2440" s="2201">
        <v>36</v>
      </c>
      <c r="N2440" s="2200">
        <v>100295000</v>
      </c>
      <c r="O2440" s="2199">
        <v>12</v>
      </c>
      <c r="P2440" s="2200">
        <v>42100000</v>
      </c>
      <c r="Q2440" s="2219">
        <v>3</v>
      </c>
      <c r="R2440" s="2200">
        <v>12290000</v>
      </c>
      <c r="S2440" s="2219">
        <v>3</v>
      </c>
      <c r="T2440" s="2223">
        <v>19660000</v>
      </c>
      <c r="U2440" s="2219"/>
      <c r="V2440" s="2223"/>
      <c r="W2440" s="2219"/>
      <c r="X2440" s="2222"/>
      <c r="Y2440" s="2219">
        <f t="shared" si="669"/>
        <v>6</v>
      </c>
      <c r="Z2440" s="2223">
        <f t="shared" si="669"/>
        <v>31950000</v>
      </c>
      <c r="AA2440" s="2219">
        <f t="shared" si="670"/>
        <v>42</v>
      </c>
      <c r="AB2440" s="2224">
        <f t="shared" si="670"/>
        <v>132245000</v>
      </c>
      <c r="AC2440" s="2308">
        <f t="shared" si="671"/>
        <v>58.333333333333336</v>
      </c>
      <c r="AD2440" s="2308">
        <f t="shared" si="671"/>
        <v>57.187027027027028</v>
      </c>
      <c r="AE2440" s="2215"/>
    </row>
    <row r="2441" spans="1:71" s="2131" customFormat="1" ht="35.25" customHeight="1">
      <c r="A2441" s="2196" t="s">
        <v>114</v>
      </c>
      <c r="B2441" s="2206"/>
      <c r="C2441" s="2205" t="s">
        <v>3803</v>
      </c>
      <c r="D2441" s="2205" t="s">
        <v>34</v>
      </c>
      <c r="E2441" s="2205" t="s">
        <v>25</v>
      </c>
      <c r="F2441" s="2205" t="s">
        <v>28</v>
      </c>
      <c r="G2441" s="2205"/>
      <c r="H2441" s="2204"/>
      <c r="I2441" s="2206" t="s">
        <v>3852</v>
      </c>
      <c r="J2441" s="2206"/>
      <c r="K2441" s="2207">
        <v>72</v>
      </c>
      <c r="L2441" s="2208">
        <f>SUM(L2442:L2444)</f>
        <v>705520000</v>
      </c>
      <c r="M2441" s="2207">
        <v>36</v>
      </c>
      <c r="N2441" s="2208">
        <f>SUM(N2442:N2444)</f>
        <v>495974349</v>
      </c>
      <c r="O2441" s="2207">
        <v>12</v>
      </c>
      <c r="P2441" s="2208">
        <f>SUM(P2442:P2444)</f>
        <v>87211326</v>
      </c>
      <c r="Q2441" s="2210">
        <v>3</v>
      </c>
      <c r="R2441" s="2208">
        <f>SUM(R2442:R2444)</f>
        <v>13097500</v>
      </c>
      <c r="S2441" s="2210">
        <v>3</v>
      </c>
      <c r="T2441" s="2213">
        <f>SUM(T2442:T2444)</f>
        <v>36195202</v>
      </c>
      <c r="U2441" s="2210"/>
      <c r="V2441" s="2213">
        <f>SUM(V2442:V2444)</f>
        <v>0</v>
      </c>
      <c r="W2441" s="2210"/>
      <c r="X2441" s="2213">
        <f>SUM(X2442:X2444)</f>
        <v>0</v>
      </c>
      <c r="Y2441" s="2210">
        <f t="shared" si="669"/>
        <v>6</v>
      </c>
      <c r="Z2441" s="2213">
        <f t="shared" si="669"/>
        <v>49292702</v>
      </c>
      <c r="AA2441" s="2210">
        <f t="shared" si="670"/>
        <v>42</v>
      </c>
      <c r="AB2441" s="2213">
        <f t="shared" si="670"/>
        <v>545267051</v>
      </c>
      <c r="AC2441" s="2214">
        <f t="shared" si="671"/>
        <v>58.333333333333336</v>
      </c>
      <c r="AD2441" s="2214">
        <f t="shared" si="671"/>
        <v>77.285838955663905</v>
      </c>
      <c r="AE2441" s="2196" t="s">
        <v>3550</v>
      </c>
      <c r="AF2441" s="2353"/>
      <c r="AG2441" s="2353"/>
      <c r="AH2441" s="2353"/>
      <c r="AI2441" s="2353"/>
      <c r="AJ2441" s="2353"/>
      <c r="AK2441" s="2353"/>
      <c r="AL2441" s="2353"/>
      <c r="AM2441" s="2353"/>
      <c r="AN2441" s="2353"/>
      <c r="AO2441" s="2353"/>
      <c r="AP2441" s="2353"/>
      <c r="AQ2441" s="2353"/>
      <c r="AR2441" s="2353"/>
      <c r="AS2441" s="2353"/>
      <c r="AT2441" s="2353"/>
      <c r="AU2441" s="2353"/>
      <c r="AV2441" s="2353"/>
      <c r="AW2441" s="2353"/>
      <c r="AX2441" s="2353"/>
      <c r="AY2441" s="2353"/>
      <c r="AZ2441" s="2353"/>
      <c r="BA2441" s="2353"/>
      <c r="BB2441" s="2353"/>
      <c r="BC2441" s="2353"/>
      <c r="BD2441" s="2353"/>
      <c r="BE2441" s="2353"/>
      <c r="BF2441" s="2353"/>
      <c r="BG2441" s="2353"/>
      <c r="BH2441" s="2353"/>
      <c r="BI2441" s="2353"/>
      <c r="BJ2441" s="2353"/>
      <c r="BK2441" s="2353"/>
      <c r="BL2441" s="2353"/>
      <c r="BM2441" s="2353"/>
      <c r="BN2441" s="2353"/>
      <c r="BO2441" s="2353"/>
      <c r="BP2441" s="2353"/>
      <c r="BQ2441" s="2353"/>
      <c r="BR2441" s="2353"/>
      <c r="BS2441" s="2353"/>
    </row>
    <row r="2442" spans="1:71" s="2131" customFormat="1" ht="25.5">
      <c r="A2442" s="2215">
        <v>1</v>
      </c>
      <c r="B2442" s="2218"/>
      <c r="C2442" s="2217">
        <v>5</v>
      </c>
      <c r="D2442" s="2217" t="s">
        <v>34</v>
      </c>
      <c r="E2442" s="2217" t="s">
        <v>25</v>
      </c>
      <c r="F2442" s="2217" t="s">
        <v>28</v>
      </c>
      <c r="G2442" s="2217"/>
      <c r="H2442" s="2217">
        <v>22</v>
      </c>
      <c r="I2442" s="2197" t="s">
        <v>3811</v>
      </c>
      <c r="J2442" s="2218" t="s">
        <v>3812</v>
      </c>
      <c r="K2442" s="2199">
        <v>72</v>
      </c>
      <c r="L2442" s="2200">
        <v>75000000</v>
      </c>
      <c r="M2442" s="2201">
        <v>36</v>
      </c>
      <c r="N2442" s="2200">
        <v>29471500</v>
      </c>
      <c r="O2442" s="2199">
        <v>12</v>
      </c>
      <c r="P2442" s="2200">
        <v>6572048</v>
      </c>
      <c r="Q2442" s="2219">
        <v>3</v>
      </c>
      <c r="R2442" s="2200">
        <v>3287500</v>
      </c>
      <c r="S2442" s="2219">
        <v>3</v>
      </c>
      <c r="T2442" s="2223">
        <v>450000</v>
      </c>
      <c r="U2442" s="2219"/>
      <c r="V2442" s="2220"/>
      <c r="W2442" s="2219"/>
      <c r="X2442" s="2331"/>
      <c r="Y2442" s="2219">
        <f t="shared" si="669"/>
        <v>6</v>
      </c>
      <c r="Z2442" s="2223">
        <f t="shared" si="669"/>
        <v>3737500</v>
      </c>
      <c r="AA2442" s="2219">
        <f t="shared" si="670"/>
        <v>42</v>
      </c>
      <c r="AB2442" s="2224">
        <f t="shared" si="670"/>
        <v>33209000</v>
      </c>
      <c r="AC2442" s="2308">
        <f t="shared" si="671"/>
        <v>58.333333333333336</v>
      </c>
      <c r="AD2442" s="2308">
        <f t="shared" si="671"/>
        <v>44.278666666666666</v>
      </c>
      <c r="AE2442" s="2215"/>
    </row>
    <row r="2443" spans="1:71" s="2131" customFormat="1" ht="25.5">
      <c r="A2443" s="2215">
        <v>2</v>
      </c>
      <c r="B2443" s="2218"/>
      <c r="C2443" s="2217" t="s">
        <v>3803</v>
      </c>
      <c r="D2443" s="2217" t="s">
        <v>34</v>
      </c>
      <c r="E2443" s="2217" t="s">
        <v>25</v>
      </c>
      <c r="F2443" s="2217" t="s">
        <v>28</v>
      </c>
      <c r="G2443" s="2217"/>
      <c r="H2443" s="2217" t="s">
        <v>84</v>
      </c>
      <c r="I2443" s="2197" t="s">
        <v>3813</v>
      </c>
      <c r="J2443" s="2218" t="s">
        <v>3814</v>
      </c>
      <c r="K2443" s="2199">
        <v>72</v>
      </c>
      <c r="L2443" s="2200">
        <v>130520000</v>
      </c>
      <c r="M2443" s="2201">
        <v>36</v>
      </c>
      <c r="N2443" s="2200">
        <v>96502849</v>
      </c>
      <c r="O2443" s="2199">
        <v>12</v>
      </c>
      <c r="P2443" s="2200">
        <v>75039278</v>
      </c>
      <c r="Q2443" s="2219">
        <v>3</v>
      </c>
      <c r="R2443" s="2200">
        <v>9010000</v>
      </c>
      <c r="S2443" s="2219">
        <v>3</v>
      </c>
      <c r="T2443" s="2223">
        <v>33660702</v>
      </c>
      <c r="U2443" s="2219"/>
      <c r="V2443" s="2223"/>
      <c r="W2443" s="2219"/>
      <c r="X2443" s="2222"/>
      <c r="Y2443" s="2219">
        <f t="shared" si="669"/>
        <v>6</v>
      </c>
      <c r="Z2443" s="2223">
        <f t="shared" si="669"/>
        <v>42670702</v>
      </c>
      <c r="AA2443" s="2219">
        <f t="shared" si="670"/>
        <v>42</v>
      </c>
      <c r="AB2443" s="2224">
        <f t="shared" si="670"/>
        <v>139173551</v>
      </c>
      <c r="AC2443" s="2308">
        <f t="shared" si="671"/>
        <v>58.333333333333336</v>
      </c>
      <c r="AD2443" s="2308">
        <f t="shared" si="671"/>
        <v>106.63005746245786</v>
      </c>
      <c r="AE2443" s="2215"/>
    </row>
    <row r="2444" spans="1:71" s="2131" customFormat="1" ht="38.25">
      <c r="A2444" s="2215">
        <v>3</v>
      </c>
      <c r="B2444" s="2218"/>
      <c r="C2444" s="2217" t="s">
        <v>3803</v>
      </c>
      <c r="D2444" s="2217" t="s">
        <v>34</v>
      </c>
      <c r="E2444" s="2217" t="s">
        <v>25</v>
      </c>
      <c r="F2444" s="2217" t="s">
        <v>28</v>
      </c>
      <c r="G2444" s="2217"/>
      <c r="H2444" s="2217" t="s">
        <v>542</v>
      </c>
      <c r="I2444" s="2197" t="s">
        <v>3853</v>
      </c>
      <c r="J2444" s="2218" t="s">
        <v>3854</v>
      </c>
      <c r="K2444" s="2199">
        <v>72</v>
      </c>
      <c r="L2444" s="2357">
        <v>500000000</v>
      </c>
      <c r="M2444" s="2201">
        <v>36</v>
      </c>
      <c r="N2444" s="2200">
        <v>370000000</v>
      </c>
      <c r="O2444" s="2357">
        <v>12</v>
      </c>
      <c r="P2444" s="2357">
        <v>5600000</v>
      </c>
      <c r="Q2444" s="2219">
        <v>3</v>
      </c>
      <c r="R2444" s="2357">
        <v>800000</v>
      </c>
      <c r="S2444" s="2219">
        <v>3</v>
      </c>
      <c r="T2444" s="2223">
        <v>2084500</v>
      </c>
      <c r="U2444" s="2219"/>
      <c r="V2444" s="2223"/>
      <c r="W2444" s="2219"/>
      <c r="X2444" s="2222"/>
      <c r="Y2444" s="2219">
        <f t="shared" si="669"/>
        <v>6</v>
      </c>
      <c r="Z2444" s="2223">
        <f t="shared" si="669"/>
        <v>2884500</v>
      </c>
      <c r="AA2444" s="2219">
        <f t="shared" si="670"/>
        <v>42</v>
      </c>
      <c r="AB2444" s="2224">
        <f t="shared" si="670"/>
        <v>372884500</v>
      </c>
      <c r="AC2444" s="2308">
        <f t="shared" si="671"/>
        <v>58.333333333333336</v>
      </c>
      <c r="AD2444" s="2308">
        <f t="shared" si="671"/>
        <v>74.576899999999995</v>
      </c>
      <c r="AE2444" s="2215"/>
    </row>
    <row r="2445" spans="1:71" s="2131" customFormat="1" ht="51">
      <c r="A2445" s="2140"/>
      <c r="B2445" s="2194"/>
      <c r="C2445" s="2142">
        <v>5</v>
      </c>
      <c r="D2445" s="2142" t="s">
        <v>34</v>
      </c>
      <c r="E2445" s="2142" t="s">
        <v>25</v>
      </c>
      <c r="F2445" s="2142" t="s">
        <v>45</v>
      </c>
      <c r="G2445" s="2142"/>
      <c r="H2445" s="2142"/>
      <c r="I2445" s="2143" t="s">
        <v>1833</v>
      </c>
      <c r="J2445" s="2143" t="s">
        <v>3728</v>
      </c>
      <c r="K2445" s="2144">
        <v>80</v>
      </c>
      <c r="L2445" s="2145">
        <f>SUM(L2446:L2446)</f>
        <v>8000000</v>
      </c>
      <c r="M2445" s="2144">
        <v>50</v>
      </c>
      <c r="N2445" s="2145">
        <f>SUM(N2446:N2446)</f>
        <v>0</v>
      </c>
      <c r="O2445" s="2144">
        <v>10</v>
      </c>
      <c r="P2445" s="2145">
        <f>SUM(P2446:P2446)</f>
        <v>13000000</v>
      </c>
      <c r="Q2445" s="2144">
        <v>0</v>
      </c>
      <c r="R2445" s="2145">
        <f>SUM(R2446:R2446)</f>
        <v>6105000</v>
      </c>
      <c r="S2445" s="2144">
        <v>6</v>
      </c>
      <c r="T2445" s="2145">
        <f>SUM(T2446:T2446)</f>
        <v>5000000</v>
      </c>
      <c r="U2445" s="2144"/>
      <c r="V2445" s="2145">
        <f>SUM(V2446:V2446)</f>
        <v>0</v>
      </c>
      <c r="W2445" s="2144"/>
      <c r="X2445" s="2145">
        <f>SUM(X2446:X2446)</f>
        <v>0</v>
      </c>
      <c r="Y2445" s="2144">
        <f t="shared" si="669"/>
        <v>6</v>
      </c>
      <c r="Z2445" s="2145">
        <f t="shared" si="669"/>
        <v>11105000</v>
      </c>
      <c r="AA2445" s="2144">
        <f t="shared" si="670"/>
        <v>56</v>
      </c>
      <c r="AB2445" s="2145">
        <f t="shared" si="670"/>
        <v>11105000</v>
      </c>
      <c r="AC2445" s="2147">
        <f t="shared" si="671"/>
        <v>70</v>
      </c>
      <c r="AD2445" s="2147">
        <f t="shared" si="671"/>
        <v>138.8125</v>
      </c>
      <c r="AE2445" s="2196" t="s">
        <v>3550</v>
      </c>
    </row>
    <row r="2446" spans="1:71" s="2131" customFormat="1" ht="51">
      <c r="A2446" s="2152"/>
      <c r="B2446" s="2198"/>
      <c r="C2446" s="2164">
        <v>5</v>
      </c>
      <c r="D2446" s="2164" t="s">
        <v>34</v>
      </c>
      <c r="E2446" s="2164" t="s">
        <v>25</v>
      </c>
      <c r="F2446" s="2164" t="s">
        <v>45</v>
      </c>
      <c r="G2446" s="2164"/>
      <c r="H2446" s="2164">
        <v>15</v>
      </c>
      <c r="I2446" s="2198" t="s">
        <v>3541</v>
      </c>
      <c r="J2446" s="2198" t="s">
        <v>3729</v>
      </c>
      <c r="K2446" s="2240">
        <v>36</v>
      </c>
      <c r="L2446" s="2241">
        <v>8000000</v>
      </c>
      <c r="M2446" s="2240">
        <v>0</v>
      </c>
      <c r="N2446" s="2241">
        <v>0</v>
      </c>
      <c r="O2446" s="2240">
        <v>12</v>
      </c>
      <c r="P2446" s="2241">
        <v>13000000</v>
      </c>
      <c r="Q2446" s="2240">
        <v>3</v>
      </c>
      <c r="R2446" s="2241">
        <v>6105000</v>
      </c>
      <c r="S2446" s="2240">
        <v>3</v>
      </c>
      <c r="T2446" s="2241">
        <v>5000000</v>
      </c>
      <c r="U2446" s="2240"/>
      <c r="V2446" s="2242"/>
      <c r="W2446" s="2240"/>
      <c r="X2446" s="2241"/>
      <c r="Y2446" s="2240">
        <f t="shared" si="669"/>
        <v>6</v>
      </c>
      <c r="Z2446" s="2203">
        <f t="shared" si="669"/>
        <v>11105000</v>
      </c>
      <c r="AA2446" s="2240">
        <f t="shared" si="670"/>
        <v>6</v>
      </c>
      <c r="AB2446" s="2203">
        <f t="shared" si="670"/>
        <v>11105000</v>
      </c>
      <c r="AC2446" s="2243">
        <f t="shared" si="671"/>
        <v>16.666666666666664</v>
      </c>
      <c r="AD2446" s="2170">
        <f t="shared" si="671"/>
        <v>138.8125</v>
      </c>
      <c r="AE2446" s="2152"/>
    </row>
    <row r="2447" spans="1:71" s="2131" customFormat="1" ht="38.25">
      <c r="A2447" s="2196"/>
      <c r="B2447" s="2194"/>
      <c r="C2447" s="2204">
        <v>5</v>
      </c>
      <c r="D2447" s="2205">
        <v>0</v>
      </c>
      <c r="E2447" s="2205">
        <v>1</v>
      </c>
      <c r="F2447" s="2205">
        <v>18</v>
      </c>
      <c r="G2447" s="2205"/>
      <c r="H2447" s="2205"/>
      <c r="I2447" s="2206" t="s">
        <v>3556</v>
      </c>
      <c r="J2447" s="2194" t="s">
        <v>2155</v>
      </c>
      <c r="K2447" s="2207">
        <v>150</v>
      </c>
      <c r="L2447" s="2208">
        <f>SUM(L2448)</f>
        <v>39000000</v>
      </c>
      <c r="M2447" s="2209">
        <v>115</v>
      </c>
      <c r="N2447" s="2208">
        <f>SUM(N2448)</f>
        <v>0</v>
      </c>
      <c r="O2447" s="2207">
        <v>30</v>
      </c>
      <c r="P2447" s="2208">
        <f>SUM(P2448)</f>
        <v>13000000</v>
      </c>
      <c r="Q2447" s="2210">
        <v>3</v>
      </c>
      <c r="R2447" s="2208">
        <f>SUM(R2448)</f>
        <v>2000000</v>
      </c>
      <c r="S2447" s="2211"/>
      <c r="T2447" s="2212">
        <f>SUM(T2448)</f>
        <v>5000000</v>
      </c>
      <c r="U2447" s="2210"/>
      <c r="V2447" s="2212">
        <f>SUM(V2448)</f>
        <v>0</v>
      </c>
      <c r="W2447" s="2210"/>
      <c r="X2447" s="2212">
        <f>SUM(X2448)</f>
        <v>0</v>
      </c>
      <c r="Y2447" s="2210">
        <f t="shared" si="669"/>
        <v>3</v>
      </c>
      <c r="Z2447" s="2213">
        <f t="shared" si="669"/>
        <v>7000000</v>
      </c>
      <c r="AA2447" s="2210">
        <f t="shared" si="670"/>
        <v>118</v>
      </c>
      <c r="AB2447" s="2213">
        <f t="shared" si="670"/>
        <v>7000000</v>
      </c>
      <c r="AC2447" s="2214">
        <f t="shared" si="671"/>
        <v>78.666666666666657</v>
      </c>
      <c r="AD2447" s="2214">
        <f t="shared" si="671"/>
        <v>17.948717948717949</v>
      </c>
      <c r="AE2447" s="2196" t="s">
        <v>3550</v>
      </c>
    </row>
    <row r="2448" spans="1:71" s="2131" customFormat="1" ht="38.25">
      <c r="A2448" s="2215">
        <v>1</v>
      </c>
      <c r="B2448" s="2198"/>
      <c r="C2448" s="2216">
        <v>5</v>
      </c>
      <c r="D2448" s="2217">
        <v>0</v>
      </c>
      <c r="E2448" s="2217">
        <v>1</v>
      </c>
      <c r="F2448" s="2217">
        <v>18</v>
      </c>
      <c r="G2448" s="2217"/>
      <c r="H2448" s="2217">
        <v>25</v>
      </c>
      <c r="I2448" s="2218" t="s">
        <v>3557</v>
      </c>
      <c r="J2448" s="2198" t="s">
        <v>3558</v>
      </c>
      <c r="K2448" s="2199">
        <v>36</v>
      </c>
      <c r="L2448" s="2200">
        <f>3*P2448</f>
        <v>39000000</v>
      </c>
      <c r="M2448" s="2201">
        <v>0</v>
      </c>
      <c r="N2448" s="2200"/>
      <c r="O2448" s="2199">
        <v>12</v>
      </c>
      <c r="P2448" s="2200">
        <v>13000000</v>
      </c>
      <c r="Q2448" s="2219">
        <v>3</v>
      </c>
      <c r="R2448" s="2200">
        <v>2000000</v>
      </c>
      <c r="S2448" s="2219"/>
      <c r="T2448" s="2220">
        <v>5000000</v>
      </c>
      <c r="U2448" s="2221"/>
      <c r="V2448" s="2220"/>
      <c r="W2448" s="2219"/>
      <c r="X2448" s="2222"/>
      <c r="Y2448" s="2219">
        <f t="shared" si="669"/>
        <v>3</v>
      </c>
      <c r="Z2448" s="2223">
        <f t="shared" si="669"/>
        <v>7000000</v>
      </c>
      <c r="AA2448" s="2219">
        <f t="shared" si="670"/>
        <v>3</v>
      </c>
      <c r="AB2448" s="2224">
        <f t="shared" si="670"/>
        <v>7000000</v>
      </c>
      <c r="AC2448" s="2225">
        <f t="shared" si="671"/>
        <v>8.3333333333333321</v>
      </c>
      <c r="AD2448" s="2225">
        <f t="shared" si="671"/>
        <v>17.948717948717949</v>
      </c>
      <c r="AE2448" s="2215"/>
    </row>
    <row r="2449" spans="1:31" s="2131" customFormat="1" ht="76.5">
      <c r="A2449" s="2196" t="s">
        <v>3547</v>
      </c>
      <c r="B2449" s="2194"/>
      <c r="C2449" s="2204">
        <v>5</v>
      </c>
      <c r="D2449" s="2205" t="s">
        <v>34</v>
      </c>
      <c r="E2449" s="2205" t="s">
        <v>25</v>
      </c>
      <c r="F2449" s="2204">
        <v>17</v>
      </c>
      <c r="G2449" s="2204"/>
      <c r="H2449" s="2205"/>
      <c r="I2449" s="2206" t="s">
        <v>3817</v>
      </c>
      <c r="J2449" s="2194" t="s">
        <v>3818</v>
      </c>
      <c r="K2449" s="2207">
        <v>100</v>
      </c>
      <c r="L2449" s="2208">
        <f>SUM(L2450)</f>
        <v>175000000</v>
      </c>
      <c r="M2449" s="2209">
        <v>70</v>
      </c>
      <c r="N2449" s="2208">
        <f>SUM(N2450)</f>
        <v>115004750</v>
      </c>
      <c r="O2449" s="2207">
        <v>10</v>
      </c>
      <c r="P2449" s="2208">
        <f>SUM(P2450)</f>
        <v>50270000</v>
      </c>
      <c r="Q2449" s="2210">
        <v>0</v>
      </c>
      <c r="R2449" s="2212">
        <f>SUM(R2450)</f>
        <v>0</v>
      </c>
      <c r="S2449" s="2210">
        <v>0</v>
      </c>
      <c r="T2449" s="2313">
        <f>SUM(T2450)</f>
        <v>0</v>
      </c>
      <c r="U2449" s="2210"/>
      <c r="V2449" s="2212">
        <f>SUM(V2450)</f>
        <v>0</v>
      </c>
      <c r="W2449" s="2210"/>
      <c r="X2449" s="2212">
        <f>SUM(X2450)</f>
        <v>0</v>
      </c>
      <c r="Y2449" s="2210">
        <f t="shared" si="669"/>
        <v>0</v>
      </c>
      <c r="Z2449" s="2313">
        <f t="shared" si="669"/>
        <v>0</v>
      </c>
      <c r="AA2449" s="2210">
        <f t="shared" si="670"/>
        <v>70</v>
      </c>
      <c r="AB2449" s="2213">
        <f t="shared" si="670"/>
        <v>115004750</v>
      </c>
      <c r="AC2449" s="2214">
        <f t="shared" si="671"/>
        <v>70</v>
      </c>
      <c r="AD2449" s="2214">
        <f t="shared" si="671"/>
        <v>65.716999999999999</v>
      </c>
      <c r="AE2449" s="2196" t="s">
        <v>3550</v>
      </c>
    </row>
    <row r="2450" spans="1:31" s="2131" customFormat="1" ht="28.5" customHeight="1">
      <c r="A2450" s="2215">
        <v>1</v>
      </c>
      <c r="B2450" s="2218"/>
      <c r="C2450" s="2216">
        <v>5</v>
      </c>
      <c r="D2450" s="2217" t="s">
        <v>34</v>
      </c>
      <c r="E2450" s="2217" t="s">
        <v>25</v>
      </c>
      <c r="F2450" s="2216">
        <v>17</v>
      </c>
      <c r="G2450" s="2216"/>
      <c r="H2450" s="2217" t="s">
        <v>56</v>
      </c>
      <c r="I2450" s="2218" t="s">
        <v>3819</v>
      </c>
      <c r="J2450" s="2198" t="s">
        <v>3820</v>
      </c>
      <c r="K2450" s="2199">
        <v>6</v>
      </c>
      <c r="L2450" s="2200">
        <v>175000000</v>
      </c>
      <c r="M2450" s="2201">
        <v>3</v>
      </c>
      <c r="N2450" s="2200">
        <v>115004750</v>
      </c>
      <c r="O2450" s="2199">
        <v>1</v>
      </c>
      <c r="P2450" s="2200">
        <v>50270000</v>
      </c>
      <c r="Q2450" s="2219">
        <v>0</v>
      </c>
      <c r="R2450" s="2357">
        <v>0</v>
      </c>
      <c r="S2450" s="2221">
        <v>0</v>
      </c>
      <c r="T2450" s="2223">
        <v>0</v>
      </c>
      <c r="U2450" s="2219"/>
      <c r="V2450" s="2223"/>
      <c r="W2450" s="2219"/>
      <c r="X2450" s="2222"/>
      <c r="Y2450" s="2219">
        <f t="shared" si="669"/>
        <v>0</v>
      </c>
      <c r="Z2450" s="2223">
        <f t="shared" si="669"/>
        <v>0</v>
      </c>
      <c r="AA2450" s="2219">
        <f t="shared" si="670"/>
        <v>3</v>
      </c>
      <c r="AB2450" s="2224">
        <f t="shared" si="670"/>
        <v>115004750</v>
      </c>
      <c r="AC2450" s="2308">
        <f t="shared" si="671"/>
        <v>50</v>
      </c>
      <c r="AD2450" s="2308">
        <f t="shared" si="671"/>
        <v>65.716999999999999</v>
      </c>
      <c r="AE2450" s="2215"/>
    </row>
    <row r="2451" spans="1:31" s="2131" customFormat="1" ht="51">
      <c r="A2451" s="2140" t="s">
        <v>3555</v>
      </c>
      <c r="B2451" s="2194"/>
      <c r="C2451" s="2142">
        <v>5</v>
      </c>
      <c r="D2451" s="2142" t="s">
        <v>34</v>
      </c>
      <c r="E2451" s="2142" t="s">
        <v>25</v>
      </c>
      <c r="F2451" s="2142" t="s">
        <v>45</v>
      </c>
      <c r="G2451" s="2142" t="s">
        <v>84</v>
      </c>
      <c r="H2451" s="2140"/>
      <c r="I2451" s="2143" t="s">
        <v>3548</v>
      </c>
      <c r="J2451" s="2143" t="s">
        <v>3549</v>
      </c>
      <c r="K2451" s="2144">
        <v>100</v>
      </c>
      <c r="L2451" s="2145">
        <f>SUM(L2452:L2454)</f>
        <v>386756883</v>
      </c>
      <c r="M2451" s="2144">
        <v>75</v>
      </c>
      <c r="N2451" s="2145">
        <f>SUM(N2452:N2454)</f>
        <v>0</v>
      </c>
      <c r="O2451" s="2144">
        <v>15</v>
      </c>
      <c r="P2451" s="2145">
        <f>SUM(P2452:P2454)</f>
        <v>128918961</v>
      </c>
      <c r="Q2451" s="2144">
        <v>3</v>
      </c>
      <c r="R2451" s="2145">
        <f>SUM(R2452:R2454)</f>
        <v>16814925</v>
      </c>
      <c r="S2451" s="2144">
        <v>4</v>
      </c>
      <c r="T2451" s="2145">
        <f>SUM(T2452:T2454)</f>
        <v>57637000</v>
      </c>
      <c r="U2451" s="2195"/>
      <c r="V2451" s="2145">
        <f>SUM(V2452:V2454)</f>
        <v>0</v>
      </c>
      <c r="W2451" s="2144"/>
      <c r="X2451" s="2145">
        <f>SUM(X2452:X2454)</f>
        <v>0</v>
      </c>
      <c r="Y2451" s="2147">
        <f t="shared" si="669"/>
        <v>7</v>
      </c>
      <c r="Z2451" s="2145">
        <f t="shared" si="669"/>
        <v>74451925</v>
      </c>
      <c r="AA2451" s="2147">
        <f t="shared" si="670"/>
        <v>82</v>
      </c>
      <c r="AB2451" s="2145">
        <f t="shared" si="670"/>
        <v>74451925</v>
      </c>
      <c r="AC2451" s="2147">
        <f t="shared" si="671"/>
        <v>82</v>
      </c>
      <c r="AD2451" s="2147">
        <f t="shared" si="671"/>
        <v>19.25031674226209</v>
      </c>
      <c r="AE2451" s="2196" t="s">
        <v>3550</v>
      </c>
    </row>
    <row r="2452" spans="1:31" s="2131" customFormat="1" ht="38.25">
      <c r="A2452" s="2379"/>
      <c r="B2452" s="2162"/>
      <c r="C2452" s="2164">
        <v>5</v>
      </c>
      <c r="D2452" s="2164" t="s">
        <v>34</v>
      </c>
      <c r="E2452" s="2164" t="s">
        <v>25</v>
      </c>
      <c r="F2452" s="2164" t="s">
        <v>45</v>
      </c>
      <c r="G2452" s="2164">
        <v>24</v>
      </c>
      <c r="H2452" s="2164">
        <v>15</v>
      </c>
      <c r="I2452" s="2197" t="s">
        <v>3551</v>
      </c>
      <c r="J2452" s="2198" t="s">
        <v>3552</v>
      </c>
      <c r="K2452" s="2199">
        <v>36</v>
      </c>
      <c r="L2452" s="2200">
        <f>3*P2452</f>
        <v>270329271</v>
      </c>
      <c r="M2452" s="2201">
        <v>0</v>
      </c>
      <c r="N2452" s="2200">
        <v>0</v>
      </c>
      <c r="O2452" s="2166">
        <v>12</v>
      </c>
      <c r="P2452" s="2167">
        <v>90109757</v>
      </c>
      <c r="Q2452" s="2166">
        <v>3</v>
      </c>
      <c r="R2452" s="2167">
        <v>8264925</v>
      </c>
      <c r="S2452" s="2166">
        <v>3</v>
      </c>
      <c r="T2452" s="2167">
        <v>29935000</v>
      </c>
      <c r="U2452" s="2166"/>
      <c r="V2452" s="2202"/>
      <c r="W2452" s="2166"/>
      <c r="X2452" s="2167"/>
      <c r="Y2452" s="2166">
        <f t="shared" si="669"/>
        <v>6</v>
      </c>
      <c r="Z2452" s="2203">
        <f t="shared" si="669"/>
        <v>38199925</v>
      </c>
      <c r="AA2452" s="2166">
        <f t="shared" si="670"/>
        <v>6</v>
      </c>
      <c r="AB2452" s="2203">
        <f t="shared" si="670"/>
        <v>38199925</v>
      </c>
      <c r="AC2452" s="2170">
        <f t="shared" si="671"/>
        <v>16.666666666666664</v>
      </c>
      <c r="AD2452" s="2170">
        <f t="shared" si="671"/>
        <v>14.130887439118645</v>
      </c>
      <c r="AE2452" s="2379"/>
    </row>
    <row r="2453" spans="1:31" s="2131" customFormat="1" ht="38.25">
      <c r="A2453" s="2379"/>
      <c r="B2453" s="2162"/>
      <c r="C2453" s="2164">
        <v>5</v>
      </c>
      <c r="D2453" s="2164" t="s">
        <v>34</v>
      </c>
      <c r="E2453" s="2164" t="s">
        <v>25</v>
      </c>
      <c r="F2453" s="2164" t="s">
        <v>45</v>
      </c>
      <c r="G2453" s="2164">
        <v>24</v>
      </c>
      <c r="H2453" s="2164">
        <v>16</v>
      </c>
      <c r="I2453" s="2198" t="s">
        <v>3553</v>
      </c>
      <c r="J2453" s="2198" t="s">
        <v>3554</v>
      </c>
      <c r="K2453" s="2199">
        <v>36</v>
      </c>
      <c r="L2453" s="2200">
        <f>3*P2453</f>
        <v>5286306</v>
      </c>
      <c r="M2453" s="2201">
        <v>0</v>
      </c>
      <c r="N2453" s="2200">
        <v>0</v>
      </c>
      <c r="O2453" s="2166">
        <v>12</v>
      </c>
      <c r="P2453" s="2167">
        <v>1762102</v>
      </c>
      <c r="Q2453" s="2166">
        <v>3</v>
      </c>
      <c r="R2453" s="2167">
        <v>0</v>
      </c>
      <c r="S2453" s="2166">
        <v>3</v>
      </c>
      <c r="T2453" s="2167">
        <v>0</v>
      </c>
      <c r="U2453" s="2166"/>
      <c r="V2453" s="2202"/>
      <c r="W2453" s="2166"/>
      <c r="X2453" s="2167"/>
      <c r="Y2453" s="2166">
        <f t="shared" si="669"/>
        <v>6</v>
      </c>
      <c r="Z2453" s="2203">
        <f t="shared" si="669"/>
        <v>0</v>
      </c>
      <c r="AA2453" s="2166">
        <f t="shared" si="670"/>
        <v>6</v>
      </c>
      <c r="AB2453" s="2203">
        <f t="shared" si="670"/>
        <v>0</v>
      </c>
      <c r="AC2453" s="2170">
        <f t="shared" si="671"/>
        <v>16.666666666666664</v>
      </c>
      <c r="AD2453" s="2170">
        <f t="shared" si="671"/>
        <v>0</v>
      </c>
      <c r="AE2453" s="2379"/>
    </row>
    <row r="2454" spans="1:31" s="2131" customFormat="1" ht="25.5">
      <c r="A2454" s="2379"/>
      <c r="B2454" s="2162"/>
      <c r="C2454" s="2164">
        <v>5</v>
      </c>
      <c r="D2454" s="2164" t="s">
        <v>34</v>
      </c>
      <c r="E2454" s="2164" t="s">
        <v>25</v>
      </c>
      <c r="F2454" s="2164" t="s">
        <v>45</v>
      </c>
      <c r="G2454" s="2164">
        <v>24</v>
      </c>
      <c r="H2454" s="2164">
        <v>17</v>
      </c>
      <c r="I2454" s="2162" t="s">
        <v>3855</v>
      </c>
      <c r="J2454" s="2162" t="s">
        <v>3595</v>
      </c>
      <c r="K2454" s="2166">
        <v>36</v>
      </c>
      <c r="L2454" s="2200">
        <f>3*P2454</f>
        <v>111141306</v>
      </c>
      <c r="M2454" s="2166">
        <v>0</v>
      </c>
      <c r="N2454" s="2167">
        <v>0</v>
      </c>
      <c r="O2454" s="2166">
        <v>12</v>
      </c>
      <c r="P2454" s="2167">
        <v>37047102</v>
      </c>
      <c r="Q2454" s="2166">
        <v>3</v>
      </c>
      <c r="R2454" s="2167">
        <v>8550000</v>
      </c>
      <c r="S2454" s="2166">
        <v>3</v>
      </c>
      <c r="T2454" s="2167">
        <v>27702000</v>
      </c>
      <c r="U2454" s="2166"/>
      <c r="V2454" s="2202"/>
      <c r="W2454" s="2166"/>
      <c r="X2454" s="2167"/>
      <c r="Y2454" s="2166">
        <f t="shared" si="669"/>
        <v>6</v>
      </c>
      <c r="Z2454" s="2203">
        <f t="shared" si="669"/>
        <v>36252000</v>
      </c>
      <c r="AA2454" s="2166">
        <f t="shared" si="670"/>
        <v>6</v>
      </c>
      <c r="AB2454" s="2203">
        <f t="shared" si="670"/>
        <v>36252000</v>
      </c>
      <c r="AC2454" s="2170">
        <f t="shared" si="671"/>
        <v>16.666666666666664</v>
      </c>
      <c r="AD2454" s="2170">
        <f t="shared" si="671"/>
        <v>32.617935945435086</v>
      </c>
      <c r="AE2454" s="2379"/>
    </row>
    <row r="2455" spans="1:31" s="2161" customFormat="1" ht="47.25" customHeight="1">
      <c r="A2455" s="2196" t="s">
        <v>3559</v>
      </c>
      <c r="B2455" s="2194"/>
      <c r="C2455" s="2204">
        <v>5</v>
      </c>
      <c r="D2455" s="2205" t="s">
        <v>34</v>
      </c>
      <c r="E2455" s="2205" t="s">
        <v>25</v>
      </c>
      <c r="F2455" s="2204">
        <v>15</v>
      </c>
      <c r="G2455" s="2204"/>
      <c r="H2455" s="2205"/>
      <c r="I2455" s="2194" t="s">
        <v>93</v>
      </c>
      <c r="J2455" s="2194" t="s">
        <v>3823</v>
      </c>
      <c r="K2455" s="2269">
        <v>6</v>
      </c>
      <c r="L2455" s="2208">
        <f>SUM(L2456)</f>
        <v>148406100</v>
      </c>
      <c r="M2455" s="2209">
        <v>3</v>
      </c>
      <c r="N2455" s="2208">
        <f>SUM(N2456)</f>
        <v>60746100</v>
      </c>
      <c r="O2455" s="2207">
        <v>1</v>
      </c>
      <c r="P2455" s="2208">
        <f>SUM(P2456)</f>
        <v>13800000</v>
      </c>
      <c r="Q2455" s="2210">
        <v>0</v>
      </c>
      <c r="R2455" s="2208">
        <f>SUM(R2456)</f>
        <v>1000000</v>
      </c>
      <c r="S2455" s="2210">
        <v>0</v>
      </c>
      <c r="T2455" s="2313">
        <f>SUM(T2456)</f>
        <v>0</v>
      </c>
      <c r="U2455" s="2210"/>
      <c r="V2455" s="2313">
        <f>SUM(V2456)</f>
        <v>0</v>
      </c>
      <c r="W2455" s="2210"/>
      <c r="X2455" s="2325">
        <f>SUM(X2456)</f>
        <v>0</v>
      </c>
      <c r="Y2455" s="2210">
        <f t="shared" si="669"/>
        <v>0</v>
      </c>
      <c r="Z2455" s="2313">
        <f t="shared" si="669"/>
        <v>1000000</v>
      </c>
      <c r="AA2455" s="2210">
        <f t="shared" si="670"/>
        <v>3</v>
      </c>
      <c r="AB2455" s="2213">
        <f t="shared" si="670"/>
        <v>61746100</v>
      </c>
      <c r="AC2455" s="2214">
        <f t="shared" si="671"/>
        <v>50</v>
      </c>
      <c r="AD2455" s="2214">
        <f t="shared" si="671"/>
        <v>41.606173870211535</v>
      </c>
      <c r="AE2455" s="2196" t="s">
        <v>3550</v>
      </c>
    </row>
    <row r="2456" spans="1:31" s="2161" customFormat="1" ht="38.25">
      <c r="A2456" s="2215">
        <v>1</v>
      </c>
      <c r="B2456" s="2198"/>
      <c r="C2456" s="2216">
        <v>5</v>
      </c>
      <c r="D2456" s="2217" t="s">
        <v>34</v>
      </c>
      <c r="E2456" s="2217" t="s">
        <v>25</v>
      </c>
      <c r="F2456" s="2216">
        <v>15</v>
      </c>
      <c r="G2456" s="2216"/>
      <c r="H2456" s="2217">
        <v>17</v>
      </c>
      <c r="I2456" s="2198" t="s">
        <v>3856</v>
      </c>
      <c r="J2456" s="2198" t="s">
        <v>3825</v>
      </c>
      <c r="K2456" s="2199">
        <v>6</v>
      </c>
      <c r="L2456" s="2200">
        <v>148406100</v>
      </c>
      <c r="M2456" s="2201">
        <v>3</v>
      </c>
      <c r="N2456" s="2200">
        <v>60746100</v>
      </c>
      <c r="O2456" s="2199">
        <v>1</v>
      </c>
      <c r="P2456" s="2200">
        <v>13800000</v>
      </c>
      <c r="Q2456" s="2219">
        <v>0</v>
      </c>
      <c r="R2456" s="2200">
        <v>1000000</v>
      </c>
      <c r="S2456" s="2219">
        <v>0</v>
      </c>
      <c r="T2456" s="2223">
        <v>0</v>
      </c>
      <c r="U2456" s="2219"/>
      <c r="V2456" s="2327"/>
      <c r="W2456" s="2219"/>
      <c r="X2456" s="2327"/>
      <c r="Y2456" s="2219">
        <f t="shared" si="669"/>
        <v>0</v>
      </c>
      <c r="Z2456" s="2223">
        <f t="shared" si="669"/>
        <v>1000000</v>
      </c>
      <c r="AA2456" s="2219">
        <f t="shared" si="670"/>
        <v>3</v>
      </c>
      <c r="AB2456" s="2307">
        <f t="shared" si="670"/>
        <v>61746100</v>
      </c>
      <c r="AC2456" s="2308">
        <f t="shared" si="671"/>
        <v>50</v>
      </c>
      <c r="AD2456" s="2308">
        <f t="shared" si="671"/>
        <v>41.606173870211535</v>
      </c>
      <c r="AE2456" s="2215"/>
    </row>
    <row r="2457" spans="1:31" s="2161" customFormat="1" ht="56.25" customHeight="1">
      <c r="A2457" s="2196" t="s">
        <v>3565</v>
      </c>
      <c r="B2457" s="2194"/>
      <c r="C2457" s="2204">
        <v>5</v>
      </c>
      <c r="D2457" s="2205" t="s">
        <v>34</v>
      </c>
      <c r="E2457" s="2205" t="s">
        <v>25</v>
      </c>
      <c r="F2457" s="2204">
        <v>21</v>
      </c>
      <c r="G2457" s="2204"/>
      <c r="H2457" s="2205"/>
      <c r="I2457" s="2194" t="s">
        <v>1287</v>
      </c>
      <c r="J2457" s="2194" t="s">
        <v>3698</v>
      </c>
      <c r="K2457" s="2269">
        <v>95</v>
      </c>
      <c r="L2457" s="2208">
        <f>SUM(L2458)</f>
        <v>148406100</v>
      </c>
      <c r="M2457" s="2209">
        <v>85</v>
      </c>
      <c r="N2457" s="2208">
        <f>SUM(N2458)</f>
        <v>0</v>
      </c>
      <c r="O2457" s="2207">
        <v>5</v>
      </c>
      <c r="P2457" s="2208">
        <f>SUM(P2458)</f>
        <v>4026460</v>
      </c>
      <c r="Q2457" s="2210">
        <v>0</v>
      </c>
      <c r="R2457" s="2208">
        <f>SUM(R2458)</f>
        <v>3200000</v>
      </c>
      <c r="S2457" s="2210"/>
      <c r="T2457" s="2313">
        <f>SUM(T2458)</f>
        <v>826460</v>
      </c>
      <c r="U2457" s="2210"/>
      <c r="V2457" s="2313">
        <f>SUM(V2458)</f>
        <v>0</v>
      </c>
      <c r="W2457" s="2210"/>
      <c r="X2457" s="2325">
        <f>SUM(X2458)</f>
        <v>0</v>
      </c>
      <c r="Y2457" s="2210">
        <f t="shared" si="669"/>
        <v>0</v>
      </c>
      <c r="Z2457" s="2313">
        <f t="shared" si="669"/>
        <v>4026460</v>
      </c>
      <c r="AA2457" s="2210">
        <f t="shared" si="670"/>
        <v>85</v>
      </c>
      <c r="AB2457" s="2213">
        <f t="shared" si="670"/>
        <v>4026460</v>
      </c>
      <c r="AC2457" s="2214">
        <f t="shared" si="671"/>
        <v>89.473684210526315</v>
      </c>
      <c r="AD2457" s="2214">
        <f t="shared" si="671"/>
        <v>2.7131364546336032</v>
      </c>
      <c r="AE2457" s="2196" t="s">
        <v>3550</v>
      </c>
    </row>
    <row r="2458" spans="1:31" s="2161" customFormat="1" ht="38.25">
      <c r="A2458" s="2215">
        <v>1</v>
      </c>
      <c r="B2458" s="2198"/>
      <c r="C2458" s="2216">
        <v>5</v>
      </c>
      <c r="D2458" s="2217" t="s">
        <v>34</v>
      </c>
      <c r="E2458" s="2217" t="s">
        <v>25</v>
      </c>
      <c r="F2458" s="2216">
        <v>21</v>
      </c>
      <c r="G2458" s="2216"/>
      <c r="H2458" s="2217">
        <v>9</v>
      </c>
      <c r="I2458" s="2198" t="s">
        <v>2210</v>
      </c>
      <c r="J2458" s="2198" t="s">
        <v>3857</v>
      </c>
      <c r="K2458" s="2199">
        <v>3</v>
      </c>
      <c r="L2458" s="2200">
        <v>148406100</v>
      </c>
      <c r="M2458" s="2201"/>
      <c r="N2458" s="2200"/>
      <c r="O2458" s="2199">
        <v>1</v>
      </c>
      <c r="P2458" s="2200">
        <v>4026460</v>
      </c>
      <c r="Q2458" s="2219">
        <v>0</v>
      </c>
      <c r="R2458" s="2200">
        <v>3200000</v>
      </c>
      <c r="S2458" s="2219">
        <v>1</v>
      </c>
      <c r="T2458" s="2223">
        <v>826460</v>
      </c>
      <c r="U2458" s="2219"/>
      <c r="V2458" s="2327"/>
      <c r="W2458" s="2219"/>
      <c r="X2458" s="2327"/>
      <c r="Y2458" s="2219">
        <f t="shared" si="669"/>
        <v>1</v>
      </c>
      <c r="Z2458" s="2223">
        <f t="shared" si="669"/>
        <v>4026460</v>
      </c>
      <c r="AA2458" s="2219">
        <f t="shared" si="670"/>
        <v>1</v>
      </c>
      <c r="AB2458" s="2307">
        <f t="shared" si="670"/>
        <v>4026460</v>
      </c>
      <c r="AC2458" s="2308">
        <f t="shared" si="671"/>
        <v>33.333333333333329</v>
      </c>
      <c r="AD2458" s="2308">
        <f t="shared" si="671"/>
        <v>2.7131364546336032</v>
      </c>
      <c r="AE2458" s="2215"/>
    </row>
    <row r="2459" spans="1:31" s="2131" customFormat="1" ht="51">
      <c r="A2459" s="2196" t="s">
        <v>13</v>
      </c>
      <c r="B2459" s="2194"/>
      <c r="C2459" s="2204">
        <v>5</v>
      </c>
      <c r="D2459" s="2205" t="s">
        <v>34</v>
      </c>
      <c r="E2459" s="2205" t="s">
        <v>25</v>
      </c>
      <c r="F2459" s="2204">
        <v>19</v>
      </c>
      <c r="G2459" s="2204"/>
      <c r="H2459" s="2205"/>
      <c r="I2459" s="2194" t="s">
        <v>3826</v>
      </c>
      <c r="J2459" s="2194" t="s">
        <v>3858</v>
      </c>
      <c r="K2459" s="2207">
        <v>100</v>
      </c>
      <c r="L2459" s="2208">
        <f>SUM(L2460:L2462)</f>
        <v>156565000</v>
      </c>
      <c r="M2459" s="2209">
        <v>75</v>
      </c>
      <c r="N2459" s="2208">
        <f>SUM(N2460:N2462)</f>
        <v>57928000</v>
      </c>
      <c r="O2459" s="2207">
        <v>15</v>
      </c>
      <c r="P2459" s="2208">
        <f>SUM(P2460:P2462)</f>
        <v>17880000</v>
      </c>
      <c r="Q2459" s="2210">
        <v>3</v>
      </c>
      <c r="R2459" s="2208">
        <f>SUM(R2460:R2462)</f>
        <v>2000000</v>
      </c>
      <c r="S2459" s="2210"/>
      <c r="T2459" s="2208">
        <f>SUM(T2460:T2462)</f>
        <v>5312500</v>
      </c>
      <c r="U2459" s="2210"/>
      <c r="V2459" s="2212">
        <f>SUM(V2460:V2462)</f>
        <v>0</v>
      </c>
      <c r="W2459" s="2210"/>
      <c r="X2459" s="2212">
        <f>SUM(X2460:X2462)</f>
        <v>0</v>
      </c>
      <c r="Y2459" s="2210">
        <f t="shared" si="669"/>
        <v>3</v>
      </c>
      <c r="Z2459" s="2313">
        <f t="shared" si="669"/>
        <v>7312500</v>
      </c>
      <c r="AA2459" s="2210">
        <f t="shared" si="670"/>
        <v>78</v>
      </c>
      <c r="AB2459" s="2213">
        <f t="shared" si="670"/>
        <v>65240500</v>
      </c>
      <c r="AC2459" s="2214">
        <f t="shared" si="671"/>
        <v>78</v>
      </c>
      <c r="AD2459" s="2214">
        <f t="shared" si="671"/>
        <v>41.669913454475775</v>
      </c>
      <c r="AE2459" s="2196" t="s">
        <v>3550</v>
      </c>
    </row>
    <row r="2460" spans="1:31" s="2131" customFormat="1" ht="25.5">
      <c r="A2460" s="2215">
        <v>1</v>
      </c>
      <c r="B2460" s="2218"/>
      <c r="C2460" s="2216">
        <v>5</v>
      </c>
      <c r="D2460" s="2217">
        <v>2</v>
      </c>
      <c r="E2460" s="2217">
        <v>2</v>
      </c>
      <c r="F2460" s="2217">
        <v>19</v>
      </c>
      <c r="G2460" s="2217"/>
      <c r="H2460" s="2217" t="s">
        <v>25</v>
      </c>
      <c r="I2460" s="2198" t="s">
        <v>3663</v>
      </c>
      <c r="J2460" s="2198" t="s">
        <v>3733</v>
      </c>
      <c r="K2460" s="2201">
        <v>60</v>
      </c>
      <c r="L2460" s="2357">
        <v>72925000</v>
      </c>
      <c r="M2460" s="2201">
        <v>30</v>
      </c>
      <c r="N2460" s="2357">
        <v>14207500</v>
      </c>
      <c r="O2460" s="2199">
        <v>10</v>
      </c>
      <c r="P2460" s="2200"/>
      <c r="Q2460" s="2219">
        <v>3</v>
      </c>
      <c r="R2460" s="2200"/>
      <c r="S2460" s="2219"/>
      <c r="T2460" s="2200"/>
      <c r="U2460" s="2356"/>
      <c r="V2460" s="2357"/>
      <c r="W2460" s="2356"/>
      <c r="X2460" s="2331"/>
      <c r="Y2460" s="2356">
        <f t="shared" si="669"/>
        <v>3</v>
      </c>
      <c r="Z2460" s="2223">
        <f t="shared" si="669"/>
        <v>0</v>
      </c>
      <c r="AA2460" s="2219">
        <f t="shared" si="670"/>
        <v>33</v>
      </c>
      <c r="AB2460" s="2224">
        <f t="shared" si="670"/>
        <v>14207500</v>
      </c>
      <c r="AC2460" s="2308">
        <f t="shared" si="671"/>
        <v>55.000000000000007</v>
      </c>
      <c r="AD2460" s="2308">
        <f t="shared" si="671"/>
        <v>19.482344874871444</v>
      </c>
      <c r="AE2460" s="2215"/>
    </row>
    <row r="2461" spans="1:31" s="2131" customFormat="1" ht="45" customHeight="1">
      <c r="A2461" s="2215">
        <v>2</v>
      </c>
      <c r="B2461" s="2218"/>
      <c r="C2461" s="2216">
        <v>5</v>
      </c>
      <c r="D2461" s="2217">
        <v>2</v>
      </c>
      <c r="E2461" s="2217">
        <v>2</v>
      </c>
      <c r="F2461" s="2217">
        <v>19</v>
      </c>
      <c r="G2461" s="2217"/>
      <c r="H2461" s="2217" t="s">
        <v>29</v>
      </c>
      <c r="I2461" s="2198" t="s">
        <v>3827</v>
      </c>
      <c r="J2461" s="2198" t="s">
        <v>3859</v>
      </c>
      <c r="K2461" s="2201">
        <v>30</v>
      </c>
      <c r="L2461" s="2357">
        <f>3*P2461</f>
        <v>53640000</v>
      </c>
      <c r="M2461" s="2201">
        <v>0</v>
      </c>
      <c r="N2461" s="2357">
        <v>0</v>
      </c>
      <c r="O2461" s="2199">
        <v>10</v>
      </c>
      <c r="P2461" s="2200">
        <v>17880000</v>
      </c>
      <c r="Q2461" s="2219"/>
      <c r="R2461" s="2200">
        <v>2000000</v>
      </c>
      <c r="S2461" s="2219"/>
      <c r="T2461" s="2200">
        <v>5312500</v>
      </c>
      <c r="U2461" s="2356"/>
      <c r="V2461" s="2357"/>
      <c r="W2461" s="2356"/>
      <c r="X2461" s="2331"/>
      <c r="Y2461" s="2356">
        <f t="shared" si="669"/>
        <v>0</v>
      </c>
      <c r="Z2461" s="2223">
        <f t="shared" si="669"/>
        <v>7312500</v>
      </c>
      <c r="AA2461" s="2219">
        <f t="shared" si="670"/>
        <v>0</v>
      </c>
      <c r="AB2461" s="2224">
        <f t="shared" si="670"/>
        <v>7312500</v>
      </c>
      <c r="AC2461" s="2308">
        <f t="shared" si="671"/>
        <v>0</v>
      </c>
      <c r="AD2461" s="2308">
        <f t="shared" si="671"/>
        <v>13.632550335570471</v>
      </c>
      <c r="AE2461" s="2215"/>
    </row>
    <row r="2462" spans="1:31" s="2131" customFormat="1" ht="25.5">
      <c r="A2462" s="2215">
        <v>3</v>
      </c>
      <c r="B2462" s="2218"/>
      <c r="C2462" s="2216">
        <v>5</v>
      </c>
      <c r="D2462" s="2217">
        <v>2</v>
      </c>
      <c r="E2462" s="2217">
        <v>2</v>
      </c>
      <c r="F2462" s="2217">
        <v>19</v>
      </c>
      <c r="G2462" s="2217"/>
      <c r="H2462" s="2217" t="s">
        <v>43</v>
      </c>
      <c r="I2462" s="2218" t="s">
        <v>3860</v>
      </c>
      <c r="J2462" s="2198" t="s">
        <v>3859</v>
      </c>
      <c r="K2462" s="2199">
        <v>60</v>
      </c>
      <c r="L2462" s="2200">
        <v>30000000</v>
      </c>
      <c r="M2462" s="2201">
        <v>30</v>
      </c>
      <c r="N2462" s="2200">
        <v>43720500</v>
      </c>
      <c r="O2462" s="2199">
        <v>10</v>
      </c>
      <c r="P2462" s="2200"/>
      <c r="Q2462" s="2219">
        <v>3</v>
      </c>
      <c r="R2462" s="2200"/>
      <c r="S2462" s="2219"/>
      <c r="T2462" s="2223"/>
      <c r="U2462" s="2219"/>
      <c r="V2462" s="2223"/>
      <c r="W2462" s="2219"/>
      <c r="X2462" s="2331"/>
      <c r="Y2462" s="2219">
        <f t="shared" si="669"/>
        <v>3</v>
      </c>
      <c r="Z2462" s="2223">
        <f t="shared" si="669"/>
        <v>0</v>
      </c>
      <c r="AA2462" s="2219">
        <f t="shared" si="670"/>
        <v>33</v>
      </c>
      <c r="AB2462" s="2224">
        <f t="shared" si="670"/>
        <v>43720500</v>
      </c>
      <c r="AC2462" s="2308">
        <f t="shared" si="671"/>
        <v>55.000000000000007</v>
      </c>
      <c r="AD2462" s="2308">
        <f t="shared" si="671"/>
        <v>145.73499999999999</v>
      </c>
      <c r="AE2462" s="2215"/>
    </row>
    <row r="2463" spans="1:31" s="2131" customFormat="1" ht="25.5">
      <c r="A2463" s="2196" t="s">
        <v>3577</v>
      </c>
      <c r="B2463" s="2194"/>
      <c r="C2463" s="2204">
        <v>5</v>
      </c>
      <c r="D2463" s="2205" t="s">
        <v>34</v>
      </c>
      <c r="E2463" s="2205" t="s">
        <v>25</v>
      </c>
      <c r="F2463" s="2204">
        <v>47</v>
      </c>
      <c r="G2463" s="2204"/>
      <c r="H2463" s="2205"/>
      <c r="I2463" s="2194" t="s">
        <v>237</v>
      </c>
      <c r="J2463" s="2194" t="s">
        <v>3407</v>
      </c>
      <c r="K2463" s="2207">
        <v>3350</v>
      </c>
      <c r="L2463" s="2208">
        <f>SUM(L2464:L2464)</f>
        <v>36000000</v>
      </c>
      <c r="M2463" s="2209">
        <v>3065</v>
      </c>
      <c r="N2463" s="2208">
        <f>SUM(N2464:N2464)</f>
        <v>0</v>
      </c>
      <c r="O2463" s="2207">
        <f>3230-M2463</f>
        <v>165</v>
      </c>
      <c r="P2463" s="2208">
        <f>SUM(P2464:P2464)</f>
        <v>12000000</v>
      </c>
      <c r="Q2463" s="2210">
        <v>3</v>
      </c>
      <c r="R2463" s="2208">
        <f>SUM(R2464:R2464)</f>
        <v>0</v>
      </c>
      <c r="S2463" s="2210"/>
      <c r="T2463" s="2208">
        <f>SUM(T2464:T2464)</f>
        <v>0</v>
      </c>
      <c r="U2463" s="2210"/>
      <c r="V2463" s="2212">
        <f>SUM(V2464:V2464)</f>
        <v>0</v>
      </c>
      <c r="W2463" s="2210"/>
      <c r="X2463" s="2212">
        <f>SUM(X2464:X2464)</f>
        <v>0</v>
      </c>
      <c r="Y2463" s="2210">
        <f t="shared" si="669"/>
        <v>3</v>
      </c>
      <c r="Z2463" s="2313">
        <f t="shared" si="669"/>
        <v>0</v>
      </c>
      <c r="AA2463" s="2210">
        <f t="shared" si="670"/>
        <v>3068</v>
      </c>
      <c r="AB2463" s="2213">
        <f t="shared" si="670"/>
        <v>0</v>
      </c>
      <c r="AC2463" s="2214">
        <f t="shared" si="671"/>
        <v>91.582089552238813</v>
      </c>
      <c r="AD2463" s="2214">
        <f t="shared" si="671"/>
        <v>0</v>
      </c>
      <c r="AE2463" s="2196" t="s">
        <v>3550</v>
      </c>
    </row>
    <row r="2464" spans="1:31" s="2131" customFormat="1" ht="38.25">
      <c r="A2464" s="2215">
        <v>1</v>
      </c>
      <c r="B2464" s="2218"/>
      <c r="C2464" s="2216">
        <v>5</v>
      </c>
      <c r="D2464" s="2217">
        <v>2</v>
      </c>
      <c r="E2464" s="2217">
        <v>2</v>
      </c>
      <c r="F2464" s="2217">
        <v>47</v>
      </c>
      <c r="G2464" s="2217"/>
      <c r="H2464" s="2217" t="s">
        <v>43</v>
      </c>
      <c r="I2464" s="2198" t="s">
        <v>1942</v>
      </c>
      <c r="J2464" s="2198" t="s">
        <v>3861</v>
      </c>
      <c r="K2464" s="2201">
        <v>36</v>
      </c>
      <c r="L2464" s="2357">
        <f>3*P2464</f>
        <v>36000000</v>
      </c>
      <c r="M2464" s="2201">
        <v>0</v>
      </c>
      <c r="N2464" s="2357">
        <v>0</v>
      </c>
      <c r="O2464" s="2199">
        <v>10</v>
      </c>
      <c r="P2464" s="2200">
        <v>12000000</v>
      </c>
      <c r="Q2464" s="2219">
        <v>3</v>
      </c>
      <c r="R2464" s="2200"/>
      <c r="S2464" s="2219"/>
      <c r="T2464" s="2200"/>
      <c r="U2464" s="2356"/>
      <c r="V2464" s="2357"/>
      <c r="W2464" s="2356"/>
      <c r="X2464" s="2331"/>
      <c r="Y2464" s="2356">
        <f t="shared" si="669"/>
        <v>3</v>
      </c>
      <c r="Z2464" s="2223">
        <f t="shared" si="669"/>
        <v>0</v>
      </c>
      <c r="AA2464" s="2219">
        <f t="shared" si="670"/>
        <v>3</v>
      </c>
      <c r="AB2464" s="2224">
        <f t="shared" si="670"/>
        <v>0</v>
      </c>
      <c r="AC2464" s="2308">
        <f t="shared" si="671"/>
        <v>8.3333333333333321</v>
      </c>
      <c r="AD2464" s="2308">
        <f t="shared" si="671"/>
        <v>0</v>
      </c>
      <c r="AE2464" s="2215"/>
    </row>
    <row r="2465" spans="1:71" s="2131" customFormat="1" ht="20.100000000000001" customHeight="1">
      <c r="A2465" s="2705" t="s">
        <v>63</v>
      </c>
      <c r="B2465" s="2705"/>
      <c r="C2465" s="2706"/>
      <c r="D2465" s="2706"/>
      <c r="E2465" s="2706"/>
      <c r="F2465" s="2706"/>
      <c r="G2465" s="2706"/>
      <c r="H2465" s="2706"/>
      <c r="I2465" s="2706"/>
      <c r="J2465" s="2706"/>
      <c r="K2465" s="2706"/>
      <c r="L2465" s="2706"/>
      <c r="M2465" s="2706"/>
      <c r="N2465" s="2706"/>
      <c r="O2465" s="2706"/>
      <c r="P2465" s="2706"/>
      <c r="Q2465" s="2706"/>
      <c r="R2465" s="2706"/>
      <c r="S2465" s="2706"/>
      <c r="T2465" s="2706"/>
      <c r="U2465" s="2706"/>
      <c r="V2465" s="2706"/>
      <c r="W2465" s="2706"/>
      <c r="X2465" s="2706"/>
      <c r="Y2465" s="2706"/>
      <c r="Z2465" s="2706"/>
      <c r="AA2465" s="2706"/>
      <c r="AB2465" s="2706"/>
      <c r="AC2465" s="2249">
        <f>(AC2430+AC2441+AC2445+AC2447+AC2449+AC2451+AC2455+AC2457+AC2459+AC2463)/10</f>
        <v>72.63891070960986</v>
      </c>
      <c r="AD2465" s="2249">
        <f>(AD2430+AD2441+AD2445+AD2447+AD2449+AD2451+AD2455+AD2457+AD2459+AD2463)/10</f>
        <v>46.828171935072604</v>
      </c>
      <c r="AE2465" s="2152"/>
    </row>
    <row r="2466" spans="1:71" s="2131" customFormat="1" ht="20.100000000000001" customHeight="1">
      <c r="A2466" s="2705" t="s">
        <v>64</v>
      </c>
      <c r="B2466" s="2705"/>
      <c r="C2466" s="2706"/>
      <c r="D2466" s="2706"/>
      <c r="E2466" s="2706"/>
      <c r="F2466" s="2706"/>
      <c r="G2466" s="2706"/>
      <c r="H2466" s="2706"/>
      <c r="I2466" s="2706"/>
      <c r="J2466" s="2706"/>
      <c r="K2466" s="2706"/>
      <c r="L2466" s="2706"/>
      <c r="M2466" s="2706"/>
      <c r="N2466" s="2706"/>
      <c r="O2466" s="2706"/>
      <c r="P2466" s="2706"/>
      <c r="Q2466" s="2706"/>
      <c r="R2466" s="2706"/>
      <c r="S2466" s="2706"/>
      <c r="T2466" s="2706"/>
      <c r="U2466" s="2706"/>
      <c r="V2466" s="2706"/>
      <c r="W2466" s="2706"/>
      <c r="X2466" s="2706"/>
      <c r="Y2466" s="2706"/>
      <c r="Z2466" s="2706"/>
      <c r="AA2466" s="2706"/>
      <c r="AB2466" s="2706"/>
      <c r="AC2466" s="2250" t="str">
        <f>IF(AC2465&gt;=91,"ST",IF(AC2465&gt;=76,"T",IF(AC2465&gt;=66,"S",IF(AC2465&gt;=51,"R","SR"))))</f>
        <v>S</v>
      </c>
      <c r="AD2466" s="2250" t="str">
        <f>IF(AD2465&gt;=91,"ST",IF(AD2465&gt;=76,"T",IF(AD2465&gt;=66,"S",IF(AD2465&gt;=51,"R","SR"))))</f>
        <v>SR</v>
      </c>
      <c r="AE2466" s="2152"/>
    </row>
    <row r="2467" spans="1:71" s="2131" customFormat="1" ht="27.95" customHeight="1">
      <c r="A2467" s="2132" t="s">
        <v>120</v>
      </c>
      <c r="B2467" s="2133"/>
      <c r="C2467" s="2132"/>
      <c r="D2467" s="2132"/>
      <c r="E2467" s="2132"/>
      <c r="F2467" s="2132"/>
      <c r="G2467" s="2132"/>
      <c r="H2467" s="2132"/>
      <c r="I2467" s="2707" t="s">
        <v>3862</v>
      </c>
      <c r="J2467" s="2708"/>
      <c r="K2467" s="2134"/>
      <c r="L2467" s="2135">
        <f>L2468+L2479+L2485+L2487+L2489+L2491+L2495+L2497+L2499+L2501+L2503+L2505+L2507+L2509+L2511</f>
        <v>3455532170</v>
      </c>
      <c r="M2467" s="2134"/>
      <c r="N2467" s="2136">
        <f>N2468+N2479+N2485+N2487+N2489+N2491+N2495+N2497+N2499+N2501+N2503+N2505+N2507+N2509+N2511</f>
        <v>1704050154.28</v>
      </c>
      <c r="O2467" s="2134"/>
      <c r="P2467" s="2136">
        <f>P2468+P2479+P2485+P2487+P2489+P2491+P2495+P2497+P2499+P2501+P2503+P2505+P2507+P2509+P2511</f>
        <v>523567000</v>
      </c>
      <c r="Q2467" s="2134"/>
      <c r="R2467" s="2136">
        <f>R2468+R2479+R2485+R2487+R2489+R2491+R2495+R2497+R2499+R2501+R2503+R2505+R2507+R2509+R2511</f>
        <v>65542370</v>
      </c>
      <c r="S2467" s="2134"/>
      <c r="T2467" s="2136">
        <f>T2468+T2479+T2485+T2487+T2489+T2491+T2495+T2497+T2499+T2501+T2503+T2505+T2507+T2509+T2511</f>
        <v>46542370</v>
      </c>
      <c r="U2467" s="2134"/>
      <c r="V2467" s="2136">
        <f>V2468+V2479+V2485+V2487+V2489+V2491+V2495+V2497+V2499+V2501+V2503+V2505+V2507+V2509+V2511</f>
        <v>0</v>
      </c>
      <c r="W2467" s="2134"/>
      <c r="X2467" s="2251">
        <f>X2468+X2479+X2485+X2487+X2489+X2491+X2495+X2497+X2499+X2501+X2503+X2505+X2507+X2509+X2511</f>
        <v>0</v>
      </c>
      <c r="Y2467" s="2134">
        <v>0</v>
      </c>
      <c r="Z2467" s="2136">
        <f>Z2468+Z2479+Z2485+Z2487+Z2489+Z2491+Z2495+Z2497+Z2499+Z2501+Z2503+Z2505+Z2507+Z2509+Z2511</f>
        <v>112084740</v>
      </c>
      <c r="AA2467" s="2134"/>
      <c r="AB2467" s="2136">
        <v>1693894154.28</v>
      </c>
      <c r="AC2467" s="2134"/>
      <c r="AD2467" s="2134"/>
      <c r="AE2467" s="2137"/>
      <c r="AF2467" s="2138"/>
      <c r="AG2467" s="2138"/>
      <c r="AH2467" s="2138"/>
      <c r="AI2467" s="2138"/>
      <c r="AJ2467" s="2138"/>
      <c r="AK2467" s="2138"/>
      <c r="AL2467" s="2138"/>
      <c r="AM2467" s="2138"/>
      <c r="AN2467" s="2138"/>
      <c r="AO2467" s="2138"/>
      <c r="AP2467" s="2138"/>
      <c r="AQ2467" s="2138"/>
      <c r="AR2467" s="2138"/>
      <c r="AS2467" s="2138"/>
      <c r="AT2467" s="2138"/>
      <c r="AU2467" s="2138"/>
      <c r="AV2467" s="2138"/>
      <c r="AW2467" s="2138"/>
      <c r="AX2467" s="2138"/>
      <c r="AY2467" s="2138"/>
      <c r="AZ2467" s="2138"/>
      <c r="BA2467" s="2138"/>
      <c r="BB2467" s="2138"/>
      <c r="BC2467" s="2138"/>
      <c r="BD2467" s="2138"/>
      <c r="BE2467" s="2138"/>
      <c r="BF2467" s="2138"/>
      <c r="BG2467" s="2138"/>
      <c r="BH2467" s="2138"/>
      <c r="BI2467" s="2138"/>
      <c r="BJ2467" s="2138"/>
      <c r="BK2467" s="2138"/>
      <c r="BL2467" s="2138"/>
      <c r="BM2467" s="2138"/>
      <c r="BN2467" s="2138"/>
      <c r="BO2467" s="2138"/>
      <c r="BP2467" s="2138"/>
      <c r="BQ2467" s="2138"/>
      <c r="BR2467" s="2138"/>
      <c r="BS2467" s="2138"/>
    </row>
    <row r="2468" spans="1:71" s="2131" customFormat="1" ht="63.75">
      <c r="A2468" s="2140" t="s">
        <v>113</v>
      </c>
      <c r="B2468" s="2194"/>
      <c r="C2468" s="2142">
        <v>5</v>
      </c>
      <c r="D2468" s="2142" t="s">
        <v>34</v>
      </c>
      <c r="E2468" s="2142" t="s">
        <v>25</v>
      </c>
      <c r="F2468" s="2142" t="s">
        <v>45</v>
      </c>
      <c r="G2468" s="2142" t="s">
        <v>25</v>
      </c>
      <c r="H2468" s="2140"/>
      <c r="I2468" s="2143" t="s">
        <v>3625</v>
      </c>
      <c r="J2468" s="2143" t="s">
        <v>3626</v>
      </c>
      <c r="K2468" s="2144">
        <v>72</v>
      </c>
      <c r="L2468" s="2145">
        <f>SUM(L2469:L2478)</f>
        <v>1401806500</v>
      </c>
      <c r="M2468" s="2144">
        <v>36</v>
      </c>
      <c r="N2468" s="2145">
        <f>SUM(N2469:N2478)</f>
        <v>674289793.27999997</v>
      </c>
      <c r="O2468" s="2144">
        <v>12</v>
      </c>
      <c r="P2468" s="2360">
        <f>SUM(P2469:P2478)</f>
        <v>260793338.25</v>
      </c>
      <c r="Q2468" s="2144">
        <v>3</v>
      </c>
      <c r="R2468" s="2145">
        <f>SUM(R2469:R2478)</f>
        <v>33839170</v>
      </c>
      <c r="S2468" s="2144">
        <v>3</v>
      </c>
      <c r="T2468" s="2145">
        <f>SUM(T2469:T2478)</f>
        <v>23839170</v>
      </c>
      <c r="U2468" s="2144"/>
      <c r="V2468" s="2145">
        <f>SUM(V2469:V2478)</f>
        <v>0</v>
      </c>
      <c r="W2468" s="2144"/>
      <c r="X2468" s="2145">
        <f>SUM(X2469:X2478)</f>
        <v>0</v>
      </c>
      <c r="Y2468" s="2147">
        <f t="shared" ref="Y2468:Z2517" si="672">Q2468+S2468+U2468+W2468</f>
        <v>6</v>
      </c>
      <c r="Z2468" s="2145">
        <f t="shared" si="672"/>
        <v>57678340</v>
      </c>
      <c r="AA2468" s="2147">
        <f t="shared" ref="AA2468:AB2517" si="673">M2468+Y2468</f>
        <v>42</v>
      </c>
      <c r="AB2468" s="2145">
        <f t="shared" si="673"/>
        <v>731968133.27999997</v>
      </c>
      <c r="AC2468" s="2147">
        <f t="shared" ref="AC2468:AD2517" si="674">(AA2468/K2468)*100</f>
        <v>58.333333333333336</v>
      </c>
      <c r="AD2468" s="2147">
        <f t="shared" si="674"/>
        <v>52.216060724500849</v>
      </c>
      <c r="AE2468" s="2204" t="s">
        <v>3863</v>
      </c>
      <c r="AF2468" s="2149"/>
      <c r="AG2468" s="2149"/>
      <c r="AH2468" s="2149"/>
      <c r="AI2468" s="2149"/>
      <c r="AJ2468" s="2149"/>
      <c r="AK2468" s="2149"/>
      <c r="AL2468" s="2149"/>
      <c r="AM2468" s="2149"/>
      <c r="AN2468" s="2149"/>
      <c r="AO2468" s="2149"/>
      <c r="AP2468" s="2149"/>
      <c r="AQ2468" s="2149"/>
      <c r="AR2468" s="2149"/>
      <c r="AS2468" s="2149"/>
      <c r="AT2468" s="2149"/>
      <c r="AU2468" s="2149"/>
      <c r="AV2468" s="2149"/>
      <c r="AW2468" s="2149"/>
      <c r="AX2468" s="2149"/>
      <c r="AY2468" s="2149"/>
      <c r="AZ2468" s="2149"/>
      <c r="BA2468" s="2149"/>
      <c r="BB2468" s="2149"/>
      <c r="BC2468" s="2149"/>
      <c r="BD2468" s="2149"/>
      <c r="BE2468" s="2149"/>
      <c r="BF2468" s="2149"/>
      <c r="BG2468" s="2149"/>
      <c r="BH2468" s="2149"/>
      <c r="BI2468" s="2149"/>
      <c r="BJ2468" s="2149"/>
      <c r="BK2468" s="2149"/>
      <c r="BL2468" s="2149"/>
      <c r="BM2468" s="2149"/>
      <c r="BN2468" s="2149"/>
      <c r="BO2468" s="2149"/>
      <c r="BP2468" s="2149"/>
      <c r="BQ2468" s="2149"/>
      <c r="BR2468" s="2149"/>
      <c r="BS2468" s="2149"/>
    </row>
    <row r="2469" spans="1:71" s="2131" customFormat="1" ht="51">
      <c r="A2469" s="2267"/>
      <c r="B2469" s="2253"/>
      <c r="C2469" s="2164">
        <v>5</v>
      </c>
      <c r="D2469" s="2164" t="s">
        <v>34</v>
      </c>
      <c r="E2469" s="2164" t="s">
        <v>25</v>
      </c>
      <c r="F2469" s="2164" t="s">
        <v>45</v>
      </c>
      <c r="G2469" s="2164" t="s">
        <v>25</v>
      </c>
      <c r="H2469" s="2254" t="s">
        <v>28</v>
      </c>
      <c r="I2469" s="2171" t="s">
        <v>3684</v>
      </c>
      <c r="J2469" s="2171" t="s">
        <v>3627</v>
      </c>
      <c r="K2469" s="2255">
        <v>72</v>
      </c>
      <c r="L2469" s="2203">
        <v>23290500</v>
      </c>
      <c r="M2469" s="2256">
        <v>36</v>
      </c>
      <c r="N2469" s="2257">
        <v>10883500</v>
      </c>
      <c r="O2469" s="2255">
        <v>12</v>
      </c>
      <c r="P2469" s="2258">
        <v>3164000</v>
      </c>
      <c r="Q2469" s="2256">
        <v>3</v>
      </c>
      <c r="R2469" s="2203">
        <v>1185000</v>
      </c>
      <c r="S2469" s="2256">
        <v>3</v>
      </c>
      <c r="T2469" s="2203">
        <v>1185000</v>
      </c>
      <c r="U2469" s="2255"/>
      <c r="V2469" s="2258"/>
      <c r="W2469" s="2255"/>
      <c r="X2469" s="2203"/>
      <c r="Y2469" s="2240">
        <f t="shared" si="672"/>
        <v>6</v>
      </c>
      <c r="Z2469" s="2203">
        <f t="shared" si="672"/>
        <v>2370000</v>
      </c>
      <c r="AA2469" s="2240">
        <f t="shared" si="673"/>
        <v>42</v>
      </c>
      <c r="AB2469" s="2203">
        <f t="shared" si="673"/>
        <v>13253500</v>
      </c>
      <c r="AC2469" s="2243">
        <f t="shared" si="674"/>
        <v>58.333333333333336</v>
      </c>
      <c r="AD2469" s="2243">
        <f t="shared" si="674"/>
        <v>56.905175930100263</v>
      </c>
      <c r="AE2469" s="2605"/>
      <c r="AF2469" s="2259"/>
      <c r="AG2469" s="2259"/>
      <c r="AH2469" s="2259"/>
      <c r="AI2469" s="2259"/>
      <c r="AJ2469" s="2259"/>
      <c r="AK2469" s="2259"/>
      <c r="AL2469" s="2259"/>
      <c r="AM2469" s="2259"/>
      <c r="AN2469" s="2259"/>
      <c r="AO2469" s="2259"/>
      <c r="AP2469" s="2259"/>
      <c r="AQ2469" s="2259"/>
      <c r="AR2469" s="2259"/>
      <c r="AS2469" s="2259"/>
      <c r="AT2469" s="2259"/>
      <c r="AU2469" s="2259"/>
      <c r="AV2469" s="2259"/>
      <c r="AW2469" s="2259"/>
      <c r="AX2469" s="2259"/>
      <c r="AY2469" s="2259"/>
      <c r="AZ2469" s="2259"/>
      <c r="BA2469" s="2259"/>
      <c r="BB2469" s="2259"/>
      <c r="BC2469" s="2259"/>
      <c r="BD2469" s="2259"/>
      <c r="BE2469" s="2259"/>
      <c r="BF2469" s="2259"/>
      <c r="BG2469" s="2259"/>
      <c r="BH2469" s="2259"/>
      <c r="BI2469" s="2259"/>
      <c r="BJ2469" s="2259"/>
      <c r="BK2469" s="2259"/>
      <c r="BL2469" s="2259"/>
      <c r="BM2469" s="2259"/>
      <c r="BN2469" s="2259"/>
      <c r="BO2469" s="2259"/>
      <c r="BP2469" s="2259"/>
      <c r="BQ2469" s="2259"/>
      <c r="BR2469" s="2259"/>
      <c r="BS2469" s="2259"/>
    </row>
    <row r="2470" spans="1:71" s="2131" customFormat="1" ht="63.75">
      <c r="A2470" s="2267"/>
      <c r="B2470" s="2253"/>
      <c r="C2470" s="2164">
        <v>5</v>
      </c>
      <c r="D2470" s="2164" t="s">
        <v>34</v>
      </c>
      <c r="E2470" s="2164" t="s">
        <v>25</v>
      </c>
      <c r="F2470" s="2164" t="s">
        <v>45</v>
      </c>
      <c r="G2470" s="2164" t="s">
        <v>25</v>
      </c>
      <c r="H2470" s="2254" t="s">
        <v>29</v>
      </c>
      <c r="I2470" s="2171" t="s">
        <v>3685</v>
      </c>
      <c r="J2470" s="2171" t="s">
        <v>3628</v>
      </c>
      <c r="K2470" s="2255">
        <v>72</v>
      </c>
      <c r="L2470" s="2203">
        <v>252000000</v>
      </c>
      <c r="M2470" s="2256">
        <v>36</v>
      </c>
      <c r="N2470" s="2257">
        <v>125400000</v>
      </c>
      <c r="O2470" s="2255">
        <v>12</v>
      </c>
      <c r="P2470" s="2258">
        <v>47400000</v>
      </c>
      <c r="Q2470" s="2256">
        <v>3</v>
      </c>
      <c r="R2470" s="2203">
        <v>12000000</v>
      </c>
      <c r="S2470" s="2256">
        <v>3</v>
      </c>
      <c r="T2470" s="2203">
        <v>12000000</v>
      </c>
      <c r="U2470" s="2255"/>
      <c r="V2470" s="2258"/>
      <c r="W2470" s="2255"/>
      <c r="X2470" s="2203"/>
      <c r="Y2470" s="2240">
        <f t="shared" si="672"/>
        <v>6</v>
      </c>
      <c r="Z2470" s="2203">
        <f t="shared" si="672"/>
        <v>24000000</v>
      </c>
      <c r="AA2470" s="2240">
        <f t="shared" si="673"/>
        <v>42</v>
      </c>
      <c r="AB2470" s="2203">
        <f t="shared" si="673"/>
        <v>149400000</v>
      </c>
      <c r="AC2470" s="2243">
        <f t="shared" si="674"/>
        <v>58.333333333333336</v>
      </c>
      <c r="AD2470" s="2243">
        <f t="shared" si="674"/>
        <v>59.285714285714285</v>
      </c>
      <c r="AE2470" s="2605"/>
      <c r="AF2470" s="2259"/>
      <c r="AG2470" s="2259"/>
      <c r="AH2470" s="2259"/>
      <c r="AI2470" s="2259"/>
      <c r="AJ2470" s="2259"/>
      <c r="AK2470" s="2259"/>
      <c r="AL2470" s="2259"/>
      <c r="AM2470" s="2259"/>
      <c r="AN2470" s="2259"/>
      <c r="AO2470" s="2259"/>
      <c r="AP2470" s="2259"/>
      <c r="AQ2470" s="2259"/>
      <c r="AR2470" s="2259"/>
      <c r="AS2470" s="2259"/>
      <c r="AT2470" s="2259"/>
      <c r="AU2470" s="2259"/>
      <c r="AV2470" s="2259"/>
      <c r="AW2470" s="2259"/>
      <c r="AX2470" s="2259"/>
      <c r="AY2470" s="2259"/>
      <c r="AZ2470" s="2259"/>
      <c r="BA2470" s="2259"/>
      <c r="BB2470" s="2259"/>
      <c r="BC2470" s="2259"/>
      <c r="BD2470" s="2259"/>
      <c r="BE2470" s="2259"/>
      <c r="BF2470" s="2259"/>
      <c r="BG2470" s="2259"/>
      <c r="BH2470" s="2259"/>
      <c r="BI2470" s="2259"/>
      <c r="BJ2470" s="2259"/>
      <c r="BK2470" s="2259"/>
      <c r="BL2470" s="2259"/>
      <c r="BM2470" s="2259"/>
      <c r="BN2470" s="2259"/>
      <c r="BO2470" s="2259"/>
      <c r="BP2470" s="2259"/>
      <c r="BQ2470" s="2259"/>
      <c r="BR2470" s="2259"/>
      <c r="BS2470" s="2259"/>
    </row>
    <row r="2471" spans="1:71" s="2131" customFormat="1" ht="51">
      <c r="A2471" s="2152"/>
      <c r="B2471" s="2253"/>
      <c r="C2471" s="2164">
        <v>5</v>
      </c>
      <c r="D2471" s="2164" t="s">
        <v>34</v>
      </c>
      <c r="E2471" s="2164" t="s">
        <v>25</v>
      </c>
      <c r="F2471" s="2164" t="s">
        <v>45</v>
      </c>
      <c r="G2471" s="2164" t="s">
        <v>25</v>
      </c>
      <c r="H2471" s="2164" t="s">
        <v>30</v>
      </c>
      <c r="I2471" s="2260" t="s">
        <v>110</v>
      </c>
      <c r="J2471" s="2260" t="s">
        <v>3629</v>
      </c>
      <c r="K2471" s="2261">
        <v>72</v>
      </c>
      <c r="L2471" s="2241">
        <v>192000000</v>
      </c>
      <c r="M2471" s="2261">
        <v>36</v>
      </c>
      <c r="N2471" s="2262">
        <v>94367000</v>
      </c>
      <c r="O2471" s="2240">
        <v>12</v>
      </c>
      <c r="P2471" s="2242">
        <v>54912000</v>
      </c>
      <c r="Q2471" s="2261">
        <v>3</v>
      </c>
      <c r="R2471" s="2241">
        <v>5257000</v>
      </c>
      <c r="S2471" s="2261">
        <v>3</v>
      </c>
      <c r="T2471" s="2241">
        <v>5257000</v>
      </c>
      <c r="U2471" s="2240"/>
      <c r="V2471" s="2242"/>
      <c r="W2471" s="2240"/>
      <c r="X2471" s="2241"/>
      <c r="Y2471" s="2240">
        <f t="shared" si="672"/>
        <v>6</v>
      </c>
      <c r="Z2471" s="2241">
        <f t="shared" si="672"/>
        <v>10514000</v>
      </c>
      <c r="AA2471" s="2240">
        <f t="shared" si="673"/>
        <v>42</v>
      </c>
      <c r="AB2471" s="2241">
        <f t="shared" si="673"/>
        <v>104881000</v>
      </c>
      <c r="AC2471" s="2243">
        <f t="shared" si="674"/>
        <v>58.333333333333336</v>
      </c>
      <c r="AD2471" s="2243">
        <f t="shared" si="674"/>
        <v>54.625520833333333</v>
      </c>
      <c r="AE2471" s="2216"/>
      <c r="AF2471" s="2259"/>
      <c r="AG2471" s="2259"/>
      <c r="AH2471" s="2259"/>
      <c r="AI2471" s="2259"/>
      <c r="AJ2471" s="2259"/>
      <c r="AK2471" s="2259"/>
      <c r="AL2471" s="2259"/>
      <c r="AM2471" s="2259"/>
      <c r="AN2471" s="2259"/>
      <c r="AO2471" s="2259"/>
      <c r="AP2471" s="2259"/>
      <c r="AQ2471" s="2259"/>
      <c r="AR2471" s="2259"/>
      <c r="AS2471" s="2259"/>
      <c r="AT2471" s="2259"/>
      <c r="AU2471" s="2259"/>
      <c r="AV2471" s="2259"/>
      <c r="AW2471" s="2259"/>
      <c r="AX2471" s="2259"/>
      <c r="AY2471" s="2259"/>
      <c r="AZ2471" s="2259"/>
      <c r="BA2471" s="2259"/>
      <c r="BB2471" s="2259"/>
      <c r="BC2471" s="2259"/>
      <c r="BD2471" s="2259"/>
      <c r="BE2471" s="2259"/>
      <c r="BF2471" s="2259"/>
      <c r="BG2471" s="2259"/>
      <c r="BH2471" s="2259"/>
      <c r="BI2471" s="2259"/>
      <c r="BJ2471" s="2259"/>
      <c r="BK2471" s="2259"/>
      <c r="BL2471" s="2259"/>
      <c r="BM2471" s="2259"/>
      <c r="BN2471" s="2259"/>
      <c r="BO2471" s="2259"/>
      <c r="BP2471" s="2259"/>
      <c r="BQ2471" s="2259"/>
      <c r="BR2471" s="2259"/>
      <c r="BS2471" s="2259"/>
    </row>
    <row r="2472" spans="1:71" s="2131" customFormat="1" ht="25.5">
      <c r="A2472" s="2267"/>
      <c r="B2472" s="2263"/>
      <c r="C2472" s="2254">
        <v>5</v>
      </c>
      <c r="D2472" s="2254" t="s">
        <v>34</v>
      </c>
      <c r="E2472" s="2254" t="s">
        <v>25</v>
      </c>
      <c r="F2472" s="2254" t="s">
        <v>45</v>
      </c>
      <c r="G2472" s="2254" t="s">
        <v>25</v>
      </c>
      <c r="H2472" s="2254" t="s">
        <v>31</v>
      </c>
      <c r="I2472" s="2171" t="s">
        <v>163</v>
      </c>
      <c r="J2472" s="2171" t="s">
        <v>103</v>
      </c>
      <c r="K2472" s="2255">
        <v>72</v>
      </c>
      <c r="L2472" s="2203">
        <v>132600000</v>
      </c>
      <c r="M2472" s="2256">
        <v>36</v>
      </c>
      <c r="N2472" s="2257">
        <v>55654918.280000001</v>
      </c>
      <c r="O2472" s="2255">
        <v>12</v>
      </c>
      <c r="P2472" s="2361">
        <v>22968748.25</v>
      </c>
      <c r="Q2472" s="2256">
        <v>3</v>
      </c>
      <c r="R2472" s="2203">
        <v>1871200</v>
      </c>
      <c r="S2472" s="2256">
        <v>3</v>
      </c>
      <c r="T2472" s="2203">
        <v>1871200</v>
      </c>
      <c r="U2472" s="2255"/>
      <c r="V2472" s="2203"/>
      <c r="W2472" s="2255"/>
      <c r="X2472" s="2203"/>
      <c r="Y2472" s="2255">
        <f t="shared" si="672"/>
        <v>6</v>
      </c>
      <c r="Z2472" s="2203">
        <f t="shared" si="672"/>
        <v>3742400</v>
      </c>
      <c r="AA2472" s="2255">
        <f t="shared" si="673"/>
        <v>42</v>
      </c>
      <c r="AB2472" s="2203">
        <f t="shared" si="673"/>
        <v>59397318.280000001</v>
      </c>
      <c r="AC2472" s="2264">
        <f t="shared" si="674"/>
        <v>58.333333333333336</v>
      </c>
      <c r="AD2472" s="2264">
        <f t="shared" si="674"/>
        <v>44.794357677224738</v>
      </c>
      <c r="AE2472" s="2605"/>
      <c r="AF2472" s="2259"/>
      <c r="AG2472" s="2259"/>
      <c r="AH2472" s="2259"/>
      <c r="AI2472" s="2259"/>
      <c r="AJ2472" s="2259"/>
      <c r="AK2472" s="2259"/>
      <c r="AL2472" s="2259"/>
      <c r="AM2472" s="2259"/>
      <c r="AN2472" s="2259"/>
      <c r="AO2472" s="2259"/>
      <c r="AP2472" s="2259"/>
      <c r="AQ2472" s="2259"/>
      <c r="AR2472" s="2259"/>
      <c r="AS2472" s="2259"/>
      <c r="AT2472" s="2259"/>
      <c r="AU2472" s="2259"/>
      <c r="AV2472" s="2259"/>
      <c r="AW2472" s="2259"/>
      <c r="AX2472" s="2259"/>
      <c r="AY2472" s="2259"/>
      <c r="AZ2472" s="2259"/>
      <c r="BA2472" s="2259"/>
      <c r="BB2472" s="2259"/>
      <c r="BC2472" s="2259"/>
      <c r="BD2472" s="2259"/>
      <c r="BE2472" s="2259"/>
      <c r="BF2472" s="2259"/>
      <c r="BG2472" s="2259"/>
      <c r="BH2472" s="2259"/>
      <c r="BI2472" s="2259"/>
      <c r="BJ2472" s="2259"/>
      <c r="BK2472" s="2259"/>
      <c r="BL2472" s="2259"/>
      <c r="BM2472" s="2259"/>
      <c r="BN2472" s="2259"/>
      <c r="BO2472" s="2259"/>
      <c r="BP2472" s="2259"/>
      <c r="BQ2472" s="2259"/>
      <c r="BR2472" s="2259"/>
      <c r="BS2472" s="2259"/>
    </row>
    <row r="2473" spans="1:71" s="2131" customFormat="1" ht="38.25">
      <c r="A2473" s="2152"/>
      <c r="B2473" s="2253"/>
      <c r="C2473" s="2164">
        <v>5</v>
      </c>
      <c r="D2473" s="2164" t="s">
        <v>34</v>
      </c>
      <c r="E2473" s="2164" t="s">
        <v>25</v>
      </c>
      <c r="F2473" s="2164" t="s">
        <v>45</v>
      </c>
      <c r="G2473" s="2164" t="s">
        <v>25</v>
      </c>
      <c r="H2473" s="2164" t="s">
        <v>62</v>
      </c>
      <c r="I2473" s="2260" t="s">
        <v>155</v>
      </c>
      <c r="J2473" s="2265" t="s">
        <v>3630</v>
      </c>
      <c r="K2473" s="2240">
        <v>72</v>
      </c>
      <c r="L2473" s="2241">
        <v>78006000</v>
      </c>
      <c r="M2473" s="2261">
        <v>36</v>
      </c>
      <c r="N2473" s="2262">
        <v>39148375</v>
      </c>
      <c r="O2473" s="2240">
        <v>12</v>
      </c>
      <c r="P2473" s="2242">
        <v>12807090</v>
      </c>
      <c r="Q2473" s="2261">
        <v>3</v>
      </c>
      <c r="R2473" s="2241">
        <v>0</v>
      </c>
      <c r="S2473" s="2261">
        <v>3</v>
      </c>
      <c r="T2473" s="2241">
        <v>0</v>
      </c>
      <c r="U2473" s="2240"/>
      <c r="V2473" s="2241"/>
      <c r="W2473" s="2240"/>
      <c r="X2473" s="2241"/>
      <c r="Y2473" s="2240">
        <f t="shared" si="672"/>
        <v>6</v>
      </c>
      <c r="Z2473" s="2241">
        <f t="shared" si="672"/>
        <v>0</v>
      </c>
      <c r="AA2473" s="2240">
        <f t="shared" si="673"/>
        <v>42</v>
      </c>
      <c r="AB2473" s="2241">
        <f t="shared" si="673"/>
        <v>39148375</v>
      </c>
      <c r="AC2473" s="2243">
        <f t="shared" si="674"/>
        <v>58.333333333333336</v>
      </c>
      <c r="AD2473" s="2243">
        <f t="shared" si="674"/>
        <v>50.186363869445941</v>
      </c>
      <c r="AE2473" s="2216"/>
      <c r="AF2473" s="2259"/>
      <c r="AG2473" s="2259"/>
      <c r="AH2473" s="2259"/>
      <c r="AI2473" s="2259"/>
      <c r="AJ2473" s="2259"/>
      <c r="AK2473" s="2259"/>
      <c r="AL2473" s="2259"/>
      <c r="AM2473" s="2259"/>
      <c r="AN2473" s="2259"/>
      <c r="AO2473" s="2259"/>
      <c r="AP2473" s="2259"/>
      <c r="AQ2473" s="2259"/>
      <c r="AR2473" s="2259"/>
      <c r="AS2473" s="2259"/>
      <c r="AT2473" s="2259"/>
      <c r="AU2473" s="2259"/>
      <c r="AV2473" s="2259"/>
      <c r="AW2473" s="2259"/>
      <c r="AX2473" s="2259"/>
      <c r="AY2473" s="2259"/>
      <c r="AZ2473" s="2259"/>
      <c r="BA2473" s="2259"/>
      <c r="BB2473" s="2259"/>
      <c r="BC2473" s="2259"/>
      <c r="BD2473" s="2259"/>
      <c r="BE2473" s="2259"/>
      <c r="BF2473" s="2259"/>
      <c r="BG2473" s="2259"/>
      <c r="BH2473" s="2259"/>
      <c r="BI2473" s="2259"/>
      <c r="BJ2473" s="2259"/>
      <c r="BK2473" s="2259"/>
      <c r="BL2473" s="2259"/>
      <c r="BM2473" s="2259"/>
      <c r="BN2473" s="2259"/>
      <c r="BO2473" s="2259"/>
      <c r="BP2473" s="2259"/>
      <c r="BQ2473" s="2259"/>
      <c r="BR2473" s="2259"/>
      <c r="BS2473" s="2259"/>
    </row>
    <row r="2474" spans="1:71" s="2131" customFormat="1" ht="51">
      <c r="A2474" s="2152"/>
      <c r="B2474" s="2253"/>
      <c r="C2474" s="2164">
        <v>5</v>
      </c>
      <c r="D2474" s="2164" t="s">
        <v>34</v>
      </c>
      <c r="E2474" s="2164" t="s">
        <v>25</v>
      </c>
      <c r="F2474" s="2164" t="s">
        <v>45</v>
      </c>
      <c r="G2474" s="2164" t="s">
        <v>25</v>
      </c>
      <c r="H2474" s="2164" t="s">
        <v>52</v>
      </c>
      <c r="I2474" s="2260" t="s">
        <v>3687</v>
      </c>
      <c r="J2474" s="2260" t="s">
        <v>3631</v>
      </c>
      <c r="K2474" s="2240">
        <v>72</v>
      </c>
      <c r="L2474" s="2241">
        <v>18500000</v>
      </c>
      <c r="M2474" s="2261">
        <v>36</v>
      </c>
      <c r="N2474" s="2262">
        <v>7088000</v>
      </c>
      <c r="O2474" s="2240">
        <v>12</v>
      </c>
      <c r="P2474" s="2242">
        <v>3479000</v>
      </c>
      <c r="Q2474" s="2261">
        <v>3</v>
      </c>
      <c r="R2474" s="2241">
        <v>810000</v>
      </c>
      <c r="S2474" s="2261">
        <v>3</v>
      </c>
      <c r="T2474" s="2241">
        <v>810000</v>
      </c>
      <c r="U2474" s="2240"/>
      <c r="V2474" s="2242"/>
      <c r="W2474" s="2240"/>
      <c r="X2474" s="2241"/>
      <c r="Y2474" s="2240">
        <f t="shared" si="672"/>
        <v>6</v>
      </c>
      <c r="Z2474" s="2241">
        <f t="shared" si="672"/>
        <v>1620000</v>
      </c>
      <c r="AA2474" s="2240">
        <f t="shared" si="673"/>
        <v>42</v>
      </c>
      <c r="AB2474" s="2241">
        <f t="shared" si="673"/>
        <v>8708000</v>
      </c>
      <c r="AC2474" s="2243">
        <f t="shared" si="674"/>
        <v>58.333333333333336</v>
      </c>
      <c r="AD2474" s="2243">
        <f t="shared" si="674"/>
        <v>47.070270270270271</v>
      </c>
      <c r="AE2474" s="2216"/>
    </row>
    <row r="2475" spans="1:71" s="2131" customFormat="1" ht="63.75">
      <c r="A2475" s="2267"/>
      <c r="B2475" s="2253"/>
      <c r="C2475" s="2164">
        <v>5</v>
      </c>
      <c r="D2475" s="2164" t="s">
        <v>34</v>
      </c>
      <c r="E2475" s="2164" t="s">
        <v>25</v>
      </c>
      <c r="F2475" s="2164" t="s">
        <v>45</v>
      </c>
      <c r="G2475" s="2164" t="s">
        <v>25</v>
      </c>
      <c r="H2475" s="2254" t="s">
        <v>45</v>
      </c>
      <c r="I2475" s="2171" t="s">
        <v>3688</v>
      </c>
      <c r="J2475" s="2171" t="s">
        <v>3632</v>
      </c>
      <c r="K2475" s="2255">
        <v>72</v>
      </c>
      <c r="L2475" s="2203">
        <v>32000000</v>
      </c>
      <c r="M2475" s="2256">
        <v>36</v>
      </c>
      <c r="N2475" s="2257">
        <v>12600000</v>
      </c>
      <c r="O2475" s="2255">
        <v>12</v>
      </c>
      <c r="P2475" s="2258">
        <v>2100000</v>
      </c>
      <c r="Q2475" s="2256">
        <v>3</v>
      </c>
      <c r="R2475" s="2203">
        <v>555970</v>
      </c>
      <c r="S2475" s="2256">
        <v>3</v>
      </c>
      <c r="T2475" s="2203">
        <v>555970</v>
      </c>
      <c r="U2475" s="2255"/>
      <c r="V2475" s="2203"/>
      <c r="W2475" s="2255"/>
      <c r="X2475" s="2203"/>
      <c r="Y2475" s="2240">
        <f t="shared" si="672"/>
        <v>6</v>
      </c>
      <c r="Z2475" s="2203">
        <f t="shared" si="672"/>
        <v>1111940</v>
      </c>
      <c r="AA2475" s="2240">
        <f t="shared" si="673"/>
        <v>42</v>
      </c>
      <c r="AB2475" s="2203">
        <f t="shared" si="673"/>
        <v>13711940</v>
      </c>
      <c r="AC2475" s="2243">
        <f t="shared" si="674"/>
        <v>58.333333333333336</v>
      </c>
      <c r="AD2475" s="2243">
        <f t="shared" si="674"/>
        <v>42.849812499999999</v>
      </c>
      <c r="AE2475" s="2605"/>
    </row>
    <row r="2476" spans="1:71" s="2131" customFormat="1" ht="38.25">
      <c r="A2476" s="2152"/>
      <c r="B2476" s="2253"/>
      <c r="C2476" s="2164">
        <v>5</v>
      </c>
      <c r="D2476" s="2164" t="s">
        <v>34</v>
      </c>
      <c r="E2476" s="2164" t="s">
        <v>25</v>
      </c>
      <c r="F2476" s="2164" t="s">
        <v>45</v>
      </c>
      <c r="G2476" s="2164" t="s">
        <v>25</v>
      </c>
      <c r="H2476" s="2164" t="s">
        <v>74</v>
      </c>
      <c r="I2476" s="2260" t="s">
        <v>167</v>
      </c>
      <c r="J2476" s="2265" t="s">
        <v>3633</v>
      </c>
      <c r="K2476" s="2240">
        <v>72</v>
      </c>
      <c r="L2476" s="2241">
        <v>71160000</v>
      </c>
      <c r="M2476" s="2261">
        <v>36</v>
      </c>
      <c r="N2476" s="2262">
        <v>35545000</v>
      </c>
      <c r="O2476" s="2240">
        <v>12</v>
      </c>
      <c r="P2476" s="2242">
        <v>44962500</v>
      </c>
      <c r="Q2476" s="2261">
        <v>3</v>
      </c>
      <c r="R2476" s="2241">
        <v>0</v>
      </c>
      <c r="S2476" s="2261">
        <v>3</v>
      </c>
      <c r="T2476" s="2241">
        <v>0</v>
      </c>
      <c r="U2476" s="2240"/>
      <c r="V2476" s="2242"/>
      <c r="W2476" s="2240"/>
      <c r="X2476" s="2241"/>
      <c r="Y2476" s="2240">
        <f t="shared" si="672"/>
        <v>6</v>
      </c>
      <c r="Z2476" s="2241">
        <f t="shared" si="672"/>
        <v>0</v>
      </c>
      <c r="AA2476" s="2240">
        <f t="shared" si="673"/>
        <v>42</v>
      </c>
      <c r="AB2476" s="2241">
        <f t="shared" si="673"/>
        <v>35545000</v>
      </c>
      <c r="AC2476" s="2243">
        <f t="shared" si="674"/>
        <v>58.333333333333336</v>
      </c>
      <c r="AD2476" s="2243">
        <f t="shared" si="674"/>
        <v>49.950815064643059</v>
      </c>
      <c r="AE2476" s="2216"/>
    </row>
    <row r="2477" spans="1:71" s="2131" customFormat="1" ht="51">
      <c r="A2477" s="2152"/>
      <c r="B2477" s="2253"/>
      <c r="C2477" s="2164">
        <v>5</v>
      </c>
      <c r="D2477" s="2164" t="s">
        <v>34</v>
      </c>
      <c r="E2477" s="2164" t="s">
        <v>25</v>
      </c>
      <c r="F2477" s="2164" t="s">
        <v>45</v>
      </c>
      <c r="G2477" s="2164" t="s">
        <v>25</v>
      </c>
      <c r="H2477" s="2164" t="s">
        <v>44</v>
      </c>
      <c r="I2477" s="2260" t="s">
        <v>233</v>
      </c>
      <c r="J2477" s="2260" t="s">
        <v>3634</v>
      </c>
      <c r="K2477" s="2240">
        <v>72</v>
      </c>
      <c r="L2477" s="2241">
        <v>195000000</v>
      </c>
      <c r="M2477" s="2261">
        <v>36</v>
      </c>
      <c r="N2477" s="2262">
        <v>89978000</v>
      </c>
      <c r="O2477" s="2240">
        <v>12</v>
      </c>
      <c r="P2477" s="2242">
        <v>16350000</v>
      </c>
      <c r="Q2477" s="2261">
        <v>3</v>
      </c>
      <c r="R2477" s="2241">
        <v>12160000</v>
      </c>
      <c r="S2477" s="2261">
        <v>3</v>
      </c>
      <c r="T2477" s="2241">
        <v>2160000</v>
      </c>
      <c r="U2477" s="2240"/>
      <c r="V2477" s="2242"/>
      <c r="W2477" s="2240"/>
      <c r="X2477" s="2241"/>
      <c r="Y2477" s="2240">
        <f t="shared" si="672"/>
        <v>6</v>
      </c>
      <c r="Z2477" s="2241">
        <f t="shared" si="672"/>
        <v>14320000</v>
      </c>
      <c r="AA2477" s="2240">
        <f t="shared" si="673"/>
        <v>42</v>
      </c>
      <c r="AB2477" s="2241">
        <f t="shared" si="673"/>
        <v>104298000</v>
      </c>
      <c r="AC2477" s="2243">
        <f t="shared" si="674"/>
        <v>58.333333333333336</v>
      </c>
      <c r="AD2477" s="2243">
        <f t="shared" si="674"/>
        <v>53.486153846153847</v>
      </c>
      <c r="AE2477" s="2216"/>
    </row>
    <row r="2478" spans="1:71" s="2131" customFormat="1" ht="51">
      <c r="A2478" s="2267"/>
      <c r="B2478" s="2253"/>
      <c r="C2478" s="2164">
        <v>5</v>
      </c>
      <c r="D2478" s="2164" t="s">
        <v>34</v>
      </c>
      <c r="E2478" s="2164" t="s">
        <v>25</v>
      </c>
      <c r="F2478" s="2164" t="s">
        <v>45</v>
      </c>
      <c r="G2478" s="2164" t="s">
        <v>25</v>
      </c>
      <c r="H2478" s="2254" t="s">
        <v>54</v>
      </c>
      <c r="I2478" s="2171" t="s">
        <v>3689</v>
      </c>
      <c r="J2478" s="2171" t="s">
        <v>3635</v>
      </c>
      <c r="K2478" s="2255">
        <v>72</v>
      </c>
      <c r="L2478" s="2203">
        <v>407250000</v>
      </c>
      <c r="M2478" s="2256">
        <v>36</v>
      </c>
      <c r="N2478" s="2257">
        <v>203625000</v>
      </c>
      <c r="O2478" s="2255">
        <v>12</v>
      </c>
      <c r="P2478" s="2258">
        <v>52650000</v>
      </c>
      <c r="Q2478" s="2256">
        <v>3</v>
      </c>
      <c r="R2478" s="2203">
        <v>0</v>
      </c>
      <c r="S2478" s="2256">
        <v>3</v>
      </c>
      <c r="T2478" s="2203">
        <v>0</v>
      </c>
      <c r="U2478" s="2255"/>
      <c r="V2478" s="2258"/>
      <c r="W2478" s="2255"/>
      <c r="X2478" s="2203"/>
      <c r="Y2478" s="2240">
        <f t="shared" si="672"/>
        <v>6</v>
      </c>
      <c r="Z2478" s="2203">
        <f t="shared" si="672"/>
        <v>0</v>
      </c>
      <c r="AA2478" s="2240">
        <f t="shared" si="673"/>
        <v>42</v>
      </c>
      <c r="AB2478" s="2203">
        <f t="shared" si="673"/>
        <v>203625000</v>
      </c>
      <c r="AC2478" s="2243">
        <f t="shared" si="674"/>
        <v>58.333333333333336</v>
      </c>
      <c r="AD2478" s="2243">
        <f t="shared" si="674"/>
        <v>50</v>
      </c>
      <c r="AE2478" s="2605"/>
    </row>
    <row r="2479" spans="1:71" s="2131" customFormat="1" ht="63.75">
      <c r="A2479" s="2140" t="s">
        <v>114</v>
      </c>
      <c r="B2479" s="2194"/>
      <c r="C2479" s="2142">
        <v>5</v>
      </c>
      <c r="D2479" s="2142" t="s">
        <v>34</v>
      </c>
      <c r="E2479" s="2142" t="s">
        <v>25</v>
      </c>
      <c r="F2479" s="2142" t="s">
        <v>45</v>
      </c>
      <c r="G2479" s="2142" t="s">
        <v>28</v>
      </c>
      <c r="H2479" s="2140"/>
      <c r="I2479" s="2143" t="s">
        <v>3636</v>
      </c>
      <c r="J2479" s="2143" t="s">
        <v>3531</v>
      </c>
      <c r="K2479" s="2144">
        <v>72</v>
      </c>
      <c r="L2479" s="2145">
        <f>SUM(L2480:L2484)</f>
        <v>539902800</v>
      </c>
      <c r="M2479" s="2144">
        <v>36</v>
      </c>
      <c r="N2479" s="2145">
        <f>SUM(N2480:N2484)</f>
        <v>518351620</v>
      </c>
      <c r="O2479" s="2144">
        <v>12</v>
      </c>
      <c r="P2479" s="2145">
        <f>SUM(P2480:P2484)</f>
        <v>112904000</v>
      </c>
      <c r="Q2479" s="2144">
        <v>3</v>
      </c>
      <c r="R2479" s="2145">
        <f>SUM(R2480:R2484)</f>
        <v>9755700</v>
      </c>
      <c r="S2479" s="2144">
        <v>3</v>
      </c>
      <c r="T2479" s="2145">
        <f>SUM(T2480:T2484)</f>
        <v>9755700</v>
      </c>
      <c r="U2479" s="2144"/>
      <c r="V2479" s="2145">
        <f>SUM(V2480:V2484)</f>
        <v>0</v>
      </c>
      <c r="W2479" s="2144"/>
      <c r="X2479" s="2145">
        <f>SUM(X2480:X2484)</f>
        <v>0</v>
      </c>
      <c r="Y2479" s="2144">
        <f t="shared" si="672"/>
        <v>6</v>
      </c>
      <c r="Z2479" s="2145">
        <f t="shared" si="672"/>
        <v>19511400</v>
      </c>
      <c r="AA2479" s="2144">
        <f t="shared" si="673"/>
        <v>42</v>
      </c>
      <c r="AB2479" s="2145">
        <f t="shared" si="673"/>
        <v>537863020</v>
      </c>
      <c r="AC2479" s="2147">
        <f t="shared" si="674"/>
        <v>58.333333333333336</v>
      </c>
      <c r="AD2479" s="2147">
        <f t="shared" si="674"/>
        <v>99.622194958055417</v>
      </c>
      <c r="AE2479" s="2204" t="s">
        <v>3863</v>
      </c>
    </row>
    <row r="2480" spans="1:71" s="2131" customFormat="1" ht="38.25">
      <c r="A2480" s="2362"/>
      <c r="B2480" s="2218"/>
      <c r="C2480" s="2217" t="s">
        <v>3803</v>
      </c>
      <c r="D2480" s="2217" t="s">
        <v>34</v>
      </c>
      <c r="E2480" s="2217" t="s">
        <v>25</v>
      </c>
      <c r="F2480" s="2217" t="s">
        <v>28</v>
      </c>
      <c r="G2480" s="2217" t="s">
        <v>28</v>
      </c>
      <c r="H2480" s="2217" t="s">
        <v>84</v>
      </c>
      <c r="I2480" s="2197" t="s">
        <v>230</v>
      </c>
      <c r="J2480" s="2218" t="s">
        <v>3864</v>
      </c>
      <c r="K2480" s="2199">
        <v>12</v>
      </c>
      <c r="L2480" s="2357">
        <v>204656500</v>
      </c>
      <c r="M2480" s="2201">
        <v>6</v>
      </c>
      <c r="N2480" s="2200">
        <v>377680000</v>
      </c>
      <c r="O2480" s="2357">
        <v>1</v>
      </c>
      <c r="P2480" s="2357">
        <v>59500000</v>
      </c>
      <c r="Q2480" s="2219">
        <v>0</v>
      </c>
      <c r="R2480" s="2357">
        <v>0</v>
      </c>
      <c r="S2480" s="2219">
        <v>0</v>
      </c>
      <c r="T2480" s="2357">
        <v>0</v>
      </c>
      <c r="U2480" s="2219"/>
      <c r="V2480" s="2223"/>
      <c r="W2480" s="2219"/>
      <c r="X2480" s="2222"/>
      <c r="Y2480" s="2219">
        <f t="shared" si="672"/>
        <v>0</v>
      </c>
      <c r="Z2480" s="2223">
        <f t="shared" si="672"/>
        <v>0</v>
      </c>
      <c r="AA2480" s="2219">
        <f t="shared" si="673"/>
        <v>6</v>
      </c>
      <c r="AB2480" s="2224">
        <f t="shared" si="673"/>
        <v>377680000</v>
      </c>
      <c r="AC2480" s="2308">
        <f t="shared" si="674"/>
        <v>50</v>
      </c>
      <c r="AD2480" s="2363">
        <f t="shared" si="674"/>
        <v>184.54336901100137</v>
      </c>
      <c r="AE2480" s="2215"/>
    </row>
    <row r="2481" spans="1:71" s="2131" customFormat="1" ht="25.5">
      <c r="A2481" s="2362"/>
      <c r="B2481" s="2218"/>
      <c r="C2481" s="2217" t="s">
        <v>3803</v>
      </c>
      <c r="D2481" s="2217" t="s">
        <v>34</v>
      </c>
      <c r="E2481" s="2217" t="s">
        <v>25</v>
      </c>
      <c r="F2481" s="2217" t="s">
        <v>28</v>
      </c>
      <c r="G2481" s="2217" t="s">
        <v>28</v>
      </c>
      <c r="H2481" s="2217" t="s">
        <v>61</v>
      </c>
      <c r="I2481" s="2197" t="s">
        <v>3865</v>
      </c>
      <c r="J2481" s="2218" t="s">
        <v>3866</v>
      </c>
      <c r="K2481" s="2199">
        <v>72</v>
      </c>
      <c r="L2481" s="2200">
        <v>51645000</v>
      </c>
      <c r="M2481" s="2199">
        <v>36</v>
      </c>
      <c r="N2481" s="2200">
        <v>21600000</v>
      </c>
      <c r="O2481" s="2201">
        <v>12</v>
      </c>
      <c r="P2481" s="2357">
        <v>7900000</v>
      </c>
      <c r="Q2481" s="2219">
        <v>3</v>
      </c>
      <c r="R2481" s="2357">
        <v>0</v>
      </c>
      <c r="S2481" s="2219">
        <v>3</v>
      </c>
      <c r="T2481" s="2357">
        <v>0</v>
      </c>
      <c r="U2481" s="2356"/>
      <c r="V2481" s="2223"/>
      <c r="W2481" s="2356"/>
      <c r="X2481" s="2222"/>
      <c r="Y2481" s="2219">
        <f t="shared" si="672"/>
        <v>6</v>
      </c>
      <c r="Z2481" s="2223">
        <f t="shared" si="672"/>
        <v>0</v>
      </c>
      <c r="AA2481" s="2219">
        <f t="shared" si="673"/>
        <v>42</v>
      </c>
      <c r="AB2481" s="2224">
        <f t="shared" si="673"/>
        <v>21600000</v>
      </c>
      <c r="AC2481" s="2308">
        <f t="shared" si="674"/>
        <v>58.333333333333336</v>
      </c>
      <c r="AD2481" s="2363">
        <f t="shared" si="674"/>
        <v>41.823990705779849</v>
      </c>
      <c r="AE2481" s="2215"/>
    </row>
    <row r="2482" spans="1:71" s="2131" customFormat="1" ht="25.5">
      <c r="A2482" s="2215"/>
      <c r="B2482" s="2218"/>
      <c r="C2482" s="2217">
        <v>5</v>
      </c>
      <c r="D2482" s="2217" t="s">
        <v>34</v>
      </c>
      <c r="E2482" s="2217" t="s">
        <v>25</v>
      </c>
      <c r="F2482" s="2217" t="s">
        <v>28</v>
      </c>
      <c r="G2482" s="2217" t="s">
        <v>28</v>
      </c>
      <c r="H2482" s="2217">
        <v>22</v>
      </c>
      <c r="I2482" s="2218" t="s">
        <v>3811</v>
      </c>
      <c r="J2482" s="2218" t="s">
        <v>3812</v>
      </c>
      <c r="K2482" s="2199">
        <v>72</v>
      </c>
      <c r="L2482" s="2200">
        <v>43920000</v>
      </c>
      <c r="M2482" s="2201">
        <v>36</v>
      </c>
      <c r="N2482" s="2200">
        <v>26440000</v>
      </c>
      <c r="O2482" s="2199">
        <v>12</v>
      </c>
      <c r="P2482" s="2200">
        <v>12300000</v>
      </c>
      <c r="Q2482" s="2219">
        <v>3</v>
      </c>
      <c r="R2482" s="2200">
        <v>0</v>
      </c>
      <c r="S2482" s="2219">
        <v>3</v>
      </c>
      <c r="T2482" s="2200">
        <v>0</v>
      </c>
      <c r="U2482" s="2219"/>
      <c r="V2482" s="2220"/>
      <c r="W2482" s="2219"/>
      <c r="X2482" s="2331"/>
      <c r="Y2482" s="2219">
        <f t="shared" si="672"/>
        <v>6</v>
      </c>
      <c r="Z2482" s="2223">
        <f t="shared" si="672"/>
        <v>0</v>
      </c>
      <c r="AA2482" s="2219">
        <f t="shared" si="673"/>
        <v>42</v>
      </c>
      <c r="AB2482" s="2224">
        <f t="shared" si="673"/>
        <v>26440000</v>
      </c>
      <c r="AC2482" s="2308">
        <f t="shared" si="674"/>
        <v>58.333333333333336</v>
      </c>
      <c r="AD2482" s="2363">
        <f t="shared" si="674"/>
        <v>60.200364298724949</v>
      </c>
      <c r="AE2482" s="2215"/>
    </row>
    <row r="2483" spans="1:71" s="2131" customFormat="1" ht="25.5">
      <c r="A2483" s="2215"/>
      <c r="B2483" s="2218"/>
      <c r="C2483" s="2217" t="s">
        <v>3803</v>
      </c>
      <c r="D2483" s="2217" t="s">
        <v>34</v>
      </c>
      <c r="E2483" s="2217" t="s">
        <v>25</v>
      </c>
      <c r="F2483" s="2217" t="s">
        <v>28</v>
      </c>
      <c r="G2483" s="2217" t="s">
        <v>28</v>
      </c>
      <c r="H2483" s="2217" t="s">
        <v>84</v>
      </c>
      <c r="I2483" s="2218" t="s">
        <v>3813</v>
      </c>
      <c r="J2483" s="2218" t="s">
        <v>3814</v>
      </c>
      <c r="K2483" s="2199">
        <v>72</v>
      </c>
      <c r="L2483" s="2200">
        <v>219381300</v>
      </c>
      <c r="M2483" s="2201">
        <v>36</v>
      </c>
      <c r="N2483" s="2200">
        <v>84924060</v>
      </c>
      <c r="O2483" s="2199">
        <v>12</v>
      </c>
      <c r="P2483" s="2200">
        <v>30284000</v>
      </c>
      <c r="Q2483" s="2219">
        <v>3</v>
      </c>
      <c r="R2483" s="2200">
        <v>9755700</v>
      </c>
      <c r="S2483" s="2219">
        <v>3</v>
      </c>
      <c r="T2483" s="2200">
        <v>9755700</v>
      </c>
      <c r="U2483" s="2219"/>
      <c r="V2483" s="2223"/>
      <c r="W2483" s="2219"/>
      <c r="X2483" s="2222"/>
      <c r="Y2483" s="2219">
        <f t="shared" si="672"/>
        <v>6</v>
      </c>
      <c r="Z2483" s="2223">
        <f t="shared" si="672"/>
        <v>19511400</v>
      </c>
      <c r="AA2483" s="2219">
        <f t="shared" si="673"/>
        <v>42</v>
      </c>
      <c r="AB2483" s="2224">
        <f t="shared" si="673"/>
        <v>104435460</v>
      </c>
      <c r="AC2483" s="2308">
        <f t="shared" si="674"/>
        <v>58.333333333333336</v>
      </c>
      <c r="AD2483" s="2363">
        <f t="shared" si="674"/>
        <v>47.604540587552357</v>
      </c>
      <c r="AE2483" s="2215"/>
    </row>
    <row r="2484" spans="1:71" s="2131" customFormat="1" ht="38.25">
      <c r="A2484" s="2215"/>
      <c r="B2484" s="2218"/>
      <c r="C2484" s="2217" t="s">
        <v>3803</v>
      </c>
      <c r="D2484" s="2217" t="s">
        <v>34</v>
      </c>
      <c r="E2484" s="2217" t="s">
        <v>25</v>
      </c>
      <c r="F2484" s="2217" t="s">
        <v>28</v>
      </c>
      <c r="G2484" s="2217" t="s">
        <v>28</v>
      </c>
      <c r="H2484" s="2217" t="s">
        <v>84</v>
      </c>
      <c r="I2484" s="2197" t="s">
        <v>3867</v>
      </c>
      <c r="J2484" s="2218" t="s">
        <v>242</v>
      </c>
      <c r="K2484" s="2199">
        <v>72</v>
      </c>
      <c r="L2484" s="2200">
        <v>20300000</v>
      </c>
      <c r="M2484" s="2201">
        <v>36</v>
      </c>
      <c r="N2484" s="2200">
        <v>7707560</v>
      </c>
      <c r="O2484" s="2199">
        <v>12</v>
      </c>
      <c r="P2484" s="2200">
        <v>2920000</v>
      </c>
      <c r="Q2484" s="2219">
        <v>3</v>
      </c>
      <c r="R2484" s="2200">
        <v>0</v>
      </c>
      <c r="S2484" s="2219">
        <v>3</v>
      </c>
      <c r="T2484" s="2200">
        <v>0</v>
      </c>
      <c r="U2484" s="2219"/>
      <c r="V2484" s="2223"/>
      <c r="W2484" s="2219"/>
      <c r="X2484" s="2222"/>
      <c r="Y2484" s="2219">
        <f t="shared" si="672"/>
        <v>6</v>
      </c>
      <c r="Z2484" s="2223">
        <f t="shared" si="672"/>
        <v>0</v>
      </c>
      <c r="AA2484" s="2219">
        <f t="shared" si="673"/>
        <v>42</v>
      </c>
      <c r="AB2484" s="2224">
        <f t="shared" si="673"/>
        <v>7707560</v>
      </c>
      <c r="AC2484" s="2308">
        <f t="shared" si="674"/>
        <v>58.333333333333336</v>
      </c>
      <c r="AD2484" s="2363">
        <f t="shared" si="674"/>
        <v>37.968275862068964</v>
      </c>
      <c r="AE2484" s="2215"/>
    </row>
    <row r="2485" spans="1:71" s="2131" customFormat="1" ht="38.25">
      <c r="A2485" s="2140" t="s">
        <v>3538</v>
      </c>
      <c r="B2485" s="2140"/>
      <c r="C2485" s="2140">
        <v>5</v>
      </c>
      <c r="D2485" s="2142" t="s">
        <v>34</v>
      </c>
      <c r="E2485" s="2142" t="s">
        <v>25</v>
      </c>
      <c r="F2485" s="2142" t="s">
        <v>45</v>
      </c>
      <c r="G2485" s="2142" t="s">
        <v>45</v>
      </c>
      <c r="H2485" s="2140"/>
      <c r="I2485" s="2143" t="s">
        <v>3868</v>
      </c>
      <c r="J2485" s="2143" t="s">
        <v>3869</v>
      </c>
      <c r="K2485" s="2144">
        <v>10</v>
      </c>
      <c r="L2485" s="2145">
        <f>L2486</f>
        <v>43000000</v>
      </c>
      <c r="M2485" s="2144">
        <v>2</v>
      </c>
      <c r="N2485" s="2145">
        <f>N2486</f>
        <v>16426600</v>
      </c>
      <c r="O2485" s="2144">
        <v>2</v>
      </c>
      <c r="P2485" s="2145">
        <f>P2486</f>
        <v>6855000</v>
      </c>
      <c r="Q2485" s="2144">
        <v>0</v>
      </c>
      <c r="R2485" s="2145">
        <f>R2486</f>
        <v>1340000</v>
      </c>
      <c r="S2485" s="2144">
        <v>0</v>
      </c>
      <c r="T2485" s="2145">
        <f>T2486</f>
        <v>1340000</v>
      </c>
      <c r="U2485" s="2147"/>
      <c r="V2485" s="2146">
        <f>V2486</f>
        <v>0</v>
      </c>
      <c r="W2485" s="2144"/>
      <c r="X2485" s="2146">
        <f>X2486</f>
        <v>0</v>
      </c>
      <c r="Y2485" s="2144">
        <f t="shared" si="672"/>
        <v>0</v>
      </c>
      <c r="Z2485" s="2145">
        <f t="shared" si="672"/>
        <v>2680000</v>
      </c>
      <c r="AA2485" s="2144">
        <f t="shared" si="673"/>
        <v>2</v>
      </c>
      <c r="AB2485" s="2145">
        <f t="shared" si="673"/>
        <v>19106600</v>
      </c>
      <c r="AC2485" s="2147">
        <f t="shared" si="674"/>
        <v>20</v>
      </c>
      <c r="AD2485" s="2147">
        <f t="shared" si="674"/>
        <v>44.43395348837209</v>
      </c>
      <c r="AE2485" s="2204" t="s">
        <v>3863</v>
      </c>
    </row>
    <row r="2486" spans="1:71" s="2131" customFormat="1" ht="36" customHeight="1">
      <c r="A2486" s="2379"/>
      <c r="B2486" s="2162"/>
      <c r="C2486" s="2152">
        <v>5</v>
      </c>
      <c r="D2486" s="2164" t="s">
        <v>34</v>
      </c>
      <c r="E2486" s="2164" t="s">
        <v>25</v>
      </c>
      <c r="F2486" s="2164" t="s">
        <v>45</v>
      </c>
      <c r="G2486" s="2164" t="s">
        <v>45</v>
      </c>
      <c r="H2486" s="2244" t="s">
        <v>47</v>
      </c>
      <c r="I2486" s="2162" t="s">
        <v>3870</v>
      </c>
      <c r="J2486" s="2162" t="s">
        <v>3871</v>
      </c>
      <c r="K2486" s="2700">
        <v>96</v>
      </c>
      <c r="L2486" s="2247">
        <v>43000000</v>
      </c>
      <c r="M2486" s="2700">
        <v>48</v>
      </c>
      <c r="N2486" s="2247">
        <v>16426600</v>
      </c>
      <c r="O2486" s="2700">
        <v>16</v>
      </c>
      <c r="P2486" s="2364">
        <v>6855000</v>
      </c>
      <c r="Q2486" s="2700">
        <v>8</v>
      </c>
      <c r="R2486" s="2247">
        <v>1340000</v>
      </c>
      <c r="S2486" s="2700">
        <v>8</v>
      </c>
      <c r="T2486" s="2247">
        <v>1340000</v>
      </c>
      <c r="U2486" s="2700"/>
      <c r="V2486" s="2247"/>
      <c r="W2486" s="2700"/>
      <c r="X2486" s="2247"/>
      <c r="Y2486" s="2700">
        <f t="shared" si="672"/>
        <v>16</v>
      </c>
      <c r="Z2486" s="2241">
        <f t="shared" si="672"/>
        <v>2680000</v>
      </c>
      <c r="AA2486" s="2700">
        <f t="shared" si="673"/>
        <v>64</v>
      </c>
      <c r="AB2486" s="2241">
        <f t="shared" si="673"/>
        <v>19106600</v>
      </c>
      <c r="AC2486" s="2248">
        <f t="shared" si="674"/>
        <v>66.666666666666657</v>
      </c>
      <c r="AD2486" s="2248">
        <f t="shared" si="674"/>
        <v>44.43395348837209</v>
      </c>
      <c r="AE2486" s="2401"/>
    </row>
    <row r="2487" spans="1:71" s="2131" customFormat="1" ht="51">
      <c r="A2487" s="2140" t="s">
        <v>3543</v>
      </c>
      <c r="B2487" s="2194"/>
      <c r="C2487" s="2142">
        <v>5</v>
      </c>
      <c r="D2487" s="2142" t="s">
        <v>34</v>
      </c>
      <c r="E2487" s="2142" t="s">
        <v>25</v>
      </c>
      <c r="F2487" s="2142" t="s">
        <v>45</v>
      </c>
      <c r="G2487" s="2142" t="s">
        <v>42</v>
      </c>
      <c r="H2487" s="2140"/>
      <c r="I2487" s="2143" t="s">
        <v>3872</v>
      </c>
      <c r="J2487" s="2143" t="s">
        <v>3873</v>
      </c>
      <c r="K2487" s="2144">
        <v>100</v>
      </c>
      <c r="L2487" s="2145">
        <f>L2488</f>
        <v>34225000</v>
      </c>
      <c r="M2487" s="2144">
        <v>85</v>
      </c>
      <c r="N2487" s="2145">
        <f>N2488</f>
        <v>14182141</v>
      </c>
      <c r="O2487" s="2144">
        <v>15</v>
      </c>
      <c r="P2487" s="2145">
        <f>P2488</f>
        <v>4497411.75</v>
      </c>
      <c r="Q2487" s="2144">
        <v>4</v>
      </c>
      <c r="R2487" s="2145">
        <f>R2488</f>
        <v>350000</v>
      </c>
      <c r="S2487" s="2144">
        <v>4</v>
      </c>
      <c r="T2487" s="2145">
        <f>T2488</f>
        <v>350000</v>
      </c>
      <c r="U2487" s="2147"/>
      <c r="V2487" s="2145">
        <f>V2488</f>
        <v>0</v>
      </c>
      <c r="W2487" s="2144"/>
      <c r="X2487" s="2145">
        <f>X2488</f>
        <v>0</v>
      </c>
      <c r="Y2487" s="2147">
        <f t="shared" si="672"/>
        <v>8</v>
      </c>
      <c r="Z2487" s="2145">
        <f t="shared" si="672"/>
        <v>700000</v>
      </c>
      <c r="AA2487" s="2147">
        <f t="shared" si="673"/>
        <v>93</v>
      </c>
      <c r="AB2487" s="2145">
        <f t="shared" si="673"/>
        <v>14882141</v>
      </c>
      <c r="AC2487" s="2147">
        <f t="shared" si="674"/>
        <v>93</v>
      </c>
      <c r="AD2487" s="2147">
        <f t="shared" si="674"/>
        <v>43.483246165084005</v>
      </c>
      <c r="AE2487" s="2204" t="s">
        <v>3863</v>
      </c>
    </row>
    <row r="2488" spans="1:71" s="2131" customFormat="1" ht="25.5">
      <c r="A2488" s="2379"/>
      <c r="B2488" s="2162"/>
      <c r="C2488" s="2164">
        <v>5</v>
      </c>
      <c r="D2488" s="2164" t="s">
        <v>34</v>
      </c>
      <c r="E2488" s="2164" t="s">
        <v>25</v>
      </c>
      <c r="F2488" s="2164" t="s">
        <v>45</v>
      </c>
      <c r="G2488" s="2164" t="s">
        <v>42</v>
      </c>
      <c r="H2488" s="2164" t="s">
        <v>60</v>
      </c>
      <c r="I2488" s="2162" t="s">
        <v>3706</v>
      </c>
      <c r="J2488" s="2162" t="s">
        <v>3874</v>
      </c>
      <c r="K2488" s="2166">
        <v>96</v>
      </c>
      <c r="L2488" s="2167">
        <v>34225000</v>
      </c>
      <c r="M2488" s="2166">
        <v>48</v>
      </c>
      <c r="N2488" s="2167">
        <v>14182141</v>
      </c>
      <c r="O2488" s="2166">
        <v>16</v>
      </c>
      <c r="P2488" s="2167">
        <v>4497411.75</v>
      </c>
      <c r="Q2488" s="2166">
        <v>0</v>
      </c>
      <c r="R2488" s="2167">
        <v>350000</v>
      </c>
      <c r="S2488" s="2166">
        <v>0</v>
      </c>
      <c r="T2488" s="2167">
        <v>350000</v>
      </c>
      <c r="U2488" s="2166"/>
      <c r="V2488" s="2167"/>
      <c r="W2488" s="2166"/>
      <c r="X2488" s="2167"/>
      <c r="Y2488" s="2166">
        <f t="shared" si="672"/>
        <v>0</v>
      </c>
      <c r="Z2488" s="2203">
        <f t="shared" si="672"/>
        <v>700000</v>
      </c>
      <c r="AA2488" s="2166">
        <f t="shared" si="673"/>
        <v>48</v>
      </c>
      <c r="AB2488" s="2203">
        <f t="shared" si="673"/>
        <v>14882141</v>
      </c>
      <c r="AC2488" s="2170">
        <f t="shared" si="674"/>
        <v>50</v>
      </c>
      <c r="AD2488" s="2170">
        <f t="shared" si="674"/>
        <v>43.483246165084005</v>
      </c>
      <c r="AE2488" s="2409"/>
    </row>
    <row r="2489" spans="1:71" s="2131" customFormat="1" ht="51">
      <c r="A2489" s="2140" t="s">
        <v>3547</v>
      </c>
      <c r="B2489" s="2194"/>
      <c r="C2489" s="2142">
        <v>5</v>
      </c>
      <c r="D2489" s="2142" t="s">
        <v>34</v>
      </c>
      <c r="E2489" s="2142" t="s">
        <v>25</v>
      </c>
      <c r="F2489" s="2142" t="s">
        <v>45</v>
      </c>
      <c r="G2489" s="2142" t="s">
        <v>74</v>
      </c>
      <c r="H2489" s="2140"/>
      <c r="I2489" s="2143" t="s">
        <v>3648</v>
      </c>
      <c r="J2489" s="2143" t="s">
        <v>3649</v>
      </c>
      <c r="K2489" s="2144">
        <v>100</v>
      </c>
      <c r="L2489" s="2145">
        <f>L2490</f>
        <v>174225000</v>
      </c>
      <c r="M2489" s="2144">
        <v>50</v>
      </c>
      <c r="N2489" s="2145">
        <f>N2490</f>
        <v>50050000</v>
      </c>
      <c r="O2489" s="2144">
        <v>18</v>
      </c>
      <c r="P2489" s="2145">
        <f>P2490</f>
        <v>12750000</v>
      </c>
      <c r="Q2489" s="2144">
        <v>0</v>
      </c>
      <c r="R2489" s="2145">
        <f>R2490</f>
        <v>0</v>
      </c>
      <c r="S2489" s="2144">
        <v>0</v>
      </c>
      <c r="T2489" s="2145">
        <f>T2490</f>
        <v>0</v>
      </c>
      <c r="U2489" s="2147"/>
      <c r="V2489" s="2145">
        <f>V2490</f>
        <v>0</v>
      </c>
      <c r="W2489" s="2144"/>
      <c r="X2489" s="2145">
        <f>X2490</f>
        <v>0</v>
      </c>
      <c r="Y2489" s="2147">
        <f>Q2489+S2489+U2489+W2489</f>
        <v>0</v>
      </c>
      <c r="Z2489" s="2145">
        <f>R2489+T2489+V2489+X2489</f>
        <v>0</v>
      </c>
      <c r="AA2489" s="2147">
        <f>M2489+Y2489</f>
        <v>50</v>
      </c>
      <c r="AB2489" s="2145">
        <f>N2489+Z2489</f>
        <v>50050000</v>
      </c>
      <c r="AC2489" s="2147">
        <f>(AA2489/K2489)*100</f>
        <v>50</v>
      </c>
      <c r="AD2489" s="2147">
        <f>(AB2489/L2489)*100</f>
        <v>28.727220548141769</v>
      </c>
      <c r="AE2489" s="2204" t="s">
        <v>3863</v>
      </c>
      <c r="AF2489" s="2266"/>
      <c r="AG2489" s="2266"/>
      <c r="AH2489" s="2266"/>
      <c r="AI2489" s="2266"/>
      <c r="AJ2489" s="2266"/>
      <c r="AK2489" s="2266"/>
      <c r="AL2489" s="2266"/>
      <c r="AM2489" s="2266"/>
      <c r="AN2489" s="2266"/>
      <c r="AO2489" s="2266"/>
      <c r="AP2489" s="2266"/>
      <c r="AQ2489" s="2266"/>
      <c r="AR2489" s="2266"/>
      <c r="AS2489" s="2266"/>
      <c r="AT2489" s="2266"/>
      <c r="AU2489" s="2266"/>
      <c r="AV2489" s="2266"/>
      <c r="AW2489" s="2266"/>
      <c r="AX2489" s="2266"/>
      <c r="AY2489" s="2266"/>
      <c r="AZ2489" s="2266"/>
      <c r="BA2489" s="2266"/>
      <c r="BB2489" s="2266"/>
      <c r="BC2489" s="2266"/>
      <c r="BD2489" s="2266"/>
      <c r="BE2489" s="2266"/>
      <c r="BF2489" s="2266"/>
      <c r="BG2489" s="2266"/>
      <c r="BH2489" s="2266"/>
      <c r="BI2489" s="2266"/>
      <c r="BJ2489" s="2266"/>
      <c r="BK2489" s="2266"/>
      <c r="BL2489" s="2266"/>
      <c r="BM2489" s="2266"/>
      <c r="BN2489" s="2266"/>
      <c r="BO2489" s="2266"/>
      <c r="BP2489" s="2266"/>
      <c r="BQ2489" s="2266"/>
      <c r="BR2489" s="2266"/>
      <c r="BS2489" s="2266"/>
    </row>
    <row r="2490" spans="1:71" s="2131" customFormat="1" ht="25.5">
      <c r="A2490" s="2379"/>
      <c r="B2490" s="2162"/>
      <c r="C2490" s="2164">
        <v>5</v>
      </c>
      <c r="D2490" s="2164" t="s">
        <v>34</v>
      </c>
      <c r="E2490" s="2164" t="s">
        <v>25</v>
      </c>
      <c r="F2490" s="2164" t="s">
        <v>45</v>
      </c>
      <c r="G2490" s="2164" t="s">
        <v>74</v>
      </c>
      <c r="H2490" s="2164" t="s">
        <v>56</v>
      </c>
      <c r="I2490" s="2162" t="s">
        <v>2284</v>
      </c>
      <c r="J2490" s="2162" t="s">
        <v>3651</v>
      </c>
      <c r="K2490" s="2166">
        <v>6</v>
      </c>
      <c r="L2490" s="2167">
        <v>174225000</v>
      </c>
      <c r="M2490" s="2166">
        <v>3</v>
      </c>
      <c r="N2490" s="2167">
        <v>50050000</v>
      </c>
      <c r="O2490" s="2166">
        <v>1</v>
      </c>
      <c r="P2490" s="2167">
        <v>12750000</v>
      </c>
      <c r="Q2490" s="2166">
        <v>0</v>
      </c>
      <c r="R2490" s="2167">
        <v>0</v>
      </c>
      <c r="S2490" s="2166">
        <v>0</v>
      </c>
      <c r="T2490" s="2167">
        <v>0</v>
      </c>
      <c r="U2490" s="2166"/>
      <c r="V2490" s="2202"/>
      <c r="W2490" s="2166"/>
      <c r="X2490" s="2167"/>
      <c r="Y2490" s="2166">
        <f>Q2490+S2490+U2490+W2490</f>
        <v>0</v>
      </c>
      <c r="Z2490" s="2203">
        <f>R2490+T2490+V2490+X2490</f>
        <v>0</v>
      </c>
      <c r="AA2490" s="2166">
        <f>M2490+Y2490</f>
        <v>3</v>
      </c>
      <c r="AB2490" s="2203">
        <f>N2490+Z2490</f>
        <v>50050000</v>
      </c>
      <c r="AC2490" s="2170">
        <f>(AA2490/K2490)*100</f>
        <v>50</v>
      </c>
      <c r="AD2490" s="2170">
        <f>(AB2490/L2490)*100</f>
        <v>28.727220548141769</v>
      </c>
      <c r="AE2490" s="2409"/>
      <c r="AF2490" s="2259"/>
      <c r="AG2490" s="2259"/>
      <c r="AH2490" s="2259"/>
      <c r="AI2490" s="2259"/>
      <c r="AJ2490" s="2259"/>
      <c r="AK2490" s="2259"/>
      <c r="AL2490" s="2259"/>
      <c r="AM2490" s="2259"/>
      <c r="AN2490" s="2259"/>
      <c r="AO2490" s="2259"/>
      <c r="AP2490" s="2259"/>
      <c r="AQ2490" s="2259"/>
      <c r="AR2490" s="2259"/>
      <c r="AS2490" s="2259"/>
      <c r="AT2490" s="2259"/>
      <c r="AU2490" s="2259"/>
      <c r="AV2490" s="2259"/>
      <c r="AW2490" s="2259"/>
      <c r="AX2490" s="2259"/>
      <c r="AY2490" s="2259"/>
      <c r="AZ2490" s="2259"/>
      <c r="BA2490" s="2259"/>
      <c r="BB2490" s="2259"/>
      <c r="BC2490" s="2259"/>
      <c r="BD2490" s="2259"/>
      <c r="BE2490" s="2259"/>
      <c r="BF2490" s="2259"/>
      <c r="BG2490" s="2259"/>
      <c r="BH2490" s="2259"/>
      <c r="BI2490" s="2259"/>
      <c r="BJ2490" s="2259"/>
      <c r="BK2490" s="2259"/>
      <c r="BL2490" s="2259"/>
      <c r="BM2490" s="2259"/>
      <c r="BN2490" s="2259"/>
      <c r="BO2490" s="2259"/>
      <c r="BP2490" s="2259"/>
      <c r="BQ2490" s="2259"/>
      <c r="BR2490" s="2259"/>
      <c r="BS2490" s="2259"/>
    </row>
    <row r="2491" spans="1:71" s="2131" customFormat="1" ht="62.25" customHeight="1">
      <c r="A2491" s="2140" t="s">
        <v>3555</v>
      </c>
      <c r="B2491" s="2194"/>
      <c r="C2491" s="2142">
        <v>5</v>
      </c>
      <c r="D2491" s="2142" t="s">
        <v>34</v>
      </c>
      <c r="E2491" s="2142" t="s">
        <v>25</v>
      </c>
      <c r="F2491" s="2142" t="s">
        <v>45</v>
      </c>
      <c r="G2491" s="2142" t="s">
        <v>84</v>
      </c>
      <c r="H2491" s="2140"/>
      <c r="I2491" s="2143" t="s">
        <v>3548</v>
      </c>
      <c r="J2491" s="2143" t="s">
        <v>3549</v>
      </c>
      <c r="K2491" s="2144">
        <v>100</v>
      </c>
      <c r="L2491" s="2145">
        <f>SUM(L2492:L2494)</f>
        <v>175217250</v>
      </c>
      <c r="M2491" s="2144">
        <v>75</v>
      </c>
      <c r="N2491" s="2145">
        <f>SUM(N2492:N2494)</f>
        <v>0</v>
      </c>
      <c r="O2491" s="2144">
        <v>15</v>
      </c>
      <c r="P2491" s="2145">
        <f>SUM(P2492:P2494)</f>
        <v>58405750</v>
      </c>
      <c r="Q2491" s="2144">
        <v>0</v>
      </c>
      <c r="R2491" s="2145">
        <f>SUM(R2492:R2494)</f>
        <v>3590000</v>
      </c>
      <c r="S2491" s="2144">
        <v>0</v>
      </c>
      <c r="T2491" s="2145">
        <f>SUM(T2492:T2494)</f>
        <v>3590000</v>
      </c>
      <c r="U2491" s="2195"/>
      <c r="V2491" s="2145">
        <f>SUM(V2492:V2494)</f>
        <v>0</v>
      </c>
      <c r="W2491" s="2144"/>
      <c r="X2491" s="2145">
        <f>SUM(X2492:X2494)</f>
        <v>0</v>
      </c>
      <c r="Y2491" s="2147">
        <f t="shared" ref="Y2491:Z2496" si="675">Q2491+S2491+U2491+W2491</f>
        <v>0</v>
      </c>
      <c r="Z2491" s="2145">
        <f t="shared" si="675"/>
        <v>7180000</v>
      </c>
      <c r="AA2491" s="2147">
        <f t="shared" ref="AA2491:AB2496" si="676">M2491+Y2491</f>
        <v>75</v>
      </c>
      <c r="AB2491" s="2145">
        <f t="shared" si="676"/>
        <v>7180000</v>
      </c>
      <c r="AC2491" s="2147">
        <f t="shared" ref="AC2491:AD2496" si="677">(AA2491/K2491)*100</f>
        <v>75</v>
      </c>
      <c r="AD2491" s="2147">
        <f t="shared" si="677"/>
        <v>4.0977700540329218</v>
      </c>
      <c r="AE2491" s="2196" t="s">
        <v>3550</v>
      </c>
    </row>
    <row r="2492" spans="1:71" s="2131" customFormat="1" ht="38.25">
      <c r="A2492" s="2379"/>
      <c r="B2492" s="2162"/>
      <c r="C2492" s="2164">
        <v>5</v>
      </c>
      <c r="D2492" s="2164" t="s">
        <v>34</v>
      </c>
      <c r="E2492" s="2164" t="s">
        <v>25</v>
      </c>
      <c r="F2492" s="2164" t="s">
        <v>45</v>
      </c>
      <c r="G2492" s="2164">
        <v>24</v>
      </c>
      <c r="H2492" s="2164">
        <v>15</v>
      </c>
      <c r="I2492" s="2197" t="s">
        <v>3551</v>
      </c>
      <c r="J2492" s="2198" t="s">
        <v>3875</v>
      </c>
      <c r="K2492" s="2199">
        <v>36</v>
      </c>
      <c r="L2492" s="2200">
        <f>3*P2492</f>
        <v>108397500</v>
      </c>
      <c r="M2492" s="2201">
        <v>0</v>
      </c>
      <c r="N2492" s="2200">
        <v>0</v>
      </c>
      <c r="O2492" s="2166">
        <v>12</v>
      </c>
      <c r="P2492" s="2167">
        <v>36132500</v>
      </c>
      <c r="Q2492" s="2166">
        <v>3</v>
      </c>
      <c r="R2492" s="2167">
        <v>2940000</v>
      </c>
      <c r="S2492" s="2166">
        <v>3</v>
      </c>
      <c r="T2492" s="2167">
        <v>2940000</v>
      </c>
      <c r="U2492" s="2166"/>
      <c r="V2492" s="2202"/>
      <c r="W2492" s="2166"/>
      <c r="X2492" s="2167"/>
      <c r="Y2492" s="2166">
        <f t="shared" si="675"/>
        <v>6</v>
      </c>
      <c r="Z2492" s="2203">
        <f t="shared" si="675"/>
        <v>5880000</v>
      </c>
      <c r="AA2492" s="2166">
        <f t="shared" si="676"/>
        <v>6</v>
      </c>
      <c r="AB2492" s="2203">
        <f t="shared" si="676"/>
        <v>5880000</v>
      </c>
      <c r="AC2492" s="2170">
        <f t="shared" si="677"/>
        <v>16.666666666666664</v>
      </c>
      <c r="AD2492" s="2170">
        <f t="shared" si="677"/>
        <v>5.4244793468484049</v>
      </c>
      <c r="AE2492" s="2379"/>
    </row>
    <row r="2493" spans="1:71" s="2131" customFormat="1" ht="38.25">
      <c r="A2493" s="2379"/>
      <c r="B2493" s="2162"/>
      <c r="C2493" s="2164">
        <v>5</v>
      </c>
      <c r="D2493" s="2164" t="s">
        <v>34</v>
      </c>
      <c r="E2493" s="2164" t="s">
        <v>25</v>
      </c>
      <c r="F2493" s="2164" t="s">
        <v>45</v>
      </c>
      <c r="G2493" s="2164">
        <v>24</v>
      </c>
      <c r="H2493" s="2164">
        <v>16</v>
      </c>
      <c r="I2493" s="2198" t="s">
        <v>3553</v>
      </c>
      <c r="J2493" s="2198" t="s">
        <v>3554</v>
      </c>
      <c r="K2493" s="2199">
        <v>36</v>
      </c>
      <c r="L2493" s="2200">
        <f>3*P2493</f>
        <v>52665000</v>
      </c>
      <c r="M2493" s="2201">
        <v>0</v>
      </c>
      <c r="N2493" s="2200">
        <v>0</v>
      </c>
      <c r="O2493" s="2166">
        <v>12</v>
      </c>
      <c r="P2493" s="2167">
        <v>17555000</v>
      </c>
      <c r="Q2493" s="2166">
        <v>3</v>
      </c>
      <c r="R2493" s="2167">
        <v>0</v>
      </c>
      <c r="S2493" s="2166">
        <v>3</v>
      </c>
      <c r="T2493" s="2167">
        <v>0</v>
      </c>
      <c r="U2493" s="2166"/>
      <c r="V2493" s="2202"/>
      <c r="W2493" s="2166"/>
      <c r="X2493" s="2167"/>
      <c r="Y2493" s="2166">
        <f t="shared" si="675"/>
        <v>6</v>
      </c>
      <c r="Z2493" s="2203">
        <f t="shared" si="675"/>
        <v>0</v>
      </c>
      <c r="AA2493" s="2166">
        <f t="shared" si="676"/>
        <v>6</v>
      </c>
      <c r="AB2493" s="2203">
        <f t="shared" si="676"/>
        <v>0</v>
      </c>
      <c r="AC2493" s="2170">
        <f t="shared" si="677"/>
        <v>16.666666666666664</v>
      </c>
      <c r="AD2493" s="2170">
        <f t="shared" si="677"/>
        <v>0</v>
      </c>
      <c r="AE2493" s="2379"/>
    </row>
    <row r="2494" spans="1:71" s="2131" customFormat="1" ht="25.5">
      <c r="A2494" s="2379"/>
      <c r="B2494" s="2162"/>
      <c r="C2494" s="2164">
        <v>5</v>
      </c>
      <c r="D2494" s="2164" t="s">
        <v>34</v>
      </c>
      <c r="E2494" s="2164" t="s">
        <v>25</v>
      </c>
      <c r="F2494" s="2164" t="s">
        <v>45</v>
      </c>
      <c r="G2494" s="2164">
        <v>24</v>
      </c>
      <c r="H2494" s="2164">
        <v>17</v>
      </c>
      <c r="I2494" s="2162" t="s">
        <v>3855</v>
      </c>
      <c r="J2494" s="2162" t="s">
        <v>3595</v>
      </c>
      <c r="K2494" s="2166">
        <v>36</v>
      </c>
      <c r="L2494" s="2200">
        <f>3*P2494</f>
        <v>14154750</v>
      </c>
      <c r="M2494" s="2166">
        <v>0</v>
      </c>
      <c r="N2494" s="2167">
        <v>0</v>
      </c>
      <c r="O2494" s="2166">
        <v>12</v>
      </c>
      <c r="P2494" s="2167">
        <v>4718250</v>
      </c>
      <c r="Q2494" s="2166">
        <v>3</v>
      </c>
      <c r="R2494" s="2167">
        <v>650000</v>
      </c>
      <c r="S2494" s="2166">
        <v>3</v>
      </c>
      <c r="T2494" s="2167">
        <v>650000</v>
      </c>
      <c r="U2494" s="2166"/>
      <c r="V2494" s="2202"/>
      <c r="W2494" s="2166"/>
      <c r="X2494" s="2167"/>
      <c r="Y2494" s="2166">
        <f t="shared" si="675"/>
        <v>6</v>
      </c>
      <c r="Z2494" s="2203">
        <f t="shared" si="675"/>
        <v>1300000</v>
      </c>
      <c r="AA2494" s="2166">
        <f t="shared" si="676"/>
        <v>6</v>
      </c>
      <c r="AB2494" s="2203">
        <f t="shared" si="676"/>
        <v>1300000</v>
      </c>
      <c r="AC2494" s="2170">
        <f t="shared" si="677"/>
        <v>16.666666666666664</v>
      </c>
      <c r="AD2494" s="2170">
        <f t="shared" si="677"/>
        <v>9.1841961179109486</v>
      </c>
      <c r="AE2494" s="2379"/>
    </row>
    <row r="2495" spans="1:71" s="2131" customFormat="1" ht="38.25">
      <c r="A2495" s="2196" t="s">
        <v>3559</v>
      </c>
      <c r="B2495" s="2194"/>
      <c r="C2495" s="2204">
        <v>5</v>
      </c>
      <c r="D2495" s="2205">
        <v>0</v>
      </c>
      <c r="E2495" s="2205">
        <v>1</v>
      </c>
      <c r="F2495" s="2205">
        <v>15</v>
      </c>
      <c r="G2495" s="2205">
        <v>18</v>
      </c>
      <c r="H2495" s="2205"/>
      <c r="I2495" s="2206" t="s">
        <v>3556</v>
      </c>
      <c r="J2495" s="2194" t="s">
        <v>2155</v>
      </c>
      <c r="K2495" s="2207">
        <v>150</v>
      </c>
      <c r="L2495" s="2208">
        <f>SUM(L2496)</f>
        <v>11400000</v>
      </c>
      <c r="M2495" s="2209">
        <v>115</v>
      </c>
      <c r="N2495" s="2208">
        <f>SUM(N2496)</f>
        <v>0</v>
      </c>
      <c r="O2495" s="2207">
        <v>30</v>
      </c>
      <c r="P2495" s="2208">
        <f>SUM(P2496)</f>
        <v>3800000</v>
      </c>
      <c r="Q2495" s="2210">
        <v>0</v>
      </c>
      <c r="R2495" s="2208">
        <f>SUM(R2496)</f>
        <v>0</v>
      </c>
      <c r="S2495" s="2210">
        <v>0</v>
      </c>
      <c r="T2495" s="2208">
        <f>SUM(T2496)</f>
        <v>0</v>
      </c>
      <c r="U2495" s="2210"/>
      <c r="V2495" s="2212">
        <f>SUM(V2496)</f>
        <v>0</v>
      </c>
      <c r="W2495" s="2210"/>
      <c r="X2495" s="2212">
        <f>SUM(X2496)</f>
        <v>0</v>
      </c>
      <c r="Y2495" s="2210">
        <f t="shared" si="675"/>
        <v>0</v>
      </c>
      <c r="Z2495" s="2213">
        <f t="shared" si="675"/>
        <v>0</v>
      </c>
      <c r="AA2495" s="2210">
        <f t="shared" si="676"/>
        <v>115</v>
      </c>
      <c r="AB2495" s="2213">
        <f t="shared" si="676"/>
        <v>0</v>
      </c>
      <c r="AC2495" s="2214">
        <f t="shared" si="677"/>
        <v>76.666666666666671</v>
      </c>
      <c r="AD2495" s="2214">
        <f t="shared" si="677"/>
        <v>0</v>
      </c>
      <c r="AE2495" s="2196" t="s">
        <v>3550</v>
      </c>
    </row>
    <row r="2496" spans="1:71" s="2131" customFormat="1" ht="38.25">
      <c r="A2496" s="2215">
        <v>1</v>
      </c>
      <c r="B2496" s="2198"/>
      <c r="C2496" s="2216">
        <v>5</v>
      </c>
      <c r="D2496" s="2217">
        <v>0</v>
      </c>
      <c r="E2496" s="2217">
        <v>1</v>
      </c>
      <c r="F2496" s="2217">
        <v>15</v>
      </c>
      <c r="G2496" s="2217">
        <v>18</v>
      </c>
      <c r="H2496" s="2217">
        <v>25</v>
      </c>
      <c r="I2496" s="2218" t="s">
        <v>3557</v>
      </c>
      <c r="J2496" s="2198" t="s">
        <v>3558</v>
      </c>
      <c r="K2496" s="2199">
        <v>36</v>
      </c>
      <c r="L2496" s="2200">
        <f>3*P2496</f>
        <v>11400000</v>
      </c>
      <c r="M2496" s="2201">
        <v>0</v>
      </c>
      <c r="N2496" s="2200"/>
      <c r="O2496" s="2199">
        <v>12</v>
      </c>
      <c r="P2496" s="2200">
        <v>3800000</v>
      </c>
      <c r="Q2496" s="2219">
        <v>0</v>
      </c>
      <c r="R2496" s="2200">
        <v>0</v>
      </c>
      <c r="S2496" s="2219">
        <v>0</v>
      </c>
      <c r="T2496" s="2200">
        <v>0</v>
      </c>
      <c r="U2496" s="2221"/>
      <c r="V2496" s="2220"/>
      <c r="W2496" s="2219"/>
      <c r="X2496" s="2222"/>
      <c r="Y2496" s="2219">
        <f t="shared" si="675"/>
        <v>0</v>
      </c>
      <c r="Z2496" s="2223">
        <f t="shared" si="675"/>
        <v>0</v>
      </c>
      <c r="AA2496" s="2219">
        <f t="shared" si="676"/>
        <v>0</v>
      </c>
      <c r="AB2496" s="2224">
        <f t="shared" si="676"/>
        <v>0</v>
      </c>
      <c r="AC2496" s="2225">
        <f t="shared" si="677"/>
        <v>0</v>
      </c>
      <c r="AD2496" s="2225">
        <f t="shared" si="677"/>
        <v>0</v>
      </c>
      <c r="AE2496" s="2215"/>
    </row>
    <row r="2497" spans="1:71" s="2131" customFormat="1" ht="83.25" customHeight="1">
      <c r="A2497" s="2140" t="s">
        <v>3565</v>
      </c>
      <c r="B2497" s="2194"/>
      <c r="C2497" s="2142">
        <v>5</v>
      </c>
      <c r="D2497" s="2142" t="s">
        <v>34</v>
      </c>
      <c r="E2497" s="2142" t="s">
        <v>25</v>
      </c>
      <c r="F2497" s="2142" t="s">
        <v>45</v>
      </c>
      <c r="G2497" s="2142" t="s">
        <v>45</v>
      </c>
      <c r="H2497" s="2142"/>
      <c r="I2497" s="2143" t="s">
        <v>3653</v>
      </c>
      <c r="J2497" s="2143" t="s">
        <v>3654</v>
      </c>
      <c r="K2497" s="2144">
        <v>100</v>
      </c>
      <c r="L2497" s="2145">
        <f>L2498</f>
        <v>75310000</v>
      </c>
      <c r="M2497" s="2144">
        <v>50</v>
      </c>
      <c r="N2497" s="2145">
        <f>N2498</f>
        <v>47367500</v>
      </c>
      <c r="O2497" s="2144">
        <v>18</v>
      </c>
      <c r="P2497" s="2145">
        <f>P2498</f>
        <v>16762500</v>
      </c>
      <c r="Q2497" s="2144">
        <v>0</v>
      </c>
      <c r="R2497" s="2145">
        <f>R2498</f>
        <v>0</v>
      </c>
      <c r="S2497" s="2144">
        <v>0</v>
      </c>
      <c r="T2497" s="2145">
        <f>T2498</f>
        <v>0</v>
      </c>
      <c r="U2497" s="2144"/>
      <c r="V2497" s="2146">
        <f>V2498</f>
        <v>0</v>
      </c>
      <c r="W2497" s="2144"/>
      <c r="X2497" s="2145">
        <f>X2498</f>
        <v>0</v>
      </c>
      <c r="Y2497" s="2144">
        <f>Q2497+S2497+U2497+W2497</f>
        <v>0</v>
      </c>
      <c r="Z2497" s="2145">
        <f>R2497+T2497+V2497+X2497</f>
        <v>0</v>
      </c>
      <c r="AA2497" s="2144">
        <f>M2497+Y2497</f>
        <v>50</v>
      </c>
      <c r="AB2497" s="2145">
        <f>N2497+Z2497</f>
        <v>47367500</v>
      </c>
      <c r="AC2497" s="2147">
        <f>(AA2497/K2497)*100</f>
        <v>50</v>
      </c>
      <c r="AD2497" s="2147">
        <f>(AB2497/L2497)*100</f>
        <v>62.896693666179793</v>
      </c>
      <c r="AE2497" s="2204" t="s">
        <v>3863</v>
      </c>
      <c r="AF2497" s="2266"/>
      <c r="AG2497" s="2266"/>
      <c r="AH2497" s="2266"/>
      <c r="AI2497" s="2266"/>
      <c r="AJ2497" s="2266"/>
      <c r="AK2497" s="2266"/>
      <c r="AL2497" s="2266"/>
      <c r="AM2497" s="2266"/>
      <c r="AN2497" s="2266"/>
      <c r="AO2497" s="2266"/>
      <c r="AP2497" s="2266"/>
      <c r="AQ2497" s="2266"/>
      <c r="AR2497" s="2266"/>
      <c r="AS2497" s="2266"/>
      <c r="AT2497" s="2266"/>
      <c r="AU2497" s="2266"/>
      <c r="AV2497" s="2266"/>
      <c r="AW2497" s="2266"/>
      <c r="AX2497" s="2266"/>
      <c r="AY2497" s="2266"/>
      <c r="AZ2497" s="2266"/>
      <c r="BA2497" s="2266"/>
      <c r="BB2497" s="2266"/>
      <c r="BC2497" s="2266"/>
      <c r="BD2497" s="2266"/>
      <c r="BE2497" s="2266"/>
      <c r="BF2497" s="2266"/>
      <c r="BG2497" s="2266"/>
      <c r="BH2497" s="2266"/>
      <c r="BI2497" s="2266"/>
      <c r="BJ2497" s="2266"/>
      <c r="BK2497" s="2266"/>
      <c r="BL2497" s="2266"/>
      <c r="BM2497" s="2266"/>
      <c r="BN2497" s="2266"/>
      <c r="BO2497" s="2266"/>
      <c r="BP2497" s="2266"/>
      <c r="BQ2497" s="2266"/>
      <c r="BR2497" s="2266"/>
      <c r="BS2497" s="2266"/>
    </row>
    <row r="2498" spans="1:71" s="2131" customFormat="1" ht="59.25" customHeight="1">
      <c r="A2498" s="2379"/>
      <c r="B2498" s="2162"/>
      <c r="C2498" s="2164">
        <v>5</v>
      </c>
      <c r="D2498" s="2164" t="s">
        <v>34</v>
      </c>
      <c r="E2498" s="2164" t="s">
        <v>25</v>
      </c>
      <c r="F2498" s="2164" t="s">
        <v>45</v>
      </c>
      <c r="G2498" s="2164" t="s">
        <v>45</v>
      </c>
      <c r="H2498" s="2164" t="s">
        <v>54</v>
      </c>
      <c r="I2498" s="2162" t="s">
        <v>3876</v>
      </c>
      <c r="J2498" s="2162" t="s">
        <v>3656</v>
      </c>
      <c r="K2498" s="2166">
        <v>6</v>
      </c>
      <c r="L2498" s="2167">
        <v>75310000</v>
      </c>
      <c r="M2498" s="2166">
        <v>3</v>
      </c>
      <c r="N2498" s="2167">
        <v>47367500</v>
      </c>
      <c r="O2498" s="2166">
        <v>1</v>
      </c>
      <c r="P2498" s="2167">
        <v>16762500</v>
      </c>
      <c r="Q2498" s="2166">
        <v>0</v>
      </c>
      <c r="R2498" s="2167">
        <v>0</v>
      </c>
      <c r="S2498" s="2166">
        <v>0</v>
      </c>
      <c r="T2498" s="2167">
        <v>0</v>
      </c>
      <c r="U2498" s="2166"/>
      <c r="V2498" s="2202"/>
      <c r="W2498" s="2166"/>
      <c r="X2498" s="2167"/>
      <c r="Y2498" s="2240">
        <f>Q2498+S2498+U2498+W2498</f>
        <v>0</v>
      </c>
      <c r="Z2498" s="2203">
        <f>R2498+T2498+V2498+X2498</f>
        <v>0</v>
      </c>
      <c r="AA2498" s="2240">
        <f>M2498+Y2498</f>
        <v>3</v>
      </c>
      <c r="AB2498" s="2203">
        <f>N2498+Z2498</f>
        <v>47367500</v>
      </c>
      <c r="AC2498" s="2243">
        <f>(AA2498/K2498)*100</f>
        <v>50</v>
      </c>
      <c r="AD2498" s="2243">
        <f>(AB2498/L2498)*100</f>
        <v>62.896693666179793</v>
      </c>
      <c r="AE2498" s="2409"/>
      <c r="AF2498" s="2259"/>
      <c r="AG2498" s="2259"/>
      <c r="AH2498" s="2259"/>
      <c r="AI2498" s="2259"/>
      <c r="AJ2498" s="2259"/>
      <c r="AK2498" s="2259"/>
      <c r="AL2498" s="2259"/>
      <c r="AM2498" s="2259"/>
      <c r="AN2498" s="2259"/>
      <c r="AO2498" s="2259"/>
      <c r="AP2498" s="2259"/>
      <c r="AQ2498" s="2259"/>
      <c r="AR2498" s="2259"/>
      <c r="AS2498" s="2259"/>
      <c r="AT2498" s="2259"/>
      <c r="AU2498" s="2259"/>
      <c r="AV2498" s="2259"/>
      <c r="AW2498" s="2259"/>
      <c r="AX2498" s="2259"/>
      <c r="AY2498" s="2259"/>
      <c r="AZ2498" s="2259"/>
      <c r="BA2498" s="2259"/>
      <c r="BB2498" s="2259"/>
      <c r="BC2498" s="2259"/>
      <c r="BD2498" s="2259"/>
      <c r="BE2498" s="2259"/>
      <c r="BF2498" s="2259"/>
      <c r="BG2498" s="2259"/>
      <c r="BH2498" s="2259"/>
      <c r="BI2498" s="2259"/>
      <c r="BJ2498" s="2259"/>
      <c r="BK2498" s="2259"/>
      <c r="BL2498" s="2259"/>
      <c r="BM2498" s="2259"/>
      <c r="BN2498" s="2259"/>
      <c r="BO2498" s="2259"/>
      <c r="BP2498" s="2259"/>
      <c r="BQ2498" s="2259"/>
      <c r="BR2498" s="2259"/>
      <c r="BS2498" s="2259"/>
    </row>
    <row r="2499" spans="1:71" s="2161" customFormat="1" ht="56.25" customHeight="1">
      <c r="A2499" s="2196" t="s">
        <v>13</v>
      </c>
      <c r="B2499" s="2194"/>
      <c r="C2499" s="2204">
        <v>5</v>
      </c>
      <c r="D2499" s="2205" t="s">
        <v>34</v>
      </c>
      <c r="E2499" s="2205" t="s">
        <v>25</v>
      </c>
      <c r="F2499" s="2204">
        <v>15</v>
      </c>
      <c r="G2499" s="2204">
        <v>21</v>
      </c>
      <c r="H2499" s="2205"/>
      <c r="I2499" s="2194" t="s">
        <v>1287</v>
      </c>
      <c r="J2499" s="2194" t="s">
        <v>3698</v>
      </c>
      <c r="K2499" s="2269">
        <v>95</v>
      </c>
      <c r="L2499" s="2208">
        <f>SUM(L2500)</f>
        <v>148406100</v>
      </c>
      <c r="M2499" s="2209">
        <v>85</v>
      </c>
      <c r="N2499" s="2208">
        <f>SUM(N2500)</f>
        <v>0</v>
      </c>
      <c r="O2499" s="2207">
        <v>5</v>
      </c>
      <c r="P2499" s="2208">
        <f>SUM(P2500)</f>
        <v>15634500</v>
      </c>
      <c r="Q2499" s="2210">
        <v>5</v>
      </c>
      <c r="R2499" s="2208">
        <f>SUM(R2500)</f>
        <v>10127000</v>
      </c>
      <c r="S2499" s="2210">
        <v>5</v>
      </c>
      <c r="T2499" s="2208">
        <f>SUM(T2500)</f>
        <v>5127000</v>
      </c>
      <c r="U2499" s="2210"/>
      <c r="V2499" s="2313">
        <f>SUM(V2500)</f>
        <v>0</v>
      </c>
      <c r="W2499" s="2210"/>
      <c r="X2499" s="2325">
        <f>SUM(X2500)</f>
        <v>0</v>
      </c>
      <c r="Y2499" s="2210">
        <f t="shared" ref="Y2499:Z2506" si="678">Q2499+S2499+U2499+W2499</f>
        <v>10</v>
      </c>
      <c r="Z2499" s="2313">
        <f t="shared" si="678"/>
        <v>15254000</v>
      </c>
      <c r="AA2499" s="2210">
        <f t="shared" ref="AA2499:AB2506" si="679">M2499+Y2499</f>
        <v>95</v>
      </c>
      <c r="AB2499" s="2213">
        <f t="shared" si="679"/>
        <v>15254000</v>
      </c>
      <c r="AC2499" s="2214">
        <f t="shared" ref="AC2499:AD2506" si="680">(AA2499/K2499)*100</f>
        <v>100</v>
      </c>
      <c r="AD2499" s="2214">
        <f t="shared" si="680"/>
        <v>10.278553240062234</v>
      </c>
      <c r="AE2499" s="2196" t="s">
        <v>3787</v>
      </c>
    </row>
    <row r="2500" spans="1:71" s="2161" customFormat="1" ht="38.25">
      <c r="A2500" s="2215">
        <v>1</v>
      </c>
      <c r="B2500" s="2198"/>
      <c r="C2500" s="2216">
        <v>5</v>
      </c>
      <c r="D2500" s="2217" t="s">
        <v>34</v>
      </c>
      <c r="E2500" s="2217" t="s">
        <v>25</v>
      </c>
      <c r="F2500" s="2216">
        <v>15</v>
      </c>
      <c r="G2500" s="2216">
        <v>21</v>
      </c>
      <c r="H2500" s="2217">
        <v>9</v>
      </c>
      <c r="I2500" s="2198" t="s">
        <v>2210</v>
      </c>
      <c r="J2500" s="2198" t="s">
        <v>3857</v>
      </c>
      <c r="K2500" s="2199">
        <v>3</v>
      </c>
      <c r="L2500" s="2200">
        <v>148406100</v>
      </c>
      <c r="M2500" s="2201"/>
      <c r="N2500" s="2200"/>
      <c r="O2500" s="2199">
        <v>1</v>
      </c>
      <c r="P2500" s="2200">
        <v>15634500</v>
      </c>
      <c r="Q2500" s="2219">
        <v>1</v>
      </c>
      <c r="R2500" s="2200">
        <v>10127000</v>
      </c>
      <c r="S2500" s="2219">
        <v>0</v>
      </c>
      <c r="T2500" s="2200">
        <v>5127000</v>
      </c>
      <c r="U2500" s="2219"/>
      <c r="V2500" s="2327"/>
      <c r="W2500" s="2219"/>
      <c r="X2500" s="2327"/>
      <c r="Y2500" s="2219">
        <f t="shared" si="678"/>
        <v>1</v>
      </c>
      <c r="Z2500" s="2223">
        <f t="shared" si="678"/>
        <v>15254000</v>
      </c>
      <c r="AA2500" s="2219">
        <f t="shared" si="679"/>
        <v>1</v>
      </c>
      <c r="AB2500" s="2307">
        <f t="shared" si="679"/>
        <v>15254000</v>
      </c>
      <c r="AC2500" s="2308">
        <f t="shared" si="680"/>
        <v>33.333333333333329</v>
      </c>
      <c r="AD2500" s="2308">
        <f t="shared" si="680"/>
        <v>10.278553240062234</v>
      </c>
      <c r="AE2500" s="2215"/>
    </row>
    <row r="2501" spans="1:71" s="2131" customFormat="1" ht="38.25">
      <c r="A2501" s="2140" t="s">
        <v>3577</v>
      </c>
      <c r="B2501" s="2194"/>
      <c r="C2501" s="2142">
        <v>5</v>
      </c>
      <c r="D2501" s="2142" t="s">
        <v>34</v>
      </c>
      <c r="E2501" s="2142" t="s">
        <v>25</v>
      </c>
      <c r="F2501" s="2142" t="s">
        <v>45</v>
      </c>
      <c r="G2501" s="2142" t="s">
        <v>74</v>
      </c>
      <c r="H2501" s="2142"/>
      <c r="I2501" s="2143" t="s">
        <v>3877</v>
      </c>
      <c r="J2501" s="2143" t="s">
        <v>3723</v>
      </c>
      <c r="K2501" s="2144">
        <v>80</v>
      </c>
      <c r="L2501" s="2145">
        <f>L2502</f>
        <v>25000000</v>
      </c>
      <c r="M2501" s="2144">
        <v>80</v>
      </c>
      <c r="N2501" s="2145">
        <f>N2502</f>
        <v>11280000</v>
      </c>
      <c r="O2501" s="2144">
        <v>15</v>
      </c>
      <c r="P2501" s="2145">
        <f>P2502</f>
        <v>4630000</v>
      </c>
      <c r="Q2501" s="2144">
        <v>0</v>
      </c>
      <c r="R2501" s="2145">
        <f>R2502</f>
        <v>0</v>
      </c>
      <c r="S2501" s="2144">
        <v>0</v>
      </c>
      <c r="T2501" s="2145">
        <f>T2502</f>
        <v>0</v>
      </c>
      <c r="U2501" s="2144"/>
      <c r="V2501" s="2145">
        <f>V2502</f>
        <v>0</v>
      </c>
      <c r="W2501" s="2144"/>
      <c r="X2501" s="2145">
        <f>X2502</f>
        <v>0</v>
      </c>
      <c r="Y2501" s="2144">
        <f t="shared" si="678"/>
        <v>0</v>
      </c>
      <c r="Z2501" s="2145">
        <f t="shared" si="678"/>
        <v>0</v>
      </c>
      <c r="AA2501" s="2144">
        <f t="shared" si="679"/>
        <v>80</v>
      </c>
      <c r="AB2501" s="2145">
        <f t="shared" si="679"/>
        <v>11280000</v>
      </c>
      <c r="AC2501" s="2147">
        <f t="shared" si="680"/>
        <v>100</v>
      </c>
      <c r="AD2501" s="2147">
        <f t="shared" si="680"/>
        <v>45.12</v>
      </c>
      <c r="AE2501" s="2204" t="s">
        <v>3863</v>
      </c>
      <c r="AF2501" s="2266"/>
      <c r="AG2501" s="2266"/>
      <c r="AH2501" s="2266"/>
      <c r="AI2501" s="2266"/>
      <c r="AJ2501" s="2266"/>
      <c r="AK2501" s="2266"/>
      <c r="AL2501" s="2266"/>
      <c r="AM2501" s="2266"/>
      <c r="AN2501" s="2266"/>
      <c r="AO2501" s="2266"/>
      <c r="AP2501" s="2266"/>
      <c r="AQ2501" s="2266"/>
      <c r="AR2501" s="2266"/>
      <c r="AS2501" s="2266"/>
      <c r="AT2501" s="2266"/>
      <c r="AU2501" s="2266"/>
      <c r="AV2501" s="2266"/>
      <c r="AW2501" s="2266"/>
      <c r="AX2501" s="2266"/>
      <c r="AY2501" s="2266"/>
      <c r="AZ2501" s="2266"/>
      <c r="BA2501" s="2266"/>
      <c r="BB2501" s="2266"/>
      <c r="BC2501" s="2266"/>
      <c r="BD2501" s="2266"/>
      <c r="BE2501" s="2266"/>
      <c r="BF2501" s="2266"/>
      <c r="BG2501" s="2266"/>
      <c r="BH2501" s="2266"/>
      <c r="BI2501" s="2266"/>
      <c r="BJ2501" s="2266"/>
      <c r="BK2501" s="2266"/>
      <c r="BL2501" s="2266"/>
      <c r="BM2501" s="2266"/>
      <c r="BN2501" s="2266"/>
      <c r="BO2501" s="2266"/>
      <c r="BP2501" s="2266"/>
      <c r="BQ2501" s="2266"/>
      <c r="BR2501" s="2266"/>
      <c r="BS2501" s="2266"/>
    </row>
    <row r="2502" spans="1:71" s="2131" customFormat="1" ht="25.5">
      <c r="A2502" s="2152"/>
      <c r="B2502" s="2198"/>
      <c r="C2502" s="2164">
        <v>5</v>
      </c>
      <c r="D2502" s="2164" t="s">
        <v>34</v>
      </c>
      <c r="E2502" s="2164" t="s">
        <v>25</v>
      </c>
      <c r="F2502" s="2164" t="s">
        <v>45</v>
      </c>
      <c r="G2502" s="2164" t="s">
        <v>74</v>
      </c>
      <c r="H2502" s="2151" t="s">
        <v>3878</v>
      </c>
      <c r="I2502" s="2162" t="s">
        <v>3879</v>
      </c>
      <c r="J2502" s="2162" t="s">
        <v>3880</v>
      </c>
      <c r="K2502" s="2166">
        <v>60</v>
      </c>
      <c r="L2502" s="2241">
        <v>25000000</v>
      </c>
      <c r="M2502" s="2240">
        <v>30</v>
      </c>
      <c r="N2502" s="2241">
        <v>11280000</v>
      </c>
      <c r="O2502" s="2240">
        <v>10</v>
      </c>
      <c r="P2502" s="2241">
        <v>4630000</v>
      </c>
      <c r="Q2502" s="2240">
        <v>0</v>
      </c>
      <c r="R2502" s="2241">
        <v>0</v>
      </c>
      <c r="S2502" s="2240">
        <v>0</v>
      </c>
      <c r="T2502" s="2241">
        <v>0</v>
      </c>
      <c r="U2502" s="2240"/>
      <c r="V2502" s="2242"/>
      <c r="W2502" s="2240"/>
      <c r="X2502" s="2241"/>
      <c r="Y2502" s="2240">
        <f t="shared" si="678"/>
        <v>0</v>
      </c>
      <c r="Z2502" s="2203">
        <f t="shared" si="678"/>
        <v>0</v>
      </c>
      <c r="AA2502" s="2240">
        <f t="shared" si="679"/>
        <v>30</v>
      </c>
      <c r="AB2502" s="2203">
        <f t="shared" si="679"/>
        <v>11280000</v>
      </c>
      <c r="AC2502" s="2243">
        <f t="shared" si="680"/>
        <v>50</v>
      </c>
      <c r="AD2502" s="2240">
        <f t="shared" si="680"/>
        <v>45.12</v>
      </c>
      <c r="AE2502" s="2216"/>
      <c r="AF2502" s="2259"/>
      <c r="AG2502" s="2259"/>
      <c r="AH2502" s="2259"/>
      <c r="AI2502" s="2259"/>
      <c r="AJ2502" s="2259"/>
      <c r="AK2502" s="2259"/>
      <c r="AL2502" s="2259"/>
      <c r="AM2502" s="2259"/>
      <c r="AN2502" s="2259"/>
      <c r="AO2502" s="2259"/>
      <c r="AP2502" s="2259"/>
      <c r="AQ2502" s="2259"/>
      <c r="AR2502" s="2259"/>
      <c r="AS2502" s="2259"/>
      <c r="AT2502" s="2259"/>
      <c r="AU2502" s="2259"/>
      <c r="AV2502" s="2259"/>
      <c r="AW2502" s="2259"/>
      <c r="AX2502" s="2259"/>
      <c r="AY2502" s="2259"/>
      <c r="AZ2502" s="2259"/>
      <c r="BA2502" s="2259"/>
      <c r="BB2502" s="2259"/>
      <c r="BC2502" s="2259"/>
      <c r="BD2502" s="2259"/>
      <c r="BE2502" s="2259"/>
      <c r="BF2502" s="2259"/>
      <c r="BG2502" s="2259"/>
      <c r="BH2502" s="2259"/>
      <c r="BI2502" s="2259"/>
      <c r="BJ2502" s="2259"/>
      <c r="BK2502" s="2259"/>
      <c r="BL2502" s="2259"/>
      <c r="BM2502" s="2259"/>
      <c r="BN2502" s="2259"/>
      <c r="BO2502" s="2259"/>
      <c r="BP2502" s="2259"/>
      <c r="BQ2502" s="2259"/>
      <c r="BR2502" s="2259"/>
      <c r="BS2502" s="2259"/>
    </row>
    <row r="2503" spans="1:71" s="2131" customFormat="1" ht="51">
      <c r="A2503" s="2140" t="s">
        <v>19</v>
      </c>
      <c r="B2503" s="2194"/>
      <c r="C2503" s="2142">
        <v>5</v>
      </c>
      <c r="D2503" s="2142" t="s">
        <v>34</v>
      </c>
      <c r="E2503" s="2142" t="s">
        <v>25</v>
      </c>
      <c r="F2503" s="2142" t="s">
        <v>45</v>
      </c>
      <c r="G2503" s="2142" t="s">
        <v>47</v>
      </c>
      <c r="H2503" s="2140"/>
      <c r="I2503" s="2143" t="s">
        <v>3661</v>
      </c>
      <c r="J2503" s="2143" t="s">
        <v>3662</v>
      </c>
      <c r="K2503" s="2144">
        <v>100</v>
      </c>
      <c r="L2503" s="2145">
        <f>L2504</f>
        <v>58000000</v>
      </c>
      <c r="M2503" s="2144">
        <v>47</v>
      </c>
      <c r="N2503" s="2145">
        <f>N2504</f>
        <v>23110000</v>
      </c>
      <c r="O2503" s="2144">
        <v>15</v>
      </c>
      <c r="P2503" s="2145">
        <f>P2504</f>
        <v>9623000</v>
      </c>
      <c r="Q2503" s="2144">
        <v>3</v>
      </c>
      <c r="R2503" s="2145">
        <f>R2504</f>
        <v>6540500</v>
      </c>
      <c r="S2503" s="2144">
        <v>3</v>
      </c>
      <c r="T2503" s="2145">
        <f>T2504</f>
        <v>2540500</v>
      </c>
      <c r="U2503" s="2147"/>
      <c r="V2503" s="2146">
        <f>V2504</f>
        <v>0</v>
      </c>
      <c r="W2503" s="2144"/>
      <c r="X2503" s="2146">
        <f>X2504</f>
        <v>0</v>
      </c>
      <c r="Y2503" s="2147">
        <f t="shared" si="678"/>
        <v>6</v>
      </c>
      <c r="Z2503" s="2145">
        <f t="shared" si="678"/>
        <v>9081000</v>
      </c>
      <c r="AA2503" s="2147">
        <f t="shared" si="679"/>
        <v>53</v>
      </c>
      <c r="AB2503" s="2145">
        <f t="shared" si="679"/>
        <v>32191000</v>
      </c>
      <c r="AC2503" s="2147">
        <f t="shared" si="680"/>
        <v>53</v>
      </c>
      <c r="AD2503" s="2147">
        <f t="shared" si="680"/>
        <v>55.501724137931028</v>
      </c>
      <c r="AE2503" s="2204" t="s">
        <v>3863</v>
      </c>
      <c r="AF2503" s="2270"/>
      <c r="AG2503" s="2270"/>
      <c r="AH2503" s="2270"/>
      <c r="AI2503" s="2270"/>
      <c r="AJ2503" s="2270"/>
      <c r="AK2503" s="2270"/>
      <c r="AL2503" s="2270"/>
      <c r="AM2503" s="2270"/>
      <c r="AN2503" s="2270"/>
      <c r="AO2503" s="2270"/>
      <c r="AP2503" s="2270"/>
      <c r="AQ2503" s="2270"/>
      <c r="AR2503" s="2270"/>
      <c r="AS2503" s="2270"/>
      <c r="AT2503" s="2270"/>
      <c r="AU2503" s="2270"/>
      <c r="AV2503" s="2270"/>
      <c r="AW2503" s="2270"/>
      <c r="AX2503" s="2270"/>
      <c r="AY2503" s="2270"/>
      <c r="AZ2503" s="2270"/>
      <c r="BA2503" s="2270"/>
      <c r="BB2503" s="2270"/>
      <c r="BC2503" s="2270"/>
      <c r="BD2503" s="2270"/>
      <c r="BE2503" s="2270"/>
      <c r="BF2503" s="2270"/>
      <c r="BG2503" s="2270"/>
      <c r="BH2503" s="2270"/>
      <c r="BI2503" s="2270"/>
      <c r="BJ2503" s="2270"/>
      <c r="BK2503" s="2270"/>
      <c r="BL2503" s="2270"/>
      <c r="BM2503" s="2270"/>
      <c r="BN2503" s="2270"/>
      <c r="BO2503" s="2270"/>
      <c r="BP2503" s="2270"/>
      <c r="BQ2503" s="2270"/>
      <c r="BR2503" s="2270"/>
      <c r="BS2503" s="2270"/>
    </row>
    <row r="2504" spans="1:71" s="2131" customFormat="1" ht="68.25" customHeight="1">
      <c r="A2504" s="2379"/>
      <c r="B2504" s="2162"/>
      <c r="C2504" s="2164">
        <v>5</v>
      </c>
      <c r="D2504" s="2164" t="s">
        <v>34</v>
      </c>
      <c r="E2504" s="2164" t="s">
        <v>25</v>
      </c>
      <c r="F2504" s="2164" t="s">
        <v>45</v>
      </c>
      <c r="G2504" s="2164" t="s">
        <v>47</v>
      </c>
      <c r="H2504" s="2151" t="s">
        <v>62</v>
      </c>
      <c r="I2504" s="2162" t="s">
        <v>3881</v>
      </c>
      <c r="J2504" s="2162" t="s">
        <v>3882</v>
      </c>
      <c r="K2504" s="2166">
        <v>96</v>
      </c>
      <c r="L2504" s="2167">
        <v>58000000</v>
      </c>
      <c r="M2504" s="2166">
        <v>48</v>
      </c>
      <c r="N2504" s="2167">
        <v>23110000</v>
      </c>
      <c r="O2504" s="2166">
        <v>16</v>
      </c>
      <c r="P2504" s="2167">
        <v>9623000</v>
      </c>
      <c r="Q2504" s="2166">
        <v>2</v>
      </c>
      <c r="R2504" s="2167">
        <v>6540500</v>
      </c>
      <c r="S2504" s="2166">
        <v>14</v>
      </c>
      <c r="T2504" s="2167">
        <v>2540500</v>
      </c>
      <c r="U2504" s="2166"/>
      <c r="V2504" s="2202"/>
      <c r="W2504" s="2166"/>
      <c r="X2504" s="2167"/>
      <c r="Y2504" s="2166">
        <f t="shared" si="678"/>
        <v>16</v>
      </c>
      <c r="Z2504" s="2203">
        <f t="shared" si="678"/>
        <v>9081000</v>
      </c>
      <c r="AA2504" s="2166">
        <f t="shared" si="679"/>
        <v>64</v>
      </c>
      <c r="AB2504" s="2203">
        <f t="shared" si="679"/>
        <v>32191000</v>
      </c>
      <c r="AC2504" s="2170">
        <f t="shared" si="680"/>
        <v>66.666666666666657</v>
      </c>
      <c r="AD2504" s="2170">
        <f t="shared" si="680"/>
        <v>55.501724137931028</v>
      </c>
      <c r="AE2504" s="2409"/>
      <c r="AF2504" s="2161"/>
      <c r="AG2504" s="2161"/>
      <c r="AH2504" s="2161"/>
      <c r="AI2504" s="2161"/>
      <c r="AJ2504" s="2161"/>
      <c r="AK2504" s="2161"/>
      <c r="AL2504" s="2161"/>
      <c r="AM2504" s="2161"/>
      <c r="AN2504" s="2161"/>
      <c r="AO2504" s="2161"/>
      <c r="AP2504" s="2161"/>
      <c r="AQ2504" s="2161"/>
      <c r="AR2504" s="2161"/>
      <c r="AS2504" s="2161"/>
      <c r="AT2504" s="2161"/>
      <c r="AU2504" s="2161"/>
      <c r="AV2504" s="2161"/>
      <c r="AW2504" s="2161"/>
      <c r="AX2504" s="2161"/>
      <c r="AY2504" s="2161"/>
      <c r="AZ2504" s="2161"/>
      <c r="BA2504" s="2161"/>
      <c r="BB2504" s="2161"/>
      <c r="BC2504" s="2161"/>
      <c r="BD2504" s="2161"/>
      <c r="BE2504" s="2161"/>
      <c r="BF2504" s="2161"/>
      <c r="BG2504" s="2161"/>
      <c r="BH2504" s="2161"/>
      <c r="BI2504" s="2161"/>
      <c r="BJ2504" s="2161"/>
      <c r="BK2504" s="2161"/>
      <c r="BL2504" s="2161"/>
      <c r="BM2504" s="2161"/>
      <c r="BN2504" s="2161"/>
      <c r="BO2504" s="2161"/>
      <c r="BP2504" s="2161"/>
      <c r="BQ2504" s="2161"/>
      <c r="BR2504" s="2161"/>
      <c r="BS2504" s="2161"/>
    </row>
    <row r="2505" spans="1:71" s="2131" customFormat="1" ht="25.5">
      <c r="A2505" s="2196" t="s">
        <v>3589</v>
      </c>
      <c r="B2505" s="2194"/>
      <c r="C2505" s="2204">
        <v>5</v>
      </c>
      <c r="D2505" s="2205" t="s">
        <v>34</v>
      </c>
      <c r="E2505" s="2205" t="s">
        <v>25</v>
      </c>
      <c r="F2505" s="2204">
        <v>47</v>
      </c>
      <c r="G2505" s="2204"/>
      <c r="H2505" s="2205"/>
      <c r="I2505" s="2194" t="s">
        <v>237</v>
      </c>
      <c r="J2505" s="2194" t="s">
        <v>3407</v>
      </c>
      <c r="K2505" s="2207">
        <v>3350</v>
      </c>
      <c r="L2505" s="2208">
        <f>SUM(L2506:L2508)</f>
        <v>109442180</v>
      </c>
      <c r="M2505" s="2209">
        <v>3065</v>
      </c>
      <c r="N2505" s="2208">
        <f>SUM(N2506:N2508)</f>
        <v>10156000</v>
      </c>
      <c r="O2505" s="2207">
        <f>3230-M2505</f>
        <v>165</v>
      </c>
      <c r="P2505" s="2208">
        <f>SUM(P2506:P2508)</f>
        <v>16911500</v>
      </c>
      <c r="Q2505" s="2210">
        <v>3</v>
      </c>
      <c r="R2505" s="2208">
        <f>SUM(R2506:R2508)</f>
        <v>0</v>
      </c>
      <c r="S2505" s="2210">
        <v>3</v>
      </c>
      <c r="T2505" s="2208">
        <f>SUM(T2506:T2508)</f>
        <v>0</v>
      </c>
      <c r="U2505" s="2210"/>
      <c r="V2505" s="2212">
        <f>SUM(V2506:V2508)</f>
        <v>0</v>
      </c>
      <c r="W2505" s="2210"/>
      <c r="X2505" s="2212">
        <f>SUM(X2506:X2508)</f>
        <v>0</v>
      </c>
      <c r="Y2505" s="2210">
        <f t="shared" si="678"/>
        <v>6</v>
      </c>
      <c r="Z2505" s="2313">
        <f t="shared" si="678"/>
        <v>0</v>
      </c>
      <c r="AA2505" s="2210">
        <f t="shared" si="679"/>
        <v>3071</v>
      </c>
      <c r="AB2505" s="2213">
        <f t="shared" si="679"/>
        <v>10156000</v>
      </c>
      <c r="AC2505" s="2214">
        <f t="shared" si="680"/>
        <v>91.671641791044777</v>
      </c>
      <c r="AD2505" s="2214">
        <f t="shared" si="680"/>
        <v>9.2797859106973206</v>
      </c>
      <c r="AE2505" s="2196" t="s">
        <v>3550</v>
      </c>
    </row>
    <row r="2506" spans="1:71" s="2131" customFormat="1" ht="38.25">
      <c r="A2506" s="2215">
        <v>1</v>
      </c>
      <c r="B2506" s="2218"/>
      <c r="C2506" s="2216">
        <v>5</v>
      </c>
      <c r="D2506" s="2217">
        <v>2</v>
      </c>
      <c r="E2506" s="2217">
        <v>2</v>
      </c>
      <c r="F2506" s="2217">
        <v>47</v>
      </c>
      <c r="G2506" s="2217"/>
      <c r="H2506" s="2217" t="s">
        <v>43</v>
      </c>
      <c r="I2506" s="2198" t="s">
        <v>1942</v>
      </c>
      <c r="J2506" s="2198" t="s">
        <v>3861</v>
      </c>
      <c r="K2506" s="2201">
        <v>36</v>
      </c>
      <c r="L2506" s="2357">
        <f>3*P2506</f>
        <v>50734500</v>
      </c>
      <c r="M2506" s="2201">
        <v>0</v>
      </c>
      <c r="N2506" s="2357">
        <v>0</v>
      </c>
      <c r="O2506" s="2199">
        <v>12</v>
      </c>
      <c r="P2506" s="2200">
        <v>16911500</v>
      </c>
      <c r="Q2506" s="2219">
        <v>3</v>
      </c>
      <c r="R2506" s="2200">
        <v>0</v>
      </c>
      <c r="S2506" s="2219">
        <v>3</v>
      </c>
      <c r="T2506" s="2200">
        <v>0</v>
      </c>
      <c r="U2506" s="2356"/>
      <c r="V2506" s="2357"/>
      <c r="W2506" s="2356"/>
      <c r="X2506" s="2331"/>
      <c r="Y2506" s="2356">
        <f t="shared" si="678"/>
        <v>6</v>
      </c>
      <c r="Z2506" s="2223">
        <f t="shared" si="678"/>
        <v>0</v>
      </c>
      <c r="AA2506" s="2219">
        <f t="shared" si="679"/>
        <v>6</v>
      </c>
      <c r="AB2506" s="2224">
        <f t="shared" si="679"/>
        <v>0</v>
      </c>
      <c r="AC2506" s="2308">
        <f t="shared" si="680"/>
        <v>16.666666666666664</v>
      </c>
      <c r="AD2506" s="2308">
        <f t="shared" si="680"/>
        <v>0</v>
      </c>
      <c r="AE2506" s="2215"/>
    </row>
    <row r="2507" spans="1:71" s="2131" customFormat="1" ht="63.75">
      <c r="A2507" s="2140" t="s">
        <v>3596</v>
      </c>
      <c r="B2507" s="2194"/>
      <c r="C2507" s="2142">
        <v>5</v>
      </c>
      <c r="D2507" s="2142" t="s">
        <v>34</v>
      </c>
      <c r="E2507" s="2142" t="s">
        <v>25</v>
      </c>
      <c r="F2507" s="2142" t="s">
        <v>45</v>
      </c>
      <c r="G2507" s="2142" t="s">
        <v>35</v>
      </c>
      <c r="H2507" s="2140"/>
      <c r="I2507" s="2143" t="s">
        <v>3597</v>
      </c>
      <c r="J2507" s="2143" t="s">
        <v>3883</v>
      </c>
      <c r="K2507" s="2144">
        <v>60</v>
      </c>
      <c r="L2507" s="2145">
        <f>L2508</f>
        <v>29353840</v>
      </c>
      <c r="M2507" s="2144">
        <v>50</v>
      </c>
      <c r="N2507" s="2145">
        <f>N2508</f>
        <v>5078000</v>
      </c>
      <c r="O2507" s="2144">
        <v>0</v>
      </c>
      <c r="P2507" s="2360">
        <f>P2508</f>
        <v>0</v>
      </c>
      <c r="Q2507" s="2144">
        <v>0</v>
      </c>
      <c r="R2507" s="2145">
        <f>R2508</f>
        <v>0</v>
      </c>
      <c r="S2507" s="2144">
        <v>0</v>
      </c>
      <c r="T2507" s="2145">
        <f>T2508</f>
        <v>0</v>
      </c>
      <c r="U2507" s="2195"/>
      <c r="V2507" s="2146">
        <f>V2508</f>
        <v>0</v>
      </c>
      <c r="W2507" s="2144"/>
      <c r="X2507" s="2146">
        <f>X2508</f>
        <v>0</v>
      </c>
      <c r="Y2507" s="2147">
        <f t="shared" si="672"/>
        <v>0</v>
      </c>
      <c r="Z2507" s="2145">
        <f t="shared" si="672"/>
        <v>0</v>
      </c>
      <c r="AA2507" s="2147">
        <f t="shared" si="673"/>
        <v>50</v>
      </c>
      <c r="AB2507" s="2145">
        <f t="shared" si="673"/>
        <v>5078000</v>
      </c>
      <c r="AC2507" s="2147">
        <f t="shared" si="674"/>
        <v>83.333333333333343</v>
      </c>
      <c r="AD2507" s="2147">
        <f t="shared" si="674"/>
        <v>17.299269874060773</v>
      </c>
      <c r="AE2507" s="2204" t="s">
        <v>3863</v>
      </c>
    </row>
    <row r="2508" spans="1:71" s="2131" customFormat="1" ht="33" customHeight="1">
      <c r="A2508" s="2379"/>
      <c r="B2508" s="2162"/>
      <c r="C2508" s="2164">
        <v>5</v>
      </c>
      <c r="D2508" s="2164" t="s">
        <v>34</v>
      </c>
      <c r="E2508" s="2164" t="s">
        <v>25</v>
      </c>
      <c r="F2508" s="2164" t="s">
        <v>45</v>
      </c>
      <c r="G2508" s="2164" t="s">
        <v>35</v>
      </c>
      <c r="H2508" s="2151" t="s">
        <v>49</v>
      </c>
      <c r="I2508" s="2162" t="s">
        <v>3884</v>
      </c>
      <c r="J2508" s="2162" t="s">
        <v>3885</v>
      </c>
      <c r="K2508" s="2166">
        <v>16</v>
      </c>
      <c r="L2508" s="2167">
        <v>29353840</v>
      </c>
      <c r="M2508" s="2166">
        <v>4</v>
      </c>
      <c r="N2508" s="2167">
        <v>5078000</v>
      </c>
      <c r="O2508" s="2166">
        <v>0</v>
      </c>
      <c r="P2508" s="2365">
        <v>0</v>
      </c>
      <c r="Q2508" s="2166">
        <v>0</v>
      </c>
      <c r="R2508" s="2167">
        <v>0</v>
      </c>
      <c r="S2508" s="2166">
        <v>0</v>
      </c>
      <c r="T2508" s="2167">
        <v>0</v>
      </c>
      <c r="U2508" s="2276"/>
      <c r="V2508" s="2202"/>
      <c r="W2508" s="2166"/>
      <c r="X2508" s="2167"/>
      <c r="Y2508" s="2166">
        <f t="shared" si="672"/>
        <v>0</v>
      </c>
      <c r="Z2508" s="2203">
        <f t="shared" si="672"/>
        <v>0</v>
      </c>
      <c r="AA2508" s="2166">
        <f t="shared" si="673"/>
        <v>4</v>
      </c>
      <c r="AB2508" s="2203">
        <f t="shared" si="673"/>
        <v>5078000</v>
      </c>
      <c r="AC2508" s="2170">
        <f t="shared" si="674"/>
        <v>25</v>
      </c>
      <c r="AD2508" s="2170">
        <f t="shared" si="674"/>
        <v>17.299269874060773</v>
      </c>
      <c r="AE2508" s="2409"/>
      <c r="AF2508" s="2161"/>
      <c r="AG2508" s="2161"/>
      <c r="AH2508" s="2161"/>
      <c r="AI2508" s="2161"/>
      <c r="AJ2508" s="2161"/>
      <c r="AK2508" s="2161"/>
      <c r="AL2508" s="2161"/>
      <c r="AM2508" s="2161"/>
      <c r="AN2508" s="2161"/>
      <c r="AO2508" s="2161"/>
      <c r="AP2508" s="2161"/>
      <c r="AQ2508" s="2161"/>
      <c r="AR2508" s="2161"/>
      <c r="AS2508" s="2161"/>
      <c r="AT2508" s="2161"/>
      <c r="AU2508" s="2161"/>
      <c r="AV2508" s="2161"/>
      <c r="AW2508" s="2161"/>
      <c r="AX2508" s="2161"/>
      <c r="AY2508" s="2161"/>
      <c r="AZ2508" s="2161"/>
      <c r="BA2508" s="2161"/>
      <c r="BB2508" s="2161"/>
      <c r="BC2508" s="2161"/>
      <c r="BD2508" s="2161"/>
      <c r="BE2508" s="2161"/>
      <c r="BF2508" s="2161"/>
      <c r="BG2508" s="2161"/>
      <c r="BH2508" s="2161"/>
      <c r="BI2508" s="2161"/>
      <c r="BJ2508" s="2161"/>
      <c r="BK2508" s="2161"/>
      <c r="BL2508" s="2161"/>
      <c r="BM2508" s="2161"/>
      <c r="BN2508" s="2161"/>
      <c r="BO2508" s="2161"/>
      <c r="BP2508" s="2161"/>
      <c r="BQ2508" s="2161"/>
      <c r="BR2508" s="2161"/>
      <c r="BS2508" s="2161"/>
    </row>
    <row r="2509" spans="1:71" s="2131" customFormat="1" ht="51">
      <c r="A2509" s="2140" t="s">
        <v>3612</v>
      </c>
      <c r="B2509" s="2194"/>
      <c r="C2509" s="2142">
        <v>5</v>
      </c>
      <c r="D2509" s="2142" t="s">
        <v>34</v>
      </c>
      <c r="E2509" s="2142" t="s">
        <v>25</v>
      </c>
      <c r="F2509" s="2142" t="s">
        <v>45</v>
      </c>
      <c r="G2509" s="2142" t="s">
        <v>35</v>
      </c>
      <c r="H2509" s="2140"/>
      <c r="I2509" s="2143" t="s">
        <v>3886</v>
      </c>
      <c r="J2509" s="2143" t="s">
        <v>3887</v>
      </c>
      <c r="K2509" s="2144">
        <v>80</v>
      </c>
      <c r="L2509" s="2145">
        <f>L2510</f>
        <v>60000000</v>
      </c>
      <c r="M2509" s="2144">
        <v>62</v>
      </c>
      <c r="N2509" s="2145">
        <f>N2510</f>
        <v>40905000</v>
      </c>
      <c r="O2509" s="2144">
        <v>0</v>
      </c>
      <c r="P2509" s="2145">
        <f>P2510</f>
        <v>0</v>
      </c>
      <c r="Q2509" s="2144">
        <v>0</v>
      </c>
      <c r="R2509" s="2145">
        <f>R2510</f>
        <v>0</v>
      </c>
      <c r="S2509" s="2144">
        <v>0</v>
      </c>
      <c r="T2509" s="2145">
        <f>T2510</f>
        <v>0</v>
      </c>
      <c r="U2509" s="2195"/>
      <c r="V2509" s="2146">
        <f>V2510</f>
        <v>0</v>
      </c>
      <c r="W2509" s="2144"/>
      <c r="X2509" s="2146">
        <f>X2510</f>
        <v>0</v>
      </c>
      <c r="Y2509" s="2147">
        <f t="shared" si="672"/>
        <v>0</v>
      </c>
      <c r="Z2509" s="2145">
        <f t="shared" si="672"/>
        <v>0</v>
      </c>
      <c r="AA2509" s="2147">
        <f t="shared" si="673"/>
        <v>62</v>
      </c>
      <c r="AB2509" s="2145">
        <f t="shared" si="673"/>
        <v>40905000</v>
      </c>
      <c r="AC2509" s="2147">
        <f t="shared" si="674"/>
        <v>77.5</v>
      </c>
      <c r="AD2509" s="2147">
        <f t="shared" si="674"/>
        <v>68.174999999999997</v>
      </c>
      <c r="AE2509" s="2204" t="s">
        <v>3863</v>
      </c>
      <c r="AF2509" s="2270"/>
      <c r="AG2509" s="2270"/>
      <c r="AH2509" s="2270"/>
      <c r="AI2509" s="2270"/>
      <c r="AJ2509" s="2270"/>
      <c r="AK2509" s="2270"/>
      <c r="AL2509" s="2270"/>
      <c r="AM2509" s="2270"/>
      <c r="AN2509" s="2270"/>
      <c r="AO2509" s="2270"/>
      <c r="AP2509" s="2270"/>
      <c r="AQ2509" s="2270"/>
      <c r="AR2509" s="2270"/>
      <c r="AS2509" s="2270"/>
      <c r="AT2509" s="2270"/>
      <c r="AU2509" s="2270"/>
      <c r="AV2509" s="2270"/>
      <c r="AW2509" s="2270"/>
      <c r="AX2509" s="2270"/>
      <c r="AY2509" s="2270"/>
      <c r="AZ2509" s="2270"/>
      <c r="BA2509" s="2270"/>
      <c r="BB2509" s="2270"/>
      <c r="BC2509" s="2270"/>
      <c r="BD2509" s="2270"/>
      <c r="BE2509" s="2270"/>
      <c r="BF2509" s="2270"/>
      <c r="BG2509" s="2270"/>
      <c r="BH2509" s="2270"/>
      <c r="BI2509" s="2270"/>
      <c r="BJ2509" s="2270"/>
      <c r="BK2509" s="2270"/>
      <c r="BL2509" s="2270"/>
      <c r="BM2509" s="2270"/>
      <c r="BN2509" s="2270"/>
      <c r="BO2509" s="2270"/>
      <c r="BP2509" s="2270"/>
      <c r="BQ2509" s="2270"/>
      <c r="BR2509" s="2270"/>
      <c r="BS2509" s="2270"/>
    </row>
    <row r="2510" spans="1:71" s="2131" customFormat="1" ht="25.5">
      <c r="A2510" s="2379"/>
      <c r="B2510" s="2162"/>
      <c r="C2510" s="2164">
        <v>5</v>
      </c>
      <c r="D2510" s="2164" t="s">
        <v>34</v>
      </c>
      <c r="E2510" s="2164" t="s">
        <v>25</v>
      </c>
      <c r="F2510" s="2164" t="s">
        <v>45</v>
      </c>
      <c r="G2510" s="2164" t="s">
        <v>35</v>
      </c>
      <c r="H2510" s="2151" t="s">
        <v>25</v>
      </c>
      <c r="I2510" s="2162" t="s">
        <v>3888</v>
      </c>
      <c r="J2510" s="2162" t="s">
        <v>3889</v>
      </c>
      <c r="K2510" s="2166">
        <v>4</v>
      </c>
      <c r="L2510" s="2167">
        <v>60000000</v>
      </c>
      <c r="M2510" s="2166">
        <v>3</v>
      </c>
      <c r="N2510" s="2167">
        <v>40905000</v>
      </c>
      <c r="O2510" s="2166">
        <v>0</v>
      </c>
      <c r="P2510" s="2167">
        <v>0</v>
      </c>
      <c r="Q2510" s="2166">
        <v>0</v>
      </c>
      <c r="R2510" s="2167">
        <v>0</v>
      </c>
      <c r="S2510" s="2166">
        <v>0</v>
      </c>
      <c r="T2510" s="2167">
        <v>0</v>
      </c>
      <c r="U2510" s="2166"/>
      <c r="V2510" s="2202"/>
      <c r="W2510" s="2166"/>
      <c r="X2510" s="2167"/>
      <c r="Y2510" s="2166">
        <f t="shared" si="672"/>
        <v>0</v>
      </c>
      <c r="Z2510" s="2203">
        <f t="shared" si="672"/>
        <v>0</v>
      </c>
      <c r="AA2510" s="2166">
        <f t="shared" si="673"/>
        <v>3</v>
      </c>
      <c r="AB2510" s="2203">
        <f t="shared" si="673"/>
        <v>40905000</v>
      </c>
      <c r="AC2510" s="2170">
        <f t="shared" si="674"/>
        <v>75</v>
      </c>
      <c r="AD2510" s="2170">
        <f t="shared" si="674"/>
        <v>68.174999999999997</v>
      </c>
      <c r="AE2510" s="2409"/>
      <c r="AF2510" s="2161"/>
      <c r="AG2510" s="2161"/>
      <c r="AH2510" s="2161"/>
      <c r="AI2510" s="2161"/>
      <c r="AJ2510" s="2161"/>
      <c r="AK2510" s="2161"/>
      <c r="AL2510" s="2161"/>
      <c r="AM2510" s="2161"/>
      <c r="AN2510" s="2161"/>
      <c r="AO2510" s="2161"/>
      <c r="AP2510" s="2161"/>
      <c r="AQ2510" s="2161"/>
      <c r="AR2510" s="2161"/>
      <c r="AS2510" s="2161"/>
      <c r="AT2510" s="2161"/>
      <c r="AU2510" s="2161"/>
      <c r="AV2510" s="2161"/>
      <c r="AW2510" s="2161"/>
      <c r="AX2510" s="2161"/>
      <c r="AY2510" s="2161"/>
      <c r="AZ2510" s="2161"/>
      <c r="BA2510" s="2161"/>
      <c r="BB2510" s="2161"/>
      <c r="BC2510" s="2161"/>
      <c r="BD2510" s="2161"/>
      <c r="BE2510" s="2161"/>
      <c r="BF2510" s="2161"/>
      <c r="BG2510" s="2161"/>
      <c r="BH2510" s="2161"/>
      <c r="BI2510" s="2161"/>
      <c r="BJ2510" s="2161"/>
      <c r="BK2510" s="2161"/>
      <c r="BL2510" s="2161"/>
      <c r="BM2510" s="2161"/>
      <c r="BN2510" s="2161"/>
      <c r="BO2510" s="2161"/>
      <c r="BP2510" s="2161"/>
      <c r="BQ2510" s="2161"/>
      <c r="BR2510" s="2161"/>
      <c r="BS2510" s="2161"/>
    </row>
    <row r="2511" spans="1:71" s="2131" customFormat="1" ht="63.75">
      <c r="A2511" s="2140" t="s">
        <v>3618</v>
      </c>
      <c r="B2511" s="2194"/>
      <c r="C2511" s="2142">
        <v>5</v>
      </c>
      <c r="D2511" s="2142" t="s">
        <v>34</v>
      </c>
      <c r="E2511" s="2142" t="s">
        <v>25</v>
      </c>
      <c r="F2511" s="2142" t="s">
        <v>45</v>
      </c>
      <c r="G2511" s="2142" t="s">
        <v>3667</v>
      </c>
      <c r="H2511" s="2140"/>
      <c r="I2511" s="2143" t="s">
        <v>3668</v>
      </c>
      <c r="J2511" s="2143" t="s">
        <v>3669</v>
      </c>
      <c r="K2511" s="2144">
        <v>100</v>
      </c>
      <c r="L2511" s="2145">
        <f>SUM(L2512:L2517)</f>
        <v>570243500</v>
      </c>
      <c r="M2511" s="2144">
        <v>52</v>
      </c>
      <c r="N2511" s="2145">
        <f>SUM(N2512:N2517)</f>
        <v>292853500</v>
      </c>
      <c r="O2511" s="2144">
        <v>0</v>
      </c>
      <c r="P2511" s="2145">
        <f>SUM(P2512:P2517)</f>
        <v>0</v>
      </c>
      <c r="Q2511" s="2144">
        <v>0</v>
      </c>
      <c r="R2511" s="2145">
        <f>SUM(R2512:R2517)</f>
        <v>0</v>
      </c>
      <c r="S2511" s="2144">
        <v>0</v>
      </c>
      <c r="T2511" s="2145">
        <f>SUM(T2512:T2517)</f>
        <v>0</v>
      </c>
      <c r="U2511" s="2147"/>
      <c r="V2511" s="2145">
        <f>SUM(V2512:V2517)</f>
        <v>0</v>
      </c>
      <c r="W2511" s="2144"/>
      <c r="X2511" s="2145">
        <f>SUM(X2512:X2517)</f>
        <v>0</v>
      </c>
      <c r="Y2511" s="2195">
        <f t="shared" si="672"/>
        <v>0</v>
      </c>
      <c r="Z2511" s="2145">
        <f t="shared" si="672"/>
        <v>0</v>
      </c>
      <c r="AA2511" s="2147">
        <f t="shared" si="673"/>
        <v>52</v>
      </c>
      <c r="AB2511" s="2145">
        <f t="shared" si="673"/>
        <v>292853500</v>
      </c>
      <c r="AC2511" s="2147">
        <f t="shared" si="674"/>
        <v>52</v>
      </c>
      <c r="AD2511" s="2147">
        <f t="shared" si="674"/>
        <v>51.355868151061777</v>
      </c>
      <c r="AE2511" s="2204" t="s">
        <v>3863</v>
      </c>
      <c r="AF2511" s="2149"/>
      <c r="AG2511" s="2149"/>
      <c r="AH2511" s="2149"/>
      <c r="AI2511" s="2149"/>
      <c r="AJ2511" s="2149"/>
      <c r="AK2511" s="2149"/>
      <c r="AL2511" s="2149"/>
      <c r="AM2511" s="2149"/>
      <c r="AN2511" s="2149"/>
      <c r="AO2511" s="2149"/>
      <c r="AP2511" s="2149"/>
      <c r="AQ2511" s="2149"/>
      <c r="AR2511" s="2149"/>
      <c r="AS2511" s="2149"/>
      <c r="AT2511" s="2149"/>
      <c r="AU2511" s="2149"/>
      <c r="AV2511" s="2149"/>
      <c r="AW2511" s="2149"/>
      <c r="AX2511" s="2149"/>
      <c r="AY2511" s="2149"/>
      <c r="AZ2511" s="2149"/>
      <c r="BA2511" s="2149"/>
      <c r="BB2511" s="2149"/>
      <c r="BC2511" s="2149"/>
      <c r="BD2511" s="2149"/>
      <c r="BE2511" s="2149"/>
      <c r="BF2511" s="2149"/>
      <c r="BG2511" s="2149"/>
      <c r="BH2511" s="2149"/>
      <c r="BI2511" s="2149"/>
      <c r="BJ2511" s="2149"/>
      <c r="BK2511" s="2149"/>
      <c r="BL2511" s="2149"/>
      <c r="BM2511" s="2149"/>
      <c r="BN2511" s="2149"/>
      <c r="BO2511" s="2149"/>
      <c r="BP2511" s="2149"/>
      <c r="BQ2511" s="2149"/>
      <c r="BR2511" s="2149"/>
      <c r="BS2511" s="2149"/>
    </row>
    <row r="2512" spans="1:71" s="2131" customFormat="1" ht="38.25">
      <c r="A2512" s="2267"/>
      <c r="B2512" s="2253"/>
      <c r="C2512" s="2164">
        <v>5</v>
      </c>
      <c r="D2512" s="2164" t="s">
        <v>34</v>
      </c>
      <c r="E2512" s="2164" t="s">
        <v>25</v>
      </c>
      <c r="F2512" s="2164" t="s">
        <v>45</v>
      </c>
      <c r="G2512" s="2164" t="s">
        <v>3667</v>
      </c>
      <c r="H2512" s="2254" t="s">
        <v>25</v>
      </c>
      <c r="I2512" s="2171" t="s">
        <v>3551</v>
      </c>
      <c r="J2512" s="2171" t="s">
        <v>3890</v>
      </c>
      <c r="K2512" s="2255">
        <v>48</v>
      </c>
      <c r="L2512" s="2203">
        <v>243000000</v>
      </c>
      <c r="M2512" s="2256">
        <v>48</v>
      </c>
      <c r="N2512" s="2257">
        <v>118252500</v>
      </c>
      <c r="O2512" s="2203">
        <v>0</v>
      </c>
      <c r="P2512" s="2203">
        <v>0</v>
      </c>
      <c r="Q2512" s="2257">
        <v>0</v>
      </c>
      <c r="R2512" s="2203">
        <v>0</v>
      </c>
      <c r="S2512" s="2257">
        <v>0</v>
      </c>
      <c r="T2512" s="2203">
        <v>0</v>
      </c>
      <c r="U2512" s="2255"/>
      <c r="V2512" s="2258"/>
      <c r="W2512" s="2255"/>
      <c r="X2512" s="2203"/>
      <c r="Y2512" s="2240">
        <f t="shared" si="672"/>
        <v>0</v>
      </c>
      <c r="Z2512" s="2203">
        <f t="shared" si="672"/>
        <v>0</v>
      </c>
      <c r="AA2512" s="2240">
        <f t="shared" si="673"/>
        <v>48</v>
      </c>
      <c r="AB2512" s="2203">
        <f t="shared" si="673"/>
        <v>118252500</v>
      </c>
      <c r="AC2512" s="2243">
        <f t="shared" si="674"/>
        <v>100</v>
      </c>
      <c r="AD2512" s="2243">
        <f t="shared" si="674"/>
        <v>48.663580246913583</v>
      </c>
      <c r="AE2512" s="2605"/>
      <c r="AF2512" s="2161"/>
      <c r="AG2512" s="2161"/>
      <c r="AH2512" s="2161"/>
      <c r="AI2512" s="2161"/>
      <c r="AJ2512" s="2161"/>
      <c r="AK2512" s="2161"/>
      <c r="AL2512" s="2161"/>
      <c r="AM2512" s="2161"/>
      <c r="AN2512" s="2161"/>
      <c r="AO2512" s="2161"/>
      <c r="AP2512" s="2161"/>
      <c r="AQ2512" s="2161"/>
      <c r="AR2512" s="2161"/>
      <c r="AS2512" s="2161"/>
      <c r="AT2512" s="2161"/>
      <c r="AU2512" s="2161"/>
      <c r="AV2512" s="2161"/>
      <c r="AW2512" s="2161"/>
      <c r="AX2512" s="2161"/>
      <c r="AY2512" s="2161"/>
      <c r="AZ2512" s="2161"/>
      <c r="BA2512" s="2161"/>
      <c r="BB2512" s="2161"/>
      <c r="BC2512" s="2161"/>
      <c r="BD2512" s="2161"/>
      <c r="BE2512" s="2161"/>
      <c r="BF2512" s="2161"/>
      <c r="BG2512" s="2161"/>
      <c r="BH2512" s="2161"/>
      <c r="BI2512" s="2161"/>
      <c r="BJ2512" s="2161"/>
      <c r="BK2512" s="2161"/>
      <c r="BL2512" s="2161"/>
      <c r="BM2512" s="2161"/>
      <c r="BN2512" s="2161"/>
      <c r="BO2512" s="2161"/>
      <c r="BP2512" s="2161"/>
      <c r="BQ2512" s="2161"/>
      <c r="BR2512" s="2161"/>
      <c r="BS2512" s="2161"/>
    </row>
    <row r="2513" spans="1:71" s="2131" customFormat="1" ht="38.25">
      <c r="A2513" s="2267"/>
      <c r="B2513" s="2253"/>
      <c r="C2513" s="2164">
        <v>5</v>
      </c>
      <c r="D2513" s="2164" t="s">
        <v>34</v>
      </c>
      <c r="E2513" s="2164" t="s">
        <v>25</v>
      </c>
      <c r="F2513" s="2164" t="s">
        <v>45</v>
      </c>
      <c r="G2513" s="2164" t="s">
        <v>3667</v>
      </c>
      <c r="H2513" s="2254" t="s">
        <v>28</v>
      </c>
      <c r="I2513" s="2171" t="s">
        <v>3671</v>
      </c>
      <c r="J2513" s="2171" t="s">
        <v>3672</v>
      </c>
      <c r="K2513" s="2255">
        <v>6</v>
      </c>
      <c r="L2513" s="2268">
        <v>108444000</v>
      </c>
      <c r="M2513" s="2256">
        <v>3</v>
      </c>
      <c r="N2513" s="2257">
        <v>42745500</v>
      </c>
      <c r="O2513" s="2203">
        <v>0</v>
      </c>
      <c r="P2513" s="2203">
        <v>0</v>
      </c>
      <c r="Q2513" s="2257">
        <v>0</v>
      </c>
      <c r="R2513" s="2203">
        <v>0</v>
      </c>
      <c r="S2513" s="2257">
        <v>0</v>
      </c>
      <c r="T2513" s="2203">
        <v>0</v>
      </c>
      <c r="U2513" s="2255"/>
      <c r="V2513" s="2203"/>
      <c r="W2513" s="2255"/>
      <c r="X2513" s="2203"/>
      <c r="Y2513" s="2240">
        <f t="shared" si="672"/>
        <v>0</v>
      </c>
      <c r="Z2513" s="2203">
        <f t="shared" si="672"/>
        <v>0</v>
      </c>
      <c r="AA2513" s="2240">
        <f t="shared" si="673"/>
        <v>3</v>
      </c>
      <c r="AB2513" s="2203">
        <f t="shared" si="673"/>
        <v>42745500</v>
      </c>
      <c r="AC2513" s="2243">
        <f t="shared" si="674"/>
        <v>50</v>
      </c>
      <c r="AD2513" s="2243">
        <f t="shared" si="674"/>
        <v>39.417118512780789</v>
      </c>
      <c r="AE2513" s="2605"/>
      <c r="AF2513" s="2161"/>
      <c r="AG2513" s="2161"/>
      <c r="AH2513" s="2161"/>
      <c r="AI2513" s="2161"/>
      <c r="AJ2513" s="2161"/>
      <c r="AK2513" s="2161"/>
      <c r="AL2513" s="2161"/>
      <c r="AM2513" s="2161"/>
      <c r="AN2513" s="2161"/>
      <c r="AO2513" s="2161"/>
      <c r="AP2513" s="2161"/>
      <c r="AQ2513" s="2161"/>
      <c r="AR2513" s="2161"/>
      <c r="AS2513" s="2161"/>
      <c r="AT2513" s="2161"/>
      <c r="AU2513" s="2161"/>
      <c r="AV2513" s="2161"/>
      <c r="AW2513" s="2161"/>
      <c r="AX2513" s="2161"/>
      <c r="AY2513" s="2161"/>
      <c r="AZ2513" s="2161"/>
      <c r="BA2513" s="2161"/>
      <c r="BB2513" s="2161"/>
      <c r="BC2513" s="2161"/>
      <c r="BD2513" s="2161"/>
      <c r="BE2513" s="2161"/>
      <c r="BF2513" s="2161"/>
      <c r="BG2513" s="2161"/>
      <c r="BH2513" s="2161"/>
      <c r="BI2513" s="2161"/>
      <c r="BJ2513" s="2161"/>
      <c r="BK2513" s="2161"/>
      <c r="BL2513" s="2161"/>
      <c r="BM2513" s="2161"/>
      <c r="BN2513" s="2161"/>
      <c r="BO2513" s="2161"/>
      <c r="BP2513" s="2161"/>
      <c r="BQ2513" s="2161"/>
      <c r="BR2513" s="2161"/>
      <c r="BS2513" s="2161"/>
    </row>
    <row r="2514" spans="1:71" s="2131" customFormat="1" ht="63.75">
      <c r="A2514" s="2267"/>
      <c r="B2514" s="2253"/>
      <c r="C2514" s="2164">
        <v>5</v>
      </c>
      <c r="D2514" s="2164" t="s">
        <v>34</v>
      </c>
      <c r="E2514" s="2164" t="s">
        <v>25</v>
      </c>
      <c r="F2514" s="2164" t="s">
        <v>45</v>
      </c>
      <c r="G2514" s="2164" t="s">
        <v>3667</v>
      </c>
      <c r="H2514" s="2254" t="s">
        <v>39</v>
      </c>
      <c r="I2514" s="2171" t="s">
        <v>3673</v>
      </c>
      <c r="J2514" s="2171" t="s">
        <v>3674</v>
      </c>
      <c r="K2514" s="2255">
        <v>6</v>
      </c>
      <c r="L2514" s="2203">
        <v>107149500</v>
      </c>
      <c r="M2514" s="2256">
        <v>3</v>
      </c>
      <c r="N2514" s="2257">
        <v>53915500</v>
      </c>
      <c r="O2514" s="2203">
        <v>0</v>
      </c>
      <c r="P2514" s="2203">
        <v>0</v>
      </c>
      <c r="Q2514" s="2257">
        <v>0</v>
      </c>
      <c r="R2514" s="2203">
        <v>0</v>
      </c>
      <c r="S2514" s="2257">
        <v>0</v>
      </c>
      <c r="T2514" s="2203">
        <v>0</v>
      </c>
      <c r="U2514" s="2255"/>
      <c r="V2514" s="2258"/>
      <c r="W2514" s="2255"/>
      <c r="X2514" s="2203"/>
      <c r="Y2514" s="2240">
        <f t="shared" si="672"/>
        <v>0</v>
      </c>
      <c r="Z2514" s="2203">
        <f t="shared" si="672"/>
        <v>0</v>
      </c>
      <c r="AA2514" s="2240">
        <f t="shared" si="673"/>
        <v>3</v>
      </c>
      <c r="AB2514" s="2203">
        <f t="shared" si="673"/>
        <v>53915500</v>
      </c>
      <c r="AC2514" s="2243">
        <f t="shared" si="674"/>
        <v>50</v>
      </c>
      <c r="AD2514" s="2243">
        <f t="shared" si="674"/>
        <v>50.318013616489111</v>
      </c>
      <c r="AE2514" s="2605"/>
      <c r="AF2514" s="2161"/>
      <c r="AG2514" s="2161"/>
      <c r="AH2514" s="2161"/>
      <c r="AI2514" s="2161"/>
      <c r="AJ2514" s="2161"/>
      <c r="AK2514" s="2161"/>
      <c r="AL2514" s="2161"/>
      <c r="AM2514" s="2161"/>
      <c r="AN2514" s="2161"/>
      <c r="AO2514" s="2161"/>
      <c r="AP2514" s="2161"/>
      <c r="AQ2514" s="2161"/>
      <c r="AR2514" s="2161"/>
      <c r="AS2514" s="2161"/>
      <c r="AT2514" s="2161"/>
      <c r="AU2514" s="2161"/>
      <c r="AV2514" s="2161"/>
      <c r="AW2514" s="2161"/>
      <c r="AX2514" s="2161"/>
      <c r="AY2514" s="2161"/>
      <c r="AZ2514" s="2161"/>
      <c r="BA2514" s="2161"/>
      <c r="BB2514" s="2161"/>
      <c r="BC2514" s="2161"/>
      <c r="BD2514" s="2161"/>
      <c r="BE2514" s="2161"/>
      <c r="BF2514" s="2161"/>
      <c r="BG2514" s="2161"/>
      <c r="BH2514" s="2161"/>
      <c r="BI2514" s="2161"/>
      <c r="BJ2514" s="2161"/>
      <c r="BK2514" s="2161"/>
      <c r="BL2514" s="2161"/>
      <c r="BM2514" s="2161"/>
      <c r="BN2514" s="2161"/>
      <c r="BO2514" s="2161"/>
      <c r="BP2514" s="2161"/>
      <c r="BQ2514" s="2161"/>
      <c r="BR2514" s="2161"/>
      <c r="BS2514" s="2161"/>
    </row>
    <row r="2515" spans="1:71" s="2131" customFormat="1" ht="51">
      <c r="A2515" s="2267"/>
      <c r="B2515" s="2253"/>
      <c r="C2515" s="2164">
        <v>5</v>
      </c>
      <c r="D2515" s="2164" t="s">
        <v>34</v>
      </c>
      <c r="E2515" s="2164" t="s">
        <v>25</v>
      </c>
      <c r="F2515" s="2164" t="s">
        <v>45</v>
      </c>
      <c r="G2515" s="2164" t="s">
        <v>3667</v>
      </c>
      <c r="H2515" s="2254" t="s">
        <v>38</v>
      </c>
      <c r="I2515" s="2171" t="s">
        <v>3676</v>
      </c>
      <c r="J2515" s="2171" t="s">
        <v>3677</v>
      </c>
      <c r="K2515" s="2255">
        <v>36</v>
      </c>
      <c r="L2515" s="2203">
        <v>9650000</v>
      </c>
      <c r="M2515" s="2256">
        <v>36</v>
      </c>
      <c r="N2515" s="2257">
        <v>43167500</v>
      </c>
      <c r="O2515" s="2203">
        <v>0</v>
      </c>
      <c r="P2515" s="2203">
        <v>0</v>
      </c>
      <c r="Q2515" s="2257">
        <v>0</v>
      </c>
      <c r="R2515" s="2203">
        <v>0</v>
      </c>
      <c r="S2515" s="2257">
        <v>0</v>
      </c>
      <c r="T2515" s="2203">
        <v>0</v>
      </c>
      <c r="U2515" s="2255"/>
      <c r="V2515" s="2258"/>
      <c r="W2515" s="2255"/>
      <c r="X2515" s="2203"/>
      <c r="Y2515" s="2240">
        <f t="shared" si="672"/>
        <v>0</v>
      </c>
      <c r="Z2515" s="2203">
        <f t="shared" si="672"/>
        <v>0</v>
      </c>
      <c r="AA2515" s="2240">
        <f t="shared" si="673"/>
        <v>36</v>
      </c>
      <c r="AB2515" s="2203">
        <f t="shared" si="673"/>
        <v>43167500</v>
      </c>
      <c r="AC2515" s="2243">
        <f t="shared" si="674"/>
        <v>100</v>
      </c>
      <c r="AD2515" s="2243">
        <f t="shared" si="674"/>
        <v>447.33160621761658</v>
      </c>
      <c r="AE2515" s="2605"/>
      <c r="AF2515" s="2161"/>
      <c r="AG2515" s="2161"/>
      <c r="AH2515" s="2161"/>
      <c r="AI2515" s="2161"/>
      <c r="AJ2515" s="2161"/>
      <c r="AK2515" s="2161"/>
      <c r="AL2515" s="2161"/>
      <c r="AM2515" s="2161"/>
      <c r="AN2515" s="2161"/>
      <c r="AO2515" s="2161"/>
      <c r="AP2515" s="2161"/>
      <c r="AQ2515" s="2161"/>
      <c r="AR2515" s="2161"/>
      <c r="AS2515" s="2161"/>
      <c r="AT2515" s="2161"/>
      <c r="AU2515" s="2161"/>
      <c r="AV2515" s="2161"/>
      <c r="AW2515" s="2161"/>
      <c r="AX2515" s="2161"/>
      <c r="AY2515" s="2161"/>
      <c r="AZ2515" s="2161"/>
      <c r="BA2515" s="2161"/>
      <c r="BB2515" s="2161"/>
      <c r="BC2515" s="2161"/>
      <c r="BD2515" s="2161"/>
      <c r="BE2515" s="2161"/>
      <c r="BF2515" s="2161"/>
      <c r="BG2515" s="2161"/>
      <c r="BH2515" s="2161"/>
      <c r="BI2515" s="2161"/>
      <c r="BJ2515" s="2161"/>
      <c r="BK2515" s="2161"/>
      <c r="BL2515" s="2161"/>
      <c r="BM2515" s="2161"/>
      <c r="BN2515" s="2161"/>
      <c r="BO2515" s="2161"/>
      <c r="BP2515" s="2161"/>
      <c r="BQ2515" s="2161"/>
      <c r="BR2515" s="2161"/>
      <c r="BS2515" s="2161"/>
    </row>
    <row r="2516" spans="1:71" s="2131" customFormat="1" ht="25.5">
      <c r="A2516" s="2267"/>
      <c r="B2516" s="2253"/>
      <c r="C2516" s="2164">
        <v>5</v>
      </c>
      <c r="D2516" s="2164" t="s">
        <v>34</v>
      </c>
      <c r="E2516" s="2164" t="s">
        <v>25</v>
      </c>
      <c r="F2516" s="2164" t="s">
        <v>45</v>
      </c>
      <c r="G2516" s="2164" t="s">
        <v>3667</v>
      </c>
      <c r="H2516" s="2254" t="s">
        <v>56</v>
      </c>
      <c r="I2516" s="2171" t="s">
        <v>3608</v>
      </c>
      <c r="J2516" s="2171" t="s">
        <v>3891</v>
      </c>
      <c r="K2516" s="2255">
        <v>75</v>
      </c>
      <c r="L2516" s="2203">
        <v>52000000</v>
      </c>
      <c r="M2516" s="2256">
        <v>75</v>
      </c>
      <c r="N2516" s="2257">
        <v>17472500</v>
      </c>
      <c r="O2516" s="2203">
        <v>0</v>
      </c>
      <c r="P2516" s="2203">
        <v>0</v>
      </c>
      <c r="Q2516" s="2257">
        <v>0</v>
      </c>
      <c r="R2516" s="2203">
        <v>0</v>
      </c>
      <c r="S2516" s="2257">
        <v>0</v>
      </c>
      <c r="T2516" s="2203">
        <v>0</v>
      </c>
      <c r="U2516" s="2255"/>
      <c r="V2516" s="2258"/>
      <c r="W2516" s="2255"/>
      <c r="X2516" s="2203"/>
      <c r="Y2516" s="2240">
        <f t="shared" si="672"/>
        <v>0</v>
      </c>
      <c r="Z2516" s="2203">
        <f t="shared" si="672"/>
        <v>0</v>
      </c>
      <c r="AA2516" s="2240">
        <f t="shared" si="673"/>
        <v>75</v>
      </c>
      <c r="AB2516" s="2203">
        <f t="shared" si="673"/>
        <v>17472500</v>
      </c>
      <c r="AC2516" s="2243">
        <f t="shared" si="674"/>
        <v>100</v>
      </c>
      <c r="AD2516" s="2243">
        <f t="shared" si="674"/>
        <v>33.60096153846154</v>
      </c>
      <c r="AE2516" s="2605"/>
      <c r="AF2516" s="2161"/>
      <c r="AG2516" s="2161"/>
      <c r="AH2516" s="2161"/>
      <c r="AI2516" s="2161"/>
      <c r="AJ2516" s="2161"/>
      <c r="AK2516" s="2161"/>
      <c r="AL2516" s="2161"/>
      <c r="AM2516" s="2161"/>
      <c r="AN2516" s="2161"/>
      <c r="AO2516" s="2161"/>
      <c r="AP2516" s="2161"/>
      <c r="AQ2516" s="2161"/>
      <c r="AR2516" s="2161"/>
      <c r="AS2516" s="2161"/>
      <c r="AT2516" s="2161"/>
      <c r="AU2516" s="2161"/>
      <c r="AV2516" s="2161"/>
      <c r="AW2516" s="2161"/>
      <c r="AX2516" s="2161"/>
      <c r="AY2516" s="2161"/>
      <c r="AZ2516" s="2161"/>
      <c r="BA2516" s="2161"/>
      <c r="BB2516" s="2161"/>
      <c r="BC2516" s="2161"/>
      <c r="BD2516" s="2161"/>
      <c r="BE2516" s="2161"/>
      <c r="BF2516" s="2161"/>
      <c r="BG2516" s="2161"/>
      <c r="BH2516" s="2161"/>
      <c r="BI2516" s="2161"/>
      <c r="BJ2516" s="2161"/>
      <c r="BK2516" s="2161"/>
      <c r="BL2516" s="2161"/>
      <c r="BM2516" s="2161"/>
      <c r="BN2516" s="2161"/>
      <c r="BO2516" s="2161"/>
      <c r="BP2516" s="2161"/>
      <c r="BQ2516" s="2161"/>
      <c r="BR2516" s="2161"/>
      <c r="BS2516" s="2161"/>
    </row>
    <row r="2517" spans="1:71" s="2131" customFormat="1" ht="25.5">
      <c r="A2517" s="2267"/>
      <c r="B2517" s="2253"/>
      <c r="C2517" s="2164">
        <v>5</v>
      </c>
      <c r="D2517" s="2164" t="s">
        <v>34</v>
      </c>
      <c r="E2517" s="2164" t="s">
        <v>25</v>
      </c>
      <c r="F2517" s="2164" t="s">
        <v>45</v>
      </c>
      <c r="G2517" s="2164" t="s">
        <v>3667</v>
      </c>
      <c r="H2517" s="2254" t="s">
        <v>56</v>
      </c>
      <c r="I2517" s="2171" t="s">
        <v>3610</v>
      </c>
      <c r="J2517" s="2171" t="s">
        <v>3892</v>
      </c>
      <c r="K2517" s="2255">
        <v>36</v>
      </c>
      <c r="L2517" s="2203">
        <v>50000000</v>
      </c>
      <c r="M2517" s="2256">
        <v>36</v>
      </c>
      <c r="N2517" s="2257">
        <v>17300000</v>
      </c>
      <c r="O2517" s="2203">
        <v>0</v>
      </c>
      <c r="P2517" s="2203">
        <v>0</v>
      </c>
      <c r="Q2517" s="2257">
        <v>0</v>
      </c>
      <c r="R2517" s="2203"/>
      <c r="S2517" s="2257">
        <v>0</v>
      </c>
      <c r="T2517" s="2203"/>
      <c r="U2517" s="2255"/>
      <c r="V2517" s="2258"/>
      <c r="W2517" s="2255"/>
      <c r="X2517" s="2203"/>
      <c r="Y2517" s="2240">
        <f t="shared" si="672"/>
        <v>0</v>
      </c>
      <c r="Z2517" s="2203">
        <f t="shared" si="672"/>
        <v>0</v>
      </c>
      <c r="AA2517" s="2240">
        <f t="shared" si="673"/>
        <v>36</v>
      </c>
      <c r="AB2517" s="2203">
        <f t="shared" si="673"/>
        <v>17300000</v>
      </c>
      <c r="AC2517" s="2243">
        <f t="shared" si="674"/>
        <v>100</v>
      </c>
      <c r="AD2517" s="2243">
        <f t="shared" si="674"/>
        <v>34.599999999999994</v>
      </c>
      <c r="AE2517" s="2605"/>
      <c r="AF2517" s="2161"/>
      <c r="AG2517" s="2161"/>
      <c r="AH2517" s="2161"/>
      <c r="AI2517" s="2161"/>
      <c r="AJ2517" s="2161"/>
      <c r="AK2517" s="2161"/>
      <c r="AL2517" s="2161"/>
      <c r="AM2517" s="2161"/>
      <c r="AN2517" s="2161"/>
      <c r="AO2517" s="2161"/>
      <c r="AP2517" s="2161"/>
      <c r="AQ2517" s="2161"/>
      <c r="AR2517" s="2161"/>
      <c r="AS2517" s="2161"/>
      <c r="AT2517" s="2161"/>
      <c r="AU2517" s="2161"/>
      <c r="AV2517" s="2161"/>
      <c r="AW2517" s="2161"/>
      <c r="AX2517" s="2161"/>
      <c r="AY2517" s="2161"/>
      <c r="AZ2517" s="2161"/>
      <c r="BA2517" s="2161"/>
      <c r="BB2517" s="2161"/>
      <c r="BC2517" s="2161"/>
      <c r="BD2517" s="2161"/>
      <c r="BE2517" s="2161"/>
      <c r="BF2517" s="2161"/>
      <c r="BG2517" s="2161"/>
      <c r="BH2517" s="2161"/>
      <c r="BI2517" s="2161"/>
      <c r="BJ2517" s="2161"/>
      <c r="BK2517" s="2161"/>
      <c r="BL2517" s="2161"/>
      <c r="BM2517" s="2161"/>
      <c r="BN2517" s="2161"/>
      <c r="BO2517" s="2161"/>
      <c r="BP2517" s="2161"/>
      <c r="BQ2517" s="2161"/>
      <c r="BR2517" s="2161"/>
      <c r="BS2517" s="2161"/>
    </row>
    <row r="2518" spans="1:71" s="2131" customFormat="1" ht="20.100000000000001" customHeight="1">
      <c r="A2518" s="2705" t="s">
        <v>63</v>
      </c>
      <c r="B2518" s="2705"/>
      <c r="C2518" s="2706"/>
      <c r="D2518" s="2706"/>
      <c r="E2518" s="2706"/>
      <c r="F2518" s="2706"/>
      <c r="G2518" s="2706"/>
      <c r="H2518" s="2706"/>
      <c r="I2518" s="2706"/>
      <c r="J2518" s="2706"/>
      <c r="K2518" s="2706"/>
      <c r="L2518" s="2706"/>
      <c r="M2518" s="2706"/>
      <c r="N2518" s="2706"/>
      <c r="O2518" s="2706"/>
      <c r="P2518" s="2706"/>
      <c r="Q2518" s="2706"/>
      <c r="R2518" s="2706"/>
      <c r="S2518" s="2706"/>
      <c r="T2518" s="2706"/>
      <c r="U2518" s="2706"/>
      <c r="V2518" s="2706"/>
      <c r="W2518" s="2706"/>
      <c r="X2518" s="2706"/>
      <c r="Y2518" s="2706"/>
      <c r="Z2518" s="2706"/>
      <c r="AA2518" s="2706"/>
      <c r="AB2518" s="2706"/>
      <c r="AC2518" s="2249">
        <f>(AC2468+AC2479+AC2485+AC2487+AC2489+AC2491+AC2495+AC2497+AC2499+AC2501+AC2503+AC2505+AC2507+AC2509+AC2511)/15</f>
        <v>69.255887230514105</v>
      </c>
      <c r="AD2518" s="2249">
        <f>(AD2468+AD2479+AD2485+AD2487+AD2489+AD2491+AD2495+AD2497+AD2499+AD2501+AD2503+AD2505+AD2507+AD2509+AD2511)/15</f>
        <v>39.499156061212005</v>
      </c>
      <c r="AE2518" s="2152"/>
    </row>
    <row r="2519" spans="1:71" s="2131" customFormat="1" ht="20.100000000000001" customHeight="1">
      <c r="A2519" s="2705" t="s">
        <v>64</v>
      </c>
      <c r="B2519" s="2705"/>
      <c r="C2519" s="2706"/>
      <c r="D2519" s="2706"/>
      <c r="E2519" s="2706"/>
      <c r="F2519" s="2706"/>
      <c r="G2519" s="2706"/>
      <c r="H2519" s="2706"/>
      <c r="I2519" s="2706"/>
      <c r="J2519" s="2706"/>
      <c r="K2519" s="2706"/>
      <c r="L2519" s="2706"/>
      <c r="M2519" s="2706"/>
      <c r="N2519" s="2706"/>
      <c r="O2519" s="2706"/>
      <c r="P2519" s="2706"/>
      <c r="Q2519" s="2706"/>
      <c r="R2519" s="2706"/>
      <c r="S2519" s="2706"/>
      <c r="T2519" s="2706"/>
      <c r="U2519" s="2706"/>
      <c r="V2519" s="2706"/>
      <c r="W2519" s="2706"/>
      <c r="X2519" s="2706"/>
      <c r="Y2519" s="2706"/>
      <c r="Z2519" s="2706"/>
      <c r="AA2519" s="2706"/>
      <c r="AB2519" s="2706"/>
      <c r="AC2519" s="2250" t="str">
        <f>IF(AC2518&gt;=91,"ST",IF(AC2518&gt;=76,"T",IF(AC2518&gt;=66,"S",IF(AC2518&gt;=51,"R","SR"))))</f>
        <v>S</v>
      </c>
      <c r="AD2519" s="2250" t="str">
        <f>IF(AD2518&gt;=91,"ST",IF(AD2518&gt;=76,"T",IF(AD2518&gt;=66,"S",IF(AD2518&gt;=51,"R","SR"))))</f>
        <v>SR</v>
      </c>
      <c r="AE2519" s="2152"/>
    </row>
    <row r="2520" spans="1:71" s="2131" customFormat="1" ht="27.95" customHeight="1">
      <c r="A2520" s="2132" t="s">
        <v>123</v>
      </c>
      <c r="B2520" s="2133"/>
      <c r="C2520" s="2132"/>
      <c r="D2520" s="2132"/>
      <c r="E2520" s="2132"/>
      <c r="F2520" s="2132"/>
      <c r="G2520" s="2132"/>
      <c r="H2520" s="2132"/>
      <c r="I2520" s="2707" t="s">
        <v>3893</v>
      </c>
      <c r="J2520" s="2708"/>
      <c r="K2520" s="2134"/>
      <c r="L2520" s="2135">
        <f>L2521+L2534+L2541+L2544+L2546+L2548+L2550+L2552+L2554+L2556+L2558+L2565+L2569+L2571</f>
        <v>4028322990</v>
      </c>
      <c r="M2520" s="2134"/>
      <c r="N2520" s="2136">
        <f>N2521+N2534+N2541+N2544+N2546+N2548+N2550+N2552+N2554+N2556+N2558+N2565+N2569+N2571</f>
        <v>1661601741</v>
      </c>
      <c r="O2520" s="2135"/>
      <c r="P2520" s="2136">
        <f>P2521+P2534+P2541+P2544+P2546+P2548+P2550+P2552+P2554+P2556+P2558+P2565+P2569+P2571</f>
        <v>501745801</v>
      </c>
      <c r="Q2520" s="2134"/>
      <c r="R2520" s="2136">
        <f>R2521+R2534+R2541+R2544+R2546+R2548+R2550+R2552+R2554+R2556+R2558+R2565+R2569+R2571</f>
        <v>83048525</v>
      </c>
      <c r="S2520" s="2134"/>
      <c r="T2520" s="2136">
        <f>T2521+T2534+T2541+T2544+T2546+T2548+T2550+T2552+T2554+T2556+T2558+T2565+T2569+T2571</f>
        <v>133987230</v>
      </c>
      <c r="U2520" s="2134"/>
      <c r="V2520" s="2136">
        <f>V2521+V2534+V2541+V2544+V2546+V2548+V2550+V2552+V2554+V2556+V2558+V2565+V2569+V2571</f>
        <v>0</v>
      </c>
      <c r="W2520" s="2134"/>
      <c r="X2520" s="2251">
        <f>X2521+X2534+X2541+X2544+X2546+X2548+X2550+X2552+X2554+X2556+X2558+X2565+X2569+X2571</f>
        <v>0</v>
      </c>
      <c r="Y2520" s="2134"/>
      <c r="Z2520" s="2136">
        <f>Z2521+Z2534+Z2541+Z2544+Z2546+Z2548+Z2550+Z2552+Z2554+Z2556+Z2558+Z2565+Z2569+Z2571</f>
        <v>217035755</v>
      </c>
      <c r="AA2520" s="2134"/>
      <c r="AB2520" s="2136">
        <f>AB2521+AB2534+AB2541+AB2544+AB2546+AB2548+AB2550+AB2552+AB2554+AB2556+AB2558+AB2565+AB2569+AB2571</f>
        <v>1758667826</v>
      </c>
      <c r="AC2520" s="2134"/>
      <c r="AD2520" s="2134"/>
      <c r="AE2520" s="2137"/>
      <c r="AF2520" s="2138"/>
      <c r="AG2520" s="2138"/>
      <c r="AH2520" s="2138"/>
      <c r="AI2520" s="2138"/>
      <c r="AJ2520" s="2138"/>
      <c r="AK2520" s="2138"/>
      <c r="AL2520" s="2138"/>
      <c r="AM2520" s="2138"/>
      <c r="AN2520" s="2138"/>
      <c r="AO2520" s="2138"/>
      <c r="AP2520" s="2138"/>
      <c r="AQ2520" s="2138"/>
      <c r="AR2520" s="2138"/>
      <c r="AS2520" s="2138"/>
      <c r="AT2520" s="2138"/>
      <c r="AU2520" s="2138"/>
      <c r="AV2520" s="2138"/>
      <c r="AW2520" s="2138"/>
      <c r="AX2520" s="2138"/>
      <c r="AY2520" s="2138"/>
      <c r="AZ2520" s="2138"/>
      <c r="BA2520" s="2138"/>
      <c r="BB2520" s="2138"/>
      <c r="BC2520" s="2138"/>
      <c r="BD2520" s="2138"/>
      <c r="BE2520" s="2138"/>
      <c r="BF2520" s="2138"/>
      <c r="BG2520" s="2138"/>
      <c r="BH2520" s="2138"/>
      <c r="BI2520" s="2138"/>
      <c r="BJ2520" s="2138"/>
      <c r="BK2520" s="2138"/>
      <c r="BL2520" s="2138"/>
      <c r="BM2520" s="2138"/>
      <c r="BN2520" s="2138"/>
      <c r="BO2520" s="2138"/>
      <c r="BP2520" s="2138"/>
      <c r="BQ2520" s="2138"/>
      <c r="BR2520" s="2138"/>
      <c r="BS2520" s="2138"/>
    </row>
    <row r="2521" spans="1:71" s="2131" customFormat="1" ht="63.75">
      <c r="A2521" s="2140" t="s">
        <v>113</v>
      </c>
      <c r="B2521" s="2194"/>
      <c r="C2521" s="2142">
        <v>5</v>
      </c>
      <c r="D2521" s="2142" t="s">
        <v>34</v>
      </c>
      <c r="E2521" s="2142" t="s">
        <v>25</v>
      </c>
      <c r="F2521" s="2142" t="s">
        <v>45</v>
      </c>
      <c r="G2521" s="2142" t="s">
        <v>25</v>
      </c>
      <c r="H2521" s="2140"/>
      <c r="I2521" s="2143" t="s">
        <v>3625</v>
      </c>
      <c r="J2521" s="2143" t="s">
        <v>3894</v>
      </c>
      <c r="K2521" s="2144">
        <v>72</v>
      </c>
      <c r="L2521" s="2145">
        <f>SUM(L2522:L2533)</f>
        <v>1547454650</v>
      </c>
      <c r="M2521" s="2144">
        <v>36</v>
      </c>
      <c r="N2521" s="2145">
        <f>SUM(N2522:N2533)</f>
        <v>551096565</v>
      </c>
      <c r="O2521" s="2144">
        <v>12</v>
      </c>
      <c r="P2521" s="2145">
        <f>SUM(P2522:P2533)</f>
        <v>219585801</v>
      </c>
      <c r="Q2521" s="2144">
        <v>3</v>
      </c>
      <c r="R2521" s="2145">
        <f>SUM(R2522:R2533)</f>
        <v>46662325</v>
      </c>
      <c r="S2521" s="2144">
        <v>3</v>
      </c>
      <c r="T2521" s="2145">
        <f>SUM(T2522:T2533)</f>
        <v>73307345</v>
      </c>
      <c r="U2521" s="2144"/>
      <c r="V2521" s="2145">
        <f>SUM(V2522:V2533)</f>
        <v>0</v>
      </c>
      <c r="W2521" s="2144"/>
      <c r="X2521" s="2145">
        <f>SUM(X2522:X2533)</f>
        <v>0</v>
      </c>
      <c r="Y2521" s="2147"/>
      <c r="Z2521" s="2145">
        <f>SUM(Z2522:Z2533)</f>
        <v>119969670</v>
      </c>
      <c r="AA2521" s="2147">
        <v>36</v>
      </c>
      <c r="AB2521" s="2145">
        <v>551096565</v>
      </c>
      <c r="AC2521" s="2147">
        <v>50</v>
      </c>
      <c r="AD2521" s="2147">
        <v>35.613099550284069</v>
      </c>
      <c r="AE2521" s="2204" t="s">
        <v>3895</v>
      </c>
      <c r="AF2521" s="2149"/>
      <c r="AG2521" s="2149"/>
      <c r="AH2521" s="2149"/>
      <c r="AI2521" s="2149"/>
      <c r="AJ2521" s="2149"/>
      <c r="AK2521" s="2149"/>
      <c r="AL2521" s="2149"/>
      <c r="AM2521" s="2149"/>
      <c r="AN2521" s="2149"/>
      <c r="AO2521" s="2149"/>
      <c r="AP2521" s="2149"/>
      <c r="AQ2521" s="2149"/>
      <c r="AR2521" s="2149"/>
      <c r="AS2521" s="2149"/>
      <c r="AT2521" s="2149"/>
      <c r="AU2521" s="2149"/>
      <c r="AV2521" s="2149"/>
      <c r="AW2521" s="2149"/>
      <c r="AX2521" s="2149"/>
      <c r="AY2521" s="2149"/>
      <c r="AZ2521" s="2149"/>
      <c r="BA2521" s="2149"/>
      <c r="BB2521" s="2149"/>
      <c r="BC2521" s="2149"/>
      <c r="BD2521" s="2149"/>
      <c r="BE2521" s="2149"/>
      <c r="BF2521" s="2149"/>
      <c r="BG2521" s="2149"/>
      <c r="BH2521" s="2149"/>
      <c r="BI2521" s="2149"/>
      <c r="BJ2521" s="2149"/>
      <c r="BK2521" s="2149"/>
      <c r="BL2521" s="2149"/>
      <c r="BM2521" s="2149"/>
      <c r="BN2521" s="2149"/>
      <c r="BO2521" s="2149"/>
      <c r="BP2521" s="2149"/>
      <c r="BQ2521" s="2149"/>
      <c r="BR2521" s="2149"/>
      <c r="BS2521" s="2149"/>
    </row>
    <row r="2522" spans="1:71" s="2131" customFormat="1" ht="38.25">
      <c r="A2522" s="2267"/>
      <c r="B2522" s="2253"/>
      <c r="C2522" s="2164">
        <v>5</v>
      </c>
      <c r="D2522" s="2164" t="s">
        <v>34</v>
      </c>
      <c r="E2522" s="2164" t="s">
        <v>25</v>
      </c>
      <c r="F2522" s="2164" t="s">
        <v>45</v>
      </c>
      <c r="G2522" s="2164" t="s">
        <v>25</v>
      </c>
      <c r="H2522" s="2254" t="s">
        <v>25</v>
      </c>
      <c r="I2522" s="2171" t="s">
        <v>224</v>
      </c>
      <c r="J2522" s="2171" t="s">
        <v>3896</v>
      </c>
      <c r="K2522" s="2255">
        <v>48</v>
      </c>
      <c r="L2522" s="2203">
        <v>21385096</v>
      </c>
      <c r="M2522" s="2256">
        <v>12</v>
      </c>
      <c r="N2522" s="2257">
        <v>2851900</v>
      </c>
      <c r="O2522" s="2255">
        <v>12</v>
      </c>
      <c r="P2522" s="2258">
        <v>0</v>
      </c>
      <c r="Q2522" s="2256">
        <v>0</v>
      </c>
      <c r="R2522" s="2203"/>
      <c r="S2522" s="2255">
        <v>0</v>
      </c>
      <c r="T2522" s="2203"/>
      <c r="U2522" s="2255"/>
      <c r="V2522" s="2258"/>
      <c r="W2522" s="2255"/>
      <c r="X2522" s="2203"/>
      <c r="Y2522" s="2240">
        <f t="shared" ref="Y2522:Z2572" si="681">Q2522+S2522+U2522+W2522</f>
        <v>0</v>
      </c>
      <c r="Z2522" s="2203">
        <f t="shared" si="681"/>
        <v>0</v>
      </c>
      <c r="AA2522" s="2240">
        <f t="shared" ref="AA2522:AB2572" si="682">M2522+Y2522</f>
        <v>12</v>
      </c>
      <c r="AB2522" s="2203">
        <f t="shared" si="682"/>
        <v>2851900</v>
      </c>
      <c r="AC2522" s="2243">
        <f t="shared" ref="AC2522:AD2572" si="683">(AA2522/K2522)*100</f>
        <v>25</v>
      </c>
      <c r="AD2522" s="2243">
        <f t="shared" si="683"/>
        <v>13.335923299105135</v>
      </c>
      <c r="AE2522" s="2605"/>
      <c r="AF2522" s="2259"/>
      <c r="AG2522" s="2259"/>
      <c r="AH2522" s="2259"/>
      <c r="AI2522" s="2259"/>
      <c r="AJ2522" s="2259"/>
      <c r="AK2522" s="2259"/>
      <c r="AL2522" s="2259"/>
      <c r="AM2522" s="2259"/>
      <c r="AN2522" s="2259"/>
      <c r="AO2522" s="2259"/>
      <c r="AP2522" s="2259"/>
      <c r="AQ2522" s="2259"/>
      <c r="AR2522" s="2259"/>
      <c r="AS2522" s="2259"/>
      <c r="AT2522" s="2259"/>
      <c r="AU2522" s="2259"/>
      <c r="AV2522" s="2259"/>
      <c r="AW2522" s="2259"/>
      <c r="AX2522" s="2259"/>
      <c r="AY2522" s="2259"/>
      <c r="AZ2522" s="2259"/>
      <c r="BA2522" s="2259"/>
      <c r="BB2522" s="2259"/>
      <c r="BC2522" s="2259"/>
      <c r="BD2522" s="2259"/>
      <c r="BE2522" s="2259"/>
      <c r="BF2522" s="2259"/>
      <c r="BG2522" s="2259"/>
      <c r="BH2522" s="2259"/>
      <c r="BI2522" s="2259"/>
      <c r="BJ2522" s="2259"/>
      <c r="BK2522" s="2259"/>
      <c r="BL2522" s="2259"/>
      <c r="BM2522" s="2259"/>
      <c r="BN2522" s="2259"/>
      <c r="BO2522" s="2259"/>
      <c r="BP2522" s="2259"/>
      <c r="BQ2522" s="2259"/>
      <c r="BR2522" s="2259"/>
      <c r="BS2522" s="2259"/>
    </row>
    <row r="2523" spans="1:71" s="2131" customFormat="1" ht="51">
      <c r="A2523" s="2267"/>
      <c r="B2523" s="2253"/>
      <c r="C2523" s="2164">
        <v>5</v>
      </c>
      <c r="D2523" s="2164" t="s">
        <v>34</v>
      </c>
      <c r="E2523" s="2164" t="s">
        <v>25</v>
      </c>
      <c r="F2523" s="2164" t="s">
        <v>45</v>
      </c>
      <c r="G2523" s="2164" t="s">
        <v>25</v>
      </c>
      <c r="H2523" s="2254" t="s">
        <v>28</v>
      </c>
      <c r="I2523" s="2171" t="s">
        <v>3684</v>
      </c>
      <c r="J2523" s="2171" t="s">
        <v>3627</v>
      </c>
      <c r="K2523" s="2255">
        <v>72</v>
      </c>
      <c r="L2523" s="2203">
        <v>70500800</v>
      </c>
      <c r="M2523" s="2256">
        <v>36</v>
      </c>
      <c r="N2523" s="2257">
        <v>22432815</v>
      </c>
      <c r="O2523" s="2255">
        <v>12</v>
      </c>
      <c r="P2523" s="2258">
        <v>7560000</v>
      </c>
      <c r="Q2523" s="2256">
        <v>3</v>
      </c>
      <c r="R2523" s="2203">
        <v>859225</v>
      </c>
      <c r="S2523" s="2255">
        <v>3</v>
      </c>
      <c r="T2523" s="2203">
        <v>1304525</v>
      </c>
      <c r="U2523" s="2255"/>
      <c r="V2523" s="2258"/>
      <c r="W2523" s="2255"/>
      <c r="X2523" s="2203"/>
      <c r="Y2523" s="2240">
        <f t="shared" si="681"/>
        <v>6</v>
      </c>
      <c r="Z2523" s="2203">
        <f t="shared" si="681"/>
        <v>2163750</v>
      </c>
      <c r="AA2523" s="2240">
        <f t="shared" si="682"/>
        <v>42</v>
      </c>
      <c r="AB2523" s="2203">
        <f t="shared" si="682"/>
        <v>24596565</v>
      </c>
      <c r="AC2523" s="2243">
        <f t="shared" si="683"/>
        <v>58.333333333333336</v>
      </c>
      <c r="AD2523" s="2243">
        <f t="shared" si="683"/>
        <v>34.888348784694642</v>
      </c>
      <c r="AE2523" s="2605"/>
      <c r="AF2523" s="2259"/>
      <c r="AG2523" s="2259"/>
      <c r="AH2523" s="2259"/>
      <c r="AI2523" s="2259"/>
      <c r="AJ2523" s="2259"/>
      <c r="AK2523" s="2259"/>
      <c r="AL2523" s="2259"/>
      <c r="AM2523" s="2259"/>
      <c r="AN2523" s="2259"/>
      <c r="AO2523" s="2259"/>
      <c r="AP2523" s="2259"/>
      <c r="AQ2523" s="2259"/>
      <c r="AR2523" s="2259"/>
      <c r="AS2523" s="2259"/>
      <c r="AT2523" s="2259"/>
      <c r="AU2523" s="2259"/>
      <c r="AV2523" s="2259"/>
      <c r="AW2523" s="2259"/>
      <c r="AX2523" s="2259"/>
      <c r="AY2523" s="2259"/>
      <c r="AZ2523" s="2259"/>
      <c r="BA2523" s="2259"/>
      <c r="BB2523" s="2259"/>
      <c r="BC2523" s="2259"/>
      <c r="BD2523" s="2259"/>
      <c r="BE2523" s="2259"/>
      <c r="BF2523" s="2259"/>
      <c r="BG2523" s="2259"/>
      <c r="BH2523" s="2259"/>
      <c r="BI2523" s="2259"/>
      <c r="BJ2523" s="2259"/>
      <c r="BK2523" s="2259"/>
      <c r="BL2523" s="2259"/>
      <c r="BM2523" s="2259"/>
      <c r="BN2523" s="2259"/>
      <c r="BO2523" s="2259"/>
      <c r="BP2523" s="2259"/>
      <c r="BQ2523" s="2259"/>
      <c r="BR2523" s="2259"/>
      <c r="BS2523" s="2259"/>
    </row>
    <row r="2524" spans="1:71" s="2131" customFormat="1" ht="63.75">
      <c r="A2524" s="2267"/>
      <c r="B2524" s="2253"/>
      <c r="C2524" s="2164">
        <v>5</v>
      </c>
      <c r="D2524" s="2164" t="s">
        <v>34</v>
      </c>
      <c r="E2524" s="2164" t="s">
        <v>25</v>
      </c>
      <c r="F2524" s="2164" t="s">
        <v>45</v>
      </c>
      <c r="G2524" s="2164" t="s">
        <v>25</v>
      </c>
      <c r="H2524" s="2254" t="s">
        <v>29</v>
      </c>
      <c r="I2524" s="2171" t="s">
        <v>3685</v>
      </c>
      <c r="J2524" s="2171" t="s">
        <v>3628</v>
      </c>
      <c r="K2524" s="2255">
        <v>72</v>
      </c>
      <c r="L2524" s="2203">
        <v>199260600</v>
      </c>
      <c r="M2524" s="2256">
        <v>36</v>
      </c>
      <c r="N2524" s="2257">
        <v>106750000</v>
      </c>
      <c r="O2524" s="2255">
        <v>12</v>
      </c>
      <c r="P2524" s="2258">
        <v>39000000</v>
      </c>
      <c r="Q2524" s="2256">
        <v>3</v>
      </c>
      <c r="R2524" s="2203">
        <v>6500000</v>
      </c>
      <c r="S2524" s="2255">
        <v>3</v>
      </c>
      <c r="T2524" s="2203">
        <v>9750000</v>
      </c>
      <c r="U2524" s="2255"/>
      <c r="V2524" s="2258"/>
      <c r="W2524" s="2255"/>
      <c r="X2524" s="2203"/>
      <c r="Y2524" s="2240">
        <f t="shared" si="681"/>
        <v>6</v>
      </c>
      <c r="Z2524" s="2203">
        <f t="shared" si="681"/>
        <v>16250000</v>
      </c>
      <c r="AA2524" s="2240">
        <f t="shared" si="682"/>
        <v>42</v>
      </c>
      <c r="AB2524" s="2203">
        <f t="shared" si="682"/>
        <v>123000000</v>
      </c>
      <c r="AC2524" s="2243">
        <f t="shared" si="683"/>
        <v>58.333333333333336</v>
      </c>
      <c r="AD2524" s="2243">
        <f t="shared" si="683"/>
        <v>61.728209189373118</v>
      </c>
      <c r="AE2524" s="2605"/>
      <c r="AF2524" s="2259"/>
      <c r="AG2524" s="2259"/>
      <c r="AH2524" s="2259"/>
      <c r="AI2524" s="2259"/>
      <c r="AJ2524" s="2259"/>
      <c r="AK2524" s="2259"/>
      <c r="AL2524" s="2259"/>
      <c r="AM2524" s="2259"/>
      <c r="AN2524" s="2259"/>
      <c r="AO2524" s="2259"/>
      <c r="AP2524" s="2259"/>
      <c r="AQ2524" s="2259"/>
      <c r="AR2524" s="2259"/>
      <c r="AS2524" s="2259"/>
      <c r="AT2524" s="2259"/>
      <c r="AU2524" s="2259"/>
      <c r="AV2524" s="2259"/>
      <c r="AW2524" s="2259"/>
      <c r="AX2524" s="2259"/>
      <c r="AY2524" s="2259"/>
      <c r="AZ2524" s="2259"/>
      <c r="BA2524" s="2259"/>
      <c r="BB2524" s="2259"/>
      <c r="BC2524" s="2259"/>
      <c r="BD2524" s="2259"/>
      <c r="BE2524" s="2259"/>
      <c r="BF2524" s="2259"/>
      <c r="BG2524" s="2259"/>
      <c r="BH2524" s="2259"/>
      <c r="BI2524" s="2259"/>
      <c r="BJ2524" s="2259"/>
      <c r="BK2524" s="2259"/>
      <c r="BL2524" s="2259"/>
      <c r="BM2524" s="2259"/>
      <c r="BN2524" s="2259"/>
      <c r="BO2524" s="2259"/>
      <c r="BP2524" s="2259"/>
      <c r="BQ2524" s="2259"/>
      <c r="BR2524" s="2259"/>
      <c r="BS2524" s="2259"/>
    </row>
    <row r="2525" spans="1:71" s="2131" customFormat="1" ht="51">
      <c r="A2525" s="2152"/>
      <c r="B2525" s="2253"/>
      <c r="C2525" s="2164">
        <v>5</v>
      </c>
      <c r="D2525" s="2164" t="s">
        <v>34</v>
      </c>
      <c r="E2525" s="2164" t="s">
        <v>25</v>
      </c>
      <c r="F2525" s="2164" t="s">
        <v>45</v>
      </c>
      <c r="G2525" s="2164" t="s">
        <v>25</v>
      </c>
      <c r="H2525" s="2164" t="s">
        <v>30</v>
      </c>
      <c r="I2525" s="2260" t="s">
        <v>110</v>
      </c>
      <c r="J2525" s="2260" t="s">
        <v>3629</v>
      </c>
      <c r="K2525" s="2261">
        <v>72</v>
      </c>
      <c r="L2525" s="2241">
        <v>93500000</v>
      </c>
      <c r="M2525" s="2261">
        <v>36</v>
      </c>
      <c r="N2525" s="2262">
        <v>50640000</v>
      </c>
      <c r="O2525" s="2240">
        <v>12</v>
      </c>
      <c r="P2525" s="2242">
        <v>11308000</v>
      </c>
      <c r="Q2525" s="2261">
        <v>3</v>
      </c>
      <c r="R2525" s="2241">
        <v>2358000</v>
      </c>
      <c r="S2525" s="2240">
        <v>3</v>
      </c>
      <c r="T2525" s="2241">
        <v>2250000</v>
      </c>
      <c r="U2525" s="2240"/>
      <c r="V2525" s="2242"/>
      <c r="W2525" s="2240"/>
      <c r="X2525" s="2241"/>
      <c r="Y2525" s="2240">
        <f t="shared" si="681"/>
        <v>6</v>
      </c>
      <c r="Z2525" s="2241">
        <f t="shared" si="681"/>
        <v>4608000</v>
      </c>
      <c r="AA2525" s="2240">
        <f t="shared" si="682"/>
        <v>42</v>
      </c>
      <c r="AB2525" s="2241">
        <f t="shared" si="682"/>
        <v>55248000</v>
      </c>
      <c r="AC2525" s="2243">
        <f t="shared" si="683"/>
        <v>58.333333333333336</v>
      </c>
      <c r="AD2525" s="2243">
        <f t="shared" si="683"/>
        <v>59.088770053475933</v>
      </c>
      <c r="AE2525" s="2216"/>
      <c r="AF2525" s="2259"/>
      <c r="AG2525" s="2259"/>
      <c r="AH2525" s="2259"/>
      <c r="AI2525" s="2259"/>
      <c r="AJ2525" s="2259"/>
      <c r="AK2525" s="2259"/>
      <c r="AL2525" s="2259"/>
      <c r="AM2525" s="2259"/>
      <c r="AN2525" s="2259"/>
      <c r="AO2525" s="2259"/>
      <c r="AP2525" s="2259"/>
      <c r="AQ2525" s="2259"/>
      <c r="AR2525" s="2259"/>
      <c r="AS2525" s="2259"/>
      <c r="AT2525" s="2259"/>
      <c r="AU2525" s="2259"/>
      <c r="AV2525" s="2259"/>
      <c r="AW2525" s="2259"/>
      <c r="AX2525" s="2259"/>
      <c r="AY2525" s="2259"/>
      <c r="AZ2525" s="2259"/>
      <c r="BA2525" s="2259"/>
      <c r="BB2525" s="2259"/>
      <c r="BC2525" s="2259"/>
      <c r="BD2525" s="2259"/>
      <c r="BE2525" s="2259"/>
      <c r="BF2525" s="2259"/>
      <c r="BG2525" s="2259"/>
      <c r="BH2525" s="2259"/>
      <c r="BI2525" s="2259"/>
      <c r="BJ2525" s="2259"/>
      <c r="BK2525" s="2259"/>
      <c r="BL2525" s="2259"/>
      <c r="BM2525" s="2259"/>
      <c r="BN2525" s="2259"/>
      <c r="BO2525" s="2259"/>
      <c r="BP2525" s="2259"/>
      <c r="BQ2525" s="2259"/>
      <c r="BR2525" s="2259"/>
      <c r="BS2525" s="2259"/>
    </row>
    <row r="2526" spans="1:71" s="2131" customFormat="1" ht="25.5">
      <c r="A2526" s="2267"/>
      <c r="B2526" s="2263"/>
      <c r="C2526" s="2254">
        <v>5</v>
      </c>
      <c r="D2526" s="2254" t="s">
        <v>34</v>
      </c>
      <c r="E2526" s="2254" t="s">
        <v>25</v>
      </c>
      <c r="F2526" s="2254" t="s">
        <v>45</v>
      </c>
      <c r="G2526" s="2254" t="s">
        <v>25</v>
      </c>
      <c r="H2526" s="2254" t="s">
        <v>31</v>
      </c>
      <c r="I2526" s="2171" t="s">
        <v>163</v>
      </c>
      <c r="J2526" s="2171" t="s">
        <v>103</v>
      </c>
      <c r="K2526" s="2255">
        <v>72</v>
      </c>
      <c r="L2526" s="2203">
        <v>132600000</v>
      </c>
      <c r="M2526" s="2256">
        <v>36</v>
      </c>
      <c r="N2526" s="2257">
        <v>57365000</v>
      </c>
      <c r="O2526" s="2255">
        <v>12</v>
      </c>
      <c r="P2526" s="2258">
        <v>29523265</v>
      </c>
      <c r="Q2526" s="2256">
        <v>3</v>
      </c>
      <c r="R2526" s="2203">
        <v>11232100</v>
      </c>
      <c r="S2526" s="2255">
        <v>3</v>
      </c>
      <c r="T2526" s="2203">
        <v>9650100</v>
      </c>
      <c r="U2526" s="2255"/>
      <c r="V2526" s="2258"/>
      <c r="W2526" s="2255"/>
      <c r="X2526" s="2203"/>
      <c r="Y2526" s="2255">
        <f t="shared" si="681"/>
        <v>6</v>
      </c>
      <c r="Z2526" s="2203">
        <f t="shared" si="681"/>
        <v>20882200</v>
      </c>
      <c r="AA2526" s="2255">
        <f t="shared" si="682"/>
        <v>42</v>
      </c>
      <c r="AB2526" s="2203">
        <f t="shared" si="682"/>
        <v>78247200</v>
      </c>
      <c r="AC2526" s="2264">
        <f t="shared" si="683"/>
        <v>58.333333333333336</v>
      </c>
      <c r="AD2526" s="2264">
        <f t="shared" si="683"/>
        <v>59.009954751131218</v>
      </c>
      <c r="AE2526" s="2605"/>
      <c r="AF2526" s="2259"/>
      <c r="AG2526" s="2259"/>
      <c r="AH2526" s="2259"/>
      <c r="AI2526" s="2259"/>
      <c r="AJ2526" s="2259"/>
      <c r="AK2526" s="2259"/>
      <c r="AL2526" s="2259"/>
      <c r="AM2526" s="2259"/>
      <c r="AN2526" s="2259"/>
      <c r="AO2526" s="2259"/>
      <c r="AP2526" s="2259"/>
      <c r="AQ2526" s="2259"/>
      <c r="AR2526" s="2259"/>
      <c r="AS2526" s="2259"/>
      <c r="AT2526" s="2259"/>
      <c r="AU2526" s="2259"/>
      <c r="AV2526" s="2259"/>
      <c r="AW2526" s="2259"/>
      <c r="AX2526" s="2259"/>
      <c r="AY2526" s="2259"/>
      <c r="AZ2526" s="2259"/>
      <c r="BA2526" s="2259"/>
      <c r="BB2526" s="2259"/>
      <c r="BC2526" s="2259"/>
      <c r="BD2526" s="2259"/>
      <c r="BE2526" s="2259"/>
      <c r="BF2526" s="2259"/>
      <c r="BG2526" s="2259"/>
      <c r="BH2526" s="2259"/>
      <c r="BI2526" s="2259"/>
      <c r="BJ2526" s="2259"/>
      <c r="BK2526" s="2259"/>
      <c r="BL2526" s="2259"/>
      <c r="BM2526" s="2259"/>
      <c r="BN2526" s="2259"/>
      <c r="BO2526" s="2259"/>
      <c r="BP2526" s="2259"/>
      <c r="BQ2526" s="2259"/>
      <c r="BR2526" s="2259"/>
      <c r="BS2526" s="2259"/>
    </row>
    <row r="2527" spans="1:71" s="2131" customFormat="1" ht="38.25">
      <c r="A2527" s="2152"/>
      <c r="B2527" s="2253"/>
      <c r="C2527" s="2164">
        <v>5</v>
      </c>
      <c r="D2527" s="2164" t="s">
        <v>34</v>
      </c>
      <c r="E2527" s="2164" t="s">
        <v>25</v>
      </c>
      <c r="F2527" s="2164" t="s">
        <v>45</v>
      </c>
      <c r="G2527" s="2164" t="s">
        <v>25</v>
      </c>
      <c r="H2527" s="2164" t="s">
        <v>62</v>
      </c>
      <c r="I2527" s="2260" t="s">
        <v>155</v>
      </c>
      <c r="J2527" s="2265" t="s">
        <v>3630</v>
      </c>
      <c r="K2527" s="2240">
        <v>72</v>
      </c>
      <c r="L2527" s="2241">
        <v>65400000</v>
      </c>
      <c r="M2527" s="2261">
        <v>36</v>
      </c>
      <c r="N2527" s="2262">
        <v>32804000</v>
      </c>
      <c r="O2527" s="2240">
        <v>12</v>
      </c>
      <c r="P2527" s="2242">
        <v>10346536</v>
      </c>
      <c r="Q2527" s="2261">
        <v>3</v>
      </c>
      <c r="R2527" s="2241">
        <f>5059600+400000</f>
        <v>5459600</v>
      </c>
      <c r="S2527" s="2240">
        <v>3</v>
      </c>
      <c r="T2527" s="2241">
        <f>1584400+300000</f>
        <v>1884400</v>
      </c>
      <c r="U2527" s="2240"/>
      <c r="V2527" s="2241"/>
      <c r="W2527" s="2240"/>
      <c r="X2527" s="2241"/>
      <c r="Y2527" s="2240">
        <f t="shared" si="681"/>
        <v>6</v>
      </c>
      <c r="Z2527" s="2241">
        <f t="shared" si="681"/>
        <v>7344000</v>
      </c>
      <c r="AA2527" s="2240">
        <f t="shared" si="682"/>
        <v>42</v>
      </c>
      <c r="AB2527" s="2241">
        <f t="shared" si="682"/>
        <v>40148000</v>
      </c>
      <c r="AC2527" s="2243">
        <f t="shared" si="683"/>
        <v>58.333333333333336</v>
      </c>
      <c r="AD2527" s="2243">
        <f t="shared" si="683"/>
        <v>61.388379204892964</v>
      </c>
      <c r="AE2527" s="2216"/>
      <c r="AF2527" s="2259"/>
      <c r="AG2527" s="2259"/>
      <c r="AH2527" s="2259"/>
      <c r="AI2527" s="2259"/>
      <c r="AJ2527" s="2259"/>
      <c r="AK2527" s="2259"/>
      <c r="AL2527" s="2259"/>
      <c r="AM2527" s="2259"/>
      <c r="AN2527" s="2259"/>
      <c r="AO2527" s="2259"/>
      <c r="AP2527" s="2259"/>
      <c r="AQ2527" s="2259"/>
      <c r="AR2527" s="2259"/>
      <c r="AS2527" s="2259"/>
      <c r="AT2527" s="2259"/>
      <c r="AU2527" s="2259"/>
      <c r="AV2527" s="2259"/>
      <c r="AW2527" s="2259"/>
      <c r="AX2527" s="2259"/>
      <c r="AY2527" s="2259"/>
      <c r="AZ2527" s="2259"/>
      <c r="BA2527" s="2259"/>
      <c r="BB2527" s="2259"/>
      <c r="BC2527" s="2259"/>
      <c r="BD2527" s="2259"/>
      <c r="BE2527" s="2259"/>
      <c r="BF2527" s="2259"/>
      <c r="BG2527" s="2259"/>
      <c r="BH2527" s="2259"/>
      <c r="BI2527" s="2259"/>
      <c r="BJ2527" s="2259"/>
      <c r="BK2527" s="2259"/>
      <c r="BL2527" s="2259"/>
      <c r="BM2527" s="2259"/>
      <c r="BN2527" s="2259"/>
      <c r="BO2527" s="2259"/>
      <c r="BP2527" s="2259"/>
      <c r="BQ2527" s="2259"/>
      <c r="BR2527" s="2259"/>
      <c r="BS2527" s="2259"/>
    </row>
    <row r="2528" spans="1:71" s="2131" customFormat="1" ht="51">
      <c r="A2528" s="2152"/>
      <c r="B2528" s="2253"/>
      <c r="C2528" s="2164">
        <v>5</v>
      </c>
      <c r="D2528" s="2164" t="s">
        <v>34</v>
      </c>
      <c r="E2528" s="2164" t="s">
        <v>25</v>
      </c>
      <c r="F2528" s="2164" t="s">
        <v>45</v>
      </c>
      <c r="G2528" s="2164" t="s">
        <v>25</v>
      </c>
      <c r="H2528" s="2164" t="s">
        <v>52</v>
      </c>
      <c r="I2528" s="2260" t="s">
        <v>3687</v>
      </c>
      <c r="J2528" s="2260" t="s">
        <v>3631</v>
      </c>
      <c r="K2528" s="2240">
        <v>72</v>
      </c>
      <c r="L2528" s="2241">
        <v>13691000</v>
      </c>
      <c r="M2528" s="2261">
        <v>36</v>
      </c>
      <c r="N2528" s="2262">
        <v>5695000</v>
      </c>
      <c r="O2528" s="2240">
        <v>12</v>
      </c>
      <c r="P2528" s="2242">
        <v>2633000</v>
      </c>
      <c r="Q2528" s="2261">
        <v>3</v>
      </c>
      <c r="R2528" s="2241">
        <v>866500</v>
      </c>
      <c r="S2528" s="2240">
        <v>3</v>
      </c>
      <c r="T2528" s="2241">
        <v>1766500</v>
      </c>
      <c r="U2528" s="2240"/>
      <c r="V2528" s="2242"/>
      <c r="W2528" s="2240"/>
      <c r="X2528" s="2241"/>
      <c r="Y2528" s="2240">
        <f t="shared" si="681"/>
        <v>6</v>
      </c>
      <c r="Z2528" s="2241">
        <f t="shared" si="681"/>
        <v>2633000</v>
      </c>
      <c r="AA2528" s="2240">
        <f t="shared" si="682"/>
        <v>42</v>
      </c>
      <c r="AB2528" s="2241">
        <f t="shared" si="682"/>
        <v>8328000</v>
      </c>
      <c r="AC2528" s="2243">
        <f t="shared" si="683"/>
        <v>58.333333333333336</v>
      </c>
      <c r="AD2528" s="2243">
        <f t="shared" si="683"/>
        <v>60.828281352713468</v>
      </c>
      <c r="AE2528" s="2216"/>
      <c r="AF2528" s="2259"/>
      <c r="AG2528" s="2259"/>
      <c r="AH2528" s="2259"/>
      <c r="AI2528" s="2259"/>
      <c r="AJ2528" s="2259"/>
      <c r="AK2528" s="2259"/>
      <c r="AL2528" s="2259"/>
      <c r="AM2528" s="2259"/>
      <c r="AN2528" s="2259"/>
      <c r="AO2528" s="2259"/>
      <c r="AP2528" s="2259"/>
      <c r="AQ2528" s="2259"/>
      <c r="AR2528" s="2259"/>
      <c r="AS2528" s="2259"/>
      <c r="AT2528" s="2259"/>
      <c r="AU2528" s="2259"/>
      <c r="AV2528" s="2259"/>
      <c r="AW2528" s="2259"/>
      <c r="AX2528" s="2259"/>
      <c r="AY2528" s="2259"/>
      <c r="AZ2528" s="2259"/>
      <c r="BA2528" s="2259"/>
      <c r="BB2528" s="2259"/>
      <c r="BC2528" s="2259"/>
      <c r="BD2528" s="2259"/>
      <c r="BE2528" s="2259"/>
      <c r="BF2528" s="2259"/>
      <c r="BG2528" s="2259"/>
      <c r="BH2528" s="2259"/>
      <c r="BI2528" s="2259"/>
      <c r="BJ2528" s="2259"/>
      <c r="BK2528" s="2259"/>
      <c r="BL2528" s="2259"/>
      <c r="BM2528" s="2259"/>
      <c r="BN2528" s="2259"/>
      <c r="BO2528" s="2259"/>
      <c r="BP2528" s="2259"/>
      <c r="BQ2528" s="2259"/>
      <c r="BR2528" s="2259"/>
      <c r="BS2528" s="2259"/>
    </row>
    <row r="2529" spans="1:71" s="2131" customFormat="1" ht="63.75">
      <c r="A2529" s="2267"/>
      <c r="B2529" s="2253"/>
      <c r="C2529" s="2164">
        <v>5</v>
      </c>
      <c r="D2529" s="2164" t="s">
        <v>34</v>
      </c>
      <c r="E2529" s="2164" t="s">
        <v>25</v>
      </c>
      <c r="F2529" s="2164" t="s">
        <v>45</v>
      </c>
      <c r="G2529" s="2164" t="s">
        <v>25</v>
      </c>
      <c r="H2529" s="2254" t="s">
        <v>45</v>
      </c>
      <c r="I2529" s="2171" t="s">
        <v>3688</v>
      </c>
      <c r="J2529" s="2171" t="s">
        <v>3632</v>
      </c>
      <c r="K2529" s="2255">
        <v>72</v>
      </c>
      <c r="L2529" s="2203">
        <v>15130000</v>
      </c>
      <c r="M2529" s="2256">
        <v>36</v>
      </c>
      <c r="N2529" s="2257">
        <v>9320000</v>
      </c>
      <c r="O2529" s="2255">
        <v>12</v>
      </c>
      <c r="P2529" s="2258">
        <v>5980000</v>
      </c>
      <c r="Q2529" s="2256">
        <v>3</v>
      </c>
      <c r="R2529" s="2203">
        <v>0</v>
      </c>
      <c r="S2529" s="2255">
        <v>3</v>
      </c>
      <c r="T2529" s="2203">
        <v>3950000</v>
      </c>
      <c r="U2529" s="2255"/>
      <c r="V2529" s="2258"/>
      <c r="W2529" s="2255"/>
      <c r="X2529" s="2203"/>
      <c r="Y2529" s="2240">
        <f t="shared" si="681"/>
        <v>6</v>
      </c>
      <c r="Z2529" s="2203">
        <f t="shared" si="681"/>
        <v>3950000</v>
      </c>
      <c r="AA2529" s="2240">
        <f t="shared" si="682"/>
        <v>42</v>
      </c>
      <c r="AB2529" s="2203">
        <f t="shared" si="682"/>
        <v>13270000</v>
      </c>
      <c r="AC2529" s="2243">
        <f t="shared" si="683"/>
        <v>58.333333333333336</v>
      </c>
      <c r="AD2529" s="2243">
        <f t="shared" si="683"/>
        <v>87.706543291473892</v>
      </c>
      <c r="AE2529" s="2605"/>
      <c r="AF2529" s="2259"/>
      <c r="AG2529" s="2259"/>
      <c r="AH2529" s="2259"/>
      <c r="AI2529" s="2259"/>
      <c r="AJ2529" s="2259"/>
      <c r="AK2529" s="2259"/>
      <c r="AL2529" s="2259"/>
      <c r="AM2529" s="2259"/>
      <c r="AN2529" s="2259"/>
      <c r="AO2529" s="2259"/>
      <c r="AP2529" s="2259"/>
      <c r="AQ2529" s="2259"/>
      <c r="AR2529" s="2259"/>
      <c r="AS2529" s="2259"/>
      <c r="AT2529" s="2259"/>
      <c r="AU2529" s="2259"/>
      <c r="AV2529" s="2259"/>
      <c r="AW2529" s="2259"/>
      <c r="AX2529" s="2259"/>
      <c r="AY2529" s="2259"/>
      <c r="AZ2529" s="2259"/>
      <c r="BA2529" s="2259"/>
      <c r="BB2529" s="2259"/>
      <c r="BC2529" s="2259"/>
      <c r="BD2529" s="2259"/>
      <c r="BE2529" s="2259"/>
      <c r="BF2529" s="2259"/>
      <c r="BG2529" s="2259"/>
      <c r="BH2529" s="2259"/>
      <c r="BI2529" s="2259"/>
      <c r="BJ2529" s="2259"/>
      <c r="BK2529" s="2259"/>
      <c r="BL2529" s="2259"/>
      <c r="BM2529" s="2259"/>
      <c r="BN2529" s="2259"/>
      <c r="BO2529" s="2259"/>
      <c r="BP2529" s="2259"/>
      <c r="BQ2529" s="2259"/>
      <c r="BR2529" s="2259"/>
      <c r="BS2529" s="2259"/>
    </row>
    <row r="2530" spans="1:71" s="2131" customFormat="1" ht="38.25">
      <c r="A2530" s="2152"/>
      <c r="B2530" s="2253"/>
      <c r="C2530" s="2164">
        <v>5</v>
      </c>
      <c r="D2530" s="2164" t="s">
        <v>34</v>
      </c>
      <c r="E2530" s="2164" t="s">
        <v>25</v>
      </c>
      <c r="F2530" s="2164" t="s">
        <v>45</v>
      </c>
      <c r="G2530" s="2164" t="s">
        <v>25</v>
      </c>
      <c r="H2530" s="2164" t="s">
        <v>74</v>
      </c>
      <c r="I2530" s="2260" t="s">
        <v>167</v>
      </c>
      <c r="J2530" s="2265" t="s">
        <v>3633</v>
      </c>
      <c r="K2530" s="2240">
        <v>72</v>
      </c>
      <c r="L2530" s="2241">
        <v>136500000</v>
      </c>
      <c r="M2530" s="2261">
        <v>36</v>
      </c>
      <c r="N2530" s="2262">
        <v>54105900</v>
      </c>
      <c r="O2530" s="2240">
        <v>12</v>
      </c>
      <c r="P2530" s="2242">
        <v>17875000</v>
      </c>
      <c r="Q2530" s="2261">
        <v>3</v>
      </c>
      <c r="R2530" s="2241">
        <f>408000+543900</f>
        <v>951900</v>
      </c>
      <c r="S2530" s="2240">
        <v>3</v>
      </c>
      <c r="T2530" s="2241">
        <f>6145095+3807375</f>
        <v>9952470</v>
      </c>
      <c r="U2530" s="2240"/>
      <c r="V2530" s="2241"/>
      <c r="W2530" s="2240"/>
      <c r="X2530" s="2241"/>
      <c r="Y2530" s="2240">
        <f t="shared" si="681"/>
        <v>6</v>
      </c>
      <c r="Z2530" s="2241">
        <f t="shared" si="681"/>
        <v>10904370</v>
      </c>
      <c r="AA2530" s="2240">
        <f t="shared" si="682"/>
        <v>42</v>
      </c>
      <c r="AB2530" s="2241">
        <f t="shared" si="682"/>
        <v>65010270</v>
      </c>
      <c r="AC2530" s="2243">
        <f t="shared" si="683"/>
        <v>58.333333333333336</v>
      </c>
      <c r="AD2530" s="2243">
        <f t="shared" si="683"/>
        <v>47.626571428571431</v>
      </c>
      <c r="AE2530" s="2216"/>
      <c r="AF2530" s="2259"/>
      <c r="AG2530" s="2259"/>
      <c r="AH2530" s="2259"/>
      <c r="AI2530" s="2259"/>
      <c r="AJ2530" s="2259"/>
      <c r="AK2530" s="2259"/>
      <c r="AL2530" s="2259"/>
      <c r="AM2530" s="2259"/>
      <c r="AN2530" s="2259"/>
      <c r="AO2530" s="2259"/>
      <c r="AP2530" s="2259"/>
      <c r="AQ2530" s="2259"/>
      <c r="AR2530" s="2259"/>
      <c r="AS2530" s="2259"/>
      <c r="AT2530" s="2259"/>
      <c r="AU2530" s="2259"/>
      <c r="AV2530" s="2259"/>
      <c r="AW2530" s="2259"/>
      <c r="AX2530" s="2259"/>
      <c r="AY2530" s="2259"/>
      <c r="AZ2530" s="2259"/>
      <c r="BA2530" s="2259"/>
      <c r="BB2530" s="2259"/>
      <c r="BC2530" s="2259"/>
      <c r="BD2530" s="2259"/>
      <c r="BE2530" s="2259"/>
      <c r="BF2530" s="2259"/>
      <c r="BG2530" s="2259"/>
      <c r="BH2530" s="2259"/>
      <c r="BI2530" s="2259"/>
      <c r="BJ2530" s="2259"/>
      <c r="BK2530" s="2259"/>
      <c r="BL2530" s="2259"/>
      <c r="BM2530" s="2259"/>
      <c r="BN2530" s="2259"/>
      <c r="BO2530" s="2259"/>
      <c r="BP2530" s="2259"/>
      <c r="BQ2530" s="2259"/>
      <c r="BR2530" s="2259"/>
      <c r="BS2530" s="2259"/>
    </row>
    <row r="2531" spans="1:71" s="2131" customFormat="1" ht="51">
      <c r="A2531" s="2152"/>
      <c r="B2531" s="2253"/>
      <c r="C2531" s="2164">
        <v>5</v>
      </c>
      <c r="D2531" s="2164" t="s">
        <v>34</v>
      </c>
      <c r="E2531" s="2164" t="s">
        <v>25</v>
      </c>
      <c r="F2531" s="2164" t="s">
        <v>45</v>
      </c>
      <c r="G2531" s="2164" t="s">
        <v>25</v>
      </c>
      <c r="H2531" s="2164" t="s">
        <v>44</v>
      </c>
      <c r="I2531" s="2260" t="s">
        <v>233</v>
      </c>
      <c r="J2531" s="2260" t="s">
        <v>3634</v>
      </c>
      <c r="K2531" s="2240">
        <v>72</v>
      </c>
      <c r="L2531" s="2241">
        <v>360000000</v>
      </c>
      <c r="M2531" s="2261">
        <v>36</v>
      </c>
      <c r="N2531" s="2262">
        <v>94771950</v>
      </c>
      <c r="O2531" s="2240">
        <v>12</v>
      </c>
      <c r="P2531" s="2242">
        <v>12650000</v>
      </c>
      <c r="Q2531" s="2261">
        <v>3</v>
      </c>
      <c r="R2531" s="2241">
        <v>0</v>
      </c>
      <c r="S2531" s="2240">
        <v>3</v>
      </c>
      <c r="T2531" s="2241">
        <v>2650000</v>
      </c>
      <c r="U2531" s="2240"/>
      <c r="V2531" s="2242"/>
      <c r="W2531" s="2240"/>
      <c r="X2531" s="2241"/>
      <c r="Y2531" s="2240">
        <f t="shared" si="681"/>
        <v>6</v>
      </c>
      <c r="Z2531" s="2241">
        <f t="shared" si="681"/>
        <v>2650000</v>
      </c>
      <c r="AA2531" s="2240">
        <f t="shared" si="682"/>
        <v>42</v>
      </c>
      <c r="AB2531" s="2241">
        <f t="shared" si="682"/>
        <v>97421950</v>
      </c>
      <c r="AC2531" s="2243">
        <f t="shared" si="683"/>
        <v>58.333333333333336</v>
      </c>
      <c r="AD2531" s="2243">
        <f t="shared" si="683"/>
        <v>27.061652777777777</v>
      </c>
      <c r="AE2531" s="2216"/>
      <c r="AF2531" s="2259"/>
      <c r="AG2531" s="2259"/>
      <c r="AH2531" s="2259"/>
      <c r="AI2531" s="2259"/>
      <c r="AJ2531" s="2259"/>
      <c r="AK2531" s="2259"/>
      <c r="AL2531" s="2259"/>
      <c r="AM2531" s="2259"/>
      <c r="AN2531" s="2259"/>
      <c r="AO2531" s="2259"/>
      <c r="AP2531" s="2259"/>
      <c r="AQ2531" s="2259"/>
      <c r="AR2531" s="2259"/>
      <c r="AS2531" s="2259"/>
      <c r="AT2531" s="2259"/>
      <c r="AU2531" s="2259"/>
      <c r="AV2531" s="2259"/>
      <c r="AW2531" s="2259"/>
      <c r="AX2531" s="2259"/>
      <c r="AY2531" s="2259"/>
      <c r="AZ2531" s="2259"/>
      <c r="BA2531" s="2259"/>
      <c r="BB2531" s="2259"/>
      <c r="BC2531" s="2259"/>
      <c r="BD2531" s="2259"/>
      <c r="BE2531" s="2259"/>
      <c r="BF2531" s="2259"/>
      <c r="BG2531" s="2259"/>
      <c r="BH2531" s="2259"/>
      <c r="BI2531" s="2259"/>
      <c r="BJ2531" s="2259"/>
      <c r="BK2531" s="2259"/>
      <c r="BL2531" s="2259"/>
      <c r="BM2531" s="2259"/>
      <c r="BN2531" s="2259"/>
      <c r="BO2531" s="2259"/>
      <c r="BP2531" s="2259"/>
      <c r="BQ2531" s="2259"/>
      <c r="BR2531" s="2259"/>
      <c r="BS2531" s="2259"/>
    </row>
    <row r="2532" spans="1:71" s="2131" customFormat="1" ht="51">
      <c r="A2532" s="2267"/>
      <c r="B2532" s="2253"/>
      <c r="C2532" s="2164">
        <v>5</v>
      </c>
      <c r="D2532" s="2164" t="s">
        <v>34</v>
      </c>
      <c r="E2532" s="2164" t="s">
        <v>25</v>
      </c>
      <c r="F2532" s="2164" t="s">
        <v>45</v>
      </c>
      <c r="G2532" s="2164" t="s">
        <v>25</v>
      </c>
      <c r="H2532" s="2254" t="s">
        <v>54</v>
      </c>
      <c r="I2532" s="2171" t="s">
        <v>3689</v>
      </c>
      <c r="J2532" s="2171" t="s">
        <v>3635</v>
      </c>
      <c r="K2532" s="2255">
        <v>72</v>
      </c>
      <c r="L2532" s="2203">
        <v>398875000</v>
      </c>
      <c r="M2532" s="2256">
        <v>36</v>
      </c>
      <c r="N2532" s="2257">
        <v>103470000</v>
      </c>
      <c r="O2532" s="2255">
        <v>12</v>
      </c>
      <c r="P2532" s="2258">
        <v>76880000</v>
      </c>
      <c r="Q2532" s="2256">
        <v>3</v>
      </c>
      <c r="R2532" s="2203">
        <v>18435000</v>
      </c>
      <c r="S2532" s="2255">
        <v>3</v>
      </c>
      <c r="T2532" s="2203">
        <v>28160000</v>
      </c>
      <c r="U2532" s="2255"/>
      <c r="V2532" s="2258"/>
      <c r="W2532" s="2255"/>
      <c r="X2532" s="2203"/>
      <c r="Y2532" s="2240">
        <f t="shared" si="681"/>
        <v>6</v>
      </c>
      <c r="Z2532" s="2203">
        <f t="shared" si="681"/>
        <v>46595000</v>
      </c>
      <c r="AA2532" s="2240">
        <f t="shared" si="682"/>
        <v>42</v>
      </c>
      <c r="AB2532" s="2203">
        <f t="shared" si="682"/>
        <v>150065000</v>
      </c>
      <c r="AC2532" s="2243">
        <f t="shared" si="683"/>
        <v>58.333333333333336</v>
      </c>
      <c r="AD2532" s="2243">
        <f t="shared" si="683"/>
        <v>37.622062049514263</v>
      </c>
      <c r="AE2532" s="2605"/>
    </row>
    <row r="2533" spans="1:71" s="2131" customFormat="1" ht="51">
      <c r="A2533" s="2215"/>
      <c r="B2533" s="2354"/>
      <c r="C2533" s="2216">
        <v>5</v>
      </c>
      <c r="D2533" s="2217" t="s">
        <v>25</v>
      </c>
      <c r="E2533" s="2217" t="s">
        <v>25</v>
      </c>
      <c r="F2533" s="2164" t="s">
        <v>45</v>
      </c>
      <c r="G2533" s="2164" t="s">
        <v>25</v>
      </c>
      <c r="H2533" s="2217">
        <v>30</v>
      </c>
      <c r="I2533" s="2218" t="s">
        <v>3801</v>
      </c>
      <c r="J2533" s="2354" t="s">
        <v>3897</v>
      </c>
      <c r="K2533" s="2199">
        <v>48</v>
      </c>
      <c r="L2533" s="2200">
        <v>40612154</v>
      </c>
      <c r="M2533" s="2199">
        <v>33</v>
      </c>
      <c r="N2533" s="2200">
        <v>10890000</v>
      </c>
      <c r="O2533" s="2199">
        <v>8</v>
      </c>
      <c r="P2533" s="2200">
        <v>5830000</v>
      </c>
      <c r="Q2533" s="2219">
        <v>2</v>
      </c>
      <c r="R2533" s="2222">
        <v>0</v>
      </c>
      <c r="S2533" s="2356">
        <v>2</v>
      </c>
      <c r="T2533" s="2222">
        <v>1989350</v>
      </c>
      <c r="U2533" s="2219"/>
      <c r="V2533" s="2222"/>
      <c r="W2533" s="2219"/>
      <c r="X2533" s="2222"/>
      <c r="Y2533" s="2219">
        <f t="shared" si="681"/>
        <v>4</v>
      </c>
      <c r="Z2533" s="2220">
        <f t="shared" si="681"/>
        <v>1989350</v>
      </c>
      <c r="AA2533" s="2219">
        <f t="shared" si="682"/>
        <v>37</v>
      </c>
      <c r="AB2533" s="2224">
        <f t="shared" si="682"/>
        <v>12879350</v>
      </c>
      <c r="AC2533" s="2199">
        <f t="shared" si="683"/>
        <v>77.083333333333343</v>
      </c>
      <c r="AD2533" s="2363">
        <f t="shared" si="683"/>
        <v>31.713043341655801</v>
      </c>
      <c r="AE2533" s="2215"/>
    </row>
    <row r="2534" spans="1:71" s="2131" customFormat="1" ht="63.75">
      <c r="A2534" s="2140" t="s">
        <v>114</v>
      </c>
      <c r="B2534" s="2194"/>
      <c r="C2534" s="2142">
        <v>5</v>
      </c>
      <c r="D2534" s="2142" t="s">
        <v>34</v>
      </c>
      <c r="E2534" s="2142" t="s">
        <v>25</v>
      </c>
      <c r="F2534" s="2142" t="s">
        <v>45</v>
      </c>
      <c r="G2534" s="2142" t="s">
        <v>28</v>
      </c>
      <c r="H2534" s="2140"/>
      <c r="I2534" s="2143" t="s">
        <v>3636</v>
      </c>
      <c r="J2534" s="2143" t="s">
        <v>3531</v>
      </c>
      <c r="K2534" s="2144">
        <v>72</v>
      </c>
      <c r="L2534" s="2145">
        <f>SUM(L2535:L2540)</f>
        <v>751776800</v>
      </c>
      <c r="M2534" s="2144">
        <v>36</v>
      </c>
      <c r="N2534" s="2145">
        <f>SUM(N2535:N2540)</f>
        <v>586948626</v>
      </c>
      <c r="O2534" s="2144">
        <v>12</v>
      </c>
      <c r="P2534" s="2145">
        <f>SUM(P2535:P2540)</f>
        <v>140015000</v>
      </c>
      <c r="Q2534" s="2144">
        <v>3</v>
      </c>
      <c r="R2534" s="2145">
        <f>SUM(R2535:R2540)</f>
        <v>24464500</v>
      </c>
      <c r="S2534" s="2144">
        <v>3</v>
      </c>
      <c r="T2534" s="2145">
        <f>SUM(T2535:T2540)</f>
        <v>22569750</v>
      </c>
      <c r="U2534" s="2144"/>
      <c r="V2534" s="2145">
        <f>SUM(V2535:V2540)</f>
        <v>0</v>
      </c>
      <c r="W2534" s="2144"/>
      <c r="X2534" s="2145">
        <f>SUM(X2535:X2540)</f>
        <v>0</v>
      </c>
      <c r="Y2534" s="2144">
        <f t="shared" si="681"/>
        <v>6</v>
      </c>
      <c r="Z2534" s="2145">
        <f t="shared" si="681"/>
        <v>47034250</v>
      </c>
      <c r="AA2534" s="2144">
        <f t="shared" si="682"/>
        <v>42</v>
      </c>
      <c r="AB2534" s="2145">
        <f t="shared" si="682"/>
        <v>633982876</v>
      </c>
      <c r="AC2534" s="2147">
        <f t="shared" si="683"/>
        <v>58.333333333333336</v>
      </c>
      <c r="AD2534" s="2147">
        <f t="shared" si="683"/>
        <v>84.331263747431422</v>
      </c>
      <c r="AE2534" s="2204" t="s">
        <v>3895</v>
      </c>
    </row>
    <row r="2535" spans="1:71" s="2131" customFormat="1" ht="38.25">
      <c r="A2535" s="2215"/>
      <c r="B2535" s="2218"/>
      <c r="C2535" s="2217" t="s">
        <v>3803</v>
      </c>
      <c r="D2535" s="2217" t="s">
        <v>34</v>
      </c>
      <c r="E2535" s="2217" t="s">
        <v>25</v>
      </c>
      <c r="F2535" s="2217" t="s">
        <v>28</v>
      </c>
      <c r="G2535" s="2217" t="s">
        <v>28</v>
      </c>
      <c r="H2535" s="2217" t="s">
        <v>43</v>
      </c>
      <c r="I2535" s="2218" t="s">
        <v>3898</v>
      </c>
      <c r="J2535" s="2218" t="s">
        <v>3899</v>
      </c>
      <c r="K2535" s="2199">
        <v>45</v>
      </c>
      <c r="L2535" s="2200">
        <v>35000000</v>
      </c>
      <c r="M2535" s="2201">
        <v>28</v>
      </c>
      <c r="N2535" s="2200">
        <v>44330000</v>
      </c>
      <c r="O2535" s="2199">
        <v>12</v>
      </c>
      <c r="P2535" s="2200">
        <v>28855000</v>
      </c>
      <c r="Q2535" s="2219">
        <v>3</v>
      </c>
      <c r="R2535" s="2200">
        <v>4000000</v>
      </c>
      <c r="S2535" s="2219">
        <v>3</v>
      </c>
      <c r="T2535" s="2223">
        <v>8855000</v>
      </c>
      <c r="U2535" s="2219"/>
      <c r="V2535" s="2223"/>
      <c r="W2535" s="2219"/>
      <c r="X2535" s="2222"/>
      <c r="Y2535" s="2219">
        <f t="shared" si="681"/>
        <v>6</v>
      </c>
      <c r="Z2535" s="2223">
        <f t="shared" si="681"/>
        <v>12855000</v>
      </c>
      <c r="AA2535" s="2219">
        <f t="shared" si="682"/>
        <v>34</v>
      </c>
      <c r="AB2535" s="2224">
        <f t="shared" si="682"/>
        <v>57185000</v>
      </c>
      <c r="AC2535" s="2308">
        <f t="shared" si="683"/>
        <v>75.555555555555557</v>
      </c>
      <c r="AD2535" s="2363">
        <f t="shared" si="683"/>
        <v>163.3857142857143</v>
      </c>
      <c r="AE2535" s="2215"/>
    </row>
    <row r="2536" spans="1:71" s="2131" customFormat="1" ht="25.5">
      <c r="A2536" s="2362"/>
      <c r="B2536" s="2218"/>
      <c r="C2536" s="2217" t="s">
        <v>3803</v>
      </c>
      <c r="D2536" s="2217" t="s">
        <v>34</v>
      </c>
      <c r="E2536" s="2217" t="s">
        <v>25</v>
      </c>
      <c r="F2536" s="2217" t="s">
        <v>28</v>
      </c>
      <c r="G2536" s="2217" t="s">
        <v>28</v>
      </c>
      <c r="H2536" s="2217" t="s">
        <v>61</v>
      </c>
      <c r="I2536" s="2218" t="s">
        <v>3865</v>
      </c>
      <c r="J2536" s="2218" t="s">
        <v>3900</v>
      </c>
      <c r="K2536" s="2199">
        <v>6</v>
      </c>
      <c r="L2536" s="2200">
        <v>51645000</v>
      </c>
      <c r="M2536" s="2199">
        <v>1</v>
      </c>
      <c r="N2536" s="2200">
        <v>15645000</v>
      </c>
      <c r="O2536" s="2201">
        <v>1</v>
      </c>
      <c r="P2536" s="2200">
        <v>6390000</v>
      </c>
      <c r="Q2536" s="2219">
        <v>3</v>
      </c>
      <c r="R2536" s="2357">
        <v>6390000</v>
      </c>
      <c r="S2536" s="2356">
        <v>3</v>
      </c>
      <c r="T2536" s="2220">
        <v>0</v>
      </c>
      <c r="U2536" s="2356"/>
      <c r="V2536" s="2223"/>
      <c r="W2536" s="2219"/>
      <c r="X2536" s="2222"/>
      <c r="Y2536" s="2219">
        <f t="shared" si="681"/>
        <v>6</v>
      </c>
      <c r="Z2536" s="2223">
        <f t="shared" si="681"/>
        <v>6390000</v>
      </c>
      <c r="AA2536" s="2219">
        <f t="shared" si="682"/>
        <v>7</v>
      </c>
      <c r="AB2536" s="2224">
        <f t="shared" si="682"/>
        <v>22035000</v>
      </c>
      <c r="AC2536" s="2308">
        <f t="shared" si="683"/>
        <v>116.66666666666667</v>
      </c>
      <c r="AD2536" s="2363">
        <f t="shared" si="683"/>
        <v>42.666279407493462</v>
      </c>
      <c r="AE2536" s="2215"/>
    </row>
    <row r="2537" spans="1:71" s="2131" customFormat="1" ht="25.5">
      <c r="A2537" s="2215"/>
      <c r="B2537" s="2218"/>
      <c r="C2537" s="2217">
        <v>5</v>
      </c>
      <c r="D2537" s="2217" t="s">
        <v>34</v>
      </c>
      <c r="E2537" s="2217" t="s">
        <v>25</v>
      </c>
      <c r="F2537" s="2217" t="s">
        <v>28</v>
      </c>
      <c r="G2537" s="2217" t="s">
        <v>28</v>
      </c>
      <c r="H2537" s="2217">
        <v>22</v>
      </c>
      <c r="I2537" s="2218" t="s">
        <v>3811</v>
      </c>
      <c r="J2537" s="2218" t="s">
        <v>3812</v>
      </c>
      <c r="K2537" s="2199">
        <v>72</v>
      </c>
      <c r="L2537" s="2200">
        <v>55994000</v>
      </c>
      <c r="M2537" s="2201">
        <v>36</v>
      </c>
      <c r="N2537" s="2200">
        <v>23994000</v>
      </c>
      <c r="O2537" s="2199">
        <v>12</v>
      </c>
      <c r="P2537" s="2200">
        <v>14230000</v>
      </c>
      <c r="Q2537" s="2219">
        <v>3</v>
      </c>
      <c r="R2537" s="2200">
        <v>2414500</v>
      </c>
      <c r="S2537" s="2219">
        <v>3</v>
      </c>
      <c r="T2537" s="2223">
        <v>5815500</v>
      </c>
      <c r="U2537" s="2219"/>
      <c r="V2537" s="2220"/>
      <c r="W2537" s="2219"/>
      <c r="X2537" s="2331"/>
      <c r="Y2537" s="2219">
        <f t="shared" si="681"/>
        <v>6</v>
      </c>
      <c r="Z2537" s="2223">
        <f t="shared" si="681"/>
        <v>8230000</v>
      </c>
      <c r="AA2537" s="2219">
        <f t="shared" si="682"/>
        <v>42</v>
      </c>
      <c r="AB2537" s="2224">
        <f t="shared" si="682"/>
        <v>32224000</v>
      </c>
      <c r="AC2537" s="2308">
        <f t="shared" si="683"/>
        <v>58.333333333333336</v>
      </c>
      <c r="AD2537" s="2363">
        <f t="shared" si="683"/>
        <v>57.549023109618894</v>
      </c>
      <c r="AE2537" s="2215"/>
    </row>
    <row r="2538" spans="1:71" s="2131" customFormat="1" ht="38.25">
      <c r="A2538" s="2215"/>
      <c r="B2538" s="2218"/>
      <c r="C2538" s="2217" t="s">
        <v>3803</v>
      </c>
      <c r="D2538" s="2217" t="s">
        <v>34</v>
      </c>
      <c r="E2538" s="2217" t="s">
        <v>25</v>
      </c>
      <c r="F2538" s="2217" t="s">
        <v>28</v>
      </c>
      <c r="G2538" s="2217" t="s">
        <v>28</v>
      </c>
      <c r="H2538" s="2217" t="s">
        <v>84</v>
      </c>
      <c r="I2538" s="2218" t="s">
        <v>3867</v>
      </c>
      <c r="J2538" s="2218" t="s">
        <v>242</v>
      </c>
      <c r="K2538" s="2199">
        <v>72</v>
      </c>
      <c r="L2538" s="2200">
        <v>45100000</v>
      </c>
      <c r="M2538" s="2201">
        <v>36</v>
      </c>
      <c r="N2538" s="2200">
        <v>33587560</v>
      </c>
      <c r="O2538" s="2199">
        <v>12</v>
      </c>
      <c r="P2538" s="2357">
        <v>4750000</v>
      </c>
      <c r="Q2538" s="2219">
        <v>3</v>
      </c>
      <c r="R2538" s="2200">
        <v>2414500</v>
      </c>
      <c r="S2538" s="2219">
        <v>3</v>
      </c>
      <c r="T2538" s="2223">
        <v>0</v>
      </c>
      <c r="U2538" s="2219"/>
      <c r="V2538" s="2223"/>
      <c r="W2538" s="2219"/>
      <c r="X2538" s="2222"/>
      <c r="Y2538" s="2219">
        <f t="shared" si="681"/>
        <v>6</v>
      </c>
      <c r="Z2538" s="2223">
        <f t="shared" si="681"/>
        <v>2414500</v>
      </c>
      <c r="AA2538" s="2219">
        <f t="shared" si="682"/>
        <v>42</v>
      </c>
      <c r="AB2538" s="2224">
        <f t="shared" si="682"/>
        <v>36002060</v>
      </c>
      <c r="AC2538" s="2308">
        <f t="shared" si="683"/>
        <v>58.333333333333336</v>
      </c>
      <c r="AD2538" s="2363">
        <f t="shared" si="683"/>
        <v>79.827184035476719</v>
      </c>
      <c r="AE2538" s="2215"/>
    </row>
    <row r="2539" spans="1:71" s="2131" customFormat="1" ht="25.5">
      <c r="A2539" s="2215"/>
      <c r="B2539" s="2218"/>
      <c r="C2539" s="2217" t="s">
        <v>3803</v>
      </c>
      <c r="D2539" s="2217" t="s">
        <v>34</v>
      </c>
      <c r="E2539" s="2217" t="s">
        <v>25</v>
      </c>
      <c r="F2539" s="2217" t="s">
        <v>28</v>
      </c>
      <c r="G2539" s="2217" t="s">
        <v>28</v>
      </c>
      <c r="H2539" s="2217" t="s">
        <v>84</v>
      </c>
      <c r="I2539" s="2218" t="s">
        <v>3813</v>
      </c>
      <c r="J2539" s="2218" t="s">
        <v>3814</v>
      </c>
      <c r="K2539" s="2199">
        <v>72</v>
      </c>
      <c r="L2539" s="2200">
        <v>219381300</v>
      </c>
      <c r="M2539" s="2201">
        <v>36</v>
      </c>
      <c r="N2539" s="2200">
        <v>91712066</v>
      </c>
      <c r="O2539" s="2199">
        <v>12</v>
      </c>
      <c r="P2539" s="2200">
        <v>53290000</v>
      </c>
      <c r="Q2539" s="2219">
        <v>3</v>
      </c>
      <c r="R2539" s="2200">
        <v>9245500</v>
      </c>
      <c r="S2539" s="2219">
        <v>3</v>
      </c>
      <c r="T2539" s="2223">
        <v>7899250</v>
      </c>
      <c r="U2539" s="2219"/>
      <c r="V2539" s="2223"/>
      <c r="W2539" s="2219"/>
      <c r="X2539" s="2222"/>
      <c r="Y2539" s="2219">
        <f t="shared" si="681"/>
        <v>6</v>
      </c>
      <c r="Z2539" s="2223">
        <f t="shared" si="681"/>
        <v>17144750</v>
      </c>
      <c r="AA2539" s="2219">
        <f t="shared" si="682"/>
        <v>42</v>
      </c>
      <c r="AB2539" s="2224">
        <f t="shared" si="682"/>
        <v>108856816</v>
      </c>
      <c r="AC2539" s="2308">
        <f t="shared" si="683"/>
        <v>58.333333333333336</v>
      </c>
      <c r="AD2539" s="2363">
        <f t="shared" si="683"/>
        <v>49.619915644587756</v>
      </c>
      <c r="AE2539" s="2215"/>
    </row>
    <row r="2540" spans="1:71" s="2131" customFormat="1" ht="25.5">
      <c r="A2540" s="2362"/>
      <c r="B2540" s="2218"/>
      <c r="C2540" s="2217" t="s">
        <v>3803</v>
      </c>
      <c r="D2540" s="2217" t="s">
        <v>34</v>
      </c>
      <c r="E2540" s="2217" t="s">
        <v>25</v>
      </c>
      <c r="F2540" s="2217" t="s">
        <v>28</v>
      </c>
      <c r="G2540" s="2217" t="s">
        <v>28</v>
      </c>
      <c r="H2540" s="2217" t="s">
        <v>84</v>
      </c>
      <c r="I2540" s="2218" t="s">
        <v>230</v>
      </c>
      <c r="J2540" s="2218" t="s">
        <v>3901</v>
      </c>
      <c r="K2540" s="2199">
        <v>12</v>
      </c>
      <c r="L2540" s="2357">
        <v>344656500</v>
      </c>
      <c r="M2540" s="2201">
        <v>11</v>
      </c>
      <c r="N2540" s="2200">
        <v>377680000</v>
      </c>
      <c r="O2540" s="2357">
        <v>1</v>
      </c>
      <c r="P2540" s="2357">
        <v>32500000</v>
      </c>
      <c r="Q2540" s="2219"/>
      <c r="R2540" s="2357">
        <v>0</v>
      </c>
      <c r="S2540" s="2219"/>
      <c r="T2540" s="2223"/>
      <c r="U2540" s="2219"/>
      <c r="V2540" s="2223"/>
      <c r="W2540" s="2219"/>
      <c r="X2540" s="2222"/>
      <c r="Y2540" s="2219">
        <f t="shared" si="681"/>
        <v>0</v>
      </c>
      <c r="Z2540" s="2223">
        <f t="shared" si="681"/>
        <v>0</v>
      </c>
      <c r="AA2540" s="2219">
        <f t="shared" si="682"/>
        <v>11</v>
      </c>
      <c r="AB2540" s="2224">
        <f t="shared" si="682"/>
        <v>377680000</v>
      </c>
      <c r="AC2540" s="2308">
        <f t="shared" si="683"/>
        <v>91.666666666666657</v>
      </c>
      <c r="AD2540" s="2363">
        <f t="shared" si="683"/>
        <v>109.58156889540747</v>
      </c>
      <c r="AE2540" s="2215"/>
    </row>
    <row r="2541" spans="1:71" s="2131" customFormat="1" ht="51">
      <c r="A2541" s="2140" t="s">
        <v>3538</v>
      </c>
      <c r="B2541" s="2194"/>
      <c r="C2541" s="2142">
        <v>5</v>
      </c>
      <c r="D2541" s="2142" t="s">
        <v>34</v>
      </c>
      <c r="E2541" s="2142" t="s">
        <v>25</v>
      </c>
      <c r="F2541" s="2142" t="s">
        <v>45</v>
      </c>
      <c r="G2541" s="2142" t="s">
        <v>74</v>
      </c>
      <c r="H2541" s="2140"/>
      <c r="I2541" s="2143" t="s">
        <v>3648</v>
      </c>
      <c r="J2541" s="2143" t="s">
        <v>3649</v>
      </c>
      <c r="K2541" s="2144">
        <v>100</v>
      </c>
      <c r="L2541" s="2145">
        <f>SUM(L2542:L2543)</f>
        <v>204975000</v>
      </c>
      <c r="M2541" s="2144">
        <v>50</v>
      </c>
      <c r="N2541" s="2145">
        <f>SUM(N2542:N2543)</f>
        <v>71195000</v>
      </c>
      <c r="O2541" s="2144">
        <v>18</v>
      </c>
      <c r="P2541" s="2145">
        <f>SUM(P2542:P2543)</f>
        <v>41070000</v>
      </c>
      <c r="Q2541" s="2144">
        <v>0</v>
      </c>
      <c r="R2541" s="2145">
        <f>SUM(R2542:R2543)</f>
        <v>0</v>
      </c>
      <c r="S2541" s="2144">
        <v>8</v>
      </c>
      <c r="T2541" s="2145">
        <f>SUM(T2542:T2543)</f>
        <v>10240585</v>
      </c>
      <c r="U2541" s="2195"/>
      <c r="V2541" s="2145">
        <f>SUM(V2542:V2543)</f>
        <v>0</v>
      </c>
      <c r="W2541" s="2144"/>
      <c r="X2541" s="2145">
        <f>SUM(X2542:X2543)</f>
        <v>0</v>
      </c>
      <c r="Y2541" s="2195">
        <f t="shared" si="681"/>
        <v>8</v>
      </c>
      <c r="Z2541" s="2145">
        <f t="shared" si="681"/>
        <v>10240585</v>
      </c>
      <c r="AA2541" s="2147">
        <f t="shared" si="682"/>
        <v>58</v>
      </c>
      <c r="AB2541" s="2145">
        <f t="shared" si="682"/>
        <v>81435585</v>
      </c>
      <c r="AC2541" s="2147">
        <f t="shared" si="683"/>
        <v>57.999999999999993</v>
      </c>
      <c r="AD2541" s="2147">
        <f t="shared" si="683"/>
        <v>39.729520673252836</v>
      </c>
      <c r="AE2541" s="2204" t="s">
        <v>3895</v>
      </c>
    </row>
    <row r="2542" spans="1:71" s="2131" customFormat="1" ht="33.75" customHeight="1">
      <c r="A2542" s="2379"/>
      <c r="B2542" s="2162"/>
      <c r="C2542" s="2164">
        <v>5</v>
      </c>
      <c r="D2542" s="2164" t="s">
        <v>34</v>
      </c>
      <c r="E2542" s="2164" t="s">
        <v>25</v>
      </c>
      <c r="F2542" s="2164" t="s">
        <v>45</v>
      </c>
      <c r="G2542" s="2164" t="s">
        <v>74</v>
      </c>
      <c r="H2542" s="2164" t="s">
        <v>56</v>
      </c>
      <c r="I2542" s="2162" t="s">
        <v>2284</v>
      </c>
      <c r="J2542" s="2162" t="s">
        <v>3651</v>
      </c>
      <c r="K2542" s="2166">
        <v>6</v>
      </c>
      <c r="L2542" s="2167">
        <v>174225000</v>
      </c>
      <c r="M2542" s="2166">
        <v>3</v>
      </c>
      <c r="N2542" s="2167">
        <v>71195000</v>
      </c>
      <c r="O2542" s="2166">
        <v>1</v>
      </c>
      <c r="P2542" s="2167">
        <v>30820000</v>
      </c>
      <c r="Q2542" s="2166">
        <v>0</v>
      </c>
      <c r="R2542" s="2167">
        <v>0</v>
      </c>
      <c r="S2542" s="2166">
        <v>0</v>
      </c>
      <c r="T2542" s="2167">
        <v>0</v>
      </c>
      <c r="U2542" s="2166"/>
      <c r="V2542" s="2202"/>
      <c r="W2542" s="2166"/>
      <c r="X2542" s="2167"/>
      <c r="Y2542" s="2166">
        <f t="shared" si="681"/>
        <v>0</v>
      </c>
      <c r="Z2542" s="2203">
        <f t="shared" si="681"/>
        <v>0</v>
      </c>
      <c r="AA2542" s="2166">
        <f t="shared" si="682"/>
        <v>3</v>
      </c>
      <c r="AB2542" s="2203">
        <f t="shared" si="682"/>
        <v>71195000</v>
      </c>
      <c r="AC2542" s="2170">
        <f t="shared" si="683"/>
        <v>50</v>
      </c>
      <c r="AD2542" s="2170">
        <f t="shared" si="683"/>
        <v>40.863825512986082</v>
      </c>
      <c r="AE2542" s="2409"/>
    </row>
    <row r="2543" spans="1:71" s="2131" customFormat="1" ht="38.25" customHeight="1">
      <c r="A2543" s="2379"/>
      <c r="B2543" s="2162"/>
      <c r="C2543" s="2164">
        <v>5</v>
      </c>
      <c r="D2543" s="2164" t="s">
        <v>34</v>
      </c>
      <c r="E2543" s="2164" t="s">
        <v>25</v>
      </c>
      <c r="F2543" s="2164" t="s">
        <v>45</v>
      </c>
      <c r="G2543" s="2164" t="s">
        <v>74</v>
      </c>
      <c r="H2543" s="2164" t="s">
        <v>30</v>
      </c>
      <c r="I2543" s="2162" t="s">
        <v>3902</v>
      </c>
      <c r="J2543" s="2162" t="s">
        <v>3903</v>
      </c>
      <c r="K2543" s="2166">
        <v>3</v>
      </c>
      <c r="L2543" s="2167">
        <f>3*P2543</f>
        <v>30750000</v>
      </c>
      <c r="M2543" s="2166">
        <v>0</v>
      </c>
      <c r="N2543" s="2167">
        <v>0</v>
      </c>
      <c r="O2543" s="2166">
        <v>1</v>
      </c>
      <c r="P2543" s="2167">
        <v>10250000</v>
      </c>
      <c r="Q2543" s="2166">
        <v>0</v>
      </c>
      <c r="R2543" s="2167">
        <v>0</v>
      </c>
      <c r="S2543" s="2166">
        <v>1</v>
      </c>
      <c r="T2543" s="2167">
        <v>10240585</v>
      </c>
      <c r="U2543" s="2166"/>
      <c r="V2543" s="2202"/>
      <c r="W2543" s="2166"/>
      <c r="X2543" s="2167"/>
      <c r="Y2543" s="2166">
        <f t="shared" si="681"/>
        <v>1</v>
      </c>
      <c r="Z2543" s="2203">
        <f t="shared" si="681"/>
        <v>10240585</v>
      </c>
      <c r="AA2543" s="2166">
        <f t="shared" si="682"/>
        <v>1</v>
      </c>
      <c r="AB2543" s="2203">
        <f t="shared" si="682"/>
        <v>10240585</v>
      </c>
      <c r="AC2543" s="2170">
        <f t="shared" si="683"/>
        <v>33.333333333333329</v>
      </c>
      <c r="AD2543" s="2170">
        <f t="shared" si="683"/>
        <v>33.302715447154476</v>
      </c>
      <c r="AE2543" s="2409"/>
    </row>
    <row r="2544" spans="1:71" s="2131" customFormat="1" ht="63.75">
      <c r="A2544" s="2140" t="s">
        <v>3543</v>
      </c>
      <c r="B2544" s="2194"/>
      <c r="C2544" s="2142">
        <v>5</v>
      </c>
      <c r="D2544" s="2142" t="s">
        <v>34</v>
      </c>
      <c r="E2544" s="2142" t="s">
        <v>25</v>
      </c>
      <c r="F2544" s="2142" t="s">
        <v>45</v>
      </c>
      <c r="G2544" s="2142" t="s">
        <v>35</v>
      </c>
      <c r="H2544" s="2140"/>
      <c r="I2544" s="2143" t="s">
        <v>3904</v>
      </c>
      <c r="J2544" s="2143" t="s">
        <v>3883</v>
      </c>
      <c r="K2544" s="2144">
        <v>80</v>
      </c>
      <c r="L2544" s="2145">
        <f>SUM(L2545)</f>
        <v>14925000</v>
      </c>
      <c r="M2544" s="2144">
        <v>50</v>
      </c>
      <c r="N2544" s="2145">
        <f>SUM(N2545)</f>
        <v>0</v>
      </c>
      <c r="O2544" s="2144">
        <v>18</v>
      </c>
      <c r="P2544" s="2145">
        <f>SUM(P2545)</f>
        <v>4975000</v>
      </c>
      <c r="Q2544" s="2144">
        <v>0</v>
      </c>
      <c r="R2544" s="2145">
        <f>SUM(R2545)</f>
        <v>0</v>
      </c>
      <c r="S2544" s="2144">
        <v>0</v>
      </c>
      <c r="T2544" s="2145">
        <f>SUM(T2545)</f>
        <v>0</v>
      </c>
      <c r="U2544" s="2195"/>
      <c r="V2544" s="2145">
        <f>SUM(V2545)</f>
        <v>0</v>
      </c>
      <c r="W2544" s="2144"/>
      <c r="X2544" s="2145">
        <f>SUM(X2545)</f>
        <v>0</v>
      </c>
      <c r="Y2544" s="2195">
        <f t="shared" si="681"/>
        <v>0</v>
      </c>
      <c r="Z2544" s="2145">
        <f t="shared" si="681"/>
        <v>0</v>
      </c>
      <c r="AA2544" s="2147">
        <f t="shared" si="682"/>
        <v>50</v>
      </c>
      <c r="AB2544" s="2145">
        <f t="shared" si="682"/>
        <v>0</v>
      </c>
      <c r="AC2544" s="2147">
        <f t="shared" si="683"/>
        <v>62.5</v>
      </c>
      <c r="AD2544" s="2147">
        <f t="shared" si="683"/>
        <v>0</v>
      </c>
      <c r="AE2544" s="2204" t="s">
        <v>3895</v>
      </c>
    </row>
    <row r="2545" spans="1:71" s="2131" customFormat="1" ht="37.5" customHeight="1">
      <c r="A2545" s="2379"/>
      <c r="B2545" s="2162"/>
      <c r="C2545" s="2164">
        <v>5</v>
      </c>
      <c r="D2545" s="2164" t="s">
        <v>34</v>
      </c>
      <c r="E2545" s="2164" t="s">
        <v>25</v>
      </c>
      <c r="F2545" s="2164" t="s">
        <v>45</v>
      </c>
      <c r="G2545" s="2164" t="s">
        <v>35</v>
      </c>
      <c r="H2545" s="2164" t="s">
        <v>29</v>
      </c>
      <c r="I2545" s="2162" t="s">
        <v>3744</v>
      </c>
      <c r="J2545" s="2162" t="s">
        <v>3905</v>
      </c>
      <c r="K2545" s="2166">
        <v>3</v>
      </c>
      <c r="L2545" s="2167">
        <f>3*P2545</f>
        <v>14925000</v>
      </c>
      <c r="M2545" s="2166"/>
      <c r="N2545" s="2167"/>
      <c r="O2545" s="2166">
        <v>1</v>
      </c>
      <c r="P2545" s="2167">
        <v>4975000</v>
      </c>
      <c r="Q2545" s="2166">
        <v>0</v>
      </c>
      <c r="R2545" s="2167">
        <v>0</v>
      </c>
      <c r="S2545" s="2166">
        <v>0</v>
      </c>
      <c r="T2545" s="2167">
        <v>0</v>
      </c>
      <c r="U2545" s="2166"/>
      <c r="V2545" s="2202"/>
      <c r="W2545" s="2166"/>
      <c r="X2545" s="2167"/>
      <c r="Y2545" s="2166">
        <f t="shared" si="681"/>
        <v>0</v>
      </c>
      <c r="Z2545" s="2203">
        <f t="shared" si="681"/>
        <v>0</v>
      </c>
      <c r="AA2545" s="2166">
        <f t="shared" si="682"/>
        <v>0</v>
      </c>
      <c r="AB2545" s="2203">
        <f t="shared" si="682"/>
        <v>0</v>
      </c>
      <c r="AC2545" s="2170">
        <f t="shared" si="683"/>
        <v>0</v>
      </c>
      <c r="AD2545" s="2170">
        <f t="shared" si="683"/>
        <v>0</v>
      </c>
      <c r="AE2545" s="2409"/>
    </row>
    <row r="2546" spans="1:71" s="2131" customFormat="1" ht="63.75">
      <c r="A2546" s="2140" t="s">
        <v>3547</v>
      </c>
      <c r="B2546" s="2194"/>
      <c r="C2546" s="2142">
        <v>5</v>
      </c>
      <c r="D2546" s="2142" t="s">
        <v>34</v>
      </c>
      <c r="E2546" s="2142" t="s">
        <v>25</v>
      </c>
      <c r="F2546" s="2142" t="s">
        <v>45</v>
      </c>
      <c r="G2546" s="2142">
        <v>16</v>
      </c>
      <c r="H2546" s="2140"/>
      <c r="I2546" s="2143" t="s">
        <v>3906</v>
      </c>
      <c r="J2546" s="2143" t="s">
        <v>3883</v>
      </c>
      <c r="K2546" s="2144">
        <v>80</v>
      </c>
      <c r="L2546" s="2145">
        <f>SUM(L2547)</f>
        <v>16575000</v>
      </c>
      <c r="M2546" s="2144">
        <v>50</v>
      </c>
      <c r="N2546" s="2145">
        <f>SUM(N2547)</f>
        <v>0</v>
      </c>
      <c r="O2546" s="2144">
        <v>18</v>
      </c>
      <c r="P2546" s="2145">
        <f>SUM(P2547)</f>
        <v>5525000</v>
      </c>
      <c r="Q2546" s="2144">
        <v>0</v>
      </c>
      <c r="R2546" s="2145">
        <f>SUM(R2547)</f>
        <v>0</v>
      </c>
      <c r="S2546" s="2144">
        <v>8</v>
      </c>
      <c r="T2546" s="2145">
        <f>SUM(T2547)</f>
        <v>3469800</v>
      </c>
      <c r="U2546" s="2195"/>
      <c r="V2546" s="2145">
        <f>SUM(V2547)</f>
        <v>0</v>
      </c>
      <c r="W2546" s="2144"/>
      <c r="X2546" s="2145">
        <f>SUM(X2547)</f>
        <v>0</v>
      </c>
      <c r="Y2546" s="2195">
        <f t="shared" si="681"/>
        <v>8</v>
      </c>
      <c r="Z2546" s="2145">
        <f t="shared" si="681"/>
        <v>3469800</v>
      </c>
      <c r="AA2546" s="2147">
        <f t="shared" si="682"/>
        <v>58</v>
      </c>
      <c r="AB2546" s="2145">
        <f t="shared" si="682"/>
        <v>3469800</v>
      </c>
      <c r="AC2546" s="2147">
        <f t="shared" si="683"/>
        <v>72.5</v>
      </c>
      <c r="AD2546" s="2147">
        <f t="shared" si="683"/>
        <v>20.933936651583711</v>
      </c>
      <c r="AE2546" s="2204" t="s">
        <v>3895</v>
      </c>
    </row>
    <row r="2547" spans="1:71" s="2131" customFormat="1" ht="37.5" customHeight="1">
      <c r="A2547" s="2379"/>
      <c r="B2547" s="2162"/>
      <c r="C2547" s="2164">
        <v>5</v>
      </c>
      <c r="D2547" s="2164" t="s">
        <v>34</v>
      </c>
      <c r="E2547" s="2164" t="s">
        <v>25</v>
      </c>
      <c r="F2547" s="2164" t="s">
        <v>45</v>
      </c>
      <c r="G2547" s="2164">
        <v>16</v>
      </c>
      <c r="H2547" s="2164">
        <v>12</v>
      </c>
      <c r="I2547" s="2162" t="s">
        <v>3907</v>
      </c>
      <c r="J2547" s="2162" t="s">
        <v>3908</v>
      </c>
      <c r="K2547" s="2166">
        <v>10</v>
      </c>
      <c r="L2547" s="2167">
        <f>3*P2547</f>
        <v>16575000</v>
      </c>
      <c r="M2547" s="2166"/>
      <c r="N2547" s="2167"/>
      <c r="O2547" s="2166">
        <v>10</v>
      </c>
      <c r="P2547" s="2167">
        <v>5525000</v>
      </c>
      <c r="Q2547" s="2166">
        <v>0</v>
      </c>
      <c r="R2547" s="2167">
        <v>0</v>
      </c>
      <c r="S2547" s="2166">
        <v>6</v>
      </c>
      <c r="T2547" s="2167">
        <v>3469800</v>
      </c>
      <c r="U2547" s="2166"/>
      <c r="V2547" s="2202"/>
      <c r="W2547" s="2166"/>
      <c r="X2547" s="2167"/>
      <c r="Y2547" s="2166">
        <f t="shared" si="681"/>
        <v>6</v>
      </c>
      <c r="Z2547" s="2203">
        <f t="shared" si="681"/>
        <v>3469800</v>
      </c>
      <c r="AA2547" s="2166">
        <f t="shared" si="682"/>
        <v>6</v>
      </c>
      <c r="AB2547" s="2203">
        <f t="shared" si="682"/>
        <v>3469800</v>
      </c>
      <c r="AC2547" s="2170">
        <f t="shared" si="683"/>
        <v>60</v>
      </c>
      <c r="AD2547" s="2170">
        <f t="shared" si="683"/>
        <v>20.933936651583711</v>
      </c>
      <c r="AE2547" s="2409"/>
    </row>
    <row r="2548" spans="1:71" s="2131" customFormat="1" ht="63.75">
      <c r="A2548" s="2140" t="s">
        <v>3555</v>
      </c>
      <c r="B2548" s="2194"/>
      <c r="C2548" s="2142">
        <v>5</v>
      </c>
      <c r="D2548" s="2142" t="s">
        <v>34</v>
      </c>
      <c r="E2548" s="2142" t="s">
        <v>25</v>
      </c>
      <c r="F2548" s="2142" t="s">
        <v>45</v>
      </c>
      <c r="G2548" s="2142" t="s">
        <v>45</v>
      </c>
      <c r="H2548" s="2142"/>
      <c r="I2548" s="2143" t="s">
        <v>3653</v>
      </c>
      <c r="J2548" s="2143" t="s">
        <v>3654</v>
      </c>
      <c r="K2548" s="2144">
        <v>100</v>
      </c>
      <c r="L2548" s="2145">
        <f>SUM(L2549)</f>
        <v>75310000</v>
      </c>
      <c r="M2548" s="2144">
        <v>50</v>
      </c>
      <c r="N2548" s="2145">
        <f>SUM(N2549)</f>
        <v>39236000</v>
      </c>
      <c r="O2548" s="2144">
        <v>18</v>
      </c>
      <c r="P2548" s="2145">
        <f>SUM(P2549)</f>
        <v>19130000</v>
      </c>
      <c r="Q2548" s="2144">
        <v>0</v>
      </c>
      <c r="R2548" s="2145">
        <f>SUM(R2549)</f>
        <v>0</v>
      </c>
      <c r="S2548" s="2144">
        <v>0</v>
      </c>
      <c r="T2548" s="2146">
        <f>SUM(T2549)</f>
        <v>0</v>
      </c>
      <c r="U2548" s="2144"/>
      <c r="V2548" s="2146">
        <f>SUM(V2549)</f>
        <v>0</v>
      </c>
      <c r="W2548" s="2144"/>
      <c r="X2548" s="2146">
        <f>SUM(X2549)</f>
        <v>0</v>
      </c>
      <c r="Y2548" s="2144">
        <f t="shared" si="681"/>
        <v>0</v>
      </c>
      <c r="Z2548" s="2145">
        <f t="shared" si="681"/>
        <v>0</v>
      </c>
      <c r="AA2548" s="2144">
        <f t="shared" si="682"/>
        <v>50</v>
      </c>
      <c r="AB2548" s="2145">
        <f t="shared" si="682"/>
        <v>39236000</v>
      </c>
      <c r="AC2548" s="2147">
        <f t="shared" si="683"/>
        <v>50</v>
      </c>
      <c r="AD2548" s="2147">
        <f t="shared" si="683"/>
        <v>52.099322799097067</v>
      </c>
      <c r="AE2548" s="2204" t="s">
        <v>3895</v>
      </c>
    </row>
    <row r="2549" spans="1:71" s="2131" customFormat="1" ht="51">
      <c r="A2549" s="2379"/>
      <c r="B2549" s="2162"/>
      <c r="C2549" s="2164">
        <v>5</v>
      </c>
      <c r="D2549" s="2164" t="s">
        <v>34</v>
      </c>
      <c r="E2549" s="2164" t="s">
        <v>25</v>
      </c>
      <c r="F2549" s="2164" t="s">
        <v>45</v>
      </c>
      <c r="G2549" s="2164" t="s">
        <v>45</v>
      </c>
      <c r="H2549" s="2164" t="s">
        <v>31</v>
      </c>
      <c r="I2549" s="2162" t="s">
        <v>3655</v>
      </c>
      <c r="J2549" s="2162" t="s">
        <v>3656</v>
      </c>
      <c r="K2549" s="2166">
        <v>6</v>
      </c>
      <c r="L2549" s="2167">
        <v>75310000</v>
      </c>
      <c r="M2549" s="2166">
        <v>3</v>
      </c>
      <c r="N2549" s="2167">
        <v>39236000</v>
      </c>
      <c r="O2549" s="2166">
        <v>1</v>
      </c>
      <c r="P2549" s="2167">
        <v>19130000</v>
      </c>
      <c r="Q2549" s="2166">
        <v>0</v>
      </c>
      <c r="R2549" s="2167">
        <v>0</v>
      </c>
      <c r="S2549" s="2166">
        <v>0</v>
      </c>
      <c r="T2549" s="2202">
        <v>0</v>
      </c>
      <c r="U2549" s="2166"/>
      <c r="V2549" s="2202"/>
      <c r="W2549" s="2166"/>
      <c r="X2549" s="2167"/>
      <c r="Y2549" s="2240">
        <f t="shared" si="681"/>
        <v>0</v>
      </c>
      <c r="Z2549" s="2203">
        <f t="shared" si="681"/>
        <v>0</v>
      </c>
      <c r="AA2549" s="2240">
        <f t="shared" si="682"/>
        <v>3</v>
      </c>
      <c r="AB2549" s="2203">
        <f t="shared" si="682"/>
        <v>39236000</v>
      </c>
      <c r="AC2549" s="2243">
        <f t="shared" si="683"/>
        <v>50</v>
      </c>
      <c r="AD2549" s="2243">
        <f t="shared" si="683"/>
        <v>52.099322799097067</v>
      </c>
      <c r="AE2549" s="2409"/>
    </row>
    <row r="2550" spans="1:71" s="2131" customFormat="1" ht="51">
      <c r="A2550" s="2140" t="s">
        <v>3559</v>
      </c>
      <c r="B2550" s="2194"/>
      <c r="C2550" s="2142">
        <v>5</v>
      </c>
      <c r="D2550" s="2142" t="s">
        <v>34</v>
      </c>
      <c r="E2550" s="2142" t="s">
        <v>25</v>
      </c>
      <c r="F2550" s="2142" t="s">
        <v>45</v>
      </c>
      <c r="G2550" s="2142" t="s">
        <v>42</v>
      </c>
      <c r="H2550" s="2140"/>
      <c r="I2550" s="2143" t="s">
        <v>3872</v>
      </c>
      <c r="J2550" s="2143" t="s">
        <v>3873</v>
      </c>
      <c r="K2550" s="2144">
        <v>100</v>
      </c>
      <c r="L2550" s="2145">
        <f>SUM(L2551)</f>
        <v>34225000</v>
      </c>
      <c r="M2550" s="2144">
        <v>85</v>
      </c>
      <c r="N2550" s="2145">
        <f>SUM(N2551)</f>
        <v>11630200</v>
      </c>
      <c r="O2550" s="2144">
        <v>15</v>
      </c>
      <c r="P2550" s="2145">
        <f>SUM(P2551)</f>
        <v>2925000</v>
      </c>
      <c r="Q2550" s="2144">
        <v>4</v>
      </c>
      <c r="R2550" s="2145">
        <f>SUM(R2551)</f>
        <v>0</v>
      </c>
      <c r="S2550" s="2144">
        <v>4</v>
      </c>
      <c r="T2550" s="2145">
        <f>SUM(T2551)</f>
        <v>1289350</v>
      </c>
      <c r="U2550" s="2195"/>
      <c r="V2550" s="2145">
        <f>SUM(V2551)</f>
        <v>0</v>
      </c>
      <c r="W2550" s="2144"/>
      <c r="X2550" s="2145">
        <f>SUM(X2551)</f>
        <v>0</v>
      </c>
      <c r="Y2550" s="2195">
        <f t="shared" si="681"/>
        <v>8</v>
      </c>
      <c r="Z2550" s="2145">
        <f t="shared" si="681"/>
        <v>1289350</v>
      </c>
      <c r="AA2550" s="2147">
        <f t="shared" si="682"/>
        <v>93</v>
      </c>
      <c r="AB2550" s="2145">
        <f t="shared" si="682"/>
        <v>12919550</v>
      </c>
      <c r="AC2550" s="2147">
        <f t="shared" si="683"/>
        <v>93</v>
      </c>
      <c r="AD2550" s="2147">
        <f t="shared" si="683"/>
        <v>37.748867786705624</v>
      </c>
      <c r="AE2550" s="2204" t="s">
        <v>3895</v>
      </c>
    </row>
    <row r="2551" spans="1:71" s="2131" customFormat="1" ht="25.5">
      <c r="A2551" s="2379"/>
      <c r="B2551" s="2162"/>
      <c r="C2551" s="2164">
        <v>5</v>
      </c>
      <c r="D2551" s="2164" t="s">
        <v>34</v>
      </c>
      <c r="E2551" s="2164" t="s">
        <v>25</v>
      </c>
      <c r="F2551" s="2164" t="s">
        <v>45</v>
      </c>
      <c r="G2551" s="2164" t="s">
        <v>42</v>
      </c>
      <c r="H2551" s="2164" t="s">
        <v>60</v>
      </c>
      <c r="I2551" s="2162" t="s">
        <v>3706</v>
      </c>
      <c r="J2551" s="2162" t="s">
        <v>3874</v>
      </c>
      <c r="K2551" s="2166">
        <v>60</v>
      </c>
      <c r="L2551" s="2167">
        <v>34225000</v>
      </c>
      <c r="M2551" s="2166">
        <v>24</v>
      </c>
      <c r="N2551" s="2167">
        <v>11630200</v>
      </c>
      <c r="O2551" s="2166">
        <v>4</v>
      </c>
      <c r="P2551" s="2167">
        <v>2925000</v>
      </c>
      <c r="Q2551" s="2166">
        <v>0</v>
      </c>
      <c r="R2551" s="2167">
        <v>0</v>
      </c>
      <c r="S2551" s="2202">
        <v>2</v>
      </c>
      <c r="T2551" s="2167">
        <v>1289350</v>
      </c>
      <c r="U2551" s="2166"/>
      <c r="V2551" s="2202"/>
      <c r="W2551" s="2166"/>
      <c r="X2551" s="2167"/>
      <c r="Y2551" s="2166">
        <f t="shared" si="681"/>
        <v>2</v>
      </c>
      <c r="Z2551" s="2203">
        <f t="shared" si="681"/>
        <v>1289350</v>
      </c>
      <c r="AA2551" s="2166">
        <f t="shared" si="682"/>
        <v>26</v>
      </c>
      <c r="AB2551" s="2203">
        <f t="shared" si="682"/>
        <v>12919550</v>
      </c>
      <c r="AC2551" s="2170">
        <f t="shared" si="683"/>
        <v>43.333333333333336</v>
      </c>
      <c r="AD2551" s="2170">
        <f t="shared" si="683"/>
        <v>37.748867786705624</v>
      </c>
      <c r="AE2551" s="2409"/>
    </row>
    <row r="2552" spans="1:71" s="2131" customFormat="1" ht="54.75" customHeight="1">
      <c r="A2552" s="2140" t="s">
        <v>3565</v>
      </c>
      <c r="B2552" s="2194"/>
      <c r="C2552" s="2142">
        <v>5</v>
      </c>
      <c r="D2552" s="2142" t="s">
        <v>34</v>
      </c>
      <c r="E2552" s="2142" t="s">
        <v>25</v>
      </c>
      <c r="F2552" s="2142" t="s">
        <v>45</v>
      </c>
      <c r="G2552" s="2142" t="s">
        <v>74</v>
      </c>
      <c r="H2552" s="2140"/>
      <c r="I2552" s="2143" t="s">
        <v>3909</v>
      </c>
      <c r="J2552" s="2143" t="s">
        <v>3910</v>
      </c>
      <c r="K2552" s="2144">
        <v>100</v>
      </c>
      <c r="L2552" s="2145">
        <f>SUM(L2553)</f>
        <v>38730000</v>
      </c>
      <c r="M2552" s="2144">
        <v>50</v>
      </c>
      <c r="N2552" s="2145">
        <f>SUM(N2553)</f>
        <v>16304000</v>
      </c>
      <c r="O2552" s="2144">
        <v>18</v>
      </c>
      <c r="P2552" s="2145">
        <f>SUM(P2553)</f>
        <v>2537500</v>
      </c>
      <c r="Q2552" s="2144">
        <v>0</v>
      </c>
      <c r="R2552" s="2145">
        <f>SUM(R2553)</f>
        <v>0</v>
      </c>
      <c r="S2552" s="2144">
        <v>4</v>
      </c>
      <c r="T2552" s="2146">
        <f>SUM(T2553)</f>
        <v>549800</v>
      </c>
      <c r="U2552" s="2195"/>
      <c r="V2552" s="2146">
        <f>SUM(V2553)</f>
        <v>0</v>
      </c>
      <c r="W2552" s="2144"/>
      <c r="X2552" s="2146">
        <f>SUM(X2553)</f>
        <v>0</v>
      </c>
      <c r="Y2552" s="2195">
        <f t="shared" si="681"/>
        <v>4</v>
      </c>
      <c r="Z2552" s="2145">
        <f t="shared" si="681"/>
        <v>549800</v>
      </c>
      <c r="AA2552" s="2147">
        <f t="shared" si="682"/>
        <v>54</v>
      </c>
      <c r="AB2552" s="2145">
        <f t="shared" si="682"/>
        <v>16853800</v>
      </c>
      <c r="AC2552" s="2147">
        <f t="shared" si="683"/>
        <v>54</v>
      </c>
      <c r="AD2552" s="2147">
        <f t="shared" si="683"/>
        <v>43.516137361218696</v>
      </c>
      <c r="AE2552" s="2204" t="s">
        <v>3895</v>
      </c>
    </row>
    <row r="2553" spans="1:71" s="2131" customFormat="1" ht="25.5">
      <c r="A2553" s="2379"/>
      <c r="B2553" s="2162"/>
      <c r="C2553" s="2164">
        <v>5</v>
      </c>
      <c r="D2553" s="2164" t="s">
        <v>34</v>
      </c>
      <c r="E2553" s="2164" t="s">
        <v>25</v>
      </c>
      <c r="F2553" s="2164" t="s">
        <v>45</v>
      </c>
      <c r="G2553" s="2164" t="s">
        <v>74</v>
      </c>
      <c r="H2553" s="2151" t="s">
        <v>3878</v>
      </c>
      <c r="I2553" s="2162" t="s">
        <v>3879</v>
      </c>
      <c r="J2553" s="2162" t="s">
        <v>3880</v>
      </c>
      <c r="K2553" s="2166">
        <v>60</v>
      </c>
      <c r="L2553" s="2167">
        <v>38730000</v>
      </c>
      <c r="M2553" s="2166">
        <v>30</v>
      </c>
      <c r="N2553" s="2167">
        <v>16304000</v>
      </c>
      <c r="O2553" s="2166">
        <v>10</v>
      </c>
      <c r="P2553" s="2167">
        <v>2537500</v>
      </c>
      <c r="Q2553" s="2166">
        <v>2</v>
      </c>
      <c r="R2553" s="2167">
        <v>0</v>
      </c>
      <c r="S2553" s="2166">
        <v>2</v>
      </c>
      <c r="T2553" s="2202">
        <v>549800</v>
      </c>
      <c r="U2553" s="2166"/>
      <c r="V2553" s="2202"/>
      <c r="W2553" s="2166"/>
      <c r="X2553" s="2167"/>
      <c r="Y2553" s="2166">
        <f t="shared" si="681"/>
        <v>4</v>
      </c>
      <c r="Z2553" s="2203">
        <f t="shared" si="681"/>
        <v>549800</v>
      </c>
      <c r="AA2553" s="2166">
        <f t="shared" si="682"/>
        <v>34</v>
      </c>
      <c r="AB2553" s="2203">
        <f t="shared" si="682"/>
        <v>16853800</v>
      </c>
      <c r="AC2553" s="2170">
        <f t="shared" si="683"/>
        <v>56.666666666666664</v>
      </c>
      <c r="AD2553" s="2170">
        <f t="shared" si="683"/>
        <v>43.516137361218696</v>
      </c>
      <c r="AE2553" s="2409"/>
      <c r="AF2553" s="2161"/>
      <c r="AG2553" s="2161"/>
      <c r="AH2553" s="2161"/>
      <c r="AI2553" s="2161"/>
      <c r="AJ2553" s="2161"/>
      <c r="AK2553" s="2161"/>
      <c r="AL2553" s="2161"/>
      <c r="AM2553" s="2161"/>
      <c r="AN2553" s="2161"/>
      <c r="AO2553" s="2161"/>
      <c r="AP2553" s="2161"/>
      <c r="AQ2553" s="2161"/>
      <c r="AR2553" s="2161"/>
      <c r="AS2553" s="2161"/>
      <c r="AT2553" s="2161"/>
      <c r="AU2553" s="2161"/>
      <c r="AV2553" s="2161"/>
      <c r="AW2553" s="2161"/>
      <c r="AX2553" s="2161"/>
      <c r="AY2553" s="2161"/>
      <c r="AZ2553" s="2161"/>
      <c r="BA2553" s="2161"/>
      <c r="BB2553" s="2161"/>
      <c r="BC2553" s="2161"/>
      <c r="BD2553" s="2161"/>
      <c r="BE2553" s="2161"/>
      <c r="BF2553" s="2161"/>
      <c r="BG2553" s="2161"/>
      <c r="BH2553" s="2161"/>
      <c r="BI2553" s="2161"/>
      <c r="BJ2553" s="2161"/>
      <c r="BK2553" s="2161"/>
      <c r="BL2553" s="2161"/>
      <c r="BM2553" s="2161"/>
      <c r="BN2553" s="2161"/>
      <c r="BO2553" s="2161"/>
      <c r="BP2553" s="2161"/>
      <c r="BQ2553" s="2161"/>
      <c r="BR2553" s="2161"/>
      <c r="BS2553" s="2161"/>
    </row>
    <row r="2554" spans="1:71" s="2131" customFormat="1" ht="54.75" customHeight="1">
      <c r="A2554" s="2140" t="s">
        <v>13</v>
      </c>
      <c r="B2554" s="2194"/>
      <c r="C2554" s="2142">
        <v>5</v>
      </c>
      <c r="D2554" s="2142" t="s">
        <v>34</v>
      </c>
      <c r="E2554" s="2142" t="s">
        <v>25</v>
      </c>
      <c r="F2554" s="2142" t="s">
        <v>45</v>
      </c>
      <c r="G2554" s="2142">
        <v>19</v>
      </c>
      <c r="H2554" s="2140"/>
      <c r="I2554" s="2143" t="s">
        <v>3661</v>
      </c>
      <c r="J2554" s="2143" t="s">
        <v>3662</v>
      </c>
      <c r="K2554" s="2144">
        <v>100</v>
      </c>
      <c r="L2554" s="2145">
        <f>SUM(L2555)</f>
        <v>38250000</v>
      </c>
      <c r="M2554" s="2144">
        <v>50</v>
      </c>
      <c r="N2554" s="2145">
        <f>SUM(N2555)</f>
        <v>0</v>
      </c>
      <c r="O2554" s="2144">
        <v>18</v>
      </c>
      <c r="P2554" s="2145">
        <f>SUM(P2555)</f>
        <v>12750000</v>
      </c>
      <c r="Q2554" s="2144">
        <v>0</v>
      </c>
      <c r="R2554" s="2145">
        <f>SUM(R2555)</f>
        <v>3043900</v>
      </c>
      <c r="S2554" s="2144"/>
      <c r="T2554" s="2146">
        <f>SUM(T2555)</f>
        <v>5629100</v>
      </c>
      <c r="U2554" s="2195"/>
      <c r="V2554" s="2146">
        <f>SUM(V2555)</f>
        <v>0</v>
      </c>
      <c r="W2554" s="2144"/>
      <c r="X2554" s="2146">
        <f>SUM(X2555)</f>
        <v>0</v>
      </c>
      <c r="Y2554" s="2195">
        <f t="shared" si="681"/>
        <v>0</v>
      </c>
      <c r="Z2554" s="2145">
        <f t="shared" si="681"/>
        <v>8673000</v>
      </c>
      <c r="AA2554" s="2147">
        <f t="shared" si="682"/>
        <v>50</v>
      </c>
      <c r="AB2554" s="2145">
        <f t="shared" si="682"/>
        <v>8673000</v>
      </c>
      <c r="AC2554" s="2147">
        <f t="shared" si="683"/>
        <v>50</v>
      </c>
      <c r="AD2554" s="2147">
        <f t="shared" si="683"/>
        <v>22.67450980392157</v>
      </c>
      <c r="AE2554" s="2204" t="s">
        <v>3895</v>
      </c>
    </row>
    <row r="2555" spans="1:71" s="2131" customFormat="1" ht="38.25">
      <c r="A2555" s="2379"/>
      <c r="B2555" s="2162"/>
      <c r="C2555" s="2164">
        <v>5</v>
      </c>
      <c r="D2555" s="2164" t="s">
        <v>34</v>
      </c>
      <c r="E2555" s="2164" t="s">
        <v>25</v>
      </c>
      <c r="F2555" s="2164" t="s">
        <v>45</v>
      </c>
      <c r="G2555" s="2164">
        <v>19</v>
      </c>
      <c r="H2555" s="2151" t="s">
        <v>43</v>
      </c>
      <c r="I2555" s="2162" t="s">
        <v>3703</v>
      </c>
      <c r="J2555" s="2162" t="s">
        <v>3880</v>
      </c>
      <c r="K2555" s="2166">
        <v>30</v>
      </c>
      <c r="L2555" s="2167">
        <f>3*P2555</f>
        <v>38250000</v>
      </c>
      <c r="M2555" s="2166">
        <v>0</v>
      </c>
      <c r="N2555" s="2167">
        <v>0</v>
      </c>
      <c r="O2555" s="2166">
        <v>10</v>
      </c>
      <c r="P2555" s="2167">
        <v>12750000</v>
      </c>
      <c r="Q2555" s="2166">
        <v>2</v>
      </c>
      <c r="R2555" s="2167">
        <v>3043900</v>
      </c>
      <c r="S2555" s="2166">
        <v>2</v>
      </c>
      <c r="T2555" s="2202">
        <v>5629100</v>
      </c>
      <c r="U2555" s="2166"/>
      <c r="V2555" s="2202"/>
      <c r="W2555" s="2166"/>
      <c r="X2555" s="2167"/>
      <c r="Y2555" s="2166">
        <f t="shared" si="681"/>
        <v>4</v>
      </c>
      <c r="Z2555" s="2203">
        <f t="shared" si="681"/>
        <v>8673000</v>
      </c>
      <c r="AA2555" s="2166">
        <f t="shared" si="682"/>
        <v>4</v>
      </c>
      <c r="AB2555" s="2203">
        <f t="shared" si="682"/>
        <v>8673000</v>
      </c>
      <c r="AC2555" s="2170">
        <f t="shared" si="683"/>
        <v>13.333333333333334</v>
      </c>
      <c r="AD2555" s="2170">
        <f t="shared" si="683"/>
        <v>22.67450980392157</v>
      </c>
      <c r="AE2555" s="2409"/>
      <c r="AF2555" s="2161"/>
      <c r="AG2555" s="2161"/>
      <c r="AH2555" s="2161"/>
      <c r="AI2555" s="2161"/>
      <c r="AJ2555" s="2161"/>
      <c r="AK2555" s="2161"/>
      <c r="AL2555" s="2161"/>
      <c r="AM2555" s="2161"/>
      <c r="AN2555" s="2161"/>
      <c r="AO2555" s="2161"/>
      <c r="AP2555" s="2161"/>
      <c r="AQ2555" s="2161"/>
      <c r="AR2555" s="2161"/>
      <c r="AS2555" s="2161"/>
      <c r="AT2555" s="2161"/>
      <c r="AU2555" s="2161"/>
      <c r="AV2555" s="2161"/>
      <c r="AW2555" s="2161"/>
      <c r="AX2555" s="2161"/>
      <c r="AY2555" s="2161"/>
      <c r="AZ2555" s="2161"/>
      <c r="BA2555" s="2161"/>
      <c r="BB2555" s="2161"/>
      <c r="BC2555" s="2161"/>
      <c r="BD2555" s="2161"/>
      <c r="BE2555" s="2161"/>
      <c r="BF2555" s="2161"/>
      <c r="BG2555" s="2161"/>
      <c r="BH2555" s="2161"/>
      <c r="BI2555" s="2161"/>
      <c r="BJ2555" s="2161"/>
      <c r="BK2555" s="2161"/>
      <c r="BL2555" s="2161"/>
      <c r="BM2555" s="2161"/>
      <c r="BN2555" s="2161"/>
      <c r="BO2555" s="2161"/>
      <c r="BP2555" s="2161"/>
      <c r="BQ2555" s="2161"/>
      <c r="BR2555" s="2161"/>
      <c r="BS2555" s="2161"/>
    </row>
    <row r="2556" spans="1:71" s="2131" customFormat="1" ht="51">
      <c r="A2556" s="2140" t="s">
        <v>3577</v>
      </c>
      <c r="B2556" s="2194"/>
      <c r="C2556" s="2142">
        <v>5</v>
      </c>
      <c r="D2556" s="2142" t="s">
        <v>34</v>
      </c>
      <c r="E2556" s="2142" t="s">
        <v>25</v>
      </c>
      <c r="F2556" s="2142" t="s">
        <v>45</v>
      </c>
      <c r="G2556" s="2142" t="s">
        <v>87</v>
      </c>
      <c r="H2556" s="2140"/>
      <c r="I2556" s="2143" t="s">
        <v>3911</v>
      </c>
      <c r="J2556" s="2143" t="s">
        <v>3662</v>
      </c>
      <c r="K2556" s="2144">
        <v>100</v>
      </c>
      <c r="L2556" s="2145">
        <f>SUM(L2557)</f>
        <v>129353840</v>
      </c>
      <c r="M2556" s="2144">
        <v>50</v>
      </c>
      <c r="N2556" s="2145">
        <f>SUM(N2557)</f>
        <v>58520500</v>
      </c>
      <c r="O2556" s="2144">
        <v>18</v>
      </c>
      <c r="P2556" s="2145">
        <f>SUM(P2557)</f>
        <v>0</v>
      </c>
      <c r="Q2556" s="2144">
        <v>0</v>
      </c>
      <c r="R2556" s="2145">
        <f>SUM(R2557)</f>
        <v>0</v>
      </c>
      <c r="S2556" s="2144"/>
      <c r="T2556" s="2146">
        <f>SUM(T2557)</f>
        <v>0</v>
      </c>
      <c r="U2556" s="2195"/>
      <c r="V2556" s="2146">
        <f>SUM(V2557)</f>
        <v>0</v>
      </c>
      <c r="W2556" s="2144"/>
      <c r="X2556" s="2146">
        <f>SUM(X2557)</f>
        <v>0</v>
      </c>
      <c r="Y2556" s="2195">
        <f t="shared" si="681"/>
        <v>0</v>
      </c>
      <c r="Z2556" s="2145">
        <f t="shared" si="681"/>
        <v>0</v>
      </c>
      <c r="AA2556" s="2147">
        <f t="shared" si="682"/>
        <v>50</v>
      </c>
      <c r="AB2556" s="2145">
        <f t="shared" si="682"/>
        <v>58520500</v>
      </c>
      <c r="AC2556" s="2147">
        <f t="shared" si="683"/>
        <v>50</v>
      </c>
      <c r="AD2556" s="2147">
        <f t="shared" si="683"/>
        <v>45.24063607234234</v>
      </c>
      <c r="AE2556" s="2204" t="s">
        <v>3895</v>
      </c>
      <c r="AF2556" s="2270"/>
      <c r="AG2556" s="2270"/>
      <c r="AH2556" s="2270"/>
      <c r="AI2556" s="2270"/>
      <c r="AJ2556" s="2270"/>
      <c r="AK2556" s="2270"/>
      <c r="AL2556" s="2270"/>
      <c r="AM2556" s="2270"/>
      <c r="AN2556" s="2270"/>
      <c r="AO2556" s="2270"/>
      <c r="AP2556" s="2270"/>
      <c r="AQ2556" s="2270"/>
      <c r="AR2556" s="2270"/>
      <c r="AS2556" s="2270"/>
      <c r="AT2556" s="2270"/>
      <c r="AU2556" s="2270"/>
      <c r="AV2556" s="2270"/>
      <c r="AW2556" s="2270"/>
      <c r="AX2556" s="2270"/>
      <c r="AY2556" s="2270"/>
      <c r="AZ2556" s="2270"/>
      <c r="BA2556" s="2270"/>
      <c r="BB2556" s="2270"/>
      <c r="BC2556" s="2270"/>
      <c r="BD2556" s="2270"/>
      <c r="BE2556" s="2270"/>
      <c r="BF2556" s="2270"/>
      <c r="BG2556" s="2270"/>
      <c r="BH2556" s="2270"/>
      <c r="BI2556" s="2270"/>
      <c r="BJ2556" s="2270"/>
      <c r="BK2556" s="2270"/>
      <c r="BL2556" s="2270"/>
      <c r="BM2556" s="2270"/>
      <c r="BN2556" s="2270"/>
      <c r="BO2556" s="2270"/>
      <c r="BP2556" s="2270"/>
      <c r="BQ2556" s="2270"/>
      <c r="BR2556" s="2270"/>
      <c r="BS2556" s="2270"/>
    </row>
    <row r="2557" spans="1:71" s="2131" customFormat="1" ht="38.25">
      <c r="A2557" s="2379"/>
      <c r="B2557" s="2162"/>
      <c r="C2557" s="2164">
        <v>5</v>
      </c>
      <c r="D2557" s="2164" t="s">
        <v>34</v>
      </c>
      <c r="E2557" s="2164" t="s">
        <v>25</v>
      </c>
      <c r="F2557" s="2164" t="s">
        <v>45</v>
      </c>
      <c r="G2557" s="2164" t="s">
        <v>87</v>
      </c>
      <c r="H2557" s="2151" t="s">
        <v>39</v>
      </c>
      <c r="I2557" s="2162" t="s">
        <v>3912</v>
      </c>
      <c r="J2557" s="2162" t="s">
        <v>3733</v>
      </c>
      <c r="K2557" s="2166">
        <v>60</v>
      </c>
      <c r="L2557" s="2167">
        <v>129353840</v>
      </c>
      <c r="M2557" s="2166">
        <v>30</v>
      </c>
      <c r="N2557" s="2167">
        <v>58520500</v>
      </c>
      <c r="O2557" s="2166">
        <v>0</v>
      </c>
      <c r="P2557" s="2167">
        <v>0</v>
      </c>
      <c r="Q2557" s="2166">
        <v>0</v>
      </c>
      <c r="R2557" s="2167">
        <v>0</v>
      </c>
      <c r="S2557" s="2166"/>
      <c r="T2557" s="2202">
        <v>0</v>
      </c>
      <c r="U2557" s="2166"/>
      <c r="V2557" s="2202"/>
      <c r="W2557" s="2166"/>
      <c r="X2557" s="2167"/>
      <c r="Y2557" s="2166">
        <f t="shared" si="681"/>
        <v>0</v>
      </c>
      <c r="Z2557" s="2203">
        <f t="shared" si="681"/>
        <v>0</v>
      </c>
      <c r="AA2557" s="2166">
        <f t="shared" si="682"/>
        <v>30</v>
      </c>
      <c r="AB2557" s="2203">
        <f t="shared" si="682"/>
        <v>58520500</v>
      </c>
      <c r="AC2557" s="2170">
        <f t="shared" si="683"/>
        <v>50</v>
      </c>
      <c r="AD2557" s="2170">
        <f t="shared" si="683"/>
        <v>45.24063607234234</v>
      </c>
      <c r="AE2557" s="2409"/>
      <c r="AF2557" s="2161"/>
      <c r="AG2557" s="2161"/>
      <c r="AH2557" s="2161"/>
      <c r="AI2557" s="2161"/>
      <c r="AJ2557" s="2161"/>
      <c r="AK2557" s="2161"/>
      <c r="AL2557" s="2161"/>
      <c r="AM2557" s="2161"/>
      <c r="AN2557" s="2161"/>
      <c r="AO2557" s="2161"/>
      <c r="AP2557" s="2161"/>
      <c r="AQ2557" s="2161"/>
      <c r="AR2557" s="2161"/>
      <c r="AS2557" s="2161"/>
      <c r="AT2557" s="2161"/>
      <c r="AU2557" s="2161"/>
      <c r="AV2557" s="2161"/>
      <c r="AW2557" s="2161"/>
      <c r="AX2557" s="2161"/>
      <c r="AY2557" s="2161"/>
      <c r="AZ2557" s="2161"/>
      <c r="BA2557" s="2161"/>
      <c r="BB2557" s="2161"/>
      <c r="BC2557" s="2161"/>
      <c r="BD2557" s="2161"/>
      <c r="BE2557" s="2161"/>
      <c r="BF2557" s="2161"/>
      <c r="BG2557" s="2161"/>
      <c r="BH2557" s="2161"/>
      <c r="BI2557" s="2161"/>
      <c r="BJ2557" s="2161"/>
      <c r="BK2557" s="2161"/>
      <c r="BL2557" s="2161"/>
      <c r="BM2557" s="2161"/>
      <c r="BN2557" s="2161"/>
      <c r="BO2557" s="2161"/>
      <c r="BP2557" s="2161"/>
      <c r="BQ2557" s="2161"/>
      <c r="BR2557" s="2161"/>
      <c r="BS2557" s="2161"/>
    </row>
    <row r="2558" spans="1:71" s="2131" customFormat="1" ht="63.75">
      <c r="A2558" s="2140" t="s">
        <v>19</v>
      </c>
      <c r="B2558" s="2194"/>
      <c r="C2558" s="2142">
        <v>5</v>
      </c>
      <c r="D2558" s="2142" t="s">
        <v>34</v>
      </c>
      <c r="E2558" s="2142" t="s">
        <v>25</v>
      </c>
      <c r="F2558" s="2142" t="s">
        <v>45</v>
      </c>
      <c r="G2558" s="2142" t="s">
        <v>3667</v>
      </c>
      <c r="H2558" s="2140"/>
      <c r="I2558" s="2143" t="s">
        <v>3668</v>
      </c>
      <c r="J2558" s="2143" t="s">
        <v>3669</v>
      </c>
      <c r="K2558" s="2144">
        <v>100</v>
      </c>
      <c r="L2558" s="2145">
        <f>SUM(L2559:L2564)</f>
        <v>708777000</v>
      </c>
      <c r="M2558" s="2144">
        <v>52</v>
      </c>
      <c r="N2558" s="2145">
        <f>SUM(N2559:N2564)</f>
        <v>268797850</v>
      </c>
      <c r="O2558" s="2144">
        <v>20</v>
      </c>
      <c r="P2558" s="2145">
        <f>SUM(P2559:P2564)</f>
        <v>53232500</v>
      </c>
      <c r="Q2558" s="2144">
        <v>0</v>
      </c>
      <c r="R2558" s="2145">
        <f>SUM(R2559:R2564)</f>
        <v>8877800</v>
      </c>
      <c r="S2558" s="2144"/>
      <c r="T2558" s="2145">
        <f>SUM(T2559:T2564)</f>
        <v>16931500</v>
      </c>
      <c r="U2558" s="2195"/>
      <c r="V2558" s="2145">
        <f>SUM(V2559:V2564)</f>
        <v>0</v>
      </c>
      <c r="W2558" s="2144"/>
      <c r="X2558" s="2145">
        <f>SUM(X2559:X2564)</f>
        <v>0</v>
      </c>
      <c r="Y2558" s="2195">
        <f t="shared" si="681"/>
        <v>0</v>
      </c>
      <c r="Z2558" s="2145">
        <f t="shared" si="681"/>
        <v>25809300</v>
      </c>
      <c r="AA2558" s="2147">
        <f t="shared" si="682"/>
        <v>52</v>
      </c>
      <c r="AB2558" s="2145">
        <f t="shared" si="682"/>
        <v>294607150</v>
      </c>
      <c r="AC2558" s="2147">
        <f t="shared" si="683"/>
        <v>52</v>
      </c>
      <c r="AD2558" s="2147">
        <f t="shared" si="683"/>
        <v>41.565562934463166</v>
      </c>
      <c r="AE2558" s="2204" t="s">
        <v>3895</v>
      </c>
      <c r="AF2558" s="2149"/>
      <c r="AG2558" s="2149"/>
      <c r="AH2558" s="2149"/>
      <c r="AI2558" s="2149"/>
      <c r="AJ2558" s="2149"/>
      <c r="AK2558" s="2149"/>
      <c r="AL2558" s="2149"/>
      <c r="AM2558" s="2149"/>
      <c r="AN2558" s="2149"/>
      <c r="AO2558" s="2149"/>
      <c r="AP2558" s="2149"/>
      <c r="AQ2558" s="2149"/>
      <c r="AR2558" s="2149"/>
      <c r="AS2558" s="2149"/>
      <c r="AT2558" s="2149"/>
      <c r="AU2558" s="2149"/>
      <c r="AV2558" s="2149"/>
      <c r="AW2558" s="2149"/>
      <c r="AX2558" s="2149"/>
      <c r="AY2558" s="2149"/>
      <c r="AZ2558" s="2149"/>
      <c r="BA2558" s="2149"/>
      <c r="BB2558" s="2149"/>
      <c r="BC2558" s="2149"/>
      <c r="BD2558" s="2149"/>
      <c r="BE2558" s="2149"/>
      <c r="BF2558" s="2149"/>
      <c r="BG2558" s="2149"/>
      <c r="BH2558" s="2149"/>
      <c r="BI2558" s="2149"/>
      <c r="BJ2558" s="2149"/>
      <c r="BK2558" s="2149"/>
      <c r="BL2558" s="2149"/>
      <c r="BM2558" s="2149"/>
      <c r="BN2558" s="2149"/>
      <c r="BO2558" s="2149"/>
      <c r="BP2558" s="2149"/>
      <c r="BQ2558" s="2149"/>
      <c r="BR2558" s="2149"/>
      <c r="BS2558" s="2149"/>
    </row>
    <row r="2559" spans="1:71" s="2131" customFormat="1" ht="38.25">
      <c r="A2559" s="2267"/>
      <c r="B2559" s="2253"/>
      <c r="C2559" s="2164">
        <v>5</v>
      </c>
      <c r="D2559" s="2164" t="s">
        <v>34</v>
      </c>
      <c r="E2559" s="2164" t="s">
        <v>25</v>
      </c>
      <c r="F2559" s="2164" t="s">
        <v>45</v>
      </c>
      <c r="G2559" s="2164" t="s">
        <v>3667</v>
      </c>
      <c r="H2559" s="2254" t="s">
        <v>25</v>
      </c>
      <c r="I2559" s="2171" t="s">
        <v>3551</v>
      </c>
      <c r="J2559" s="2171" t="s">
        <v>3783</v>
      </c>
      <c r="K2559" s="2255">
        <v>60</v>
      </c>
      <c r="L2559" s="2203">
        <v>188580500</v>
      </c>
      <c r="M2559" s="2256">
        <v>30</v>
      </c>
      <c r="N2559" s="2257">
        <v>93693900</v>
      </c>
      <c r="O2559" s="2255">
        <v>10</v>
      </c>
      <c r="P2559" s="2258">
        <v>32480000</v>
      </c>
      <c r="Q2559" s="2256">
        <v>2</v>
      </c>
      <c r="R2559" s="2203">
        <v>4273300</v>
      </c>
      <c r="S2559" s="2255">
        <v>3</v>
      </c>
      <c r="T2559" s="2258">
        <v>7847800</v>
      </c>
      <c r="U2559" s="2255"/>
      <c r="V2559" s="2258"/>
      <c r="W2559" s="2255"/>
      <c r="X2559" s="2203"/>
      <c r="Y2559" s="2240">
        <f t="shared" si="681"/>
        <v>5</v>
      </c>
      <c r="Z2559" s="2203">
        <f t="shared" si="681"/>
        <v>12121100</v>
      </c>
      <c r="AA2559" s="2240">
        <f t="shared" si="682"/>
        <v>35</v>
      </c>
      <c r="AB2559" s="2203">
        <f t="shared" si="682"/>
        <v>105815000</v>
      </c>
      <c r="AC2559" s="2243">
        <f t="shared" si="683"/>
        <v>58.333333333333336</v>
      </c>
      <c r="AD2559" s="2243">
        <f t="shared" si="683"/>
        <v>56.111315857153841</v>
      </c>
      <c r="AE2559" s="2605"/>
      <c r="AF2559" s="2161"/>
      <c r="AG2559" s="2161"/>
      <c r="AH2559" s="2161"/>
      <c r="AI2559" s="2161"/>
      <c r="AJ2559" s="2161"/>
      <c r="AK2559" s="2161"/>
      <c r="AL2559" s="2161"/>
      <c r="AM2559" s="2161"/>
      <c r="AN2559" s="2161"/>
      <c r="AO2559" s="2161"/>
      <c r="AP2559" s="2161"/>
      <c r="AQ2559" s="2161"/>
      <c r="AR2559" s="2161"/>
      <c r="AS2559" s="2161"/>
      <c r="AT2559" s="2161"/>
      <c r="AU2559" s="2161"/>
      <c r="AV2559" s="2161"/>
      <c r="AW2559" s="2161"/>
      <c r="AX2559" s="2161"/>
      <c r="AY2559" s="2161"/>
      <c r="AZ2559" s="2161"/>
      <c r="BA2559" s="2161"/>
      <c r="BB2559" s="2161"/>
      <c r="BC2559" s="2161"/>
      <c r="BD2559" s="2161"/>
      <c r="BE2559" s="2161"/>
      <c r="BF2559" s="2161"/>
      <c r="BG2559" s="2161"/>
      <c r="BH2559" s="2161"/>
      <c r="BI2559" s="2161"/>
      <c r="BJ2559" s="2161"/>
      <c r="BK2559" s="2161"/>
      <c r="BL2559" s="2161"/>
      <c r="BM2559" s="2161"/>
      <c r="BN2559" s="2161"/>
      <c r="BO2559" s="2161"/>
      <c r="BP2559" s="2161"/>
      <c r="BQ2559" s="2161"/>
      <c r="BR2559" s="2161"/>
      <c r="BS2559" s="2161"/>
    </row>
    <row r="2560" spans="1:71" s="2131" customFormat="1" ht="38.25">
      <c r="A2560" s="2267"/>
      <c r="B2560" s="2253"/>
      <c r="C2560" s="2164">
        <v>5</v>
      </c>
      <c r="D2560" s="2164" t="s">
        <v>34</v>
      </c>
      <c r="E2560" s="2164" t="s">
        <v>25</v>
      </c>
      <c r="F2560" s="2164" t="s">
        <v>45</v>
      </c>
      <c r="G2560" s="2164" t="s">
        <v>3667</v>
      </c>
      <c r="H2560" s="2254" t="s">
        <v>28</v>
      </c>
      <c r="I2560" s="2171" t="s">
        <v>3913</v>
      </c>
      <c r="J2560" s="2171" t="s">
        <v>3672</v>
      </c>
      <c r="K2560" s="2255">
        <v>6</v>
      </c>
      <c r="L2560" s="2268">
        <v>137849500</v>
      </c>
      <c r="M2560" s="2256">
        <v>3</v>
      </c>
      <c r="N2560" s="2257">
        <v>39452800</v>
      </c>
      <c r="O2560" s="2255">
        <v>1</v>
      </c>
      <c r="P2560" s="2258">
        <v>2900000</v>
      </c>
      <c r="Q2560" s="2257">
        <v>0</v>
      </c>
      <c r="R2560" s="2203">
        <v>0</v>
      </c>
      <c r="S2560" s="2203">
        <v>1</v>
      </c>
      <c r="T2560" s="2203">
        <v>525000</v>
      </c>
      <c r="U2560" s="2255"/>
      <c r="V2560" s="2203"/>
      <c r="W2560" s="2255"/>
      <c r="X2560" s="2203"/>
      <c r="Y2560" s="2240">
        <f t="shared" si="681"/>
        <v>1</v>
      </c>
      <c r="Z2560" s="2203">
        <f t="shared" si="681"/>
        <v>525000</v>
      </c>
      <c r="AA2560" s="2240">
        <f t="shared" si="682"/>
        <v>4</v>
      </c>
      <c r="AB2560" s="2203">
        <f t="shared" si="682"/>
        <v>39977800</v>
      </c>
      <c r="AC2560" s="2243">
        <f t="shared" si="683"/>
        <v>66.666666666666657</v>
      </c>
      <c r="AD2560" s="2243">
        <f t="shared" si="683"/>
        <v>29.001048244643613</v>
      </c>
      <c r="AE2560" s="2605"/>
      <c r="AF2560" s="2161"/>
      <c r="AG2560" s="2161"/>
      <c r="AH2560" s="2161"/>
      <c r="AI2560" s="2161"/>
      <c r="AJ2560" s="2161"/>
      <c r="AK2560" s="2161"/>
      <c r="AL2560" s="2161"/>
      <c r="AM2560" s="2161"/>
      <c r="AN2560" s="2161"/>
      <c r="AO2560" s="2161"/>
      <c r="AP2560" s="2161"/>
      <c r="AQ2560" s="2161"/>
      <c r="AR2560" s="2161"/>
      <c r="AS2560" s="2161"/>
      <c r="AT2560" s="2161"/>
      <c r="AU2560" s="2161"/>
      <c r="AV2560" s="2161"/>
      <c r="AW2560" s="2161"/>
      <c r="AX2560" s="2161"/>
      <c r="AY2560" s="2161"/>
      <c r="AZ2560" s="2161"/>
      <c r="BA2560" s="2161"/>
      <c r="BB2560" s="2161"/>
      <c r="BC2560" s="2161"/>
      <c r="BD2560" s="2161"/>
      <c r="BE2560" s="2161"/>
      <c r="BF2560" s="2161"/>
      <c r="BG2560" s="2161"/>
      <c r="BH2560" s="2161"/>
      <c r="BI2560" s="2161"/>
      <c r="BJ2560" s="2161"/>
      <c r="BK2560" s="2161"/>
      <c r="BL2560" s="2161"/>
      <c r="BM2560" s="2161"/>
      <c r="BN2560" s="2161"/>
      <c r="BO2560" s="2161"/>
      <c r="BP2560" s="2161"/>
      <c r="BQ2560" s="2161"/>
      <c r="BR2560" s="2161"/>
      <c r="BS2560" s="2161"/>
    </row>
    <row r="2561" spans="1:71" s="2131" customFormat="1" ht="27.75" customHeight="1">
      <c r="A2561" s="2267"/>
      <c r="B2561" s="2253"/>
      <c r="C2561" s="2164">
        <v>5</v>
      </c>
      <c r="D2561" s="2164" t="s">
        <v>34</v>
      </c>
      <c r="E2561" s="2164" t="s">
        <v>25</v>
      </c>
      <c r="F2561" s="2164" t="s">
        <v>45</v>
      </c>
      <c r="G2561" s="2164" t="s">
        <v>3667</v>
      </c>
      <c r="H2561" s="2254">
        <v>12</v>
      </c>
      <c r="I2561" s="2171" t="s">
        <v>3914</v>
      </c>
      <c r="J2561" s="2171" t="s">
        <v>3595</v>
      </c>
      <c r="K2561" s="2255">
        <v>6</v>
      </c>
      <c r="L2561" s="2203">
        <f t="shared" ref="L2561" si="684">3*P2561</f>
        <v>8775000</v>
      </c>
      <c r="M2561" s="2256">
        <v>0</v>
      </c>
      <c r="N2561" s="2257">
        <v>0</v>
      </c>
      <c r="O2561" s="2255">
        <v>1</v>
      </c>
      <c r="P2561" s="2258">
        <v>2925000</v>
      </c>
      <c r="Q2561" s="2256">
        <v>0</v>
      </c>
      <c r="R2561" s="2203">
        <v>0</v>
      </c>
      <c r="S2561" s="2203"/>
      <c r="T2561" s="2258">
        <v>0</v>
      </c>
      <c r="U2561" s="2255"/>
      <c r="V2561" s="2203"/>
      <c r="W2561" s="2255"/>
      <c r="X2561" s="2203"/>
      <c r="Y2561" s="2240">
        <f t="shared" si="681"/>
        <v>0</v>
      </c>
      <c r="Z2561" s="2203">
        <f t="shared" si="681"/>
        <v>0</v>
      </c>
      <c r="AA2561" s="2240">
        <f t="shared" si="682"/>
        <v>0</v>
      </c>
      <c r="AB2561" s="2203">
        <f t="shared" si="682"/>
        <v>0</v>
      </c>
      <c r="AC2561" s="2243">
        <f t="shared" si="683"/>
        <v>0</v>
      </c>
      <c r="AD2561" s="2243">
        <f t="shared" si="683"/>
        <v>0</v>
      </c>
      <c r="AE2561" s="2605"/>
      <c r="AF2561" s="2161"/>
      <c r="AG2561" s="2161"/>
      <c r="AH2561" s="2161"/>
      <c r="AI2561" s="2161"/>
      <c r="AJ2561" s="2161"/>
      <c r="AK2561" s="2161"/>
      <c r="AL2561" s="2161"/>
      <c r="AM2561" s="2161"/>
      <c r="AN2561" s="2161"/>
      <c r="AO2561" s="2161"/>
      <c r="AP2561" s="2161"/>
      <c r="AQ2561" s="2161"/>
      <c r="AR2561" s="2161"/>
      <c r="AS2561" s="2161"/>
      <c r="AT2561" s="2161"/>
      <c r="AU2561" s="2161"/>
      <c r="AV2561" s="2161"/>
      <c r="AW2561" s="2161"/>
      <c r="AX2561" s="2161"/>
      <c r="AY2561" s="2161"/>
      <c r="AZ2561" s="2161"/>
      <c r="BA2561" s="2161"/>
      <c r="BB2561" s="2161"/>
      <c r="BC2561" s="2161"/>
      <c r="BD2561" s="2161"/>
      <c r="BE2561" s="2161"/>
      <c r="BF2561" s="2161"/>
      <c r="BG2561" s="2161"/>
      <c r="BH2561" s="2161"/>
      <c r="BI2561" s="2161"/>
      <c r="BJ2561" s="2161"/>
      <c r="BK2561" s="2161"/>
      <c r="BL2561" s="2161"/>
      <c r="BM2561" s="2161"/>
      <c r="BN2561" s="2161"/>
      <c r="BO2561" s="2161"/>
      <c r="BP2561" s="2161"/>
      <c r="BQ2561" s="2161"/>
      <c r="BR2561" s="2161"/>
      <c r="BS2561" s="2161"/>
    </row>
    <row r="2562" spans="1:71" s="2131" customFormat="1" ht="38.25">
      <c r="A2562" s="2267"/>
      <c r="B2562" s="2253"/>
      <c r="C2562" s="2164">
        <v>5</v>
      </c>
      <c r="D2562" s="2164" t="s">
        <v>34</v>
      </c>
      <c r="E2562" s="2164" t="s">
        <v>25</v>
      </c>
      <c r="F2562" s="2164" t="s">
        <v>45</v>
      </c>
      <c r="G2562" s="2164" t="s">
        <v>3667</v>
      </c>
      <c r="H2562" s="2254">
        <v>13</v>
      </c>
      <c r="I2562" s="2171" t="s">
        <v>3842</v>
      </c>
      <c r="J2562" s="2171" t="s">
        <v>3679</v>
      </c>
      <c r="K2562" s="2255">
        <v>150</v>
      </c>
      <c r="L2562" s="2203">
        <v>30786000</v>
      </c>
      <c r="M2562" s="2256">
        <v>95</v>
      </c>
      <c r="N2562" s="2257">
        <v>19863750</v>
      </c>
      <c r="O2562" s="2255">
        <v>25</v>
      </c>
      <c r="P2562" s="2258">
        <v>2140000</v>
      </c>
      <c r="Q2562" s="2256">
        <v>0</v>
      </c>
      <c r="R2562" s="2203">
        <v>0</v>
      </c>
      <c r="S2562" s="2203">
        <v>8</v>
      </c>
      <c r="T2562" s="2258">
        <v>489600</v>
      </c>
      <c r="U2562" s="2255"/>
      <c r="V2562" s="2203"/>
      <c r="W2562" s="2255"/>
      <c r="X2562" s="2203"/>
      <c r="Y2562" s="2240">
        <f t="shared" si="681"/>
        <v>8</v>
      </c>
      <c r="Z2562" s="2203">
        <f t="shared" si="681"/>
        <v>489600</v>
      </c>
      <c r="AA2562" s="2240">
        <f t="shared" si="682"/>
        <v>103</v>
      </c>
      <c r="AB2562" s="2203">
        <f t="shared" si="682"/>
        <v>20353350</v>
      </c>
      <c r="AC2562" s="2243">
        <f t="shared" si="683"/>
        <v>68.666666666666671</v>
      </c>
      <c r="AD2562" s="2243">
        <f t="shared" si="683"/>
        <v>66.112356265835118</v>
      </c>
      <c r="AE2562" s="2605"/>
      <c r="AF2562" s="2161"/>
      <c r="AG2562" s="2161"/>
      <c r="AH2562" s="2161"/>
      <c r="AI2562" s="2161"/>
      <c r="AJ2562" s="2161"/>
      <c r="AK2562" s="2161"/>
      <c r="AL2562" s="2161"/>
      <c r="AM2562" s="2161"/>
      <c r="AN2562" s="2161"/>
      <c r="AO2562" s="2161"/>
      <c r="AP2562" s="2161"/>
      <c r="AQ2562" s="2161"/>
      <c r="AR2562" s="2161"/>
      <c r="AS2562" s="2161"/>
      <c r="AT2562" s="2161"/>
      <c r="AU2562" s="2161"/>
      <c r="AV2562" s="2161"/>
      <c r="AW2562" s="2161"/>
      <c r="AX2562" s="2161"/>
      <c r="AY2562" s="2161"/>
      <c r="AZ2562" s="2161"/>
      <c r="BA2562" s="2161"/>
      <c r="BB2562" s="2161"/>
      <c r="BC2562" s="2161"/>
      <c r="BD2562" s="2161"/>
      <c r="BE2562" s="2161"/>
      <c r="BF2562" s="2161"/>
      <c r="BG2562" s="2161"/>
      <c r="BH2562" s="2161"/>
      <c r="BI2562" s="2161"/>
      <c r="BJ2562" s="2161"/>
      <c r="BK2562" s="2161"/>
      <c r="BL2562" s="2161"/>
      <c r="BM2562" s="2161"/>
      <c r="BN2562" s="2161"/>
      <c r="BO2562" s="2161"/>
      <c r="BP2562" s="2161"/>
      <c r="BQ2562" s="2161"/>
      <c r="BR2562" s="2161"/>
      <c r="BS2562" s="2161"/>
    </row>
    <row r="2563" spans="1:71" s="2131" customFormat="1" ht="63.75">
      <c r="A2563" s="2267"/>
      <c r="B2563" s="2253"/>
      <c r="C2563" s="2164">
        <v>5</v>
      </c>
      <c r="D2563" s="2164" t="s">
        <v>34</v>
      </c>
      <c r="E2563" s="2164" t="s">
        <v>25</v>
      </c>
      <c r="F2563" s="2164" t="s">
        <v>45</v>
      </c>
      <c r="G2563" s="2164" t="s">
        <v>3667</v>
      </c>
      <c r="H2563" s="2254" t="s">
        <v>61</v>
      </c>
      <c r="I2563" s="2171" t="s">
        <v>3915</v>
      </c>
      <c r="J2563" s="2171" t="s">
        <v>3674</v>
      </c>
      <c r="K2563" s="2255">
        <v>6</v>
      </c>
      <c r="L2563" s="2203">
        <v>171393000</v>
      </c>
      <c r="M2563" s="2256">
        <v>3</v>
      </c>
      <c r="N2563" s="2257">
        <v>57893700</v>
      </c>
      <c r="O2563" s="2255">
        <v>1</v>
      </c>
      <c r="P2563" s="2258">
        <v>7625000</v>
      </c>
      <c r="Q2563" s="2256">
        <v>1</v>
      </c>
      <c r="R2563" s="2203">
        <v>4604500</v>
      </c>
      <c r="S2563" s="2203">
        <v>0</v>
      </c>
      <c r="T2563" s="2258">
        <v>7579500</v>
      </c>
      <c r="U2563" s="2255"/>
      <c r="V2563" s="2203"/>
      <c r="W2563" s="2255"/>
      <c r="X2563" s="2203"/>
      <c r="Y2563" s="2240">
        <f t="shared" si="681"/>
        <v>1</v>
      </c>
      <c r="Z2563" s="2203">
        <f t="shared" si="681"/>
        <v>12184000</v>
      </c>
      <c r="AA2563" s="2240">
        <f t="shared" si="682"/>
        <v>4</v>
      </c>
      <c r="AB2563" s="2203">
        <f t="shared" si="682"/>
        <v>70077700</v>
      </c>
      <c r="AC2563" s="2243">
        <f t="shared" si="683"/>
        <v>66.666666666666657</v>
      </c>
      <c r="AD2563" s="2243">
        <f t="shared" si="683"/>
        <v>40.887142415384524</v>
      </c>
      <c r="AE2563" s="2605"/>
      <c r="AF2563" s="2161"/>
      <c r="AG2563" s="2161"/>
      <c r="AH2563" s="2161"/>
      <c r="AI2563" s="2161"/>
      <c r="AJ2563" s="2161"/>
      <c r="AK2563" s="2161"/>
      <c r="AL2563" s="2161"/>
      <c r="AM2563" s="2161"/>
      <c r="AN2563" s="2161"/>
      <c r="AO2563" s="2161"/>
      <c r="AP2563" s="2161"/>
      <c r="AQ2563" s="2161"/>
      <c r="AR2563" s="2161"/>
      <c r="AS2563" s="2161"/>
      <c r="AT2563" s="2161"/>
      <c r="AU2563" s="2161"/>
      <c r="AV2563" s="2161"/>
      <c r="AW2563" s="2161"/>
      <c r="AX2563" s="2161"/>
      <c r="AY2563" s="2161"/>
      <c r="AZ2563" s="2161"/>
      <c r="BA2563" s="2161"/>
      <c r="BB2563" s="2161"/>
      <c r="BC2563" s="2161"/>
      <c r="BD2563" s="2161"/>
      <c r="BE2563" s="2161"/>
      <c r="BF2563" s="2161"/>
      <c r="BG2563" s="2161"/>
      <c r="BH2563" s="2161"/>
      <c r="BI2563" s="2161"/>
      <c r="BJ2563" s="2161"/>
      <c r="BK2563" s="2161"/>
      <c r="BL2563" s="2161"/>
      <c r="BM2563" s="2161"/>
      <c r="BN2563" s="2161"/>
      <c r="BO2563" s="2161"/>
      <c r="BP2563" s="2161"/>
      <c r="BQ2563" s="2161"/>
      <c r="BR2563" s="2161"/>
      <c r="BS2563" s="2161"/>
    </row>
    <row r="2564" spans="1:71" s="2131" customFormat="1" ht="38.25">
      <c r="A2564" s="2267"/>
      <c r="B2564" s="2253"/>
      <c r="C2564" s="2164">
        <v>5</v>
      </c>
      <c r="D2564" s="2164" t="s">
        <v>34</v>
      </c>
      <c r="E2564" s="2164" t="s">
        <v>25</v>
      </c>
      <c r="F2564" s="2164" t="s">
        <v>45</v>
      </c>
      <c r="G2564" s="2164" t="s">
        <v>3667</v>
      </c>
      <c r="H2564" s="2254">
        <v>27</v>
      </c>
      <c r="I2564" s="2171" t="s">
        <v>3916</v>
      </c>
      <c r="J2564" s="2171" t="s">
        <v>4131</v>
      </c>
      <c r="K2564" s="2255">
        <v>18</v>
      </c>
      <c r="L2564" s="2203">
        <v>171393000</v>
      </c>
      <c r="M2564" s="2256">
        <v>6</v>
      </c>
      <c r="N2564" s="2257">
        <v>57893700</v>
      </c>
      <c r="O2564" s="2255">
        <v>3</v>
      </c>
      <c r="P2564" s="2258">
        <v>5162500</v>
      </c>
      <c r="Q2564" s="2256">
        <v>0</v>
      </c>
      <c r="R2564" s="2203">
        <v>0</v>
      </c>
      <c r="S2564" s="2203">
        <v>1</v>
      </c>
      <c r="T2564" s="2258">
        <v>489600</v>
      </c>
      <c r="U2564" s="2255"/>
      <c r="V2564" s="2203"/>
      <c r="W2564" s="2255"/>
      <c r="X2564" s="2203"/>
      <c r="Y2564" s="2240">
        <f t="shared" si="681"/>
        <v>1</v>
      </c>
      <c r="Z2564" s="2203">
        <f t="shared" si="681"/>
        <v>489600</v>
      </c>
      <c r="AA2564" s="2240">
        <f t="shared" si="682"/>
        <v>7</v>
      </c>
      <c r="AB2564" s="2203">
        <f t="shared" si="682"/>
        <v>58383300</v>
      </c>
      <c r="AC2564" s="2243">
        <f t="shared" si="683"/>
        <v>38.888888888888893</v>
      </c>
      <c r="AD2564" s="2243">
        <f t="shared" si="683"/>
        <v>34.063993278605309</v>
      </c>
      <c r="AE2564" s="2605"/>
      <c r="AF2564" s="2161"/>
      <c r="AG2564" s="2161"/>
      <c r="AH2564" s="2161"/>
      <c r="AI2564" s="2161"/>
      <c r="AJ2564" s="2161"/>
      <c r="AK2564" s="2161"/>
      <c r="AL2564" s="2161"/>
      <c r="AM2564" s="2161"/>
      <c r="AN2564" s="2161"/>
      <c r="AO2564" s="2161"/>
      <c r="AP2564" s="2161"/>
      <c r="AQ2564" s="2161"/>
      <c r="AR2564" s="2161"/>
      <c r="AS2564" s="2161"/>
      <c r="AT2564" s="2161"/>
      <c r="AU2564" s="2161"/>
      <c r="AV2564" s="2161"/>
      <c r="AW2564" s="2161"/>
      <c r="AX2564" s="2161"/>
      <c r="AY2564" s="2161"/>
      <c r="AZ2564" s="2161"/>
      <c r="BA2564" s="2161"/>
      <c r="BB2564" s="2161"/>
      <c r="BC2564" s="2161"/>
      <c r="BD2564" s="2161"/>
      <c r="BE2564" s="2161"/>
      <c r="BF2564" s="2161"/>
      <c r="BG2564" s="2161"/>
      <c r="BH2564" s="2161"/>
      <c r="BI2564" s="2161"/>
      <c r="BJ2564" s="2161"/>
      <c r="BK2564" s="2161"/>
      <c r="BL2564" s="2161"/>
      <c r="BM2564" s="2161"/>
      <c r="BN2564" s="2161"/>
      <c r="BO2564" s="2161"/>
      <c r="BP2564" s="2161"/>
      <c r="BQ2564" s="2161"/>
      <c r="BR2564" s="2161"/>
      <c r="BS2564" s="2161"/>
    </row>
    <row r="2565" spans="1:71" s="2131" customFormat="1" ht="38.25">
      <c r="A2565" s="2140" t="s">
        <v>3589</v>
      </c>
      <c r="B2565" s="2194"/>
      <c r="C2565" s="2142">
        <v>5</v>
      </c>
      <c r="D2565" s="2142" t="s">
        <v>34</v>
      </c>
      <c r="E2565" s="2142" t="s">
        <v>25</v>
      </c>
      <c r="F2565" s="2142" t="s">
        <v>45</v>
      </c>
      <c r="G2565" s="2142" t="s">
        <v>3613</v>
      </c>
      <c r="H2565" s="2140"/>
      <c r="I2565" s="2143" t="s">
        <v>3917</v>
      </c>
      <c r="J2565" s="2143" t="s">
        <v>3918</v>
      </c>
      <c r="K2565" s="2144">
        <v>95</v>
      </c>
      <c r="L2565" s="2145">
        <f>SUM(L2566:L2568)</f>
        <v>247970700</v>
      </c>
      <c r="M2565" s="2144">
        <v>80</v>
      </c>
      <c r="N2565" s="2145">
        <f>SUM(N2566:N2568)</f>
        <v>36907000</v>
      </c>
      <c r="O2565" s="2144">
        <v>20</v>
      </c>
      <c r="P2565" s="2145">
        <f>SUM(P2566:P2568)</f>
        <v>0</v>
      </c>
      <c r="Q2565" s="2144">
        <v>0</v>
      </c>
      <c r="R2565" s="2145">
        <f>SUM(R2566:R2568)</f>
        <v>0</v>
      </c>
      <c r="S2565" s="2144">
        <v>0</v>
      </c>
      <c r="T2565" s="2145">
        <f>SUM(T2566:T2568)</f>
        <v>0</v>
      </c>
      <c r="U2565" s="2195"/>
      <c r="V2565" s="2145">
        <f>SUM(V2566:V2568)</f>
        <v>0</v>
      </c>
      <c r="W2565" s="2144"/>
      <c r="X2565" s="2145">
        <f>SUM(X2566:X2568)</f>
        <v>0</v>
      </c>
      <c r="Y2565" s="2195">
        <f t="shared" si="681"/>
        <v>0</v>
      </c>
      <c r="Z2565" s="2145">
        <f t="shared" si="681"/>
        <v>0</v>
      </c>
      <c r="AA2565" s="2147">
        <f t="shared" si="682"/>
        <v>80</v>
      </c>
      <c r="AB2565" s="2145">
        <f t="shared" si="682"/>
        <v>36907000</v>
      </c>
      <c r="AC2565" s="2147">
        <f t="shared" si="683"/>
        <v>84.210526315789465</v>
      </c>
      <c r="AD2565" s="2147">
        <f t="shared" si="683"/>
        <v>14.883613265599523</v>
      </c>
      <c r="AE2565" s="2204" t="s">
        <v>3895</v>
      </c>
      <c r="AF2565" s="2149"/>
      <c r="AG2565" s="2149"/>
      <c r="AH2565" s="2149"/>
      <c r="AI2565" s="2149"/>
      <c r="AJ2565" s="2149"/>
      <c r="AK2565" s="2149"/>
      <c r="AL2565" s="2149"/>
      <c r="AM2565" s="2149"/>
      <c r="AN2565" s="2149"/>
      <c r="AO2565" s="2149"/>
      <c r="AP2565" s="2149"/>
      <c r="AQ2565" s="2149"/>
      <c r="AR2565" s="2149"/>
      <c r="AS2565" s="2149"/>
      <c r="AT2565" s="2149"/>
      <c r="AU2565" s="2149"/>
      <c r="AV2565" s="2149"/>
      <c r="AW2565" s="2149"/>
      <c r="AX2565" s="2149"/>
      <c r="AY2565" s="2149"/>
      <c r="AZ2565" s="2149"/>
      <c r="BA2565" s="2149"/>
      <c r="BB2565" s="2149"/>
      <c r="BC2565" s="2149"/>
      <c r="BD2565" s="2149"/>
      <c r="BE2565" s="2149"/>
      <c r="BF2565" s="2149"/>
      <c r="BG2565" s="2149"/>
      <c r="BH2565" s="2149"/>
      <c r="BI2565" s="2149"/>
      <c r="BJ2565" s="2149"/>
      <c r="BK2565" s="2149"/>
      <c r="BL2565" s="2149"/>
      <c r="BM2565" s="2149"/>
      <c r="BN2565" s="2149"/>
      <c r="BO2565" s="2149"/>
      <c r="BP2565" s="2149"/>
      <c r="BQ2565" s="2149"/>
      <c r="BR2565" s="2149"/>
      <c r="BS2565" s="2149"/>
    </row>
    <row r="2566" spans="1:71" s="2131" customFormat="1" ht="38.25">
      <c r="A2566" s="2267"/>
      <c r="B2566" s="2253"/>
      <c r="C2566" s="2164">
        <v>5</v>
      </c>
      <c r="D2566" s="2164" t="s">
        <v>34</v>
      </c>
      <c r="E2566" s="2164" t="s">
        <v>25</v>
      </c>
      <c r="F2566" s="2164" t="s">
        <v>45</v>
      </c>
      <c r="G2566" s="2164" t="s">
        <v>3613</v>
      </c>
      <c r="H2566" s="2254" t="s">
        <v>38</v>
      </c>
      <c r="I2566" s="2171" t="s">
        <v>3919</v>
      </c>
      <c r="J2566" s="2171" t="s">
        <v>3920</v>
      </c>
      <c r="K2566" s="2255">
        <v>60</v>
      </c>
      <c r="L2566" s="2203">
        <v>28133700</v>
      </c>
      <c r="M2566" s="2256">
        <v>30</v>
      </c>
      <c r="N2566" s="2257">
        <v>12460400</v>
      </c>
      <c r="O2566" s="2255">
        <v>10</v>
      </c>
      <c r="P2566" s="2258">
        <v>0</v>
      </c>
      <c r="Q2566" s="2256">
        <v>0</v>
      </c>
      <c r="R2566" s="2203">
        <v>0</v>
      </c>
      <c r="S2566" s="2255">
        <v>0</v>
      </c>
      <c r="T2566" s="2258">
        <v>0</v>
      </c>
      <c r="U2566" s="2255"/>
      <c r="V2566" s="2258"/>
      <c r="W2566" s="2255"/>
      <c r="X2566" s="2203"/>
      <c r="Y2566" s="2240">
        <f t="shared" si="681"/>
        <v>0</v>
      </c>
      <c r="Z2566" s="2203">
        <f t="shared" si="681"/>
        <v>0</v>
      </c>
      <c r="AA2566" s="2240">
        <f t="shared" si="682"/>
        <v>30</v>
      </c>
      <c r="AB2566" s="2203">
        <f t="shared" si="682"/>
        <v>12460400</v>
      </c>
      <c r="AC2566" s="2243">
        <f t="shared" si="683"/>
        <v>50</v>
      </c>
      <c r="AD2566" s="2243">
        <f t="shared" si="683"/>
        <v>44.289944088406429</v>
      </c>
      <c r="AE2566" s="2605"/>
      <c r="AF2566" s="2161"/>
      <c r="AG2566" s="2161"/>
      <c r="AH2566" s="2161"/>
      <c r="AI2566" s="2161"/>
      <c r="AJ2566" s="2161"/>
      <c r="AK2566" s="2161"/>
      <c r="AL2566" s="2161"/>
      <c r="AM2566" s="2161"/>
      <c r="AN2566" s="2161"/>
      <c r="AO2566" s="2161"/>
      <c r="AP2566" s="2161"/>
      <c r="AQ2566" s="2161"/>
      <c r="AR2566" s="2161"/>
      <c r="AS2566" s="2161"/>
      <c r="AT2566" s="2161"/>
      <c r="AU2566" s="2161"/>
      <c r="AV2566" s="2161"/>
      <c r="AW2566" s="2161"/>
      <c r="AX2566" s="2161"/>
      <c r="AY2566" s="2161"/>
      <c r="AZ2566" s="2161"/>
      <c r="BA2566" s="2161"/>
      <c r="BB2566" s="2161"/>
      <c r="BC2566" s="2161"/>
      <c r="BD2566" s="2161"/>
      <c r="BE2566" s="2161"/>
      <c r="BF2566" s="2161"/>
      <c r="BG2566" s="2161"/>
      <c r="BH2566" s="2161"/>
      <c r="BI2566" s="2161"/>
      <c r="BJ2566" s="2161"/>
      <c r="BK2566" s="2161"/>
      <c r="BL2566" s="2161"/>
      <c r="BM2566" s="2161"/>
      <c r="BN2566" s="2161"/>
      <c r="BO2566" s="2161"/>
      <c r="BP2566" s="2161"/>
      <c r="BQ2566" s="2161"/>
      <c r="BR2566" s="2161"/>
      <c r="BS2566" s="2161"/>
    </row>
    <row r="2567" spans="1:71" s="2131" customFormat="1" ht="25.5">
      <c r="A2567" s="2267"/>
      <c r="B2567" s="2253"/>
      <c r="C2567" s="2164">
        <v>5</v>
      </c>
      <c r="D2567" s="2164" t="s">
        <v>34</v>
      </c>
      <c r="E2567" s="2164" t="s">
        <v>25</v>
      </c>
      <c r="F2567" s="2164" t="s">
        <v>45</v>
      </c>
      <c r="G2567" s="2164" t="s">
        <v>3613</v>
      </c>
      <c r="H2567" s="2254" t="s">
        <v>30</v>
      </c>
      <c r="I2567" s="2171" t="s">
        <v>3921</v>
      </c>
      <c r="J2567" s="2171" t="s">
        <v>3922</v>
      </c>
      <c r="K2567" s="2255">
        <v>72</v>
      </c>
      <c r="L2567" s="2268">
        <v>48444000</v>
      </c>
      <c r="M2567" s="2256">
        <v>36</v>
      </c>
      <c r="N2567" s="2257">
        <v>21066600</v>
      </c>
      <c r="O2567" s="2255">
        <v>12</v>
      </c>
      <c r="P2567" s="2258">
        <v>0</v>
      </c>
      <c r="Q2567" s="2366">
        <v>0</v>
      </c>
      <c r="R2567" s="2203">
        <v>0</v>
      </c>
      <c r="S2567" s="2203">
        <v>0</v>
      </c>
      <c r="T2567" s="2203">
        <v>0</v>
      </c>
      <c r="U2567" s="2255"/>
      <c r="V2567" s="2203"/>
      <c r="W2567" s="2255"/>
      <c r="X2567" s="2203"/>
      <c r="Y2567" s="2240">
        <f t="shared" si="681"/>
        <v>0</v>
      </c>
      <c r="Z2567" s="2203">
        <f t="shared" si="681"/>
        <v>0</v>
      </c>
      <c r="AA2567" s="2240">
        <f t="shared" si="682"/>
        <v>36</v>
      </c>
      <c r="AB2567" s="2203">
        <f t="shared" si="682"/>
        <v>21066600</v>
      </c>
      <c r="AC2567" s="2243">
        <f t="shared" si="683"/>
        <v>50</v>
      </c>
      <c r="AD2567" s="2243">
        <f t="shared" si="683"/>
        <v>43.48649987614565</v>
      </c>
      <c r="AE2567" s="2605"/>
      <c r="AF2567" s="2161"/>
      <c r="AG2567" s="2161"/>
      <c r="AH2567" s="2161"/>
      <c r="AI2567" s="2161"/>
      <c r="AJ2567" s="2161"/>
      <c r="AK2567" s="2161"/>
      <c r="AL2567" s="2161"/>
      <c r="AM2567" s="2161"/>
      <c r="AN2567" s="2161"/>
      <c r="AO2567" s="2161"/>
      <c r="AP2567" s="2161"/>
      <c r="AQ2567" s="2161"/>
      <c r="AR2567" s="2161"/>
      <c r="AS2567" s="2161"/>
      <c r="AT2567" s="2161"/>
      <c r="AU2567" s="2161"/>
      <c r="AV2567" s="2161"/>
      <c r="AW2567" s="2161"/>
      <c r="AX2567" s="2161"/>
      <c r="AY2567" s="2161"/>
      <c r="AZ2567" s="2161"/>
      <c r="BA2567" s="2161"/>
      <c r="BB2567" s="2161"/>
      <c r="BC2567" s="2161"/>
      <c r="BD2567" s="2161"/>
      <c r="BE2567" s="2161"/>
      <c r="BF2567" s="2161"/>
      <c r="BG2567" s="2161"/>
      <c r="BH2567" s="2161"/>
      <c r="BI2567" s="2161"/>
      <c r="BJ2567" s="2161"/>
      <c r="BK2567" s="2161"/>
      <c r="BL2567" s="2161"/>
      <c r="BM2567" s="2161"/>
      <c r="BN2567" s="2161"/>
      <c r="BO2567" s="2161"/>
      <c r="BP2567" s="2161"/>
      <c r="BQ2567" s="2161"/>
      <c r="BR2567" s="2161"/>
      <c r="BS2567" s="2161"/>
    </row>
    <row r="2568" spans="1:71" s="2131" customFormat="1" ht="25.5">
      <c r="A2568" s="2267"/>
      <c r="B2568" s="2253"/>
      <c r="C2568" s="2164">
        <v>5</v>
      </c>
      <c r="D2568" s="2164" t="s">
        <v>34</v>
      </c>
      <c r="E2568" s="2164" t="s">
        <v>25</v>
      </c>
      <c r="F2568" s="2164" t="s">
        <v>45</v>
      </c>
      <c r="G2568" s="2164" t="s">
        <v>3667</v>
      </c>
      <c r="H2568" s="2254" t="s">
        <v>43</v>
      </c>
      <c r="I2568" s="2171" t="s">
        <v>3923</v>
      </c>
      <c r="J2568" s="2171" t="s">
        <v>3874</v>
      </c>
      <c r="K2568" s="2255">
        <v>10</v>
      </c>
      <c r="L2568" s="2203">
        <v>171393000</v>
      </c>
      <c r="M2568" s="2256">
        <v>3</v>
      </c>
      <c r="N2568" s="2257">
        <v>3380000</v>
      </c>
      <c r="O2568" s="2255">
        <v>3</v>
      </c>
      <c r="P2568" s="2258">
        <v>0</v>
      </c>
      <c r="Q2568" s="2256">
        <v>0</v>
      </c>
      <c r="R2568" s="2203">
        <v>0</v>
      </c>
      <c r="S2568" s="2203">
        <v>0</v>
      </c>
      <c r="T2568" s="2258">
        <v>0</v>
      </c>
      <c r="U2568" s="2255"/>
      <c r="V2568" s="2203"/>
      <c r="W2568" s="2255"/>
      <c r="X2568" s="2203"/>
      <c r="Y2568" s="2240">
        <f t="shared" si="681"/>
        <v>0</v>
      </c>
      <c r="Z2568" s="2203">
        <f t="shared" si="681"/>
        <v>0</v>
      </c>
      <c r="AA2568" s="2240">
        <f t="shared" si="682"/>
        <v>3</v>
      </c>
      <c r="AB2568" s="2203">
        <f t="shared" si="682"/>
        <v>3380000</v>
      </c>
      <c r="AC2568" s="2243">
        <f t="shared" si="683"/>
        <v>30</v>
      </c>
      <c r="AD2568" s="2243">
        <f t="shared" si="683"/>
        <v>1.9720758724101919</v>
      </c>
      <c r="AE2568" s="2605"/>
      <c r="AF2568" s="2161"/>
      <c r="AG2568" s="2161"/>
      <c r="AH2568" s="2161"/>
      <c r="AI2568" s="2161"/>
      <c r="AJ2568" s="2161"/>
      <c r="AK2568" s="2161"/>
      <c r="AL2568" s="2161"/>
      <c r="AM2568" s="2161"/>
      <c r="AN2568" s="2161"/>
      <c r="AO2568" s="2161"/>
      <c r="AP2568" s="2161"/>
      <c r="AQ2568" s="2161"/>
      <c r="AR2568" s="2161"/>
      <c r="AS2568" s="2161"/>
      <c r="AT2568" s="2161"/>
      <c r="AU2568" s="2161"/>
      <c r="AV2568" s="2161"/>
      <c r="AW2568" s="2161"/>
      <c r="AX2568" s="2161"/>
      <c r="AY2568" s="2161"/>
      <c r="AZ2568" s="2161"/>
      <c r="BA2568" s="2161"/>
      <c r="BB2568" s="2161"/>
      <c r="BC2568" s="2161"/>
      <c r="BD2568" s="2161"/>
      <c r="BE2568" s="2161"/>
      <c r="BF2568" s="2161"/>
      <c r="BG2568" s="2161"/>
      <c r="BH2568" s="2161"/>
      <c r="BI2568" s="2161"/>
      <c r="BJ2568" s="2161"/>
      <c r="BK2568" s="2161"/>
      <c r="BL2568" s="2161"/>
      <c r="BM2568" s="2161"/>
      <c r="BN2568" s="2161"/>
      <c r="BO2568" s="2161"/>
      <c r="BP2568" s="2161"/>
      <c r="BQ2568" s="2161"/>
      <c r="BR2568" s="2161"/>
      <c r="BS2568" s="2161"/>
    </row>
    <row r="2569" spans="1:71" s="2131" customFormat="1" ht="51">
      <c r="A2569" s="2367" t="s">
        <v>3596</v>
      </c>
      <c r="B2569" s="2367"/>
      <c r="C2569" s="2368">
        <v>5</v>
      </c>
      <c r="D2569" s="2368" t="s">
        <v>34</v>
      </c>
      <c r="E2569" s="2368" t="s">
        <v>25</v>
      </c>
      <c r="F2569" s="2368" t="s">
        <v>45</v>
      </c>
      <c r="G2569" s="2368" t="s">
        <v>3619</v>
      </c>
      <c r="H2569" s="2367"/>
      <c r="I2569" s="2143" t="s">
        <v>3738</v>
      </c>
      <c r="J2569" s="2143" t="s">
        <v>3739</v>
      </c>
      <c r="K2569" s="2144">
        <v>10</v>
      </c>
      <c r="L2569" s="2145">
        <f>SUM(L2570)</f>
        <v>150000000</v>
      </c>
      <c r="M2569" s="2144">
        <v>0</v>
      </c>
      <c r="N2569" s="2145">
        <f>SUM(N2570)</f>
        <v>0</v>
      </c>
      <c r="O2569" s="2144">
        <v>2</v>
      </c>
      <c r="P2569" s="2145">
        <f>SUM(P2570)</f>
        <v>0</v>
      </c>
      <c r="Q2569" s="2144">
        <v>0</v>
      </c>
      <c r="R2569" s="2145">
        <f>SUM(R2570)</f>
        <v>0</v>
      </c>
      <c r="S2569" s="2144">
        <v>0</v>
      </c>
      <c r="T2569" s="2146">
        <f>SUM(T2570)</f>
        <v>0</v>
      </c>
      <c r="U2569" s="2195"/>
      <c r="V2569" s="2146">
        <f>SUM(V2570)</f>
        <v>0</v>
      </c>
      <c r="W2569" s="2144"/>
      <c r="X2569" s="2145">
        <f>SUM(X2570)</f>
        <v>0</v>
      </c>
      <c r="Y2569" s="2195">
        <f t="shared" si="681"/>
        <v>0</v>
      </c>
      <c r="Z2569" s="2145">
        <f t="shared" si="681"/>
        <v>0</v>
      </c>
      <c r="AA2569" s="2147">
        <f t="shared" si="682"/>
        <v>0</v>
      </c>
      <c r="AB2569" s="2145">
        <f t="shared" si="682"/>
        <v>0</v>
      </c>
      <c r="AC2569" s="2147">
        <f t="shared" si="683"/>
        <v>0</v>
      </c>
      <c r="AD2569" s="2147">
        <f t="shared" si="683"/>
        <v>0</v>
      </c>
      <c r="AE2569" s="2140" t="s">
        <v>3924</v>
      </c>
      <c r="AF2569" s="2161"/>
      <c r="AG2569" s="2161"/>
      <c r="AH2569" s="2161"/>
      <c r="AI2569" s="2161"/>
      <c r="AJ2569" s="2161"/>
      <c r="AK2569" s="2161"/>
      <c r="AL2569" s="2161"/>
      <c r="AM2569" s="2161"/>
      <c r="AN2569" s="2161"/>
      <c r="AO2569" s="2161"/>
      <c r="AP2569" s="2161"/>
      <c r="AQ2569" s="2161"/>
      <c r="AR2569" s="2161"/>
      <c r="AS2569" s="2161"/>
      <c r="AT2569" s="2161"/>
      <c r="AU2569" s="2161"/>
      <c r="AV2569" s="2161"/>
      <c r="AW2569" s="2161"/>
      <c r="AX2569" s="2161"/>
      <c r="AY2569" s="2161"/>
      <c r="AZ2569" s="2161"/>
      <c r="BA2569" s="2161"/>
      <c r="BB2569" s="2161"/>
      <c r="BC2569" s="2161"/>
      <c r="BD2569" s="2161"/>
      <c r="BE2569" s="2161"/>
      <c r="BF2569" s="2161"/>
      <c r="BG2569" s="2161"/>
      <c r="BH2569" s="2161"/>
      <c r="BI2569" s="2161"/>
      <c r="BJ2569" s="2161"/>
      <c r="BK2569" s="2161"/>
      <c r="BL2569" s="2161"/>
      <c r="BM2569" s="2161"/>
      <c r="BN2569" s="2161"/>
      <c r="BO2569" s="2161"/>
      <c r="BP2569" s="2161"/>
      <c r="BQ2569" s="2161"/>
      <c r="BR2569" s="2161"/>
      <c r="BS2569" s="2161"/>
    </row>
    <row r="2570" spans="1:71" s="2131" customFormat="1" ht="25.5">
      <c r="A2570" s="2165"/>
      <c r="B2570" s="2275"/>
      <c r="C2570" s="2164">
        <v>5</v>
      </c>
      <c r="D2570" s="2164" t="s">
        <v>34</v>
      </c>
      <c r="E2570" s="2164" t="s">
        <v>25</v>
      </c>
      <c r="F2570" s="2164" t="s">
        <v>45</v>
      </c>
      <c r="G2570" s="2164" t="s">
        <v>3619</v>
      </c>
      <c r="H2570" s="2151" t="s">
        <v>39</v>
      </c>
      <c r="I2570" s="2153" t="s">
        <v>3925</v>
      </c>
      <c r="J2570" s="2153" t="s">
        <v>3741</v>
      </c>
      <c r="K2570" s="2154">
        <v>10</v>
      </c>
      <c r="L2570" s="2155">
        <v>150000000</v>
      </c>
      <c r="M2570" s="2156">
        <v>0</v>
      </c>
      <c r="N2570" s="2156">
        <v>0</v>
      </c>
      <c r="O2570" s="2154">
        <v>1</v>
      </c>
      <c r="P2570" s="2158">
        <v>0</v>
      </c>
      <c r="Q2570" s="2156">
        <v>0</v>
      </c>
      <c r="R2570" s="2155">
        <v>0</v>
      </c>
      <c r="S2570" s="2154">
        <v>0</v>
      </c>
      <c r="T2570" s="2155">
        <v>0</v>
      </c>
      <c r="U2570" s="2154"/>
      <c r="V2570" s="2158"/>
      <c r="W2570" s="2154"/>
      <c r="X2570" s="2155"/>
      <c r="Y2570" s="2154">
        <f t="shared" si="681"/>
        <v>0</v>
      </c>
      <c r="Z2570" s="2203">
        <f t="shared" si="681"/>
        <v>0</v>
      </c>
      <c r="AA2570" s="2154">
        <f t="shared" si="682"/>
        <v>0</v>
      </c>
      <c r="AB2570" s="2203">
        <f t="shared" si="682"/>
        <v>0</v>
      </c>
      <c r="AC2570" s="2160">
        <f t="shared" si="683"/>
        <v>0</v>
      </c>
      <c r="AD2570" s="2160">
        <f t="shared" si="683"/>
        <v>0</v>
      </c>
      <c r="AE2570" s="2605"/>
      <c r="AF2570" s="2161"/>
      <c r="AG2570" s="2161"/>
      <c r="AH2570" s="2161"/>
      <c r="AI2570" s="2161"/>
      <c r="AJ2570" s="2161"/>
      <c r="AK2570" s="2161"/>
      <c r="AL2570" s="2161"/>
      <c r="AM2570" s="2161"/>
      <c r="AN2570" s="2161"/>
      <c r="AO2570" s="2161"/>
      <c r="AP2570" s="2161"/>
      <c r="AQ2570" s="2161"/>
      <c r="AR2570" s="2161"/>
      <c r="AS2570" s="2161"/>
      <c r="AT2570" s="2161"/>
      <c r="AU2570" s="2161"/>
      <c r="AV2570" s="2161"/>
      <c r="AW2570" s="2161"/>
      <c r="AX2570" s="2161"/>
      <c r="AY2570" s="2161"/>
      <c r="AZ2570" s="2161"/>
      <c r="BA2570" s="2161"/>
      <c r="BB2570" s="2161"/>
      <c r="BC2570" s="2161"/>
      <c r="BD2570" s="2161"/>
      <c r="BE2570" s="2161"/>
      <c r="BF2570" s="2161"/>
      <c r="BG2570" s="2161"/>
      <c r="BH2570" s="2161"/>
      <c r="BI2570" s="2161"/>
      <c r="BJ2570" s="2161"/>
      <c r="BK2570" s="2161"/>
      <c r="BL2570" s="2161"/>
      <c r="BM2570" s="2161"/>
      <c r="BN2570" s="2161"/>
      <c r="BO2570" s="2161"/>
      <c r="BP2570" s="2161"/>
      <c r="BQ2570" s="2161"/>
      <c r="BR2570" s="2161"/>
      <c r="BS2570" s="2161"/>
    </row>
    <row r="2571" spans="1:71" s="2131" customFormat="1" ht="38.25">
      <c r="A2571" s="2140">
        <v>11</v>
      </c>
      <c r="B2571" s="2194"/>
      <c r="C2571" s="2142">
        <v>5</v>
      </c>
      <c r="D2571" s="2142" t="s">
        <v>34</v>
      </c>
      <c r="E2571" s="2142" t="s">
        <v>25</v>
      </c>
      <c r="F2571" s="2142" t="s">
        <v>45</v>
      </c>
      <c r="G2571" s="2142" t="s">
        <v>35</v>
      </c>
      <c r="H2571" s="2140"/>
      <c r="I2571" s="2143" t="s">
        <v>3886</v>
      </c>
      <c r="J2571" s="2143" t="s">
        <v>3926</v>
      </c>
      <c r="K2571" s="2144">
        <v>90</v>
      </c>
      <c r="L2571" s="2145">
        <f>SUM(L2572)</f>
        <v>70000000</v>
      </c>
      <c r="M2571" s="2144">
        <v>65</v>
      </c>
      <c r="N2571" s="2145">
        <f>SUM(N2572)</f>
        <v>20966000</v>
      </c>
      <c r="O2571" s="2144">
        <v>15</v>
      </c>
      <c r="P2571" s="2145">
        <f>SUM(P2572)</f>
        <v>0</v>
      </c>
      <c r="Q2571" s="2144">
        <v>0</v>
      </c>
      <c r="R2571" s="2145">
        <f>SUM(R2572)</f>
        <v>0</v>
      </c>
      <c r="S2571" s="2144">
        <v>0</v>
      </c>
      <c r="T2571" s="2145">
        <f>SUM(T2572)</f>
        <v>0</v>
      </c>
      <c r="U2571" s="2195"/>
      <c r="V2571" s="2145">
        <f>SUM(V2572)</f>
        <v>0</v>
      </c>
      <c r="W2571" s="2144"/>
      <c r="X2571" s="2145">
        <f>SUM(X2572)</f>
        <v>0</v>
      </c>
      <c r="Y2571" s="2195">
        <f t="shared" si="681"/>
        <v>0</v>
      </c>
      <c r="Z2571" s="2145">
        <f t="shared" si="681"/>
        <v>0</v>
      </c>
      <c r="AA2571" s="2147">
        <f t="shared" si="682"/>
        <v>65</v>
      </c>
      <c r="AB2571" s="2145">
        <f t="shared" si="682"/>
        <v>20966000</v>
      </c>
      <c r="AC2571" s="2147">
        <f t="shared" si="683"/>
        <v>72.222222222222214</v>
      </c>
      <c r="AD2571" s="2147">
        <f t="shared" si="683"/>
        <v>29.951428571428572</v>
      </c>
      <c r="AE2571" s="2204" t="s">
        <v>3895</v>
      </c>
      <c r="AF2571" s="2266"/>
      <c r="AG2571" s="2266"/>
      <c r="AH2571" s="2266"/>
      <c r="AI2571" s="2266"/>
      <c r="AJ2571" s="2266"/>
      <c r="AK2571" s="2266"/>
      <c r="AL2571" s="2266"/>
      <c r="AM2571" s="2266"/>
      <c r="AN2571" s="2266"/>
      <c r="AO2571" s="2266"/>
      <c r="AP2571" s="2266"/>
      <c r="AQ2571" s="2266"/>
      <c r="AR2571" s="2266"/>
      <c r="AS2571" s="2266"/>
      <c r="AT2571" s="2266"/>
      <c r="AU2571" s="2266"/>
      <c r="AV2571" s="2266"/>
      <c r="AW2571" s="2266"/>
      <c r="AX2571" s="2266"/>
      <c r="AY2571" s="2266"/>
      <c r="AZ2571" s="2266"/>
      <c r="BA2571" s="2266"/>
      <c r="BB2571" s="2266"/>
      <c r="BC2571" s="2266"/>
      <c r="BD2571" s="2266"/>
      <c r="BE2571" s="2266"/>
      <c r="BF2571" s="2266"/>
      <c r="BG2571" s="2266"/>
      <c r="BH2571" s="2266"/>
      <c r="BI2571" s="2266"/>
      <c r="BJ2571" s="2266"/>
      <c r="BK2571" s="2266"/>
      <c r="BL2571" s="2266"/>
      <c r="BM2571" s="2266"/>
      <c r="BN2571" s="2266"/>
      <c r="BO2571" s="2266"/>
      <c r="BP2571" s="2266"/>
      <c r="BQ2571" s="2266"/>
      <c r="BR2571" s="2266"/>
      <c r="BS2571" s="2266"/>
    </row>
    <row r="2572" spans="1:71" s="2131" customFormat="1" ht="25.5">
      <c r="A2572" s="2379"/>
      <c r="B2572" s="2162"/>
      <c r="C2572" s="2164">
        <v>5</v>
      </c>
      <c r="D2572" s="2164" t="s">
        <v>34</v>
      </c>
      <c r="E2572" s="2164" t="s">
        <v>25</v>
      </c>
      <c r="F2572" s="2164" t="s">
        <v>45</v>
      </c>
      <c r="G2572" s="2164" t="s">
        <v>35</v>
      </c>
      <c r="H2572" s="2164">
        <v>21</v>
      </c>
      <c r="I2572" s="2162" t="s">
        <v>3927</v>
      </c>
      <c r="J2572" s="2162" t="s">
        <v>3928</v>
      </c>
      <c r="K2572" s="2166">
        <v>3</v>
      </c>
      <c r="L2572" s="2167">
        <v>70000000</v>
      </c>
      <c r="M2572" s="2166">
        <v>1</v>
      </c>
      <c r="N2572" s="2167">
        <v>20966000</v>
      </c>
      <c r="O2572" s="2166">
        <v>1</v>
      </c>
      <c r="P2572" s="2167">
        <v>0</v>
      </c>
      <c r="Q2572" s="2166">
        <v>0</v>
      </c>
      <c r="R2572" s="2167">
        <v>0</v>
      </c>
      <c r="S2572" s="2166">
        <v>0</v>
      </c>
      <c r="T2572" s="2167">
        <v>0</v>
      </c>
      <c r="U2572" s="2166"/>
      <c r="V2572" s="2202"/>
      <c r="W2572" s="2166"/>
      <c r="X2572" s="2167"/>
      <c r="Y2572" s="2166">
        <f t="shared" si="681"/>
        <v>0</v>
      </c>
      <c r="Z2572" s="2203">
        <f t="shared" si="681"/>
        <v>0</v>
      </c>
      <c r="AA2572" s="2166">
        <f t="shared" si="682"/>
        <v>1</v>
      </c>
      <c r="AB2572" s="2203">
        <f t="shared" si="682"/>
        <v>20966000</v>
      </c>
      <c r="AC2572" s="2170">
        <f t="shared" si="683"/>
        <v>33.333333333333329</v>
      </c>
      <c r="AD2572" s="2170">
        <f t="shared" si="683"/>
        <v>29.951428571428572</v>
      </c>
      <c r="AE2572" s="2409"/>
      <c r="AF2572" s="2259"/>
      <c r="AG2572" s="2259"/>
      <c r="AH2572" s="2259"/>
      <c r="AI2572" s="2259"/>
      <c r="AJ2572" s="2259"/>
      <c r="AK2572" s="2259"/>
      <c r="AL2572" s="2259"/>
      <c r="AM2572" s="2259"/>
      <c r="AN2572" s="2259"/>
      <c r="AO2572" s="2259"/>
      <c r="AP2572" s="2259"/>
      <c r="AQ2572" s="2259"/>
      <c r="AR2572" s="2259"/>
      <c r="AS2572" s="2259"/>
      <c r="AT2572" s="2259"/>
      <c r="AU2572" s="2259"/>
      <c r="AV2572" s="2259"/>
      <c r="AW2572" s="2259"/>
      <c r="AX2572" s="2259"/>
      <c r="AY2572" s="2259"/>
      <c r="AZ2572" s="2259"/>
      <c r="BA2572" s="2259"/>
      <c r="BB2572" s="2259"/>
      <c r="BC2572" s="2259"/>
      <c r="BD2572" s="2259"/>
      <c r="BE2572" s="2259"/>
      <c r="BF2572" s="2259"/>
      <c r="BG2572" s="2259"/>
      <c r="BH2572" s="2259"/>
      <c r="BI2572" s="2259"/>
      <c r="BJ2572" s="2259"/>
      <c r="BK2572" s="2259"/>
      <c r="BL2572" s="2259"/>
      <c r="BM2572" s="2259"/>
      <c r="BN2572" s="2259"/>
      <c r="BO2572" s="2259"/>
      <c r="BP2572" s="2259"/>
      <c r="BQ2572" s="2259"/>
      <c r="BR2572" s="2259"/>
      <c r="BS2572" s="2259"/>
    </row>
    <row r="2573" spans="1:71" s="2131" customFormat="1" ht="20.100000000000001" customHeight="1">
      <c r="A2573" s="2705" t="s">
        <v>63</v>
      </c>
      <c r="B2573" s="2705"/>
      <c r="C2573" s="2706"/>
      <c r="D2573" s="2706"/>
      <c r="E2573" s="2706"/>
      <c r="F2573" s="2706"/>
      <c r="G2573" s="2706"/>
      <c r="H2573" s="2706"/>
      <c r="I2573" s="2706"/>
      <c r="J2573" s="2706"/>
      <c r="K2573" s="2706"/>
      <c r="L2573" s="2706"/>
      <c r="M2573" s="2706"/>
      <c r="N2573" s="2706"/>
      <c r="O2573" s="2706"/>
      <c r="P2573" s="2706"/>
      <c r="Q2573" s="2706"/>
      <c r="R2573" s="2706"/>
      <c r="S2573" s="2706"/>
      <c r="T2573" s="2706"/>
      <c r="U2573" s="2706"/>
      <c r="V2573" s="2706"/>
      <c r="W2573" s="2706"/>
      <c r="X2573" s="2706"/>
      <c r="Y2573" s="2706"/>
      <c r="Z2573" s="2706"/>
      <c r="AA2573" s="2706"/>
      <c r="AB2573" s="2706"/>
      <c r="AC2573" s="2249">
        <f>(AC2521+AC2534+AC2541+AC2544+AC2546+AC2548+AC2550+AC2552+AC2554+AC2556+AC2558+AC2565+AC2569+AC2571)/14</f>
        <v>57.626148705096071</v>
      </c>
      <c r="AD2573" s="2249">
        <f>(AD2521+AD2534+AD2541+AD2544+AD2546+AD2548+AD2550+AD2552+AD2554+AD2556+AD2558+AD2565+AD2569+AD2571)/14</f>
        <v>33.449135658380612</v>
      </c>
      <c r="AE2573" s="2152"/>
    </row>
    <row r="2574" spans="1:71" s="2131" customFormat="1" ht="20.100000000000001" customHeight="1">
      <c r="A2574" s="2705" t="s">
        <v>64</v>
      </c>
      <c r="B2574" s="2705"/>
      <c r="C2574" s="2706"/>
      <c r="D2574" s="2706"/>
      <c r="E2574" s="2706"/>
      <c r="F2574" s="2706"/>
      <c r="G2574" s="2706"/>
      <c r="H2574" s="2706"/>
      <c r="I2574" s="2706"/>
      <c r="J2574" s="2706"/>
      <c r="K2574" s="2706"/>
      <c r="L2574" s="2706"/>
      <c r="M2574" s="2706"/>
      <c r="N2574" s="2706"/>
      <c r="O2574" s="2706"/>
      <c r="P2574" s="2706"/>
      <c r="Q2574" s="2706"/>
      <c r="R2574" s="2706"/>
      <c r="S2574" s="2706"/>
      <c r="T2574" s="2706"/>
      <c r="U2574" s="2706"/>
      <c r="V2574" s="2706"/>
      <c r="W2574" s="2706"/>
      <c r="X2574" s="2706"/>
      <c r="Y2574" s="2706"/>
      <c r="Z2574" s="2706"/>
      <c r="AA2574" s="2706"/>
      <c r="AB2574" s="2706"/>
      <c r="AC2574" s="2250" t="str">
        <f>IF(AC2573&gt;=91,"ST",IF(AC2573&gt;=76,"T",IF(AC2573&gt;=66,"S",IF(AC2573&gt;=51,"R","SR"))))</f>
        <v>R</v>
      </c>
      <c r="AD2574" s="2250" t="str">
        <f>IF(AD2573&gt;=91,"ST",IF(AD2573&gt;=76,"T",IF(AD2573&gt;=66,"S",IF(AD2573&gt;=51,"R","SR"))))</f>
        <v>SR</v>
      </c>
      <c r="AE2574" s="2152"/>
    </row>
    <row r="2575" spans="1:71" s="2131" customFormat="1" ht="27.95" customHeight="1">
      <c r="A2575" s="2132" t="s">
        <v>3017</v>
      </c>
      <c r="B2575" s="2133"/>
      <c r="C2575" s="2132"/>
      <c r="D2575" s="2132"/>
      <c r="E2575" s="2132"/>
      <c r="F2575" s="2132"/>
      <c r="G2575" s="2132"/>
      <c r="H2575" s="2132"/>
      <c r="I2575" s="2707" t="s">
        <v>3929</v>
      </c>
      <c r="J2575" s="2708"/>
      <c r="K2575" s="2134"/>
      <c r="L2575" s="2135">
        <f>L2576+L2588+L2597+L2599+L2601+L2606+L2610+L2612+L2614+L2616+L2618+L2620+L2622+L2624</f>
        <v>4126459594</v>
      </c>
      <c r="M2575" s="2134"/>
      <c r="N2575" s="2136">
        <f>N2576+N2588+N2597+N2599+N2601+N2606+N2610+N2612+N2614+N2616+N2618+N2620+N2622+N2624</f>
        <v>1531719408</v>
      </c>
      <c r="O2575" s="2134"/>
      <c r="P2575" s="2136">
        <f>P2576+P2588+P2597+P2599+P2601+P2606+P2610+P2612+P2614+P2616+P2618+P2620+P2622+P2624</f>
        <v>521420000</v>
      </c>
      <c r="Q2575" s="2134"/>
      <c r="R2575" s="2136">
        <f>SUM(R2576+R2588+R2599+R2601+R2606+R2610+R2620+R2624)</f>
        <v>171850954</v>
      </c>
      <c r="S2575" s="2134"/>
      <c r="T2575" s="2136">
        <f>T2576+T2588+T2597+T2599+T2601+T2606+T2610+T2612+T2614+T2616+T2618+T2620+T2622+T2624</f>
        <v>115110954</v>
      </c>
      <c r="U2575" s="2134"/>
      <c r="V2575" s="2136">
        <f>V2576+V2588+V2597+V2599+V2601+V2606+V2610+V2612+V2614+V2616+V2618+V2620+V2622+V2624</f>
        <v>0</v>
      </c>
      <c r="W2575" s="2134"/>
      <c r="X2575" s="2134">
        <f>X2576+X2588+X2597+X2599+X2601+X2606+X2610+X2612+X2614+X2616+X2618+X2620+X2622+X2624</f>
        <v>0</v>
      </c>
      <c r="Y2575" s="2134">
        <v>0</v>
      </c>
      <c r="Z2575" s="2136">
        <f>Z2576+Z2588+Z2597+Z2599+Z2601+Z2606+Z2610+Z2612+Z2614+Z2616+Z2618+Z2620+Z2622+Z2624</f>
        <v>286961908</v>
      </c>
      <c r="AA2575" s="2134"/>
      <c r="AB2575" s="2136">
        <f>AB2576+AB2588+AB2597+AB2599+AB2601+AB2606+AB2610+AB2612+AB2614+AB2616+AB2618+AB2620+AB2622+AB2624</f>
        <v>1818681316</v>
      </c>
      <c r="AC2575" s="2134"/>
      <c r="AD2575" s="2134"/>
      <c r="AE2575" s="2137"/>
      <c r="AF2575" s="2138"/>
      <c r="AG2575" s="2138"/>
      <c r="AH2575" s="2138"/>
      <c r="AI2575" s="2138"/>
      <c r="AJ2575" s="2138"/>
      <c r="AK2575" s="2138"/>
      <c r="AL2575" s="2138"/>
      <c r="AM2575" s="2138"/>
      <c r="AN2575" s="2138"/>
      <c r="AO2575" s="2138"/>
      <c r="AP2575" s="2138"/>
      <c r="AQ2575" s="2138"/>
      <c r="AR2575" s="2138"/>
      <c r="AS2575" s="2138"/>
      <c r="AT2575" s="2138"/>
      <c r="AU2575" s="2138"/>
      <c r="AV2575" s="2138"/>
      <c r="AW2575" s="2138"/>
      <c r="AX2575" s="2138"/>
      <c r="AY2575" s="2138"/>
      <c r="AZ2575" s="2138"/>
      <c r="BA2575" s="2138"/>
      <c r="BB2575" s="2138"/>
      <c r="BC2575" s="2138"/>
      <c r="BD2575" s="2138"/>
      <c r="BE2575" s="2138"/>
      <c r="BF2575" s="2138"/>
      <c r="BG2575" s="2138"/>
      <c r="BH2575" s="2138"/>
      <c r="BI2575" s="2138"/>
      <c r="BJ2575" s="2138"/>
      <c r="BK2575" s="2138"/>
      <c r="BL2575" s="2138"/>
      <c r="BM2575" s="2138"/>
      <c r="BN2575" s="2138"/>
      <c r="BO2575" s="2138"/>
      <c r="BP2575" s="2138"/>
      <c r="BQ2575" s="2138"/>
      <c r="BR2575" s="2138"/>
      <c r="BS2575" s="2138"/>
    </row>
    <row r="2576" spans="1:71" s="2131" customFormat="1" ht="63.75">
      <c r="A2576" s="2140" t="s">
        <v>113</v>
      </c>
      <c r="B2576" s="2194"/>
      <c r="C2576" s="2142">
        <v>5</v>
      </c>
      <c r="D2576" s="2142" t="s">
        <v>34</v>
      </c>
      <c r="E2576" s="2142" t="s">
        <v>25</v>
      </c>
      <c r="F2576" s="2142" t="s">
        <v>45</v>
      </c>
      <c r="G2576" s="2142" t="s">
        <v>25</v>
      </c>
      <c r="H2576" s="2140"/>
      <c r="I2576" s="2143" t="s">
        <v>3625</v>
      </c>
      <c r="J2576" s="2143" t="s">
        <v>3626</v>
      </c>
      <c r="K2576" s="2144">
        <v>72</v>
      </c>
      <c r="L2576" s="2145">
        <f>SUM(L2577:L2587)</f>
        <v>1326872754</v>
      </c>
      <c r="M2576" s="2144">
        <v>36</v>
      </c>
      <c r="N2576" s="2145">
        <f>SUM(N2577:N2587)</f>
        <v>616133338</v>
      </c>
      <c r="O2576" s="2144">
        <v>12</v>
      </c>
      <c r="P2576" s="2145">
        <f>SUM(P2577:P2587)</f>
        <v>270065273</v>
      </c>
      <c r="Q2576" s="2144">
        <v>3</v>
      </c>
      <c r="R2576" s="2369">
        <f>SUM(R2577:R2588)</f>
        <v>110851845</v>
      </c>
      <c r="S2576" s="2144">
        <v>3</v>
      </c>
      <c r="T2576" s="2369">
        <f>SUM(T2577:T2588)</f>
        <v>75786845</v>
      </c>
      <c r="U2576" s="2144"/>
      <c r="V2576" s="2145">
        <f>SUM(V2577:V2587)</f>
        <v>0</v>
      </c>
      <c r="W2576" s="2144"/>
      <c r="X2576" s="2145">
        <f>SUM(X2577:X2587)</f>
        <v>0</v>
      </c>
      <c r="Y2576" s="2195">
        <f t="shared" ref="Y2576:Z2630" si="685">Q2576+S2576+U2576+W2576</f>
        <v>6</v>
      </c>
      <c r="Z2576" s="2145">
        <f t="shared" si="685"/>
        <v>186638690</v>
      </c>
      <c r="AA2576" s="2147">
        <f t="shared" ref="AA2576:AB2630" si="686">M2576+Y2576</f>
        <v>42</v>
      </c>
      <c r="AB2576" s="2145">
        <f t="shared" si="686"/>
        <v>802772028</v>
      </c>
      <c r="AC2576" s="2147">
        <f t="shared" ref="AC2576:AD2630" si="687">(AA2576/K2576)*100</f>
        <v>58.333333333333336</v>
      </c>
      <c r="AD2576" s="2147">
        <f t="shared" si="687"/>
        <v>60.501056004048451</v>
      </c>
      <c r="AE2576" s="2204" t="s">
        <v>3930</v>
      </c>
      <c r="AF2576" s="2149"/>
      <c r="AG2576" s="2149"/>
      <c r="AH2576" s="2149"/>
      <c r="AI2576" s="2149"/>
      <c r="AJ2576" s="2149"/>
      <c r="AK2576" s="2149"/>
      <c r="AL2576" s="2149"/>
      <c r="AM2576" s="2149"/>
      <c r="AN2576" s="2149"/>
      <c r="AO2576" s="2149"/>
      <c r="AP2576" s="2149"/>
      <c r="AQ2576" s="2149"/>
      <c r="AR2576" s="2149"/>
      <c r="AS2576" s="2149"/>
      <c r="AT2576" s="2149"/>
      <c r="AU2576" s="2149"/>
      <c r="AV2576" s="2149"/>
      <c r="AW2576" s="2149"/>
      <c r="AX2576" s="2149"/>
      <c r="AY2576" s="2149"/>
      <c r="AZ2576" s="2149"/>
      <c r="BA2576" s="2149"/>
      <c r="BB2576" s="2149"/>
      <c r="BC2576" s="2149"/>
      <c r="BD2576" s="2149"/>
      <c r="BE2576" s="2149"/>
      <c r="BF2576" s="2149"/>
      <c r="BG2576" s="2149"/>
      <c r="BH2576" s="2149"/>
      <c r="BI2576" s="2149"/>
      <c r="BJ2576" s="2149"/>
      <c r="BK2576" s="2149"/>
      <c r="BL2576" s="2149"/>
      <c r="BM2576" s="2149"/>
      <c r="BN2576" s="2149"/>
      <c r="BO2576" s="2149"/>
      <c r="BP2576" s="2149"/>
      <c r="BQ2576" s="2149"/>
      <c r="BR2576" s="2149"/>
      <c r="BS2576" s="2149"/>
    </row>
    <row r="2577" spans="1:71" s="2131" customFormat="1" ht="62.25" customHeight="1">
      <c r="A2577" s="2267"/>
      <c r="B2577" s="2253"/>
      <c r="C2577" s="2164">
        <v>5</v>
      </c>
      <c r="D2577" s="2164" t="s">
        <v>34</v>
      </c>
      <c r="E2577" s="2164" t="s">
        <v>25</v>
      </c>
      <c r="F2577" s="2164" t="s">
        <v>45</v>
      </c>
      <c r="G2577" s="2164" t="s">
        <v>25</v>
      </c>
      <c r="H2577" s="2254" t="s">
        <v>28</v>
      </c>
      <c r="I2577" s="2171" t="s">
        <v>3684</v>
      </c>
      <c r="J2577" s="2171" t="s">
        <v>3627</v>
      </c>
      <c r="K2577" s="2255">
        <v>72</v>
      </c>
      <c r="L2577" s="2203">
        <v>74170000</v>
      </c>
      <c r="M2577" s="2256">
        <v>36</v>
      </c>
      <c r="N2577" s="2257">
        <v>21563500</v>
      </c>
      <c r="O2577" s="2255">
        <v>12</v>
      </c>
      <c r="P2577" s="2258">
        <v>4800000</v>
      </c>
      <c r="Q2577" s="2256">
        <v>3</v>
      </c>
      <c r="R2577" s="2370">
        <v>1200000</v>
      </c>
      <c r="S2577" s="2256">
        <v>3</v>
      </c>
      <c r="T2577" s="2370">
        <v>1200000</v>
      </c>
      <c r="U2577" s="2255"/>
      <c r="V2577" s="2258"/>
      <c r="W2577" s="2255"/>
      <c r="X2577" s="2203"/>
      <c r="Y2577" s="2240">
        <f t="shared" si="685"/>
        <v>6</v>
      </c>
      <c r="Z2577" s="2203">
        <f t="shared" si="685"/>
        <v>2400000</v>
      </c>
      <c r="AA2577" s="2240">
        <f t="shared" si="686"/>
        <v>42</v>
      </c>
      <c r="AB2577" s="2203">
        <f t="shared" si="686"/>
        <v>23963500</v>
      </c>
      <c r="AC2577" s="2243">
        <f t="shared" si="687"/>
        <v>58.333333333333336</v>
      </c>
      <c r="AD2577" s="2243">
        <f t="shared" si="687"/>
        <v>32.308884993932857</v>
      </c>
      <c r="AE2577" s="2605"/>
      <c r="AF2577" s="2259"/>
      <c r="AG2577" s="2259"/>
      <c r="AH2577" s="2259"/>
      <c r="AI2577" s="2259"/>
      <c r="AJ2577" s="2259"/>
      <c r="AK2577" s="2259"/>
      <c r="AL2577" s="2259"/>
      <c r="AM2577" s="2259"/>
      <c r="AN2577" s="2259"/>
      <c r="AO2577" s="2259"/>
      <c r="AP2577" s="2259"/>
      <c r="AQ2577" s="2259"/>
      <c r="AR2577" s="2259"/>
      <c r="AS2577" s="2259"/>
      <c r="AT2577" s="2259"/>
      <c r="AU2577" s="2259"/>
      <c r="AV2577" s="2259"/>
      <c r="AW2577" s="2259"/>
      <c r="AX2577" s="2259"/>
      <c r="AY2577" s="2259"/>
      <c r="AZ2577" s="2259"/>
      <c r="BA2577" s="2259"/>
      <c r="BB2577" s="2259"/>
      <c r="BC2577" s="2259"/>
      <c r="BD2577" s="2259"/>
      <c r="BE2577" s="2259"/>
      <c r="BF2577" s="2259"/>
      <c r="BG2577" s="2259"/>
      <c r="BH2577" s="2259"/>
      <c r="BI2577" s="2259"/>
      <c r="BJ2577" s="2259"/>
      <c r="BK2577" s="2259"/>
      <c r="BL2577" s="2259"/>
      <c r="BM2577" s="2259"/>
      <c r="BN2577" s="2259"/>
      <c r="BO2577" s="2259"/>
      <c r="BP2577" s="2259"/>
      <c r="BQ2577" s="2259"/>
      <c r="BR2577" s="2259"/>
      <c r="BS2577" s="2259"/>
    </row>
    <row r="2578" spans="1:71" s="2131" customFormat="1" ht="63.75">
      <c r="A2578" s="2267"/>
      <c r="B2578" s="2253"/>
      <c r="C2578" s="2164">
        <v>5</v>
      </c>
      <c r="D2578" s="2164" t="s">
        <v>34</v>
      </c>
      <c r="E2578" s="2164" t="s">
        <v>25</v>
      </c>
      <c r="F2578" s="2164" t="s">
        <v>45</v>
      </c>
      <c r="G2578" s="2164" t="s">
        <v>25</v>
      </c>
      <c r="H2578" s="2254" t="s">
        <v>29</v>
      </c>
      <c r="I2578" s="2171" t="s">
        <v>3685</v>
      </c>
      <c r="J2578" s="2171" t="s">
        <v>3628</v>
      </c>
      <c r="K2578" s="2255">
        <v>72</v>
      </c>
      <c r="L2578" s="2203">
        <v>199260600</v>
      </c>
      <c r="M2578" s="2256">
        <v>36</v>
      </c>
      <c r="N2578" s="2257">
        <v>105550000</v>
      </c>
      <c r="O2578" s="2255">
        <v>12</v>
      </c>
      <c r="P2578" s="2258">
        <v>45600000</v>
      </c>
      <c r="Q2578" s="2256">
        <v>3</v>
      </c>
      <c r="R2578" s="2370">
        <v>0</v>
      </c>
      <c r="S2578" s="2256">
        <v>3</v>
      </c>
      <c r="T2578" s="2370">
        <v>0</v>
      </c>
      <c r="U2578" s="2255"/>
      <c r="V2578" s="2258"/>
      <c r="W2578" s="2255"/>
      <c r="X2578" s="2203"/>
      <c r="Y2578" s="2240">
        <f t="shared" si="685"/>
        <v>6</v>
      </c>
      <c r="Z2578" s="2203">
        <f t="shared" si="685"/>
        <v>0</v>
      </c>
      <c r="AA2578" s="2240">
        <f t="shared" si="686"/>
        <v>42</v>
      </c>
      <c r="AB2578" s="2203">
        <f t="shared" si="686"/>
        <v>105550000</v>
      </c>
      <c r="AC2578" s="2243">
        <f t="shared" si="687"/>
        <v>58.333333333333336</v>
      </c>
      <c r="AD2578" s="2243">
        <f t="shared" si="687"/>
        <v>52.97083317023035</v>
      </c>
      <c r="AE2578" s="2605"/>
      <c r="AF2578" s="2259"/>
      <c r="AG2578" s="2259"/>
      <c r="AH2578" s="2259"/>
      <c r="AI2578" s="2259"/>
      <c r="AJ2578" s="2259"/>
      <c r="AK2578" s="2259"/>
      <c r="AL2578" s="2259"/>
      <c r="AM2578" s="2259"/>
      <c r="AN2578" s="2259"/>
      <c r="AO2578" s="2259"/>
      <c r="AP2578" s="2259"/>
      <c r="AQ2578" s="2259"/>
      <c r="AR2578" s="2259"/>
      <c r="AS2578" s="2259"/>
      <c r="AT2578" s="2259"/>
      <c r="AU2578" s="2259"/>
      <c r="AV2578" s="2259"/>
      <c r="AW2578" s="2259"/>
      <c r="AX2578" s="2259"/>
      <c r="AY2578" s="2259"/>
      <c r="AZ2578" s="2259"/>
      <c r="BA2578" s="2259"/>
      <c r="BB2578" s="2259"/>
      <c r="BC2578" s="2259"/>
      <c r="BD2578" s="2259"/>
      <c r="BE2578" s="2259"/>
      <c r="BF2578" s="2259"/>
      <c r="BG2578" s="2259"/>
      <c r="BH2578" s="2259"/>
      <c r="BI2578" s="2259"/>
      <c r="BJ2578" s="2259"/>
      <c r="BK2578" s="2259"/>
      <c r="BL2578" s="2259"/>
      <c r="BM2578" s="2259"/>
      <c r="BN2578" s="2259"/>
      <c r="BO2578" s="2259"/>
      <c r="BP2578" s="2259"/>
      <c r="BQ2578" s="2259"/>
      <c r="BR2578" s="2259"/>
      <c r="BS2578" s="2259"/>
    </row>
    <row r="2579" spans="1:71" s="2131" customFormat="1" ht="51">
      <c r="A2579" s="2152"/>
      <c r="B2579" s="2253"/>
      <c r="C2579" s="2164">
        <v>5</v>
      </c>
      <c r="D2579" s="2164" t="s">
        <v>34</v>
      </c>
      <c r="E2579" s="2164" t="s">
        <v>25</v>
      </c>
      <c r="F2579" s="2164" t="s">
        <v>45</v>
      </c>
      <c r="G2579" s="2164" t="s">
        <v>25</v>
      </c>
      <c r="H2579" s="2164" t="s">
        <v>30</v>
      </c>
      <c r="I2579" s="2260" t="s">
        <v>110</v>
      </c>
      <c r="J2579" s="2260" t="s">
        <v>3629</v>
      </c>
      <c r="K2579" s="2261">
        <v>72</v>
      </c>
      <c r="L2579" s="2241">
        <v>93500000</v>
      </c>
      <c r="M2579" s="2261">
        <v>36</v>
      </c>
      <c r="N2579" s="2262">
        <v>83047000</v>
      </c>
      <c r="O2579" s="2240">
        <v>12</v>
      </c>
      <c r="P2579" s="2242">
        <v>55311250</v>
      </c>
      <c r="Q2579" s="2261">
        <v>3</v>
      </c>
      <c r="R2579" s="2370">
        <v>14680000</v>
      </c>
      <c r="S2579" s="2261">
        <v>3</v>
      </c>
      <c r="T2579" s="2370">
        <v>14680000</v>
      </c>
      <c r="U2579" s="2240"/>
      <c r="V2579" s="2242"/>
      <c r="W2579" s="2240"/>
      <c r="X2579" s="2241"/>
      <c r="Y2579" s="2240">
        <f t="shared" si="685"/>
        <v>6</v>
      </c>
      <c r="Z2579" s="2241">
        <f t="shared" si="685"/>
        <v>29360000</v>
      </c>
      <c r="AA2579" s="2240">
        <f t="shared" si="686"/>
        <v>42</v>
      </c>
      <c r="AB2579" s="2241">
        <f t="shared" si="686"/>
        <v>112407000</v>
      </c>
      <c r="AC2579" s="2243">
        <f t="shared" si="687"/>
        <v>58.333333333333336</v>
      </c>
      <c r="AD2579" s="2243">
        <f t="shared" si="687"/>
        <v>120.22139037433155</v>
      </c>
      <c r="AE2579" s="2216"/>
      <c r="AF2579" s="2259"/>
      <c r="AG2579" s="2259"/>
      <c r="AH2579" s="2259"/>
      <c r="AI2579" s="2259"/>
      <c r="AJ2579" s="2259"/>
      <c r="AK2579" s="2259"/>
      <c r="AL2579" s="2259"/>
      <c r="AM2579" s="2259"/>
      <c r="AN2579" s="2259"/>
      <c r="AO2579" s="2259"/>
      <c r="AP2579" s="2259"/>
      <c r="AQ2579" s="2259"/>
      <c r="AR2579" s="2259"/>
      <c r="AS2579" s="2259"/>
      <c r="AT2579" s="2259"/>
      <c r="AU2579" s="2259"/>
      <c r="AV2579" s="2259"/>
      <c r="AW2579" s="2259"/>
      <c r="AX2579" s="2259"/>
      <c r="AY2579" s="2259"/>
      <c r="AZ2579" s="2259"/>
      <c r="BA2579" s="2259"/>
      <c r="BB2579" s="2259"/>
      <c r="BC2579" s="2259"/>
      <c r="BD2579" s="2259"/>
      <c r="BE2579" s="2259"/>
      <c r="BF2579" s="2259"/>
      <c r="BG2579" s="2259"/>
      <c r="BH2579" s="2259"/>
      <c r="BI2579" s="2259"/>
      <c r="BJ2579" s="2259"/>
      <c r="BK2579" s="2259"/>
      <c r="BL2579" s="2259"/>
      <c r="BM2579" s="2259"/>
      <c r="BN2579" s="2259"/>
      <c r="BO2579" s="2259"/>
      <c r="BP2579" s="2259"/>
      <c r="BQ2579" s="2259"/>
      <c r="BR2579" s="2259"/>
      <c r="BS2579" s="2259"/>
    </row>
    <row r="2580" spans="1:71" s="2131" customFormat="1" ht="25.5">
      <c r="A2580" s="2267"/>
      <c r="B2580" s="2263"/>
      <c r="C2580" s="2254">
        <v>5</v>
      </c>
      <c r="D2580" s="2254" t="s">
        <v>34</v>
      </c>
      <c r="E2580" s="2254" t="s">
        <v>25</v>
      </c>
      <c r="F2580" s="2254" t="s">
        <v>45</v>
      </c>
      <c r="G2580" s="2254" t="s">
        <v>25</v>
      </c>
      <c r="H2580" s="2254" t="s">
        <v>31</v>
      </c>
      <c r="I2580" s="2171" t="s">
        <v>163</v>
      </c>
      <c r="J2580" s="2171" t="s">
        <v>103</v>
      </c>
      <c r="K2580" s="2255">
        <v>72</v>
      </c>
      <c r="L2580" s="2203">
        <v>132600000</v>
      </c>
      <c r="M2580" s="2256">
        <v>36</v>
      </c>
      <c r="N2580" s="2257">
        <v>56113138</v>
      </c>
      <c r="O2580" s="2255">
        <v>12</v>
      </c>
      <c r="P2580" s="2258">
        <v>21653382</v>
      </c>
      <c r="Q2580" s="2256">
        <v>3</v>
      </c>
      <c r="R2580" s="2370">
        <v>6196782</v>
      </c>
      <c r="S2580" s="2256">
        <v>3</v>
      </c>
      <c r="T2580" s="2370">
        <v>6196782</v>
      </c>
      <c r="U2580" s="2255"/>
      <c r="V2580" s="2258"/>
      <c r="W2580" s="2255"/>
      <c r="X2580" s="2203"/>
      <c r="Y2580" s="2255">
        <f t="shared" si="685"/>
        <v>6</v>
      </c>
      <c r="Z2580" s="2203">
        <f t="shared" si="685"/>
        <v>12393564</v>
      </c>
      <c r="AA2580" s="2255">
        <f t="shared" si="686"/>
        <v>42</v>
      </c>
      <c r="AB2580" s="2203">
        <f t="shared" si="686"/>
        <v>68506702</v>
      </c>
      <c r="AC2580" s="2264">
        <f t="shared" si="687"/>
        <v>58.333333333333336</v>
      </c>
      <c r="AD2580" s="2264">
        <f t="shared" si="687"/>
        <v>51.664179487179481</v>
      </c>
      <c r="AE2580" s="2605"/>
      <c r="AF2580" s="2259"/>
      <c r="AG2580" s="2259"/>
      <c r="AH2580" s="2259"/>
      <c r="AI2580" s="2259"/>
      <c r="AJ2580" s="2259"/>
      <c r="AK2580" s="2259"/>
      <c r="AL2580" s="2259"/>
      <c r="AM2580" s="2259"/>
      <c r="AN2580" s="2259"/>
      <c r="AO2580" s="2259"/>
      <c r="AP2580" s="2259"/>
      <c r="AQ2580" s="2259"/>
      <c r="AR2580" s="2259"/>
      <c r="AS2580" s="2259"/>
      <c r="AT2580" s="2259"/>
      <c r="AU2580" s="2259"/>
      <c r="AV2580" s="2259"/>
      <c r="AW2580" s="2259"/>
      <c r="AX2580" s="2259"/>
      <c r="AY2580" s="2259"/>
      <c r="AZ2580" s="2259"/>
      <c r="BA2580" s="2259"/>
      <c r="BB2580" s="2259"/>
      <c r="BC2580" s="2259"/>
      <c r="BD2580" s="2259"/>
      <c r="BE2580" s="2259"/>
      <c r="BF2580" s="2259"/>
      <c r="BG2580" s="2259"/>
      <c r="BH2580" s="2259"/>
      <c r="BI2580" s="2259"/>
      <c r="BJ2580" s="2259"/>
      <c r="BK2580" s="2259"/>
      <c r="BL2580" s="2259"/>
      <c r="BM2580" s="2259"/>
      <c r="BN2580" s="2259"/>
      <c r="BO2580" s="2259"/>
      <c r="BP2580" s="2259"/>
      <c r="BQ2580" s="2259"/>
      <c r="BR2580" s="2259"/>
      <c r="BS2580" s="2259"/>
    </row>
    <row r="2581" spans="1:71" s="2131" customFormat="1" ht="38.25">
      <c r="A2581" s="2152"/>
      <c r="B2581" s="2253"/>
      <c r="C2581" s="2164">
        <v>5</v>
      </c>
      <c r="D2581" s="2164" t="s">
        <v>34</v>
      </c>
      <c r="E2581" s="2164" t="s">
        <v>25</v>
      </c>
      <c r="F2581" s="2164" t="s">
        <v>45</v>
      </c>
      <c r="G2581" s="2164" t="s">
        <v>25</v>
      </c>
      <c r="H2581" s="2164" t="s">
        <v>62</v>
      </c>
      <c r="I2581" s="2260" t="s">
        <v>155</v>
      </c>
      <c r="J2581" s="2265" t="s">
        <v>3630</v>
      </c>
      <c r="K2581" s="2240">
        <v>72</v>
      </c>
      <c r="L2581" s="2241">
        <v>65400000</v>
      </c>
      <c r="M2581" s="2261">
        <v>36</v>
      </c>
      <c r="N2581" s="2262">
        <v>31762000</v>
      </c>
      <c r="O2581" s="2240">
        <v>12</v>
      </c>
      <c r="P2581" s="2242">
        <v>12800161</v>
      </c>
      <c r="Q2581" s="2261">
        <v>3</v>
      </c>
      <c r="R2581" s="2370">
        <v>4784818</v>
      </c>
      <c r="S2581" s="2261">
        <v>3</v>
      </c>
      <c r="T2581" s="2370">
        <v>4784818</v>
      </c>
      <c r="U2581" s="2240"/>
      <c r="V2581" s="2241"/>
      <c r="W2581" s="2240"/>
      <c r="X2581" s="2241"/>
      <c r="Y2581" s="2240">
        <f t="shared" si="685"/>
        <v>6</v>
      </c>
      <c r="Z2581" s="2241">
        <f t="shared" si="685"/>
        <v>9569636</v>
      </c>
      <c r="AA2581" s="2240">
        <f t="shared" si="686"/>
        <v>42</v>
      </c>
      <c r="AB2581" s="2241">
        <f t="shared" si="686"/>
        <v>41331636</v>
      </c>
      <c r="AC2581" s="2243">
        <f t="shared" si="687"/>
        <v>58.333333333333336</v>
      </c>
      <c r="AD2581" s="2243">
        <f t="shared" si="687"/>
        <v>63.198220183486242</v>
      </c>
      <c r="AE2581" s="2216"/>
      <c r="AF2581" s="2259"/>
      <c r="AG2581" s="2259"/>
      <c r="AH2581" s="2259"/>
      <c r="AI2581" s="2259"/>
      <c r="AJ2581" s="2259"/>
      <c r="AK2581" s="2259"/>
      <c r="AL2581" s="2259"/>
      <c r="AM2581" s="2259"/>
      <c r="AN2581" s="2259"/>
      <c r="AO2581" s="2259"/>
      <c r="AP2581" s="2259"/>
      <c r="AQ2581" s="2259"/>
      <c r="AR2581" s="2259"/>
      <c r="AS2581" s="2259"/>
      <c r="AT2581" s="2259"/>
      <c r="AU2581" s="2259"/>
      <c r="AV2581" s="2259"/>
      <c r="AW2581" s="2259"/>
      <c r="AX2581" s="2259"/>
      <c r="AY2581" s="2259"/>
      <c r="AZ2581" s="2259"/>
      <c r="BA2581" s="2259"/>
      <c r="BB2581" s="2259"/>
      <c r="BC2581" s="2259"/>
      <c r="BD2581" s="2259"/>
      <c r="BE2581" s="2259"/>
      <c r="BF2581" s="2259"/>
      <c r="BG2581" s="2259"/>
      <c r="BH2581" s="2259"/>
      <c r="BI2581" s="2259"/>
      <c r="BJ2581" s="2259"/>
      <c r="BK2581" s="2259"/>
      <c r="BL2581" s="2259"/>
      <c r="BM2581" s="2259"/>
      <c r="BN2581" s="2259"/>
      <c r="BO2581" s="2259"/>
      <c r="BP2581" s="2259"/>
      <c r="BQ2581" s="2259"/>
      <c r="BR2581" s="2259"/>
      <c r="BS2581" s="2259"/>
    </row>
    <row r="2582" spans="1:71" s="2131" customFormat="1" ht="51">
      <c r="A2582" s="2152"/>
      <c r="B2582" s="2253"/>
      <c r="C2582" s="2164">
        <v>5</v>
      </c>
      <c r="D2582" s="2164" t="s">
        <v>34</v>
      </c>
      <c r="E2582" s="2164" t="s">
        <v>25</v>
      </c>
      <c r="F2582" s="2164" t="s">
        <v>45</v>
      </c>
      <c r="G2582" s="2164" t="s">
        <v>25</v>
      </c>
      <c r="H2582" s="2164" t="s">
        <v>52</v>
      </c>
      <c r="I2582" s="2260" t="s">
        <v>3687</v>
      </c>
      <c r="J2582" s="2260" t="s">
        <v>3631</v>
      </c>
      <c r="K2582" s="2240">
        <v>72</v>
      </c>
      <c r="L2582" s="2241">
        <v>15000000</v>
      </c>
      <c r="M2582" s="2261">
        <v>36</v>
      </c>
      <c r="N2582" s="2262">
        <v>6704700</v>
      </c>
      <c r="O2582" s="2240">
        <v>12</v>
      </c>
      <c r="P2582" s="2242">
        <v>4185480</v>
      </c>
      <c r="Q2582" s="2261">
        <v>3</v>
      </c>
      <c r="R2582" s="2370">
        <v>1325000</v>
      </c>
      <c r="S2582" s="2261">
        <v>3</v>
      </c>
      <c r="T2582" s="2370">
        <v>1325000</v>
      </c>
      <c r="U2582" s="2240"/>
      <c r="V2582" s="2242"/>
      <c r="W2582" s="2240"/>
      <c r="X2582" s="2241"/>
      <c r="Y2582" s="2240">
        <f t="shared" si="685"/>
        <v>6</v>
      </c>
      <c r="Z2582" s="2241">
        <f t="shared" si="685"/>
        <v>2650000</v>
      </c>
      <c r="AA2582" s="2240">
        <f t="shared" si="686"/>
        <v>42</v>
      </c>
      <c r="AB2582" s="2241">
        <f t="shared" si="686"/>
        <v>9354700</v>
      </c>
      <c r="AC2582" s="2243">
        <f t="shared" si="687"/>
        <v>58.333333333333336</v>
      </c>
      <c r="AD2582" s="2243">
        <f t="shared" si="687"/>
        <v>62.364666666666665</v>
      </c>
      <c r="AE2582" s="2216"/>
      <c r="AF2582" s="2259"/>
      <c r="AG2582" s="2259"/>
      <c r="AH2582" s="2259"/>
      <c r="AI2582" s="2259"/>
      <c r="AJ2582" s="2259"/>
      <c r="AK2582" s="2259"/>
      <c r="AL2582" s="2259"/>
      <c r="AM2582" s="2259"/>
      <c r="AN2582" s="2259"/>
      <c r="AO2582" s="2259"/>
      <c r="AP2582" s="2259"/>
      <c r="AQ2582" s="2259"/>
      <c r="AR2582" s="2259"/>
      <c r="AS2582" s="2259"/>
      <c r="AT2582" s="2259"/>
      <c r="AU2582" s="2259"/>
      <c r="AV2582" s="2259"/>
      <c r="AW2582" s="2259"/>
      <c r="AX2582" s="2259"/>
      <c r="AY2582" s="2259"/>
      <c r="AZ2582" s="2259"/>
      <c r="BA2582" s="2259"/>
      <c r="BB2582" s="2259"/>
      <c r="BC2582" s="2259"/>
      <c r="BD2582" s="2259"/>
      <c r="BE2582" s="2259"/>
      <c r="BF2582" s="2259"/>
      <c r="BG2582" s="2259"/>
      <c r="BH2582" s="2259"/>
      <c r="BI2582" s="2259"/>
      <c r="BJ2582" s="2259"/>
      <c r="BK2582" s="2259"/>
      <c r="BL2582" s="2259"/>
      <c r="BM2582" s="2259"/>
      <c r="BN2582" s="2259"/>
      <c r="BO2582" s="2259"/>
      <c r="BP2582" s="2259"/>
      <c r="BQ2582" s="2259"/>
      <c r="BR2582" s="2259"/>
      <c r="BS2582" s="2259"/>
    </row>
    <row r="2583" spans="1:71" s="2131" customFormat="1" ht="63.75">
      <c r="A2583" s="2267"/>
      <c r="B2583" s="2253"/>
      <c r="C2583" s="2164">
        <v>5</v>
      </c>
      <c r="D2583" s="2164" t="s">
        <v>34</v>
      </c>
      <c r="E2583" s="2164" t="s">
        <v>25</v>
      </c>
      <c r="F2583" s="2164" t="s">
        <v>45</v>
      </c>
      <c r="G2583" s="2164" t="s">
        <v>25</v>
      </c>
      <c r="H2583" s="2254" t="s">
        <v>45</v>
      </c>
      <c r="I2583" s="2171" t="s">
        <v>3688</v>
      </c>
      <c r="J2583" s="2171" t="s">
        <v>3632</v>
      </c>
      <c r="K2583" s="2255">
        <v>72</v>
      </c>
      <c r="L2583" s="2203">
        <v>20130000</v>
      </c>
      <c r="M2583" s="2256">
        <v>36</v>
      </c>
      <c r="N2583" s="2257">
        <v>10020000</v>
      </c>
      <c r="O2583" s="2255">
        <v>12</v>
      </c>
      <c r="P2583" s="2258">
        <v>8700000</v>
      </c>
      <c r="Q2583" s="2256">
        <v>3</v>
      </c>
      <c r="R2583" s="2370">
        <v>2338636</v>
      </c>
      <c r="S2583" s="2256">
        <v>3</v>
      </c>
      <c r="T2583" s="2370">
        <v>2338636</v>
      </c>
      <c r="U2583" s="2255"/>
      <c r="V2583" s="2258"/>
      <c r="W2583" s="2255"/>
      <c r="X2583" s="2203"/>
      <c r="Y2583" s="2240">
        <f t="shared" si="685"/>
        <v>6</v>
      </c>
      <c r="Z2583" s="2203">
        <f t="shared" si="685"/>
        <v>4677272</v>
      </c>
      <c r="AA2583" s="2240">
        <f t="shared" si="686"/>
        <v>42</v>
      </c>
      <c r="AB2583" s="2203">
        <f t="shared" si="686"/>
        <v>14697272</v>
      </c>
      <c r="AC2583" s="2243">
        <f t="shared" si="687"/>
        <v>58.333333333333336</v>
      </c>
      <c r="AD2583" s="2243">
        <f t="shared" si="687"/>
        <v>73.011783407848981</v>
      </c>
      <c r="AE2583" s="2605"/>
      <c r="AF2583" s="2259"/>
      <c r="AG2583" s="2259"/>
      <c r="AH2583" s="2259"/>
      <c r="AI2583" s="2259"/>
      <c r="AJ2583" s="2259"/>
      <c r="AK2583" s="2259"/>
      <c r="AL2583" s="2259"/>
      <c r="AM2583" s="2259"/>
      <c r="AN2583" s="2259"/>
      <c r="AO2583" s="2259"/>
      <c r="AP2583" s="2259"/>
      <c r="AQ2583" s="2259"/>
      <c r="AR2583" s="2259"/>
      <c r="AS2583" s="2259"/>
      <c r="AT2583" s="2259"/>
      <c r="AU2583" s="2259"/>
      <c r="AV2583" s="2259"/>
      <c r="AW2583" s="2259"/>
      <c r="AX2583" s="2259"/>
      <c r="AY2583" s="2259"/>
      <c r="AZ2583" s="2259"/>
      <c r="BA2583" s="2259"/>
      <c r="BB2583" s="2259"/>
      <c r="BC2583" s="2259"/>
      <c r="BD2583" s="2259"/>
      <c r="BE2583" s="2259"/>
      <c r="BF2583" s="2259"/>
      <c r="BG2583" s="2259"/>
      <c r="BH2583" s="2259"/>
      <c r="BI2583" s="2259"/>
      <c r="BJ2583" s="2259"/>
      <c r="BK2583" s="2259"/>
      <c r="BL2583" s="2259"/>
      <c r="BM2583" s="2259"/>
      <c r="BN2583" s="2259"/>
      <c r="BO2583" s="2259"/>
      <c r="BP2583" s="2259"/>
      <c r="BQ2583" s="2259"/>
      <c r="BR2583" s="2259"/>
      <c r="BS2583" s="2259"/>
    </row>
    <row r="2584" spans="1:71" s="2131" customFormat="1" ht="38.25">
      <c r="A2584" s="2152"/>
      <c r="B2584" s="2253"/>
      <c r="C2584" s="2164">
        <v>5</v>
      </c>
      <c r="D2584" s="2164" t="s">
        <v>34</v>
      </c>
      <c r="E2584" s="2164" t="s">
        <v>25</v>
      </c>
      <c r="F2584" s="2164" t="s">
        <v>45</v>
      </c>
      <c r="G2584" s="2164" t="s">
        <v>25</v>
      </c>
      <c r="H2584" s="2164" t="s">
        <v>74</v>
      </c>
      <c r="I2584" s="2260" t="s">
        <v>167</v>
      </c>
      <c r="J2584" s="2265" t="s">
        <v>3633</v>
      </c>
      <c r="K2584" s="2240">
        <v>72</v>
      </c>
      <c r="L2584" s="2241">
        <v>196500000</v>
      </c>
      <c r="M2584" s="2261">
        <v>36</v>
      </c>
      <c r="N2584" s="2262">
        <v>73975000</v>
      </c>
      <c r="O2584" s="2240">
        <v>12</v>
      </c>
      <c r="P2584" s="2242">
        <v>20400000</v>
      </c>
      <c r="Q2584" s="2261">
        <v>3</v>
      </c>
      <c r="R2584" s="2370">
        <v>13560200</v>
      </c>
      <c r="S2584" s="2261">
        <v>3</v>
      </c>
      <c r="T2584" s="2370">
        <v>3560200</v>
      </c>
      <c r="U2584" s="2240"/>
      <c r="V2584" s="2242"/>
      <c r="W2584" s="2240"/>
      <c r="X2584" s="2241"/>
      <c r="Y2584" s="2240">
        <f t="shared" si="685"/>
        <v>6</v>
      </c>
      <c r="Z2584" s="2241">
        <f t="shared" si="685"/>
        <v>17120400</v>
      </c>
      <c r="AA2584" s="2240">
        <f t="shared" si="686"/>
        <v>42</v>
      </c>
      <c r="AB2584" s="2241">
        <f t="shared" si="686"/>
        <v>91095400</v>
      </c>
      <c r="AC2584" s="2243">
        <f t="shared" si="687"/>
        <v>58.333333333333336</v>
      </c>
      <c r="AD2584" s="2243">
        <f t="shared" si="687"/>
        <v>46.358982188295165</v>
      </c>
      <c r="AE2584" s="2216"/>
      <c r="AF2584" s="2259"/>
      <c r="AG2584" s="2259"/>
      <c r="AH2584" s="2259"/>
      <c r="AI2584" s="2259"/>
      <c r="AJ2584" s="2259"/>
      <c r="AK2584" s="2259"/>
      <c r="AL2584" s="2259"/>
      <c r="AM2584" s="2259"/>
      <c r="AN2584" s="2259"/>
      <c r="AO2584" s="2259"/>
      <c r="AP2584" s="2259"/>
      <c r="AQ2584" s="2259"/>
      <c r="AR2584" s="2259"/>
      <c r="AS2584" s="2259"/>
      <c r="AT2584" s="2259"/>
      <c r="AU2584" s="2259"/>
      <c r="AV2584" s="2259"/>
      <c r="AW2584" s="2259"/>
      <c r="AX2584" s="2259"/>
      <c r="AY2584" s="2259"/>
      <c r="AZ2584" s="2259"/>
      <c r="BA2584" s="2259"/>
      <c r="BB2584" s="2259"/>
      <c r="BC2584" s="2259"/>
      <c r="BD2584" s="2259"/>
      <c r="BE2584" s="2259"/>
      <c r="BF2584" s="2259"/>
      <c r="BG2584" s="2259"/>
      <c r="BH2584" s="2259"/>
      <c r="BI2584" s="2259"/>
      <c r="BJ2584" s="2259"/>
      <c r="BK2584" s="2259"/>
      <c r="BL2584" s="2259"/>
      <c r="BM2584" s="2259"/>
      <c r="BN2584" s="2259"/>
      <c r="BO2584" s="2259"/>
      <c r="BP2584" s="2259"/>
      <c r="BQ2584" s="2259"/>
      <c r="BR2584" s="2259"/>
      <c r="BS2584" s="2259"/>
    </row>
    <row r="2585" spans="1:71" s="2131" customFormat="1" ht="51">
      <c r="A2585" s="2152"/>
      <c r="B2585" s="2253"/>
      <c r="C2585" s="2164">
        <v>5</v>
      </c>
      <c r="D2585" s="2164" t="s">
        <v>34</v>
      </c>
      <c r="E2585" s="2164" t="s">
        <v>25</v>
      </c>
      <c r="F2585" s="2164" t="s">
        <v>45</v>
      </c>
      <c r="G2585" s="2164" t="s">
        <v>25</v>
      </c>
      <c r="H2585" s="2164" t="s">
        <v>44</v>
      </c>
      <c r="I2585" s="2260" t="s">
        <v>233</v>
      </c>
      <c r="J2585" s="2260" t="s">
        <v>3634</v>
      </c>
      <c r="K2585" s="2240">
        <v>72</v>
      </c>
      <c r="L2585" s="2241">
        <v>195000000</v>
      </c>
      <c r="M2585" s="2261">
        <v>36</v>
      </c>
      <c r="N2585" s="2262">
        <v>86078000</v>
      </c>
      <c r="O2585" s="2240">
        <v>12</v>
      </c>
      <c r="P2585" s="2242">
        <v>45300000</v>
      </c>
      <c r="Q2585" s="2261">
        <v>3</v>
      </c>
      <c r="R2585" s="2370">
        <v>725000</v>
      </c>
      <c r="S2585" s="2261">
        <v>3</v>
      </c>
      <c r="T2585" s="2370">
        <v>725000</v>
      </c>
      <c r="U2585" s="2240"/>
      <c r="V2585" s="2242"/>
      <c r="W2585" s="2240"/>
      <c r="X2585" s="2241"/>
      <c r="Y2585" s="2240">
        <f t="shared" si="685"/>
        <v>6</v>
      </c>
      <c r="Z2585" s="2241">
        <f t="shared" si="685"/>
        <v>1450000</v>
      </c>
      <c r="AA2585" s="2240">
        <f t="shared" si="686"/>
        <v>42</v>
      </c>
      <c r="AB2585" s="2241">
        <f t="shared" si="686"/>
        <v>87528000</v>
      </c>
      <c r="AC2585" s="2243">
        <f t="shared" si="687"/>
        <v>58.333333333333336</v>
      </c>
      <c r="AD2585" s="2243">
        <f t="shared" si="687"/>
        <v>44.886153846153846</v>
      </c>
      <c r="AE2585" s="2216"/>
      <c r="AF2585" s="2259"/>
      <c r="AG2585" s="2259"/>
      <c r="AH2585" s="2259"/>
      <c r="AI2585" s="2259"/>
      <c r="AJ2585" s="2259"/>
      <c r="AK2585" s="2259"/>
      <c r="AL2585" s="2259"/>
      <c r="AM2585" s="2259"/>
      <c r="AN2585" s="2259"/>
      <c r="AO2585" s="2259"/>
      <c r="AP2585" s="2259"/>
      <c r="AQ2585" s="2259"/>
      <c r="AR2585" s="2259"/>
      <c r="AS2585" s="2259"/>
      <c r="AT2585" s="2259"/>
      <c r="AU2585" s="2259"/>
      <c r="AV2585" s="2259"/>
      <c r="AW2585" s="2259"/>
      <c r="AX2585" s="2259"/>
      <c r="AY2585" s="2259"/>
      <c r="AZ2585" s="2259"/>
      <c r="BA2585" s="2259"/>
      <c r="BB2585" s="2259"/>
      <c r="BC2585" s="2259"/>
      <c r="BD2585" s="2259"/>
      <c r="BE2585" s="2259"/>
      <c r="BF2585" s="2259"/>
      <c r="BG2585" s="2259"/>
      <c r="BH2585" s="2259"/>
      <c r="BI2585" s="2259"/>
      <c r="BJ2585" s="2259"/>
      <c r="BK2585" s="2259"/>
      <c r="BL2585" s="2259"/>
      <c r="BM2585" s="2259"/>
      <c r="BN2585" s="2259"/>
      <c r="BO2585" s="2259"/>
      <c r="BP2585" s="2259"/>
      <c r="BQ2585" s="2259"/>
      <c r="BR2585" s="2259"/>
      <c r="BS2585" s="2259"/>
    </row>
    <row r="2586" spans="1:71" s="2131" customFormat="1" ht="51">
      <c r="A2586" s="2267"/>
      <c r="B2586" s="2253"/>
      <c r="C2586" s="2164">
        <v>5</v>
      </c>
      <c r="D2586" s="2164" t="s">
        <v>34</v>
      </c>
      <c r="E2586" s="2164" t="s">
        <v>25</v>
      </c>
      <c r="F2586" s="2164" t="s">
        <v>45</v>
      </c>
      <c r="G2586" s="2164" t="s">
        <v>25</v>
      </c>
      <c r="H2586" s="2254" t="s">
        <v>54</v>
      </c>
      <c r="I2586" s="2171" t="s">
        <v>3689</v>
      </c>
      <c r="J2586" s="2171" t="s">
        <v>3635</v>
      </c>
      <c r="K2586" s="2255">
        <v>72</v>
      </c>
      <c r="L2586" s="2203">
        <v>294700000</v>
      </c>
      <c r="M2586" s="2256">
        <v>36</v>
      </c>
      <c r="N2586" s="2257">
        <v>130430000</v>
      </c>
      <c r="O2586" s="2255">
        <v>12</v>
      </c>
      <c r="P2586" s="2258">
        <v>43440000</v>
      </c>
      <c r="Q2586" s="2256">
        <v>3</v>
      </c>
      <c r="R2586" s="2370">
        <v>21415000</v>
      </c>
      <c r="S2586" s="2256">
        <v>3</v>
      </c>
      <c r="T2586" s="2370">
        <v>11415000</v>
      </c>
      <c r="U2586" s="2255"/>
      <c r="V2586" s="2258"/>
      <c r="W2586" s="2255"/>
      <c r="X2586" s="2203"/>
      <c r="Y2586" s="2240">
        <f t="shared" si="685"/>
        <v>6</v>
      </c>
      <c r="Z2586" s="2203">
        <f t="shared" si="685"/>
        <v>32830000</v>
      </c>
      <c r="AA2586" s="2240">
        <f t="shared" si="686"/>
        <v>42</v>
      </c>
      <c r="AB2586" s="2203">
        <f t="shared" si="686"/>
        <v>163260000</v>
      </c>
      <c r="AC2586" s="2243">
        <f t="shared" si="687"/>
        <v>58.333333333333336</v>
      </c>
      <c r="AD2586" s="2243">
        <f t="shared" si="687"/>
        <v>55.398710553104856</v>
      </c>
      <c r="AE2586" s="2605"/>
      <c r="AF2586" s="2259"/>
      <c r="AG2586" s="2259"/>
      <c r="AH2586" s="2259"/>
      <c r="AI2586" s="2259"/>
      <c r="AJ2586" s="2259"/>
      <c r="AK2586" s="2259"/>
      <c r="AL2586" s="2259"/>
      <c r="AM2586" s="2259"/>
      <c r="AN2586" s="2259"/>
      <c r="AO2586" s="2259"/>
      <c r="AP2586" s="2259"/>
      <c r="AQ2586" s="2259"/>
      <c r="AR2586" s="2259"/>
      <c r="AS2586" s="2259"/>
      <c r="AT2586" s="2259"/>
      <c r="AU2586" s="2259"/>
      <c r="AV2586" s="2259"/>
      <c r="AW2586" s="2259"/>
      <c r="AX2586" s="2259"/>
      <c r="AY2586" s="2259"/>
      <c r="AZ2586" s="2259"/>
      <c r="BA2586" s="2259"/>
      <c r="BB2586" s="2259"/>
      <c r="BC2586" s="2259"/>
      <c r="BD2586" s="2259"/>
      <c r="BE2586" s="2259"/>
      <c r="BF2586" s="2259"/>
      <c r="BG2586" s="2259"/>
      <c r="BH2586" s="2259"/>
      <c r="BI2586" s="2259"/>
      <c r="BJ2586" s="2259"/>
      <c r="BK2586" s="2259"/>
      <c r="BL2586" s="2259"/>
      <c r="BM2586" s="2259"/>
      <c r="BN2586" s="2259"/>
      <c r="BO2586" s="2259"/>
      <c r="BP2586" s="2259"/>
      <c r="BQ2586" s="2259"/>
      <c r="BR2586" s="2259"/>
      <c r="BS2586" s="2259"/>
    </row>
    <row r="2587" spans="1:71" s="2131" customFormat="1" ht="51">
      <c r="A2587" s="2215"/>
      <c r="B2587" s="2354"/>
      <c r="C2587" s="2216">
        <v>5</v>
      </c>
      <c r="D2587" s="2217" t="s">
        <v>25</v>
      </c>
      <c r="E2587" s="2217" t="s">
        <v>25</v>
      </c>
      <c r="F2587" s="2164" t="s">
        <v>45</v>
      </c>
      <c r="G2587" s="2164" t="s">
        <v>25</v>
      </c>
      <c r="H2587" s="2217">
        <v>30</v>
      </c>
      <c r="I2587" s="2218" t="s">
        <v>3801</v>
      </c>
      <c r="J2587" s="2354" t="s">
        <v>3897</v>
      </c>
      <c r="K2587" s="2199">
        <v>48</v>
      </c>
      <c r="L2587" s="2200">
        <v>40612154</v>
      </c>
      <c r="M2587" s="2199">
        <v>33</v>
      </c>
      <c r="N2587" s="2200">
        <v>10890000</v>
      </c>
      <c r="O2587" s="2199">
        <v>8</v>
      </c>
      <c r="P2587" s="2200">
        <v>7875000</v>
      </c>
      <c r="Q2587" s="2219">
        <v>2</v>
      </c>
      <c r="R2587" s="2370">
        <v>600000</v>
      </c>
      <c r="S2587" s="2219">
        <v>2</v>
      </c>
      <c r="T2587" s="2370">
        <v>600000</v>
      </c>
      <c r="U2587" s="2219"/>
      <c r="V2587" s="2222"/>
      <c r="W2587" s="2219"/>
      <c r="X2587" s="2222"/>
      <c r="Y2587" s="2219">
        <f t="shared" si="685"/>
        <v>4</v>
      </c>
      <c r="Z2587" s="2220">
        <f t="shared" si="685"/>
        <v>1200000</v>
      </c>
      <c r="AA2587" s="2219">
        <f t="shared" si="686"/>
        <v>37</v>
      </c>
      <c r="AB2587" s="2224">
        <f t="shared" si="686"/>
        <v>12090000</v>
      </c>
      <c r="AC2587" s="2199">
        <f t="shared" si="687"/>
        <v>77.083333333333343</v>
      </c>
      <c r="AD2587" s="2363">
        <f t="shared" si="687"/>
        <v>29.769413363300064</v>
      </c>
      <c r="AE2587" s="2215"/>
    </row>
    <row r="2588" spans="1:71" s="2131" customFormat="1" ht="63.75">
      <c r="A2588" s="2140" t="s">
        <v>114</v>
      </c>
      <c r="B2588" s="2194"/>
      <c r="C2588" s="2142">
        <v>5</v>
      </c>
      <c r="D2588" s="2142" t="s">
        <v>34</v>
      </c>
      <c r="E2588" s="2142" t="s">
        <v>25</v>
      </c>
      <c r="F2588" s="2142" t="s">
        <v>45</v>
      </c>
      <c r="G2588" s="2142" t="s">
        <v>28</v>
      </c>
      <c r="H2588" s="2140"/>
      <c r="I2588" s="2143" t="s">
        <v>3636</v>
      </c>
      <c r="J2588" s="2143" t="s">
        <v>3531</v>
      </c>
      <c r="K2588" s="2144">
        <v>72</v>
      </c>
      <c r="L2588" s="2145">
        <f>SUM(L2589:L2596)</f>
        <v>876318000</v>
      </c>
      <c r="M2588" s="2144">
        <v>36</v>
      </c>
      <c r="N2588" s="2145">
        <f>SUM(N2589:N2596)</f>
        <v>444562942</v>
      </c>
      <c r="O2588" s="2144">
        <v>12</v>
      </c>
      <c r="P2588" s="2145">
        <f>SUM(P2589:P2596)</f>
        <v>127220337</v>
      </c>
      <c r="Q2588" s="2144">
        <v>3</v>
      </c>
      <c r="R2588" s="2369">
        <f>SUM(R2589:R2596)</f>
        <v>44026409</v>
      </c>
      <c r="S2588" s="2144">
        <v>3</v>
      </c>
      <c r="T2588" s="2369">
        <f>SUM(T2589:T2596)</f>
        <v>28961409</v>
      </c>
      <c r="U2588" s="2144"/>
      <c r="V2588" s="2145">
        <f>SUM(V2589:V2596)</f>
        <v>0</v>
      </c>
      <c r="W2588" s="2144"/>
      <c r="X2588" s="2145">
        <f>SUM(X2589:X2596)</f>
        <v>0</v>
      </c>
      <c r="Y2588" s="2144">
        <f t="shared" si="685"/>
        <v>6</v>
      </c>
      <c r="Z2588" s="2145">
        <f t="shared" si="685"/>
        <v>72987818</v>
      </c>
      <c r="AA2588" s="2144">
        <f t="shared" si="686"/>
        <v>42</v>
      </c>
      <c r="AB2588" s="2145">
        <f t="shared" si="686"/>
        <v>517550760</v>
      </c>
      <c r="AC2588" s="2147">
        <f t="shared" si="687"/>
        <v>58.333333333333336</v>
      </c>
      <c r="AD2588" s="2147">
        <f t="shared" si="687"/>
        <v>59.059697507069352</v>
      </c>
      <c r="AE2588" s="2204" t="s">
        <v>3930</v>
      </c>
      <c r="AF2588" s="2266"/>
      <c r="AG2588" s="2266"/>
      <c r="AH2588" s="2266"/>
      <c r="AI2588" s="2266"/>
      <c r="AJ2588" s="2266"/>
      <c r="AK2588" s="2266"/>
      <c r="AL2588" s="2266"/>
      <c r="AM2588" s="2266"/>
      <c r="AN2588" s="2266"/>
      <c r="AO2588" s="2266"/>
      <c r="AP2588" s="2266"/>
      <c r="AQ2588" s="2266"/>
      <c r="AR2588" s="2266"/>
      <c r="AS2588" s="2266"/>
      <c r="AT2588" s="2266"/>
      <c r="AU2588" s="2266"/>
      <c r="AV2588" s="2266"/>
      <c r="AW2588" s="2266"/>
      <c r="AX2588" s="2266"/>
      <c r="AY2588" s="2266"/>
      <c r="AZ2588" s="2266"/>
      <c r="BA2588" s="2266"/>
      <c r="BB2588" s="2266"/>
      <c r="BC2588" s="2266"/>
      <c r="BD2588" s="2266"/>
      <c r="BE2588" s="2266"/>
      <c r="BF2588" s="2266"/>
      <c r="BG2588" s="2266"/>
      <c r="BH2588" s="2266"/>
      <c r="BI2588" s="2266"/>
      <c r="BJ2588" s="2266"/>
      <c r="BK2588" s="2266"/>
      <c r="BL2588" s="2266"/>
      <c r="BM2588" s="2266"/>
      <c r="BN2588" s="2266"/>
      <c r="BO2588" s="2266"/>
      <c r="BP2588" s="2266"/>
      <c r="BQ2588" s="2266"/>
      <c r="BR2588" s="2266"/>
      <c r="BS2588" s="2266"/>
    </row>
    <row r="2589" spans="1:71" s="2131" customFormat="1" ht="38.25">
      <c r="A2589" s="2267"/>
      <c r="B2589" s="2253"/>
      <c r="C2589" s="2164">
        <v>5</v>
      </c>
      <c r="D2589" s="2164" t="s">
        <v>34</v>
      </c>
      <c r="E2589" s="2164" t="s">
        <v>25</v>
      </c>
      <c r="F2589" s="2164" t="s">
        <v>45</v>
      </c>
      <c r="G2589" s="2164" t="s">
        <v>28</v>
      </c>
      <c r="H2589" s="2164" t="s">
        <v>29</v>
      </c>
      <c r="I2589" s="2171" t="s">
        <v>234</v>
      </c>
      <c r="J2589" s="2171" t="s">
        <v>3931</v>
      </c>
      <c r="K2589" s="2255">
        <v>72</v>
      </c>
      <c r="L2589" s="2203">
        <v>27000000</v>
      </c>
      <c r="M2589" s="2256">
        <v>36</v>
      </c>
      <c r="N2589" s="2257">
        <v>24175000</v>
      </c>
      <c r="O2589" s="2255">
        <v>12</v>
      </c>
      <c r="P2589" s="2258">
        <v>20750000</v>
      </c>
      <c r="Q2589" s="2256">
        <v>3</v>
      </c>
      <c r="R2589" s="2370">
        <v>6000000</v>
      </c>
      <c r="S2589" s="2256">
        <v>3</v>
      </c>
      <c r="T2589" s="2370">
        <v>6000000</v>
      </c>
      <c r="U2589" s="2255"/>
      <c r="V2589" s="2258"/>
      <c r="W2589" s="2255"/>
      <c r="X2589" s="2203"/>
      <c r="Y2589" s="2240">
        <f t="shared" si="685"/>
        <v>6</v>
      </c>
      <c r="Z2589" s="2203">
        <f t="shared" si="685"/>
        <v>12000000</v>
      </c>
      <c r="AA2589" s="2240">
        <f t="shared" si="686"/>
        <v>42</v>
      </c>
      <c r="AB2589" s="2203">
        <f t="shared" si="686"/>
        <v>36175000</v>
      </c>
      <c r="AC2589" s="2243">
        <f t="shared" si="687"/>
        <v>58.333333333333336</v>
      </c>
      <c r="AD2589" s="2243">
        <f t="shared" si="687"/>
        <v>133.98148148148147</v>
      </c>
      <c r="AE2589" s="2605"/>
      <c r="AF2589" s="2259"/>
      <c r="AG2589" s="2259"/>
      <c r="AH2589" s="2259"/>
      <c r="AI2589" s="2259"/>
      <c r="AJ2589" s="2259"/>
      <c r="AK2589" s="2259"/>
      <c r="AL2589" s="2259"/>
      <c r="AM2589" s="2259"/>
      <c r="AN2589" s="2259"/>
      <c r="AO2589" s="2259"/>
      <c r="AP2589" s="2259"/>
      <c r="AQ2589" s="2259"/>
      <c r="AR2589" s="2259"/>
      <c r="AS2589" s="2259"/>
      <c r="AT2589" s="2259"/>
      <c r="AU2589" s="2259"/>
      <c r="AV2589" s="2259"/>
      <c r="AW2589" s="2259"/>
      <c r="AX2589" s="2259"/>
      <c r="AY2589" s="2259"/>
      <c r="AZ2589" s="2259"/>
      <c r="BA2589" s="2259"/>
      <c r="BB2589" s="2259"/>
      <c r="BC2589" s="2259"/>
      <c r="BD2589" s="2259"/>
      <c r="BE2589" s="2259"/>
      <c r="BF2589" s="2259"/>
      <c r="BG2589" s="2259"/>
      <c r="BH2589" s="2259"/>
      <c r="BI2589" s="2259"/>
      <c r="BJ2589" s="2259"/>
      <c r="BK2589" s="2259"/>
      <c r="BL2589" s="2259"/>
      <c r="BM2589" s="2259"/>
      <c r="BN2589" s="2259"/>
      <c r="BO2589" s="2259"/>
      <c r="BP2589" s="2259"/>
      <c r="BQ2589" s="2259"/>
      <c r="BR2589" s="2259"/>
      <c r="BS2589" s="2259"/>
    </row>
    <row r="2590" spans="1:71" s="2131" customFormat="1" ht="38.25">
      <c r="A2590" s="2267"/>
      <c r="B2590" s="2253"/>
      <c r="C2590" s="2164">
        <v>5</v>
      </c>
      <c r="D2590" s="2164" t="s">
        <v>34</v>
      </c>
      <c r="E2590" s="2164" t="s">
        <v>25</v>
      </c>
      <c r="F2590" s="2164" t="s">
        <v>45</v>
      </c>
      <c r="G2590" s="2164" t="s">
        <v>28</v>
      </c>
      <c r="H2590" s="2164" t="s">
        <v>29</v>
      </c>
      <c r="I2590" s="2171" t="s">
        <v>82</v>
      </c>
      <c r="J2590" s="2171" t="s">
        <v>3932</v>
      </c>
      <c r="K2590" s="2255">
        <v>72</v>
      </c>
      <c r="L2590" s="2203">
        <v>27000000</v>
      </c>
      <c r="M2590" s="2256">
        <v>36</v>
      </c>
      <c r="N2590" s="2257">
        <v>23375000</v>
      </c>
      <c r="O2590" s="2255">
        <v>12</v>
      </c>
      <c r="P2590" s="2258">
        <v>1750000</v>
      </c>
      <c r="Q2590" s="2256">
        <v>3</v>
      </c>
      <c r="R2590" s="2370">
        <v>0</v>
      </c>
      <c r="S2590" s="2256">
        <v>3</v>
      </c>
      <c r="T2590" s="2370">
        <v>0</v>
      </c>
      <c r="U2590" s="2255"/>
      <c r="V2590" s="2258"/>
      <c r="W2590" s="2255"/>
      <c r="X2590" s="2203"/>
      <c r="Y2590" s="2240">
        <f t="shared" si="685"/>
        <v>6</v>
      </c>
      <c r="Z2590" s="2203">
        <f t="shared" si="685"/>
        <v>0</v>
      </c>
      <c r="AA2590" s="2240">
        <f t="shared" si="686"/>
        <v>42</v>
      </c>
      <c r="AB2590" s="2203">
        <f t="shared" si="686"/>
        <v>23375000</v>
      </c>
      <c r="AC2590" s="2243">
        <f t="shared" si="687"/>
        <v>58.333333333333336</v>
      </c>
      <c r="AD2590" s="2243">
        <f t="shared" si="687"/>
        <v>86.574074074074076</v>
      </c>
      <c r="AE2590" s="2605"/>
      <c r="AF2590" s="2259"/>
      <c r="AG2590" s="2259"/>
      <c r="AH2590" s="2259"/>
      <c r="AI2590" s="2259"/>
      <c r="AJ2590" s="2259"/>
      <c r="AK2590" s="2259"/>
      <c r="AL2590" s="2259"/>
      <c r="AM2590" s="2259"/>
      <c r="AN2590" s="2259"/>
      <c r="AO2590" s="2259"/>
      <c r="AP2590" s="2259"/>
      <c r="AQ2590" s="2259"/>
      <c r="AR2590" s="2259"/>
      <c r="AS2590" s="2259"/>
      <c r="AT2590" s="2259"/>
      <c r="AU2590" s="2259"/>
      <c r="AV2590" s="2259"/>
      <c r="AW2590" s="2259"/>
      <c r="AX2590" s="2259"/>
      <c r="AY2590" s="2259"/>
      <c r="AZ2590" s="2259"/>
      <c r="BA2590" s="2259"/>
      <c r="BB2590" s="2259"/>
      <c r="BC2590" s="2259"/>
      <c r="BD2590" s="2259"/>
      <c r="BE2590" s="2259"/>
      <c r="BF2590" s="2259"/>
      <c r="BG2590" s="2259"/>
      <c r="BH2590" s="2259"/>
      <c r="BI2590" s="2259"/>
      <c r="BJ2590" s="2259"/>
      <c r="BK2590" s="2259"/>
      <c r="BL2590" s="2259"/>
      <c r="BM2590" s="2259"/>
      <c r="BN2590" s="2259"/>
      <c r="BO2590" s="2259"/>
      <c r="BP2590" s="2259"/>
      <c r="BQ2590" s="2259"/>
      <c r="BR2590" s="2259"/>
      <c r="BS2590" s="2259"/>
    </row>
    <row r="2591" spans="1:71" s="2131" customFormat="1" ht="38.25">
      <c r="A2591" s="2267"/>
      <c r="B2591" s="2253"/>
      <c r="C2591" s="2164">
        <v>5</v>
      </c>
      <c r="D2591" s="2164" t="s">
        <v>34</v>
      </c>
      <c r="E2591" s="2164" t="s">
        <v>25</v>
      </c>
      <c r="F2591" s="2164" t="s">
        <v>45</v>
      </c>
      <c r="G2591" s="2164" t="s">
        <v>28</v>
      </c>
      <c r="H2591" s="2164">
        <v>123</v>
      </c>
      <c r="I2591" s="2171" t="s">
        <v>3933</v>
      </c>
      <c r="J2591" s="2171" t="s">
        <v>3934</v>
      </c>
      <c r="K2591" s="2255">
        <v>36</v>
      </c>
      <c r="L2591" s="2203">
        <v>27000000</v>
      </c>
      <c r="M2591" s="2256">
        <v>36</v>
      </c>
      <c r="N2591" s="2257">
        <v>16825000</v>
      </c>
      <c r="O2591" s="2255"/>
      <c r="P2591" s="2258"/>
      <c r="Q2591" s="2256"/>
      <c r="R2591" s="2370">
        <v>3528409</v>
      </c>
      <c r="S2591" s="2256"/>
      <c r="T2591" s="2370">
        <v>3528409</v>
      </c>
      <c r="U2591" s="2255"/>
      <c r="V2591" s="2258"/>
      <c r="W2591" s="2255"/>
      <c r="X2591" s="2203"/>
      <c r="Y2591" s="2240">
        <f t="shared" si="685"/>
        <v>0</v>
      </c>
      <c r="Z2591" s="2203">
        <f t="shared" si="685"/>
        <v>7056818</v>
      </c>
      <c r="AA2591" s="2240">
        <f t="shared" si="686"/>
        <v>36</v>
      </c>
      <c r="AB2591" s="2203">
        <f t="shared" si="686"/>
        <v>23881818</v>
      </c>
      <c r="AC2591" s="2243">
        <f t="shared" si="687"/>
        <v>100</v>
      </c>
      <c r="AD2591" s="2243">
        <f t="shared" si="687"/>
        <v>88.451177777777772</v>
      </c>
      <c r="AE2591" s="2605"/>
      <c r="AF2591" s="2259"/>
      <c r="AG2591" s="2259"/>
      <c r="AH2591" s="2259"/>
      <c r="AI2591" s="2259"/>
      <c r="AJ2591" s="2259"/>
      <c r="AK2591" s="2259"/>
      <c r="AL2591" s="2259"/>
      <c r="AM2591" s="2259"/>
      <c r="AN2591" s="2259"/>
      <c r="AO2591" s="2259"/>
      <c r="AP2591" s="2259"/>
      <c r="AQ2591" s="2259"/>
      <c r="AR2591" s="2259"/>
      <c r="AS2591" s="2259"/>
      <c r="AT2591" s="2259"/>
      <c r="AU2591" s="2259"/>
      <c r="AV2591" s="2259"/>
      <c r="AW2591" s="2259"/>
      <c r="AX2591" s="2259"/>
      <c r="AY2591" s="2259"/>
      <c r="AZ2591" s="2259"/>
      <c r="BA2591" s="2259"/>
      <c r="BB2591" s="2259"/>
      <c r="BC2591" s="2259"/>
      <c r="BD2591" s="2259"/>
      <c r="BE2591" s="2259"/>
      <c r="BF2591" s="2259"/>
      <c r="BG2591" s="2259"/>
      <c r="BH2591" s="2259"/>
      <c r="BI2591" s="2259"/>
      <c r="BJ2591" s="2259"/>
      <c r="BK2591" s="2259"/>
      <c r="BL2591" s="2259"/>
      <c r="BM2591" s="2259"/>
      <c r="BN2591" s="2259"/>
      <c r="BO2591" s="2259"/>
      <c r="BP2591" s="2259"/>
      <c r="BQ2591" s="2259"/>
      <c r="BR2591" s="2259"/>
      <c r="BS2591" s="2259"/>
    </row>
    <row r="2592" spans="1:71" s="2131" customFormat="1" ht="38.25">
      <c r="A2592" s="2267"/>
      <c r="B2592" s="2253"/>
      <c r="C2592" s="2164">
        <v>5</v>
      </c>
      <c r="D2592" s="2164" t="s">
        <v>34</v>
      </c>
      <c r="E2592" s="2164" t="s">
        <v>25</v>
      </c>
      <c r="F2592" s="2164" t="s">
        <v>45</v>
      </c>
      <c r="G2592" s="2164" t="s">
        <v>28</v>
      </c>
      <c r="H2592" s="2164" t="s">
        <v>61</v>
      </c>
      <c r="I2592" s="2171" t="s">
        <v>3775</v>
      </c>
      <c r="J2592" s="2171" t="s">
        <v>3640</v>
      </c>
      <c r="K2592" s="2255">
        <v>72</v>
      </c>
      <c r="L2592" s="2203">
        <v>27000000</v>
      </c>
      <c r="M2592" s="2256">
        <v>36</v>
      </c>
      <c r="N2592" s="2257">
        <v>16431500</v>
      </c>
      <c r="O2592" s="2255">
        <v>12</v>
      </c>
      <c r="P2592" s="2258">
        <v>11532914</v>
      </c>
      <c r="Q2592" s="2256">
        <v>3</v>
      </c>
      <c r="R2592" s="2370">
        <v>4133000</v>
      </c>
      <c r="S2592" s="2256">
        <v>3</v>
      </c>
      <c r="T2592" s="2370">
        <v>4133000</v>
      </c>
      <c r="U2592" s="2255"/>
      <c r="V2592" s="2258"/>
      <c r="W2592" s="2255"/>
      <c r="X2592" s="2203"/>
      <c r="Y2592" s="2240">
        <f t="shared" si="685"/>
        <v>6</v>
      </c>
      <c r="Z2592" s="2203">
        <f t="shared" si="685"/>
        <v>8266000</v>
      </c>
      <c r="AA2592" s="2240">
        <f t="shared" si="686"/>
        <v>42</v>
      </c>
      <c r="AB2592" s="2203">
        <f t="shared" si="686"/>
        <v>24697500</v>
      </c>
      <c r="AC2592" s="2243">
        <f t="shared" si="687"/>
        <v>58.333333333333336</v>
      </c>
      <c r="AD2592" s="2243">
        <f t="shared" si="687"/>
        <v>91.472222222222229</v>
      </c>
      <c r="AE2592" s="2605"/>
      <c r="AF2592" s="2259"/>
      <c r="AG2592" s="2259"/>
      <c r="AH2592" s="2259"/>
      <c r="AI2592" s="2259"/>
      <c r="AJ2592" s="2259"/>
      <c r="AK2592" s="2259"/>
      <c r="AL2592" s="2259"/>
      <c r="AM2592" s="2259"/>
      <c r="AN2592" s="2259"/>
      <c r="AO2592" s="2259"/>
      <c r="AP2592" s="2259"/>
      <c r="AQ2592" s="2259"/>
      <c r="AR2592" s="2259"/>
      <c r="AS2592" s="2259"/>
      <c r="AT2592" s="2259"/>
      <c r="AU2592" s="2259"/>
      <c r="AV2592" s="2259"/>
      <c r="AW2592" s="2259"/>
      <c r="AX2592" s="2259"/>
      <c r="AY2592" s="2259"/>
      <c r="AZ2592" s="2259"/>
      <c r="BA2592" s="2259"/>
      <c r="BB2592" s="2259"/>
      <c r="BC2592" s="2259"/>
      <c r="BD2592" s="2259"/>
      <c r="BE2592" s="2259"/>
      <c r="BF2592" s="2259"/>
      <c r="BG2592" s="2259"/>
      <c r="BH2592" s="2259"/>
      <c r="BI2592" s="2259"/>
      <c r="BJ2592" s="2259"/>
      <c r="BK2592" s="2259"/>
      <c r="BL2592" s="2259"/>
      <c r="BM2592" s="2259"/>
      <c r="BN2592" s="2259"/>
      <c r="BO2592" s="2259"/>
      <c r="BP2592" s="2259"/>
      <c r="BQ2592" s="2259"/>
      <c r="BR2592" s="2259"/>
      <c r="BS2592" s="2259"/>
    </row>
    <row r="2593" spans="1:71" s="2131" customFormat="1" ht="25.5">
      <c r="A2593" s="2267"/>
      <c r="B2593" s="2253"/>
      <c r="C2593" s="2164">
        <v>5</v>
      </c>
      <c r="D2593" s="2164" t="s">
        <v>34</v>
      </c>
      <c r="E2593" s="2164" t="s">
        <v>25</v>
      </c>
      <c r="F2593" s="2164" t="s">
        <v>45</v>
      </c>
      <c r="G2593" s="2164" t="s">
        <v>28</v>
      </c>
      <c r="H2593" s="2164" t="s">
        <v>61</v>
      </c>
      <c r="I2593" s="2171" t="s">
        <v>134</v>
      </c>
      <c r="J2593" s="2171" t="s">
        <v>243</v>
      </c>
      <c r="K2593" s="2255">
        <v>72</v>
      </c>
      <c r="L2593" s="2203">
        <v>27000000</v>
      </c>
      <c r="M2593" s="2256">
        <v>36</v>
      </c>
      <c r="N2593" s="2257">
        <v>18408100</v>
      </c>
      <c r="O2593" s="2255">
        <v>12</v>
      </c>
      <c r="P2593" s="2258">
        <v>15321995</v>
      </c>
      <c r="Q2593" s="2256">
        <v>3</v>
      </c>
      <c r="R2593" s="2370">
        <v>15065000</v>
      </c>
      <c r="S2593" s="2256">
        <v>3</v>
      </c>
      <c r="T2593" s="2370">
        <v>0</v>
      </c>
      <c r="U2593" s="2255"/>
      <c r="V2593" s="2258"/>
      <c r="W2593" s="2255"/>
      <c r="X2593" s="2203"/>
      <c r="Y2593" s="2240">
        <f t="shared" si="685"/>
        <v>6</v>
      </c>
      <c r="Z2593" s="2203">
        <f t="shared" si="685"/>
        <v>15065000</v>
      </c>
      <c r="AA2593" s="2240">
        <f t="shared" si="686"/>
        <v>42</v>
      </c>
      <c r="AB2593" s="2203">
        <f t="shared" si="686"/>
        <v>33473100</v>
      </c>
      <c r="AC2593" s="2243">
        <f t="shared" si="687"/>
        <v>58.333333333333336</v>
      </c>
      <c r="AD2593" s="2243">
        <f t="shared" si="687"/>
        <v>123.97444444444446</v>
      </c>
      <c r="AE2593" s="2605"/>
      <c r="AF2593" s="2259"/>
      <c r="AG2593" s="2259"/>
      <c r="AH2593" s="2259"/>
      <c r="AI2593" s="2259"/>
      <c r="AJ2593" s="2259"/>
      <c r="AK2593" s="2259"/>
      <c r="AL2593" s="2259"/>
      <c r="AM2593" s="2259"/>
      <c r="AN2593" s="2259"/>
      <c r="AO2593" s="2259"/>
      <c r="AP2593" s="2259"/>
      <c r="AQ2593" s="2259"/>
      <c r="AR2593" s="2259"/>
      <c r="AS2593" s="2259"/>
      <c r="AT2593" s="2259"/>
      <c r="AU2593" s="2259"/>
      <c r="AV2593" s="2259"/>
      <c r="AW2593" s="2259"/>
      <c r="AX2593" s="2259"/>
      <c r="AY2593" s="2259"/>
      <c r="AZ2593" s="2259"/>
      <c r="BA2593" s="2259"/>
      <c r="BB2593" s="2259"/>
      <c r="BC2593" s="2259"/>
      <c r="BD2593" s="2259"/>
      <c r="BE2593" s="2259"/>
      <c r="BF2593" s="2259"/>
      <c r="BG2593" s="2259"/>
      <c r="BH2593" s="2259"/>
      <c r="BI2593" s="2259"/>
      <c r="BJ2593" s="2259"/>
      <c r="BK2593" s="2259"/>
      <c r="BL2593" s="2259"/>
      <c r="BM2593" s="2259"/>
      <c r="BN2593" s="2259"/>
      <c r="BO2593" s="2259"/>
      <c r="BP2593" s="2259"/>
      <c r="BQ2593" s="2259"/>
      <c r="BR2593" s="2259"/>
      <c r="BS2593" s="2259"/>
    </row>
    <row r="2594" spans="1:71" s="2131" customFormat="1" ht="38.25">
      <c r="A2594" s="2267"/>
      <c r="B2594" s="2253"/>
      <c r="C2594" s="2164">
        <v>5</v>
      </c>
      <c r="D2594" s="2164" t="s">
        <v>34</v>
      </c>
      <c r="E2594" s="2164" t="s">
        <v>25</v>
      </c>
      <c r="F2594" s="2164" t="s">
        <v>45</v>
      </c>
      <c r="G2594" s="2164" t="s">
        <v>28</v>
      </c>
      <c r="H2594" s="2164" t="s">
        <v>84</v>
      </c>
      <c r="I2594" s="2171" t="s">
        <v>239</v>
      </c>
      <c r="J2594" s="2171" t="s">
        <v>3935</v>
      </c>
      <c r="K2594" s="2255">
        <v>72</v>
      </c>
      <c r="L2594" s="2203">
        <v>247106000</v>
      </c>
      <c r="M2594" s="2256">
        <v>25</v>
      </c>
      <c r="N2594" s="2257">
        <v>115116114</v>
      </c>
      <c r="O2594" s="2255">
        <v>12</v>
      </c>
      <c r="P2594" s="2258">
        <v>54515428</v>
      </c>
      <c r="Q2594" s="2256">
        <v>3</v>
      </c>
      <c r="R2594" s="2370">
        <v>15000000</v>
      </c>
      <c r="S2594" s="2256">
        <v>3</v>
      </c>
      <c r="T2594" s="2370">
        <v>15000000</v>
      </c>
      <c r="U2594" s="2255"/>
      <c r="V2594" s="2258"/>
      <c r="W2594" s="2255"/>
      <c r="X2594" s="2203"/>
      <c r="Y2594" s="2240">
        <f t="shared" si="685"/>
        <v>6</v>
      </c>
      <c r="Z2594" s="2203">
        <f t="shared" si="685"/>
        <v>30000000</v>
      </c>
      <c r="AA2594" s="2240">
        <f t="shared" si="686"/>
        <v>31</v>
      </c>
      <c r="AB2594" s="2203">
        <f t="shared" si="686"/>
        <v>145116114</v>
      </c>
      <c r="AC2594" s="2243">
        <f t="shared" si="687"/>
        <v>43.055555555555557</v>
      </c>
      <c r="AD2594" s="2243">
        <f t="shared" si="687"/>
        <v>58.726260794962485</v>
      </c>
      <c r="AE2594" s="2605"/>
      <c r="AF2594" s="2259"/>
      <c r="AG2594" s="2259"/>
      <c r="AH2594" s="2259"/>
      <c r="AI2594" s="2259"/>
      <c r="AJ2594" s="2259"/>
      <c r="AK2594" s="2259"/>
      <c r="AL2594" s="2259"/>
      <c r="AM2594" s="2259"/>
      <c r="AN2594" s="2259"/>
      <c r="AO2594" s="2259"/>
      <c r="AP2594" s="2259"/>
      <c r="AQ2594" s="2259"/>
      <c r="AR2594" s="2259"/>
      <c r="AS2594" s="2259"/>
      <c r="AT2594" s="2259"/>
      <c r="AU2594" s="2259"/>
      <c r="AV2594" s="2259"/>
      <c r="AW2594" s="2259"/>
      <c r="AX2594" s="2259"/>
      <c r="AY2594" s="2259"/>
      <c r="AZ2594" s="2259"/>
      <c r="BA2594" s="2259"/>
      <c r="BB2594" s="2259"/>
      <c r="BC2594" s="2259"/>
      <c r="BD2594" s="2259"/>
      <c r="BE2594" s="2259"/>
      <c r="BF2594" s="2259"/>
      <c r="BG2594" s="2259"/>
      <c r="BH2594" s="2259"/>
      <c r="BI2594" s="2259"/>
      <c r="BJ2594" s="2259"/>
      <c r="BK2594" s="2259"/>
      <c r="BL2594" s="2259"/>
      <c r="BM2594" s="2259"/>
      <c r="BN2594" s="2259"/>
      <c r="BO2594" s="2259"/>
      <c r="BP2594" s="2259"/>
      <c r="BQ2594" s="2259"/>
      <c r="BR2594" s="2259"/>
      <c r="BS2594" s="2259"/>
    </row>
    <row r="2595" spans="1:71" s="2131" customFormat="1" ht="38.25">
      <c r="A2595" s="2267"/>
      <c r="B2595" s="2253"/>
      <c r="C2595" s="2164">
        <v>5</v>
      </c>
      <c r="D2595" s="2164" t="s">
        <v>34</v>
      </c>
      <c r="E2595" s="2164" t="s">
        <v>25</v>
      </c>
      <c r="F2595" s="2164" t="s">
        <v>45</v>
      </c>
      <c r="G2595" s="2164" t="s">
        <v>28</v>
      </c>
      <c r="H2595" s="2164" t="s">
        <v>542</v>
      </c>
      <c r="I2595" s="2171" t="s">
        <v>1035</v>
      </c>
      <c r="J2595" s="2171" t="s">
        <v>3936</v>
      </c>
      <c r="K2595" s="2255">
        <v>72</v>
      </c>
      <c r="L2595" s="2203">
        <v>247106000</v>
      </c>
      <c r="M2595" s="2256">
        <v>25</v>
      </c>
      <c r="N2595" s="2257">
        <v>115116114</v>
      </c>
      <c r="O2595" s="2255">
        <v>12</v>
      </c>
      <c r="P2595" s="2258">
        <v>18500000</v>
      </c>
      <c r="Q2595" s="2256">
        <v>3</v>
      </c>
      <c r="R2595" s="2370">
        <v>300000</v>
      </c>
      <c r="S2595" s="2256">
        <v>3</v>
      </c>
      <c r="T2595" s="2370">
        <v>300000</v>
      </c>
      <c r="U2595" s="2255"/>
      <c r="V2595" s="2258"/>
      <c r="W2595" s="2255"/>
      <c r="X2595" s="2203"/>
      <c r="Y2595" s="2240">
        <f t="shared" si="685"/>
        <v>6</v>
      </c>
      <c r="Z2595" s="2203">
        <f t="shared" si="685"/>
        <v>600000</v>
      </c>
      <c r="AA2595" s="2240">
        <f t="shared" si="686"/>
        <v>31</v>
      </c>
      <c r="AB2595" s="2203">
        <f t="shared" si="686"/>
        <v>115716114</v>
      </c>
      <c r="AC2595" s="2243">
        <f t="shared" si="687"/>
        <v>43.055555555555557</v>
      </c>
      <c r="AD2595" s="2243">
        <f t="shared" si="687"/>
        <v>46.8285326944712</v>
      </c>
      <c r="AE2595" s="2605"/>
      <c r="AF2595" s="2259"/>
      <c r="AG2595" s="2259"/>
      <c r="AH2595" s="2259"/>
      <c r="AI2595" s="2259"/>
      <c r="AJ2595" s="2259"/>
      <c r="AK2595" s="2259"/>
      <c r="AL2595" s="2259"/>
      <c r="AM2595" s="2259"/>
      <c r="AN2595" s="2259"/>
      <c r="AO2595" s="2259"/>
      <c r="AP2595" s="2259"/>
      <c r="AQ2595" s="2259"/>
      <c r="AR2595" s="2259"/>
      <c r="AS2595" s="2259"/>
      <c r="AT2595" s="2259"/>
      <c r="AU2595" s="2259"/>
      <c r="AV2595" s="2259"/>
      <c r="AW2595" s="2259"/>
      <c r="AX2595" s="2259"/>
      <c r="AY2595" s="2259"/>
      <c r="AZ2595" s="2259"/>
      <c r="BA2595" s="2259"/>
      <c r="BB2595" s="2259"/>
      <c r="BC2595" s="2259"/>
      <c r="BD2595" s="2259"/>
      <c r="BE2595" s="2259"/>
      <c r="BF2595" s="2259"/>
      <c r="BG2595" s="2259"/>
      <c r="BH2595" s="2259"/>
      <c r="BI2595" s="2259"/>
      <c r="BJ2595" s="2259"/>
      <c r="BK2595" s="2259"/>
      <c r="BL2595" s="2259"/>
      <c r="BM2595" s="2259"/>
      <c r="BN2595" s="2259"/>
      <c r="BO2595" s="2259"/>
      <c r="BP2595" s="2259"/>
      <c r="BQ2595" s="2259"/>
      <c r="BR2595" s="2259"/>
      <c r="BS2595" s="2259"/>
    </row>
    <row r="2596" spans="1:71" s="2131" customFormat="1" ht="38.25">
      <c r="A2596" s="2267"/>
      <c r="B2596" s="2253"/>
      <c r="C2596" s="2164">
        <v>5</v>
      </c>
      <c r="D2596" s="2164" t="s">
        <v>34</v>
      </c>
      <c r="E2596" s="2164" t="s">
        <v>25</v>
      </c>
      <c r="F2596" s="2164" t="s">
        <v>45</v>
      </c>
      <c r="G2596" s="2164" t="s">
        <v>28</v>
      </c>
      <c r="H2596" s="2164" t="s">
        <v>50</v>
      </c>
      <c r="I2596" s="2171" t="s">
        <v>520</v>
      </c>
      <c r="J2596" s="2171" t="s">
        <v>3937</v>
      </c>
      <c r="K2596" s="2255">
        <v>72</v>
      </c>
      <c r="L2596" s="2203">
        <v>247106000</v>
      </c>
      <c r="M2596" s="2256">
        <v>25</v>
      </c>
      <c r="N2596" s="2257">
        <v>115116114</v>
      </c>
      <c r="O2596" s="2255">
        <v>12</v>
      </c>
      <c r="P2596" s="2258">
        <v>4850000</v>
      </c>
      <c r="Q2596" s="2256">
        <v>3</v>
      </c>
      <c r="R2596" s="2203"/>
      <c r="S2596" s="2256">
        <v>3</v>
      </c>
      <c r="T2596" s="2203"/>
      <c r="U2596" s="2255"/>
      <c r="V2596" s="2258"/>
      <c r="W2596" s="2255"/>
      <c r="X2596" s="2203"/>
      <c r="Y2596" s="2240">
        <f t="shared" si="685"/>
        <v>6</v>
      </c>
      <c r="Z2596" s="2203">
        <f t="shared" si="685"/>
        <v>0</v>
      </c>
      <c r="AA2596" s="2240">
        <f t="shared" si="686"/>
        <v>31</v>
      </c>
      <c r="AB2596" s="2203">
        <f t="shared" si="686"/>
        <v>115116114</v>
      </c>
      <c r="AC2596" s="2243">
        <f t="shared" si="687"/>
        <v>43.055555555555557</v>
      </c>
      <c r="AD2596" s="2243">
        <f t="shared" si="687"/>
        <v>46.585721916910153</v>
      </c>
      <c r="AE2596" s="2605"/>
      <c r="AF2596" s="2259"/>
      <c r="AG2596" s="2259"/>
      <c r="AH2596" s="2259"/>
      <c r="AI2596" s="2259"/>
      <c r="AJ2596" s="2259"/>
      <c r="AK2596" s="2259"/>
      <c r="AL2596" s="2259"/>
      <c r="AM2596" s="2259"/>
      <c r="AN2596" s="2259"/>
      <c r="AO2596" s="2259"/>
      <c r="AP2596" s="2259"/>
      <c r="AQ2596" s="2259"/>
      <c r="AR2596" s="2259"/>
      <c r="AS2596" s="2259"/>
      <c r="AT2596" s="2259"/>
      <c r="AU2596" s="2259"/>
      <c r="AV2596" s="2259"/>
      <c r="AW2596" s="2259"/>
      <c r="AX2596" s="2259"/>
      <c r="AY2596" s="2259"/>
      <c r="AZ2596" s="2259"/>
      <c r="BA2596" s="2259"/>
      <c r="BB2596" s="2259"/>
      <c r="BC2596" s="2259"/>
      <c r="BD2596" s="2259"/>
      <c r="BE2596" s="2259"/>
      <c r="BF2596" s="2259"/>
      <c r="BG2596" s="2259"/>
      <c r="BH2596" s="2259"/>
      <c r="BI2596" s="2259"/>
      <c r="BJ2596" s="2259"/>
      <c r="BK2596" s="2259"/>
      <c r="BL2596" s="2259"/>
      <c r="BM2596" s="2259"/>
      <c r="BN2596" s="2259"/>
      <c r="BO2596" s="2259"/>
      <c r="BP2596" s="2259"/>
      <c r="BQ2596" s="2259"/>
      <c r="BR2596" s="2259"/>
      <c r="BS2596" s="2259"/>
    </row>
    <row r="2597" spans="1:71" s="2131" customFormat="1" ht="51">
      <c r="A2597" s="2140" t="s">
        <v>3538</v>
      </c>
      <c r="B2597" s="2194"/>
      <c r="C2597" s="2142">
        <v>5</v>
      </c>
      <c r="D2597" s="2142" t="s">
        <v>34</v>
      </c>
      <c r="E2597" s="2142" t="s">
        <v>25</v>
      </c>
      <c r="F2597" s="2142" t="s">
        <v>45</v>
      </c>
      <c r="G2597" s="2142" t="s">
        <v>42</v>
      </c>
      <c r="H2597" s="2140"/>
      <c r="I2597" s="2143" t="s">
        <v>3872</v>
      </c>
      <c r="J2597" s="2143" t="s">
        <v>3873</v>
      </c>
      <c r="K2597" s="2144">
        <v>100</v>
      </c>
      <c r="L2597" s="2145">
        <f>L2598</f>
        <v>34225000</v>
      </c>
      <c r="M2597" s="2144">
        <v>75</v>
      </c>
      <c r="N2597" s="2145">
        <f>N2598</f>
        <v>16500000</v>
      </c>
      <c r="O2597" s="2144">
        <v>5</v>
      </c>
      <c r="P2597" s="2145">
        <f>P2598</f>
        <v>2750000</v>
      </c>
      <c r="Q2597" s="2144"/>
      <c r="R2597" s="2145">
        <f>R2598</f>
        <v>0</v>
      </c>
      <c r="S2597" s="2144"/>
      <c r="T2597" s="2145">
        <f>T2598</f>
        <v>0</v>
      </c>
      <c r="U2597" s="2195"/>
      <c r="V2597" s="2145">
        <f>V2598</f>
        <v>0</v>
      </c>
      <c r="W2597" s="2144"/>
      <c r="X2597" s="2145">
        <f>X2598</f>
        <v>0</v>
      </c>
      <c r="Y2597" s="2195">
        <f t="shared" si="685"/>
        <v>0</v>
      </c>
      <c r="Z2597" s="2145">
        <f t="shared" si="685"/>
        <v>0</v>
      </c>
      <c r="AA2597" s="2147">
        <f t="shared" si="686"/>
        <v>75</v>
      </c>
      <c r="AB2597" s="2145">
        <f t="shared" si="686"/>
        <v>16500000</v>
      </c>
      <c r="AC2597" s="2147">
        <f t="shared" si="687"/>
        <v>75</v>
      </c>
      <c r="AD2597" s="2147">
        <f t="shared" si="687"/>
        <v>48.210372534696859</v>
      </c>
      <c r="AE2597" s="2204" t="s">
        <v>3930</v>
      </c>
      <c r="AF2597" s="2266"/>
      <c r="AG2597" s="2266"/>
      <c r="AH2597" s="2266"/>
      <c r="AI2597" s="2266"/>
      <c r="AJ2597" s="2266"/>
      <c r="AK2597" s="2266"/>
      <c r="AL2597" s="2266"/>
      <c r="AM2597" s="2266"/>
      <c r="AN2597" s="2266"/>
      <c r="AO2597" s="2266"/>
      <c r="AP2597" s="2266"/>
      <c r="AQ2597" s="2266"/>
      <c r="AR2597" s="2266"/>
      <c r="AS2597" s="2266"/>
      <c r="AT2597" s="2266"/>
      <c r="AU2597" s="2266"/>
      <c r="AV2597" s="2266"/>
      <c r="AW2597" s="2266"/>
      <c r="AX2597" s="2266"/>
      <c r="AY2597" s="2266"/>
      <c r="AZ2597" s="2266"/>
      <c r="BA2597" s="2266"/>
      <c r="BB2597" s="2266"/>
      <c r="BC2597" s="2266"/>
      <c r="BD2597" s="2266"/>
      <c r="BE2597" s="2266"/>
      <c r="BF2597" s="2266"/>
      <c r="BG2597" s="2266"/>
      <c r="BH2597" s="2266"/>
      <c r="BI2597" s="2266"/>
      <c r="BJ2597" s="2266"/>
      <c r="BK2597" s="2266"/>
      <c r="BL2597" s="2266"/>
      <c r="BM2597" s="2266"/>
      <c r="BN2597" s="2266"/>
      <c r="BO2597" s="2266"/>
      <c r="BP2597" s="2266"/>
      <c r="BQ2597" s="2266"/>
      <c r="BR2597" s="2266"/>
      <c r="BS2597" s="2266"/>
    </row>
    <row r="2598" spans="1:71" s="2131" customFormat="1" ht="33" customHeight="1">
      <c r="A2598" s="2379"/>
      <c r="B2598" s="2162"/>
      <c r="C2598" s="2164">
        <v>5</v>
      </c>
      <c r="D2598" s="2164" t="s">
        <v>34</v>
      </c>
      <c r="E2598" s="2164" t="s">
        <v>25</v>
      </c>
      <c r="F2598" s="2164" t="s">
        <v>45</v>
      </c>
      <c r="G2598" s="2164" t="s">
        <v>42</v>
      </c>
      <c r="H2598" s="2164" t="s">
        <v>60</v>
      </c>
      <c r="I2598" s="2162" t="s">
        <v>3706</v>
      </c>
      <c r="J2598" s="2162" t="s">
        <v>3874</v>
      </c>
      <c r="K2598" s="2166">
        <v>60</v>
      </c>
      <c r="L2598" s="2167">
        <v>34225000</v>
      </c>
      <c r="M2598" s="2166">
        <v>24</v>
      </c>
      <c r="N2598" s="2167">
        <v>16500000</v>
      </c>
      <c r="O2598" s="2166">
        <v>4</v>
      </c>
      <c r="P2598" s="2167">
        <v>2750000</v>
      </c>
      <c r="Q2598" s="2166">
        <v>0</v>
      </c>
      <c r="R2598" s="2167"/>
      <c r="S2598" s="2166">
        <v>0</v>
      </c>
      <c r="T2598" s="2167"/>
      <c r="U2598" s="2166"/>
      <c r="V2598" s="2202"/>
      <c r="W2598" s="2166"/>
      <c r="X2598" s="2203"/>
      <c r="Y2598" s="2166">
        <f t="shared" si="685"/>
        <v>0</v>
      </c>
      <c r="Z2598" s="2203">
        <f t="shared" si="685"/>
        <v>0</v>
      </c>
      <c r="AA2598" s="2166">
        <f t="shared" si="686"/>
        <v>24</v>
      </c>
      <c r="AB2598" s="2203">
        <f t="shared" si="686"/>
        <v>16500000</v>
      </c>
      <c r="AC2598" s="2170">
        <f t="shared" si="687"/>
        <v>40</v>
      </c>
      <c r="AD2598" s="2170">
        <f t="shared" si="687"/>
        <v>48.210372534696859</v>
      </c>
      <c r="AE2598" s="2409"/>
      <c r="AF2598" s="2259"/>
      <c r="AG2598" s="2259"/>
      <c r="AH2598" s="2259"/>
      <c r="AI2598" s="2259"/>
      <c r="AJ2598" s="2259"/>
      <c r="AK2598" s="2259"/>
      <c r="AL2598" s="2259"/>
      <c r="AM2598" s="2259"/>
      <c r="AN2598" s="2259"/>
      <c r="AO2598" s="2259"/>
      <c r="AP2598" s="2259"/>
      <c r="AQ2598" s="2259"/>
      <c r="AR2598" s="2259"/>
      <c r="AS2598" s="2259"/>
      <c r="AT2598" s="2259"/>
      <c r="AU2598" s="2259"/>
      <c r="AV2598" s="2259"/>
      <c r="AW2598" s="2259"/>
      <c r="AX2598" s="2259"/>
      <c r="AY2598" s="2259"/>
      <c r="AZ2598" s="2259"/>
      <c r="BA2598" s="2259"/>
      <c r="BB2598" s="2259"/>
      <c r="BC2598" s="2259"/>
      <c r="BD2598" s="2259"/>
      <c r="BE2598" s="2259"/>
      <c r="BF2598" s="2259"/>
      <c r="BG2598" s="2259"/>
      <c r="BH2598" s="2259"/>
      <c r="BI2598" s="2259"/>
      <c r="BJ2598" s="2259"/>
      <c r="BK2598" s="2259"/>
      <c r="BL2598" s="2259"/>
      <c r="BM2598" s="2259"/>
      <c r="BN2598" s="2259"/>
      <c r="BO2598" s="2259"/>
      <c r="BP2598" s="2259"/>
      <c r="BQ2598" s="2259"/>
      <c r="BR2598" s="2259"/>
      <c r="BS2598" s="2259"/>
    </row>
    <row r="2599" spans="1:71" s="2131" customFormat="1" ht="51">
      <c r="A2599" s="2140" t="s">
        <v>3543</v>
      </c>
      <c r="B2599" s="2194"/>
      <c r="C2599" s="2142">
        <v>5</v>
      </c>
      <c r="D2599" s="2142" t="s">
        <v>34</v>
      </c>
      <c r="E2599" s="2142" t="s">
        <v>25</v>
      </c>
      <c r="F2599" s="2142" t="s">
        <v>45</v>
      </c>
      <c r="G2599" s="2142" t="s">
        <v>74</v>
      </c>
      <c r="H2599" s="2140"/>
      <c r="I2599" s="2143" t="s">
        <v>3648</v>
      </c>
      <c r="J2599" s="2143" t="s">
        <v>3649</v>
      </c>
      <c r="K2599" s="2144">
        <v>100</v>
      </c>
      <c r="L2599" s="2145">
        <f>L2600</f>
        <v>174225000</v>
      </c>
      <c r="M2599" s="2144">
        <v>50</v>
      </c>
      <c r="N2599" s="2145">
        <f>N2600</f>
        <v>64700000</v>
      </c>
      <c r="O2599" s="2144">
        <v>18</v>
      </c>
      <c r="P2599" s="2145">
        <f>P2600</f>
        <v>34825390</v>
      </c>
      <c r="Q2599" s="2144">
        <v>0</v>
      </c>
      <c r="R2599" s="2145">
        <f>R2600</f>
        <v>1710000</v>
      </c>
      <c r="S2599" s="2144">
        <v>0</v>
      </c>
      <c r="T2599" s="2145">
        <f>T2600</f>
        <v>0</v>
      </c>
      <c r="U2599" s="2195"/>
      <c r="V2599" s="2145">
        <f>V2600</f>
        <v>0</v>
      </c>
      <c r="W2599" s="2144"/>
      <c r="X2599" s="2145">
        <f>X2600</f>
        <v>0</v>
      </c>
      <c r="Y2599" s="2195">
        <f t="shared" si="685"/>
        <v>0</v>
      </c>
      <c r="Z2599" s="2145">
        <f t="shared" si="685"/>
        <v>1710000</v>
      </c>
      <c r="AA2599" s="2147">
        <f t="shared" si="686"/>
        <v>50</v>
      </c>
      <c r="AB2599" s="2145">
        <f t="shared" si="686"/>
        <v>66410000</v>
      </c>
      <c r="AC2599" s="2147">
        <f t="shared" si="687"/>
        <v>50</v>
      </c>
      <c r="AD2599" s="2147">
        <f t="shared" si="687"/>
        <v>38.117376955086812</v>
      </c>
      <c r="AE2599" s="2204" t="s">
        <v>3930</v>
      </c>
      <c r="AF2599" s="2266"/>
      <c r="AG2599" s="2266"/>
      <c r="AH2599" s="2266"/>
      <c r="AI2599" s="2266"/>
      <c r="AJ2599" s="2266"/>
      <c r="AK2599" s="2266"/>
      <c r="AL2599" s="2266"/>
      <c r="AM2599" s="2266"/>
      <c r="AN2599" s="2266"/>
      <c r="AO2599" s="2266"/>
      <c r="AP2599" s="2266"/>
      <c r="AQ2599" s="2266"/>
      <c r="AR2599" s="2266"/>
      <c r="AS2599" s="2266"/>
      <c r="AT2599" s="2266"/>
      <c r="AU2599" s="2266"/>
      <c r="AV2599" s="2266"/>
      <c r="AW2599" s="2266"/>
      <c r="AX2599" s="2266"/>
      <c r="AY2599" s="2266"/>
      <c r="AZ2599" s="2266"/>
      <c r="BA2599" s="2266"/>
      <c r="BB2599" s="2266"/>
      <c r="BC2599" s="2266"/>
      <c r="BD2599" s="2266"/>
      <c r="BE2599" s="2266"/>
      <c r="BF2599" s="2266"/>
      <c r="BG2599" s="2266"/>
      <c r="BH2599" s="2266"/>
      <c r="BI2599" s="2266"/>
      <c r="BJ2599" s="2266"/>
      <c r="BK2599" s="2266"/>
      <c r="BL2599" s="2266"/>
      <c r="BM2599" s="2266"/>
      <c r="BN2599" s="2266"/>
      <c r="BO2599" s="2266"/>
      <c r="BP2599" s="2266"/>
      <c r="BQ2599" s="2266"/>
      <c r="BR2599" s="2266"/>
      <c r="BS2599" s="2266"/>
    </row>
    <row r="2600" spans="1:71" s="2131" customFormat="1" ht="44.25" customHeight="1">
      <c r="A2600" s="2379"/>
      <c r="B2600" s="2162"/>
      <c r="C2600" s="2164">
        <v>5</v>
      </c>
      <c r="D2600" s="2164" t="s">
        <v>34</v>
      </c>
      <c r="E2600" s="2164" t="s">
        <v>25</v>
      </c>
      <c r="F2600" s="2164" t="s">
        <v>45</v>
      </c>
      <c r="G2600" s="2164" t="s">
        <v>74</v>
      </c>
      <c r="H2600" s="2164" t="s">
        <v>56</v>
      </c>
      <c r="I2600" s="2162" t="s">
        <v>2284</v>
      </c>
      <c r="J2600" s="2162" t="s">
        <v>3651</v>
      </c>
      <c r="K2600" s="2166">
        <v>6</v>
      </c>
      <c r="L2600" s="2167">
        <v>174225000</v>
      </c>
      <c r="M2600" s="2166">
        <v>3</v>
      </c>
      <c r="N2600" s="2167">
        <v>64700000</v>
      </c>
      <c r="O2600" s="2166">
        <v>1</v>
      </c>
      <c r="P2600" s="2167">
        <v>34825390</v>
      </c>
      <c r="Q2600" s="2166">
        <v>0</v>
      </c>
      <c r="R2600" s="2167">
        <v>1710000</v>
      </c>
      <c r="S2600" s="2166">
        <v>0</v>
      </c>
      <c r="T2600" s="2167">
        <v>0</v>
      </c>
      <c r="U2600" s="2166"/>
      <c r="V2600" s="2202"/>
      <c r="W2600" s="2166"/>
      <c r="X2600" s="2203"/>
      <c r="Y2600" s="2166">
        <f t="shared" si="685"/>
        <v>0</v>
      </c>
      <c r="Z2600" s="2203">
        <f t="shared" si="685"/>
        <v>1710000</v>
      </c>
      <c r="AA2600" s="2166">
        <f t="shared" si="686"/>
        <v>3</v>
      </c>
      <c r="AB2600" s="2203">
        <f t="shared" si="686"/>
        <v>66410000</v>
      </c>
      <c r="AC2600" s="2170">
        <f t="shared" si="687"/>
        <v>50</v>
      </c>
      <c r="AD2600" s="2170">
        <f t="shared" si="687"/>
        <v>38.117376955086812</v>
      </c>
      <c r="AE2600" s="2409"/>
      <c r="AF2600" s="2259"/>
      <c r="AG2600" s="2259"/>
      <c r="AH2600" s="2259"/>
      <c r="AI2600" s="2259"/>
      <c r="AJ2600" s="2259"/>
      <c r="AK2600" s="2259"/>
      <c r="AL2600" s="2259"/>
      <c r="AM2600" s="2259"/>
      <c r="AN2600" s="2259"/>
      <c r="AO2600" s="2259"/>
      <c r="AP2600" s="2259"/>
      <c r="AQ2600" s="2259"/>
      <c r="AR2600" s="2259"/>
      <c r="AS2600" s="2259"/>
      <c r="AT2600" s="2259"/>
      <c r="AU2600" s="2259"/>
      <c r="AV2600" s="2259"/>
      <c r="AW2600" s="2259"/>
      <c r="AX2600" s="2259"/>
      <c r="AY2600" s="2259"/>
      <c r="AZ2600" s="2259"/>
      <c r="BA2600" s="2259"/>
      <c r="BB2600" s="2259"/>
      <c r="BC2600" s="2259"/>
      <c r="BD2600" s="2259"/>
      <c r="BE2600" s="2259"/>
      <c r="BF2600" s="2259"/>
      <c r="BG2600" s="2259"/>
      <c r="BH2600" s="2259"/>
      <c r="BI2600" s="2259"/>
      <c r="BJ2600" s="2259"/>
      <c r="BK2600" s="2259"/>
      <c r="BL2600" s="2259"/>
      <c r="BM2600" s="2259"/>
      <c r="BN2600" s="2259"/>
      <c r="BO2600" s="2259"/>
      <c r="BP2600" s="2259"/>
      <c r="BQ2600" s="2259"/>
      <c r="BR2600" s="2259"/>
      <c r="BS2600" s="2259"/>
    </row>
    <row r="2601" spans="1:71" s="2131" customFormat="1" ht="41.25" customHeight="1">
      <c r="A2601" s="2196" t="s">
        <v>3547</v>
      </c>
      <c r="B2601" s="2194"/>
      <c r="C2601" s="2204">
        <v>5</v>
      </c>
      <c r="D2601" s="2205">
        <v>0</v>
      </c>
      <c r="E2601" s="2205">
        <v>1</v>
      </c>
      <c r="F2601" s="2205">
        <v>15</v>
      </c>
      <c r="G2601" s="2205">
        <v>21</v>
      </c>
      <c r="H2601" s="2205"/>
      <c r="I2601" s="2206" t="s">
        <v>3746</v>
      </c>
      <c r="J2601" s="2194" t="s">
        <v>3571</v>
      </c>
      <c r="K2601" s="2207">
        <v>80</v>
      </c>
      <c r="L2601" s="2208">
        <f>SUM(L2602:L2605)</f>
        <v>672760000</v>
      </c>
      <c r="M2601" s="2209">
        <v>37</v>
      </c>
      <c r="N2601" s="2208">
        <f>SUM(N2602:N2605)</f>
        <v>44405386</v>
      </c>
      <c r="O2601" s="2207">
        <v>10</v>
      </c>
      <c r="P2601" s="2208">
        <f>SUM(P2602:P2605)</f>
        <v>15920000</v>
      </c>
      <c r="Q2601" s="2210">
        <v>3</v>
      </c>
      <c r="R2601" s="2208">
        <f>SUM(R2602:R2605)</f>
        <v>5050000</v>
      </c>
      <c r="S2601" s="2210">
        <v>3</v>
      </c>
      <c r="T2601" s="2208">
        <f>SUM(T2602:T2605)</f>
        <v>1150000</v>
      </c>
      <c r="U2601" s="2210"/>
      <c r="V2601" s="2212">
        <f>SUM(V2602:V2605)</f>
        <v>0</v>
      </c>
      <c r="W2601" s="2210"/>
      <c r="X2601" s="2371">
        <f>SUM(X2602:X2605)</f>
        <v>0</v>
      </c>
      <c r="Y2601" s="2210">
        <f>Q2601+S2601+U2601+W2601</f>
        <v>6</v>
      </c>
      <c r="Z2601" s="2213">
        <f>R2601+T2601+V2601+X2601</f>
        <v>6200000</v>
      </c>
      <c r="AA2601" s="2210">
        <f>M2601+Y2601</f>
        <v>43</v>
      </c>
      <c r="AB2601" s="2213">
        <f>N2601+Z2601</f>
        <v>50605386</v>
      </c>
      <c r="AC2601" s="2214">
        <f>(AA2601/K2601)*100</f>
        <v>53.75</v>
      </c>
      <c r="AD2601" s="2214">
        <f>(AB2601/L2601)*100</f>
        <v>7.5220563053689276</v>
      </c>
      <c r="AE2601" s="2204" t="s">
        <v>3930</v>
      </c>
      <c r="AF2601" s="2353"/>
      <c r="AG2601" s="2353"/>
      <c r="AH2601" s="2353"/>
      <c r="AI2601" s="2353"/>
      <c r="AJ2601" s="2353"/>
      <c r="AK2601" s="2353"/>
      <c r="AL2601" s="2353"/>
      <c r="AM2601" s="2353"/>
      <c r="AN2601" s="2353"/>
      <c r="AO2601" s="2353"/>
      <c r="AP2601" s="2353"/>
      <c r="AQ2601" s="2353"/>
      <c r="AR2601" s="2353"/>
      <c r="AS2601" s="2353"/>
      <c r="AT2601" s="2353"/>
      <c r="AU2601" s="2353"/>
      <c r="AV2601" s="2353"/>
      <c r="AW2601" s="2353"/>
      <c r="AX2601" s="2353"/>
      <c r="AY2601" s="2353"/>
      <c r="AZ2601" s="2353"/>
      <c r="BA2601" s="2353"/>
      <c r="BB2601" s="2353"/>
      <c r="BC2601" s="2353"/>
      <c r="BD2601" s="2353"/>
      <c r="BE2601" s="2353"/>
      <c r="BF2601" s="2353"/>
      <c r="BG2601" s="2353"/>
      <c r="BH2601" s="2353"/>
      <c r="BI2601" s="2353"/>
      <c r="BJ2601" s="2353"/>
      <c r="BK2601" s="2353"/>
      <c r="BL2601" s="2353"/>
      <c r="BM2601" s="2353"/>
      <c r="BN2601" s="2353"/>
      <c r="BO2601" s="2353"/>
      <c r="BP2601" s="2353"/>
      <c r="BQ2601" s="2353"/>
      <c r="BR2601" s="2353"/>
      <c r="BS2601" s="2353"/>
    </row>
    <row r="2602" spans="1:71" s="2131" customFormat="1" ht="25.5">
      <c r="A2602" s="2215"/>
      <c r="B2602" s="2198"/>
      <c r="C2602" s="2216">
        <v>5</v>
      </c>
      <c r="D2602" s="2217">
        <v>0</v>
      </c>
      <c r="E2602" s="2217">
        <v>1</v>
      </c>
      <c r="F2602" s="2217">
        <v>15</v>
      </c>
      <c r="G2602" s="2217">
        <v>21</v>
      </c>
      <c r="H2602" s="2217" t="s">
        <v>25</v>
      </c>
      <c r="I2602" s="2218" t="s">
        <v>3888</v>
      </c>
      <c r="J2602" s="2218" t="s">
        <v>3938</v>
      </c>
      <c r="K2602" s="2199">
        <v>3</v>
      </c>
      <c r="L2602" s="2200">
        <v>625000000</v>
      </c>
      <c r="M2602" s="2201">
        <v>1</v>
      </c>
      <c r="N2602" s="2200">
        <v>44405386</v>
      </c>
      <c r="O2602" s="2199">
        <v>1</v>
      </c>
      <c r="P2602" s="2200">
        <v>0</v>
      </c>
      <c r="Q2602" s="2219">
        <v>0</v>
      </c>
      <c r="R2602" s="2200"/>
      <c r="S2602" s="2219">
        <v>0</v>
      </c>
      <c r="T2602" s="2200"/>
      <c r="U2602" s="2221"/>
      <c r="V2602" s="2220"/>
      <c r="W2602" s="2219"/>
      <c r="X2602" s="2203"/>
      <c r="Y2602" s="2219">
        <f t="shared" ref="Y2602:Z2604" si="688">Q2602+S2602+U2602+W2602</f>
        <v>0</v>
      </c>
      <c r="Z2602" s="2223">
        <f t="shared" si="688"/>
        <v>0</v>
      </c>
      <c r="AA2602" s="2219">
        <f t="shared" ref="AA2602:AB2604" si="689">M2602+Y2602</f>
        <v>1</v>
      </c>
      <c r="AB2602" s="2224">
        <f t="shared" si="689"/>
        <v>44405386</v>
      </c>
      <c r="AC2602" s="2225">
        <f t="shared" ref="AC2602:AD2604" si="690">(AA2602/K2602)*100</f>
        <v>33.333333333333329</v>
      </c>
      <c r="AD2602" s="2225">
        <f t="shared" si="690"/>
        <v>7.1048617600000004</v>
      </c>
      <c r="AE2602" s="2215"/>
    </row>
    <row r="2603" spans="1:71" s="2131" customFormat="1" ht="33.75" customHeight="1">
      <c r="A2603" s="2215"/>
      <c r="B2603" s="2198"/>
      <c r="C2603" s="2216">
        <v>5</v>
      </c>
      <c r="D2603" s="2217">
        <v>0</v>
      </c>
      <c r="E2603" s="2217">
        <v>1</v>
      </c>
      <c r="F2603" s="2217">
        <v>15</v>
      </c>
      <c r="G2603" s="2217">
        <v>21</v>
      </c>
      <c r="H2603" s="2217">
        <v>12</v>
      </c>
      <c r="I2603" s="2218" t="s">
        <v>1954</v>
      </c>
      <c r="J2603" s="2218" t="s">
        <v>3939</v>
      </c>
      <c r="K2603" s="2199">
        <v>36</v>
      </c>
      <c r="L2603" s="2200">
        <f>3*P2603</f>
        <v>12360000</v>
      </c>
      <c r="M2603" s="2201">
        <v>0</v>
      </c>
      <c r="N2603" s="2200">
        <v>0</v>
      </c>
      <c r="O2603" s="2199">
        <v>1</v>
      </c>
      <c r="P2603" s="2200">
        <v>4120000</v>
      </c>
      <c r="Q2603" s="2219">
        <v>0</v>
      </c>
      <c r="R2603" s="2200">
        <v>1000000</v>
      </c>
      <c r="S2603" s="2219">
        <v>1</v>
      </c>
      <c r="T2603" s="2200">
        <v>1000000</v>
      </c>
      <c r="U2603" s="2221"/>
      <c r="V2603" s="2220"/>
      <c r="W2603" s="2219"/>
      <c r="X2603" s="2203"/>
      <c r="Y2603" s="2219">
        <f t="shared" si="688"/>
        <v>1</v>
      </c>
      <c r="Z2603" s="2223">
        <f t="shared" si="688"/>
        <v>2000000</v>
      </c>
      <c r="AA2603" s="2219">
        <f t="shared" si="689"/>
        <v>1</v>
      </c>
      <c r="AB2603" s="2224">
        <f t="shared" si="689"/>
        <v>2000000</v>
      </c>
      <c r="AC2603" s="2225">
        <f t="shared" si="690"/>
        <v>2.7777777777777777</v>
      </c>
      <c r="AD2603" s="2225">
        <f t="shared" si="690"/>
        <v>16.181229773462782</v>
      </c>
      <c r="AE2603" s="2215"/>
    </row>
    <row r="2604" spans="1:71" s="2131" customFormat="1" ht="38.25">
      <c r="A2604" s="2215"/>
      <c r="B2604" s="2198"/>
      <c r="C2604" s="2216">
        <v>5</v>
      </c>
      <c r="D2604" s="2217">
        <v>0</v>
      </c>
      <c r="E2604" s="2217">
        <v>1</v>
      </c>
      <c r="F2604" s="2217">
        <v>15</v>
      </c>
      <c r="G2604" s="2217">
        <v>21</v>
      </c>
      <c r="H2604" s="2217">
        <v>13</v>
      </c>
      <c r="I2604" s="2218" t="s">
        <v>3940</v>
      </c>
      <c r="J2604" s="2218" t="s">
        <v>3941</v>
      </c>
      <c r="K2604" s="2199">
        <v>36</v>
      </c>
      <c r="L2604" s="2200">
        <f t="shared" ref="L2604:L2605" si="691">3*P2604</f>
        <v>24600000</v>
      </c>
      <c r="M2604" s="2201">
        <v>0</v>
      </c>
      <c r="N2604" s="2200">
        <v>0</v>
      </c>
      <c r="O2604" s="2199">
        <v>1</v>
      </c>
      <c r="P2604" s="2200">
        <v>8200000</v>
      </c>
      <c r="Q2604" s="2219">
        <v>0</v>
      </c>
      <c r="R2604" s="2200">
        <v>3900000</v>
      </c>
      <c r="S2604" s="2219">
        <v>0</v>
      </c>
      <c r="T2604" s="2200">
        <v>0</v>
      </c>
      <c r="U2604" s="2221"/>
      <c r="V2604" s="2220"/>
      <c r="W2604" s="2219"/>
      <c r="X2604" s="2203"/>
      <c r="Y2604" s="2219">
        <f t="shared" si="688"/>
        <v>0</v>
      </c>
      <c r="Z2604" s="2223">
        <f t="shared" si="688"/>
        <v>3900000</v>
      </c>
      <c r="AA2604" s="2219">
        <f t="shared" si="689"/>
        <v>0</v>
      </c>
      <c r="AB2604" s="2224">
        <f t="shared" si="689"/>
        <v>3900000</v>
      </c>
      <c r="AC2604" s="2225">
        <f t="shared" si="690"/>
        <v>0</v>
      </c>
      <c r="AD2604" s="2225">
        <f t="shared" si="690"/>
        <v>15.853658536585366</v>
      </c>
      <c r="AE2604" s="2215"/>
    </row>
    <row r="2605" spans="1:71" s="2131" customFormat="1" ht="38.25">
      <c r="A2605" s="2215"/>
      <c r="B2605" s="2198"/>
      <c r="C2605" s="2216">
        <v>5</v>
      </c>
      <c r="D2605" s="2217">
        <v>0</v>
      </c>
      <c r="E2605" s="2217">
        <v>1</v>
      </c>
      <c r="F2605" s="2217">
        <v>15</v>
      </c>
      <c r="G2605" s="2217">
        <v>21</v>
      </c>
      <c r="H2605" s="2217">
        <v>15</v>
      </c>
      <c r="I2605" s="2218" t="s">
        <v>3942</v>
      </c>
      <c r="J2605" s="2218" t="s">
        <v>3943</v>
      </c>
      <c r="K2605" s="2199">
        <v>36</v>
      </c>
      <c r="L2605" s="2200">
        <f t="shared" si="691"/>
        <v>10800000</v>
      </c>
      <c r="M2605" s="2201">
        <v>0</v>
      </c>
      <c r="N2605" s="2200">
        <v>0</v>
      </c>
      <c r="O2605" s="2199">
        <v>1</v>
      </c>
      <c r="P2605" s="2200">
        <v>3600000</v>
      </c>
      <c r="Q2605" s="2219">
        <v>0</v>
      </c>
      <c r="R2605" s="2200">
        <v>150000</v>
      </c>
      <c r="S2605" s="2219">
        <v>0</v>
      </c>
      <c r="T2605" s="2200">
        <v>150000</v>
      </c>
      <c r="U2605" s="2221"/>
      <c r="V2605" s="2220"/>
      <c r="W2605" s="2219"/>
      <c r="X2605" s="2203"/>
      <c r="Y2605" s="2219">
        <f>Q2605+S2605+U2605+W2605</f>
        <v>0</v>
      </c>
      <c r="Z2605" s="2223">
        <f>R2605+T2605+V2605+X2605</f>
        <v>300000</v>
      </c>
      <c r="AA2605" s="2219">
        <f>M2605+Y2605</f>
        <v>0</v>
      </c>
      <c r="AB2605" s="2224">
        <f>N2605+Z2605</f>
        <v>300000</v>
      </c>
      <c r="AC2605" s="2225">
        <f>(AA2605/K2605)*100</f>
        <v>0</v>
      </c>
      <c r="AD2605" s="2225">
        <f>(AB2605/L2605)*100</f>
        <v>2.7777777777777777</v>
      </c>
      <c r="AE2605" s="2215"/>
    </row>
    <row r="2606" spans="1:71" s="2131" customFormat="1" ht="62.25" customHeight="1">
      <c r="A2606" s="2140" t="s">
        <v>3555</v>
      </c>
      <c r="B2606" s="2194"/>
      <c r="C2606" s="2142">
        <v>5</v>
      </c>
      <c r="D2606" s="2142" t="s">
        <v>34</v>
      </c>
      <c r="E2606" s="2142" t="s">
        <v>25</v>
      </c>
      <c r="F2606" s="2142" t="s">
        <v>45</v>
      </c>
      <c r="G2606" s="2142" t="s">
        <v>84</v>
      </c>
      <c r="H2606" s="2140"/>
      <c r="I2606" s="2143" t="s">
        <v>3548</v>
      </c>
      <c r="J2606" s="2143" t="s">
        <v>3549</v>
      </c>
      <c r="K2606" s="2144">
        <v>100</v>
      </c>
      <c r="L2606" s="2145">
        <f>SUM(L2607:L2609)</f>
        <v>109290000</v>
      </c>
      <c r="M2606" s="2144">
        <v>75</v>
      </c>
      <c r="N2606" s="2145">
        <f>SUM(N2607:N2609)</f>
        <v>0</v>
      </c>
      <c r="O2606" s="2144">
        <v>15</v>
      </c>
      <c r="P2606" s="2145">
        <f>SUM(P2607:P2609)</f>
        <v>36430000</v>
      </c>
      <c r="Q2606" s="2144">
        <v>0</v>
      </c>
      <c r="R2606" s="2145">
        <f>SUM(R2607:R2609)</f>
        <v>4124850</v>
      </c>
      <c r="S2606" s="2144">
        <v>0</v>
      </c>
      <c r="T2606" s="2145">
        <f>SUM(T2607:T2609)</f>
        <v>4124850</v>
      </c>
      <c r="U2606" s="2195"/>
      <c r="V2606" s="2145">
        <f>SUM(V2607:V2609)</f>
        <v>0</v>
      </c>
      <c r="W2606" s="2144"/>
      <c r="X2606" s="2145">
        <f>SUM(X2607:X2609)</f>
        <v>0</v>
      </c>
      <c r="Y2606" s="2147">
        <f t="shared" ref="Y2606:Z2621" si="692">Q2606+S2606+U2606+W2606</f>
        <v>0</v>
      </c>
      <c r="Z2606" s="2145">
        <f t="shared" si="692"/>
        <v>8249700</v>
      </c>
      <c r="AA2606" s="2147">
        <f t="shared" ref="AA2606:AB2621" si="693">M2606+Y2606</f>
        <v>75</v>
      </c>
      <c r="AB2606" s="2145">
        <f t="shared" si="693"/>
        <v>8249700</v>
      </c>
      <c r="AC2606" s="2147">
        <f t="shared" ref="AC2606:AD2621" si="694">(AA2606/K2606)*100</f>
        <v>75</v>
      </c>
      <c r="AD2606" s="2147">
        <f t="shared" si="694"/>
        <v>7.5484490804282185</v>
      </c>
      <c r="AE2606" s="2196" t="s">
        <v>3550</v>
      </c>
    </row>
    <row r="2607" spans="1:71" s="2131" customFormat="1" ht="38.25">
      <c r="A2607" s="2379"/>
      <c r="B2607" s="2162"/>
      <c r="C2607" s="2164">
        <v>5</v>
      </c>
      <c r="D2607" s="2164" t="s">
        <v>34</v>
      </c>
      <c r="E2607" s="2164" t="s">
        <v>25</v>
      </c>
      <c r="F2607" s="2164" t="s">
        <v>45</v>
      </c>
      <c r="G2607" s="2164">
        <v>24</v>
      </c>
      <c r="H2607" s="2164">
        <v>15</v>
      </c>
      <c r="I2607" s="2197" t="s">
        <v>3551</v>
      </c>
      <c r="J2607" s="2198" t="s">
        <v>3875</v>
      </c>
      <c r="K2607" s="2199">
        <v>36</v>
      </c>
      <c r="L2607" s="2200">
        <f>3*P2607</f>
        <v>93690000</v>
      </c>
      <c r="M2607" s="2201">
        <v>0</v>
      </c>
      <c r="N2607" s="2200">
        <v>0</v>
      </c>
      <c r="O2607" s="2166">
        <v>12</v>
      </c>
      <c r="P2607" s="2167">
        <v>31230000</v>
      </c>
      <c r="Q2607" s="2166">
        <v>3</v>
      </c>
      <c r="R2607" s="2167">
        <v>2567000</v>
      </c>
      <c r="S2607" s="2166">
        <v>3</v>
      </c>
      <c r="T2607" s="2167">
        <v>2567000</v>
      </c>
      <c r="U2607" s="2166"/>
      <c r="V2607" s="2202"/>
      <c r="W2607" s="2166"/>
      <c r="X2607" s="2167"/>
      <c r="Y2607" s="2166">
        <f t="shared" si="692"/>
        <v>6</v>
      </c>
      <c r="Z2607" s="2203">
        <f t="shared" si="692"/>
        <v>5134000</v>
      </c>
      <c r="AA2607" s="2166">
        <f t="shared" si="693"/>
        <v>6</v>
      </c>
      <c r="AB2607" s="2203">
        <f t="shared" si="693"/>
        <v>5134000</v>
      </c>
      <c r="AC2607" s="2170">
        <f t="shared" si="694"/>
        <v>16.666666666666664</v>
      </c>
      <c r="AD2607" s="2170">
        <f t="shared" si="694"/>
        <v>5.47977372184865</v>
      </c>
      <c r="AE2607" s="2379"/>
    </row>
    <row r="2608" spans="1:71" s="2131" customFormat="1" ht="38.25">
      <c r="A2608" s="2379"/>
      <c r="B2608" s="2162"/>
      <c r="C2608" s="2164">
        <v>5</v>
      </c>
      <c r="D2608" s="2164" t="s">
        <v>34</v>
      </c>
      <c r="E2608" s="2164" t="s">
        <v>25</v>
      </c>
      <c r="F2608" s="2164" t="s">
        <v>45</v>
      </c>
      <c r="G2608" s="2164">
        <v>24</v>
      </c>
      <c r="H2608" s="2164">
        <v>16</v>
      </c>
      <c r="I2608" s="2198" t="s">
        <v>3553</v>
      </c>
      <c r="J2608" s="2198" t="s">
        <v>3554</v>
      </c>
      <c r="K2608" s="2199">
        <v>36</v>
      </c>
      <c r="L2608" s="2200">
        <f>3*P2608</f>
        <v>15600000</v>
      </c>
      <c r="M2608" s="2201">
        <v>0</v>
      </c>
      <c r="N2608" s="2200">
        <v>0</v>
      </c>
      <c r="O2608" s="2166">
        <v>12</v>
      </c>
      <c r="P2608" s="2167">
        <v>5200000</v>
      </c>
      <c r="Q2608" s="2166">
        <v>0</v>
      </c>
      <c r="R2608" s="2167">
        <v>1557850</v>
      </c>
      <c r="S2608" s="2166">
        <v>0</v>
      </c>
      <c r="T2608" s="2167">
        <v>1557850</v>
      </c>
      <c r="U2608" s="2166"/>
      <c r="V2608" s="2202"/>
      <c r="W2608" s="2166"/>
      <c r="X2608" s="2167"/>
      <c r="Y2608" s="2166">
        <f t="shared" si="692"/>
        <v>0</v>
      </c>
      <c r="Z2608" s="2203">
        <f t="shared" si="692"/>
        <v>3115700</v>
      </c>
      <c r="AA2608" s="2166">
        <f t="shared" si="693"/>
        <v>0</v>
      </c>
      <c r="AB2608" s="2203">
        <f t="shared" si="693"/>
        <v>3115700</v>
      </c>
      <c r="AC2608" s="2170">
        <f t="shared" si="694"/>
        <v>0</v>
      </c>
      <c r="AD2608" s="2170">
        <f t="shared" si="694"/>
        <v>19.972435897435897</v>
      </c>
      <c r="AE2608" s="2379"/>
    </row>
    <row r="2609" spans="1:71" s="2131" customFormat="1" ht="25.5">
      <c r="A2609" s="2379"/>
      <c r="B2609" s="2162"/>
      <c r="C2609" s="2164">
        <v>5</v>
      </c>
      <c r="D2609" s="2164" t="s">
        <v>34</v>
      </c>
      <c r="E2609" s="2164" t="s">
        <v>25</v>
      </c>
      <c r="F2609" s="2164" t="s">
        <v>45</v>
      </c>
      <c r="G2609" s="2164">
        <v>24</v>
      </c>
      <c r="H2609" s="2164">
        <v>17</v>
      </c>
      <c r="I2609" s="2162" t="s">
        <v>3855</v>
      </c>
      <c r="J2609" s="2162" t="s">
        <v>3595</v>
      </c>
      <c r="K2609" s="2166">
        <v>36</v>
      </c>
      <c r="L2609" s="2200">
        <f>3*P2609</f>
        <v>0</v>
      </c>
      <c r="M2609" s="2166">
        <v>0</v>
      </c>
      <c r="N2609" s="2167">
        <v>0</v>
      </c>
      <c r="O2609" s="2166">
        <v>0</v>
      </c>
      <c r="P2609" s="2167">
        <v>0</v>
      </c>
      <c r="Q2609" s="2166">
        <v>0</v>
      </c>
      <c r="R2609" s="2167">
        <v>0</v>
      </c>
      <c r="S2609" s="2166">
        <v>0</v>
      </c>
      <c r="T2609" s="2167">
        <v>0</v>
      </c>
      <c r="U2609" s="2166"/>
      <c r="V2609" s="2202"/>
      <c r="W2609" s="2166"/>
      <c r="X2609" s="2167"/>
      <c r="Y2609" s="2166">
        <f t="shared" si="692"/>
        <v>0</v>
      </c>
      <c r="Z2609" s="2203">
        <f t="shared" si="692"/>
        <v>0</v>
      </c>
      <c r="AA2609" s="2166">
        <f t="shared" si="693"/>
        <v>0</v>
      </c>
      <c r="AB2609" s="2203">
        <f t="shared" si="693"/>
        <v>0</v>
      </c>
      <c r="AC2609" s="2170">
        <f t="shared" si="694"/>
        <v>0</v>
      </c>
      <c r="AD2609" s="2170" t="e">
        <f t="shared" si="694"/>
        <v>#DIV/0!</v>
      </c>
      <c r="AE2609" s="2379"/>
    </row>
    <row r="2610" spans="1:71" s="2131" customFormat="1" ht="38.25">
      <c r="A2610" s="2196" t="s">
        <v>3559</v>
      </c>
      <c r="B2610" s="2194"/>
      <c r="C2610" s="2204">
        <v>5</v>
      </c>
      <c r="D2610" s="2205">
        <v>0</v>
      </c>
      <c r="E2610" s="2205">
        <v>1</v>
      </c>
      <c r="F2610" s="2205">
        <v>15</v>
      </c>
      <c r="G2610" s="2205">
        <v>18</v>
      </c>
      <c r="H2610" s="2205"/>
      <c r="I2610" s="2206" t="s">
        <v>3556</v>
      </c>
      <c r="J2610" s="2194" t="s">
        <v>2155</v>
      </c>
      <c r="K2610" s="2207">
        <v>150</v>
      </c>
      <c r="L2610" s="2208">
        <f>SUM(L2611)</f>
        <v>7335000</v>
      </c>
      <c r="M2610" s="2209">
        <v>115</v>
      </c>
      <c r="N2610" s="2208">
        <f>SUM(N2611)</f>
        <v>0</v>
      </c>
      <c r="O2610" s="2207">
        <v>30</v>
      </c>
      <c r="P2610" s="2208">
        <f>SUM(P2611)</f>
        <v>2445000</v>
      </c>
      <c r="Q2610" s="2210">
        <v>0</v>
      </c>
      <c r="R2610" s="2208">
        <f>SUM(R2611)</f>
        <v>1777850</v>
      </c>
      <c r="S2610" s="2210">
        <v>0</v>
      </c>
      <c r="T2610" s="2208">
        <f>SUM(T2611)</f>
        <v>777850</v>
      </c>
      <c r="U2610" s="2210"/>
      <c r="V2610" s="2212">
        <f>SUM(V2611)</f>
        <v>0</v>
      </c>
      <c r="W2610" s="2210"/>
      <c r="X2610" s="2212">
        <f>SUM(X2611)</f>
        <v>0</v>
      </c>
      <c r="Y2610" s="2210">
        <f t="shared" si="692"/>
        <v>0</v>
      </c>
      <c r="Z2610" s="2213">
        <f t="shared" si="692"/>
        <v>2555700</v>
      </c>
      <c r="AA2610" s="2210">
        <f t="shared" si="693"/>
        <v>115</v>
      </c>
      <c r="AB2610" s="2213">
        <f t="shared" si="693"/>
        <v>2555700</v>
      </c>
      <c r="AC2610" s="2214">
        <f t="shared" si="694"/>
        <v>76.666666666666671</v>
      </c>
      <c r="AD2610" s="2214">
        <f t="shared" si="694"/>
        <v>34.842535787321069</v>
      </c>
      <c r="AE2610" s="2196" t="s">
        <v>3550</v>
      </c>
    </row>
    <row r="2611" spans="1:71" s="2131" customFormat="1" ht="38.25">
      <c r="A2611" s="2215">
        <v>1</v>
      </c>
      <c r="B2611" s="2198"/>
      <c r="C2611" s="2216">
        <v>5</v>
      </c>
      <c r="D2611" s="2217">
        <v>0</v>
      </c>
      <c r="E2611" s="2217">
        <v>1</v>
      </c>
      <c r="F2611" s="2217">
        <v>15</v>
      </c>
      <c r="G2611" s="2217">
        <v>18</v>
      </c>
      <c r="H2611" s="2217">
        <v>25</v>
      </c>
      <c r="I2611" s="2218" t="s">
        <v>3557</v>
      </c>
      <c r="J2611" s="2198" t="s">
        <v>3558</v>
      </c>
      <c r="K2611" s="2199">
        <v>36</v>
      </c>
      <c r="L2611" s="2200">
        <f>3*P2611</f>
        <v>7335000</v>
      </c>
      <c r="M2611" s="2201">
        <v>0</v>
      </c>
      <c r="N2611" s="2200"/>
      <c r="O2611" s="2199">
        <v>12</v>
      </c>
      <c r="P2611" s="2200">
        <v>2445000</v>
      </c>
      <c r="Q2611" s="2219">
        <v>3</v>
      </c>
      <c r="R2611" s="2200">
        <v>1777850</v>
      </c>
      <c r="S2611" s="2219">
        <v>3</v>
      </c>
      <c r="T2611" s="2200">
        <v>777850</v>
      </c>
      <c r="U2611" s="2221"/>
      <c r="V2611" s="2220"/>
      <c r="W2611" s="2219"/>
      <c r="X2611" s="2222"/>
      <c r="Y2611" s="2219">
        <f t="shared" si="692"/>
        <v>6</v>
      </c>
      <c r="Z2611" s="2223">
        <f t="shared" si="692"/>
        <v>2555700</v>
      </c>
      <c r="AA2611" s="2219">
        <f t="shared" si="693"/>
        <v>6</v>
      </c>
      <c r="AB2611" s="2224">
        <f t="shared" si="693"/>
        <v>2555700</v>
      </c>
      <c r="AC2611" s="2225">
        <f t="shared" si="694"/>
        <v>16.666666666666664</v>
      </c>
      <c r="AD2611" s="2225">
        <f t="shared" si="694"/>
        <v>34.842535787321069</v>
      </c>
      <c r="AE2611" s="2215"/>
    </row>
    <row r="2612" spans="1:71" s="2131" customFormat="1" ht="63.75">
      <c r="A2612" s="2140" t="s">
        <v>3565</v>
      </c>
      <c r="B2612" s="2194"/>
      <c r="C2612" s="2142">
        <v>5</v>
      </c>
      <c r="D2612" s="2142" t="s">
        <v>34</v>
      </c>
      <c r="E2612" s="2142" t="s">
        <v>25</v>
      </c>
      <c r="F2612" s="2142" t="s">
        <v>45</v>
      </c>
      <c r="G2612" s="2142" t="s">
        <v>45</v>
      </c>
      <c r="H2612" s="2142"/>
      <c r="I2612" s="2143" t="s">
        <v>3653</v>
      </c>
      <c r="J2612" s="2143" t="s">
        <v>3654</v>
      </c>
      <c r="K2612" s="2144">
        <v>100</v>
      </c>
      <c r="L2612" s="2145">
        <f>L2613</f>
        <v>75310000</v>
      </c>
      <c r="M2612" s="2144">
        <v>50</v>
      </c>
      <c r="N2612" s="2145">
        <f>N2613</f>
        <v>32162458</v>
      </c>
      <c r="O2612" s="2144">
        <v>18</v>
      </c>
      <c r="P2612" s="2145">
        <f>P2613</f>
        <v>11779000</v>
      </c>
      <c r="Q2612" s="2144">
        <v>0</v>
      </c>
      <c r="R2612" s="2145">
        <f>R2613</f>
        <v>0</v>
      </c>
      <c r="S2612" s="2144">
        <v>0</v>
      </c>
      <c r="T2612" s="2145">
        <f>T2613</f>
        <v>0</v>
      </c>
      <c r="U2612" s="2144"/>
      <c r="V2612" s="2146">
        <f>V2613</f>
        <v>0</v>
      </c>
      <c r="W2612" s="2144"/>
      <c r="X2612" s="2146">
        <f>X2613</f>
        <v>0</v>
      </c>
      <c r="Y2612" s="2144">
        <f t="shared" si="692"/>
        <v>0</v>
      </c>
      <c r="Z2612" s="2145">
        <f t="shared" si="692"/>
        <v>0</v>
      </c>
      <c r="AA2612" s="2144">
        <f t="shared" si="693"/>
        <v>50</v>
      </c>
      <c r="AB2612" s="2145">
        <f t="shared" si="693"/>
        <v>32162458</v>
      </c>
      <c r="AC2612" s="2147">
        <f t="shared" si="694"/>
        <v>50</v>
      </c>
      <c r="AD2612" s="2147">
        <f t="shared" si="694"/>
        <v>42.70675607489045</v>
      </c>
      <c r="AE2612" s="2204" t="s">
        <v>3930</v>
      </c>
      <c r="AF2612" s="2266"/>
      <c r="AG2612" s="2266"/>
      <c r="AH2612" s="2266"/>
      <c r="AI2612" s="2266"/>
      <c r="AJ2612" s="2266"/>
      <c r="AK2612" s="2266"/>
      <c r="AL2612" s="2266"/>
      <c r="AM2612" s="2266"/>
      <c r="AN2612" s="2266"/>
      <c r="AO2612" s="2266"/>
      <c r="AP2612" s="2266"/>
      <c r="AQ2612" s="2266"/>
      <c r="AR2612" s="2266"/>
      <c r="AS2612" s="2266"/>
      <c r="AT2612" s="2266"/>
      <c r="AU2612" s="2266"/>
      <c r="AV2612" s="2266"/>
      <c r="AW2612" s="2266"/>
      <c r="AX2612" s="2266"/>
      <c r="AY2612" s="2266"/>
      <c r="AZ2612" s="2266"/>
      <c r="BA2612" s="2266"/>
      <c r="BB2612" s="2266"/>
      <c r="BC2612" s="2266"/>
      <c r="BD2612" s="2266"/>
      <c r="BE2612" s="2266"/>
      <c r="BF2612" s="2266"/>
      <c r="BG2612" s="2266"/>
      <c r="BH2612" s="2266"/>
      <c r="BI2612" s="2266"/>
      <c r="BJ2612" s="2266"/>
      <c r="BK2612" s="2266"/>
      <c r="BL2612" s="2266"/>
      <c r="BM2612" s="2266"/>
      <c r="BN2612" s="2266"/>
      <c r="BO2612" s="2266"/>
      <c r="BP2612" s="2266"/>
      <c r="BQ2612" s="2266"/>
      <c r="BR2612" s="2266"/>
      <c r="BS2612" s="2266"/>
    </row>
    <row r="2613" spans="1:71" s="2131" customFormat="1" ht="55.5" customHeight="1">
      <c r="A2613" s="2379"/>
      <c r="B2613" s="2162"/>
      <c r="C2613" s="2164">
        <v>5</v>
      </c>
      <c r="D2613" s="2164" t="s">
        <v>34</v>
      </c>
      <c r="E2613" s="2164" t="s">
        <v>25</v>
      </c>
      <c r="F2613" s="2164" t="s">
        <v>45</v>
      </c>
      <c r="G2613" s="2164" t="s">
        <v>45</v>
      </c>
      <c r="H2613" s="2164" t="s">
        <v>31</v>
      </c>
      <c r="I2613" s="2162" t="s">
        <v>3655</v>
      </c>
      <c r="J2613" s="2162" t="s">
        <v>3656</v>
      </c>
      <c r="K2613" s="2166">
        <v>6</v>
      </c>
      <c r="L2613" s="2167">
        <v>75310000</v>
      </c>
      <c r="M2613" s="2166">
        <v>4</v>
      </c>
      <c r="N2613" s="2167">
        <v>32162458</v>
      </c>
      <c r="O2613" s="2166">
        <v>1</v>
      </c>
      <c r="P2613" s="2167">
        <v>11779000</v>
      </c>
      <c r="Q2613" s="2166">
        <v>0</v>
      </c>
      <c r="R2613" s="2167"/>
      <c r="S2613" s="2166">
        <v>0</v>
      </c>
      <c r="T2613" s="2167"/>
      <c r="U2613" s="2166"/>
      <c r="V2613" s="2202"/>
      <c r="W2613" s="2166"/>
      <c r="X2613" s="2203"/>
      <c r="Y2613" s="2240">
        <f t="shared" si="692"/>
        <v>0</v>
      </c>
      <c r="Z2613" s="2203">
        <f t="shared" si="692"/>
        <v>0</v>
      </c>
      <c r="AA2613" s="2240">
        <f t="shared" si="693"/>
        <v>4</v>
      </c>
      <c r="AB2613" s="2203">
        <f t="shared" si="693"/>
        <v>32162458</v>
      </c>
      <c r="AC2613" s="2243">
        <f t="shared" si="694"/>
        <v>66.666666666666657</v>
      </c>
      <c r="AD2613" s="2243">
        <f t="shared" si="694"/>
        <v>42.70675607489045</v>
      </c>
      <c r="AE2613" s="2409"/>
      <c r="AF2613" s="2259"/>
      <c r="AG2613" s="2259"/>
      <c r="AH2613" s="2259"/>
      <c r="AI2613" s="2259"/>
      <c r="AJ2613" s="2259"/>
      <c r="AK2613" s="2259"/>
      <c r="AL2613" s="2259"/>
      <c r="AM2613" s="2259"/>
      <c r="AN2613" s="2259"/>
      <c r="AO2613" s="2259"/>
      <c r="AP2613" s="2259"/>
      <c r="AQ2613" s="2259"/>
      <c r="AR2613" s="2259"/>
      <c r="AS2613" s="2259"/>
      <c r="AT2613" s="2259"/>
      <c r="AU2613" s="2259"/>
      <c r="AV2613" s="2259"/>
      <c r="AW2613" s="2259"/>
      <c r="AX2613" s="2259"/>
      <c r="AY2613" s="2259"/>
      <c r="AZ2613" s="2259"/>
      <c r="BA2613" s="2259"/>
      <c r="BB2613" s="2259"/>
      <c r="BC2613" s="2259"/>
      <c r="BD2613" s="2259"/>
      <c r="BE2613" s="2259"/>
      <c r="BF2613" s="2259"/>
      <c r="BG2613" s="2259"/>
      <c r="BH2613" s="2259"/>
      <c r="BI2613" s="2259"/>
      <c r="BJ2613" s="2259"/>
      <c r="BK2613" s="2259"/>
      <c r="BL2613" s="2259"/>
      <c r="BM2613" s="2259"/>
      <c r="BN2613" s="2259"/>
      <c r="BO2613" s="2259"/>
      <c r="BP2613" s="2259"/>
      <c r="BQ2613" s="2259"/>
      <c r="BR2613" s="2259"/>
      <c r="BS2613" s="2259"/>
    </row>
    <row r="2614" spans="1:71" s="2131" customFormat="1" ht="52.5" customHeight="1">
      <c r="A2614" s="2140" t="s">
        <v>13</v>
      </c>
      <c r="B2614" s="2194"/>
      <c r="C2614" s="2142">
        <v>5</v>
      </c>
      <c r="D2614" s="2142" t="s">
        <v>34</v>
      </c>
      <c r="E2614" s="2142" t="s">
        <v>25</v>
      </c>
      <c r="F2614" s="2142" t="s">
        <v>45</v>
      </c>
      <c r="G2614" s="2142" t="s">
        <v>74</v>
      </c>
      <c r="H2614" s="2142"/>
      <c r="I2614" s="2143" t="s">
        <v>3877</v>
      </c>
      <c r="J2614" s="2143" t="s">
        <v>3723</v>
      </c>
      <c r="K2614" s="2144">
        <v>80</v>
      </c>
      <c r="L2614" s="2145">
        <f>L2615</f>
        <v>25000000</v>
      </c>
      <c r="M2614" s="2144">
        <v>55</v>
      </c>
      <c r="N2614" s="2145">
        <f>N2615</f>
        <v>14811850</v>
      </c>
      <c r="O2614" s="2144">
        <v>15</v>
      </c>
      <c r="P2614" s="2145">
        <f>P2615</f>
        <v>1375000</v>
      </c>
      <c r="Q2614" s="2144">
        <v>0</v>
      </c>
      <c r="R2614" s="2145">
        <f>R2615</f>
        <v>0</v>
      </c>
      <c r="S2614" s="2144">
        <v>0</v>
      </c>
      <c r="T2614" s="2145">
        <f>T2615</f>
        <v>0</v>
      </c>
      <c r="U2614" s="2144"/>
      <c r="V2614" s="2145">
        <f>V2615</f>
        <v>0</v>
      </c>
      <c r="W2614" s="2144"/>
      <c r="X2614" s="2145">
        <f>X2615</f>
        <v>0</v>
      </c>
      <c r="Y2614" s="2144">
        <f t="shared" si="692"/>
        <v>0</v>
      </c>
      <c r="Z2614" s="2145">
        <f t="shared" si="692"/>
        <v>0</v>
      </c>
      <c r="AA2614" s="2144">
        <f t="shared" si="693"/>
        <v>55</v>
      </c>
      <c r="AB2614" s="2145">
        <f t="shared" si="693"/>
        <v>14811850</v>
      </c>
      <c r="AC2614" s="2147">
        <f t="shared" si="694"/>
        <v>68.75</v>
      </c>
      <c r="AD2614" s="2147">
        <f t="shared" si="694"/>
        <v>59.247399999999992</v>
      </c>
      <c r="AE2614" s="2204" t="s">
        <v>3930</v>
      </c>
      <c r="AF2614" s="2266"/>
      <c r="AG2614" s="2266"/>
      <c r="AH2614" s="2266"/>
      <c r="AI2614" s="2266"/>
      <c r="AJ2614" s="2266"/>
      <c r="AK2614" s="2266"/>
      <c r="AL2614" s="2266"/>
      <c r="AM2614" s="2266"/>
      <c r="AN2614" s="2266"/>
      <c r="AO2614" s="2266"/>
      <c r="AP2614" s="2266"/>
      <c r="AQ2614" s="2266"/>
      <c r="AR2614" s="2266"/>
      <c r="AS2614" s="2266"/>
      <c r="AT2614" s="2266"/>
      <c r="AU2614" s="2266"/>
      <c r="AV2614" s="2266"/>
      <c r="AW2614" s="2266"/>
      <c r="AX2614" s="2266"/>
      <c r="AY2614" s="2266"/>
      <c r="AZ2614" s="2266"/>
      <c r="BA2614" s="2266"/>
      <c r="BB2614" s="2266"/>
      <c r="BC2614" s="2266"/>
      <c r="BD2614" s="2266"/>
      <c r="BE2614" s="2266"/>
      <c r="BF2614" s="2266"/>
      <c r="BG2614" s="2266"/>
      <c r="BH2614" s="2266"/>
      <c r="BI2614" s="2266"/>
      <c r="BJ2614" s="2266"/>
      <c r="BK2614" s="2266"/>
      <c r="BL2614" s="2266"/>
      <c r="BM2614" s="2266"/>
      <c r="BN2614" s="2266"/>
      <c r="BO2614" s="2266"/>
      <c r="BP2614" s="2266"/>
      <c r="BQ2614" s="2266"/>
      <c r="BR2614" s="2266"/>
      <c r="BS2614" s="2266"/>
    </row>
    <row r="2615" spans="1:71" s="2131" customFormat="1" ht="25.5">
      <c r="A2615" s="2152"/>
      <c r="B2615" s="2198"/>
      <c r="C2615" s="2164">
        <v>5</v>
      </c>
      <c r="D2615" s="2164" t="s">
        <v>34</v>
      </c>
      <c r="E2615" s="2164" t="s">
        <v>25</v>
      </c>
      <c r="F2615" s="2164" t="s">
        <v>45</v>
      </c>
      <c r="G2615" s="2164" t="s">
        <v>74</v>
      </c>
      <c r="H2615" s="2151" t="s">
        <v>3878</v>
      </c>
      <c r="I2615" s="2162" t="s">
        <v>3879</v>
      </c>
      <c r="J2615" s="2162" t="s">
        <v>3880</v>
      </c>
      <c r="K2615" s="2166">
        <v>60</v>
      </c>
      <c r="L2615" s="2241">
        <v>25000000</v>
      </c>
      <c r="M2615" s="2240">
        <v>30</v>
      </c>
      <c r="N2615" s="2241">
        <v>14811850</v>
      </c>
      <c r="O2615" s="2240">
        <v>10</v>
      </c>
      <c r="P2615" s="2241">
        <v>1375000</v>
      </c>
      <c r="Q2615" s="2240">
        <v>1</v>
      </c>
      <c r="R2615" s="2241">
        <v>0</v>
      </c>
      <c r="S2615" s="2240">
        <v>1</v>
      </c>
      <c r="T2615" s="2241">
        <v>0</v>
      </c>
      <c r="U2615" s="2240"/>
      <c r="V2615" s="2242"/>
      <c r="W2615" s="2240"/>
      <c r="X2615" s="2203"/>
      <c r="Y2615" s="2240">
        <f t="shared" si="692"/>
        <v>2</v>
      </c>
      <c r="Z2615" s="2203">
        <f t="shared" si="692"/>
        <v>0</v>
      </c>
      <c r="AA2615" s="2240">
        <f t="shared" si="693"/>
        <v>32</v>
      </c>
      <c r="AB2615" s="2203">
        <f t="shared" si="693"/>
        <v>14811850</v>
      </c>
      <c r="AC2615" s="2243">
        <f t="shared" si="694"/>
        <v>53.333333333333336</v>
      </c>
      <c r="AD2615" s="2240">
        <f t="shared" si="694"/>
        <v>59.247399999999992</v>
      </c>
      <c r="AE2615" s="2216"/>
      <c r="AF2615" s="2259"/>
      <c r="AG2615" s="2259"/>
      <c r="AH2615" s="2259"/>
      <c r="AI2615" s="2259"/>
      <c r="AJ2615" s="2259"/>
      <c r="AK2615" s="2259"/>
      <c r="AL2615" s="2259"/>
      <c r="AM2615" s="2259"/>
      <c r="AN2615" s="2259"/>
      <c r="AO2615" s="2259"/>
      <c r="AP2615" s="2259"/>
      <c r="AQ2615" s="2259"/>
      <c r="AR2615" s="2259"/>
      <c r="AS2615" s="2259"/>
      <c r="AT2615" s="2259"/>
      <c r="AU2615" s="2259"/>
      <c r="AV2615" s="2259"/>
      <c r="AW2615" s="2259"/>
      <c r="AX2615" s="2259"/>
      <c r="AY2615" s="2259"/>
      <c r="AZ2615" s="2259"/>
      <c r="BA2615" s="2259"/>
      <c r="BB2615" s="2259"/>
      <c r="BC2615" s="2259"/>
      <c r="BD2615" s="2259"/>
      <c r="BE2615" s="2259"/>
      <c r="BF2615" s="2259"/>
      <c r="BG2615" s="2259"/>
      <c r="BH2615" s="2259"/>
      <c r="BI2615" s="2259"/>
      <c r="BJ2615" s="2259"/>
      <c r="BK2615" s="2259"/>
      <c r="BL2615" s="2259"/>
      <c r="BM2615" s="2259"/>
      <c r="BN2615" s="2259"/>
      <c r="BO2615" s="2259"/>
      <c r="BP2615" s="2259"/>
      <c r="BQ2615" s="2259"/>
      <c r="BR2615" s="2259"/>
      <c r="BS2615" s="2259"/>
    </row>
    <row r="2616" spans="1:71" s="2131" customFormat="1" ht="51">
      <c r="A2616" s="2140" t="s">
        <v>3577</v>
      </c>
      <c r="B2616" s="2194"/>
      <c r="C2616" s="2142">
        <v>5</v>
      </c>
      <c r="D2616" s="2142" t="s">
        <v>34</v>
      </c>
      <c r="E2616" s="2142" t="s">
        <v>25</v>
      </c>
      <c r="F2616" s="2142" t="s">
        <v>45</v>
      </c>
      <c r="G2616" s="2142" t="s">
        <v>47</v>
      </c>
      <c r="H2616" s="2140"/>
      <c r="I2616" s="2143" t="s">
        <v>3661</v>
      </c>
      <c r="J2616" s="2143" t="s">
        <v>3662</v>
      </c>
      <c r="K2616" s="2144">
        <v>100</v>
      </c>
      <c r="L2616" s="2145">
        <f>L2617</f>
        <v>51000000</v>
      </c>
      <c r="M2616" s="2144">
        <v>50</v>
      </c>
      <c r="N2616" s="2145">
        <f>N2617</f>
        <v>26156689</v>
      </c>
      <c r="O2616" s="2144">
        <v>18</v>
      </c>
      <c r="P2616" s="2145">
        <f>P2617</f>
        <v>1375000</v>
      </c>
      <c r="Q2616" s="2144">
        <v>0</v>
      </c>
      <c r="R2616" s="2145">
        <f>R2617</f>
        <v>0</v>
      </c>
      <c r="S2616" s="2144">
        <v>0</v>
      </c>
      <c r="T2616" s="2145">
        <f>T2617</f>
        <v>0</v>
      </c>
      <c r="U2616" s="2195"/>
      <c r="V2616" s="2146">
        <f>V2617</f>
        <v>0</v>
      </c>
      <c r="W2616" s="2144"/>
      <c r="X2616" s="2146">
        <f>X2617</f>
        <v>0</v>
      </c>
      <c r="Y2616" s="2195">
        <f t="shared" si="692"/>
        <v>0</v>
      </c>
      <c r="Z2616" s="2145">
        <f t="shared" si="692"/>
        <v>0</v>
      </c>
      <c r="AA2616" s="2147">
        <f t="shared" si="693"/>
        <v>50</v>
      </c>
      <c r="AB2616" s="2145">
        <f t="shared" si="693"/>
        <v>26156689</v>
      </c>
      <c r="AC2616" s="2147">
        <f t="shared" si="694"/>
        <v>50</v>
      </c>
      <c r="AD2616" s="2147">
        <f t="shared" si="694"/>
        <v>51.287625490196078</v>
      </c>
      <c r="AE2616" s="2204" t="s">
        <v>3930</v>
      </c>
      <c r="AF2616" s="2270"/>
      <c r="AG2616" s="2270"/>
      <c r="AH2616" s="2270"/>
      <c r="AI2616" s="2270"/>
      <c r="AJ2616" s="2270"/>
      <c r="AK2616" s="2270"/>
      <c r="AL2616" s="2270"/>
      <c r="AM2616" s="2270"/>
      <c r="AN2616" s="2270"/>
      <c r="AO2616" s="2270"/>
      <c r="AP2616" s="2270"/>
      <c r="AQ2616" s="2270"/>
      <c r="AR2616" s="2270"/>
      <c r="AS2616" s="2270"/>
      <c r="AT2616" s="2270"/>
      <c r="AU2616" s="2270"/>
      <c r="AV2616" s="2270"/>
      <c r="AW2616" s="2270"/>
      <c r="AX2616" s="2270"/>
      <c r="AY2616" s="2270"/>
      <c r="AZ2616" s="2270"/>
      <c r="BA2616" s="2270"/>
      <c r="BB2616" s="2270"/>
      <c r="BC2616" s="2270"/>
      <c r="BD2616" s="2270"/>
      <c r="BE2616" s="2270"/>
      <c r="BF2616" s="2270"/>
      <c r="BG2616" s="2270"/>
      <c r="BH2616" s="2270"/>
      <c r="BI2616" s="2270"/>
      <c r="BJ2616" s="2270"/>
      <c r="BK2616" s="2270"/>
      <c r="BL2616" s="2270"/>
      <c r="BM2616" s="2270"/>
      <c r="BN2616" s="2270"/>
      <c r="BO2616" s="2270"/>
      <c r="BP2616" s="2270"/>
      <c r="BQ2616" s="2270"/>
      <c r="BR2616" s="2270"/>
      <c r="BS2616" s="2270"/>
    </row>
    <row r="2617" spans="1:71" s="2131" customFormat="1" ht="38.25">
      <c r="A2617" s="2379"/>
      <c r="B2617" s="2162"/>
      <c r="C2617" s="2164">
        <v>5</v>
      </c>
      <c r="D2617" s="2164" t="s">
        <v>34</v>
      </c>
      <c r="E2617" s="2164" t="s">
        <v>25</v>
      </c>
      <c r="F2617" s="2164" t="s">
        <v>45</v>
      </c>
      <c r="G2617" s="2164" t="s">
        <v>47</v>
      </c>
      <c r="H2617" s="2151" t="s">
        <v>38</v>
      </c>
      <c r="I2617" s="2162" t="s">
        <v>3663</v>
      </c>
      <c r="J2617" s="2162" t="s">
        <v>3944</v>
      </c>
      <c r="K2617" s="2166">
        <v>60</v>
      </c>
      <c r="L2617" s="2167">
        <v>51000000</v>
      </c>
      <c r="M2617" s="2166">
        <v>30</v>
      </c>
      <c r="N2617" s="2167">
        <v>26156689</v>
      </c>
      <c r="O2617" s="2166">
        <v>10</v>
      </c>
      <c r="P2617" s="2167">
        <v>1375000</v>
      </c>
      <c r="Q2617" s="2166">
        <v>2</v>
      </c>
      <c r="R2617" s="2167"/>
      <c r="S2617" s="2166">
        <v>2</v>
      </c>
      <c r="T2617" s="2167"/>
      <c r="U2617" s="2166"/>
      <c r="V2617" s="2202"/>
      <c r="W2617" s="2166"/>
      <c r="X2617" s="2203"/>
      <c r="Y2617" s="2166">
        <f t="shared" si="692"/>
        <v>4</v>
      </c>
      <c r="Z2617" s="2203">
        <f t="shared" si="692"/>
        <v>0</v>
      </c>
      <c r="AA2617" s="2166">
        <f t="shared" si="693"/>
        <v>34</v>
      </c>
      <c r="AB2617" s="2203">
        <f t="shared" si="693"/>
        <v>26156689</v>
      </c>
      <c r="AC2617" s="2170">
        <f t="shared" si="694"/>
        <v>56.666666666666664</v>
      </c>
      <c r="AD2617" s="2170">
        <f t="shared" si="694"/>
        <v>51.287625490196078</v>
      </c>
      <c r="AE2617" s="2409"/>
      <c r="AF2617" s="2161"/>
      <c r="AG2617" s="2161"/>
      <c r="AH2617" s="2161"/>
      <c r="AI2617" s="2161"/>
      <c r="AJ2617" s="2161"/>
      <c r="AK2617" s="2161"/>
      <c r="AL2617" s="2161"/>
      <c r="AM2617" s="2161"/>
      <c r="AN2617" s="2161"/>
      <c r="AO2617" s="2161"/>
      <c r="AP2617" s="2161"/>
      <c r="AQ2617" s="2161"/>
      <c r="AR2617" s="2161"/>
      <c r="AS2617" s="2161"/>
      <c r="AT2617" s="2161"/>
      <c r="AU2617" s="2161"/>
      <c r="AV2617" s="2161"/>
      <c r="AW2617" s="2161"/>
      <c r="AX2617" s="2161"/>
      <c r="AY2617" s="2161"/>
      <c r="AZ2617" s="2161"/>
      <c r="BA2617" s="2161"/>
      <c r="BB2617" s="2161"/>
      <c r="BC2617" s="2161"/>
      <c r="BD2617" s="2161"/>
      <c r="BE2617" s="2161"/>
      <c r="BF2617" s="2161"/>
      <c r="BG2617" s="2161"/>
      <c r="BH2617" s="2161"/>
      <c r="BI2617" s="2161"/>
      <c r="BJ2617" s="2161"/>
      <c r="BK2617" s="2161"/>
      <c r="BL2617" s="2161"/>
      <c r="BM2617" s="2161"/>
      <c r="BN2617" s="2161"/>
      <c r="BO2617" s="2161"/>
      <c r="BP2617" s="2161"/>
      <c r="BQ2617" s="2161"/>
      <c r="BR2617" s="2161"/>
      <c r="BS2617" s="2161"/>
    </row>
    <row r="2618" spans="1:71" s="2131" customFormat="1" ht="38.25">
      <c r="A2618" s="2140" t="s">
        <v>19</v>
      </c>
      <c r="B2618" s="2194"/>
      <c r="C2618" s="2142">
        <v>5</v>
      </c>
      <c r="D2618" s="2142" t="s">
        <v>34</v>
      </c>
      <c r="E2618" s="2142" t="s">
        <v>25</v>
      </c>
      <c r="F2618" s="2142" t="s">
        <v>45</v>
      </c>
      <c r="G2618" s="2142">
        <v>47</v>
      </c>
      <c r="H2618" s="2140"/>
      <c r="I2618" s="2143" t="s">
        <v>3917</v>
      </c>
      <c r="J2618" s="2143" t="s">
        <v>3918</v>
      </c>
      <c r="K2618" s="2144">
        <v>95</v>
      </c>
      <c r="L2618" s="2145">
        <f>SUM(L2619:L2619)</f>
        <v>18000000</v>
      </c>
      <c r="M2618" s="2144">
        <v>80</v>
      </c>
      <c r="N2618" s="2145">
        <f>SUM(N2619:N2619)</f>
        <v>0</v>
      </c>
      <c r="O2618" s="2144">
        <v>20</v>
      </c>
      <c r="P2618" s="2145">
        <f>SUM(P2619:P2619)</f>
        <v>6000000</v>
      </c>
      <c r="Q2618" s="2144">
        <v>0</v>
      </c>
      <c r="R2618" s="2145">
        <f>SUM(R2619:R2619)</f>
        <v>0</v>
      </c>
      <c r="S2618" s="2144">
        <v>0</v>
      </c>
      <c r="T2618" s="2145">
        <f>SUM(T2619:T2619)</f>
        <v>0</v>
      </c>
      <c r="U2618" s="2195"/>
      <c r="V2618" s="2145">
        <f>SUM(V2619:V2619)</f>
        <v>0</v>
      </c>
      <c r="W2618" s="2144"/>
      <c r="X2618" s="2145">
        <f>SUM(X2619:X2619)</f>
        <v>0</v>
      </c>
      <c r="Y2618" s="2195">
        <f t="shared" si="692"/>
        <v>0</v>
      </c>
      <c r="Z2618" s="2145">
        <f t="shared" si="692"/>
        <v>0</v>
      </c>
      <c r="AA2618" s="2147">
        <f t="shared" si="693"/>
        <v>80</v>
      </c>
      <c r="AB2618" s="2145">
        <f t="shared" si="693"/>
        <v>0</v>
      </c>
      <c r="AC2618" s="2147">
        <f t="shared" si="694"/>
        <v>84.210526315789465</v>
      </c>
      <c r="AD2618" s="2147">
        <f t="shared" si="694"/>
        <v>0</v>
      </c>
      <c r="AE2618" s="2204" t="s">
        <v>3895</v>
      </c>
      <c r="AF2618" s="2149"/>
      <c r="AG2618" s="2149"/>
      <c r="AH2618" s="2149"/>
      <c r="AI2618" s="2149"/>
      <c r="AJ2618" s="2149"/>
      <c r="AK2618" s="2149"/>
      <c r="AL2618" s="2149"/>
      <c r="AM2618" s="2149"/>
      <c r="AN2618" s="2149"/>
      <c r="AO2618" s="2149"/>
      <c r="AP2618" s="2149"/>
      <c r="AQ2618" s="2149"/>
      <c r="AR2618" s="2149"/>
      <c r="AS2618" s="2149"/>
      <c r="AT2618" s="2149"/>
      <c r="AU2618" s="2149"/>
      <c r="AV2618" s="2149"/>
      <c r="AW2618" s="2149"/>
      <c r="AX2618" s="2149"/>
      <c r="AY2618" s="2149"/>
      <c r="AZ2618" s="2149"/>
      <c r="BA2618" s="2149"/>
      <c r="BB2618" s="2149"/>
      <c r="BC2618" s="2149"/>
      <c r="BD2618" s="2149"/>
      <c r="BE2618" s="2149"/>
      <c r="BF2618" s="2149"/>
      <c r="BG2618" s="2149"/>
      <c r="BH2618" s="2149"/>
      <c r="BI2618" s="2149"/>
      <c r="BJ2618" s="2149"/>
      <c r="BK2618" s="2149"/>
      <c r="BL2618" s="2149"/>
      <c r="BM2618" s="2149"/>
      <c r="BN2618" s="2149"/>
      <c r="BO2618" s="2149"/>
      <c r="BP2618" s="2149"/>
      <c r="BQ2618" s="2149"/>
      <c r="BR2618" s="2149"/>
      <c r="BS2618" s="2149"/>
    </row>
    <row r="2619" spans="1:71" s="2131" customFormat="1" ht="25.5">
      <c r="A2619" s="2267"/>
      <c r="B2619" s="2253"/>
      <c r="C2619" s="2164">
        <v>5</v>
      </c>
      <c r="D2619" s="2164" t="s">
        <v>34</v>
      </c>
      <c r="E2619" s="2164" t="s">
        <v>25</v>
      </c>
      <c r="F2619" s="2164" t="s">
        <v>45</v>
      </c>
      <c r="G2619" s="2164">
        <v>47</v>
      </c>
      <c r="H2619" s="2254" t="s">
        <v>43</v>
      </c>
      <c r="I2619" s="2171" t="s">
        <v>1942</v>
      </c>
      <c r="J2619" s="2171" t="s">
        <v>3922</v>
      </c>
      <c r="K2619" s="2255">
        <v>36</v>
      </c>
      <c r="L2619" s="2268">
        <f>3*P2619</f>
        <v>18000000</v>
      </c>
      <c r="M2619" s="2256">
        <v>0</v>
      </c>
      <c r="N2619" s="2257">
        <v>0</v>
      </c>
      <c r="O2619" s="2255">
        <v>12</v>
      </c>
      <c r="P2619" s="2258">
        <v>6000000</v>
      </c>
      <c r="Q2619" s="2366">
        <v>0</v>
      </c>
      <c r="R2619" s="2203">
        <v>0</v>
      </c>
      <c r="S2619" s="2366">
        <v>0</v>
      </c>
      <c r="T2619" s="2203">
        <v>0</v>
      </c>
      <c r="U2619" s="2255"/>
      <c r="V2619" s="2203"/>
      <c r="W2619" s="2255"/>
      <c r="X2619" s="2203"/>
      <c r="Y2619" s="2240">
        <f t="shared" si="692"/>
        <v>0</v>
      </c>
      <c r="Z2619" s="2203">
        <f t="shared" si="692"/>
        <v>0</v>
      </c>
      <c r="AA2619" s="2240">
        <f t="shared" si="693"/>
        <v>0</v>
      </c>
      <c r="AB2619" s="2203">
        <f t="shared" si="693"/>
        <v>0</v>
      </c>
      <c r="AC2619" s="2243">
        <f t="shared" si="694"/>
        <v>0</v>
      </c>
      <c r="AD2619" s="2243">
        <f t="shared" si="694"/>
        <v>0</v>
      </c>
      <c r="AE2619" s="2605"/>
      <c r="AF2619" s="2161"/>
      <c r="AG2619" s="2161"/>
      <c r="AH2619" s="2161"/>
      <c r="AI2619" s="2161"/>
      <c r="AJ2619" s="2161"/>
      <c r="AK2619" s="2161"/>
      <c r="AL2619" s="2161"/>
      <c r="AM2619" s="2161"/>
      <c r="AN2619" s="2161"/>
      <c r="AO2619" s="2161"/>
      <c r="AP2619" s="2161"/>
      <c r="AQ2619" s="2161"/>
      <c r="AR2619" s="2161"/>
      <c r="AS2619" s="2161"/>
      <c r="AT2619" s="2161"/>
      <c r="AU2619" s="2161"/>
      <c r="AV2619" s="2161"/>
      <c r="AW2619" s="2161"/>
      <c r="AX2619" s="2161"/>
      <c r="AY2619" s="2161"/>
      <c r="AZ2619" s="2161"/>
      <c r="BA2619" s="2161"/>
      <c r="BB2619" s="2161"/>
      <c r="BC2619" s="2161"/>
      <c r="BD2619" s="2161"/>
      <c r="BE2619" s="2161"/>
      <c r="BF2619" s="2161"/>
      <c r="BG2619" s="2161"/>
      <c r="BH2619" s="2161"/>
      <c r="BI2619" s="2161"/>
      <c r="BJ2619" s="2161"/>
      <c r="BK2619" s="2161"/>
      <c r="BL2619" s="2161"/>
      <c r="BM2619" s="2161"/>
      <c r="BN2619" s="2161"/>
      <c r="BO2619" s="2161"/>
      <c r="BP2619" s="2161"/>
      <c r="BQ2619" s="2161"/>
      <c r="BR2619" s="2161"/>
      <c r="BS2619" s="2161"/>
    </row>
    <row r="2620" spans="1:71" s="2259" customFormat="1" ht="63.75">
      <c r="A2620" s="2140" t="s">
        <v>3589</v>
      </c>
      <c r="B2620" s="2194"/>
      <c r="C2620" s="2142">
        <v>5</v>
      </c>
      <c r="D2620" s="2142" t="s">
        <v>34</v>
      </c>
      <c r="E2620" s="2142" t="s">
        <v>25</v>
      </c>
      <c r="F2620" s="2142" t="s">
        <v>45</v>
      </c>
      <c r="G2620" s="2142" t="s">
        <v>104</v>
      </c>
      <c r="H2620" s="2140"/>
      <c r="I2620" s="2143" t="s">
        <v>3590</v>
      </c>
      <c r="J2620" s="2372" t="s">
        <v>3945</v>
      </c>
      <c r="K2620" s="2140">
        <v>100</v>
      </c>
      <c r="L2620" s="2373">
        <f>SUM(L2621:L2621)</f>
        <v>40547000</v>
      </c>
      <c r="M2620" s="2140">
        <v>36</v>
      </c>
      <c r="N2620" s="2373">
        <f>SUM(N2621:N2621)</f>
        <v>0</v>
      </c>
      <c r="O2620" s="2140">
        <v>20</v>
      </c>
      <c r="P2620" s="2373">
        <f>SUM(P2621:P2621)</f>
        <v>7500000</v>
      </c>
      <c r="Q2620" s="2140">
        <v>0</v>
      </c>
      <c r="R2620" s="2373">
        <f>SUM(R2621:R2621)</f>
        <v>575000</v>
      </c>
      <c r="S2620" s="2140">
        <v>0</v>
      </c>
      <c r="T2620" s="2373">
        <f>SUM(T2621:T2621)</f>
        <v>575000</v>
      </c>
      <c r="U2620" s="2375"/>
      <c r="V2620" s="2374">
        <f>SUM(V2621:V2621)</f>
        <v>0</v>
      </c>
      <c r="W2620" s="2148"/>
      <c r="X2620" s="2148">
        <f>SUM(X2621:X2621)</f>
        <v>0</v>
      </c>
      <c r="Y2620" s="2376">
        <f t="shared" si="692"/>
        <v>0</v>
      </c>
      <c r="Z2620" s="2373">
        <f t="shared" si="692"/>
        <v>1150000</v>
      </c>
      <c r="AA2620" s="2376">
        <f>M2620+Y2620</f>
        <v>36</v>
      </c>
      <c r="AB2620" s="2373">
        <f t="shared" si="693"/>
        <v>1150000</v>
      </c>
      <c r="AC2620" s="2375">
        <f t="shared" si="694"/>
        <v>36</v>
      </c>
      <c r="AD2620" s="2375">
        <f t="shared" si="694"/>
        <v>2.8362147631144103</v>
      </c>
      <c r="AE2620" s="2140" t="s">
        <v>3924</v>
      </c>
    </row>
    <row r="2621" spans="1:71" s="2259" customFormat="1" ht="51">
      <c r="A2621" s="2377"/>
      <c r="B2621" s="2378"/>
      <c r="C2621" s="2164">
        <v>5</v>
      </c>
      <c r="D2621" s="2164" t="s">
        <v>34</v>
      </c>
      <c r="E2621" s="2164" t="s">
        <v>25</v>
      </c>
      <c r="F2621" s="2164" t="s">
        <v>45</v>
      </c>
      <c r="G2621" s="2164" t="s">
        <v>104</v>
      </c>
      <c r="H2621" s="2164" t="s">
        <v>25</v>
      </c>
      <c r="I2621" s="2260" t="s">
        <v>3946</v>
      </c>
      <c r="J2621" s="2260" t="s">
        <v>3947</v>
      </c>
      <c r="K2621" s="2379">
        <v>3</v>
      </c>
      <c r="L2621" s="2380">
        <v>40547000</v>
      </c>
      <c r="M2621" s="2379">
        <v>0</v>
      </c>
      <c r="N2621" s="2381">
        <v>0</v>
      </c>
      <c r="O2621" s="2152">
        <v>1</v>
      </c>
      <c r="P2621" s="2382">
        <v>7500000</v>
      </c>
      <c r="Q2621" s="2152">
        <v>0</v>
      </c>
      <c r="R2621" s="2383">
        <v>575000</v>
      </c>
      <c r="S2621" s="2152">
        <v>0</v>
      </c>
      <c r="T2621" s="2383">
        <v>575000</v>
      </c>
      <c r="U2621" s="2379"/>
      <c r="V2621" s="2700"/>
      <c r="W2621" s="2379"/>
      <c r="X2621" s="2379"/>
      <c r="Y2621" s="2152">
        <f t="shared" si="692"/>
        <v>0</v>
      </c>
      <c r="Z2621" s="2384">
        <f t="shared" si="692"/>
        <v>1150000</v>
      </c>
      <c r="AA2621" s="2152">
        <f t="shared" ref="AA2621" si="695">M2621+Y2621</f>
        <v>0</v>
      </c>
      <c r="AB2621" s="2384">
        <f t="shared" si="693"/>
        <v>1150000</v>
      </c>
      <c r="AC2621" s="2385">
        <f t="shared" si="694"/>
        <v>0</v>
      </c>
      <c r="AD2621" s="2385">
        <f t="shared" si="694"/>
        <v>2.8362147631144103</v>
      </c>
      <c r="AE2621" s="2379" t="s">
        <v>3924</v>
      </c>
    </row>
    <row r="2622" spans="1:71" s="2131" customFormat="1" ht="63.75">
      <c r="A2622" s="2140" t="s">
        <v>3596</v>
      </c>
      <c r="B2622" s="2194"/>
      <c r="C2622" s="2142">
        <v>5</v>
      </c>
      <c r="D2622" s="2142" t="s">
        <v>34</v>
      </c>
      <c r="E2622" s="2142" t="s">
        <v>25</v>
      </c>
      <c r="F2622" s="2142" t="s">
        <v>45</v>
      </c>
      <c r="G2622" s="2142" t="s">
        <v>35</v>
      </c>
      <c r="H2622" s="2140"/>
      <c r="I2622" s="2143" t="s">
        <v>3597</v>
      </c>
      <c r="J2622" s="2143" t="s">
        <v>3883</v>
      </c>
      <c r="K2622" s="2144">
        <v>80</v>
      </c>
      <c r="L2622" s="2145">
        <f>L2623</f>
        <v>29353840</v>
      </c>
      <c r="M2622" s="2144">
        <v>50</v>
      </c>
      <c r="N2622" s="2145">
        <f>N2623</f>
        <v>5425000</v>
      </c>
      <c r="O2622" s="2144">
        <v>18</v>
      </c>
      <c r="P2622" s="2386">
        <f>P2623</f>
        <v>0</v>
      </c>
      <c r="Q2622" s="2144">
        <v>0</v>
      </c>
      <c r="R2622" s="2145">
        <f>R2623</f>
        <v>0</v>
      </c>
      <c r="S2622" s="2144">
        <v>0</v>
      </c>
      <c r="T2622" s="2145">
        <f>T2623</f>
        <v>0</v>
      </c>
      <c r="U2622" s="2195"/>
      <c r="V2622" s="2146">
        <f>V2623</f>
        <v>0</v>
      </c>
      <c r="W2622" s="2144"/>
      <c r="X2622" s="2146">
        <f>X2623</f>
        <v>0</v>
      </c>
      <c r="Y2622" s="2195">
        <f t="shared" si="685"/>
        <v>0</v>
      </c>
      <c r="Z2622" s="2145">
        <f t="shared" si="685"/>
        <v>0</v>
      </c>
      <c r="AA2622" s="2147">
        <f t="shared" si="686"/>
        <v>50</v>
      </c>
      <c r="AB2622" s="2145">
        <f t="shared" si="686"/>
        <v>5425000</v>
      </c>
      <c r="AC2622" s="2147">
        <f t="shared" si="687"/>
        <v>62.5</v>
      </c>
      <c r="AD2622" s="2147">
        <f t="shared" si="687"/>
        <v>18.481398004485953</v>
      </c>
      <c r="AE2622" s="2204" t="s">
        <v>3930</v>
      </c>
      <c r="AF2622" s="2270"/>
      <c r="AG2622" s="2270"/>
      <c r="AH2622" s="2270"/>
      <c r="AI2622" s="2270"/>
      <c r="AJ2622" s="2270"/>
      <c r="AK2622" s="2270"/>
      <c r="AL2622" s="2270"/>
      <c r="AM2622" s="2270"/>
      <c r="AN2622" s="2270"/>
      <c r="AO2622" s="2270"/>
      <c r="AP2622" s="2270"/>
      <c r="AQ2622" s="2270"/>
      <c r="AR2622" s="2270"/>
      <c r="AS2622" s="2270"/>
      <c r="AT2622" s="2270"/>
      <c r="AU2622" s="2270"/>
      <c r="AV2622" s="2270"/>
      <c r="AW2622" s="2270"/>
      <c r="AX2622" s="2270"/>
      <c r="AY2622" s="2270"/>
      <c r="AZ2622" s="2270"/>
      <c r="BA2622" s="2270"/>
      <c r="BB2622" s="2270"/>
      <c r="BC2622" s="2270"/>
      <c r="BD2622" s="2270"/>
      <c r="BE2622" s="2270"/>
      <c r="BF2622" s="2270"/>
      <c r="BG2622" s="2270"/>
      <c r="BH2622" s="2270"/>
      <c r="BI2622" s="2270"/>
      <c r="BJ2622" s="2270"/>
      <c r="BK2622" s="2270"/>
      <c r="BL2622" s="2270"/>
      <c r="BM2622" s="2270"/>
      <c r="BN2622" s="2270"/>
      <c r="BO2622" s="2270"/>
      <c r="BP2622" s="2270"/>
      <c r="BQ2622" s="2270"/>
      <c r="BR2622" s="2270"/>
      <c r="BS2622" s="2270"/>
    </row>
    <row r="2623" spans="1:71" s="2131" customFormat="1" ht="25.5">
      <c r="A2623" s="2379"/>
      <c r="B2623" s="2162"/>
      <c r="C2623" s="2164">
        <v>5</v>
      </c>
      <c r="D2623" s="2164" t="s">
        <v>34</v>
      </c>
      <c r="E2623" s="2164" t="s">
        <v>25</v>
      </c>
      <c r="F2623" s="2164" t="s">
        <v>45</v>
      </c>
      <c r="G2623" s="2164" t="s">
        <v>35</v>
      </c>
      <c r="H2623" s="2151" t="s">
        <v>49</v>
      </c>
      <c r="I2623" s="2162" t="s">
        <v>3884</v>
      </c>
      <c r="J2623" s="2162" t="s">
        <v>3948</v>
      </c>
      <c r="K2623" s="2166">
        <v>5</v>
      </c>
      <c r="L2623" s="2167">
        <v>29353840</v>
      </c>
      <c r="M2623" s="2166">
        <v>1</v>
      </c>
      <c r="N2623" s="2167">
        <v>5425000</v>
      </c>
      <c r="O2623" s="2166">
        <v>1</v>
      </c>
      <c r="P2623" s="2387"/>
      <c r="Q2623" s="2166">
        <v>0</v>
      </c>
      <c r="R2623" s="2167"/>
      <c r="S2623" s="2166">
        <v>0</v>
      </c>
      <c r="T2623" s="2167"/>
      <c r="U2623" s="2276"/>
      <c r="V2623" s="2202"/>
      <c r="W2623" s="2166"/>
      <c r="X2623" s="2203"/>
      <c r="Y2623" s="2166">
        <f t="shared" si="685"/>
        <v>0</v>
      </c>
      <c r="Z2623" s="2203">
        <f t="shared" si="685"/>
        <v>0</v>
      </c>
      <c r="AA2623" s="2166">
        <f t="shared" si="686"/>
        <v>1</v>
      </c>
      <c r="AB2623" s="2203">
        <f t="shared" si="686"/>
        <v>5425000</v>
      </c>
      <c r="AC2623" s="2170">
        <f t="shared" si="687"/>
        <v>20</v>
      </c>
      <c r="AD2623" s="2170">
        <f t="shared" si="687"/>
        <v>18.481398004485953</v>
      </c>
      <c r="AE2623" s="2409"/>
      <c r="AF2623" s="2161"/>
      <c r="AG2623" s="2161"/>
      <c r="AH2623" s="2161"/>
      <c r="AI2623" s="2161"/>
      <c r="AJ2623" s="2161"/>
      <c r="AK2623" s="2161"/>
      <c r="AL2623" s="2161"/>
      <c r="AM2623" s="2161"/>
      <c r="AN2623" s="2161"/>
      <c r="AO2623" s="2161"/>
      <c r="AP2623" s="2161"/>
      <c r="AQ2623" s="2161"/>
      <c r="AR2623" s="2161"/>
      <c r="AS2623" s="2161"/>
      <c r="AT2623" s="2161"/>
      <c r="AU2623" s="2161"/>
      <c r="AV2623" s="2161"/>
      <c r="AW2623" s="2161"/>
      <c r="AX2623" s="2161"/>
      <c r="AY2623" s="2161"/>
      <c r="AZ2623" s="2161"/>
      <c r="BA2623" s="2161"/>
      <c r="BB2623" s="2161"/>
      <c r="BC2623" s="2161"/>
      <c r="BD2623" s="2161"/>
      <c r="BE2623" s="2161"/>
      <c r="BF2623" s="2161"/>
      <c r="BG2623" s="2161"/>
      <c r="BH2623" s="2161"/>
      <c r="BI2623" s="2161"/>
      <c r="BJ2623" s="2161"/>
      <c r="BK2623" s="2161"/>
      <c r="BL2623" s="2161"/>
      <c r="BM2623" s="2161"/>
      <c r="BN2623" s="2161"/>
      <c r="BO2623" s="2161"/>
      <c r="BP2623" s="2161"/>
      <c r="BQ2623" s="2161"/>
      <c r="BR2623" s="2161"/>
      <c r="BS2623" s="2161"/>
    </row>
    <row r="2624" spans="1:71" s="2131" customFormat="1" ht="63.75">
      <c r="A2624" s="2140" t="s">
        <v>3612</v>
      </c>
      <c r="B2624" s="2194"/>
      <c r="C2624" s="2142">
        <v>5</v>
      </c>
      <c r="D2624" s="2142" t="s">
        <v>34</v>
      </c>
      <c r="E2624" s="2142" t="s">
        <v>25</v>
      </c>
      <c r="F2624" s="2142" t="s">
        <v>45</v>
      </c>
      <c r="G2624" s="2142" t="s">
        <v>3667</v>
      </c>
      <c r="H2624" s="2140"/>
      <c r="I2624" s="2143" t="s">
        <v>3668</v>
      </c>
      <c r="J2624" s="2143" t="s">
        <v>3669</v>
      </c>
      <c r="K2624" s="2144">
        <v>100</v>
      </c>
      <c r="L2624" s="2145">
        <f>SUM(L2625:L2630)</f>
        <v>686223000</v>
      </c>
      <c r="M2624" s="2144">
        <v>52</v>
      </c>
      <c r="N2624" s="2145">
        <f>SUM(N2625:N2630)</f>
        <v>266861745</v>
      </c>
      <c r="O2624" s="2144">
        <v>20</v>
      </c>
      <c r="P2624" s="2145">
        <f>SUM(P2625:P2630)</f>
        <v>3735000</v>
      </c>
      <c r="Q2624" s="2144">
        <v>0</v>
      </c>
      <c r="R2624" s="2145">
        <f>SUM(R2625:R2630)</f>
        <v>3735000</v>
      </c>
      <c r="S2624" s="2144">
        <v>0</v>
      </c>
      <c r="T2624" s="2145">
        <f>SUM(T2625:T2630)</f>
        <v>3735000</v>
      </c>
      <c r="U2624" s="2147"/>
      <c r="V2624" s="2145">
        <f>SUM(V2625:V2630)</f>
        <v>0</v>
      </c>
      <c r="W2624" s="2144"/>
      <c r="X2624" s="2145">
        <f>SUM(X2625:X2630)</f>
        <v>0</v>
      </c>
      <c r="Y2624" s="2147">
        <f t="shared" si="685"/>
        <v>0</v>
      </c>
      <c r="Z2624" s="2145">
        <f t="shared" si="685"/>
        <v>7470000</v>
      </c>
      <c r="AA2624" s="2147">
        <f t="shared" si="686"/>
        <v>52</v>
      </c>
      <c r="AB2624" s="2145">
        <f t="shared" si="686"/>
        <v>274331745</v>
      </c>
      <c r="AC2624" s="2147">
        <f t="shared" si="687"/>
        <v>52</v>
      </c>
      <c r="AD2624" s="2147">
        <f t="shared" si="687"/>
        <v>39.977054834944326</v>
      </c>
      <c r="AE2624" s="2204" t="s">
        <v>3930</v>
      </c>
      <c r="AF2624" s="2149"/>
      <c r="AG2624" s="2149"/>
      <c r="AH2624" s="2149"/>
      <c r="AI2624" s="2149"/>
      <c r="AJ2624" s="2149"/>
      <c r="AK2624" s="2149"/>
      <c r="AL2624" s="2149"/>
      <c r="AM2624" s="2149"/>
      <c r="AN2624" s="2149"/>
      <c r="AO2624" s="2149"/>
      <c r="AP2624" s="2149"/>
      <c r="AQ2624" s="2149"/>
      <c r="AR2624" s="2149"/>
      <c r="AS2624" s="2149"/>
      <c r="AT2624" s="2149"/>
      <c r="AU2624" s="2149"/>
      <c r="AV2624" s="2149"/>
      <c r="AW2624" s="2149"/>
      <c r="AX2624" s="2149"/>
      <c r="AY2624" s="2149"/>
      <c r="AZ2624" s="2149"/>
      <c r="BA2624" s="2149"/>
      <c r="BB2624" s="2149"/>
      <c r="BC2624" s="2149"/>
      <c r="BD2624" s="2149"/>
      <c r="BE2624" s="2149"/>
      <c r="BF2624" s="2149"/>
      <c r="BG2624" s="2149"/>
      <c r="BH2624" s="2149"/>
      <c r="BI2624" s="2149"/>
      <c r="BJ2624" s="2149"/>
      <c r="BK2624" s="2149"/>
      <c r="BL2624" s="2149"/>
      <c r="BM2624" s="2149"/>
      <c r="BN2624" s="2149"/>
      <c r="BO2624" s="2149"/>
      <c r="BP2624" s="2149"/>
      <c r="BQ2624" s="2149"/>
      <c r="BR2624" s="2149"/>
      <c r="BS2624" s="2149"/>
    </row>
    <row r="2625" spans="1:71" s="2131" customFormat="1" ht="38.25">
      <c r="A2625" s="2267"/>
      <c r="B2625" s="2253"/>
      <c r="C2625" s="2164">
        <v>5</v>
      </c>
      <c r="D2625" s="2164" t="s">
        <v>34</v>
      </c>
      <c r="E2625" s="2164" t="s">
        <v>25</v>
      </c>
      <c r="F2625" s="2164" t="s">
        <v>45</v>
      </c>
      <c r="G2625" s="2164" t="s">
        <v>3667</v>
      </c>
      <c r="H2625" s="2254" t="s">
        <v>25</v>
      </c>
      <c r="I2625" s="2171" t="s">
        <v>3551</v>
      </c>
      <c r="J2625" s="2171" t="s">
        <v>3783</v>
      </c>
      <c r="K2625" s="2255">
        <v>25</v>
      </c>
      <c r="L2625" s="2203">
        <v>188580500</v>
      </c>
      <c r="M2625" s="2256">
        <v>25</v>
      </c>
      <c r="N2625" s="2257">
        <v>87832900</v>
      </c>
      <c r="O2625" s="2255">
        <v>0</v>
      </c>
      <c r="P2625" s="2258">
        <v>0</v>
      </c>
      <c r="Q2625" s="2256">
        <v>0</v>
      </c>
      <c r="R2625" s="2203"/>
      <c r="S2625" s="2256">
        <v>0</v>
      </c>
      <c r="T2625" s="2203"/>
      <c r="U2625" s="2255"/>
      <c r="V2625" s="2258"/>
      <c r="W2625" s="2255"/>
      <c r="X2625" s="2203"/>
      <c r="Y2625" s="2240">
        <f t="shared" si="685"/>
        <v>0</v>
      </c>
      <c r="Z2625" s="2203">
        <f t="shared" si="685"/>
        <v>0</v>
      </c>
      <c r="AA2625" s="2240">
        <f t="shared" si="686"/>
        <v>25</v>
      </c>
      <c r="AB2625" s="2203">
        <f t="shared" si="686"/>
        <v>87832900</v>
      </c>
      <c r="AC2625" s="2243">
        <f t="shared" si="687"/>
        <v>100</v>
      </c>
      <c r="AD2625" s="2243">
        <f t="shared" si="687"/>
        <v>46.575812451446467</v>
      </c>
      <c r="AE2625" s="2605"/>
      <c r="AF2625" s="2161"/>
      <c r="AG2625" s="2161"/>
      <c r="AH2625" s="2161"/>
      <c r="AI2625" s="2161"/>
      <c r="AJ2625" s="2161"/>
      <c r="AK2625" s="2161"/>
      <c r="AL2625" s="2161"/>
      <c r="AM2625" s="2161"/>
      <c r="AN2625" s="2161"/>
      <c r="AO2625" s="2161"/>
      <c r="AP2625" s="2161"/>
      <c r="AQ2625" s="2161"/>
      <c r="AR2625" s="2161"/>
      <c r="AS2625" s="2161"/>
      <c r="AT2625" s="2161"/>
      <c r="AU2625" s="2161"/>
      <c r="AV2625" s="2161"/>
      <c r="AW2625" s="2161"/>
      <c r="AX2625" s="2161"/>
      <c r="AY2625" s="2161"/>
      <c r="AZ2625" s="2161"/>
      <c r="BA2625" s="2161"/>
      <c r="BB2625" s="2161"/>
      <c r="BC2625" s="2161"/>
      <c r="BD2625" s="2161"/>
      <c r="BE2625" s="2161"/>
      <c r="BF2625" s="2161"/>
      <c r="BG2625" s="2161"/>
      <c r="BH2625" s="2161"/>
      <c r="BI2625" s="2161"/>
      <c r="BJ2625" s="2161"/>
      <c r="BK2625" s="2161"/>
      <c r="BL2625" s="2161"/>
      <c r="BM2625" s="2161"/>
      <c r="BN2625" s="2161"/>
      <c r="BO2625" s="2161"/>
      <c r="BP2625" s="2161"/>
      <c r="BQ2625" s="2161"/>
      <c r="BR2625" s="2161"/>
      <c r="BS2625" s="2161"/>
    </row>
    <row r="2626" spans="1:71" s="2131" customFormat="1" ht="38.25">
      <c r="A2626" s="2267"/>
      <c r="B2626" s="2253"/>
      <c r="C2626" s="2164">
        <v>5</v>
      </c>
      <c r="D2626" s="2164" t="s">
        <v>34</v>
      </c>
      <c r="E2626" s="2164" t="s">
        <v>25</v>
      </c>
      <c r="F2626" s="2164" t="s">
        <v>45</v>
      </c>
      <c r="G2626" s="2164" t="s">
        <v>3667</v>
      </c>
      <c r="H2626" s="2254" t="s">
        <v>28</v>
      </c>
      <c r="I2626" s="2171" t="s">
        <v>3671</v>
      </c>
      <c r="J2626" s="2171" t="s">
        <v>3672</v>
      </c>
      <c r="K2626" s="2255">
        <v>2</v>
      </c>
      <c r="L2626" s="2268">
        <v>137849500</v>
      </c>
      <c r="M2626" s="2256">
        <v>2</v>
      </c>
      <c r="N2626" s="2257">
        <v>43583000</v>
      </c>
      <c r="O2626" s="2255">
        <v>0</v>
      </c>
      <c r="P2626" s="2258">
        <v>0</v>
      </c>
      <c r="Q2626" s="2257">
        <v>0</v>
      </c>
      <c r="R2626" s="2203"/>
      <c r="S2626" s="2257">
        <v>0</v>
      </c>
      <c r="T2626" s="2203"/>
      <c r="U2626" s="2255"/>
      <c r="V2626" s="2255"/>
      <c r="W2626" s="2255"/>
      <c r="X2626" s="2203"/>
      <c r="Y2626" s="2240">
        <f t="shared" si="685"/>
        <v>0</v>
      </c>
      <c r="Z2626" s="2203">
        <f t="shared" si="685"/>
        <v>0</v>
      </c>
      <c r="AA2626" s="2240">
        <f t="shared" si="686"/>
        <v>2</v>
      </c>
      <c r="AB2626" s="2203">
        <f t="shared" si="686"/>
        <v>43583000</v>
      </c>
      <c r="AC2626" s="2243">
        <f t="shared" si="687"/>
        <v>100</v>
      </c>
      <c r="AD2626" s="2243">
        <f t="shared" si="687"/>
        <v>31.616364223301503</v>
      </c>
      <c r="AE2626" s="2605"/>
      <c r="AF2626" s="2161"/>
      <c r="AG2626" s="2161"/>
      <c r="AH2626" s="2161"/>
      <c r="AI2626" s="2161"/>
      <c r="AJ2626" s="2161"/>
      <c r="AK2626" s="2161"/>
      <c r="AL2626" s="2161"/>
      <c r="AM2626" s="2161"/>
      <c r="AN2626" s="2161"/>
      <c r="AO2626" s="2161"/>
      <c r="AP2626" s="2161"/>
      <c r="AQ2626" s="2161"/>
      <c r="AR2626" s="2161"/>
      <c r="AS2626" s="2161"/>
      <c r="AT2626" s="2161"/>
      <c r="AU2626" s="2161"/>
      <c r="AV2626" s="2161"/>
      <c r="AW2626" s="2161"/>
      <c r="AX2626" s="2161"/>
      <c r="AY2626" s="2161"/>
      <c r="AZ2626" s="2161"/>
      <c r="BA2626" s="2161"/>
      <c r="BB2626" s="2161"/>
      <c r="BC2626" s="2161"/>
      <c r="BD2626" s="2161"/>
      <c r="BE2626" s="2161"/>
      <c r="BF2626" s="2161"/>
      <c r="BG2626" s="2161"/>
      <c r="BH2626" s="2161"/>
      <c r="BI2626" s="2161"/>
      <c r="BJ2626" s="2161"/>
      <c r="BK2626" s="2161"/>
      <c r="BL2626" s="2161"/>
      <c r="BM2626" s="2161"/>
      <c r="BN2626" s="2161"/>
      <c r="BO2626" s="2161"/>
      <c r="BP2626" s="2161"/>
      <c r="BQ2626" s="2161"/>
      <c r="BR2626" s="2161"/>
      <c r="BS2626" s="2161"/>
    </row>
    <row r="2627" spans="1:71" s="2131" customFormat="1" ht="63.75">
      <c r="A2627" s="2267"/>
      <c r="B2627" s="2253"/>
      <c r="C2627" s="2164">
        <v>5</v>
      </c>
      <c r="D2627" s="2164" t="s">
        <v>34</v>
      </c>
      <c r="E2627" s="2164" t="s">
        <v>25</v>
      </c>
      <c r="F2627" s="2164" t="s">
        <v>45</v>
      </c>
      <c r="G2627" s="2164" t="s">
        <v>3667</v>
      </c>
      <c r="H2627" s="2254" t="s">
        <v>39</v>
      </c>
      <c r="I2627" s="2171" t="s">
        <v>3673</v>
      </c>
      <c r="J2627" s="2171" t="s">
        <v>3674</v>
      </c>
      <c r="K2627" s="2255">
        <v>3</v>
      </c>
      <c r="L2627" s="2203">
        <v>171393000</v>
      </c>
      <c r="M2627" s="2256">
        <v>3</v>
      </c>
      <c r="N2627" s="2257">
        <v>59383045</v>
      </c>
      <c r="O2627" s="2255">
        <v>0</v>
      </c>
      <c r="P2627" s="2258">
        <v>0</v>
      </c>
      <c r="Q2627" s="2256">
        <v>0</v>
      </c>
      <c r="R2627" s="2203"/>
      <c r="S2627" s="2256">
        <v>0</v>
      </c>
      <c r="T2627" s="2203"/>
      <c r="U2627" s="2255"/>
      <c r="V2627" s="2258"/>
      <c r="W2627" s="2255"/>
      <c r="X2627" s="2203"/>
      <c r="Y2627" s="2240">
        <f t="shared" si="685"/>
        <v>0</v>
      </c>
      <c r="Z2627" s="2203">
        <f t="shared" si="685"/>
        <v>0</v>
      </c>
      <c r="AA2627" s="2240">
        <f t="shared" si="686"/>
        <v>3</v>
      </c>
      <c r="AB2627" s="2203">
        <f t="shared" si="686"/>
        <v>59383045</v>
      </c>
      <c r="AC2627" s="2243">
        <f t="shared" si="687"/>
        <v>100</v>
      </c>
      <c r="AD2627" s="2243">
        <f t="shared" si="687"/>
        <v>34.64729889785464</v>
      </c>
      <c r="AE2627" s="2605"/>
      <c r="AF2627" s="2161"/>
      <c r="AG2627" s="2161"/>
      <c r="AH2627" s="2161"/>
      <c r="AI2627" s="2161"/>
      <c r="AJ2627" s="2161"/>
      <c r="AK2627" s="2161"/>
      <c r="AL2627" s="2161"/>
      <c r="AM2627" s="2161"/>
      <c r="AN2627" s="2161"/>
      <c r="AO2627" s="2161"/>
      <c r="AP2627" s="2161"/>
      <c r="AQ2627" s="2161"/>
      <c r="AR2627" s="2161"/>
      <c r="AS2627" s="2161"/>
      <c r="AT2627" s="2161"/>
      <c r="AU2627" s="2161"/>
      <c r="AV2627" s="2161"/>
      <c r="AW2627" s="2161"/>
      <c r="AX2627" s="2161"/>
      <c r="AY2627" s="2161"/>
      <c r="AZ2627" s="2161"/>
      <c r="BA2627" s="2161"/>
      <c r="BB2627" s="2161"/>
      <c r="BC2627" s="2161"/>
      <c r="BD2627" s="2161"/>
      <c r="BE2627" s="2161"/>
      <c r="BF2627" s="2161"/>
      <c r="BG2627" s="2161"/>
      <c r="BH2627" s="2161"/>
      <c r="BI2627" s="2161"/>
      <c r="BJ2627" s="2161"/>
      <c r="BK2627" s="2161"/>
      <c r="BL2627" s="2161"/>
      <c r="BM2627" s="2161"/>
      <c r="BN2627" s="2161"/>
      <c r="BO2627" s="2161"/>
      <c r="BP2627" s="2161"/>
      <c r="BQ2627" s="2161"/>
      <c r="BR2627" s="2161"/>
      <c r="BS2627" s="2161"/>
    </row>
    <row r="2628" spans="1:71" s="2131" customFormat="1" ht="51">
      <c r="A2628" s="2267"/>
      <c r="B2628" s="2253"/>
      <c r="C2628" s="2164">
        <v>5</v>
      </c>
      <c r="D2628" s="2164" t="s">
        <v>34</v>
      </c>
      <c r="E2628" s="2164" t="s">
        <v>25</v>
      </c>
      <c r="F2628" s="2164" t="s">
        <v>45</v>
      </c>
      <c r="G2628" s="2164" t="s">
        <v>3667</v>
      </c>
      <c r="H2628" s="2254" t="s">
        <v>38</v>
      </c>
      <c r="I2628" s="2171" t="s">
        <v>3676</v>
      </c>
      <c r="J2628" s="2171" t="s">
        <v>3677</v>
      </c>
      <c r="K2628" s="2255">
        <v>36</v>
      </c>
      <c r="L2628" s="2203">
        <v>36000000</v>
      </c>
      <c r="M2628" s="2256">
        <v>36</v>
      </c>
      <c r="N2628" s="2257">
        <v>18000000</v>
      </c>
      <c r="O2628" s="2255">
        <v>0</v>
      </c>
      <c r="P2628" s="2258">
        <v>0</v>
      </c>
      <c r="Q2628" s="2256">
        <v>0</v>
      </c>
      <c r="R2628" s="2203"/>
      <c r="S2628" s="2256">
        <v>0</v>
      </c>
      <c r="T2628" s="2203"/>
      <c r="U2628" s="2255"/>
      <c r="V2628" s="2258"/>
      <c r="W2628" s="2255"/>
      <c r="X2628" s="2203"/>
      <c r="Y2628" s="2240">
        <f t="shared" si="685"/>
        <v>0</v>
      </c>
      <c r="Z2628" s="2203">
        <f t="shared" si="685"/>
        <v>0</v>
      </c>
      <c r="AA2628" s="2240">
        <f t="shared" si="686"/>
        <v>36</v>
      </c>
      <c r="AB2628" s="2203">
        <f t="shared" si="686"/>
        <v>18000000</v>
      </c>
      <c r="AC2628" s="2243">
        <f t="shared" si="687"/>
        <v>100</v>
      </c>
      <c r="AD2628" s="2243">
        <f t="shared" si="687"/>
        <v>50</v>
      </c>
      <c r="AE2628" s="2605"/>
      <c r="AF2628" s="2161"/>
      <c r="AG2628" s="2161"/>
      <c r="AH2628" s="2161"/>
      <c r="AI2628" s="2161"/>
      <c r="AJ2628" s="2161"/>
      <c r="AK2628" s="2161"/>
      <c r="AL2628" s="2161"/>
      <c r="AM2628" s="2161"/>
      <c r="AN2628" s="2161"/>
      <c r="AO2628" s="2161"/>
      <c r="AP2628" s="2161"/>
      <c r="AQ2628" s="2161"/>
      <c r="AR2628" s="2161"/>
      <c r="AS2628" s="2161"/>
      <c r="AT2628" s="2161"/>
      <c r="AU2628" s="2161"/>
      <c r="AV2628" s="2161"/>
      <c r="AW2628" s="2161"/>
      <c r="AX2628" s="2161"/>
      <c r="AY2628" s="2161"/>
      <c r="AZ2628" s="2161"/>
      <c r="BA2628" s="2161"/>
      <c r="BB2628" s="2161"/>
      <c r="BC2628" s="2161"/>
      <c r="BD2628" s="2161"/>
      <c r="BE2628" s="2161"/>
      <c r="BF2628" s="2161"/>
      <c r="BG2628" s="2161"/>
      <c r="BH2628" s="2161"/>
      <c r="BI2628" s="2161"/>
      <c r="BJ2628" s="2161"/>
      <c r="BK2628" s="2161"/>
      <c r="BL2628" s="2161"/>
      <c r="BM2628" s="2161"/>
      <c r="BN2628" s="2161"/>
      <c r="BO2628" s="2161"/>
      <c r="BP2628" s="2161"/>
      <c r="BQ2628" s="2161"/>
      <c r="BR2628" s="2161"/>
      <c r="BS2628" s="2161"/>
    </row>
    <row r="2629" spans="1:71" s="2131" customFormat="1" ht="38.25">
      <c r="A2629" s="2267"/>
      <c r="B2629" s="2253"/>
      <c r="C2629" s="2164">
        <v>5</v>
      </c>
      <c r="D2629" s="2164" t="s">
        <v>34</v>
      </c>
      <c r="E2629" s="2164" t="s">
        <v>25</v>
      </c>
      <c r="F2629" s="2164" t="s">
        <v>45</v>
      </c>
      <c r="G2629" s="2164" t="s">
        <v>3667</v>
      </c>
      <c r="H2629" s="2254" t="s">
        <v>56</v>
      </c>
      <c r="I2629" s="2171" t="s">
        <v>3678</v>
      </c>
      <c r="J2629" s="2171" t="s">
        <v>3679</v>
      </c>
      <c r="K2629" s="2255">
        <v>56</v>
      </c>
      <c r="L2629" s="2203">
        <v>76200000</v>
      </c>
      <c r="M2629" s="2256">
        <v>56</v>
      </c>
      <c r="N2629" s="2257">
        <v>29031400</v>
      </c>
      <c r="O2629" s="2255">
        <v>0</v>
      </c>
      <c r="P2629" s="2258">
        <v>0</v>
      </c>
      <c r="Q2629" s="2256">
        <v>0</v>
      </c>
      <c r="R2629" s="2203"/>
      <c r="S2629" s="2256">
        <v>0</v>
      </c>
      <c r="T2629" s="2203"/>
      <c r="U2629" s="2255"/>
      <c r="V2629" s="2258"/>
      <c r="W2629" s="2255"/>
      <c r="X2629" s="2203"/>
      <c r="Y2629" s="2240">
        <f t="shared" si="685"/>
        <v>0</v>
      </c>
      <c r="Z2629" s="2203">
        <f t="shared" si="685"/>
        <v>0</v>
      </c>
      <c r="AA2629" s="2240">
        <f t="shared" si="686"/>
        <v>56</v>
      </c>
      <c r="AB2629" s="2203">
        <f t="shared" si="686"/>
        <v>29031400</v>
      </c>
      <c r="AC2629" s="2243">
        <f t="shared" si="687"/>
        <v>100</v>
      </c>
      <c r="AD2629" s="2243">
        <f t="shared" si="687"/>
        <v>38.098950131233593</v>
      </c>
      <c r="AE2629" s="2605"/>
      <c r="AF2629" s="2161"/>
      <c r="AG2629" s="2161"/>
      <c r="AH2629" s="2161"/>
      <c r="AI2629" s="2161"/>
      <c r="AJ2629" s="2161"/>
      <c r="AK2629" s="2161"/>
      <c r="AL2629" s="2161"/>
      <c r="AM2629" s="2161"/>
      <c r="AN2629" s="2161"/>
      <c r="AO2629" s="2161"/>
      <c r="AP2629" s="2161"/>
      <c r="AQ2629" s="2161"/>
      <c r="AR2629" s="2161"/>
      <c r="AS2629" s="2161"/>
      <c r="AT2629" s="2161"/>
      <c r="AU2629" s="2161"/>
      <c r="AV2629" s="2161"/>
      <c r="AW2629" s="2161"/>
      <c r="AX2629" s="2161"/>
      <c r="AY2629" s="2161"/>
      <c r="AZ2629" s="2161"/>
      <c r="BA2629" s="2161"/>
      <c r="BB2629" s="2161"/>
      <c r="BC2629" s="2161"/>
      <c r="BD2629" s="2161"/>
      <c r="BE2629" s="2161"/>
      <c r="BF2629" s="2161"/>
      <c r="BG2629" s="2161"/>
      <c r="BH2629" s="2161"/>
      <c r="BI2629" s="2161"/>
      <c r="BJ2629" s="2161"/>
      <c r="BK2629" s="2161"/>
      <c r="BL2629" s="2161"/>
      <c r="BM2629" s="2161"/>
      <c r="BN2629" s="2161"/>
      <c r="BO2629" s="2161"/>
      <c r="BP2629" s="2161"/>
      <c r="BQ2629" s="2161"/>
      <c r="BR2629" s="2161"/>
      <c r="BS2629" s="2161"/>
    </row>
    <row r="2630" spans="1:71" s="2131" customFormat="1" ht="38.25">
      <c r="A2630" s="2267"/>
      <c r="B2630" s="2253"/>
      <c r="C2630" s="2164">
        <v>5</v>
      </c>
      <c r="D2630" s="2164" t="s">
        <v>34</v>
      </c>
      <c r="E2630" s="2164" t="s">
        <v>25</v>
      </c>
      <c r="F2630" s="2164" t="s">
        <v>45</v>
      </c>
      <c r="G2630" s="2164" t="s">
        <v>3667</v>
      </c>
      <c r="H2630" s="2254">
        <v>21</v>
      </c>
      <c r="I2630" s="2171" t="s">
        <v>3675</v>
      </c>
      <c r="J2630" s="2171" t="s">
        <v>3679</v>
      </c>
      <c r="K2630" s="2255">
        <v>3</v>
      </c>
      <c r="L2630" s="2203">
        <v>76200000</v>
      </c>
      <c r="M2630" s="2256">
        <v>3</v>
      </c>
      <c r="N2630" s="2257">
        <v>29031400</v>
      </c>
      <c r="O2630" s="2255">
        <v>1</v>
      </c>
      <c r="P2630" s="2258">
        <v>3735000</v>
      </c>
      <c r="Q2630" s="2256">
        <v>0</v>
      </c>
      <c r="R2630" s="2203">
        <v>3735000</v>
      </c>
      <c r="S2630" s="2256">
        <v>0</v>
      </c>
      <c r="T2630" s="2203">
        <v>3735000</v>
      </c>
      <c r="U2630" s="2255"/>
      <c r="V2630" s="2258"/>
      <c r="W2630" s="2255"/>
      <c r="X2630" s="2203"/>
      <c r="Y2630" s="2240">
        <f t="shared" si="685"/>
        <v>0</v>
      </c>
      <c r="Z2630" s="2203">
        <f t="shared" si="685"/>
        <v>7470000</v>
      </c>
      <c r="AA2630" s="2240">
        <f t="shared" si="686"/>
        <v>3</v>
      </c>
      <c r="AB2630" s="2203">
        <f t="shared" si="686"/>
        <v>36501400</v>
      </c>
      <c r="AC2630" s="2243">
        <f t="shared" si="687"/>
        <v>100</v>
      </c>
      <c r="AD2630" s="2243">
        <f t="shared" si="687"/>
        <v>47.902099737532808</v>
      </c>
      <c r="AE2630" s="2605"/>
      <c r="AF2630" s="2161"/>
      <c r="AG2630" s="2161"/>
      <c r="AH2630" s="2161"/>
      <c r="AI2630" s="2161"/>
      <c r="AJ2630" s="2161"/>
      <c r="AK2630" s="2161"/>
      <c r="AL2630" s="2161"/>
      <c r="AM2630" s="2161"/>
      <c r="AN2630" s="2161"/>
      <c r="AO2630" s="2161"/>
      <c r="AP2630" s="2161"/>
      <c r="AQ2630" s="2161"/>
      <c r="AR2630" s="2161"/>
      <c r="AS2630" s="2161"/>
      <c r="AT2630" s="2161"/>
      <c r="AU2630" s="2161"/>
      <c r="AV2630" s="2161"/>
      <c r="AW2630" s="2161"/>
      <c r="AX2630" s="2161"/>
      <c r="AY2630" s="2161"/>
      <c r="AZ2630" s="2161"/>
      <c r="BA2630" s="2161"/>
      <c r="BB2630" s="2161"/>
      <c r="BC2630" s="2161"/>
      <c r="BD2630" s="2161"/>
      <c r="BE2630" s="2161"/>
      <c r="BF2630" s="2161"/>
      <c r="BG2630" s="2161"/>
      <c r="BH2630" s="2161"/>
      <c r="BI2630" s="2161"/>
      <c r="BJ2630" s="2161"/>
      <c r="BK2630" s="2161"/>
      <c r="BL2630" s="2161"/>
      <c r="BM2630" s="2161"/>
      <c r="BN2630" s="2161"/>
      <c r="BO2630" s="2161"/>
      <c r="BP2630" s="2161"/>
      <c r="BQ2630" s="2161"/>
      <c r="BR2630" s="2161"/>
      <c r="BS2630" s="2161"/>
    </row>
    <row r="2631" spans="1:71" s="2131" customFormat="1" ht="20.100000000000001" customHeight="1">
      <c r="A2631" s="2705" t="s">
        <v>63</v>
      </c>
      <c r="B2631" s="2705"/>
      <c r="C2631" s="2706"/>
      <c r="D2631" s="2706"/>
      <c r="E2631" s="2706"/>
      <c r="F2631" s="2706"/>
      <c r="G2631" s="2706"/>
      <c r="H2631" s="2706"/>
      <c r="I2631" s="2706"/>
      <c r="J2631" s="2706"/>
      <c r="K2631" s="2706"/>
      <c r="L2631" s="2706"/>
      <c r="M2631" s="2706"/>
      <c r="N2631" s="2706"/>
      <c r="O2631" s="2706"/>
      <c r="P2631" s="2706"/>
      <c r="Q2631" s="2706"/>
      <c r="R2631" s="2706"/>
      <c r="S2631" s="2706"/>
      <c r="T2631" s="2706"/>
      <c r="U2631" s="2706"/>
      <c r="V2631" s="2706"/>
      <c r="W2631" s="2706"/>
      <c r="X2631" s="2706"/>
      <c r="Y2631" s="2706"/>
      <c r="Z2631" s="2706"/>
      <c r="AA2631" s="2706"/>
      <c r="AB2631" s="2706"/>
      <c r="AC2631" s="2249">
        <v>55.45</v>
      </c>
      <c r="AD2631" s="2249">
        <v>45.697375499313338</v>
      </c>
      <c r="AE2631" s="2152"/>
    </row>
    <row r="2632" spans="1:71" s="2131" customFormat="1" ht="20.100000000000001" customHeight="1">
      <c r="A2632" s="2705" t="s">
        <v>64</v>
      </c>
      <c r="B2632" s="2705"/>
      <c r="C2632" s="2706"/>
      <c r="D2632" s="2706"/>
      <c r="E2632" s="2706"/>
      <c r="F2632" s="2706"/>
      <c r="G2632" s="2706"/>
      <c r="H2632" s="2706"/>
      <c r="I2632" s="2706"/>
      <c r="J2632" s="2706"/>
      <c r="K2632" s="2706"/>
      <c r="L2632" s="2706"/>
      <c r="M2632" s="2706"/>
      <c r="N2632" s="2706"/>
      <c r="O2632" s="2706"/>
      <c r="P2632" s="2706"/>
      <c r="Q2632" s="2706"/>
      <c r="R2632" s="2706"/>
      <c r="S2632" s="2706"/>
      <c r="T2632" s="2706"/>
      <c r="U2632" s="2706"/>
      <c r="V2632" s="2706"/>
      <c r="W2632" s="2706"/>
      <c r="X2632" s="2706"/>
      <c r="Y2632" s="2706"/>
      <c r="Z2632" s="2706"/>
      <c r="AA2632" s="2706"/>
      <c r="AB2632" s="2706"/>
      <c r="AC2632" s="2250" t="str">
        <f>IF(AC2631&gt;=91,"ST",IF(AC2631&gt;=76,"T",IF(AC2631&gt;=66,"S",IF(AC2631&gt;=51,"R","SR"))))</f>
        <v>R</v>
      </c>
      <c r="AD2632" s="2250" t="str">
        <f>IF(AD2631&gt;=91,"ST",IF(AD2631&gt;=76,"T",IF(AD2631&gt;=66,"S",IF(AD2631&gt;=51,"R","SR"))))</f>
        <v>SR</v>
      </c>
      <c r="AE2632" s="2152"/>
    </row>
    <row r="2633" spans="1:71" s="2131" customFormat="1" ht="27.95" customHeight="1">
      <c r="A2633" s="2132" t="s">
        <v>130</v>
      </c>
      <c r="B2633" s="2133"/>
      <c r="C2633" s="2132"/>
      <c r="D2633" s="2132"/>
      <c r="E2633" s="2132"/>
      <c r="F2633" s="2132"/>
      <c r="G2633" s="2132"/>
      <c r="H2633" s="2132"/>
      <c r="I2633" s="2707" t="s">
        <v>3949</v>
      </c>
      <c r="J2633" s="2708"/>
      <c r="K2633" s="2134"/>
      <c r="L2633" s="2135">
        <f>L2634+L2647+L2655+L2657+L2659+L2662+L2664+L2666+L2668+L2671+L2673+L2675+L2677+L2679+L2685+L2687</f>
        <v>3639656340</v>
      </c>
      <c r="M2633" s="2134"/>
      <c r="N2633" s="2136">
        <f>N2634+N2647+N2655+N2657+N2659+N2662+N2664+N2666+N2668+N2671+N2673+N2675+N2677+N2679+N2685+N2687</f>
        <v>1033640282</v>
      </c>
      <c r="O2633" s="2134"/>
      <c r="P2633" s="2136">
        <f>P2634+P2647+P2655+P2657+P2659+P2662+P2664+P2666+P2668+P2671+P2673+P2675+P2677+P2679+P2685+P2687</f>
        <v>500119600</v>
      </c>
      <c r="Q2633" s="2134"/>
      <c r="R2633" s="2136">
        <f>R2634+R2647+R2655+R2657+R2659+R2662+R2664+R2666+R2668+R2671+R2673+R2675+R2677+R2679+R2685+R2687</f>
        <v>84262048</v>
      </c>
      <c r="S2633" s="2134"/>
      <c r="T2633" s="2136">
        <f>T2634+T2647+T2655+T2657+T2659+T2662+T2664+T2666+T2668+T2671+T2673+T2675+T2677+T2679+T2685+T2687</f>
        <v>137848011</v>
      </c>
      <c r="U2633" s="2134"/>
      <c r="V2633" s="2136">
        <f>V2634+V2647+V2655+V2657+V2659+V2662+V2664+V2666+V2668+V2671+V2673+V2675+V2677+V2679+V2685+V2687</f>
        <v>0</v>
      </c>
      <c r="W2633" s="2134"/>
      <c r="X2633" s="2251">
        <f>X2634+X2647+X2655+X2657+X2659+X2662+X2664+X2666+X2668+X2671+X2673+X2675+X2677+X2679+X2685+X2687</f>
        <v>0</v>
      </c>
      <c r="Y2633" s="2134"/>
      <c r="Z2633" s="2136">
        <f>Z2634+Z2647+Z2655+Z2657+Z2659+Z2662+Z2664+Z2666+Z2668+Z2671+Z2673+Z2675+Z2677+Z2679+Z2685+Z2687</f>
        <v>222110059</v>
      </c>
      <c r="AA2633" s="2134"/>
      <c r="AB2633" s="2136">
        <f>AB2634+AB2647+AB2655+AB2657+AB2659+AB2662+AB2664+AB2666+AB2668+AB2671+AB2673+AB2675+AB2677+AB2679+AB2685+AB2687</f>
        <v>1255750341</v>
      </c>
      <c r="AC2633" s="2134"/>
      <c r="AD2633" s="2134"/>
      <c r="AE2633" s="2137"/>
      <c r="AF2633" s="2138"/>
      <c r="AG2633" s="2138"/>
      <c r="AH2633" s="2138"/>
      <c r="AI2633" s="2138"/>
      <c r="AJ2633" s="2138"/>
      <c r="AK2633" s="2138"/>
      <c r="AL2633" s="2138"/>
      <c r="AM2633" s="2138"/>
      <c r="AN2633" s="2138"/>
      <c r="AO2633" s="2138"/>
      <c r="AP2633" s="2138"/>
      <c r="AQ2633" s="2138"/>
      <c r="AR2633" s="2138"/>
      <c r="AS2633" s="2138"/>
      <c r="AT2633" s="2138"/>
      <c r="AU2633" s="2138"/>
      <c r="AV2633" s="2138"/>
      <c r="AW2633" s="2138"/>
      <c r="AX2633" s="2138"/>
      <c r="AY2633" s="2138"/>
      <c r="AZ2633" s="2138"/>
      <c r="BA2633" s="2138"/>
      <c r="BB2633" s="2138"/>
      <c r="BC2633" s="2138"/>
      <c r="BD2633" s="2138"/>
      <c r="BE2633" s="2138"/>
      <c r="BF2633" s="2138"/>
      <c r="BG2633" s="2138"/>
      <c r="BH2633" s="2138"/>
      <c r="BI2633" s="2138"/>
      <c r="BJ2633" s="2138"/>
      <c r="BK2633" s="2138"/>
      <c r="BL2633" s="2138"/>
      <c r="BM2633" s="2138"/>
      <c r="BN2633" s="2138"/>
      <c r="BO2633" s="2138"/>
      <c r="BP2633" s="2138"/>
      <c r="BQ2633" s="2138"/>
      <c r="BR2633" s="2138"/>
      <c r="BS2633" s="2138"/>
    </row>
    <row r="2634" spans="1:71" s="2131" customFormat="1" ht="82.5" customHeight="1">
      <c r="A2634" s="2140" t="s">
        <v>113</v>
      </c>
      <c r="B2634" s="2194"/>
      <c r="C2634" s="2140">
        <v>5</v>
      </c>
      <c r="D2634" s="2142" t="s">
        <v>34</v>
      </c>
      <c r="E2634" s="2142" t="s">
        <v>25</v>
      </c>
      <c r="F2634" s="2142" t="s">
        <v>45</v>
      </c>
      <c r="G2634" s="2142" t="s">
        <v>25</v>
      </c>
      <c r="H2634" s="2140"/>
      <c r="I2634" s="2143" t="s">
        <v>3625</v>
      </c>
      <c r="J2634" s="2143" t="s">
        <v>4132</v>
      </c>
      <c r="K2634" s="2144">
        <v>72</v>
      </c>
      <c r="L2634" s="2145">
        <f>SUM(L2635:L2646)</f>
        <v>1371873900</v>
      </c>
      <c r="M2634" s="2147">
        <v>36</v>
      </c>
      <c r="N2634" s="2145">
        <f>SUM(N2635:N2646)</f>
        <v>471921971</v>
      </c>
      <c r="O2634" s="2147">
        <v>12</v>
      </c>
      <c r="P2634" s="2145">
        <f>SUM(P2635:P2646)</f>
        <v>260720522</v>
      </c>
      <c r="Q2634" s="2388">
        <v>3</v>
      </c>
      <c r="R2634" s="2388">
        <f>SUM(R2635:R2646)</f>
        <v>48539448</v>
      </c>
      <c r="S2634" s="2195">
        <v>3</v>
      </c>
      <c r="T2634" s="2145">
        <f>SUM(T2635:T2646)</f>
        <v>67095380</v>
      </c>
      <c r="U2634" s="2147"/>
      <c r="V2634" s="2145">
        <f>SUM(V2635:V2646)</f>
        <v>0</v>
      </c>
      <c r="W2634" s="2144"/>
      <c r="X2634" s="2145">
        <f>SUM(X2635:X2646)</f>
        <v>0</v>
      </c>
      <c r="Y2634" s="2389">
        <f t="shared" ref="Y2634:Z2688" si="696">Q2634+S2634+U2634+W2634</f>
        <v>6</v>
      </c>
      <c r="Z2634" s="2145">
        <f t="shared" si="696"/>
        <v>115634828</v>
      </c>
      <c r="AA2634" s="2389">
        <f t="shared" ref="AA2634:AB2688" si="697">M2634+Y2634</f>
        <v>42</v>
      </c>
      <c r="AB2634" s="2145">
        <f t="shared" si="697"/>
        <v>587556799</v>
      </c>
      <c r="AC2634" s="2147">
        <f t="shared" ref="AC2634:AD2688" si="698">(AA2634/K2634)*100</f>
        <v>58.333333333333336</v>
      </c>
      <c r="AD2634" s="2147">
        <f t="shared" si="698"/>
        <v>42.828775953824909</v>
      </c>
      <c r="AE2634" s="2204" t="s">
        <v>3950</v>
      </c>
      <c r="AF2634" s="2266"/>
      <c r="AG2634" s="2266"/>
      <c r="AH2634" s="2266"/>
      <c r="AI2634" s="2266"/>
      <c r="AJ2634" s="2266"/>
      <c r="AK2634" s="2266"/>
      <c r="AL2634" s="2266"/>
      <c r="AM2634" s="2266"/>
      <c r="AN2634" s="2266"/>
      <c r="AO2634" s="2266"/>
      <c r="AP2634" s="2266"/>
      <c r="AQ2634" s="2266"/>
      <c r="AR2634" s="2266"/>
      <c r="AS2634" s="2266"/>
      <c r="AT2634" s="2266"/>
      <c r="AU2634" s="2266"/>
      <c r="AV2634" s="2266"/>
      <c r="AW2634" s="2266"/>
      <c r="AX2634" s="2266"/>
      <c r="AY2634" s="2266"/>
      <c r="AZ2634" s="2266"/>
      <c r="BA2634" s="2266"/>
      <c r="BB2634" s="2266"/>
      <c r="BC2634" s="2266"/>
      <c r="BD2634" s="2266"/>
      <c r="BE2634" s="2266"/>
      <c r="BF2634" s="2266"/>
      <c r="BG2634" s="2266"/>
      <c r="BH2634" s="2266"/>
      <c r="BI2634" s="2266"/>
      <c r="BJ2634" s="2266"/>
      <c r="BK2634" s="2266"/>
      <c r="BL2634" s="2266"/>
      <c r="BM2634" s="2266"/>
      <c r="BN2634" s="2266"/>
      <c r="BO2634" s="2266"/>
      <c r="BP2634" s="2266"/>
      <c r="BQ2634" s="2266"/>
      <c r="BR2634" s="2266"/>
      <c r="BS2634" s="2266"/>
    </row>
    <row r="2635" spans="1:71" s="2131" customFormat="1" ht="36" customHeight="1">
      <c r="A2635" s="2390"/>
      <c r="B2635" s="2391"/>
      <c r="C2635" s="2392" t="s">
        <v>3803</v>
      </c>
      <c r="D2635" s="2392" t="s">
        <v>34</v>
      </c>
      <c r="E2635" s="2392" t="s">
        <v>3803</v>
      </c>
      <c r="F2635" s="2392" t="s">
        <v>34</v>
      </c>
      <c r="G2635" s="2392" t="s">
        <v>25</v>
      </c>
      <c r="H2635" s="2392" t="s">
        <v>25</v>
      </c>
      <c r="I2635" s="2271" t="s">
        <v>133</v>
      </c>
      <c r="J2635" s="2300" t="s">
        <v>3951</v>
      </c>
      <c r="K2635" s="2240">
        <v>72</v>
      </c>
      <c r="L2635" s="2307">
        <v>75000000</v>
      </c>
      <c r="M2635" s="2177">
        <v>36</v>
      </c>
      <c r="N2635" s="2193">
        <v>13290000</v>
      </c>
      <c r="O2635" s="2393">
        <v>12</v>
      </c>
      <c r="P2635" s="2307">
        <v>45600000</v>
      </c>
      <c r="Q2635" s="2394">
        <v>3</v>
      </c>
      <c r="R2635" s="2395">
        <v>9600000</v>
      </c>
      <c r="S2635" s="2703">
        <v>3</v>
      </c>
      <c r="T2635" s="2193">
        <v>12000000</v>
      </c>
      <c r="U2635" s="2396"/>
      <c r="V2635" s="2193"/>
      <c r="W2635" s="2396"/>
      <c r="X2635" s="2193"/>
      <c r="Y2635" s="2397">
        <f t="shared" si="696"/>
        <v>6</v>
      </c>
      <c r="Z2635" s="2307">
        <f t="shared" si="696"/>
        <v>21600000</v>
      </c>
      <c r="AA2635" s="2398">
        <f t="shared" si="697"/>
        <v>42</v>
      </c>
      <c r="AB2635" s="2307">
        <f t="shared" si="697"/>
        <v>34890000</v>
      </c>
      <c r="AC2635" s="2399">
        <f t="shared" si="698"/>
        <v>58.333333333333336</v>
      </c>
      <c r="AD2635" s="2243">
        <f t="shared" si="698"/>
        <v>46.52</v>
      </c>
      <c r="AE2635" s="2390"/>
      <c r="AF2635" s="2400"/>
      <c r="AG2635" s="2400"/>
      <c r="AH2635" s="2400"/>
      <c r="AI2635" s="2400"/>
      <c r="AJ2635" s="2400"/>
      <c r="AK2635" s="2400"/>
      <c r="AL2635" s="2400"/>
      <c r="AM2635" s="2400"/>
      <c r="AN2635" s="2400"/>
      <c r="AO2635" s="2400"/>
      <c r="AP2635" s="2400"/>
      <c r="AQ2635" s="2400"/>
      <c r="AR2635" s="2400"/>
      <c r="AS2635" s="2400"/>
      <c r="AT2635" s="2400"/>
      <c r="AU2635" s="2400"/>
      <c r="AV2635" s="2400"/>
      <c r="AW2635" s="2400"/>
      <c r="AX2635" s="2400"/>
      <c r="AY2635" s="2400"/>
      <c r="AZ2635" s="2400"/>
      <c r="BA2635" s="2400"/>
      <c r="BB2635" s="2400"/>
      <c r="BC2635" s="2400"/>
      <c r="BD2635" s="2400"/>
      <c r="BE2635" s="2400"/>
      <c r="BF2635" s="2400"/>
      <c r="BG2635" s="2400"/>
      <c r="BH2635" s="2400"/>
      <c r="BI2635" s="2400"/>
      <c r="BJ2635" s="2400"/>
      <c r="BK2635" s="2400"/>
      <c r="BL2635" s="2400"/>
      <c r="BM2635" s="2400"/>
      <c r="BN2635" s="2400"/>
      <c r="BO2635" s="2400"/>
      <c r="BP2635" s="2400"/>
      <c r="BQ2635" s="2400"/>
      <c r="BR2635" s="2400"/>
      <c r="BS2635" s="2400"/>
    </row>
    <row r="2636" spans="1:71" s="2131" customFormat="1" ht="59.25" customHeight="1">
      <c r="A2636" s="2152"/>
      <c r="B2636" s="2260"/>
      <c r="C2636" s="2152">
        <v>5</v>
      </c>
      <c r="D2636" s="2164" t="s">
        <v>34</v>
      </c>
      <c r="E2636" s="2164" t="s">
        <v>25</v>
      </c>
      <c r="F2636" s="2164" t="s">
        <v>45</v>
      </c>
      <c r="G2636" s="2164" t="s">
        <v>25</v>
      </c>
      <c r="H2636" s="2164" t="s">
        <v>28</v>
      </c>
      <c r="I2636" s="2260" t="s">
        <v>3684</v>
      </c>
      <c r="J2636" s="2260" t="s">
        <v>3627</v>
      </c>
      <c r="K2636" s="2240">
        <v>72</v>
      </c>
      <c r="L2636" s="2303">
        <v>72332900</v>
      </c>
      <c r="M2636" s="2240">
        <v>36</v>
      </c>
      <c r="N2636" s="2241">
        <v>14559038</v>
      </c>
      <c r="O2636" s="2393">
        <v>12</v>
      </c>
      <c r="P2636" s="2242">
        <v>8400000</v>
      </c>
      <c r="Q2636" s="2394">
        <v>3</v>
      </c>
      <c r="R2636" s="2193">
        <v>1710548</v>
      </c>
      <c r="S2636" s="2703">
        <v>3</v>
      </c>
      <c r="T2636" s="2241">
        <v>2228430</v>
      </c>
      <c r="U2636" s="2396"/>
      <c r="V2636" s="2241"/>
      <c r="W2636" s="2396"/>
      <c r="X2636" s="2241"/>
      <c r="Y2636" s="2243">
        <f t="shared" si="696"/>
        <v>6</v>
      </c>
      <c r="Z2636" s="2307">
        <f t="shared" si="696"/>
        <v>3938978</v>
      </c>
      <c r="AA2636" s="2240">
        <f t="shared" si="697"/>
        <v>42</v>
      </c>
      <c r="AB2636" s="2241">
        <f t="shared" si="697"/>
        <v>18498016</v>
      </c>
      <c r="AC2636" s="2243">
        <f t="shared" si="698"/>
        <v>58.333333333333336</v>
      </c>
      <c r="AD2636" s="2243">
        <f t="shared" si="698"/>
        <v>25.573447214199902</v>
      </c>
      <c r="AE2636" s="2401"/>
      <c r="AF2636" s="2259"/>
      <c r="AG2636" s="2259"/>
      <c r="AH2636" s="2259"/>
      <c r="AI2636" s="2259"/>
      <c r="AJ2636" s="2259"/>
      <c r="AK2636" s="2259"/>
      <c r="AL2636" s="2259"/>
      <c r="AM2636" s="2259"/>
      <c r="AN2636" s="2259"/>
      <c r="AO2636" s="2259"/>
      <c r="AP2636" s="2259"/>
      <c r="AQ2636" s="2259"/>
      <c r="AR2636" s="2259"/>
      <c r="AS2636" s="2259"/>
      <c r="AT2636" s="2259"/>
      <c r="AU2636" s="2259"/>
      <c r="AV2636" s="2259"/>
      <c r="AW2636" s="2259"/>
      <c r="AX2636" s="2259"/>
      <c r="AY2636" s="2259"/>
      <c r="AZ2636" s="2259"/>
      <c r="BA2636" s="2259"/>
      <c r="BB2636" s="2259"/>
      <c r="BC2636" s="2259"/>
      <c r="BD2636" s="2259"/>
      <c r="BE2636" s="2259"/>
      <c r="BF2636" s="2259"/>
      <c r="BG2636" s="2259"/>
      <c r="BH2636" s="2259"/>
      <c r="BI2636" s="2259"/>
      <c r="BJ2636" s="2259"/>
      <c r="BK2636" s="2259"/>
      <c r="BL2636" s="2259"/>
      <c r="BM2636" s="2259"/>
      <c r="BN2636" s="2259"/>
      <c r="BO2636" s="2259"/>
      <c r="BP2636" s="2259"/>
      <c r="BQ2636" s="2259"/>
      <c r="BR2636" s="2259"/>
      <c r="BS2636" s="2259"/>
    </row>
    <row r="2637" spans="1:71" s="2131" customFormat="1" ht="63.75">
      <c r="A2637" s="2152"/>
      <c r="B2637" s="2260"/>
      <c r="C2637" s="2152">
        <v>5</v>
      </c>
      <c r="D2637" s="2164" t="s">
        <v>34</v>
      </c>
      <c r="E2637" s="2164" t="s">
        <v>25</v>
      </c>
      <c r="F2637" s="2164" t="s">
        <v>45</v>
      </c>
      <c r="G2637" s="2164" t="s">
        <v>25</v>
      </c>
      <c r="H2637" s="2164" t="s">
        <v>29</v>
      </c>
      <c r="I2637" s="2260" t="s">
        <v>3685</v>
      </c>
      <c r="J2637" s="2260" t="s">
        <v>3628</v>
      </c>
      <c r="K2637" s="2240">
        <v>72</v>
      </c>
      <c r="L2637" s="2241">
        <v>484800000</v>
      </c>
      <c r="M2637" s="2240">
        <v>36</v>
      </c>
      <c r="N2637" s="2241">
        <v>127045000</v>
      </c>
      <c r="O2637" s="2393">
        <v>12</v>
      </c>
      <c r="P2637" s="2242">
        <v>46200000</v>
      </c>
      <c r="Q2637" s="2394">
        <v>3</v>
      </c>
      <c r="R2637" s="2193">
        <v>11550000</v>
      </c>
      <c r="S2637" s="2703">
        <v>3</v>
      </c>
      <c r="T2637" s="2241">
        <v>11550000</v>
      </c>
      <c r="U2637" s="2396"/>
      <c r="V2637" s="2241"/>
      <c r="W2637" s="2396"/>
      <c r="X2637" s="2241"/>
      <c r="Y2637" s="2240">
        <f t="shared" si="696"/>
        <v>6</v>
      </c>
      <c r="Z2637" s="2307">
        <f t="shared" si="696"/>
        <v>23100000</v>
      </c>
      <c r="AA2637" s="2240">
        <f t="shared" si="697"/>
        <v>42</v>
      </c>
      <c r="AB2637" s="2241">
        <f t="shared" si="697"/>
        <v>150145000</v>
      </c>
      <c r="AC2637" s="2243">
        <f t="shared" si="698"/>
        <v>58.333333333333336</v>
      </c>
      <c r="AD2637" s="2243">
        <f t="shared" si="698"/>
        <v>30.970503300330034</v>
      </c>
      <c r="AE2637" s="2401"/>
    </row>
    <row r="2638" spans="1:71" s="2131" customFormat="1" ht="51">
      <c r="A2638" s="2152"/>
      <c r="B2638" s="2260"/>
      <c r="C2638" s="2152">
        <v>5</v>
      </c>
      <c r="D2638" s="2164" t="s">
        <v>34</v>
      </c>
      <c r="E2638" s="2164" t="s">
        <v>25</v>
      </c>
      <c r="F2638" s="2164" t="s">
        <v>45</v>
      </c>
      <c r="G2638" s="2164" t="s">
        <v>25</v>
      </c>
      <c r="H2638" s="2164" t="s">
        <v>30</v>
      </c>
      <c r="I2638" s="2260" t="s">
        <v>110</v>
      </c>
      <c r="J2638" s="2260" t="s">
        <v>3629</v>
      </c>
      <c r="K2638" s="2240">
        <v>72</v>
      </c>
      <c r="L2638" s="2241">
        <v>67518000</v>
      </c>
      <c r="M2638" s="2240">
        <v>36</v>
      </c>
      <c r="N2638" s="2241">
        <v>28077040</v>
      </c>
      <c r="O2638" s="2393">
        <v>12</v>
      </c>
      <c r="P2638" s="2242">
        <v>16954570</v>
      </c>
      <c r="Q2638" s="2394">
        <v>3</v>
      </c>
      <c r="R2638" s="2193">
        <v>3787500</v>
      </c>
      <c r="S2638" s="2703">
        <v>3</v>
      </c>
      <c r="T2638" s="2241">
        <v>3780000</v>
      </c>
      <c r="U2638" s="2396"/>
      <c r="V2638" s="2241"/>
      <c r="W2638" s="2396"/>
      <c r="X2638" s="2241"/>
      <c r="Y2638" s="2240">
        <f t="shared" si="696"/>
        <v>6</v>
      </c>
      <c r="Z2638" s="2307">
        <f t="shared" si="696"/>
        <v>7567500</v>
      </c>
      <c r="AA2638" s="2240">
        <f t="shared" si="697"/>
        <v>42</v>
      </c>
      <c r="AB2638" s="2241">
        <f t="shared" si="697"/>
        <v>35644540</v>
      </c>
      <c r="AC2638" s="2243">
        <f t="shared" si="698"/>
        <v>58.333333333333336</v>
      </c>
      <c r="AD2638" s="2243">
        <f t="shared" si="698"/>
        <v>52.792647886489533</v>
      </c>
      <c r="AE2638" s="2401"/>
    </row>
    <row r="2639" spans="1:71" s="2131" customFormat="1" ht="25.5">
      <c r="A2639" s="2152"/>
      <c r="B2639" s="2260"/>
      <c r="C2639" s="2152">
        <v>5</v>
      </c>
      <c r="D2639" s="2164" t="s">
        <v>34</v>
      </c>
      <c r="E2639" s="2164" t="s">
        <v>25</v>
      </c>
      <c r="F2639" s="2164" t="s">
        <v>45</v>
      </c>
      <c r="G2639" s="2164" t="s">
        <v>25</v>
      </c>
      <c r="H2639" s="2164" t="s">
        <v>31</v>
      </c>
      <c r="I2639" s="2260" t="s">
        <v>163</v>
      </c>
      <c r="J2639" s="2260" t="s">
        <v>1339</v>
      </c>
      <c r="K2639" s="2240">
        <v>72</v>
      </c>
      <c r="L2639" s="2241">
        <v>43766000</v>
      </c>
      <c r="M2639" s="2240">
        <v>36</v>
      </c>
      <c r="N2639" s="2241">
        <v>27221893</v>
      </c>
      <c r="O2639" s="2393">
        <v>12</v>
      </c>
      <c r="P2639" s="2242">
        <v>21971492</v>
      </c>
      <c r="Q2639" s="2394">
        <v>3</v>
      </c>
      <c r="R2639" s="2193">
        <v>2575400</v>
      </c>
      <c r="S2639" s="2703">
        <v>3</v>
      </c>
      <c r="T2639" s="2241">
        <v>4096000</v>
      </c>
      <c r="U2639" s="2396"/>
      <c r="V2639" s="2241"/>
      <c r="W2639" s="2396"/>
      <c r="X2639" s="2241"/>
      <c r="Y2639" s="2240">
        <f t="shared" si="696"/>
        <v>6</v>
      </c>
      <c r="Z2639" s="2307">
        <f t="shared" si="696"/>
        <v>6671400</v>
      </c>
      <c r="AA2639" s="2240">
        <f t="shared" si="697"/>
        <v>42</v>
      </c>
      <c r="AB2639" s="2241">
        <f t="shared" si="697"/>
        <v>33893293</v>
      </c>
      <c r="AC2639" s="2243">
        <f t="shared" si="698"/>
        <v>58.333333333333336</v>
      </c>
      <c r="AD2639" s="2243">
        <f t="shared" si="698"/>
        <v>77.442062331490206</v>
      </c>
      <c r="AE2639" s="2401"/>
    </row>
    <row r="2640" spans="1:71" s="2131" customFormat="1" ht="25.5">
      <c r="A2640" s="2152"/>
      <c r="B2640" s="2260"/>
      <c r="C2640" s="2152">
        <v>5</v>
      </c>
      <c r="D2640" s="2164" t="s">
        <v>34</v>
      </c>
      <c r="E2640" s="2164" t="s">
        <v>25</v>
      </c>
      <c r="F2640" s="2164" t="s">
        <v>45</v>
      </c>
      <c r="G2640" s="2164" t="s">
        <v>25</v>
      </c>
      <c r="H2640" s="2164" t="s">
        <v>62</v>
      </c>
      <c r="I2640" s="2260" t="s">
        <v>155</v>
      </c>
      <c r="J2640" s="2265" t="s">
        <v>3952</v>
      </c>
      <c r="K2640" s="2240">
        <v>72</v>
      </c>
      <c r="L2640" s="2241">
        <v>34472000</v>
      </c>
      <c r="M2640" s="2240">
        <v>36</v>
      </c>
      <c r="N2640" s="2241">
        <v>13672200</v>
      </c>
      <c r="O2640" s="2393">
        <v>12</v>
      </c>
      <c r="P2640" s="2242">
        <v>8035000</v>
      </c>
      <c r="Q2640" s="2394">
        <v>3</v>
      </c>
      <c r="R2640" s="2193">
        <v>1720100</v>
      </c>
      <c r="S2640" s="2703">
        <v>3</v>
      </c>
      <c r="T2640" s="2241">
        <v>979500</v>
      </c>
      <c r="U2640" s="2396"/>
      <c r="V2640" s="2241"/>
      <c r="W2640" s="2396"/>
      <c r="X2640" s="2241"/>
      <c r="Y2640" s="2240">
        <f t="shared" si="696"/>
        <v>6</v>
      </c>
      <c r="Z2640" s="2307">
        <f t="shared" si="696"/>
        <v>2699600</v>
      </c>
      <c r="AA2640" s="2240">
        <f t="shared" si="697"/>
        <v>42</v>
      </c>
      <c r="AB2640" s="2241">
        <f t="shared" si="697"/>
        <v>16371800</v>
      </c>
      <c r="AC2640" s="2243">
        <f t="shared" si="698"/>
        <v>58.333333333333336</v>
      </c>
      <c r="AD2640" s="2243">
        <f t="shared" si="698"/>
        <v>47.493037827802276</v>
      </c>
      <c r="AE2640" s="2401"/>
    </row>
    <row r="2641" spans="1:31" s="2131" customFormat="1" ht="51">
      <c r="A2641" s="2152"/>
      <c r="B2641" s="2260"/>
      <c r="C2641" s="2152">
        <v>5</v>
      </c>
      <c r="D2641" s="2164" t="s">
        <v>34</v>
      </c>
      <c r="E2641" s="2164" t="s">
        <v>25</v>
      </c>
      <c r="F2641" s="2164" t="s">
        <v>45</v>
      </c>
      <c r="G2641" s="2164" t="s">
        <v>25</v>
      </c>
      <c r="H2641" s="2164" t="s">
        <v>52</v>
      </c>
      <c r="I2641" s="2260" t="s">
        <v>3687</v>
      </c>
      <c r="J2641" s="2260" t="s">
        <v>3953</v>
      </c>
      <c r="K2641" s="2240">
        <v>72</v>
      </c>
      <c r="L2641" s="2241">
        <v>18079500</v>
      </c>
      <c r="M2641" s="2240">
        <v>36</v>
      </c>
      <c r="N2641" s="2241">
        <v>3546200</v>
      </c>
      <c r="O2641" s="2393">
        <v>12</v>
      </c>
      <c r="P2641" s="2242">
        <v>2375960</v>
      </c>
      <c r="Q2641" s="2394">
        <v>3</v>
      </c>
      <c r="R2641" s="2193">
        <v>928000</v>
      </c>
      <c r="S2641" s="2703">
        <v>3</v>
      </c>
      <c r="T2641" s="2241">
        <v>909500</v>
      </c>
      <c r="U2641" s="2396"/>
      <c r="V2641" s="2241"/>
      <c r="W2641" s="2396"/>
      <c r="X2641" s="2241"/>
      <c r="Y2641" s="2240">
        <f t="shared" si="696"/>
        <v>6</v>
      </c>
      <c r="Z2641" s="2307">
        <f t="shared" si="696"/>
        <v>1837500</v>
      </c>
      <c r="AA2641" s="2240">
        <f t="shared" si="697"/>
        <v>42</v>
      </c>
      <c r="AB2641" s="2241">
        <f t="shared" si="697"/>
        <v>5383700</v>
      </c>
      <c r="AC2641" s="2243">
        <f t="shared" si="698"/>
        <v>58.333333333333336</v>
      </c>
      <c r="AD2641" s="2243">
        <f t="shared" si="698"/>
        <v>29.777925274482147</v>
      </c>
      <c r="AE2641" s="2401"/>
    </row>
    <row r="2642" spans="1:31" s="2131" customFormat="1" ht="63.75">
      <c r="A2642" s="2152"/>
      <c r="B2642" s="2260"/>
      <c r="C2642" s="2152">
        <v>5</v>
      </c>
      <c r="D2642" s="2164" t="s">
        <v>34</v>
      </c>
      <c r="E2642" s="2164" t="s">
        <v>25</v>
      </c>
      <c r="F2642" s="2164" t="s">
        <v>45</v>
      </c>
      <c r="G2642" s="2164" t="s">
        <v>25</v>
      </c>
      <c r="H2642" s="2164" t="s">
        <v>45</v>
      </c>
      <c r="I2642" s="2260" t="s">
        <v>3688</v>
      </c>
      <c r="J2642" s="2260" t="s">
        <v>3632</v>
      </c>
      <c r="K2642" s="2240">
        <v>72</v>
      </c>
      <c r="L2642" s="2241">
        <v>27000000</v>
      </c>
      <c r="M2642" s="2240">
        <v>36</v>
      </c>
      <c r="N2642" s="2241">
        <v>6960000</v>
      </c>
      <c r="O2642" s="2393">
        <v>12</v>
      </c>
      <c r="P2642" s="2242">
        <v>4080000</v>
      </c>
      <c r="Q2642" s="2394">
        <v>3</v>
      </c>
      <c r="R2642" s="2193">
        <v>240000</v>
      </c>
      <c r="S2642" s="2703">
        <v>3</v>
      </c>
      <c r="T2642" s="2241">
        <v>480000</v>
      </c>
      <c r="U2642" s="2396"/>
      <c r="V2642" s="2241"/>
      <c r="W2642" s="2396"/>
      <c r="X2642" s="2241"/>
      <c r="Y2642" s="2240">
        <f t="shared" si="696"/>
        <v>6</v>
      </c>
      <c r="Z2642" s="2307">
        <f t="shared" si="696"/>
        <v>720000</v>
      </c>
      <c r="AA2642" s="2240">
        <f t="shared" si="697"/>
        <v>42</v>
      </c>
      <c r="AB2642" s="2241">
        <f t="shared" si="697"/>
        <v>7680000</v>
      </c>
      <c r="AC2642" s="2243">
        <f t="shared" si="698"/>
        <v>58.333333333333336</v>
      </c>
      <c r="AD2642" s="2243">
        <f t="shared" si="698"/>
        <v>28.444444444444443</v>
      </c>
      <c r="AE2642" s="2401"/>
    </row>
    <row r="2643" spans="1:31" s="2131" customFormat="1" ht="38.25">
      <c r="A2643" s="2152"/>
      <c r="B2643" s="2260"/>
      <c r="C2643" s="2152">
        <v>5</v>
      </c>
      <c r="D2643" s="2164" t="s">
        <v>34</v>
      </c>
      <c r="E2643" s="2164" t="s">
        <v>25</v>
      </c>
      <c r="F2643" s="2164" t="s">
        <v>45</v>
      </c>
      <c r="G2643" s="2164" t="s">
        <v>25</v>
      </c>
      <c r="H2643" s="2164" t="s">
        <v>74</v>
      </c>
      <c r="I2643" s="2260" t="s">
        <v>167</v>
      </c>
      <c r="J2643" s="2265" t="s">
        <v>3633</v>
      </c>
      <c r="K2643" s="2240">
        <v>72</v>
      </c>
      <c r="L2643" s="2241">
        <v>46800000</v>
      </c>
      <c r="M2643" s="2240">
        <v>36</v>
      </c>
      <c r="N2643" s="2241">
        <v>26660600</v>
      </c>
      <c r="O2643" s="2393">
        <v>12</v>
      </c>
      <c r="P2643" s="2242">
        <v>16690000</v>
      </c>
      <c r="Q2643" s="2394">
        <v>3</v>
      </c>
      <c r="R2643" s="2193">
        <v>2075000</v>
      </c>
      <c r="S2643" s="2703">
        <v>3</v>
      </c>
      <c r="T2643" s="2241">
        <v>3125000</v>
      </c>
      <c r="U2643" s="2396"/>
      <c r="V2643" s="2241"/>
      <c r="W2643" s="2396"/>
      <c r="X2643" s="2241"/>
      <c r="Y2643" s="2240">
        <f t="shared" si="696"/>
        <v>6</v>
      </c>
      <c r="Z2643" s="2307">
        <f t="shared" si="696"/>
        <v>5200000</v>
      </c>
      <c r="AA2643" s="2240">
        <f t="shared" si="697"/>
        <v>42</v>
      </c>
      <c r="AB2643" s="2241">
        <f t="shared" si="697"/>
        <v>31860600</v>
      </c>
      <c r="AC2643" s="2243">
        <f t="shared" si="698"/>
        <v>58.333333333333336</v>
      </c>
      <c r="AD2643" s="2243">
        <f t="shared" si="698"/>
        <v>68.078205128205127</v>
      </c>
      <c r="AE2643" s="2401"/>
    </row>
    <row r="2644" spans="1:31" s="2131" customFormat="1" ht="51">
      <c r="A2644" s="2152"/>
      <c r="B2644" s="2260"/>
      <c r="C2644" s="2152">
        <v>5</v>
      </c>
      <c r="D2644" s="2164" t="s">
        <v>34</v>
      </c>
      <c r="E2644" s="2164" t="s">
        <v>25</v>
      </c>
      <c r="F2644" s="2164" t="s">
        <v>45</v>
      </c>
      <c r="G2644" s="2164" t="s">
        <v>25</v>
      </c>
      <c r="H2644" s="2164" t="s">
        <v>44</v>
      </c>
      <c r="I2644" s="2260" t="s">
        <v>233</v>
      </c>
      <c r="J2644" s="2260" t="s">
        <v>3634</v>
      </c>
      <c r="K2644" s="2240">
        <v>72</v>
      </c>
      <c r="L2644" s="2241">
        <v>184400000</v>
      </c>
      <c r="M2644" s="2240">
        <v>36</v>
      </c>
      <c r="N2644" s="2241">
        <v>63220000</v>
      </c>
      <c r="O2644" s="2393">
        <v>12</v>
      </c>
      <c r="P2644" s="2242">
        <v>15575000</v>
      </c>
      <c r="Q2644" s="2394">
        <v>3</v>
      </c>
      <c r="R2644" s="2193">
        <v>0</v>
      </c>
      <c r="S2644" s="2703">
        <v>3</v>
      </c>
      <c r="T2644" s="2241">
        <v>1650000</v>
      </c>
      <c r="U2644" s="2396"/>
      <c r="V2644" s="2241"/>
      <c r="W2644" s="2396"/>
      <c r="X2644" s="2241"/>
      <c r="Y2644" s="2240">
        <f t="shared" si="696"/>
        <v>6</v>
      </c>
      <c r="Z2644" s="2307">
        <f t="shared" si="696"/>
        <v>1650000</v>
      </c>
      <c r="AA2644" s="2240">
        <f t="shared" si="697"/>
        <v>42</v>
      </c>
      <c r="AB2644" s="2241">
        <f t="shared" si="697"/>
        <v>64870000</v>
      </c>
      <c r="AC2644" s="2243">
        <f t="shared" si="698"/>
        <v>58.333333333333336</v>
      </c>
      <c r="AD2644" s="2243">
        <f t="shared" si="698"/>
        <v>35.178958785249456</v>
      </c>
      <c r="AE2644" s="2401"/>
    </row>
    <row r="2645" spans="1:31" s="2131" customFormat="1" ht="51">
      <c r="A2645" s="2152"/>
      <c r="B2645" s="2260"/>
      <c r="C2645" s="2152">
        <v>5</v>
      </c>
      <c r="D2645" s="2164" t="s">
        <v>34</v>
      </c>
      <c r="E2645" s="2164" t="s">
        <v>25</v>
      </c>
      <c r="F2645" s="2164" t="s">
        <v>45</v>
      </c>
      <c r="G2645" s="2164" t="s">
        <v>25</v>
      </c>
      <c r="H2645" s="2164" t="s">
        <v>54</v>
      </c>
      <c r="I2645" s="2260" t="s">
        <v>3689</v>
      </c>
      <c r="J2645" s="2260" t="s">
        <v>3635</v>
      </c>
      <c r="K2645" s="2240">
        <v>72</v>
      </c>
      <c r="L2645" s="2241">
        <v>297880000</v>
      </c>
      <c r="M2645" s="2240">
        <v>36</v>
      </c>
      <c r="N2645" s="2241">
        <v>147670000</v>
      </c>
      <c r="O2645" s="2393">
        <v>12</v>
      </c>
      <c r="P2645" s="2242">
        <v>68230000</v>
      </c>
      <c r="Q2645" s="2394">
        <v>3</v>
      </c>
      <c r="R2645" s="2193">
        <v>13960000</v>
      </c>
      <c r="S2645" s="2405">
        <v>3</v>
      </c>
      <c r="T2645" s="2241">
        <v>23430000</v>
      </c>
      <c r="U2645" s="2396"/>
      <c r="V2645" s="2241"/>
      <c r="W2645" s="2396"/>
      <c r="X2645" s="2241"/>
      <c r="Y2645" s="2240">
        <f t="shared" si="696"/>
        <v>6</v>
      </c>
      <c r="Z2645" s="2307">
        <f t="shared" si="696"/>
        <v>37390000</v>
      </c>
      <c r="AA2645" s="2240">
        <f t="shared" si="697"/>
        <v>42</v>
      </c>
      <c r="AB2645" s="2241">
        <f t="shared" si="697"/>
        <v>185060000</v>
      </c>
      <c r="AC2645" s="2243">
        <f t="shared" si="698"/>
        <v>58.333333333333336</v>
      </c>
      <c r="AD2645" s="2243">
        <f t="shared" si="698"/>
        <v>62.125688196589238</v>
      </c>
      <c r="AE2645" s="2401"/>
    </row>
    <row r="2646" spans="1:31" s="2131" customFormat="1" ht="51">
      <c r="A2646" s="2152"/>
      <c r="B2646" s="2260"/>
      <c r="C2646" s="2152">
        <v>5</v>
      </c>
      <c r="D2646" s="2164" t="s">
        <v>34</v>
      </c>
      <c r="E2646" s="2164" t="s">
        <v>25</v>
      </c>
      <c r="F2646" s="2164" t="s">
        <v>45</v>
      </c>
      <c r="G2646" s="2164" t="s">
        <v>25</v>
      </c>
      <c r="H2646" s="2164" t="s">
        <v>54</v>
      </c>
      <c r="I2646" s="2260" t="s">
        <v>3689</v>
      </c>
      <c r="J2646" s="2260" t="s">
        <v>3635</v>
      </c>
      <c r="K2646" s="2240">
        <v>36</v>
      </c>
      <c r="L2646" s="2241">
        <f>3*P2646</f>
        <v>19825500</v>
      </c>
      <c r="M2646" s="2240">
        <v>0</v>
      </c>
      <c r="N2646" s="2241">
        <v>0</v>
      </c>
      <c r="O2646" s="2393">
        <v>12</v>
      </c>
      <c r="P2646" s="2242">
        <v>6608500</v>
      </c>
      <c r="Q2646" s="2394">
        <v>3</v>
      </c>
      <c r="R2646" s="2193">
        <v>392900</v>
      </c>
      <c r="S2646" s="2405">
        <v>3</v>
      </c>
      <c r="T2646" s="2241">
        <v>2866950</v>
      </c>
      <c r="U2646" s="2396"/>
      <c r="V2646" s="2241"/>
      <c r="W2646" s="2396"/>
      <c r="X2646" s="2241"/>
      <c r="Y2646" s="2240">
        <f t="shared" si="696"/>
        <v>6</v>
      </c>
      <c r="Z2646" s="2307">
        <f t="shared" si="696"/>
        <v>3259850</v>
      </c>
      <c r="AA2646" s="2240">
        <f t="shared" si="697"/>
        <v>6</v>
      </c>
      <c r="AB2646" s="2241">
        <f t="shared" si="697"/>
        <v>3259850</v>
      </c>
      <c r="AC2646" s="2243">
        <f t="shared" si="698"/>
        <v>16.666666666666664</v>
      </c>
      <c r="AD2646" s="2243">
        <f t="shared" si="698"/>
        <v>16.442712668028552</v>
      </c>
      <c r="AE2646" s="2401"/>
    </row>
    <row r="2647" spans="1:31" s="2131" customFormat="1" ht="51">
      <c r="A2647" s="2140" t="s">
        <v>114</v>
      </c>
      <c r="B2647" s="2194"/>
      <c r="C2647" s="2140">
        <v>5</v>
      </c>
      <c r="D2647" s="2142" t="s">
        <v>34</v>
      </c>
      <c r="E2647" s="2142" t="s">
        <v>25</v>
      </c>
      <c r="F2647" s="2142" t="s">
        <v>45</v>
      </c>
      <c r="G2647" s="2142" t="s">
        <v>28</v>
      </c>
      <c r="H2647" s="2140"/>
      <c r="I2647" s="2143" t="s">
        <v>3636</v>
      </c>
      <c r="J2647" s="2143" t="s">
        <v>4133</v>
      </c>
      <c r="K2647" s="2144">
        <v>72</v>
      </c>
      <c r="L2647" s="2145">
        <f>SUM(L2648:L2654)</f>
        <v>648720000</v>
      </c>
      <c r="M2647" s="2144">
        <v>36</v>
      </c>
      <c r="N2647" s="2145">
        <f>SUM(N2648:N2654)</f>
        <v>178099895</v>
      </c>
      <c r="O2647" s="2144">
        <v>12</v>
      </c>
      <c r="P2647" s="2145">
        <f>SUM(P2648:P2654)</f>
        <v>91586078</v>
      </c>
      <c r="Q2647" s="2402">
        <v>3</v>
      </c>
      <c r="R2647" s="2402">
        <f t="shared" ref="R2647" si="699">SUM(R2648:R2655)</f>
        <v>21863750</v>
      </c>
      <c r="S2647" s="2195">
        <v>3</v>
      </c>
      <c r="T2647" s="2145">
        <f>SUM(T2648:T2654)</f>
        <v>37298881</v>
      </c>
      <c r="U2647" s="2147"/>
      <c r="V2647" s="2145">
        <f>SUM(V2648:V2654)</f>
        <v>0</v>
      </c>
      <c r="W2647" s="2144"/>
      <c r="X2647" s="2145">
        <f>SUM(X2648:X2654)</f>
        <v>0</v>
      </c>
      <c r="Y2647" s="2147">
        <f t="shared" si="696"/>
        <v>6</v>
      </c>
      <c r="Z2647" s="2145">
        <f t="shared" si="696"/>
        <v>59162631</v>
      </c>
      <c r="AA2647" s="2144">
        <f t="shared" si="697"/>
        <v>42</v>
      </c>
      <c r="AB2647" s="2145">
        <f t="shared" si="697"/>
        <v>237262526</v>
      </c>
      <c r="AC2647" s="2147">
        <f t="shared" si="698"/>
        <v>58.333333333333336</v>
      </c>
      <c r="AD2647" s="2147">
        <f t="shared" si="698"/>
        <v>36.573949623874711</v>
      </c>
      <c r="AE2647" s="2204" t="s">
        <v>3950</v>
      </c>
    </row>
    <row r="2648" spans="1:31" s="2131" customFormat="1" ht="25.5">
      <c r="A2648" s="2152"/>
      <c r="B2648" s="2260"/>
      <c r="C2648" s="2152">
        <v>5</v>
      </c>
      <c r="D2648" s="2164" t="s">
        <v>34</v>
      </c>
      <c r="E2648" s="2164" t="s">
        <v>25</v>
      </c>
      <c r="F2648" s="2164" t="s">
        <v>45</v>
      </c>
      <c r="G2648" s="2164" t="s">
        <v>28</v>
      </c>
      <c r="H2648" s="2164" t="s">
        <v>39</v>
      </c>
      <c r="I2648" s="2260" t="s">
        <v>531</v>
      </c>
      <c r="J2648" s="2260" t="s">
        <v>3954</v>
      </c>
      <c r="K2648" s="2240">
        <v>1</v>
      </c>
      <c r="L2648" s="2241">
        <f>P2648</f>
        <v>20000000</v>
      </c>
      <c r="M2648" s="2240">
        <v>0</v>
      </c>
      <c r="N2648" s="2241">
        <v>0</v>
      </c>
      <c r="O2648" s="2240">
        <v>1</v>
      </c>
      <c r="P2648" s="2242">
        <v>20000000</v>
      </c>
      <c r="Q2648" s="2403"/>
      <c r="R2648" s="2404"/>
      <c r="S2648" s="2405">
        <v>1</v>
      </c>
      <c r="T2648" s="2241">
        <v>19796000</v>
      </c>
      <c r="U2648" s="2405"/>
      <c r="V2648" s="2241"/>
      <c r="W2648" s="2240"/>
      <c r="X2648" s="2241"/>
      <c r="Y2648" s="2178">
        <f t="shared" si="696"/>
        <v>1</v>
      </c>
      <c r="Z2648" s="2241">
        <f t="shared" si="696"/>
        <v>19796000</v>
      </c>
      <c r="AA2648" s="2243">
        <f t="shared" si="697"/>
        <v>1</v>
      </c>
      <c r="AB2648" s="2241">
        <f t="shared" si="697"/>
        <v>19796000</v>
      </c>
      <c r="AC2648" s="2243">
        <f t="shared" si="698"/>
        <v>100</v>
      </c>
      <c r="AD2648" s="2243">
        <f t="shared" si="698"/>
        <v>98.98</v>
      </c>
      <c r="AE2648" s="2455"/>
    </row>
    <row r="2649" spans="1:31" s="2131" customFormat="1" ht="51">
      <c r="A2649" s="2152"/>
      <c r="B2649" s="2260"/>
      <c r="C2649" s="2152">
        <v>5</v>
      </c>
      <c r="D2649" s="2164" t="s">
        <v>34</v>
      </c>
      <c r="E2649" s="2164" t="s">
        <v>25</v>
      </c>
      <c r="F2649" s="2164" t="s">
        <v>45</v>
      </c>
      <c r="G2649" s="2164" t="s">
        <v>28</v>
      </c>
      <c r="H2649" s="2164" t="s">
        <v>43</v>
      </c>
      <c r="I2649" s="2260" t="s">
        <v>82</v>
      </c>
      <c r="J2649" s="2260" t="s">
        <v>3957</v>
      </c>
      <c r="K2649" s="2240">
        <v>20</v>
      </c>
      <c r="L2649" s="2241">
        <v>135000000</v>
      </c>
      <c r="M2649" s="2240">
        <v>6</v>
      </c>
      <c r="N2649" s="2241">
        <v>87301334</v>
      </c>
      <c r="O2649" s="2240">
        <v>2</v>
      </c>
      <c r="P2649" s="2242">
        <v>38486078</v>
      </c>
      <c r="Q2649" s="2406">
        <v>1</v>
      </c>
      <c r="R2649" s="2407">
        <v>13835000</v>
      </c>
      <c r="S2649" s="2405">
        <v>1</v>
      </c>
      <c r="T2649" s="2241">
        <v>9900000</v>
      </c>
      <c r="U2649" s="2405"/>
      <c r="V2649" s="2241"/>
      <c r="W2649" s="2240"/>
      <c r="X2649" s="2241"/>
      <c r="Y2649" s="2178">
        <f t="shared" si="696"/>
        <v>2</v>
      </c>
      <c r="Z2649" s="2241">
        <f t="shared" si="696"/>
        <v>23735000</v>
      </c>
      <c r="AA2649" s="2243">
        <f t="shared" si="697"/>
        <v>8</v>
      </c>
      <c r="AB2649" s="2241">
        <f t="shared" si="697"/>
        <v>111036334</v>
      </c>
      <c r="AC2649" s="2243">
        <f t="shared" si="698"/>
        <v>40</v>
      </c>
      <c r="AD2649" s="2243">
        <f t="shared" si="698"/>
        <v>82.2491362962963</v>
      </c>
      <c r="AE2649" s="2455"/>
    </row>
    <row r="2650" spans="1:31" s="2131" customFormat="1" ht="38.25">
      <c r="A2650" s="2152"/>
      <c r="B2650" s="2260"/>
      <c r="C2650" s="2152">
        <v>5</v>
      </c>
      <c r="D2650" s="2164" t="s">
        <v>34</v>
      </c>
      <c r="E2650" s="2164" t="s">
        <v>25</v>
      </c>
      <c r="F2650" s="2164" t="s">
        <v>45</v>
      </c>
      <c r="G2650" s="2164" t="s">
        <v>28</v>
      </c>
      <c r="H2650" s="2164" t="s">
        <v>54</v>
      </c>
      <c r="I2650" s="2260" t="s">
        <v>3955</v>
      </c>
      <c r="J2650" s="2260" t="s">
        <v>3956</v>
      </c>
      <c r="K2650" s="2240">
        <v>6</v>
      </c>
      <c r="L2650" s="2241">
        <v>105720000</v>
      </c>
      <c r="M2650" s="2240">
        <v>2</v>
      </c>
      <c r="N2650" s="2241">
        <v>24138656</v>
      </c>
      <c r="O2650" s="2240">
        <v>1</v>
      </c>
      <c r="P2650" s="2242">
        <v>2000000</v>
      </c>
      <c r="Q2650" s="2408">
        <v>0</v>
      </c>
      <c r="R2650" s="2407">
        <v>0</v>
      </c>
      <c r="S2650" s="2405">
        <v>0</v>
      </c>
      <c r="T2650" s="2241">
        <v>0</v>
      </c>
      <c r="U2650" s="2405"/>
      <c r="V2650" s="2241"/>
      <c r="W2650" s="2240"/>
      <c r="X2650" s="2241"/>
      <c r="Y2650" s="2178">
        <f t="shared" si="696"/>
        <v>0</v>
      </c>
      <c r="Z2650" s="2241">
        <f t="shared" si="696"/>
        <v>0</v>
      </c>
      <c r="AA2650" s="2243">
        <f t="shared" si="697"/>
        <v>2</v>
      </c>
      <c r="AB2650" s="2241">
        <f t="shared" si="697"/>
        <v>24138656</v>
      </c>
      <c r="AC2650" s="2243">
        <f t="shared" si="698"/>
        <v>33.333333333333329</v>
      </c>
      <c r="AD2650" s="2243">
        <f t="shared" si="698"/>
        <v>22.83262958758986</v>
      </c>
      <c r="AE2650" s="2455"/>
    </row>
    <row r="2651" spans="1:31" s="2131" customFormat="1" ht="51">
      <c r="A2651" s="2152"/>
      <c r="B2651" s="2260"/>
      <c r="C2651" s="2152">
        <v>5</v>
      </c>
      <c r="D2651" s="2164" t="s">
        <v>34</v>
      </c>
      <c r="E2651" s="2164" t="s">
        <v>25</v>
      </c>
      <c r="F2651" s="2164" t="s">
        <v>45</v>
      </c>
      <c r="G2651" s="2164" t="s">
        <v>28</v>
      </c>
      <c r="H2651" s="2164" t="s">
        <v>61</v>
      </c>
      <c r="I2651" s="2260" t="s">
        <v>134</v>
      </c>
      <c r="J2651" s="2260" t="s">
        <v>3695</v>
      </c>
      <c r="K2651" s="2240">
        <v>6</v>
      </c>
      <c r="L2651" s="2241">
        <v>55000000</v>
      </c>
      <c r="M2651" s="2240">
        <v>2</v>
      </c>
      <c r="N2651" s="2241">
        <v>2997900</v>
      </c>
      <c r="O2651" s="2240">
        <v>1</v>
      </c>
      <c r="P2651" s="2242">
        <v>4000000</v>
      </c>
      <c r="Q2651" s="2408">
        <v>0</v>
      </c>
      <c r="R2651" s="2407">
        <v>0</v>
      </c>
      <c r="S2651" s="2405">
        <v>0</v>
      </c>
      <c r="T2651" s="2241">
        <v>0</v>
      </c>
      <c r="U2651" s="2405"/>
      <c r="V2651" s="2241"/>
      <c r="W2651" s="2240"/>
      <c r="X2651" s="2241"/>
      <c r="Y2651" s="2178">
        <f t="shared" si="696"/>
        <v>0</v>
      </c>
      <c r="Z2651" s="2241">
        <f t="shared" si="696"/>
        <v>0</v>
      </c>
      <c r="AA2651" s="2243">
        <f t="shared" si="697"/>
        <v>2</v>
      </c>
      <c r="AB2651" s="2241">
        <f t="shared" si="697"/>
        <v>2997900</v>
      </c>
      <c r="AC2651" s="2243">
        <f t="shared" si="698"/>
        <v>33.333333333333329</v>
      </c>
      <c r="AD2651" s="2243">
        <f t="shared" si="698"/>
        <v>5.4507272727272733</v>
      </c>
      <c r="AE2651" s="2455"/>
    </row>
    <row r="2652" spans="1:31" s="2131" customFormat="1" ht="51">
      <c r="A2652" s="2152"/>
      <c r="B2652" s="2260"/>
      <c r="C2652" s="2152">
        <v>5</v>
      </c>
      <c r="D2652" s="2164" t="s">
        <v>34</v>
      </c>
      <c r="E2652" s="2164" t="s">
        <v>25</v>
      </c>
      <c r="F2652" s="2164" t="s">
        <v>45</v>
      </c>
      <c r="G2652" s="2164" t="s">
        <v>28</v>
      </c>
      <c r="H2652" s="2164" t="s">
        <v>84</v>
      </c>
      <c r="I2652" s="2260" t="s">
        <v>239</v>
      </c>
      <c r="J2652" s="2260" t="s">
        <v>3777</v>
      </c>
      <c r="K2652" s="2240">
        <v>24</v>
      </c>
      <c r="L2652" s="2241">
        <v>275000000</v>
      </c>
      <c r="M2652" s="2240">
        <v>8</v>
      </c>
      <c r="N2652" s="2241">
        <v>51203684</v>
      </c>
      <c r="O2652" s="2240">
        <v>4</v>
      </c>
      <c r="P2652" s="2242">
        <v>23100000</v>
      </c>
      <c r="Q2652" s="2406">
        <v>1</v>
      </c>
      <c r="R2652" s="2407">
        <v>3238750</v>
      </c>
      <c r="S2652" s="2405">
        <v>1</v>
      </c>
      <c r="T2652" s="2241">
        <v>6702881</v>
      </c>
      <c r="U2652" s="2405"/>
      <c r="V2652" s="2241"/>
      <c r="W2652" s="2240"/>
      <c r="X2652" s="2241"/>
      <c r="Y2652" s="2178">
        <f t="shared" si="696"/>
        <v>2</v>
      </c>
      <c r="Z2652" s="2241">
        <f t="shared" si="696"/>
        <v>9941631</v>
      </c>
      <c r="AA2652" s="2243">
        <f t="shared" si="697"/>
        <v>10</v>
      </c>
      <c r="AB2652" s="2241">
        <f t="shared" si="697"/>
        <v>61145315</v>
      </c>
      <c r="AC2652" s="2243">
        <f t="shared" si="698"/>
        <v>41.666666666666671</v>
      </c>
      <c r="AD2652" s="2243">
        <f t="shared" si="698"/>
        <v>22.234660000000002</v>
      </c>
      <c r="AE2652" s="2455"/>
    </row>
    <row r="2653" spans="1:31" s="2131" customFormat="1" ht="51">
      <c r="A2653" s="2152"/>
      <c r="B2653" s="2260"/>
      <c r="C2653" s="2152">
        <v>5</v>
      </c>
      <c r="D2653" s="2164" t="s">
        <v>34</v>
      </c>
      <c r="E2653" s="2164" t="s">
        <v>25</v>
      </c>
      <c r="F2653" s="2164" t="s">
        <v>45</v>
      </c>
      <c r="G2653" s="2164" t="s">
        <v>28</v>
      </c>
      <c r="H2653" s="2164" t="s">
        <v>50</v>
      </c>
      <c r="I2653" s="2260" t="s">
        <v>3778</v>
      </c>
      <c r="J2653" s="2260" t="s">
        <v>3779</v>
      </c>
      <c r="K2653" s="2240">
        <v>96</v>
      </c>
      <c r="L2653" s="2241">
        <v>49000000</v>
      </c>
      <c r="M2653" s="2240">
        <v>25</v>
      </c>
      <c r="N2653" s="2241">
        <v>3691321</v>
      </c>
      <c r="O2653" s="2240">
        <v>13</v>
      </c>
      <c r="P2653" s="2242">
        <v>4000000</v>
      </c>
      <c r="Q2653" s="2406">
        <v>1</v>
      </c>
      <c r="R2653" s="2407">
        <v>2050000</v>
      </c>
      <c r="S2653" s="2405">
        <v>1</v>
      </c>
      <c r="T2653" s="2241">
        <v>900000</v>
      </c>
      <c r="U2653" s="2405"/>
      <c r="V2653" s="2241"/>
      <c r="W2653" s="2240"/>
      <c r="X2653" s="2241"/>
      <c r="Y2653" s="2178">
        <f t="shared" si="696"/>
        <v>2</v>
      </c>
      <c r="Z2653" s="2241">
        <f t="shared" si="696"/>
        <v>2950000</v>
      </c>
      <c r="AA2653" s="2240">
        <f t="shared" si="697"/>
        <v>27</v>
      </c>
      <c r="AB2653" s="2241">
        <f t="shared" si="697"/>
        <v>6641321</v>
      </c>
      <c r="AC2653" s="2243">
        <f t="shared" si="698"/>
        <v>28.125</v>
      </c>
      <c r="AD2653" s="2243">
        <f t="shared" si="698"/>
        <v>13.553716326530612</v>
      </c>
      <c r="AE2653" s="2455"/>
    </row>
    <row r="2654" spans="1:31" s="2131" customFormat="1" ht="51">
      <c r="A2654" s="2152"/>
      <c r="B2654" s="2260"/>
      <c r="C2654" s="2152">
        <v>5</v>
      </c>
      <c r="D2654" s="2164" t="s">
        <v>34</v>
      </c>
      <c r="E2654" s="2164" t="s">
        <v>25</v>
      </c>
      <c r="F2654" s="2164" t="s">
        <v>45</v>
      </c>
      <c r="G2654" s="2164" t="s">
        <v>28</v>
      </c>
      <c r="H2654" s="2164" t="s">
        <v>43</v>
      </c>
      <c r="I2654" s="2260" t="s">
        <v>4134</v>
      </c>
      <c r="J2654" s="2260" t="s">
        <v>3957</v>
      </c>
      <c r="K2654" s="2240">
        <v>1</v>
      </c>
      <c r="L2654" s="2241">
        <v>9000000</v>
      </c>
      <c r="M2654" s="2240">
        <v>1</v>
      </c>
      <c r="N2654" s="2241">
        <v>8767000</v>
      </c>
      <c r="O2654" s="2240">
        <v>0</v>
      </c>
      <c r="P2654" s="2242"/>
      <c r="Q2654" s="2406">
        <v>10</v>
      </c>
      <c r="R2654" s="2407">
        <v>2050000</v>
      </c>
      <c r="S2654" s="2405">
        <v>10</v>
      </c>
      <c r="T2654" s="2241">
        <v>0</v>
      </c>
      <c r="U2654" s="2405"/>
      <c r="V2654" s="2241"/>
      <c r="W2654" s="2240"/>
      <c r="X2654" s="2241"/>
      <c r="Y2654" s="2178">
        <f t="shared" si="696"/>
        <v>20</v>
      </c>
      <c r="Z2654" s="2241">
        <f t="shared" si="696"/>
        <v>2050000</v>
      </c>
      <c r="AA2654" s="2243">
        <f t="shared" si="697"/>
        <v>21</v>
      </c>
      <c r="AB2654" s="2241">
        <f t="shared" si="697"/>
        <v>10817000</v>
      </c>
      <c r="AC2654" s="2243">
        <f t="shared" si="698"/>
        <v>2100</v>
      </c>
      <c r="AD2654" s="2243">
        <f t="shared" si="698"/>
        <v>120.18888888888888</v>
      </c>
      <c r="AE2654" s="2455"/>
    </row>
    <row r="2655" spans="1:31" s="2266" customFormat="1" ht="53.25" customHeight="1">
      <c r="A2655" s="2140" t="s">
        <v>3538</v>
      </c>
      <c r="B2655" s="2194"/>
      <c r="C2655" s="2142">
        <v>5</v>
      </c>
      <c r="D2655" s="2142" t="s">
        <v>34</v>
      </c>
      <c r="E2655" s="2142" t="s">
        <v>25</v>
      </c>
      <c r="F2655" s="2142" t="s">
        <v>45</v>
      </c>
      <c r="G2655" s="2142" t="s">
        <v>45</v>
      </c>
      <c r="H2655" s="2140"/>
      <c r="I2655" s="2143" t="s">
        <v>1833</v>
      </c>
      <c r="J2655" s="2143" t="s">
        <v>3958</v>
      </c>
      <c r="K2655" s="2144">
        <v>30</v>
      </c>
      <c r="L2655" s="2373">
        <f>SUM(L2656:L2656)</f>
        <v>56000000</v>
      </c>
      <c r="M2655" s="2144">
        <v>15</v>
      </c>
      <c r="N2655" s="2373">
        <f>SUM(N2656:N2656)</f>
        <v>0</v>
      </c>
      <c r="O2655" s="2144">
        <v>5</v>
      </c>
      <c r="P2655" s="2373">
        <f>SUM(P2656:P2656)</f>
        <v>18675000</v>
      </c>
      <c r="Q2655" s="2704">
        <v>1</v>
      </c>
      <c r="R2655" s="2373">
        <f>SUM(R2656)</f>
        <v>690000</v>
      </c>
      <c r="S2655" s="2140">
        <v>4</v>
      </c>
      <c r="T2655" s="2373">
        <f>SUM(T2656)</f>
        <v>5100000</v>
      </c>
      <c r="U2655" s="2375"/>
      <c r="V2655" s="2373"/>
      <c r="W2655" s="2148"/>
      <c r="X2655" s="2148"/>
      <c r="Y2655" s="2376">
        <f t="shared" si="696"/>
        <v>5</v>
      </c>
      <c r="Z2655" s="2373">
        <f t="shared" si="696"/>
        <v>5790000</v>
      </c>
      <c r="AA2655" s="2376">
        <f t="shared" si="697"/>
        <v>20</v>
      </c>
      <c r="AB2655" s="2373">
        <f t="shared" si="697"/>
        <v>5790000</v>
      </c>
      <c r="AC2655" s="2375">
        <f t="shared" si="698"/>
        <v>66.666666666666657</v>
      </c>
      <c r="AD2655" s="2375">
        <f t="shared" si="698"/>
        <v>10.339285714285715</v>
      </c>
      <c r="AE2655" s="2204" t="s">
        <v>3950</v>
      </c>
    </row>
    <row r="2656" spans="1:31" s="2259" customFormat="1" ht="79.5" customHeight="1">
      <c r="A2656" s="2379"/>
      <c r="B2656" s="2162"/>
      <c r="C2656" s="2164">
        <v>5</v>
      </c>
      <c r="D2656" s="2164" t="s">
        <v>34</v>
      </c>
      <c r="E2656" s="2164" t="s">
        <v>25</v>
      </c>
      <c r="F2656" s="2164" t="s">
        <v>45</v>
      </c>
      <c r="G2656" s="2164" t="s">
        <v>45</v>
      </c>
      <c r="H2656" s="2164" t="s">
        <v>45</v>
      </c>
      <c r="I2656" s="2162" t="s">
        <v>3541</v>
      </c>
      <c r="J2656" s="2162" t="s">
        <v>3959</v>
      </c>
      <c r="K2656" s="2166">
        <v>30</v>
      </c>
      <c r="L2656" s="2278">
        <v>56000000</v>
      </c>
      <c r="M2656" s="2166">
        <v>15</v>
      </c>
      <c r="N2656" s="2410">
        <f>0</f>
        <v>0</v>
      </c>
      <c r="O2656" s="2411">
        <v>5</v>
      </c>
      <c r="P2656" s="2410">
        <v>18675000</v>
      </c>
      <c r="Q2656" s="2411">
        <v>1</v>
      </c>
      <c r="R2656" s="2410">
        <v>690000</v>
      </c>
      <c r="S2656" s="2409">
        <v>4</v>
      </c>
      <c r="T2656" s="2278">
        <v>5100000</v>
      </c>
      <c r="U2656" s="2409"/>
      <c r="V2656" s="2412"/>
      <c r="W2656" s="2162"/>
      <c r="X2656" s="2162"/>
      <c r="Y2656" s="2409">
        <f t="shared" si="696"/>
        <v>5</v>
      </c>
      <c r="Z2656" s="2384">
        <f t="shared" si="696"/>
        <v>5790000</v>
      </c>
      <c r="AA2656" s="2409">
        <f t="shared" si="697"/>
        <v>20</v>
      </c>
      <c r="AB2656" s="2384">
        <f t="shared" si="697"/>
        <v>5790000</v>
      </c>
      <c r="AC2656" s="2413">
        <f t="shared" si="698"/>
        <v>66.666666666666657</v>
      </c>
      <c r="AD2656" s="2413">
        <f>(AB2656/L2656)*100</f>
        <v>10.339285714285715</v>
      </c>
      <c r="AE2656" s="2379"/>
    </row>
    <row r="2657" spans="1:71" s="2131" customFormat="1" ht="51">
      <c r="A2657" s="2140" t="s">
        <v>3543</v>
      </c>
      <c r="B2657" s="2194"/>
      <c r="C2657" s="2140">
        <v>5</v>
      </c>
      <c r="D2657" s="2142" t="s">
        <v>34</v>
      </c>
      <c r="E2657" s="2142" t="s">
        <v>25</v>
      </c>
      <c r="F2657" s="2142" t="s">
        <v>45</v>
      </c>
      <c r="G2657" s="2142" t="s">
        <v>74</v>
      </c>
      <c r="H2657" s="2140"/>
      <c r="I2657" s="2143" t="s">
        <v>3648</v>
      </c>
      <c r="J2657" s="2143" t="s">
        <v>3649</v>
      </c>
      <c r="K2657" s="2144">
        <v>100</v>
      </c>
      <c r="L2657" s="2145">
        <f>L2658</f>
        <v>155604840</v>
      </c>
      <c r="M2657" s="2144">
        <v>50</v>
      </c>
      <c r="N2657" s="2145">
        <f>N2658</f>
        <v>51027920</v>
      </c>
      <c r="O2657" s="2144">
        <v>18</v>
      </c>
      <c r="P2657" s="2145">
        <f>P2658</f>
        <v>29007500</v>
      </c>
      <c r="Q2657" s="2144">
        <v>0</v>
      </c>
      <c r="R2657" s="2145">
        <f>R2658</f>
        <v>0</v>
      </c>
      <c r="S2657" s="2144">
        <v>0</v>
      </c>
      <c r="T2657" s="2145">
        <f>T2658</f>
        <v>0</v>
      </c>
      <c r="U2657" s="2144"/>
      <c r="V2657" s="2145">
        <f>V2658</f>
        <v>0</v>
      </c>
      <c r="W2657" s="2144"/>
      <c r="X2657" s="2145">
        <f>X2658</f>
        <v>0</v>
      </c>
      <c r="Y2657" s="2144">
        <f t="shared" si="696"/>
        <v>0</v>
      </c>
      <c r="Z2657" s="2145">
        <f t="shared" si="696"/>
        <v>0</v>
      </c>
      <c r="AA2657" s="2144">
        <f t="shared" si="697"/>
        <v>50</v>
      </c>
      <c r="AB2657" s="2145">
        <f t="shared" si="697"/>
        <v>51027920</v>
      </c>
      <c r="AC2657" s="2147">
        <f t="shared" si="698"/>
        <v>50</v>
      </c>
      <c r="AD2657" s="2147">
        <f t="shared" si="698"/>
        <v>32.793273011302219</v>
      </c>
      <c r="AE2657" s="2204" t="s">
        <v>3950</v>
      </c>
      <c r="AF2657" s="2266"/>
      <c r="AG2657" s="2266"/>
      <c r="AH2657" s="2266"/>
      <c r="AI2657" s="2266"/>
      <c r="AJ2657" s="2266"/>
      <c r="AK2657" s="2266"/>
      <c r="AL2657" s="2266"/>
      <c r="AM2657" s="2266"/>
      <c r="AN2657" s="2266"/>
      <c r="AO2657" s="2266"/>
      <c r="AP2657" s="2266"/>
      <c r="AQ2657" s="2266"/>
      <c r="AR2657" s="2266"/>
      <c r="AS2657" s="2266"/>
      <c r="AT2657" s="2266"/>
      <c r="AU2657" s="2266"/>
      <c r="AV2657" s="2266"/>
      <c r="AW2657" s="2266"/>
      <c r="AX2657" s="2266"/>
      <c r="AY2657" s="2266"/>
      <c r="AZ2657" s="2266"/>
      <c r="BA2657" s="2266"/>
      <c r="BB2657" s="2266"/>
      <c r="BC2657" s="2266"/>
      <c r="BD2657" s="2266"/>
      <c r="BE2657" s="2266"/>
      <c r="BF2657" s="2266"/>
      <c r="BG2657" s="2266"/>
      <c r="BH2657" s="2266"/>
      <c r="BI2657" s="2266"/>
      <c r="BJ2657" s="2266"/>
      <c r="BK2657" s="2266"/>
      <c r="BL2657" s="2266"/>
      <c r="BM2657" s="2266"/>
      <c r="BN2657" s="2266"/>
      <c r="BO2657" s="2266"/>
      <c r="BP2657" s="2266"/>
      <c r="BQ2657" s="2266"/>
      <c r="BR2657" s="2266"/>
      <c r="BS2657" s="2266"/>
    </row>
    <row r="2658" spans="1:71" s="2131" customFormat="1" ht="25.5">
      <c r="A2658" s="2379"/>
      <c r="B2658" s="2162"/>
      <c r="C2658" s="2152">
        <v>5</v>
      </c>
      <c r="D2658" s="2164" t="s">
        <v>34</v>
      </c>
      <c r="E2658" s="2164" t="s">
        <v>25</v>
      </c>
      <c r="F2658" s="2164" t="s">
        <v>45</v>
      </c>
      <c r="G2658" s="2164" t="s">
        <v>74</v>
      </c>
      <c r="H2658" s="2164" t="s">
        <v>56</v>
      </c>
      <c r="I2658" s="2162" t="s">
        <v>2284</v>
      </c>
      <c r="J2658" s="2162" t="s">
        <v>3651</v>
      </c>
      <c r="K2658" s="2166">
        <v>6</v>
      </c>
      <c r="L2658" s="2167">
        <v>155604840</v>
      </c>
      <c r="M2658" s="2166">
        <v>2</v>
      </c>
      <c r="N2658" s="2167">
        <v>51027920</v>
      </c>
      <c r="O2658" s="2166">
        <v>1</v>
      </c>
      <c r="P2658" s="2167">
        <v>29007500</v>
      </c>
      <c r="Q2658" s="2166">
        <v>0</v>
      </c>
      <c r="R2658" s="2167">
        <v>0</v>
      </c>
      <c r="S2658" s="2166">
        <v>0</v>
      </c>
      <c r="T2658" s="2167">
        <v>0</v>
      </c>
      <c r="U2658" s="2282"/>
      <c r="V2658" s="2167"/>
      <c r="W2658" s="2166"/>
      <c r="X2658" s="2167"/>
      <c r="Y2658" s="2166">
        <f t="shared" si="696"/>
        <v>0</v>
      </c>
      <c r="Z2658" s="2241">
        <f t="shared" si="696"/>
        <v>0</v>
      </c>
      <c r="AA2658" s="2166">
        <f t="shared" si="697"/>
        <v>2</v>
      </c>
      <c r="AB2658" s="2241">
        <f t="shared" si="697"/>
        <v>51027920</v>
      </c>
      <c r="AC2658" s="2170">
        <f t="shared" si="698"/>
        <v>33.333333333333329</v>
      </c>
      <c r="AD2658" s="2170">
        <f t="shared" si="698"/>
        <v>32.793273011302219</v>
      </c>
      <c r="AE2658" s="2401"/>
      <c r="AF2658" s="2259"/>
      <c r="AG2658" s="2259"/>
      <c r="AH2658" s="2259"/>
      <c r="AI2658" s="2259"/>
      <c r="AJ2658" s="2259"/>
      <c r="AK2658" s="2259"/>
      <c r="AL2658" s="2259"/>
      <c r="AM2658" s="2259"/>
      <c r="AN2658" s="2259"/>
      <c r="AO2658" s="2259"/>
      <c r="AP2658" s="2259"/>
      <c r="AQ2658" s="2259"/>
      <c r="AR2658" s="2259"/>
      <c r="AS2658" s="2259"/>
      <c r="AT2658" s="2259"/>
      <c r="AU2658" s="2259"/>
      <c r="AV2658" s="2259"/>
      <c r="AW2658" s="2259"/>
      <c r="AX2658" s="2259"/>
      <c r="AY2658" s="2259"/>
      <c r="AZ2658" s="2259"/>
      <c r="BA2658" s="2259"/>
      <c r="BB2658" s="2259"/>
      <c r="BC2658" s="2259"/>
      <c r="BD2658" s="2259"/>
      <c r="BE2658" s="2259"/>
      <c r="BF2658" s="2259"/>
      <c r="BG2658" s="2259"/>
      <c r="BH2658" s="2259"/>
      <c r="BI2658" s="2259"/>
      <c r="BJ2658" s="2259"/>
      <c r="BK2658" s="2259"/>
      <c r="BL2658" s="2259"/>
      <c r="BM2658" s="2259"/>
      <c r="BN2658" s="2259"/>
      <c r="BO2658" s="2259"/>
      <c r="BP2658" s="2259"/>
      <c r="BQ2658" s="2259"/>
      <c r="BR2658" s="2259"/>
      <c r="BS2658" s="2259"/>
    </row>
    <row r="2659" spans="1:71" s="2131" customFormat="1" ht="62.25" customHeight="1">
      <c r="A2659" s="2140" t="s">
        <v>3547</v>
      </c>
      <c r="B2659" s="2194"/>
      <c r="C2659" s="2142">
        <v>5</v>
      </c>
      <c r="D2659" s="2142" t="s">
        <v>34</v>
      </c>
      <c r="E2659" s="2142" t="s">
        <v>25</v>
      </c>
      <c r="F2659" s="2142" t="s">
        <v>45</v>
      </c>
      <c r="G2659" s="2142" t="s">
        <v>84</v>
      </c>
      <c r="H2659" s="2140"/>
      <c r="I2659" s="2143" t="s">
        <v>3548</v>
      </c>
      <c r="J2659" s="2143" t="s">
        <v>3549</v>
      </c>
      <c r="K2659" s="2144">
        <v>100</v>
      </c>
      <c r="L2659" s="2145">
        <f>SUM(L2660:L2661)</f>
        <v>124764000</v>
      </c>
      <c r="M2659" s="2144">
        <v>75</v>
      </c>
      <c r="N2659" s="2145">
        <f>SUM(N2660:N2661)</f>
        <v>0</v>
      </c>
      <c r="O2659" s="2144">
        <v>15</v>
      </c>
      <c r="P2659" s="2145">
        <f>SUM(P2660:P2661)</f>
        <v>41588000</v>
      </c>
      <c r="Q2659" s="2144">
        <v>0</v>
      </c>
      <c r="R2659" s="2145">
        <f>SUM(R2660:R2661)</f>
        <v>0</v>
      </c>
      <c r="S2659" s="2144">
        <v>0</v>
      </c>
      <c r="T2659" s="2145">
        <f>SUM(T2660:T2661)</f>
        <v>22958750</v>
      </c>
      <c r="U2659" s="2195"/>
      <c r="V2659" s="2145">
        <f>SUM(V2660:V2661)</f>
        <v>0</v>
      </c>
      <c r="W2659" s="2144"/>
      <c r="X2659" s="2145">
        <f>SUM(X2660:X2661)</f>
        <v>0</v>
      </c>
      <c r="Y2659" s="2147">
        <f t="shared" si="696"/>
        <v>0</v>
      </c>
      <c r="Z2659" s="2145">
        <f t="shared" si="696"/>
        <v>22958750</v>
      </c>
      <c r="AA2659" s="2147">
        <f t="shared" si="697"/>
        <v>75</v>
      </c>
      <c r="AB2659" s="2145">
        <f t="shared" si="697"/>
        <v>22958750</v>
      </c>
      <c r="AC2659" s="2147">
        <f t="shared" si="698"/>
        <v>75</v>
      </c>
      <c r="AD2659" s="2147">
        <f t="shared" si="698"/>
        <v>18.401742489820784</v>
      </c>
      <c r="AE2659" s="2204" t="s">
        <v>3950</v>
      </c>
    </row>
    <row r="2660" spans="1:71" s="2131" customFormat="1" ht="38.25">
      <c r="A2660" s="2379"/>
      <c r="B2660" s="2162"/>
      <c r="C2660" s="2164">
        <v>5</v>
      </c>
      <c r="D2660" s="2164" t="s">
        <v>34</v>
      </c>
      <c r="E2660" s="2164" t="s">
        <v>25</v>
      </c>
      <c r="F2660" s="2164" t="s">
        <v>45</v>
      </c>
      <c r="G2660" s="2164">
        <v>24</v>
      </c>
      <c r="H2660" s="2164">
        <v>15</v>
      </c>
      <c r="I2660" s="2197" t="s">
        <v>3551</v>
      </c>
      <c r="J2660" s="2198" t="s">
        <v>3875</v>
      </c>
      <c r="K2660" s="2199">
        <v>36</v>
      </c>
      <c r="L2660" s="2200">
        <f>3*P2660</f>
        <v>106216500</v>
      </c>
      <c r="M2660" s="2201">
        <v>0</v>
      </c>
      <c r="N2660" s="2200">
        <v>0</v>
      </c>
      <c r="O2660" s="2166">
        <v>12</v>
      </c>
      <c r="P2660" s="2167">
        <v>35405500</v>
      </c>
      <c r="Q2660" s="2166">
        <v>3</v>
      </c>
      <c r="R2660" s="2167">
        <v>0</v>
      </c>
      <c r="S2660" s="2166">
        <v>3</v>
      </c>
      <c r="T2660" s="2167">
        <v>17813750</v>
      </c>
      <c r="U2660" s="2166"/>
      <c r="V2660" s="2202"/>
      <c r="W2660" s="2166"/>
      <c r="X2660" s="2167"/>
      <c r="Y2660" s="2166">
        <f t="shared" si="696"/>
        <v>6</v>
      </c>
      <c r="Z2660" s="2203">
        <f t="shared" si="696"/>
        <v>17813750</v>
      </c>
      <c r="AA2660" s="2166">
        <f t="shared" si="697"/>
        <v>6</v>
      </c>
      <c r="AB2660" s="2203">
        <f t="shared" si="697"/>
        <v>17813750</v>
      </c>
      <c r="AC2660" s="2170">
        <f t="shared" si="698"/>
        <v>16.666666666666664</v>
      </c>
      <c r="AD2660" s="2170">
        <f t="shared" si="698"/>
        <v>16.771170204252638</v>
      </c>
      <c r="AE2660" s="2379"/>
    </row>
    <row r="2661" spans="1:71" s="2131" customFormat="1" ht="38.25">
      <c r="A2661" s="2379"/>
      <c r="B2661" s="2162"/>
      <c r="C2661" s="2164">
        <v>5</v>
      </c>
      <c r="D2661" s="2164" t="s">
        <v>34</v>
      </c>
      <c r="E2661" s="2164" t="s">
        <v>25</v>
      </c>
      <c r="F2661" s="2164" t="s">
        <v>45</v>
      </c>
      <c r="G2661" s="2164">
        <v>24</v>
      </c>
      <c r="H2661" s="2164">
        <v>16</v>
      </c>
      <c r="I2661" s="2198" t="s">
        <v>3553</v>
      </c>
      <c r="J2661" s="2198" t="s">
        <v>3554</v>
      </c>
      <c r="K2661" s="2199">
        <v>36</v>
      </c>
      <c r="L2661" s="2200">
        <f>3*P2661</f>
        <v>18547500</v>
      </c>
      <c r="M2661" s="2201">
        <v>0</v>
      </c>
      <c r="N2661" s="2200">
        <v>0</v>
      </c>
      <c r="O2661" s="2166">
        <v>12</v>
      </c>
      <c r="P2661" s="2167">
        <v>6182500</v>
      </c>
      <c r="Q2661" s="2166">
        <v>3</v>
      </c>
      <c r="R2661" s="2167">
        <v>0</v>
      </c>
      <c r="S2661" s="2166">
        <v>3</v>
      </c>
      <c r="T2661" s="2167">
        <v>5145000</v>
      </c>
      <c r="U2661" s="2166"/>
      <c r="V2661" s="2202"/>
      <c r="W2661" s="2166"/>
      <c r="X2661" s="2167"/>
      <c r="Y2661" s="2166">
        <f t="shared" si="696"/>
        <v>6</v>
      </c>
      <c r="Z2661" s="2203">
        <f t="shared" si="696"/>
        <v>5145000</v>
      </c>
      <c r="AA2661" s="2166">
        <f t="shared" si="697"/>
        <v>6</v>
      </c>
      <c r="AB2661" s="2203">
        <f t="shared" si="697"/>
        <v>5145000</v>
      </c>
      <c r="AC2661" s="2170">
        <f t="shared" si="698"/>
        <v>16.666666666666664</v>
      </c>
      <c r="AD2661" s="2170">
        <f t="shared" si="698"/>
        <v>27.739587545491307</v>
      </c>
      <c r="AE2661" s="2379"/>
    </row>
    <row r="2662" spans="1:71" s="2131" customFormat="1" ht="38.25">
      <c r="A2662" s="2196" t="s">
        <v>3555</v>
      </c>
      <c r="B2662" s="2194"/>
      <c r="C2662" s="2204">
        <v>5</v>
      </c>
      <c r="D2662" s="2205">
        <v>0</v>
      </c>
      <c r="E2662" s="2205">
        <v>1</v>
      </c>
      <c r="F2662" s="2205">
        <v>15</v>
      </c>
      <c r="G2662" s="2205">
        <v>18</v>
      </c>
      <c r="H2662" s="2205"/>
      <c r="I2662" s="2206" t="s">
        <v>3556</v>
      </c>
      <c r="J2662" s="2194" t="s">
        <v>2155</v>
      </c>
      <c r="K2662" s="2207">
        <v>150</v>
      </c>
      <c r="L2662" s="2208">
        <f>SUM(L2663)</f>
        <v>6600000</v>
      </c>
      <c r="M2662" s="2209">
        <v>115</v>
      </c>
      <c r="N2662" s="2208">
        <f>SUM(N2663)</f>
        <v>0</v>
      </c>
      <c r="O2662" s="2207">
        <v>30</v>
      </c>
      <c r="P2662" s="2208">
        <f>SUM(P2663)</f>
        <v>2200000</v>
      </c>
      <c r="Q2662" s="2210">
        <v>0</v>
      </c>
      <c r="R2662" s="2208">
        <f>SUM(R2663)</f>
        <v>0</v>
      </c>
      <c r="S2662" s="2211">
        <v>0</v>
      </c>
      <c r="T2662" s="2212">
        <f>SUM(T2663)</f>
        <v>0</v>
      </c>
      <c r="U2662" s="2210"/>
      <c r="V2662" s="2212">
        <f>SUM(V2663)</f>
        <v>0</v>
      </c>
      <c r="W2662" s="2210"/>
      <c r="X2662" s="2212">
        <f>SUM(X2663)</f>
        <v>0</v>
      </c>
      <c r="Y2662" s="2210">
        <f t="shared" si="696"/>
        <v>0</v>
      </c>
      <c r="Z2662" s="2213">
        <f t="shared" si="696"/>
        <v>0</v>
      </c>
      <c r="AA2662" s="2210">
        <f t="shared" si="697"/>
        <v>115</v>
      </c>
      <c r="AB2662" s="2213">
        <f t="shared" si="697"/>
        <v>0</v>
      </c>
      <c r="AC2662" s="2214">
        <f t="shared" si="698"/>
        <v>76.666666666666671</v>
      </c>
      <c r="AD2662" s="2214">
        <f t="shared" si="698"/>
        <v>0</v>
      </c>
      <c r="AE2662" s="2204" t="s">
        <v>3950</v>
      </c>
    </row>
    <row r="2663" spans="1:71" s="2131" customFormat="1" ht="38.25">
      <c r="A2663" s="2215"/>
      <c r="B2663" s="2198"/>
      <c r="C2663" s="2216">
        <v>5</v>
      </c>
      <c r="D2663" s="2217">
        <v>0</v>
      </c>
      <c r="E2663" s="2217">
        <v>1</v>
      </c>
      <c r="F2663" s="2217">
        <v>15</v>
      </c>
      <c r="G2663" s="2217">
        <v>18</v>
      </c>
      <c r="H2663" s="2217">
        <v>25</v>
      </c>
      <c r="I2663" s="2218" t="s">
        <v>3557</v>
      </c>
      <c r="J2663" s="2198" t="s">
        <v>3558</v>
      </c>
      <c r="K2663" s="2199">
        <v>36</v>
      </c>
      <c r="L2663" s="2200">
        <f>3*P2663</f>
        <v>6600000</v>
      </c>
      <c r="M2663" s="2201">
        <v>0</v>
      </c>
      <c r="N2663" s="2200"/>
      <c r="O2663" s="2199">
        <v>12</v>
      </c>
      <c r="P2663" s="2200">
        <v>2200000</v>
      </c>
      <c r="Q2663" s="2219">
        <v>0</v>
      </c>
      <c r="R2663" s="2200">
        <v>0</v>
      </c>
      <c r="S2663" s="2219">
        <v>0</v>
      </c>
      <c r="T2663" s="2220">
        <v>0</v>
      </c>
      <c r="U2663" s="2221"/>
      <c r="V2663" s="2220"/>
      <c r="W2663" s="2219"/>
      <c r="X2663" s="2222"/>
      <c r="Y2663" s="2219">
        <f t="shared" si="696"/>
        <v>0</v>
      </c>
      <c r="Z2663" s="2223">
        <f t="shared" si="696"/>
        <v>0</v>
      </c>
      <c r="AA2663" s="2219">
        <f t="shared" si="697"/>
        <v>0</v>
      </c>
      <c r="AB2663" s="2224">
        <f t="shared" si="697"/>
        <v>0</v>
      </c>
      <c r="AC2663" s="2225">
        <f t="shared" si="698"/>
        <v>0</v>
      </c>
      <c r="AD2663" s="2225">
        <f t="shared" si="698"/>
        <v>0</v>
      </c>
      <c r="AE2663" s="2215"/>
    </row>
    <row r="2664" spans="1:71" s="2131" customFormat="1" ht="38.25">
      <c r="A2664" s="2140" t="s">
        <v>3559</v>
      </c>
      <c r="B2664" s="2194"/>
      <c r="C2664" s="2140">
        <v>5</v>
      </c>
      <c r="D2664" s="2142" t="s">
        <v>34</v>
      </c>
      <c r="E2664" s="2142" t="s">
        <v>25</v>
      </c>
      <c r="F2664" s="2142" t="s">
        <v>45</v>
      </c>
      <c r="G2664" s="2142" t="s">
        <v>45</v>
      </c>
      <c r="H2664" s="2140"/>
      <c r="I2664" s="2143" t="s">
        <v>3653</v>
      </c>
      <c r="J2664" s="2143" t="s">
        <v>3960</v>
      </c>
      <c r="K2664" s="2144">
        <v>6</v>
      </c>
      <c r="L2664" s="2145">
        <f>L2665</f>
        <v>87568750</v>
      </c>
      <c r="M2664" s="2144">
        <v>3</v>
      </c>
      <c r="N2664" s="2145">
        <f>N2665</f>
        <v>22305700</v>
      </c>
      <c r="O2664" s="2144">
        <v>1</v>
      </c>
      <c r="P2664" s="2145">
        <f>P2665</f>
        <v>13300000</v>
      </c>
      <c r="Q2664" s="2144">
        <v>0</v>
      </c>
      <c r="R2664" s="2145">
        <f>R2665</f>
        <v>0</v>
      </c>
      <c r="S2664" s="2144"/>
      <c r="T2664" s="2145">
        <f>T2665</f>
        <v>0</v>
      </c>
      <c r="U2664" s="2360"/>
      <c r="V2664" s="2145">
        <f>V2665</f>
        <v>0</v>
      </c>
      <c r="W2664" s="2144"/>
      <c r="X2664" s="2145">
        <f>X2665</f>
        <v>0</v>
      </c>
      <c r="Y2664" s="2144">
        <f t="shared" si="696"/>
        <v>0</v>
      </c>
      <c r="Z2664" s="2145">
        <f t="shared" si="696"/>
        <v>0</v>
      </c>
      <c r="AA2664" s="2144">
        <f t="shared" si="697"/>
        <v>3</v>
      </c>
      <c r="AB2664" s="2145">
        <f t="shared" si="697"/>
        <v>22305700</v>
      </c>
      <c r="AC2664" s="2147">
        <f t="shared" si="698"/>
        <v>50</v>
      </c>
      <c r="AD2664" s="2147">
        <f t="shared" si="698"/>
        <v>25.472214688459065</v>
      </c>
      <c r="AE2664" s="2204" t="s">
        <v>3950</v>
      </c>
      <c r="AF2664" s="2266"/>
      <c r="AG2664" s="2266"/>
      <c r="AH2664" s="2266"/>
      <c r="AI2664" s="2266"/>
      <c r="AJ2664" s="2266"/>
      <c r="AK2664" s="2266"/>
      <c r="AL2664" s="2266"/>
      <c r="AM2664" s="2266"/>
      <c r="AN2664" s="2266"/>
      <c r="AO2664" s="2266"/>
      <c r="AP2664" s="2266"/>
      <c r="AQ2664" s="2266"/>
      <c r="AR2664" s="2266"/>
      <c r="AS2664" s="2266"/>
      <c r="AT2664" s="2266"/>
      <c r="AU2664" s="2266"/>
      <c r="AV2664" s="2266"/>
      <c r="AW2664" s="2266"/>
      <c r="AX2664" s="2266"/>
      <c r="AY2664" s="2266"/>
      <c r="AZ2664" s="2266"/>
      <c r="BA2664" s="2266"/>
      <c r="BB2664" s="2266"/>
      <c r="BC2664" s="2266"/>
      <c r="BD2664" s="2266"/>
      <c r="BE2664" s="2266"/>
      <c r="BF2664" s="2266"/>
      <c r="BG2664" s="2266"/>
      <c r="BH2664" s="2266"/>
      <c r="BI2664" s="2266"/>
      <c r="BJ2664" s="2266"/>
      <c r="BK2664" s="2266"/>
      <c r="BL2664" s="2266"/>
      <c r="BM2664" s="2266"/>
      <c r="BN2664" s="2266"/>
      <c r="BO2664" s="2266"/>
      <c r="BP2664" s="2266"/>
      <c r="BQ2664" s="2266"/>
      <c r="BR2664" s="2266"/>
      <c r="BS2664" s="2266"/>
    </row>
    <row r="2665" spans="1:71" s="2131" customFormat="1" ht="63.75">
      <c r="A2665" s="2379"/>
      <c r="B2665" s="2162"/>
      <c r="C2665" s="2152">
        <v>5</v>
      </c>
      <c r="D2665" s="2164" t="s">
        <v>34</v>
      </c>
      <c r="E2665" s="2164" t="s">
        <v>25</v>
      </c>
      <c r="F2665" s="2164" t="s">
        <v>45</v>
      </c>
      <c r="G2665" s="2164" t="s">
        <v>45</v>
      </c>
      <c r="H2665" s="2164" t="s">
        <v>31</v>
      </c>
      <c r="I2665" s="2162" t="s">
        <v>3961</v>
      </c>
      <c r="J2665" s="2162" t="s">
        <v>3962</v>
      </c>
      <c r="K2665" s="2166">
        <v>6</v>
      </c>
      <c r="L2665" s="2167">
        <v>87568750</v>
      </c>
      <c r="M2665" s="2166">
        <v>3</v>
      </c>
      <c r="N2665" s="2167">
        <v>22305700</v>
      </c>
      <c r="O2665" s="2166">
        <v>1</v>
      </c>
      <c r="P2665" s="2167">
        <v>13300000</v>
      </c>
      <c r="Q2665" s="2166">
        <v>0</v>
      </c>
      <c r="R2665" s="2167"/>
      <c r="S2665" s="2166"/>
      <c r="T2665" s="2167"/>
      <c r="U2665" s="2414"/>
      <c r="V2665" s="2167"/>
      <c r="W2665" s="2166"/>
      <c r="X2665" s="2167"/>
      <c r="Y2665" s="2240">
        <f t="shared" si="696"/>
        <v>0</v>
      </c>
      <c r="Z2665" s="2241">
        <f t="shared" si="696"/>
        <v>0</v>
      </c>
      <c r="AA2665" s="2240">
        <f t="shared" si="697"/>
        <v>3</v>
      </c>
      <c r="AB2665" s="2241">
        <f t="shared" si="697"/>
        <v>22305700</v>
      </c>
      <c r="AC2665" s="2243">
        <f t="shared" si="698"/>
        <v>50</v>
      </c>
      <c r="AD2665" s="2243">
        <f t="shared" si="698"/>
        <v>25.472214688459065</v>
      </c>
      <c r="AE2665" s="2401"/>
      <c r="AF2665" s="2259"/>
      <c r="AG2665" s="2259"/>
      <c r="AH2665" s="2259"/>
      <c r="AI2665" s="2259"/>
      <c r="AJ2665" s="2259"/>
      <c r="AK2665" s="2259"/>
      <c r="AL2665" s="2259"/>
      <c r="AM2665" s="2259"/>
      <c r="AN2665" s="2259"/>
      <c r="AO2665" s="2259"/>
      <c r="AP2665" s="2259"/>
      <c r="AQ2665" s="2259"/>
      <c r="AR2665" s="2259"/>
      <c r="AS2665" s="2259"/>
      <c r="AT2665" s="2259"/>
      <c r="AU2665" s="2259"/>
      <c r="AV2665" s="2259"/>
      <c r="AW2665" s="2259"/>
      <c r="AX2665" s="2259"/>
      <c r="AY2665" s="2259"/>
      <c r="AZ2665" s="2259"/>
      <c r="BA2665" s="2259"/>
      <c r="BB2665" s="2259"/>
      <c r="BC2665" s="2259"/>
      <c r="BD2665" s="2259"/>
      <c r="BE2665" s="2259"/>
      <c r="BF2665" s="2259"/>
      <c r="BG2665" s="2259"/>
      <c r="BH2665" s="2259"/>
      <c r="BI2665" s="2259"/>
      <c r="BJ2665" s="2259"/>
      <c r="BK2665" s="2259"/>
      <c r="BL2665" s="2259"/>
      <c r="BM2665" s="2259"/>
      <c r="BN2665" s="2259"/>
      <c r="BO2665" s="2259"/>
      <c r="BP2665" s="2259"/>
      <c r="BQ2665" s="2259"/>
      <c r="BR2665" s="2259"/>
      <c r="BS2665" s="2259"/>
    </row>
    <row r="2666" spans="1:71" s="2259" customFormat="1" ht="51">
      <c r="A2666" s="2140" t="s">
        <v>3565</v>
      </c>
      <c r="B2666" s="2194"/>
      <c r="C2666" s="2142">
        <v>5</v>
      </c>
      <c r="D2666" s="2142" t="s">
        <v>34</v>
      </c>
      <c r="E2666" s="2142" t="s">
        <v>25</v>
      </c>
      <c r="F2666" s="2142" t="s">
        <v>45</v>
      </c>
      <c r="G2666" s="2142" t="s">
        <v>35</v>
      </c>
      <c r="H2666" s="2142"/>
      <c r="I2666" s="2143" t="s">
        <v>1287</v>
      </c>
      <c r="J2666" s="2143" t="s">
        <v>3963</v>
      </c>
      <c r="K2666" s="2144">
        <v>100</v>
      </c>
      <c r="L2666" s="2373">
        <f>SUM(L2667:L2667)</f>
        <v>52402670</v>
      </c>
      <c r="M2666" s="2144">
        <v>32</v>
      </c>
      <c r="N2666" s="2373">
        <f>SUM(N2667:N2667)</f>
        <v>0</v>
      </c>
      <c r="O2666" s="2144">
        <v>18</v>
      </c>
      <c r="P2666" s="2145">
        <f>SUM(P2667:P2667)</f>
        <v>15205000</v>
      </c>
      <c r="Q2666" s="2144">
        <v>18</v>
      </c>
      <c r="R2666" s="2373">
        <f>SUM(R2667:R2667)</f>
        <v>10528850</v>
      </c>
      <c r="S2666" s="2140">
        <v>0</v>
      </c>
      <c r="T2666" s="2373">
        <f>SUM(T2667)</f>
        <v>270000</v>
      </c>
      <c r="U2666" s="2148"/>
      <c r="V2666" s="2373"/>
      <c r="W2666" s="2148"/>
      <c r="X2666" s="2148"/>
      <c r="Y2666" s="2140">
        <f t="shared" si="696"/>
        <v>18</v>
      </c>
      <c r="Z2666" s="2373">
        <f t="shared" si="696"/>
        <v>10798850</v>
      </c>
      <c r="AA2666" s="2140">
        <f t="shared" si="697"/>
        <v>50</v>
      </c>
      <c r="AB2666" s="2373">
        <f>N2666+Z2666</f>
        <v>10798850</v>
      </c>
      <c r="AC2666" s="2375">
        <f t="shared" si="698"/>
        <v>50</v>
      </c>
      <c r="AD2666" s="2375">
        <f t="shared" si="698"/>
        <v>20.60744233070567</v>
      </c>
      <c r="AE2666" s="2204" t="s">
        <v>3950</v>
      </c>
    </row>
    <row r="2667" spans="1:71" s="2259" customFormat="1" ht="63.75">
      <c r="A2667" s="2267"/>
      <c r="B2667" s="2253"/>
      <c r="C2667" s="2164">
        <v>5</v>
      </c>
      <c r="D2667" s="2164" t="s">
        <v>34</v>
      </c>
      <c r="E2667" s="2164" t="s">
        <v>25</v>
      </c>
      <c r="F2667" s="2164" t="s">
        <v>45</v>
      </c>
      <c r="G2667" s="2164" t="s">
        <v>35</v>
      </c>
      <c r="H2667" s="2254" t="s">
        <v>43</v>
      </c>
      <c r="I2667" s="2171" t="s">
        <v>3964</v>
      </c>
      <c r="J2667" s="2171" t="s">
        <v>3965</v>
      </c>
      <c r="K2667" s="2255">
        <v>3</v>
      </c>
      <c r="L2667" s="2384">
        <v>52402670</v>
      </c>
      <c r="M2667" s="2256"/>
      <c r="N2667" s="2415"/>
      <c r="O2667" s="2255">
        <v>1</v>
      </c>
      <c r="P2667" s="2258">
        <v>15205000</v>
      </c>
      <c r="Q2667" s="2256">
        <v>1</v>
      </c>
      <c r="R2667" s="2384">
        <v>10528850</v>
      </c>
      <c r="S2667" s="2416">
        <v>1</v>
      </c>
      <c r="T2667" s="2417">
        <v>270000</v>
      </c>
      <c r="U2667" s="2267"/>
      <c r="V2667" s="2417"/>
      <c r="W2667" s="2252"/>
      <c r="X2667" s="2252"/>
      <c r="Y2667" s="2152">
        <f>Q2667+S2667+U2667+W2667</f>
        <v>2</v>
      </c>
      <c r="Z2667" s="2384">
        <f t="shared" si="696"/>
        <v>10798850</v>
      </c>
      <c r="AA2667" s="2152">
        <f>M2667+Y2667</f>
        <v>2</v>
      </c>
      <c r="AB2667" s="2384">
        <f>N2667+Z2667</f>
        <v>10798850</v>
      </c>
      <c r="AC2667" s="2385">
        <f>(AA2667/K2667)*100</f>
        <v>66.666666666666657</v>
      </c>
      <c r="AD2667" s="2385">
        <f>(AB2667/L2667)*100</f>
        <v>20.60744233070567</v>
      </c>
      <c r="AE2667" s="2267"/>
    </row>
    <row r="2668" spans="1:71" s="2131" customFormat="1" ht="51">
      <c r="A2668" s="2140" t="s">
        <v>13</v>
      </c>
      <c r="B2668" s="2194"/>
      <c r="C2668" s="2140">
        <v>5</v>
      </c>
      <c r="D2668" s="2142" t="s">
        <v>34</v>
      </c>
      <c r="E2668" s="2142" t="s">
        <v>25</v>
      </c>
      <c r="F2668" s="2142" t="s">
        <v>45</v>
      </c>
      <c r="G2668" s="2142" t="s">
        <v>47</v>
      </c>
      <c r="H2668" s="2140"/>
      <c r="I2668" s="2143" t="s">
        <v>3661</v>
      </c>
      <c r="J2668" s="2143" t="s">
        <v>3662</v>
      </c>
      <c r="K2668" s="2144">
        <v>100</v>
      </c>
      <c r="L2668" s="2145">
        <f>SUM(L2669:L2670)</f>
        <v>97000000</v>
      </c>
      <c r="M2668" s="2144">
        <v>40</v>
      </c>
      <c r="N2668" s="2145">
        <f>SUM(N2669:N2670)</f>
        <v>49951700</v>
      </c>
      <c r="O2668" s="2144">
        <v>18</v>
      </c>
      <c r="P2668" s="2145">
        <f>SUM(P2669:P2670)</f>
        <v>15662500</v>
      </c>
      <c r="Q2668" s="2147">
        <v>4</v>
      </c>
      <c r="R2668" s="2145">
        <f>SUM(R2669:R2670)</f>
        <v>2640000</v>
      </c>
      <c r="S2668" s="2147"/>
      <c r="T2668" s="2145">
        <f>SUM(T2669:T2670)</f>
        <v>0</v>
      </c>
      <c r="U2668" s="2147"/>
      <c r="V2668" s="2145">
        <f>SUM(V2669:V2670)</f>
        <v>0</v>
      </c>
      <c r="W2668" s="2144"/>
      <c r="X2668" s="2145">
        <f>SUM(X2669:X2670)</f>
        <v>0</v>
      </c>
      <c r="Y2668" s="2144">
        <f t="shared" si="696"/>
        <v>4</v>
      </c>
      <c r="Z2668" s="2145">
        <f t="shared" si="696"/>
        <v>2640000</v>
      </c>
      <c r="AA2668" s="2144">
        <f t="shared" si="697"/>
        <v>44</v>
      </c>
      <c r="AB2668" s="2145">
        <f t="shared" si="697"/>
        <v>52591700</v>
      </c>
      <c r="AC2668" s="2147">
        <f t="shared" si="698"/>
        <v>44</v>
      </c>
      <c r="AD2668" s="2147">
        <f t="shared" si="698"/>
        <v>54.218247422680413</v>
      </c>
      <c r="AE2668" s="2204" t="s">
        <v>3950</v>
      </c>
      <c r="AF2668" s="2018"/>
      <c r="AG2668" s="2018"/>
      <c r="AH2668" s="2018"/>
      <c r="AI2668" s="2018"/>
      <c r="AJ2668" s="2018"/>
      <c r="AK2668" s="2018"/>
      <c r="AL2668" s="2018"/>
      <c r="AM2668" s="2018"/>
      <c r="AN2668" s="2018"/>
      <c r="AO2668" s="2018"/>
      <c r="AP2668" s="2018"/>
      <c r="AQ2668" s="2018"/>
      <c r="AR2668" s="2018"/>
      <c r="AS2668" s="2018"/>
      <c r="AT2668" s="2018"/>
      <c r="AU2668" s="2018"/>
      <c r="AV2668" s="2018"/>
      <c r="AW2668" s="2018"/>
      <c r="AX2668" s="2018"/>
      <c r="AY2668" s="2018"/>
      <c r="AZ2668" s="2018"/>
      <c r="BA2668" s="2018"/>
      <c r="BB2668" s="2018"/>
      <c r="BC2668" s="2018"/>
      <c r="BD2668" s="2018"/>
      <c r="BE2668" s="2018"/>
      <c r="BF2668" s="2018"/>
      <c r="BG2668" s="2018"/>
      <c r="BH2668" s="2018"/>
      <c r="BI2668" s="2018"/>
      <c r="BJ2668" s="2018"/>
      <c r="BK2668" s="2018"/>
      <c r="BL2668" s="2018"/>
      <c r="BM2668" s="2018"/>
      <c r="BN2668" s="2018"/>
      <c r="BO2668" s="2018"/>
      <c r="BP2668" s="2018"/>
      <c r="BQ2668" s="2018"/>
      <c r="BR2668" s="2018"/>
      <c r="BS2668" s="2018"/>
    </row>
    <row r="2669" spans="1:71" s="2131" customFormat="1" ht="38.25">
      <c r="A2669" s="2379"/>
      <c r="B2669" s="2162"/>
      <c r="C2669" s="2152">
        <v>5</v>
      </c>
      <c r="D2669" s="2164" t="s">
        <v>34</v>
      </c>
      <c r="E2669" s="2164" t="s">
        <v>25</v>
      </c>
      <c r="F2669" s="2164" t="s">
        <v>45</v>
      </c>
      <c r="G2669" s="2164" t="s">
        <v>47</v>
      </c>
      <c r="H2669" s="2244" t="s">
        <v>62</v>
      </c>
      <c r="I2669" s="2162" t="s">
        <v>3703</v>
      </c>
      <c r="J2669" s="2162" t="s">
        <v>3757</v>
      </c>
      <c r="K2669" s="2166">
        <v>60</v>
      </c>
      <c r="L2669" s="2167">
        <v>65000000</v>
      </c>
      <c r="M2669" s="2166">
        <v>30</v>
      </c>
      <c r="N2669" s="2167">
        <v>34611700</v>
      </c>
      <c r="O2669" s="2166">
        <v>10</v>
      </c>
      <c r="P2669" s="2167">
        <v>9550000</v>
      </c>
      <c r="Q2669" s="2418">
        <v>3</v>
      </c>
      <c r="R2669" s="2167">
        <v>1880000</v>
      </c>
      <c r="S2669" s="2418"/>
      <c r="T2669" s="2167"/>
      <c r="U2669" s="2418"/>
      <c r="V2669" s="2167"/>
      <c r="W2669" s="2166"/>
      <c r="X2669" s="2167"/>
      <c r="Y2669" s="2166">
        <f t="shared" si="696"/>
        <v>3</v>
      </c>
      <c r="Z2669" s="2241">
        <f t="shared" si="696"/>
        <v>1880000</v>
      </c>
      <c r="AA2669" s="2166">
        <f t="shared" si="697"/>
        <v>33</v>
      </c>
      <c r="AB2669" s="2241">
        <f t="shared" si="697"/>
        <v>36491700</v>
      </c>
      <c r="AC2669" s="2170">
        <f t="shared" si="698"/>
        <v>55.000000000000007</v>
      </c>
      <c r="AD2669" s="2170">
        <f t="shared" si="698"/>
        <v>56.141076923076923</v>
      </c>
      <c r="AE2669" s="2401"/>
      <c r="AF2669" s="2161"/>
      <c r="AG2669" s="2161"/>
      <c r="AH2669" s="2161"/>
      <c r="AI2669" s="2161"/>
      <c r="AJ2669" s="2161"/>
      <c r="AK2669" s="2161"/>
      <c r="AL2669" s="2161"/>
      <c r="AM2669" s="2161"/>
      <c r="AN2669" s="2161"/>
      <c r="AO2669" s="2161"/>
      <c r="AP2669" s="2161"/>
      <c r="AQ2669" s="2161"/>
      <c r="AR2669" s="2161"/>
      <c r="AS2669" s="2161"/>
      <c r="AT2669" s="2161"/>
      <c r="AU2669" s="2161"/>
      <c r="AV2669" s="2161"/>
      <c r="AW2669" s="2161"/>
      <c r="AX2669" s="2161"/>
      <c r="AY2669" s="2161"/>
      <c r="AZ2669" s="2161"/>
      <c r="BA2669" s="2161"/>
      <c r="BB2669" s="2161"/>
      <c r="BC2669" s="2161"/>
      <c r="BD2669" s="2161"/>
      <c r="BE2669" s="2161"/>
      <c r="BF2669" s="2161"/>
      <c r="BG2669" s="2161"/>
      <c r="BH2669" s="2161"/>
      <c r="BI2669" s="2161"/>
      <c r="BJ2669" s="2161"/>
      <c r="BK2669" s="2161"/>
      <c r="BL2669" s="2161"/>
      <c r="BM2669" s="2161"/>
      <c r="BN2669" s="2161"/>
      <c r="BO2669" s="2161"/>
      <c r="BP2669" s="2161"/>
      <c r="BQ2669" s="2161"/>
      <c r="BR2669" s="2161"/>
      <c r="BS2669" s="2161"/>
    </row>
    <row r="2670" spans="1:71" s="2131" customFormat="1" ht="25.5">
      <c r="A2670" s="2379"/>
      <c r="B2670" s="2162"/>
      <c r="C2670" s="2152">
        <v>5</v>
      </c>
      <c r="D2670" s="2164" t="s">
        <v>34</v>
      </c>
      <c r="E2670" s="2164" t="s">
        <v>25</v>
      </c>
      <c r="F2670" s="2164" t="s">
        <v>45</v>
      </c>
      <c r="G2670" s="2164" t="s">
        <v>47</v>
      </c>
      <c r="H2670" s="2244" t="s">
        <v>57</v>
      </c>
      <c r="I2670" s="2162" t="s">
        <v>3782</v>
      </c>
      <c r="J2670" s="2162" t="s">
        <v>3966</v>
      </c>
      <c r="K2670" s="2166">
        <v>60</v>
      </c>
      <c r="L2670" s="2167">
        <v>32000000</v>
      </c>
      <c r="M2670" s="2166">
        <v>30</v>
      </c>
      <c r="N2670" s="2167">
        <v>15340000</v>
      </c>
      <c r="O2670" s="2166">
        <v>10</v>
      </c>
      <c r="P2670" s="2167">
        <v>6112500</v>
      </c>
      <c r="Q2670" s="2418">
        <v>3</v>
      </c>
      <c r="R2670" s="2167">
        <v>760000</v>
      </c>
      <c r="S2670" s="2418"/>
      <c r="T2670" s="2167"/>
      <c r="U2670" s="2418"/>
      <c r="V2670" s="2167"/>
      <c r="W2670" s="2166"/>
      <c r="X2670" s="2167"/>
      <c r="Y2670" s="2166">
        <f t="shared" si="696"/>
        <v>3</v>
      </c>
      <c r="Z2670" s="2241">
        <f t="shared" si="696"/>
        <v>760000</v>
      </c>
      <c r="AA2670" s="2166">
        <f t="shared" si="697"/>
        <v>33</v>
      </c>
      <c r="AB2670" s="2241">
        <f t="shared" si="697"/>
        <v>16100000</v>
      </c>
      <c r="AC2670" s="2170">
        <f t="shared" si="698"/>
        <v>55.000000000000007</v>
      </c>
      <c r="AD2670" s="2170">
        <f t="shared" si="698"/>
        <v>50.312500000000007</v>
      </c>
      <c r="AE2670" s="2401"/>
      <c r="AF2670" s="2161"/>
      <c r="AG2670" s="2161"/>
      <c r="AH2670" s="2161"/>
      <c r="AI2670" s="2161"/>
      <c r="AJ2670" s="2161"/>
      <c r="AK2670" s="2161"/>
      <c r="AL2670" s="2161"/>
      <c r="AM2670" s="2161"/>
      <c r="AN2670" s="2161"/>
      <c r="AO2670" s="2161"/>
      <c r="AP2670" s="2161"/>
      <c r="AQ2670" s="2161"/>
      <c r="AR2670" s="2161"/>
      <c r="AS2670" s="2161"/>
      <c r="AT2670" s="2161"/>
      <c r="AU2670" s="2161"/>
      <c r="AV2670" s="2161"/>
      <c r="AW2670" s="2161"/>
      <c r="AX2670" s="2161"/>
      <c r="AY2670" s="2161"/>
      <c r="AZ2670" s="2161"/>
      <c r="BA2670" s="2161"/>
      <c r="BB2670" s="2161"/>
      <c r="BC2670" s="2161"/>
      <c r="BD2670" s="2161"/>
      <c r="BE2670" s="2161"/>
      <c r="BF2670" s="2161"/>
      <c r="BG2670" s="2161"/>
      <c r="BH2670" s="2161"/>
      <c r="BI2670" s="2161"/>
      <c r="BJ2670" s="2161"/>
      <c r="BK2670" s="2161"/>
      <c r="BL2670" s="2161"/>
      <c r="BM2670" s="2161"/>
      <c r="BN2670" s="2161"/>
      <c r="BO2670" s="2161"/>
      <c r="BP2670" s="2161"/>
      <c r="BQ2670" s="2161"/>
      <c r="BR2670" s="2161"/>
      <c r="BS2670" s="2161"/>
    </row>
    <row r="2671" spans="1:71" s="2131" customFormat="1" ht="38.25">
      <c r="A2671" s="2140" t="s">
        <v>3577</v>
      </c>
      <c r="B2671" s="2194"/>
      <c r="C2671" s="2142">
        <v>5</v>
      </c>
      <c r="D2671" s="2142" t="s">
        <v>34</v>
      </c>
      <c r="E2671" s="2142" t="s">
        <v>25</v>
      </c>
      <c r="F2671" s="2142" t="s">
        <v>45</v>
      </c>
      <c r="G2671" s="2142">
        <v>47</v>
      </c>
      <c r="H2671" s="2140"/>
      <c r="I2671" s="2143" t="s">
        <v>3917</v>
      </c>
      <c r="J2671" s="2143" t="s">
        <v>3918</v>
      </c>
      <c r="K2671" s="2144">
        <v>95</v>
      </c>
      <c r="L2671" s="2145">
        <f>SUM(L2672:L2672)</f>
        <v>12000000</v>
      </c>
      <c r="M2671" s="2144">
        <v>80</v>
      </c>
      <c r="N2671" s="2145">
        <f>SUM(N2672:N2672)</f>
        <v>0</v>
      </c>
      <c r="O2671" s="2144">
        <v>20</v>
      </c>
      <c r="P2671" s="2145">
        <f>SUM(P2672:P2672)</f>
        <v>4000000</v>
      </c>
      <c r="Q2671" s="2144">
        <v>0</v>
      </c>
      <c r="R2671" s="2145">
        <f>SUM(R2672:R2672)</f>
        <v>0</v>
      </c>
      <c r="S2671" s="2144"/>
      <c r="T2671" s="2145">
        <f>SUM(T2672:T2672)</f>
        <v>0</v>
      </c>
      <c r="U2671" s="2195"/>
      <c r="V2671" s="2145">
        <f>SUM(V2672:V2672)</f>
        <v>0</v>
      </c>
      <c r="W2671" s="2144"/>
      <c r="X2671" s="2145">
        <f>SUM(X2672:X2672)</f>
        <v>0</v>
      </c>
      <c r="Y2671" s="2195">
        <f t="shared" si="696"/>
        <v>0</v>
      </c>
      <c r="Z2671" s="2145">
        <f t="shared" si="696"/>
        <v>0</v>
      </c>
      <c r="AA2671" s="2147">
        <f t="shared" si="697"/>
        <v>80</v>
      </c>
      <c r="AB2671" s="2145">
        <f t="shared" si="697"/>
        <v>0</v>
      </c>
      <c r="AC2671" s="2147">
        <f t="shared" si="698"/>
        <v>84.210526315789465</v>
      </c>
      <c r="AD2671" s="2147">
        <f t="shared" si="698"/>
        <v>0</v>
      </c>
      <c r="AE2671" s="2204" t="s">
        <v>3895</v>
      </c>
      <c r="AF2671" s="2149"/>
      <c r="AG2671" s="2149"/>
      <c r="AH2671" s="2149"/>
      <c r="AI2671" s="2149"/>
      <c r="AJ2671" s="2149"/>
      <c r="AK2671" s="2149"/>
      <c r="AL2671" s="2149"/>
      <c r="AM2671" s="2149"/>
      <c r="AN2671" s="2149"/>
      <c r="AO2671" s="2149"/>
      <c r="AP2671" s="2149"/>
      <c r="AQ2671" s="2149"/>
      <c r="AR2671" s="2149"/>
      <c r="AS2671" s="2149"/>
      <c r="AT2671" s="2149"/>
      <c r="AU2671" s="2149"/>
      <c r="AV2671" s="2149"/>
      <c r="AW2671" s="2149"/>
      <c r="AX2671" s="2149"/>
      <c r="AY2671" s="2149"/>
      <c r="AZ2671" s="2149"/>
      <c r="BA2671" s="2149"/>
      <c r="BB2671" s="2149"/>
      <c r="BC2671" s="2149"/>
      <c r="BD2671" s="2149"/>
      <c r="BE2671" s="2149"/>
      <c r="BF2671" s="2149"/>
      <c r="BG2671" s="2149"/>
      <c r="BH2671" s="2149"/>
      <c r="BI2671" s="2149"/>
      <c r="BJ2671" s="2149"/>
      <c r="BK2671" s="2149"/>
      <c r="BL2671" s="2149"/>
      <c r="BM2671" s="2149"/>
      <c r="BN2671" s="2149"/>
      <c r="BO2671" s="2149"/>
      <c r="BP2671" s="2149"/>
      <c r="BQ2671" s="2149"/>
      <c r="BR2671" s="2149"/>
      <c r="BS2671" s="2149"/>
    </row>
    <row r="2672" spans="1:71" s="2131" customFormat="1" ht="25.5">
      <c r="A2672" s="2267"/>
      <c r="B2672" s="2253"/>
      <c r="C2672" s="2164">
        <v>5</v>
      </c>
      <c r="D2672" s="2164" t="s">
        <v>34</v>
      </c>
      <c r="E2672" s="2164" t="s">
        <v>25</v>
      </c>
      <c r="F2672" s="2164" t="s">
        <v>45</v>
      </c>
      <c r="G2672" s="2164">
        <v>47</v>
      </c>
      <c r="H2672" s="2254" t="s">
        <v>43</v>
      </c>
      <c r="I2672" s="2171" t="s">
        <v>1942</v>
      </c>
      <c r="J2672" s="2171" t="s">
        <v>3922</v>
      </c>
      <c r="K2672" s="2255">
        <v>36</v>
      </c>
      <c r="L2672" s="2268">
        <f>3*P2672</f>
        <v>12000000</v>
      </c>
      <c r="M2672" s="2256">
        <v>0</v>
      </c>
      <c r="N2672" s="2257">
        <v>0</v>
      </c>
      <c r="O2672" s="2255">
        <v>12</v>
      </c>
      <c r="P2672" s="2258">
        <v>4000000</v>
      </c>
      <c r="Q2672" s="2366">
        <v>0</v>
      </c>
      <c r="R2672" s="2203">
        <v>0</v>
      </c>
      <c r="S2672" s="2203"/>
      <c r="T2672" s="2203"/>
      <c r="U2672" s="2255"/>
      <c r="V2672" s="2203"/>
      <c r="W2672" s="2255"/>
      <c r="X2672" s="2203"/>
      <c r="Y2672" s="2240">
        <f t="shared" si="696"/>
        <v>0</v>
      </c>
      <c r="Z2672" s="2203">
        <f t="shared" si="696"/>
        <v>0</v>
      </c>
      <c r="AA2672" s="2240">
        <f t="shared" si="697"/>
        <v>0</v>
      </c>
      <c r="AB2672" s="2203">
        <f t="shared" si="697"/>
        <v>0</v>
      </c>
      <c r="AC2672" s="2243">
        <f t="shared" si="698"/>
        <v>0</v>
      </c>
      <c r="AD2672" s="2243">
        <f t="shared" si="698"/>
        <v>0</v>
      </c>
      <c r="AE2672" s="2605"/>
      <c r="AF2672" s="2161"/>
      <c r="AG2672" s="2161"/>
      <c r="AH2672" s="2161"/>
      <c r="AI2672" s="2161"/>
      <c r="AJ2672" s="2161"/>
      <c r="AK2672" s="2161"/>
      <c r="AL2672" s="2161"/>
      <c r="AM2672" s="2161"/>
      <c r="AN2672" s="2161"/>
      <c r="AO2672" s="2161"/>
      <c r="AP2672" s="2161"/>
      <c r="AQ2672" s="2161"/>
      <c r="AR2672" s="2161"/>
      <c r="AS2672" s="2161"/>
      <c r="AT2672" s="2161"/>
      <c r="AU2672" s="2161"/>
      <c r="AV2672" s="2161"/>
      <c r="AW2672" s="2161"/>
      <c r="AX2672" s="2161"/>
      <c r="AY2672" s="2161"/>
      <c r="AZ2672" s="2161"/>
      <c r="BA2672" s="2161"/>
      <c r="BB2672" s="2161"/>
      <c r="BC2672" s="2161"/>
      <c r="BD2672" s="2161"/>
      <c r="BE2672" s="2161"/>
      <c r="BF2672" s="2161"/>
      <c r="BG2672" s="2161"/>
      <c r="BH2672" s="2161"/>
      <c r="BI2672" s="2161"/>
      <c r="BJ2672" s="2161"/>
      <c r="BK2672" s="2161"/>
      <c r="BL2672" s="2161"/>
      <c r="BM2672" s="2161"/>
      <c r="BN2672" s="2161"/>
      <c r="BO2672" s="2161"/>
      <c r="BP2672" s="2161"/>
      <c r="BQ2672" s="2161"/>
      <c r="BR2672" s="2161"/>
      <c r="BS2672" s="2161"/>
    </row>
    <row r="2673" spans="1:71" s="2259" customFormat="1" ht="63.75">
      <c r="A2673" s="2140" t="s">
        <v>19</v>
      </c>
      <c r="B2673" s="2194"/>
      <c r="C2673" s="2142">
        <v>5</v>
      </c>
      <c r="D2673" s="2142" t="s">
        <v>34</v>
      </c>
      <c r="E2673" s="2142" t="s">
        <v>25</v>
      </c>
      <c r="F2673" s="2142" t="s">
        <v>45</v>
      </c>
      <c r="G2673" s="2142" t="s">
        <v>104</v>
      </c>
      <c r="H2673" s="2140"/>
      <c r="I2673" s="2143" t="s">
        <v>3590</v>
      </c>
      <c r="J2673" s="2372" t="s">
        <v>3945</v>
      </c>
      <c r="K2673" s="2144">
        <v>100</v>
      </c>
      <c r="L2673" s="2145">
        <f>SUM(L2674:L2674)</f>
        <v>40547000</v>
      </c>
      <c r="M2673" s="2144">
        <v>36</v>
      </c>
      <c r="N2673" s="2145">
        <f>SUM(N2674:N2674)</f>
        <v>0</v>
      </c>
      <c r="O2673" s="2144">
        <v>20</v>
      </c>
      <c r="P2673" s="2145">
        <f>SUM(P2674:P2674)</f>
        <v>5125000</v>
      </c>
      <c r="Q2673" s="2144">
        <v>0</v>
      </c>
      <c r="R2673" s="2145">
        <f>SUM(R2674:R2674)</f>
        <v>0</v>
      </c>
      <c r="S2673" s="2144">
        <v>20</v>
      </c>
      <c r="T2673" s="2146">
        <f>SUM(T2674:T2674)</f>
        <v>5125000</v>
      </c>
      <c r="U2673" s="2147"/>
      <c r="V2673" s="2146">
        <f>SUM(V2674:V2674)</f>
        <v>0</v>
      </c>
      <c r="W2673" s="2144"/>
      <c r="X2673" s="2144">
        <f>SUM(X2674:X2674)</f>
        <v>0</v>
      </c>
      <c r="Y2673" s="2147">
        <f t="shared" si="696"/>
        <v>20</v>
      </c>
      <c r="Z2673" s="2145">
        <f t="shared" si="696"/>
        <v>5125000</v>
      </c>
      <c r="AA2673" s="2147">
        <f>M2673+Y2673</f>
        <v>56</v>
      </c>
      <c r="AB2673" s="2145">
        <f t="shared" si="697"/>
        <v>5125000</v>
      </c>
      <c r="AC2673" s="2147">
        <f t="shared" si="698"/>
        <v>56.000000000000007</v>
      </c>
      <c r="AD2673" s="2375">
        <f t="shared" si="698"/>
        <v>12.639652748662048</v>
      </c>
      <c r="AE2673" s="2204" t="s">
        <v>3950</v>
      </c>
    </row>
    <row r="2674" spans="1:71" s="2259" customFormat="1" ht="53.25" customHeight="1">
      <c r="A2674" s="2377"/>
      <c r="B2674" s="2378"/>
      <c r="C2674" s="2164">
        <v>5</v>
      </c>
      <c r="D2674" s="2164" t="s">
        <v>34</v>
      </c>
      <c r="E2674" s="2164" t="s">
        <v>25</v>
      </c>
      <c r="F2674" s="2164" t="s">
        <v>45</v>
      </c>
      <c r="G2674" s="2164" t="s">
        <v>104</v>
      </c>
      <c r="H2674" s="2164" t="s">
        <v>25</v>
      </c>
      <c r="I2674" s="2260" t="s">
        <v>3946</v>
      </c>
      <c r="J2674" s="2260" t="s">
        <v>3947</v>
      </c>
      <c r="K2674" s="2700">
        <v>3</v>
      </c>
      <c r="L2674" s="2247">
        <v>40547000</v>
      </c>
      <c r="M2674" s="2700">
        <v>0</v>
      </c>
      <c r="N2674" s="2241">
        <v>0</v>
      </c>
      <c r="O2674" s="2240">
        <v>1</v>
      </c>
      <c r="P2674" s="2241">
        <v>5125000</v>
      </c>
      <c r="Q2674" s="2240">
        <v>0</v>
      </c>
      <c r="R2674" s="2242">
        <v>0</v>
      </c>
      <c r="S2674" s="2700">
        <v>1</v>
      </c>
      <c r="T2674" s="2247">
        <v>5125000</v>
      </c>
      <c r="U2674" s="2700"/>
      <c r="V2674" s="2700"/>
      <c r="W2674" s="2700"/>
      <c r="X2674" s="2700"/>
      <c r="Y2674" s="2240">
        <f t="shared" si="696"/>
        <v>1</v>
      </c>
      <c r="Z2674" s="2203">
        <f t="shared" si="696"/>
        <v>5125000</v>
      </c>
      <c r="AA2674" s="2240">
        <f t="shared" ref="AA2674" si="700">M2674+Y2674</f>
        <v>1</v>
      </c>
      <c r="AB2674" s="2203">
        <f t="shared" si="697"/>
        <v>5125000</v>
      </c>
      <c r="AC2674" s="2243">
        <f t="shared" si="698"/>
        <v>33.333333333333329</v>
      </c>
      <c r="AD2674" s="2385">
        <f t="shared" si="698"/>
        <v>12.639652748662048</v>
      </c>
      <c r="AE2674" s="2379" t="s">
        <v>3924</v>
      </c>
    </row>
    <row r="2675" spans="1:71" s="2131" customFormat="1" ht="38.25">
      <c r="A2675" s="2140" t="s">
        <v>3589</v>
      </c>
      <c r="B2675" s="2194"/>
      <c r="C2675" s="2142">
        <v>5</v>
      </c>
      <c r="D2675" s="2142" t="s">
        <v>34</v>
      </c>
      <c r="E2675" s="2142" t="s">
        <v>25</v>
      </c>
      <c r="F2675" s="2142" t="s">
        <v>45</v>
      </c>
      <c r="G2675" s="2142" t="s">
        <v>35</v>
      </c>
      <c r="H2675" s="2140"/>
      <c r="I2675" s="2143" t="s">
        <v>3570</v>
      </c>
      <c r="J2675" s="2143" t="s">
        <v>3571</v>
      </c>
      <c r="K2675" s="2144">
        <v>70</v>
      </c>
      <c r="L2675" s="2145">
        <f>L2676</f>
        <v>200000000</v>
      </c>
      <c r="M2675" s="2144">
        <v>50</v>
      </c>
      <c r="N2675" s="2145">
        <f>N2676</f>
        <v>66085000</v>
      </c>
      <c r="O2675" s="2144"/>
      <c r="P2675" s="2145">
        <f>P2676</f>
        <v>0</v>
      </c>
      <c r="Q2675" s="2144"/>
      <c r="R2675" s="2145">
        <f>R2676</f>
        <v>0</v>
      </c>
      <c r="S2675" s="2144"/>
      <c r="T2675" s="2146">
        <f>T2676</f>
        <v>0</v>
      </c>
      <c r="U2675" s="2195"/>
      <c r="V2675" s="2146">
        <f>V2676</f>
        <v>0</v>
      </c>
      <c r="W2675" s="2144"/>
      <c r="X2675" s="2145">
        <f>X2676</f>
        <v>0</v>
      </c>
      <c r="Y2675" s="2195">
        <f t="shared" si="696"/>
        <v>0</v>
      </c>
      <c r="Z2675" s="2145">
        <f t="shared" si="696"/>
        <v>0</v>
      </c>
      <c r="AA2675" s="2147">
        <f t="shared" si="697"/>
        <v>50</v>
      </c>
      <c r="AB2675" s="2145">
        <f t="shared" si="697"/>
        <v>66085000</v>
      </c>
      <c r="AC2675" s="2147">
        <f t="shared" si="698"/>
        <v>71.428571428571431</v>
      </c>
      <c r="AD2675" s="2147">
        <f t="shared" si="698"/>
        <v>33.042500000000004</v>
      </c>
      <c r="AE2675" s="2204" t="s">
        <v>3950</v>
      </c>
      <c r="AF2675" s="2270"/>
      <c r="AG2675" s="2270"/>
      <c r="AH2675" s="2270"/>
      <c r="AI2675" s="2270"/>
      <c r="AJ2675" s="2270"/>
      <c r="AK2675" s="2270"/>
      <c r="AL2675" s="2270"/>
      <c r="AM2675" s="2270"/>
      <c r="AN2675" s="2270"/>
      <c r="AO2675" s="2270"/>
      <c r="AP2675" s="2270"/>
      <c r="AQ2675" s="2270"/>
      <c r="AR2675" s="2270"/>
      <c r="AS2675" s="2270"/>
      <c r="AT2675" s="2270"/>
      <c r="AU2675" s="2270"/>
      <c r="AV2675" s="2270"/>
      <c r="AW2675" s="2270"/>
      <c r="AX2675" s="2270"/>
      <c r="AY2675" s="2270"/>
      <c r="AZ2675" s="2270"/>
      <c r="BA2675" s="2270"/>
      <c r="BB2675" s="2270"/>
      <c r="BC2675" s="2270"/>
      <c r="BD2675" s="2270"/>
      <c r="BE2675" s="2270"/>
      <c r="BF2675" s="2270"/>
      <c r="BG2675" s="2270"/>
      <c r="BH2675" s="2270"/>
      <c r="BI2675" s="2270"/>
      <c r="BJ2675" s="2270"/>
      <c r="BK2675" s="2270"/>
      <c r="BL2675" s="2270"/>
      <c r="BM2675" s="2270"/>
      <c r="BN2675" s="2270"/>
      <c r="BO2675" s="2270"/>
      <c r="BP2675" s="2270"/>
      <c r="BQ2675" s="2270"/>
      <c r="BR2675" s="2270"/>
      <c r="BS2675" s="2270"/>
    </row>
    <row r="2676" spans="1:71" s="2131" customFormat="1" ht="38.25">
      <c r="A2676" s="2379"/>
      <c r="B2676" s="2162"/>
      <c r="C2676" s="2164">
        <v>5</v>
      </c>
      <c r="D2676" s="2164" t="s">
        <v>34</v>
      </c>
      <c r="E2676" s="2164" t="s">
        <v>25</v>
      </c>
      <c r="F2676" s="2164" t="s">
        <v>45</v>
      </c>
      <c r="G2676" s="2164" t="s">
        <v>35</v>
      </c>
      <c r="H2676" s="2151" t="s">
        <v>30</v>
      </c>
      <c r="I2676" s="2162" t="s">
        <v>3967</v>
      </c>
      <c r="J2676" s="2162" t="s">
        <v>3574</v>
      </c>
      <c r="K2676" s="2166">
        <v>3</v>
      </c>
      <c r="L2676" s="2167">
        <v>200000000</v>
      </c>
      <c r="M2676" s="2166">
        <v>1</v>
      </c>
      <c r="N2676" s="2167">
        <v>66085000</v>
      </c>
      <c r="O2676" s="2166"/>
      <c r="P2676" s="2167"/>
      <c r="Q2676" s="2166">
        <v>0</v>
      </c>
      <c r="R2676" s="2167"/>
      <c r="S2676" s="2166"/>
      <c r="T2676" s="2202"/>
      <c r="U2676" s="2166"/>
      <c r="V2676" s="2202"/>
      <c r="W2676" s="2166"/>
      <c r="X2676" s="2167"/>
      <c r="Y2676" s="2166">
        <f t="shared" si="696"/>
        <v>0</v>
      </c>
      <c r="Z2676" s="2203">
        <f t="shared" si="696"/>
        <v>0</v>
      </c>
      <c r="AA2676" s="2166">
        <f t="shared" si="697"/>
        <v>1</v>
      </c>
      <c r="AB2676" s="2203">
        <f t="shared" si="697"/>
        <v>66085000</v>
      </c>
      <c r="AC2676" s="2276">
        <f t="shared" si="698"/>
        <v>33.333333333333329</v>
      </c>
      <c r="AD2676" s="2170">
        <f t="shared" si="698"/>
        <v>33.042500000000004</v>
      </c>
      <c r="AE2676" s="2379"/>
      <c r="AF2676" s="2161"/>
      <c r="AG2676" s="2161"/>
      <c r="AH2676" s="2161"/>
      <c r="AI2676" s="2161"/>
      <c r="AJ2676" s="2161"/>
      <c r="AK2676" s="2161"/>
      <c r="AL2676" s="2161"/>
      <c r="AM2676" s="2161"/>
      <c r="AN2676" s="2161"/>
      <c r="AO2676" s="2161"/>
      <c r="AP2676" s="2161"/>
      <c r="AQ2676" s="2161"/>
      <c r="AR2676" s="2161"/>
      <c r="AS2676" s="2161"/>
      <c r="AT2676" s="2161"/>
      <c r="AU2676" s="2161"/>
      <c r="AV2676" s="2161"/>
      <c r="AW2676" s="2161"/>
      <c r="AX2676" s="2161"/>
      <c r="AY2676" s="2161"/>
      <c r="AZ2676" s="2161"/>
      <c r="BA2676" s="2161"/>
      <c r="BB2676" s="2161"/>
      <c r="BC2676" s="2161"/>
      <c r="BD2676" s="2161"/>
      <c r="BE2676" s="2161"/>
      <c r="BF2676" s="2161"/>
      <c r="BG2676" s="2161"/>
      <c r="BH2676" s="2161"/>
      <c r="BI2676" s="2161"/>
      <c r="BJ2676" s="2161"/>
      <c r="BK2676" s="2161"/>
      <c r="BL2676" s="2161"/>
      <c r="BM2676" s="2161"/>
      <c r="BN2676" s="2161"/>
      <c r="BO2676" s="2161"/>
      <c r="BP2676" s="2161"/>
      <c r="BQ2676" s="2161"/>
      <c r="BR2676" s="2161"/>
      <c r="BS2676" s="2161"/>
    </row>
    <row r="2677" spans="1:71" s="2131" customFormat="1" ht="51">
      <c r="A2677" s="2140" t="s">
        <v>3596</v>
      </c>
      <c r="B2677" s="2194"/>
      <c r="C2677" s="2142">
        <v>5</v>
      </c>
      <c r="D2677" s="2142" t="s">
        <v>34</v>
      </c>
      <c r="E2677" s="2142" t="s">
        <v>25</v>
      </c>
      <c r="F2677" s="2142" t="s">
        <v>45</v>
      </c>
      <c r="G2677" s="2142" t="s">
        <v>56</v>
      </c>
      <c r="H2677" s="2140"/>
      <c r="I2677" s="2143" t="s">
        <v>175</v>
      </c>
      <c r="J2677" s="2143" t="s">
        <v>3968</v>
      </c>
      <c r="K2677" s="2144" t="s">
        <v>113</v>
      </c>
      <c r="L2677" s="2145">
        <f>L2678</f>
        <v>40000000</v>
      </c>
      <c r="M2677" s="2144">
        <v>100</v>
      </c>
      <c r="N2677" s="2145">
        <f>N2678</f>
        <v>19392000</v>
      </c>
      <c r="O2677" s="2144"/>
      <c r="P2677" s="2145">
        <f>P2678</f>
        <v>0</v>
      </c>
      <c r="Q2677" s="2144">
        <v>0</v>
      </c>
      <c r="R2677" s="2145">
        <f>R2678</f>
        <v>0</v>
      </c>
      <c r="S2677" s="2144"/>
      <c r="T2677" s="2146">
        <f>T2678</f>
        <v>0</v>
      </c>
      <c r="U2677" s="2195"/>
      <c r="V2677" s="2146">
        <f>V2678</f>
        <v>0</v>
      </c>
      <c r="W2677" s="2144"/>
      <c r="X2677" s="2145">
        <f>X2678</f>
        <v>0</v>
      </c>
      <c r="Y2677" s="2195">
        <f t="shared" si="696"/>
        <v>0</v>
      </c>
      <c r="Z2677" s="2145">
        <f t="shared" si="696"/>
        <v>0</v>
      </c>
      <c r="AA2677" s="2195">
        <f t="shared" si="697"/>
        <v>100</v>
      </c>
      <c r="AB2677" s="2145">
        <f t="shared" si="697"/>
        <v>19392000</v>
      </c>
      <c r="AC2677" s="2147">
        <v>100</v>
      </c>
      <c r="AD2677" s="2147">
        <f t="shared" si="698"/>
        <v>48.480000000000004</v>
      </c>
      <c r="AE2677" s="2204" t="s">
        <v>3950</v>
      </c>
      <c r="AF2677" s="2270"/>
      <c r="AG2677" s="2270"/>
      <c r="AH2677" s="2270"/>
      <c r="AI2677" s="2270"/>
      <c r="AJ2677" s="2270"/>
      <c r="AK2677" s="2270"/>
      <c r="AL2677" s="2270"/>
      <c r="AM2677" s="2270"/>
      <c r="AN2677" s="2270"/>
      <c r="AO2677" s="2270"/>
      <c r="AP2677" s="2270"/>
      <c r="AQ2677" s="2270"/>
      <c r="AR2677" s="2270"/>
      <c r="AS2677" s="2270"/>
      <c r="AT2677" s="2270"/>
      <c r="AU2677" s="2270"/>
      <c r="AV2677" s="2270"/>
      <c r="AW2677" s="2270"/>
      <c r="AX2677" s="2270"/>
      <c r="AY2677" s="2270"/>
      <c r="AZ2677" s="2270"/>
      <c r="BA2677" s="2270"/>
      <c r="BB2677" s="2270"/>
      <c r="BC2677" s="2270"/>
      <c r="BD2677" s="2270"/>
      <c r="BE2677" s="2270"/>
      <c r="BF2677" s="2270"/>
      <c r="BG2677" s="2270"/>
      <c r="BH2677" s="2270"/>
      <c r="BI2677" s="2270"/>
      <c r="BJ2677" s="2270"/>
      <c r="BK2677" s="2270"/>
      <c r="BL2677" s="2270"/>
      <c r="BM2677" s="2270"/>
      <c r="BN2677" s="2270"/>
      <c r="BO2677" s="2270"/>
      <c r="BP2677" s="2270"/>
      <c r="BQ2677" s="2270"/>
      <c r="BR2677" s="2270"/>
      <c r="BS2677" s="2270"/>
    </row>
    <row r="2678" spans="1:71" s="2131" customFormat="1" ht="38.25">
      <c r="A2678" s="2379"/>
      <c r="B2678" s="2162"/>
      <c r="C2678" s="2164">
        <v>5</v>
      </c>
      <c r="D2678" s="2164" t="s">
        <v>34</v>
      </c>
      <c r="E2678" s="2164" t="s">
        <v>25</v>
      </c>
      <c r="F2678" s="2164" t="s">
        <v>45</v>
      </c>
      <c r="G2678" s="2273" t="s">
        <v>56</v>
      </c>
      <c r="H2678" s="2151" t="s">
        <v>25</v>
      </c>
      <c r="I2678" s="2162" t="s">
        <v>3562</v>
      </c>
      <c r="J2678" s="2162" t="s">
        <v>3691</v>
      </c>
      <c r="K2678" s="2166">
        <v>36</v>
      </c>
      <c r="L2678" s="2167">
        <v>40000000</v>
      </c>
      <c r="M2678" s="2166">
        <v>1</v>
      </c>
      <c r="N2678" s="2167">
        <v>19392000</v>
      </c>
      <c r="O2678" s="2166"/>
      <c r="P2678" s="2167"/>
      <c r="Q2678" s="2166">
        <v>0</v>
      </c>
      <c r="R2678" s="2167"/>
      <c r="S2678" s="2166"/>
      <c r="T2678" s="2202"/>
      <c r="U2678" s="2166"/>
      <c r="V2678" s="2202"/>
      <c r="W2678" s="2166"/>
      <c r="X2678" s="2167"/>
      <c r="Y2678" s="2166">
        <f t="shared" si="696"/>
        <v>0</v>
      </c>
      <c r="Z2678" s="2203">
        <f t="shared" si="696"/>
        <v>0</v>
      </c>
      <c r="AA2678" s="2166">
        <f t="shared" si="697"/>
        <v>1</v>
      </c>
      <c r="AB2678" s="2203">
        <f t="shared" si="697"/>
        <v>19392000</v>
      </c>
      <c r="AC2678" s="2276">
        <f t="shared" si="698"/>
        <v>2.7777777777777777</v>
      </c>
      <c r="AD2678" s="2170">
        <f t="shared" si="698"/>
        <v>48.480000000000004</v>
      </c>
      <c r="AE2678" s="2379"/>
      <c r="AF2678" s="2161"/>
      <c r="AG2678" s="2161"/>
      <c r="AH2678" s="2161"/>
      <c r="AI2678" s="2161"/>
      <c r="AJ2678" s="2161"/>
      <c r="AK2678" s="2161"/>
      <c r="AL2678" s="2161"/>
      <c r="AM2678" s="2161"/>
      <c r="AN2678" s="2161"/>
      <c r="AO2678" s="2161"/>
      <c r="AP2678" s="2161"/>
      <c r="AQ2678" s="2161"/>
      <c r="AR2678" s="2161"/>
      <c r="AS2678" s="2161"/>
      <c r="AT2678" s="2161"/>
      <c r="AU2678" s="2161"/>
      <c r="AV2678" s="2161"/>
      <c r="AW2678" s="2161"/>
      <c r="AX2678" s="2161"/>
      <c r="AY2678" s="2161"/>
      <c r="AZ2678" s="2161"/>
      <c r="BA2678" s="2161"/>
      <c r="BB2678" s="2161"/>
      <c r="BC2678" s="2161"/>
      <c r="BD2678" s="2161"/>
      <c r="BE2678" s="2161"/>
      <c r="BF2678" s="2161"/>
      <c r="BG2678" s="2161"/>
      <c r="BH2678" s="2161"/>
      <c r="BI2678" s="2161"/>
      <c r="BJ2678" s="2161"/>
      <c r="BK2678" s="2161"/>
      <c r="BL2678" s="2161"/>
      <c r="BM2678" s="2161"/>
      <c r="BN2678" s="2161"/>
      <c r="BO2678" s="2161"/>
      <c r="BP2678" s="2161"/>
      <c r="BQ2678" s="2161"/>
      <c r="BR2678" s="2161"/>
      <c r="BS2678" s="2161"/>
    </row>
    <row r="2679" spans="1:71" s="2131" customFormat="1" ht="63.75">
      <c r="A2679" s="2140" t="s">
        <v>3612</v>
      </c>
      <c r="B2679" s="2194"/>
      <c r="C2679" s="2140">
        <v>5</v>
      </c>
      <c r="D2679" s="2142" t="s">
        <v>34</v>
      </c>
      <c r="E2679" s="2142" t="s">
        <v>25</v>
      </c>
      <c r="F2679" s="2142" t="s">
        <v>45</v>
      </c>
      <c r="G2679" s="2142" t="s">
        <v>3667</v>
      </c>
      <c r="H2679" s="2140"/>
      <c r="I2679" s="2143" t="s">
        <v>3668</v>
      </c>
      <c r="J2679" s="2143" t="s">
        <v>3669</v>
      </c>
      <c r="K2679" s="2144">
        <v>100</v>
      </c>
      <c r="L2679" s="2145">
        <f>SUM(L2680:L2684)</f>
        <v>701375180</v>
      </c>
      <c r="M2679" s="2144">
        <v>52</v>
      </c>
      <c r="N2679" s="2145">
        <f>SUM(N2680:N2684)</f>
        <v>172286096</v>
      </c>
      <c r="O2679" s="2144"/>
      <c r="P2679" s="2145">
        <f>SUM(P2680:P2684)</f>
        <v>0</v>
      </c>
      <c r="Q2679" s="2144"/>
      <c r="R2679" s="2145">
        <f>SUM(R2680:R2684)</f>
        <v>0</v>
      </c>
      <c r="S2679" s="2147"/>
      <c r="T2679" s="2145">
        <f>SUM(T2680:T2684)</f>
        <v>0</v>
      </c>
      <c r="U2679" s="2147"/>
      <c r="V2679" s="2145">
        <f>SUM(V2680:V2684)</f>
        <v>0</v>
      </c>
      <c r="W2679" s="2144"/>
      <c r="X2679" s="2145">
        <f>SUM(X2680:X2684)</f>
        <v>0</v>
      </c>
      <c r="Y2679" s="2144">
        <f t="shared" si="696"/>
        <v>0</v>
      </c>
      <c r="Z2679" s="2145">
        <f t="shared" si="696"/>
        <v>0</v>
      </c>
      <c r="AA2679" s="2144">
        <f t="shared" si="697"/>
        <v>52</v>
      </c>
      <c r="AB2679" s="2145">
        <f t="shared" si="697"/>
        <v>172286096</v>
      </c>
      <c r="AC2679" s="2147">
        <f t="shared" si="698"/>
        <v>52</v>
      </c>
      <c r="AD2679" s="2147">
        <f t="shared" si="698"/>
        <v>24.564042314699531</v>
      </c>
      <c r="AE2679" s="2204" t="s">
        <v>3950</v>
      </c>
      <c r="AF2679" s="2266"/>
      <c r="AG2679" s="2266"/>
      <c r="AH2679" s="2266"/>
      <c r="AI2679" s="2266"/>
      <c r="AJ2679" s="2266"/>
      <c r="AK2679" s="2266"/>
      <c r="AL2679" s="2266"/>
      <c r="AM2679" s="2266"/>
      <c r="AN2679" s="2266"/>
      <c r="AO2679" s="2266"/>
      <c r="AP2679" s="2266"/>
      <c r="AQ2679" s="2266"/>
      <c r="AR2679" s="2266"/>
      <c r="AS2679" s="2266"/>
      <c r="AT2679" s="2266"/>
      <c r="AU2679" s="2266"/>
      <c r="AV2679" s="2266"/>
      <c r="AW2679" s="2266"/>
      <c r="AX2679" s="2266"/>
      <c r="AY2679" s="2266"/>
      <c r="AZ2679" s="2266"/>
      <c r="BA2679" s="2266"/>
      <c r="BB2679" s="2266"/>
      <c r="BC2679" s="2266"/>
      <c r="BD2679" s="2266"/>
      <c r="BE2679" s="2266"/>
      <c r="BF2679" s="2266"/>
      <c r="BG2679" s="2266"/>
      <c r="BH2679" s="2266"/>
      <c r="BI2679" s="2266"/>
      <c r="BJ2679" s="2266"/>
      <c r="BK2679" s="2266"/>
      <c r="BL2679" s="2266"/>
      <c r="BM2679" s="2266"/>
      <c r="BN2679" s="2266"/>
      <c r="BO2679" s="2266"/>
      <c r="BP2679" s="2266"/>
      <c r="BQ2679" s="2266"/>
      <c r="BR2679" s="2266"/>
      <c r="BS2679" s="2266"/>
    </row>
    <row r="2680" spans="1:71" s="2131" customFormat="1" ht="38.25">
      <c r="A2680" s="2152"/>
      <c r="B2680" s="2260"/>
      <c r="C2680" s="2152">
        <v>5</v>
      </c>
      <c r="D2680" s="2164" t="s">
        <v>34</v>
      </c>
      <c r="E2680" s="2164" t="s">
        <v>25</v>
      </c>
      <c r="F2680" s="2164" t="s">
        <v>45</v>
      </c>
      <c r="G2680" s="2164" t="s">
        <v>3667</v>
      </c>
      <c r="H2680" s="2164" t="s">
        <v>25</v>
      </c>
      <c r="I2680" s="2260" t="s">
        <v>3551</v>
      </c>
      <c r="J2680" s="2260" t="s">
        <v>3783</v>
      </c>
      <c r="K2680" s="2240">
        <v>60</v>
      </c>
      <c r="L2680" s="2241">
        <v>285000000</v>
      </c>
      <c r="M2680" s="2240">
        <v>20</v>
      </c>
      <c r="N2680" s="2241">
        <v>105862616</v>
      </c>
      <c r="O2680" s="2240"/>
      <c r="P2680" s="2242">
        <v>0</v>
      </c>
      <c r="Q2680" s="2193">
        <v>0</v>
      </c>
      <c r="R2680" s="2193">
        <v>0</v>
      </c>
      <c r="S2680" s="2193">
        <v>0</v>
      </c>
      <c r="T2680" s="2193"/>
      <c r="U2680" s="2178"/>
      <c r="V2680" s="2241"/>
      <c r="W2680" s="2240"/>
      <c r="X2680" s="2241"/>
      <c r="Y2680" s="2240">
        <f t="shared" si="696"/>
        <v>0</v>
      </c>
      <c r="Z2680" s="2241">
        <f t="shared" si="696"/>
        <v>0</v>
      </c>
      <c r="AA2680" s="2240">
        <f t="shared" si="697"/>
        <v>20</v>
      </c>
      <c r="AB2680" s="2241">
        <f t="shared" si="697"/>
        <v>105862616</v>
      </c>
      <c r="AC2680" s="2243">
        <f t="shared" si="698"/>
        <v>33.333333333333329</v>
      </c>
      <c r="AD2680" s="2243">
        <f t="shared" si="698"/>
        <v>37.144777543859647</v>
      </c>
      <c r="AE2680" s="2455"/>
      <c r="AF2680" s="2161"/>
      <c r="AG2680" s="2161"/>
      <c r="AH2680" s="2161"/>
      <c r="AI2680" s="2161"/>
      <c r="AJ2680" s="2161"/>
      <c r="AK2680" s="2161"/>
      <c r="AL2680" s="2161"/>
      <c r="AM2680" s="2161"/>
      <c r="AN2680" s="2161"/>
      <c r="AO2680" s="2161"/>
      <c r="AP2680" s="2161"/>
      <c r="AQ2680" s="2161"/>
      <c r="AR2680" s="2161"/>
      <c r="AS2680" s="2161"/>
      <c r="AT2680" s="2161"/>
      <c r="AU2680" s="2161"/>
      <c r="AV2680" s="2161"/>
      <c r="AW2680" s="2161"/>
      <c r="AX2680" s="2161"/>
      <c r="AY2680" s="2161"/>
      <c r="AZ2680" s="2161"/>
      <c r="BA2680" s="2161"/>
      <c r="BB2680" s="2161"/>
      <c r="BC2680" s="2161"/>
      <c r="BD2680" s="2161"/>
      <c r="BE2680" s="2161"/>
      <c r="BF2680" s="2161"/>
      <c r="BG2680" s="2161"/>
      <c r="BH2680" s="2161"/>
      <c r="BI2680" s="2161"/>
      <c r="BJ2680" s="2161"/>
      <c r="BK2680" s="2161"/>
      <c r="BL2680" s="2161"/>
      <c r="BM2680" s="2161"/>
      <c r="BN2680" s="2161"/>
      <c r="BO2680" s="2161"/>
      <c r="BP2680" s="2161"/>
      <c r="BQ2680" s="2161"/>
      <c r="BR2680" s="2161"/>
      <c r="BS2680" s="2161"/>
    </row>
    <row r="2681" spans="1:71" s="2131" customFormat="1" ht="38.25">
      <c r="A2681" s="2152"/>
      <c r="B2681" s="2260"/>
      <c r="C2681" s="2152">
        <v>5</v>
      </c>
      <c r="D2681" s="2164" t="s">
        <v>34</v>
      </c>
      <c r="E2681" s="2164" t="s">
        <v>25</v>
      </c>
      <c r="F2681" s="2164" t="s">
        <v>45</v>
      </c>
      <c r="G2681" s="2164" t="s">
        <v>3667</v>
      </c>
      <c r="H2681" s="2164" t="s">
        <v>28</v>
      </c>
      <c r="I2681" s="2260" t="s">
        <v>3671</v>
      </c>
      <c r="J2681" s="2260" t="s">
        <v>3672</v>
      </c>
      <c r="K2681" s="2240">
        <v>6</v>
      </c>
      <c r="L2681" s="2268">
        <v>57375180</v>
      </c>
      <c r="M2681" s="2240">
        <v>3</v>
      </c>
      <c r="N2681" s="2241">
        <v>13851180</v>
      </c>
      <c r="O2681" s="2240"/>
      <c r="P2681" s="2242">
        <v>0</v>
      </c>
      <c r="Q2681" s="2193">
        <v>0</v>
      </c>
      <c r="R2681" s="2193">
        <v>0</v>
      </c>
      <c r="S2681" s="2193">
        <v>0</v>
      </c>
      <c r="T2681" s="2193"/>
      <c r="U2681" s="2178"/>
      <c r="V2681" s="2241"/>
      <c r="W2681" s="2240"/>
      <c r="X2681" s="2241"/>
      <c r="Y2681" s="2240">
        <f t="shared" si="696"/>
        <v>0</v>
      </c>
      <c r="Z2681" s="2241">
        <f t="shared" si="696"/>
        <v>0</v>
      </c>
      <c r="AA2681" s="2240">
        <f t="shared" si="697"/>
        <v>3</v>
      </c>
      <c r="AB2681" s="2241">
        <f t="shared" si="697"/>
        <v>13851180</v>
      </c>
      <c r="AC2681" s="2243">
        <f t="shared" si="698"/>
        <v>50</v>
      </c>
      <c r="AD2681" s="2243">
        <f t="shared" si="698"/>
        <v>24.14141445830758</v>
      </c>
      <c r="AE2681" s="2455"/>
      <c r="AF2681" s="2161"/>
      <c r="AG2681" s="2161"/>
      <c r="AH2681" s="2161"/>
      <c r="AI2681" s="2161"/>
      <c r="AJ2681" s="2161"/>
      <c r="AK2681" s="2161"/>
      <c r="AL2681" s="2161"/>
      <c r="AM2681" s="2161"/>
      <c r="AN2681" s="2161"/>
      <c r="AO2681" s="2161"/>
      <c r="AP2681" s="2161"/>
      <c r="AQ2681" s="2161"/>
      <c r="AR2681" s="2161"/>
      <c r="AS2681" s="2161"/>
      <c r="AT2681" s="2161"/>
      <c r="AU2681" s="2161"/>
      <c r="AV2681" s="2161"/>
      <c r="AW2681" s="2161"/>
      <c r="AX2681" s="2161"/>
      <c r="AY2681" s="2161"/>
      <c r="AZ2681" s="2161"/>
      <c r="BA2681" s="2161"/>
      <c r="BB2681" s="2161"/>
      <c r="BC2681" s="2161"/>
      <c r="BD2681" s="2161"/>
      <c r="BE2681" s="2161"/>
      <c r="BF2681" s="2161"/>
      <c r="BG2681" s="2161"/>
      <c r="BH2681" s="2161"/>
      <c r="BI2681" s="2161"/>
      <c r="BJ2681" s="2161"/>
      <c r="BK2681" s="2161"/>
      <c r="BL2681" s="2161"/>
      <c r="BM2681" s="2161"/>
      <c r="BN2681" s="2161"/>
      <c r="BO2681" s="2161"/>
      <c r="BP2681" s="2161"/>
      <c r="BQ2681" s="2161"/>
      <c r="BR2681" s="2161"/>
      <c r="BS2681" s="2161"/>
    </row>
    <row r="2682" spans="1:71" s="2131" customFormat="1" ht="63.75">
      <c r="A2682" s="2152"/>
      <c r="B2682" s="2260"/>
      <c r="C2682" s="2152">
        <v>5</v>
      </c>
      <c r="D2682" s="2164" t="s">
        <v>34</v>
      </c>
      <c r="E2682" s="2164" t="s">
        <v>25</v>
      </c>
      <c r="F2682" s="2164" t="s">
        <v>45</v>
      </c>
      <c r="G2682" s="2164" t="s">
        <v>3667</v>
      </c>
      <c r="H2682" s="2164" t="s">
        <v>39</v>
      </c>
      <c r="I2682" s="2260" t="s">
        <v>3673</v>
      </c>
      <c r="J2682" s="2260" t="s">
        <v>3674</v>
      </c>
      <c r="K2682" s="2240">
        <v>6</v>
      </c>
      <c r="L2682" s="2241">
        <v>110500000</v>
      </c>
      <c r="M2682" s="2240">
        <v>3</v>
      </c>
      <c r="N2682" s="2241">
        <v>16641960</v>
      </c>
      <c r="O2682" s="2240"/>
      <c r="P2682" s="2242">
        <v>0</v>
      </c>
      <c r="Q2682" s="2193">
        <v>0</v>
      </c>
      <c r="R2682" s="2193">
        <v>0</v>
      </c>
      <c r="S2682" s="2193">
        <v>0</v>
      </c>
      <c r="T2682" s="2193"/>
      <c r="U2682" s="2178"/>
      <c r="V2682" s="2241"/>
      <c r="W2682" s="2240"/>
      <c r="X2682" s="2241"/>
      <c r="Y2682" s="2240">
        <f t="shared" si="696"/>
        <v>0</v>
      </c>
      <c r="Z2682" s="2241">
        <f t="shared" si="696"/>
        <v>0</v>
      </c>
      <c r="AA2682" s="2240">
        <f t="shared" si="697"/>
        <v>3</v>
      </c>
      <c r="AB2682" s="2241">
        <f t="shared" si="697"/>
        <v>16641960</v>
      </c>
      <c r="AC2682" s="2243">
        <f t="shared" si="698"/>
        <v>50</v>
      </c>
      <c r="AD2682" s="2243">
        <f t="shared" si="698"/>
        <v>15.060597285067873</v>
      </c>
      <c r="AE2682" s="2455"/>
      <c r="AF2682" s="2161"/>
      <c r="AG2682" s="2161"/>
      <c r="AH2682" s="2161"/>
      <c r="AI2682" s="2161"/>
      <c r="AJ2682" s="2161"/>
      <c r="AK2682" s="2161"/>
      <c r="AL2682" s="2161"/>
      <c r="AM2682" s="2161"/>
      <c r="AN2682" s="2161"/>
      <c r="AO2682" s="2161"/>
      <c r="AP2682" s="2161"/>
      <c r="AQ2682" s="2161"/>
      <c r="AR2682" s="2161"/>
      <c r="AS2682" s="2161"/>
      <c r="AT2682" s="2161"/>
      <c r="AU2682" s="2161"/>
      <c r="AV2682" s="2161"/>
      <c r="AW2682" s="2161"/>
      <c r="AX2682" s="2161"/>
      <c r="AY2682" s="2161"/>
      <c r="AZ2682" s="2161"/>
      <c r="BA2682" s="2161"/>
      <c r="BB2682" s="2161"/>
      <c r="BC2682" s="2161"/>
      <c r="BD2682" s="2161"/>
      <c r="BE2682" s="2161"/>
      <c r="BF2682" s="2161"/>
      <c r="BG2682" s="2161"/>
      <c r="BH2682" s="2161"/>
      <c r="BI2682" s="2161"/>
      <c r="BJ2682" s="2161"/>
      <c r="BK2682" s="2161"/>
      <c r="BL2682" s="2161"/>
      <c r="BM2682" s="2161"/>
      <c r="BN2682" s="2161"/>
      <c r="BO2682" s="2161"/>
      <c r="BP2682" s="2161"/>
      <c r="BQ2682" s="2161"/>
      <c r="BR2682" s="2161"/>
      <c r="BS2682" s="2161"/>
    </row>
    <row r="2683" spans="1:71" s="2131" customFormat="1" ht="64.5" customHeight="1">
      <c r="A2683" s="2152"/>
      <c r="B2683" s="2260"/>
      <c r="C2683" s="2152">
        <v>5</v>
      </c>
      <c r="D2683" s="2164" t="s">
        <v>34</v>
      </c>
      <c r="E2683" s="2164" t="s">
        <v>25</v>
      </c>
      <c r="F2683" s="2164" t="s">
        <v>45</v>
      </c>
      <c r="G2683" s="2164" t="s">
        <v>3667</v>
      </c>
      <c r="H2683" s="2164" t="s">
        <v>38</v>
      </c>
      <c r="I2683" s="2260" t="s">
        <v>3676</v>
      </c>
      <c r="J2683" s="2260" t="s">
        <v>3677</v>
      </c>
      <c r="K2683" s="2240">
        <v>72</v>
      </c>
      <c r="L2683" s="2241">
        <v>48500000</v>
      </c>
      <c r="M2683" s="2240">
        <v>33</v>
      </c>
      <c r="N2683" s="2241">
        <v>8690700</v>
      </c>
      <c r="O2683" s="2240"/>
      <c r="P2683" s="2242">
        <v>0</v>
      </c>
      <c r="Q2683" s="2193">
        <v>0</v>
      </c>
      <c r="R2683" s="2193">
        <v>0</v>
      </c>
      <c r="S2683" s="2193">
        <v>0</v>
      </c>
      <c r="T2683" s="2193"/>
      <c r="U2683" s="2178"/>
      <c r="V2683" s="2241"/>
      <c r="W2683" s="2240"/>
      <c r="X2683" s="2241"/>
      <c r="Y2683" s="2240">
        <f t="shared" si="696"/>
        <v>0</v>
      </c>
      <c r="Z2683" s="2241">
        <f t="shared" si="696"/>
        <v>0</v>
      </c>
      <c r="AA2683" s="2240">
        <f t="shared" si="697"/>
        <v>33</v>
      </c>
      <c r="AB2683" s="2241">
        <f t="shared" si="697"/>
        <v>8690700</v>
      </c>
      <c r="AC2683" s="2243">
        <f t="shared" si="698"/>
        <v>45.833333333333329</v>
      </c>
      <c r="AD2683" s="2243">
        <f t="shared" si="698"/>
        <v>17.918969072164948</v>
      </c>
      <c r="AE2683" s="2455"/>
      <c r="AF2683" s="2161"/>
      <c r="AG2683" s="2161"/>
      <c r="AH2683" s="2161"/>
      <c r="AI2683" s="2161"/>
      <c r="AJ2683" s="2161"/>
      <c r="AK2683" s="2161"/>
      <c r="AL2683" s="2161"/>
      <c r="AM2683" s="2161"/>
      <c r="AN2683" s="2161"/>
      <c r="AO2683" s="2161"/>
      <c r="AP2683" s="2161"/>
      <c r="AQ2683" s="2161"/>
      <c r="AR2683" s="2161"/>
      <c r="AS2683" s="2161"/>
      <c r="AT2683" s="2161"/>
      <c r="AU2683" s="2161"/>
      <c r="AV2683" s="2161"/>
      <c r="AW2683" s="2161"/>
      <c r="AX2683" s="2161"/>
      <c r="AY2683" s="2161"/>
      <c r="AZ2683" s="2161"/>
      <c r="BA2683" s="2161"/>
      <c r="BB2683" s="2161"/>
      <c r="BC2683" s="2161"/>
      <c r="BD2683" s="2161"/>
      <c r="BE2683" s="2161"/>
      <c r="BF2683" s="2161"/>
      <c r="BG2683" s="2161"/>
      <c r="BH2683" s="2161"/>
      <c r="BI2683" s="2161"/>
      <c r="BJ2683" s="2161"/>
      <c r="BK2683" s="2161"/>
      <c r="BL2683" s="2161"/>
      <c r="BM2683" s="2161"/>
      <c r="BN2683" s="2161"/>
      <c r="BO2683" s="2161"/>
      <c r="BP2683" s="2161"/>
      <c r="BQ2683" s="2161"/>
      <c r="BR2683" s="2161"/>
      <c r="BS2683" s="2161"/>
    </row>
    <row r="2684" spans="1:71" s="2131" customFormat="1" ht="61.5" customHeight="1">
      <c r="A2684" s="2152"/>
      <c r="B2684" s="2260"/>
      <c r="C2684" s="2152">
        <v>5</v>
      </c>
      <c r="D2684" s="2164" t="s">
        <v>34</v>
      </c>
      <c r="E2684" s="2164" t="s">
        <v>25</v>
      </c>
      <c r="F2684" s="2164" t="s">
        <v>45</v>
      </c>
      <c r="G2684" s="2164" t="s">
        <v>3667</v>
      </c>
      <c r="H2684" s="2164" t="s">
        <v>56</v>
      </c>
      <c r="I2684" s="2260" t="s">
        <v>3678</v>
      </c>
      <c r="J2684" s="2260" t="s">
        <v>3679</v>
      </c>
      <c r="K2684" s="2240">
        <v>150</v>
      </c>
      <c r="L2684" s="2241">
        <v>200000000</v>
      </c>
      <c r="M2684" s="2240">
        <v>75</v>
      </c>
      <c r="N2684" s="2241">
        <v>27239640</v>
      </c>
      <c r="O2684" s="2240"/>
      <c r="P2684" s="2242">
        <v>0</v>
      </c>
      <c r="Q2684" s="2193">
        <v>0</v>
      </c>
      <c r="R2684" s="2193">
        <v>0</v>
      </c>
      <c r="S2684" s="2193">
        <v>0</v>
      </c>
      <c r="T2684" s="2193"/>
      <c r="U2684" s="2178"/>
      <c r="V2684" s="2241"/>
      <c r="W2684" s="2240"/>
      <c r="X2684" s="2241"/>
      <c r="Y2684" s="2240">
        <f t="shared" si="696"/>
        <v>0</v>
      </c>
      <c r="Z2684" s="2241">
        <f t="shared" si="696"/>
        <v>0</v>
      </c>
      <c r="AA2684" s="2240">
        <f t="shared" si="697"/>
        <v>75</v>
      </c>
      <c r="AB2684" s="2241">
        <f t="shared" si="697"/>
        <v>27239640</v>
      </c>
      <c r="AC2684" s="2243">
        <f t="shared" si="698"/>
        <v>50</v>
      </c>
      <c r="AD2684" s="2243">
        <f t="shared" si="698"/>
        <v>13.619819999999999</v>
      </c>
      <c r="AE2684" s="2455"/>
      <c r="AF2684" s="2161"/>
      <c r="AG2684" s="2161"/>
      <c r="AH2684" s="2161"/>
      <c r="AI2684" s="2161"/>
      <c r="AJ2684" s="2161"/>
      <c r="AK2684" s="2161"/>
      <c r="AL2684" s="2161"/>
      <c r="AM2684" s="2161"/>
      <c r="AN2684" s="2161"/>
      <c r="AO2684" s="2161"/>
      <c r="AP2684" s="2161"/>
      <c r="AQ2684" s="2161"/>
      <c r="AR2684" s="2161"/>
      <c r="AS2684" s="2161"/>
      <c r="AT2684" s="2161"/>
      <c r="AU2684" s="2161"/>
      <c r="AV2684" s="2161"/>
      <c r="AW2684" s="2161"/>
      <c r="AX2684" s="2161"/>
      <c r="AY2684" s="2161"/>
      <c r="AZ2684" s="2161"/>
      <c r="BA2684" s="2161"/>
      <c r="BB2684" s="2161"/>
      <c r="BC2684" s="2161"/>
      <c r="BD2684" s="2161"/>
      <c r="BE2684" s="2161"/>
      <c r="BF2684" s="2161"/>
      <c r="BG2684" s="2161"/>
      <c r="BH2684" s="2161"/>
      <c r="BI2684" s="2161"/>
      <c r="BJ2684" s="2161"/>
      <c r="BK2684" s="2161"/>
      <c r="BL2684" s="2161"/>
      <c r="BM2684" s="2161"/>
      <c r="BN2684" s="2161"/>
      <c r="BO2684" s="2161"/>
      <c r="BP2684" s="2161"/>
      <c r="BQ2684" s="2161"/>
      <c r="BR2684" s="2161"/>
      <c r="BS2684" s="2161"/>
    </row>
    <row r="2685" spans="1:71" s="2131" customFormat="1" ht="78.75" customHeight="1">
      <c r="A2685" s="2367" t="s">
        <v>3618</v>
      </c>
      <c r="B2685" s="2367"/>
      <c r="C2685" s="2368">
        <v>5</v>
      </c>
      <c r="D2685" s="2368" t="s">
        <v>34</v>
      </c>
      <c r="E2685" s="2368" t="s">
        <v>25</v>
      </c>
      <c r="F2685" s="2368" t="s">
        <v>45</v>
      </c>
      <c r="G2685" s="2368" t="s">
        <v>3619</v>
      </c>
      <c r="H2685" s="2367"/>
      <c r="I2685" s="2143" t="s">
        <v>3738</v>
      </c>
      <c r="J2685" s="2143" t="s">
        <v>3739</v>
      </c>
      <c r="K2685" s="2144">
        <v>10</v>
      </c>
      <c r="L2685" s="2145">
        <f>L2686</f>
        <v>42500000</v>
      </c>
      <c r="M2685" s="2144">
        <v>4</v>
      </c>
      <c r="N2685" s="2145">
        <f>N2686</f>
        <v>1220000</v>
      </c>
      <c r="O2685" s="2144">
        <v>2</v>
      </c>
      <c r="P2685" s="2145">
        <f>P2686</f>
        <v>3050000</v>
      </c>
      <c r="Q2685" s="2144">
        <v>0</v>
      </c>
      <c r="R2685" s="2145">
        <f>R2686</f>
        <v>0</v>
      </c>
      <c r="S2685" s="2144">
        <v>0</v>
      </c>
      <c r="T2685" s="2146">
        <f>T2686</f>
        <v>0</v>
      </c>
      <c r="U2685" s="2195"/>
      <c r="V2685" s="2146">
        <f>V2686</f>
        <v>0</v>
      </c>
      <c r="W2685" s="2144"/>
      <c r="X2685" s="2145">
        <f>X2686</f>
        <v>0</v>
      </c>
      <c r="Y2685" s="2195">
        <f t="shared" si="696"/>
        <v>0</v>
      </c>
      <c r="Z2685" s="2145">
        <f t="shared" si="696"/>
        <v>0</v>
      </c>
      <c r="AA2685" s="2147">
        <f t="shared" si="697"/>
        <v>4</v>
      </c>
      <c r="AB2685" s="2145">
        <f t="shared" si="697"/>
        <v>1220000</v>
      </c>
      <c r="AC2685" s="2147">
        <f t="shared" si="698"/>
        <v>40</v>
      </c>
      <c r="AD2685" s="2147">
        <f t="shared" si="698"/>
        <v>2.8705882352941177</v>
      </c>
      <c r="AE2685" s="2204" t="s">
        <v>3950</v>
      </c>
      <c r="AF2685" s="2161"/>
      <c r="AG2685" s="2161"/>
      <c r="AH2685" s="2161"/>
      <c r="AI2685" s="2161"/>
      <c r="AJ2685" s="2161"/>
      <c r="AK2685" s="2161"/>
      <c r="AL2685" s="2161"/>
      <c r="AM2685" s="2161"/>
      <c r="AN2685" s="2161"/>
      <c r="AO2685" s="2161"/>
      <c r="AP2685" s="2161"/>
      <c r="AQ2685" s="2161"/>
      <c r="AR2685" s="2161"/>
      <c r="AS2685" s="2161"/>
      <c r="AT2685" s="2161"/>
      <c r="AU2685" s="2161"/>
      <c r="AV2685" s="2161"/>
      <c r="AW2685" s="2161"/>
      <c r="AX2685" s="2161"/>
      <c r="AY2685" s="2161"/>
      <c r="AZ2685" s="2161"/>
      <c r="BA2685" s="2161"/>
      <c r="BB2685" s="2161"/>
      <c r="BC2685" s="2161"/>
      <c r="BD2685" s="2161"/>
      <c r="BE2685" s="2161"/>
      <c r="BF2685" s="2161"/>
      <c r="BG2685" s="2161"/>
      <c r="BH2685" s="2161"/>
      <c r="BI2685" s="2161"/>
      <c r="BJ2685" s="2161"/>
      <c r="BK2685" s="2161"/>
      <c r="BL2685" s="2161"/>
      <c r="BM2685" s="2161"/>
      <c r="BN2685" s="2161"/>
      <c r="BO2685" s="2161"/>
      <c r="BP2685" s="2161"/>
      <c r="BQ2685" s="2161"/>
      <c r="BR2685" s="2161"/>
      <c r="BS2685" s="2161"/>
    </row>
    <row r="2686" spans="1:71" s="2131" customFormat="1" ht="45.75" customHeight="1">
      <c r="A2686" s="2152"/>
      <c r="B2686" s="2260"/>
      <c r="C2686" s="2152">
        <v>5</v>
      </c>
      <c r="D2686" s="2164" t="s">
        <v>34</v>
      </c>
      <c r="E2686" s="2164" t="s">
        <v>25</v>
      </c>
      <c r="F2686" s="2164" t="s">
        <v>45</v>
      </c>
      <c r="G2686" s="2164" t="s">
        <v>3667</v>
      </c>
      <c r="H2686" s="2164" t="s">
        <v>54</v>
      </c>
      <c r="I2686" s="2162" t="s">
        <v>3969</v>
      </c>
      <c r="J2686" s="2260" t="s">
        <v>3970</v>
      </c>
      <c r="K2686" s="2240">
        <v>10</v>
      </c>
      <c r="L2686" s="2241">
        <v>42500000</v>
      </c>
      <c r="M2686" s="2240">
        <v>4</v>
      </c>
      <c r="N2686" s="2241">
        <v>1220000</v>
      </c>
      <c r="O2686" s="2240">
        <v>2</v>
      </c>
      <c r="P2686" s="2242">
        <v>3050000</v>
      </c>
      <c r="Q2686" s="2177">
        <v>0</v>
      </c>
      <c r="R2686" s="2193">
        <v>0</v>
      </c>
      <c r="S2686" s="2405">
        <v>0</v>
      </c>
      <c r="T2686" s="2193">
        <v>0</v>
      </c>
      <c r="U2686" s="2405"/>
      <c r="V2686" s="2241"/>
      <c r="W2686" s="2240"/>
      <c r="X2686" s="2241"/>
      <c r="Y2686" s="2240">
        <f t="shared" si="696"/>
        <v>0</v>
      </c>
      <c r="Z2686" s="2241">
        <f t="shared" si="696"/>
        <v>0</v>
      </c>
      <c r="AA2686" s="2240">
        <f t="shared" si="697"/>
        <v>4</v>
      </c>
      <c r="AB2686" s="2241">
        <f t="shared" si="697"/>
        <v>1220000</v>
      </c>
      <c r="AC2686" s="2243">
        <f t="shared" si="698"/>
        <v>40</v>
      </c>
      <c r="AD2686" s="2243">
        <f t="shared" si="698"/>
        <v>2.8705882352941177</v>
      </c>
      <c r="AE2686" s="2455"/>
      <c r="AF2686" s="2161"/>
      <c r="AG2686" s="2161"/>
      <c r="AH2686" s="2161"/>
      <c r="AI2686" s="2161"/>
      <c r="AJ2686" s="2161"/>
      <c r="AK2686" s="2161"/>
      <c r="AL2686" s="2161"/>
      <c r="AM2686" s="2161"/>
      <c r="AN2686" s="2161"/>
      <c r="AO2686" s="2161"/>
      <c r="AP2686" s="2161"/>
      <c r="AQ2686" s="2161"/>
      <c r="AR2686" s="2161"/>
      <c r="AS2686" s="2161"/>
      <c r="AT2686" s="2161"/>
      <c r="AU2686" s="2161"/>
      <c r="AV2686" s="2161"/>
      <c r="AW2686" s="2161"/>
      <c r="AX2686" s="2161"/>
      <c r="AY2686" s="2161"/>
      <c r="AZ2686" s="2161"/>
      <c r="BA2686" s="2161"/>
      <c r="BB2686" s="2161"/>
      <c r="BC2686" s="2161"/>
      <c r="BD2686" s="2161"/>
      <c r="BE2686" s="2161"/>
      <c r="BF2686" s="2161"/>
      <c r="BG2686" s="2161"/>
      <c r="BH2686" s="2161"/>
      <c r="BI2686" s="2161"/>
      <c r="BJ2686" s="2161"/>
      <c r="BK2686" s="2161"/>
      <c r="BL2686" s="2161"/>
      <c r="BM2686" s="2161"/>
      <c r="BN2686" s="2161"/>
      <c r="BO2686" s="2161"/>
      <c r="BP2686" s="2161"/>
      <c r="BQ2686" s="2161"/>
      <c r="BR2686" s="2161"/>
      <c r="BS2686" s="2161"/>
    </row>
    <row r="2687" spans="1:71" s="2274" customFormat="1" ht="57" customHeight="1">
      <c r="A2687" s="2140" t="s">
        <v>3971</v>
      </c>
      <c r="B2687" s="2140"/>
      <c r="C2687" s="2140">
        <v>5</v>
      </c>
      <c r="D2687" s="2142" t="s">
        <v>34</v>
      </c>
      <c r="E2687" s="2142" t="s">
        <v>25</v>
      </c>
      <c r="F2687" s="2142" t="s">
        <v>45</v>
      </c>
      <c r="G2687" s="2142" t="s">
        <v>3619</v>
      </c>
      <c r="H2687" s="2140"/>
      <c r="I2687" s="2143" t="s">
        <v>236</v>
      </c>
      <c r="J2687" s="2143" t="s">
        <v>3869</v>
      </c>
      <c r="K2687" s="2144">
        <v>10</v>
      </c>
      <c r="L2687" s="2145">
        <f>L2688</f>
        <v>2700000</v>
      </c>
      <c r="M2687" s="2144">
        <v>2</v>
      </c>
      <c r="N2687" s="2145">
        <f>N2688</f>
        <v>1350000</v>
      </c>
      <c r="O2687" s="2144"/>
      <c r="P2687" s="2145">
        <f>P2688</f>
        <v>0</v>
      </c>
      <c r="Q2687" s="2144">
        <v>0</v>
      </c>
      <c r="R2687" s="2145">
        <f>R2688</f>
        <v>0</v>
      </c>
      <c r="S2687" s="2195">
        <v>0</v>
      </c>
      <c r="T2687" s="2145">
        <f>T2688</f>
        <v>0</v>
      </c>
      <c r="U2687" s="2195"/>
      <c r="V2687" s="2146">
        <f>V2688</f>
        <v>0</v>
      </c>
      <c r="W2687" s="2144"/>
      <c r="X2687" s="2146">
        <f>X2688</f>
        <v>0</v>
      </c>
      <c r="Y2687" s="2144">
        <f t="shared" si="696"/>
        <v>0</v>
      </c>
      <c r="Z2687" s="2145">
        <f t="shared" si="696"/>
        <v>0</v>
      </c>
      <c r="AA2687" s="2144">
        <f t="shared" si="697"/>
        <v>2</v>
      </c>
      <c r="AB2687" s="2145">
        <f t="shared" si="697"/>
        <v>1350000</v>
      </c>
      <c r="AC2687" s="2147">
        <f t="shared" si="698"/>
        <v>20</v>
      </c>
      <c r="AD2687" s="2147">
        <f t="shared" si="698"/>
        <v>50</v>
      </c>
      <c r="AE2687" s="2204" t="s">
        <v>3950</v>
      </c>
      <c r="AF2687" s="2266"/>
      <c r="AG2687" s="2266"/>
      <c r="AH2687" s="2266"/>
      <c r="AI2687" s="2266"/>
      <c r="AJ2687" s="2266"/>
      <c r="AK2687" s="2266"/>
      <c r="AL2687" s="2266"/>
      <c r="AM2687" s="2266"/>
      <c r="AN2687" s="2266"/>
      <c r="AO2687" s="2266"/>
      <c r="AP2687" s="2266"/>
      <c r="AQ2687" s="2266"/>
      <c r="AR2687" s="2266"/>
      <c r="AS2687" s="2266"/>
      <c r="AT2687" s="2266"/>
      <c r="AU2687" s="2266"/>
      <c r="AV2687" s="2266"/>
      <c r="AW2687" s="2266"/>
      <c r="AX2687" s="2266"/>
      <c r="AY2687" s="2266"/>
      <c r="AZ2687" s="2266"/>
      <c r="BA2687" s="2266"/>
      <c r="BB2687" s="2266"/>
      <c r="BC2687" s="2266"/>
      <c r="BD2687" s="2266"/>
      <c r="BE2687" s="2266"/>
      <c r="BF2687" s="2266"/>
      <c r="BG2687" s="2266"/>
      <c r="BH2687" s="2266"/>
      <c r="BI2687" s="2266"/>
      <c r="BJ2687" s="2266"/>
      <c r="BK2687" s="2266"/>
      <c r="BL2687" s="2266"/>
      <c r="BM2687" s="2266"/>
      <c r="BN2687" s="2266"/>
      <c r="BO2687" s="2266"/>
      <c r="BP2687" s="2266"/>
      <c r="BQ2687" s="2266"/>
      <c r="BR2687" s="2266"/>
      <c r="BS2687" s="2266"/>
    </row>
    <row r="2688" spans="1:71" s="2131" customFormat="1" ht="25.5">
      <c r="A2688" s="2379"/>
      <c r="B2688" s="2162"/>
      <c r="C2688" s="2152">
        <v>5</v>
      </c>
      <c r="D2688" s="2164" t="s">
        <v>34</v>
      </c>
      <c r="E2688" s="2164" t="s">
        <v>25</v>
      </c>
      <c r="F2688" s="2164" t="s">
        <v>45</v>
      </c>
      <c r="G2688" s="2164" t="s">
        <v>3619</v>
      </c>
      <c r="H2688" s="2244" t="s">
        <v>39</v>
      </c>
      <c r="I2688" s="2162" t="s">
        <v>3706</v>
      </c>
      <c r="J2688" s="2162" t="s">
        <v>3681</v>
      </c>
      <c r="K2688" s="2700">
        <v>10</v>
      </c>
      <c r="L2688" s="2247">
        <f>2*N2688</f>
        <v>2700000</v>
      </c>
      <c r="M2688" s="2700">
        <v>2</v>
      </c>
      <c r="N2688" s="2247">
        <v>1350000</v>
      </c>
      <c r="O2688" s="2700"/>
      <c r="P2688" s="2364"/>
      <c r="Q2688" s="2700">
        <v>0</v>
      </c>
      <c r="R2688" s="2247">
        <v>0</v>
      </c>
      <c r="S2688" s="2405">
        <v>0</v>
      </c>
      <c r="T2688" s="2193">
        <v>0</v>
      </c>
      <c r="U2688" s="2405"/>
      <c r="V2688" s="2247"/>
      <c r="W2688" s="2700"/>
      <c r="X2688" s="2247"/>
      <c r="Y2688" s="2700">
        <f t="shared" si="696"/>
        <v>0</v>
      </c>
      <c r="Z2688" s="2241">
        <f t="shared" si="696"/>
        <v>0</v>
      </c>
      <c r="AA2688" s="2700">
        <f t="shared" si="697"/>
        <v>2</v>
      </c>
      <c r="AB2688" s="2241">
        <f t="shared" si="697"/>
        <v>1350000</v>
      </c>
      <c r="AC2688" s="2248">
        <f t="shared" si="698"/>
        <v>20</v>
      </c>
      <c r="AD2688" s="2248">
        <f t="shared" si="698"/>
        <v>50</v>
      </c>
      <c r="AE2688" s="2401"/>
      <c r="AF2688" s="2161"/>
      <c r="AG2688" s="2161"/>
      <c r="AH2688" s="2161"/>
      <c r="AI2688" s="2161"/>
      <c r="AJ2688" s="2161"/>
      <c r="AK2688" s="2161"/>
      <c r="AL2688" s="2161"/>
      <c r="AM2688" s="2161"/>
      <c r="AN2688" s="2161"/>
      <c r="AO2688" s="2161"/>
      <c r="AP2688" s="2161"/>
      <c r="AQ2688" s="2161"/>
      <c r="AR2688" s="2161"/>
      <c r="AS2688" s="2161"/>
      <c r="AT2688" s="2161"/>
      <c r="AU2688" s="2161"/>
      <c r="AV2688" s="2161"/>
      <c r="AW2688" s="2161"/>
      <c r="AX2688" s="2161"/>
      <c r="AY2688" s="2161"/>
      <c r="AZ2688" s="2161"/>
      <c r="BA2688" s="2161"/>
      <c r="BB2688" s="2161"/>
      <c r="BC2688" s="2161"/>
      <c r="BD2688" s="2161"/>
      <c r="BE2688" s="2161"/>
      <c r="BF2688" s="2161"/>
      <c r="BG2688" s="2161"/>
      <c r="BH2688" s="2161"/>
      <c r="BI2688" s="2161"/>
      <c r="BJ2688" s="2161"/>
      <c r="BK2688" s="2161"/>
      <c r="BL2688" s="2161"/>
      <c r="BM2688" s="2161"/>
      <c r="BN2688" s="2161"/>
      <c r="BO2688" s="2161"/>
      <c r="BP2688" s="2161"/>
      <c r="BQ2688" s="2161"/>
      <c r="BR2688" s="2161"/>
      <c r="BS2688" s="2161"/>
    </row>
    <row r="2689" spans="1:71" s="2131" customFormat="1" ht="20.100000000000001" customHeight="1">
      <c r="A2689" s="2705" t="s">
        <v>63</v>
      </c>
      <c r="B2689" s="2705"/>
      <c r="C2689" s="2706"/>
      <c r="D2689" s="2706"/>
      <c r="E2689" s="2706"/>
      <c r="F2689" s="2706"/>
      <c r="G2689" s="2706"/>
      <c r="H2689" s="2706"/>
      <c r="I2689" s="2706"/>
      <c r="J2689" s="2706"/>
      <c r="K2689" s="2706"/>
      <c r="L2689" s="2706"/>
      <c r="M2689" s="2706"/>
      <c r="N2689" s="2706"/>
      <c r="O2689" s="2706"/>
      <c r="P2689" s="2706"/>
      <c r="Q2689" s="2706"/>
      <c r="R2689" s="2706"/>
      <c r="S2689" s="2706"/>
      <c r="T2689" s="2706"/>
      <c r="U2689" s="2706"/>
      <c r="V2689" s="2706"/>
      <c r="W2689" s="2706"/>
      <c r="X2689" s="2706"/>
      <c r="Y2689" s="2706"/>
      <c r="Z2689" s="2706"/>
      <c r="AA2689" s="2706"/>
      <c r="AB2689" s="2706"/>
      <c r="AC2689" s="2249">
        <f>(AC2634+AC2647+AC2655+AC2657+AC2659+AC2662+AC2664+AC2666+AC2668+AC2671+AC2673+AC2675+AC2677+AC2679+AC2685+AC2687)/16</f>
        <v>59.539943609022558</v>
      </c>
      <c r="AD2689" s="2249">
        <f>(AD2634+AD2647+AD2655+AD2657+AD2659+AD2662+AD2664+AD2666+AD2668+AD2671+AD2673+AD2675+AD2677+AD2679+AD2685+AD2687)/16</f>
        <v>25.801982158350576</v>
      </c>
      <c r="AE2689" s="2152"/>
    </row>
    <row r="2690" spans="1:71" s="2131" customFormat="1" ht="20.100000000000001" customHeight="1">
      <c r="A2690" s="2705" t="s">
        <v>64</v>
      </c>
      <c r="B2690" s="2705"/>
      <c r="C2690" s="2706"/>
      <c r="D2690" s="2706"/>
      <c r="E2690" s="2706"/>
      <c r="F2690" s="2706"/>
      <c r="G2690" s="2706"/>
      <c r="H2690" s="2706"/>
      <c r="I2690" s="2706"/>
      <c r="J2690" s="2706"/>
      <c r="K2690" s="2706"/>
      <c r="L2690" s="2706"/>
      <c r="M2690" s="2706"/>
      <c r="N2690" s="2706"/>
      <c r="O2690" s="2706"/>
      <c r="P2690" s="2706"/>
      <c r="Q2690" s="2706"/>
      <c r="R2690" s="2706"/>
      <c r="S2690" s="2706"/>
      <c r="T2690" s="2706"/>
      <c r="U2690" s="2706"/>
      <c r="V2690" s="2706"/>
      <c r="W2690" s="2706"/>
      <c r="X2690" s="2706"/>
      <c r="Y2690" s="2706"/>
      <c r="Z2690" s="2706"/>
      <c r="AA2690" s="2706"/>
      <c r="AB2690" s="2706"/>
      <c r="AC2690" s="2250" t="str">
        <f>IF(AC2689&gt;=91,"ST",IF(AC2689&gt;=76,"T",IF(AC2689&gt;=66,"S",IF(AC2689&gt;=51,"R","SR"))))</f>
        <v>R</v>
      </c>
      <c r="AD2690" s="2250" t="str">
        <f>IF(AD2689&gt;=91,"ST",IF(AD2689&gt;=76,"T",IF(AD2689&gt;=66,"S",IF(AD2689&gt;=51,"R","SR"))))</f>
        <v>SR</v>
      </c>
      <c r="AE2690" s="2152"/>
    </row>
    <row r="2691" spans="1:71" s="2131" customFormat="1" ht="27.95" customHeight="1">
      <c r="A2691" s="2132" t="s">
        <v>135</v>
      </c>
      <c r="B2691" s="2133"/>
      <c r="C2691" s="2132"/>
      <c r="D2691" s="2132"/>
      <c r="E2691" s="2132"/>
      <c r="F2691" s="2132"/>
      <c r="G2691" s="2132"/>
      <c r="H2691" s="2132"/>
      <c r="I2691" s="2707" t="s">
        <v>3972</v>
      </c>
      <c r="J2691" s="2708"/>
      <c r="K2691" s="2134"/>
      <c r="L2691" s="2135">
        <f>L2692+L2704+L2713+L2715+L2717+L2719+L2721+L2723+L2725+L2727+L2729+L2732</f>
        <v>3654098440</v>
      </c>
      <c r="M2691" s="2134"/>
      <c r="N2691" s="2136">
        <f>N2692+N2704+N2713+N2715+N2717+N2719+N2721+N2723+N2725+N2727+N2729+N2732</f>
        <v>1554474764.55</v>
      </c>
      <c r="O2691" s="2134"/>
      <c r="P2691" s="2136">
        <f>P2692+P2704+P2713+P2715+P2717+P2719+P2721+P2723+P2725+P2727+P2729+P2732</f>
        <v>514749464</v>
      </c>
      <c r="Q2691" s="2134"/>
      <c r="R2691" s="2136">
        <f>R2692+R2704+R2713+R2715+R2717+R2719+R2721+R2723+R2725+R2727+R2729+R2732</f>
        <v>106440040</v>
      </c>
      <c r="S2691" s="2134"/>
      <c r="T2691" s="2136">
        <f>T2692+T2704+T2713+T2715+T2717+T2719+T2721+T2723+T2725+T2727+T2729+T2732</f>
        <v>87545540</v>
      </c>
      <c r="U2691" s="2134"/>
      <c r="V2691" s="2136">
        <f>V2692+V2704+V2713+V2715+V2717+V2719+V2721+V2723+V2725+V2727+V2729+V2732</f>
        <v>0</v>
      </c>
      <c r="W2691" s="2134"/>
      <c r="X2691" s="2251">
        <f>X2692+X2704+X2713+X2715+X2717+X2719+X2721+X2723+X2725+X2727+X2729+X2732</f>
        <v>0</v>
      </c>
      <c r="Y2691" s="2134">
        <v>0</v>
      </c>
      <c r="Z2691" s="2136">
        <f>Z2692+Z2704+Z2713+Z2715+Z2717+Z2719+Z2721+Z2723+Z2725+Z2727+Z2729+Z2732</f>
        <v>193985580</v>
      </c>
      <c r="AA2691" s="2134"/>
      <c r="AB2691" s="2136">
        <f>AB2692+AB2704+AB2713+AB2715+AB2717+AB2719+AB2721+AB2723+AB2725+AB2727+AB2729+AB2732</f>
        <v>1748460344.55</v>
      </c>
      <c r="AC2691" s="2134"/>
      <c r="AD2691" s="2134"/>
      <c r="AE2691" s="2137"/>
      <c r="AF2691" s="2138"/>
      <c r="AG2691" s="2138"/>
      <c r="AH2691" s="2138"/>
      <c r="AI2691" s="2138"/>
      <c r="AJ2691" s="2138"/>
      <c r="AK2691" s="2138"/>
      <c r="AL2691" s="2138"/>
      <c r="AM2691" s="2138"/>
      <c r="AN2691" s="2138"/>
      <c r="AO2691" s="2138"/>
      <c r="AP2691" s="2138"/>
      <c r="AQ2691" s="2138"/>
      <c r="AR2691" s="2138"/>
      <c r="AS2691" s="2138"/>
      <c r="AT2691" s="2138"/>
      <c r="AU2691" s="2138"/>
      <c r="AV2691" s="2138"/>
      <c r="AW2691" s="2138"/>
      <c r="AX2691" s="2138"/>
      <c r="AY2691" s="2138"/>
      <c r="AZ2691" s="2138"/>
      <c r="BA2691" s="2138"/>
      <c r="BB2691" s="2138"/>
      <c r="BC2691" s="2138"/>
      <c r="BD2691" s="2138"/>
      <c r="BE2691" s="2138"/>
      <c r="BF2691" s="2138"/>
      <c r="BG2691" s="2138"/>
      <c r="BH2691" s="2138"/>
      <c r="BI2691" s="2138"/>
      <c r="BJ2691" s="2138"/>
      <c r="BK2691" s="2138"/>
      <c r="BL2691" s="2138"/>
      <c r="BM2691" s="2138"/>
      <c r="BN2691" s="2138"/>
      <c r="BO2691" s="2138"/>
      <c r="BP2691" s="2138"/>
      <c r="BQ2691" s="2138"/>
      <c r="BR2691" s="2138"/>
      <c r="BS2691" s="2138"/>
    </row>
    <row r="2692" spans="1:71" s="2131" customFormat="1" ht="51">
      <c r="A2692" s="2140" t="s">
        <v>113</v>
      </c>
      <c r="B2692" s="2194"/>
      <c r="C2692" s="2142">
        <v>5</v>
      </c>
      <c r="D2692" s="2142" t="s">
        <v>34</v>
      </c>
      <c r="E2692" s="2142" t="s">
        <v>25</v>
      </c>
      <c r="F2692" s="2142" t="s">
        <v>45</v>
      </c>
      <c r="G2692" s="2142" t="s">
        <v>25</v>
      </c>
      <c r="H2692" s="2140"/>
      <c r="I2692" s="2143" t="s">
        <v>3625</v>
      </c>
      <c r="J2692" s="2143" t="s">
        <v>4132</v>
      </c>
      <c r="K2692" s="2144">
        <v>72</v>
      </c>
      <c r="L2692" s="2145">
        <f>SUM(L2693:L2703)</f>
        <v>1390430600</v>
      </c>
      <c r="M2692" s="2144">
        <v>36</v>
      </c>
      <c r="N2692" s="2145">
        <f>SUM(N2693:N2703)</f>
        <v>619350737.04999995</v>
      </c>
      <c r="O2692" s="2144">
        <v>12</v>
      </c>
      <c r="P2692" s="2145">
        <f>SUM(P2693:P2703)</f>
        <v>242164442</v>
      </c>
      <c r="Q2692" s="2144">
        <v>3</v>
      </c>
      <c r="R2692" s="2145">
        <f>SUM(R2693:R2703)</f>
        <v>61417040</v>
      </c>
      <c r="S2692" s="2144">
        <v>3</v>
      </c>
      <c r="T2692" s="2145">
        <f>SUM(T2693:T2703)</f>
        <v>60417040</v>
      </c>
      <c r="U2692" s="2144"/>
      <c r="V2692" s="2145">
        <f>SUM(V2693:V2703)</f>
        <v>0</v>
      </c>
      <c r="W2692" s="2144"/>
      <c r="X2692" s="2145">
        <f>SUM(X2693:X2703)</f>
        <v>0</v>
      </c>
      <c r="Y2692" s="2147">
        <f t="shared" ref="Y2692:Z2739" si="701">Q2692+S2692+U2692+W2692</f>
        <v>6</v>
      </c>
      <c r="Z2692" s="2145">
        <f t="shared" si="701"/>
        <v>121834080</v>
      </c>
      <c r="AA2692" s="2147">
        <f t="shared" ref="AA2692:AB2739" si="702">M2692+Y2692</f>
        <v>42</v>
      </c>
      <c r="AB2692" s="2145">
        <f t="shared" si="702"/>
        <v>741184817.04999995</v>
      </c>
      <c r="AC2692" s="2147">
        <f t="shared" ref="AC2692:AD2739" si="703">(AA2692/K2692)*100</f>
        <v>58.333333333333336</v>
      </c>
      <c r="AD2692" s="2147">
        <f t="shared" si="703"/>
        <v>53.306135311607783</v>
      </c>
      <c r="AE2692" s="2204" t="s">
        <v>4119</v>
      </c>
      <c r="AF2692" s="2149"/>
      <c r="AG2692" s="2149"/>
      <c r="AH2692" s="2149"/>
      <c r="AI2692" s="2149"/>
      <c r="AJ2692" s="2149"/>
      <c r="AK2692" s="2149"/>
      <c r="AL2692" s="2149"/>
      <c r="AM2692" s="2149"/>
      <c r="AN2692" s="2149"/>
      <c r="AO2692" s="2149"/>
      <c r="AP2692" s="2149"/>
      <c r="AQ2692" s="2149"/>
      <c r="AR2692" s="2149"/>
      <c r="AS2692" s="2149"/>
      <c r="AT2692" s="2149"/>
      <c r="AU2692" s="2149"/>
      <c r="AV2692" s="2149"/>
      <c r="AW2692" s="2149"/>
      <c r="AX2692" s="2149"/>
      <c r="AY2692" s="2149"/>
      <c r="AZ2692" s="2149"/>
      <c r="BA2692" s="2149"/>
      <c r="BB2692" s="2149"/>
      <c r="BC2692" s="2149"/>
      <c r="BD2692" s="2149"/>
      <c r="BE2692" s="2149"/>
      <c r="BF2692" s="2149"/>
      <c r="BG2692" s="2149"/>
      <c r="BH2692" s="2149"/>
      <c r="BI2692" s="2149"/>
      <c r="BJ2692" s="2149"/>
      <c r="BK2692" s="2149"/>
      <c r="BL2692" s="2149"/>
      <c r="BM2692" s="2149"/>
      <c r="BN2692" s="2149"/>
      <c r="BO2692" s="2149"/>
      <c r="BP2692" s="2149"/>
      <c r="BQ2692" s="2149"/>
      <c r="BR2692" s="2149"/>
      <c r="BS2692" s="2149"/>
    </row>
    <row r="2693" spans="1:71" s="2131" customFormat="1" ht="51">
      <c r="A2693" s="2267"/>
      <c r="B2693" s="2253"/>
      <c r="C2693" s="2164">
        <v>5</v>
      </c>
      <c r="D2693" s="2164" t="s">
        <v>34</v>
      </c>
      <c r="E2693" s="2164" t="s">
        <v>25</v>
      </c>
      <c r="F2693" s="2164" t="s">
        <v>45</v>
      </c>
      <c r="G2693" s="2164" t="s">
        <v>25</v>
      </c>
      <c r="H2693" s="2254" t="s">
        <v>25</v>
      </c>
      <c r="I2693" s="2171" t="s">
        <v>3974</v>
      </c>
      <c r="J2693" s="2171" t="s">
        <v>3975</v>
      </c>
      <c r="K2693" s="2255">
        <v>72</v>
      </c>
      <c r="L2693" s="2203">
        <v>104170000</v>
      </c>
      <c r="M2693" s="2256">
        <v>36</v>
      </c>
      <c r="N2693" s="2257">
        <v>34003100</v>
      </c>
      <c r="O2693" s="2255">
        <v>12</v>
      </c>
      <c r="P2693" s="2258">
        <v>1800000</v>
      </c>
      <c r="Q2693" s="2256">
        <v>3</v>
      </c>
      <c r="R2693" s="2203">
        <v>135000</v>
      </c>
      <c r="S2693" s="2256">
        <v>3</v>
      </c>
      <c r="T2693" s="2203">
        <v>135000</v>
      </c>
      <c r="U2693" s="2255"/>
      <c r="V2693" s="2258"/>
      <c r="W2693" s="2255"/>
      <c r="X2693" s="2258"/>
      <c r="Y2693" s="2240">
        <f t="shared" si="701"/>
        <v>6</v>
      </c>
      <c r="Z2693" s="2203">
        <f t="shared" si="701"/>
        <v>270000</v>
      </c>
      <c r="AA2693" s="2240">
        <f t="shared" si="702"/>
        <v>42</v>
      </c>
      <c r="AB2693" s="2203">
        <f t="shared" si="702"/>
        <v>34273100</v>
      </c>
      <c r="AC2693" s="2243">
        <f t="shared" si="703"/>
        <v>58.333333333333336</v>
      </c>
      <c r="AD2693" s="2243">
        <f t="shared" si="703"/>
        <v>32.901123164058745</v>
      </c>
      <c r="AE2693" s="2605"/>
      <c r="AF2693" s="2259"/>
      <c r="AG2693" s="2259"/>
      <c r="AH2693" s="2259"/>
      <c r="AI2693" s="2259"/>
      <c r="AJ2693" s="2259"/>
      <c r="AK2693" s="2259"/>
      <c r="AL2693" s="2259"/>
      <c r="AM2693" s="2259"/>
      <c r="AN2693" s="2259"/>
      <c r="AO2693" s="2259"/>
      <c r="AP2693" s="2259"/>
      <c r="AQ2693" s="2259"/>
      <c r="AR2693" s="2259"/>
      <c r="AS2693" s="2259"/>
      <c r="AT2693" s="2259"/>
      <c r="AU2693" s="2259"/>
      <c r="AV2693" s="2259"/>
      <c r="AW2693" s="2259"/>
      <c r="AX2693" s="2259"/>
      <c r="AY2693" s="2259"/>
      <c r="AZ2693" s="2259"/>
      <c r="BA2693" s="2259"/>
      <c r="BB2693" s="2259"/>
      <c r="BC2693" s="2259"/>
      <c r="BD2693" s="2259"/>
      <c r="BE2693" s="2259"/>
      <c r="BF2693" s="2259"/>
      <c r="BG2693" s="2259"/>
      <c r="BH2693" s="2259"/>
      <c r="BI2693" s="2259"/>
      <c r="BJ2693" s="2259"/>
      <c r="BK2693" s="2259"/>
      <c r="BL2693" s="2259"/>
      <c r="BM2693" s="2259"/>
      <c r="BN2693" s="2259"/>
      <c r="BO2693" s="2259"/>
      <c r="BP2693" s="2259"/>
      <c r="BQ2693" s="2259"/>
      <c r="BR2693" s="2259"/>
      <c r="BS2693" s="2259"/>
    </row>
    <row r="2694" spans="1:71" s="2131" customFormat="1" ht="51">
      <c r="A2694" s="2267"/>
      <c r="B2694" s="2253"/>
      <c r="C2694" s="2164">
        <v>5</v>
      </c>
      <c r="D2694" s="2164" t="s">
        <v>34</v>
      </c>
      <c r="E2694" s="2164" t="s">
        <v>25</v>
      </c>
      <c r="F2694" s="2164" t="s">
        <v>45</v>
      </c>
      <c r="G2694" s="2164" t="s">
        <v>25</v>
      </c>
      <c r="H2694" s="2254" t="s">
        <v>28</v>
      </c>
      <c r="I2694" s="2171" t="s">
        <v>3684</v>
      </c>
      <c r="J2694" s="2171" t="s">
        <v>3627</v>
      </c>
      <c r="K2694" s="2255">
        <v>72</v>
      </c>
      <c r="L2694" s="2203">
        <v>74170000</v>
      </c>
      <c r="M2694" s="2256">
        <v>36</v>
      </c>
      <c r="N2694" s="2257">
        <v>26163500</v>
      </c>
      <c r="O2694" s="2255">
        <v>12</v>
      </c>
      <c r="P2694" s="2258">
        <v>7800000</v>
      </c>
      <c r="Q2694" s="2256">
        <v>3</v>
      </c>
      <c r="R2694" s="2203">
        <v>1585540</v>
      </c>
      <c r="S2694" s="2256">
        <v>3</v>
      </c>
      <c r="T2694" s="2203">
        <v>1585540</v>
      </c>
      <c r="U2694" s="2255"/>
      <c r="V2694" s="2258"/>
      <c r="W2694" s="2255"/>
      <c r="X2694" s="2203"/>
      <c r="Y2694" s="2240">
        <f t="shared" si="701"/>
        <v>6</v>
      </c>
      <c r="Z2694" s="2203">
        <f t="shared" si="701"/>
        <v>3171080</v>
      </c>
      <c r="AA2694" s="2240">
        <f t="shared" si="702"/>
        <v>42</v>
      </c>
      <c r="AB2694" s="2203">
        <f t="shared" si="702"/>
        <v>29334580</v>
      </c>
      <c r="AC2694" s="2243">
        <f t="shared" si="703"/>
        <v>58.333333333333336</v>
      </c>
      <c r="AD2694" s="2243">
        <f t="shared" si="703"/>
        <v>39.550465147633815</v>
      </c>
      <c r="AE2694" s="2605"/>
      <c r="AF2694" s="2259"/>
      <c r="AG2694" s="2259"/>
      <c r="AH2694" s="2259"/>
      <c r="AI2694" s="2259"/>
      <c r="AJ2694" s="2259"/>
      <c r="AK2694" s="2259"/>
      <c r="AL2694" s="2259"/>
      <c r="AM2694" s="2259"/>
      <c r="AN2694" s="2259"/>
      <c r="AO2694" s="2259"/>
      <c r="AP2694" s="2259"/>
      <c r="AQ2694" s="2259"/>
      <c r="AR2694" s="2259"/>
      <c r="AS2694" s="2259"/>
      <c r="AT2694" s="2259"/>
      <c r="AU2694" s="2259"/>
      <c r="AV2694" s="2259"/>
      <c r="AW2694" s="2259"/>
      <c r="AX2694" s="2259"/>
      <c r="AY2694" s="2259"/>
      <c r="AZ2694" s="2259"/>
      <c r="BA2694" s="2259"/>
      <c r="BB2694" s="2259"/>
      <c r="BC2694" s="2259"/>
      <c r="BD2694" s="2259"/>
      <c r="BE2694" s="2259"/>
      <c r="BF2694" s="2259"/>
      <c r="BG2694" s="2259"/>
      <c r="BH2694" s="2259"/>
      <c r="BI2694" s="2259"/>
      <c r="BJ2694" s="2259"/>
      <c r="BK2694" s="2259"/>
      <c r="BL2694" s="2259"/>
      <c r="BM2694" s="2259"/>
      <c r="BN2694" s="2259"/>
      <c r="BO2694" s="2259"/>
      <c r="BP2694" s="2259"/>
      <c r="BQ2694" s="2259"/>
      <c r="BR2694" s="2259"/>
      <c r="BS2694" s="2259"/>
    </row>
    <row r="2695" spans="1:71" s="2131" customFormat="1" ht="63.75">
      <c r="A2695" s="2267"/>
      <c r="B2695" s="2253"/>
      <c r="C2695" s="2164">
        <v>5</v>
      </c>
      <c r="D2695" s="2164" t="s">
        <v>34</v>
      </c>
      <c r="E2695" s="2164" t="s">
        <v>25</v>
      </c>
      <c r="F2695" s="2164" t="s">
        <v>45</v>
      </c>
      <c r="G2695" s="2164" t="s">
        <v>25</v>
      </c>
      <c r="H2695" s="2254" t="s">
        <v>29</v>
      </c>
      <c r="I2695" s="2171" t="s">
        <v>3685</v>
      </c>
      <c r="J2695" s="2171" t="s">
        <v>3628</v>
      </c>
      <c r="K2695" s="2255">
        <v>72</v>
      </c>
      <c r="L2695" s="2203">
        <v>199260600</v>
      </c>
      <c r="M2695" s="2256">
        <v>36</v>
      </c>
      <c r="N2695" s="2257">
        <v>107350000</v>
      </c>
      <c r="O2695" s="2255">
        <v>12</v>
      </c>
      <c r="P2695" s="2258">
        <v>49200000</v>
      </c>
      <c r="Q2695" s="2256">
        <v>3</v>
      </c>
      <c r="R2695" s="2203">
        <v>8200000</v>
      </c>
      <c r="S2695" s="2256">
        <v>3</v>
      </c>
      <c r="T2695" s="2203">
        <v>8200000</v>
      </c>
      <c r="U2695" s="2255"/>
      <c r="V2695" s="2203"/>
      <c r="W2695" s="2255"/>
      <c r="X2695" s="2203"/>
      <c r="Y2695" s="2240">
        <f t="shared" si="701"/>
        <v>6</v>
      </c>
      <c r="Z2695" s="2203">
        <f t="shared" si="701"/>
        <v>16400000</v>
      </c>
      <c r="AA2695" s="2240">
        <f t="shared" si="702"/>
        <v>42</v>
      </c>
      <c r="AB2695" s="2203">
        <f t="shared" si="702"/>
        <v>123750000</v>
      </c>
      <c r="AC2695" s="2243">
        <f t="shared" si="703"/>
        <v>58.333333333333336</v>
      </c>
      <c r="AD2695" s="2243">
        <f t="shared" si="703"/>
        <v>62.104600708820513</v>
      </c>
      <c r="AE2695" s="2605"/>
      <c r="AF2695" s="2259"/>
      <c r="AG2695" s="2259"/>
      <c r="AH2695" s="2259"/>
      <c r="AI2695" s="2259"/>
      <c r="AJ2695" s="2259"/>
      <c r="AK2695" s="2259"/>
      <c r="AL2695" s="2259"/>
      <c r="AM2695" s="2259"/>
      <c r="AN2695" s="2259"/>
      <c r="AO2695" s="2259"/>
      <c r="AP2695" s="2259"/>
      <c r="AQ2695" s="2259"/>
      <c r="AR2695" s="2259"/>
      <c r="AS2695" s="2259"/>
      <c r="AT2695" s="2259"/>
      <c r="AU2695" s="2259"/>
      <c r="AV2695" s="2259"/>
      <c r="AW2695" s="2259"/>
      <c r="AX2695" s="2259"/>
      <c r="AY2695" s="2259"/>
      <c r="AZ2695" s="2259"/>
      <c r="BA2695" s="2259"/>
      <c r="BB2695" s="2259"/>
      <c r="BC2695" s="2259"/>
      <c r="BD2695" s="2259"/>
      <c r="BE2695" s="2259"/>
      <c r="BF2695" s="2259"/>
      <c r="BG2695" s="2259"/>
      <c r="BH2695" s="2259"/>
      <c r="BI2695" s="2259"/>
      <c r="BJ2695" s="2259"/>
      <c r="BK2695" s="2259"/>
      <c r="BL2695" s="2259"/>
      <c r="BM2695" s="2259"/>
      <c r="BN2695" s="2259"/>
      <c r="BO2695" s="2259"/>
      <c r="BP2695" s="2259"/>
      <c r="BQ2695" s="2259"/>
      <c r="BR2695" s="2259"/>
      <c r="BS2695" s="2259"/>
    </row>
    <row r="2696" spans="1:71" s="2131" customFormat="1" ht="51">
      <c r="A2696" s="2152"/>
      <c r="B2696" s="2253"/>
      <c r="C2696" s="2164">
        <v>5</v>
      </c>
      <c r="D2696" s="2164" t="s">
        <v>34</v>
      </c>
      <c r="E2696" s="2164" t="s">
        <v>25</v>
      </c>
      <c r="F2696" s="2164" t="s">
        <v>45</v>
      </c>
      <c r="G2696" s="2164" t="s">
        <v>25</v>
      </c>
      <c r="H2696" s="2164" t="s">
        <v>30</v>
      </c>
      <c r="I2696" s="2260" t="s">
        <v>110</v>
      </c>
      <c r="J2696" s="2260" t="s">
        <v>3629</v>
      </c>
      <c r="K2696" s="2261">
        <v>72</v>
      </c>
      <c r="L2696" s="2241">
        <v>93500000</v>
      </c>
      <c r="M2696" s="2261">
        <v>36</v>
      </c>
      <c r="N2696" s="2262">
        <v>34775150</v>
      </c>
      <c r="O2696" s="2240">
        <v>12</v>
      </c>
      <c r="P2696" s="2242">
        <v>25539859</v>
      </c>
      <c r="Q2696" s="2261">
        <v>3</v>
      </c>
      <c r="R2696" s="2241">
        <v>4881000</v>
      </c>
      <c r="S2696" s="2261">
        <v>3</v>
      </c>
      <c r="T2696" s="2241">
        <v>4881000</v>
      </c>
      <c r="U2696" s="2240"/>
      <c r="V2696" s="2242"/>
      <c r="W2696" s="2240"/>
      <c r="X2696" s="2241"/>
      <c r="Y2696" s="2240">
        <f t="shared" si="701"/>
        <v>6</v>
      </c>
      <c r="Z2696" s="2241">
        <f t="shared" si="701"/>
        <v>9762000</v>
      </c>
      <c r="AA2696" s="2240">
        <f t="shared" si="702"/>
        <v>42</v>
      </c>
      <c r="AB2696" s="2241">
        <f t="shared" si="702"/>
        <v>44537150</v>
      </c>
      <c r="AC2696" s="2243">
        <f t="shared" si="703"/>
        <v>58.333333333333336</v>
      </c>
      <c r="AD2696" s="2243">
        <f t="shared" si="703"/>
        <v>47.63331550802139</v>
      </c>
      <c r="AE2696" s="2216"/>
      <c r="AF2696" s="2259"/>
      <c r="AG2696" s="2259"/>
      <c r="AH2696" s="2259"/>
      <c r="AI2696" s="2259"/>
      <c r="AJ2696" s="2259"/>
      <c r="AK2696" s="2259"/>
      <c r="AL2696" s="2259"/>
      <c r="AM2696" s="2259"/>
      <c r="AN2696" s="2259"/>
      <c r="AO2696" s="2259"/>
      <c r="AP2696" s="2259"/>
      <c r="AQ2696" s="2259"/>
      <c r="AR2696" s="2259"/>
      <c r="AS2696" s="2259"/>
      <c r="AT2696" s="2259"/>
      <c r="AU2696" s="2259"/>
      <c r="AV2696" s="2259"/>
      <c r="AW2696" s="2259"/>
      <c r="AX2696" s="2259"/>
      <c r="AY2696" s="2259"/>
      <c r="AZ2696" s="2259"/>
      <c r="BA2696" s="2259"/>
      <c r="BB2696" s="2259"/>
      <c r="BC2696" s="2259"/>
      <c r="BD2696" s="2259"/>
      <c r="BE2696" s="2259"/>
      <c r="BF2696" s="2259"/>
      <c r="BG2696" s="2259"/>
      <c r="BH2696" s="2259"/>
      <c r="BI2696" s="2259"/>
      <c r="BJ2696" s="2259"/>
      <c r="BK2696" s="2259"/>
      <c r="BL2696" s="2259"/>
      <c r="BM2696" s="2259"/>
      <c r="BN2696" s="2259"/>
      <c r="BO2696" s="2259"/>
      <c r="BP2696" s="2259"/>
      <c r="BQ2696" s="2259"/>
      <c r="BR2696" s="2259"/>
      <c r="BS2696" s="2259"/>
    </row>
    <row r="2697" spans="1:71" s="2131" customFormat="1" ht="25.5">
      <c r="A2697" s="2267"/>
      <c r="B2697" s="2263"/>
      <c r="C2697" s="2254">
        <v>5</v>
      </c>
      <c r="D2697" s="2254" t="s">
        <v>34</v>
      </c>
      <c r="E2697" s="2254" t="s">
        <v>25</v>
      </c>
      <c r="F2697" s="2254" t="s">
        <v>45</v>
      </c>
      <c r="G2697" s="2254" t="s">
        <v>25</v>
      </c>
      <c r="H2697" s="2254" t="s">
        <v>31</v>
      </c>
      <c r="I2697" s="2171" t="s">
        <v>163</v>
      </c>
      <c r="J2697" s="2171" t="s">
        <v>103</v>
      </c>
      <c r="K2697" s="2255">
        <v>72</v>
      </c>
      <c r="L2697" s="2203">
        <v>132600000</v>
      </c>
      <c r="M2697" s="2256">
        <v>36</v>
      </c>
      <c r="N2697" s="2257">
        <v>57271653.049999997</v>
      </c>
      <c r="O2697" s="2255">
        <v>12</v>
      </c>
      <c r="P2697" s="2258">
        <v>22611715</v>
      </c>
      <c r="Q2697" s="2256">
        <v>3</v>
      </c>
      <c r="R2697" s="2203">
        <v>8649000</v>
      </c>
      <c r="S2697" s="2256">
        <v>3</v>
      </c>
      <c r="T2697" s="2203">
        <v>8649000</v>
      </c>
      <c r="U2697" s="2255"/>
      <c r="V2697" s="2203"/>
      <c r="W2697" s="2255"/>
      <c r="X2697" s="2203"/>
      <c r="Y2697" s="2255">
        <f t="shared" si="701"/>
        <v>6</v>
      </c>
      <c r="Z2697" s="2203">
        <f t="shared" si="701"/>
        <v>17298000</v>
      </c>
      <c r="AA2697" s="2255">
        <f t="shared" si="702"/>
        <v>42</v>
      </c>
      <c r="AB2697" s="2203">
        <f t="shared" si="702"/>
        <v>74569653.049999997</v>
      </c>
      <c r="AC2697" s="2264">
        <f t="shared" si="703"/>
        <v>58.333333333333336</v>
      </c>
      <c r="AD2697" s="2264">
        <f t="shared" si="703"/>
        <v>56.236540761689291</v>
      </c>
      <c r="AE2697" s="2605"/>
      <c r="AF2697" s="2259"/>
      <c r="AG2697" s="2259"/>
      <c r="AH2697" s="2259"/>
      <c r="AI2697" s="2259"/>
      <c r="AJ2697" s="2259"/>
      <c r="AK2697" s="2259"/>
      <c r="AL2697" s="2259"/>
      <c r="AM2697" s="2259"/>
      <c r="AN2697" s="2259"/>
      <c r="AO2697" s="2259"/>
      <c r="AP2697" s="2259"/>
      <c r="AQ2697" s="2259"/>
      <c r="AR2697" s="2259"/>
      <c r="AS2697" s="2259"/>
      <c r="AT2697" s="2259"/>
      <c r="AU2697" s="2259"/>
      <c r="AV2697" s="2259"/>
      <c r="AW2697" s="2259"/>
      <c r="AX2697" s="2259"/>
      <c r="AY2697" s="2259"/>
      <c r="AZ2697" s="2259"/>
      <c r="BA2697" s="2259"/>
      <c r="BB2697" s="2259"/>
      <c r="BC2697" s="2259"/>
      <c r="BD2697" s="2259"/>
      <c r="BE2697" s="2259"/>
      <c r="BF2697" s="2259"/>
      <c r="BG2697" s="2259"/>
      <c r="BH2697" s="2259"/>
      <c r="BI2697" s="2259"/>
      <c r="BJ2697" s="2259"/>
      <c r="BK2697" s="2259"/>
      <c r="BL2697" s="2259"/>
      <c r="BM2697" s="2259"/>
      <c r="BN2697" s="2259"/>
      <c r="BO2697" s="2259"/>
      <c r="BP2697" s="2259"/>
      <c r="BQ2697" s="2259"/>
      <c r="BR2697" s="2259"/>
      <c r="BS2697" s="2259"/>
    </row>
    <row r="2698" spans="1:71" s="2131" customFormat="1" ht="38.25">
      <c r="A2698" s="2152"/>
      <c r="B2698" s="2253"/>
      <c r="C2698" s="2164">
        <v>5</v>
      </c>
      <c r="D2698" s="2164" t="s">
        <v>34</v>
      </c>
      <c r="E2698" s="2164" t="s">
        <v>25</v>
      </c>
      <c r="F2698" s="2164" t="s">
        <v>45</v>
      </c>
      <c r="G2698" s="2164" t="s">
        <v>25</v>
      </c>
      <c r="H2698" s="2164" t="s">
        <v>62</v>
      </c>
      <c r="I2698" s="2260" t="s">
        <v>155</v>
      </c>
      <c r="J2698" s="2265" t="s">
        <v>3630</v>
      </c>
      <c r="K2698" s="2240">
        <v>72</v>
      </c>
      <c r="L2698" s="2241">
        <v>65400000</v>
      </c>
      <c r="M2698" s="2261">
        <v>36</v>
      </c>
      <c r="N2698" s="2262">
        <v>28948834</v>
      </c>
      <c r="O2698" s="2240">
        <v>12</v>
      </c>
      <c r="P2698" s="2242">
        <v>6175231</v>
      </c>
      <c r="Q2698" s="2261">
        <v>3</v>
      </c>
      <c r="R2698" s="2241">
        <v>1588500</v>
      </c>
      <c r="S2698" s="2261">
        <v>3</v>
      </c>
      <c r="T2698" s="2241">
        <v>1588500</v>
      </c>
      <c r="U2698" s="2240"/>
      <c r="V2698" s="2241"/>
      <c r="W2698" s="2240"/>
      <c r="X2698" s="2241"/>
      <c r="Y2698" s="2240">
        <f t="shared" si="701"/>
        <v>6</v>
      </c>
      <c r="Z2698" s="2241">
        <f t="shared" si="701"/>
        <v>3177000</v>
      </c>
      <c r="AA2698" s="2240">
        <f t="shared" si="702"/>
        <v>42</v>
      </c>
      <c r="AB2698" s="2241">
        <f t="shared" si="702"/>
        <v>32125834</v>
      </c>
      <c r="AC2698" s="2243">
        <f t="shared" si="703"/>
        <v>58.333333333333336</v>
      </c>
      <c r="AD2698" s="2243">
        <f t="shared" si="703"/>
        <v>49.122070336391438</v>
      </c>
      <c r="AE2698" s="2216"/>
      <c r="AF2698" s="2259"/>
      <c r="AG2698" s="2259"/>
      <c r="AH2698" s="2259"/>
      <c r="AI2698" s="2259"/>
      <c r="AJ2698" s="2259"/>
      <c r="AK2698" s="2259"/>
      <c r="AL2698" s="2259"/>
      <c r="AM2698" s="2259"/>
      <c r="AN2698" s="2259"/>
      <c r="AO2698" s="2259"/>
      <c r="AP2698" s="2259"/>
      <c r="AQ2698" s="2259"/>
      <c r="AR2698" s="2259"/>
      <c r="AS2698" s="2259"/>
      <c r="AT2698" s="2259"/>
      <c r="AU2698" s="2259"/>
      <c r="AV2698" s="2259"/>
      <c r="AW2698" s="2259"/>
      <c r="AX2698" s="2259"/>
      <c r="AY2698" s="2259"/>
      <c r="AZ2698" s="2259"/>
      <c r="BA2698" s="2259"/>
      <c r="BB2698" s="2259"/>
      <c r="BC2698" s="2259"/>
      <c r="BD2698" s="2259"/>
      <c r="BE2698" s="2259"/>
      <c r="BF2698" s="2259"/>
      <c r="BG2698" s="2259"/>
      <c r="BH2698" s="2259"/>
      <c r="BI2698" s="2259"/>
      <c r="BJ2698" s="2259"/>
      <c r="BK2698" s="2259"/>
      <c r="BL2698" s="2259"/>
      <c r="BM2698" s="2259"/>
      <c r="BN2698" s="2259"/>
      <c r="BO2698" s="2259"/>
      <c r="BP2698" s="2259"/>
      <c r="BQ2698" s="2259"/>
      <c r="BR2698" s="2259"/>
      <c r="BS2698" s="2259"/>
    </row>
    <row r="2699" spans="1:71" s="2131" customFormat="1" ht="51">
      <c r="A2699" s="2152"/>
      <c r="B2699" s="2253"/>
      <c r="C2699" s="2164">
        <v>5</v>
      </c>
      <c r="D2699" s="2164" t="s">
        <v>34</v>
      </c>
      <c r="E2699" s="2164" t="s">
        <v>25</v>
      </c>
      <c r="F2699" s="2164" t="s">
        <v>45</v>
      </c>
      <c r="G2699" s="2164" t="s">
        <v>25</v>
      </c>
      <c r="H2699" s="2164" t="s">
        <v>52</v>
      </c>
      <c r="I2699" s="2260" t="s">
        <v>3687</v>
      </c>
      <c r="J2699" s="2260" t="s">
        <v>3631</v>
      </c>
      <c r="K2699" s="2240">
        <v>72</v>
      </c>
      <c r="L2699" s="2241">
        <v>15000000</v>
      </c>
      <c r="M2699" s="2261">
        <v>36</v>
      </c>
      <c r="N2699" s="2262">
        <v>6943000</v>
      </c>
      <c r="O2699" s="2240">
        <v>12</v>
      </c>
      <c r="P2699" s="2242">
        <v>2882637</v>
      </c>
      <c r="Q2699" s="2261">
        <v>3</v>
      </c>
      <c r="R2699" s="2241">
        <v>1593000</v>
      </c>
      <c r="S2699" s="2261">
        <v>3</v>
      </c>
      <c r="T2699" s="2241">
        <v>593000</v>
      </c>
      <c r="U2699" s="2240"/>
      <c r="V2699" s="2242"/>
      <c r="W2699" s="2240"/>
      <c r="X2699" s="2241"/>
      <c r="Y2699" s="2240">
        <f t="shared" si="701"/>
        <v>6</v>
      </c>
      <c r="Z2699" s="2241">
        <f t="shared" si="701"/>
        <v>2186000</v>
      </c>
      <c r="AA2699" s="2240">
        <f t="shared" si="702"/>
        <v>42</v>
      </c>
      <c r="AB2699" s="2241">
        <f t="shared" si="702"/>
        <v>9129000</v>
      </c>
      <c r="AC2699" s="2243">
        <f t="shared" si="703"/>
        <v>58.333333333333336</v>
      </c>
      <c r="AD2699" s="2243">
        <f t="shared" si="703"/>
        <v>60.86</v>
      </c>
      <c r="AE2699" s="2216"/>
      <c r="AF2699" s="2259"/>
      <c r="AG2699" s="2259"/>
      <c r="AH2699" s="2259"/>
      <c r="AI2699" s="2259"/>
      <c r="AJ2699" s="2259"/>
      <c r="AK2699" s="2259"/>
      <c r="AL2699" s="2259"/>
      <c r="AM2699" s="2259"/>
      <c r="AN2699" s="2259"/>
      <c r="AO2699" s="2259"/>
      <c r="AP2699" s="2259"/>
      <c r="AQ2699" s="2259"/>
      <c r="AR2699" s="2259"/>
      <c r="AS2699" s="2259"/>
      <c r="AT2699" s="2259"/>
      <c r="AU2699" s="2259"/>
      <c r="AV2699" s="2259"/>
      <c r="AW2699" s="2259"/>
      <c r="AX2699" s="2259"/>
      <c r="AY2699" s="2259"/>
      <c r="AZ2699" s="2259"/>
      <c r="BA2699" s="2259"/>
      <c r="BB2699" s="2259"/>
      <c r="BC2699" s="2259"/>
      <c r="BD2699" s="2259"/>
      <c r="BE2699" s="2259"/>
      <c r="BF2699" s="2259"/>
      <c r="BG2699" s="2259"/>
      <c r="BH2699" s="2259"/>
      <c r="BI2699" s="2259"/>
      <c r="BJ2699" s="2259"/>
      <c r="BK2699" s="2259"/>
      <c r="BL2699" s="2259"/>
      <c r="BM2699" s="2259"/>
      <c r="BN2699" s="2259"/>
      <c r="BO2699" s="2259"/>
      <c r="BP2699" s="2259"/>
      <c r="BQ2699" s="2259"/>
      <c r="BR2699" s="2259"/>
      <c r="BS2699" s="2259"/>
    </row>
    <row r="2700" spans="1:71" s="2131" customFormat="1" ht="63.75">
      <c r="A2700" s="2267"/>
      <c r="B2700" s="2253"/>
      <c r="C2700" s="2164">
        <v>5</v>
      </c>
      <c r="D2700" s="2164" t="s">
        <v>34</v>
      </c>
      <c r="E2700" s="2164" t="s">
        <v>25</v>
      </c>
      <c r="F2700" s="2164" t="s">
        <v>45</v>
      </c>
      <c r="G2700" s="2164" t="s">
        <v>25</v>
      </c>
      <c r="H2700" s="2254" t="s">
        <v>45</v>
      </c>
      <c r="I2700" s="2171" t="s">
        <v>3688</v>
      </c>
      <c r="J2700" s="2171" t="s">
        <v>3632</v>
      </c>
      <c r="K2700" s="2255">
        <v>72</v>
      </c>
      <c r="L2700" s="2203">
        <v>20130000</v>
      </c>
      <c r="M2700" s="2256">
        <v>36</v>
      </c>
      <c r="N2700" s="2257">
        <v>8400000</v>
      </c>
      <c r="O2700" s="2255">
        <v>12</v>
      </c>
      <c r="P2700" s="2258">
        <v>7880000</v>
      </c>
      <c r="Q2700" s="2256">
        <v>3</v>
      </c>
      <c r="R2700" s="2203">
        <v>300000</v>
      </c>
      <c r="S2700" s="2256">
        <v>3</v>
      </c>
      <c r="T2700" s="2203">
        <v>300000</v>
      </c>
      <c r="U2700" s="2255"/>
      <c r="V2700" s="2203"/>
      <c r="W2700" s="2255"/>
      <c r="X2700" s="2203"/>
      <c r="Y2700" s="2240">
        <f t="shared" si="701"/>
        <v>6</v>
      </c>
      <c r="Z2700" s="2203">
        <f t="shared" si="701"/>
        <v>600000</v>
      </c>
      <c r="AA2700" s="2240">
        <f t="shared" si="702"/>
        <v>42</v>
      </c>
      <c r="AB2700" s="2203">
        <f t="shared" si="702"/>
        <v>9000000</v>
      </c>
      <c r="AC2700" s="2243">
        <f t="shared" si="703"/>
        <v>58.333333333333336</v>
      </c>
      <c r="AD2700" s="2243">
        <f t="shared" si="703"/>
        <v>44.709388971684056</v>
      </c>
      <c r="AE2700" s="2605"/>
    </row>
    <row r="2701" spans="1:71" s="2131" customFormat="1" ht="38.25">
      <c r="A2701" s="2152"/>
      <c r="B2701" s="2253"/>
      <c r="C2701" s="2164">
        <v>5</v>
      </c>
      <c r="D2701" s="2164" t="s">
        <v>34</v>
      </c>
      <c r="E2701" s="2164" t="s">
        <v>25</v>
      </c>
      <c r="F2701" s="2164" t="s">
        <v>45</v>
      </c>
      <c r="G2701" s="2164" t="s">
        <v>25</v>
      </c>
      <c r="H2701" s="2164" t="s">
        <v>74</v>
      </c>
      <c r="I2701" s="2260" t="s">
        <v>167</v>
      </c>
      <c r="J2701" s="2265" t="s">
        <v>3633</v>
      </c>
      <c r="K2701" s="2240">
        <v>72</v>
      </c>
      <c r="L2701" s="2241">
        <v>196500000</v>
      </c>
      <c r="M2701" s="2261">
        <v>36</v>
      </c>
      <c r="N2701" s="2262">
        <v>81327500</v>
      </c>
      <c r="O2701" s="2240">
        <v>12</v>
      </c>
      <c r="P2701" s="2242">
        <v>19975000</v>
      </c>
      <c r="Q2701" s="2261">
        <v>3</v>
      </c>
      <c r="R2701" s="2241">
        <v>7945000</v>
      </c>
      <c r="S2701" s="2261">
        <v>3</v>
      </c>
      <c r="T2701" s="2241">
        <v>7945000</v>
      </c>
      <c r="U2701" s="2240"/>
      <c r="V2701" s="2241"/>
      <c r="W2701" s="2240"/>
      <c r="X2701" s="2241"/>
      <c r="Y2701" s="2240">
        <f t="shared" si="701"/>
        <v>6</v>
      </c>
      <c r="Z2701" s="2241">
        <f t="shared" si="701"/>
        <v>15890000</v>
      </c>
      <c r="AA2701" s="2240">
        <f t="shared" si="702"/>
        <v>42</v>
      </c>
      <c r="AB2701" s="2241">
        <f t="shared" si="702"/>
        <v>97217500</v>
      </c>
      <c r="AC2701" s="2243">
        <f t="shared" si="703"/>
        <v>58.333333333333336</v>
      </c>
      <c r="AD2701" s="2243">
        <f t="shared" si="703"/>
        <v>49.474554707379134</v>
      </c>
      <c r="AE2701" s="2216"/>
    </row>
    <row r="2702" spans="1:71" s="2131" customFormat="1" ht="51">
      <c r="A2702" s="2152"/>
      <c r="B2702" s="2253"/>
      <c r="C2702" s="2164">
        <v>5</v>
      </c>
      <c r="D2702" s="2164" t="s">
        <v>34</v>
      </c>
      <c r="E2702" s="2164" t="s">
        <v>25</v>
      </c>
      <c r="F2702" s="2164" t="s">
        <v>45</v>
      </c>
      <c r="G2702" s="2164" t="s">
        <v>25</v>
      </c>
      <c r="H2702" s="2164" t="s">
        <v>44</v>
      </c>
      <c r="I2702" s="2260" t="s">
        <v>233</v>
      </c>
      <c r="J2702" s="2260" t="s">
        <v>3634</v>
      </c>
      <c r="K2702" s="2240">
        <v>72</v>
      </c>
      <c r="L2702" s="2241">
        <v>195000000</v>
      </c>
      <c r="M2702" s="2261">
        <v>36</v>
      </c>
      <c r="N2702" s="2262">
        <v>94478000</v>
      </c>
      <c r="O2702" s="2240">
        <v>12</v>
      </c>
      <c r="P2702" s="2242">
        <v>26200000</v>
      </c>
      <c r="Q2702" s="2261">
        <v>3</v>
      </c>
      <c r="R2702" s="2241">
        <v>0</v>
      </c>
      <c r="S2702" s="2261">
        <v>3</v>
      </c>
      <c r="T2702" s="2241">
        <v>0</v>
      </c>
      <c r="U2702" s="2240"/>
      <c r="V2702" s="2242"/>
      <c r="W2702" s="2240"/>
      <c r="X2702" s="2241"/>
      <c r="Y2702" s="2240">
        <f t="shared" si="701"/>
        <v>6</v>
      </c>
      <c r="Z2702" s="2241">
        <f t="shared" si="701"/>
        <v>0</v>
      </c>
      <c r="AA2702" s="2240">
        <f t="shared" si="702"/>
        <v>42</v>
      </c>
      <c r="AB2702" s="2241">
        <f t="shared" si="702"/>
        <v>94478000</v>
      </c>
      <c r="AC2702" s="2243">
        <f t="shared" si="703"/>
        <v>58.333333333333336</v>
      </c>
      <c r="AD2702" s="2243">
        <f t="shared" si="703"/>
        <v>48.450256410256408</v>
      </c>
      <c r="AE2702" s="2216"/>
    </row>
    <row r="2703" spans="1:71" s="2131" customFormat="1" ht="51">
      <c r="A2703" s="2267"/>
      <c r="B2703" s="2253"/>
      <c r="C2703" s="2164">
        <v>5</v>
      </c>
      <c r="D2703" s="2164" t="s">
        <v>34</v>
      </c>
      <c r="E2703" s="2164" t="s">
        <v>25</v>
      </c>
      <c r="F2703" s="2164" t="s">
        <v>45</v>
      </c>
      <c r="G2703" s="2164" t="s">
        <v>25</v>
      </c>
      <c r="H2703" s="2254" t="s">
        <v>54</v>
      </c>
      <c r="I2703" s="2171" t="s">
        <v>3689</v>
      </c>
      <c r="J2703" s="2171" t="s">
        <v>3635</v>
      </c>
      <c r="K2703" s="2255">
        <v>72</v>
      </c>
      <c r="L2703" s="2203">
        <v>294700000</v>
      </c>
      <c r="M2703" s="2256">
        <v>36</v>
      </c>
      <c r="N2703" s="2257">
        <v>139690000</v>
      </c>
      <c r="O2703" s="2255">
        <v>12</v>
      </c>
      <c r="P2703" s="2258">
        <v>72100000</v>
      </c>
      <c r="Q2703" s="2256">
        <v>3</v>
      </c>
      <c r="R2703" s="2203">
        <v>26540000</v>
      </c>
      <c r="S2703" s="2256">
        <v>3</v>
      </c>
      <c r="T2703" s="2203">
        <v>26540000</v>
      </c>
      <c r="U2703" s="2255"/>
      <c r="V2703" s="2258"/>
      <c r="W2703" s="2255"/>
      <c r="X2703" s="2203"/>
      <c r="Y2703" s="2240">
        <f t="shared" si="701"/>
        <v>6</v>
      </c>
      <c r="Z2703" s="2203">
        <f t="shared" si="701"/>
        <v>53080000</v>
      </c>
      <c r="AA2703" s="2240">
        <f t="shared" si="702"/>
        <v>42</v>
      </c>
      <c r="AB2703" s="2203">
        <f t="shared" si="702"/>
        <v>192770000</v>
      </c>
      <c r="AC2703" s="2243">
        <f t="shared" si="703"/>
        <v>58.333333333333336</v>
      </c>
      <c r="AD2703" s="2243">
        <f t="shared" si="703"/>
        <v>65.412283678316925</v>
      </c>
      <c r="AE2703" s="2605"/>
    </row>
    <row r="2704" spans="1:71" s="2131" customFormat="1" ht="63.75">
      <c r="A2704" s="2140" t="s">
        <v>114</v>
      </c>
      <c r="B2704" s="2194"/>
      <c r="C2704" s="2142">
        <v>5</v>
      </c>
      <c r="D2704" s="2142" t="s">
        <v>34</v>
      </c>
      <c r="E2704" s="2142" t="s">
        <v>25</v>
      </c>
      <c r="F2704" s="2142" t="s">
        <v>45</v>
      </c>
      <c r="G2704" s="2142" t="s">
        <v>28</v>
      </c>
      <c r="H2704" s="2140"/>
      <c r="I2704" s="2143" t="s">
        <v>3636</v>
      </c>
      <c r="J2704" s="2143" t="s">
        <v>3531</v>
      </c>
      <c r="K2704" s="2144">
        <v>72</v>
      </c>
      <c r="L2704" s="2145">
        <f>SUM(L2705:L2712)</f>
        <v>658106000</v>
      </c>
      <c r="M2704" s="2144">
        <v>36</v>
      </c>
      <c r="N2704" s="2145">
        <f>SUM(N2705:N2712)</f>
        <v>395964743</v>
      </c>
      <c r="O2704" s="2144">
        <v>12</v>
      </c>
      <c r="P2704" s="2145">
        <f>SUM(P2705:P2712)</f>
        <v>113733112</v>
      </c>
      <c r="Q2704" s="2144">
        <v>3</v>
      </c>
      <c r="R2704" s="2145">
        <f>SUM(R2705:R2712)</f>
        <v>20407500</v>
      </c>
      <c r="S2704" s="2144">
        <v>3</v>
      </c>
      <c r="T2704" s="2145">
        <f>SUM(T2705:T2712)</f>
        <v>13183000</v>
      </c>
      <c r="U2704" s="2144"/>
      <c r="V2704" s="2145">
        <f>SUM(V2705:V2712)</f>
        <v>0</v>
      </c>
      <c r="W2704" s="2144"/>
      <c r="X2704" s="2145">
        <f>SUM(X2705:X2712)</f>
        <v>0</v>
      </c>
      <c r="Y2704" s="2144">
        <f t="shared" si="701"/>
        <v>6</v>
      </c>
      <c r="Z2704" s="2145">
        <f t="shared" si="701"/>
        <v>33590500</v>
      </c>
      <c r="AA2704" s="2144">
        <f t="shared" si="702"/>
        <v>42</v>
      </c>
      <c r="AB2704" s="2145">
        <f t="shared" si="702"/>
        <v>429555243</v>
      </c>
      <c r="AC2704" s="2147">
        <f t="shared" si="703"/>
        <v>58.333333333333336</v>
      </c>
      <c r="AD2704" s="2147">
        <f t="shared" si="703"/>
        <v>65.271436972159506</v>
      </c>
      <c r="AE2704" s="2204" t="s">
        <v>4119</v>
      </c>
    </row>
    <row r="2705" spans="1:31" s="2131" customFormat="1" ht="38.25">
      <c r="A2705" s="2267"/>
      <c r="B2705" s="2253"/>
      <c r="C2705" s="2164">
        <v>5</v>
      </c>
      <c r="D2705" s="2164" t="s">
        <v>34</v>
      </c>
      <c r="E2705" s="2164" t="s">
        <v>25</v>
      </c>
      <c r="F2705" s="2164" t="s">
        <v>45</v>
      </c>
      <c r="G2705" s="2164" t="s">
        <v>28</v>
      </c>
      <c r="H2705" s="2164" t="s">
        <v>29</v>
      </c>
      <c r="I2705" s="2171" t="s">
        <v>234</v>
      </c>
      <c r="J2705" s="2171" t="s">
        <v>3976</v>
      </c>
      <c r="K2705" s="2255">
        <v>60</v>
      </c>
      <c r="L2705" s="2203">
        <v>27000000</v>
      </c>
      <c r="M2705" s="2256">
        <v>12</v>
      </c>
      <c r="N2705" s="2257">
        <v>24665000</v>
      </c>
      <c r="O2705" s="2255">
        <v>12</v>
      </c>
      <c r="P2705" s="2258">
        <v>2241658</v>
      </c>
      <c r="Q2705" s="2256">
        <v>3</v>
      </c>
      <c r="R2705" s="2203">
        <v>2224500</v>
      </c>
      <c r="S2705" s="2256">
        <v>3</v>
      </c>
      <c r="T2705" s="2203">
        <v>0</v>
      </c>
      <c r="U2705" s="2255"/>
      <c r="V2705" s="2258"/>
      <c r="W2705" s="2255"/>
      <c r="X2705" s="2203"/>
      <c r="Y2705" s="2240">
        <f t="shared" si="701"/>
        <v>6</v>
      </c>
      <c r="Z2705" s="2203">
        <f t="shared" si="701"/>
        <v>2224500</v>
      </c>
      <c r="AA2705" s="2240">
        <f t="shared" si="702"/>
        <v>18</v>
      </c>
      <c r="AB2705" s="2203">
        <f t="shared" si="702"/>
        <v>26889500</v>
      </c>
      <c r="AC2705" s="2243">
        <f t="shared" si="703"/>
        <v>30</v>
      </c>
      <c r="AD2705" s="2243">
        <f t="shared" si="703"/>
        <v>99.590740740740742</v>
      </c>
      <c r="AE2705" s="2605"/>
    </row>
    <row r="2706" spans="1:31" s="2131" customFormat="1" ht="38.25">
      <c r="A2706" s="2267"/>
      <c r="B2706" s="2253"/>
      <c r="C2706" s="2164">
        <v>5</v>
      </c>
      <c r="D2706" s="2164" t="s">
        <v>34</v>
      </c>
      <c r="E2706" s="2164" t="s">
        <v>25</v>
      </c>
      <c r="F2706" s="2164" t="s">
        <v>45</v>
      </c>
      <c r="G2706" s="2164" t="s">
        <v>28</v>
      </c>
      <c r="H2706" s="2164" t="s">
        <v>43</v>
      </c>
      <c r="I2706" s="2171" t="s">
        <v>82</v>
      </c>
      <c r="J2706" s="2171" t="s">
        <v>3977</v>
      </c>
      <c r="K2706" s="2255">
        <v>60</v>
      </c>
      <c r="L2706" s="2203">
        <v>27000000</v>
      </c>
      <c r="M2706" s="2256">
        <v>12</v>
      </c>
      <c r="N2706" s="2257">
        <v>39016399</v>
      </c>
      <c r="O2706" s="2255">
        <v>12</v>
      </c>
      <c r="P2706" s="2258">
        <v>50490351</v>
      </c>
      <c r="Q2706" s="2256">
        <v>3</v>
      </c>
      <c r="R2706" s="2203">
        <v>0</v>
      </c>
      <c r="S2706" s="2256">
        <v>3</v>
      </c>
      <c r="T2706" s="2203">
        <v>0</v>
      </c>
      <c r="U2706" s="2255"/>
      <c r="V2706" s="2258"/>
      <c r="W2706" s="2255"/>
      <c r="X2706" s="2203"/>
      <c r="Y2706" s="2240">
        <f t="shared" si="701"/>
        <v>6</v>
      </c>
      <c r="Z2706" s="2203">
        <f t="shared" si="701"/>
        <v>0</v>
      </c>
      <c r="AA2706" s="2240">
        <f t="shared" si="702"/>
        <v>18</v>
      </c>
      <c r="AB2706" s="2203">
        <f t="shared" si="702"/>
        <v>39016399</v>
      </c>
      <c r="AC2706" s="2243">
        <f t="shared" si="703"/>
        <v>30</v>
      </c>
      <c r="AD2706" s="2243">
        <f t="shared" si="703"/>
        <v>144.50518148148149</v>
      </c>
      <c r="AE2706" s="2605"/>
    </row>
    <row r="2707" spans="1:31" s="2131" customFormat="1" ht="51">
      <c r="A2707" s="2267"/>
      <c r="B2707" s="2253"/>
      <c r="C2707" s="2164">
        <v>5</v>
      </c>
      <c r="D2707" s="2164" t="s">
        <v>34</v>
      </c>
      <c r="E2707" s="2164" t="s">
        <v>25</v>
      </c>
      <c r="F2707" s="2164" t="s">
        <v>45</v>
      </c>
      <c r="G2707" s="2164" t="s">
        <v>28</v>
      </c>
      <c r="H2707" s="2164" t="s">
        <v>54</v>
      </c>
      <c r="I2707" s="2171" t="s">
        <v>3955</v>
      </c>
      <c r="J2707" s="2171" t="s">
        <v>3978</v>
      </c>
      <c r="K2707" s="2255">
        <v>6</v>
      </c>
      <c r="L2707" s="2203">
        <v>27000000</v>
      </c>
      <c r="M2707" s="2256">
        <v>3</v>
      </c>
      <c r="N2707" s="2257">
        <v>36000000</v>
      </c>
      <c r="O2707" s="2255">
        <v>1</v>
      </c>
      <c r="P2707" s="2258">
        <v>15282125</v>
      </c>
      <c r="Q2707" s="2256">
        <v>0</v>
      </c>
      <c r="R2707" s="2203">
        <v>3250000</v>
      </c>
      <c r="S2707" s="2256">
        <v>0</v>
      </c>
      <c r="T2707" s="2203">
        <v>3250000</v>
      </c>
      <c r="U2707" s="2255"/>
      <c r="V2707" s="2258"/>
      <c r="W2707" s="2255"/>
      <c r="X2707" s="2203"/>
      <c r="Y2707" s="2240">
        <f t="shared" si="701"/>
        <v>0</v>
      </c>
      <c r="Z2707" s="2203">
        <f t="shared" si="701"/>
        <v>6500000</v>
      </c>
      <c r="AA2707" s="2240">
        <f t="shared" si="702"/>
        <v>3</v>
      </c>
      <c r="AB2707" s="2203">
        <f t="shared" si="702"/>
        <v>42500000</v>
      </c>
      <c r="AC2707" s="2243">
        <f t="shared" si="703"/>
        <v>50</v>
      </c>
      <c r="AD2707" s="2243">
        <f t="shared" si="703"/>
        <v>157.40740740740742</v>
      </c>
      <c r="AE2707" s="2605"/>
    </row>
    <row r="2708" spans="1:31" s="2131" customFormat="1" ht="51">
      <c r="A2708" s="2267"/>
      <c r="B2708" s="2253"/>
      <c r="C2708" s="2164">
        <v>5</v>
      </c>
      <c r="D2708" s="2164" t="s">
        <v>34</v>
      </c>
      <c r="E2708" s="2164" t="s">
        <v>25</v>
      </c>
      <c r="F2708" s="2164" t="s">
        <v>45</v>
      </c>
      <c r="G2708" s="2164" t="s">
        <v>28</v>
      </c>
      <c r="H2708" s="2164" t="s">
        <v>61</v>
      </c>
      <c r="I2708" s="2171" t="s">
        <v>134</v>
      </c>
      <c r="J2708" s="2171" t="s">
        <v>3979</v>
      </c>
      <c r="K2708" s="2255">
        <v>3</v>
      </c>
      <c r="L2708" s="2203">
        <v>150000000</v>
      </c>
      <c r="M2708" s="2256">
        <v>0</v>
      </c>
      <c r="N2708" s="2257">
        <v>0</v>
      </c>
      <c r="O2708" s="2255">
        <v>1</v>
      </c>
      <c r="P2708" s="2258">
        <v>5000000</v>
      </c>
      <c r="Q2708" s="2256"/>
      <c r="R2708" s="2203">
        <v>5000000</v>
      </c>
      <c r="S2708" s="2256"/>
      <c r="T2708" s="2203">
        <v>0</v>
      </c>
      <c r="U2708" s="2255"/>
      <c r="V2708" s="2258"/>
      <c r="W2708" s="2255"/>
      <c r="X2708" s="2203"/>
      <c r="Y2708" s="2240">
        <f>Q2708+S2708+U2708+W2708</f>
        <v>0</v>
      </c>
      <c r="Z2708" s="2203">
        <f>R2708+T2708+V2708+X2708</f>
        <v>5000000</v>
      </c>
      <c r="AA2708" s="2240">
        <f>M2708+Y2708</f>
        <v>0</v>
      </c>
      <c r="AB2708" s="2203">
        <f>N2708+Z2708</f>
        <v>5000000</v>
      </c>
      <c r="AC2708" s="2243">
        <f>(AA2708/K2708)*100</f>
        <v>0</v>
      </c>
      <c r="AD2708" s="2243">
        <f>(AB2708/L2708)*100</f>
        <v>3.3333333333333335</v>
      </c>
      <c r="AE2708" s="2605"/>
    </row>
    <row r="2709" spans="1:31" s="2131" customFormat="1" ht="38.25">
      <c r="A2709" s="2267"/>
      <c r="B2709" s="2253"/>
      <c r="C2709" s="2164">
        <v>5</v>
      </c>
      <c r="D2709" s="2164" t="s">
        <v>34</v>
      </c>
      <c r="E2709" s="2164" t="s">
        <v>25</v>
      </c>
      <c r="F2709" s="2164" t="s">
        <v>45</v>
      </c>
      <c r="G2709" s="2164" t="s">
        <v>28</v>
      </c>
      <c r="H2709" s="2164" t="s">
        <v>84</v>
      </c>
      <c r="I2709" s="2171" t="s">
        <v>239</v>
      </c>
      <c r="J2709" s="2171" t="s">
        <v>90</v>
      </c>
      <c r="K2709" s="2255">
        <v>72</v>
      </c>
      <c r="L2709" s="2203">
        <v>247106000</v>
      </c>
      <c r="M2709" s="2256">
        <v>36</v>
      </c>
      <c r="N2709" s="2257">
        <v>116283344</v>
      </c>
      <c r="O2709" s="2255">
        <v>12</v>
      </c>
      <c r="P2709" s="2258">
        <v>36068978</v>
      </c>
      <c r="Q2709" s="2256">
        <v>3</v>
      </c>
      <c r="R2709" s="2203">
        <v>9283000</v>
      </c>
      <c r="S2709" s="2256">
        <v>3</v>
      </c>
      <c r="T2709" s="2203">
        <v>9283000</v>
      </c>
      <c r="U2709" s="2255"/>
      <c r="V2709" s="2258"/>
      <c r="W2709" s="2255"/>
      <c r="X2709" s="2203"/>
      <c r="Y2709" s="2240">
        <f t="shared" si="701"/>
        <v>6</v>
      </c>
      <c r="Z2709" s="2203">
        <f t="shared" si="701"/>
        <v>18566000</v>
      </c>
      <c r="AA2709" s="2240">
        <f t="shared" si="702"/>
        <v>42</v>
      </c>
      <c r="AB2709" s="2203">
        <f t="shared" si="702"/>
        <v>134849344</v>
      </c>
      <c r="AC2709" s="2243">
        <f t="shared" si="703"/>
        <v>58.333333333333336</v>
      </c>
      <c r="AD2709" s="2243">
        <f t="shared" si="703"/>
        <v>54.571456783728443</v>
      </c>
      <c r="AE2709" s="2605"/>
    </row>
    <row r="2710" spans="1:31" s="2131" customFormat="1" ht="38.25">
      <c r="A2710" s="2267"/>
      <c r="B2710" s="2253"/>
      <c r="C2710" s="2164">
        <v>5</v>
      </c>
      <c r="D2710" s="2164" t="s">
        <v>34</v>
      </c>
      <c r="E2710" s="2164" t="s">
        <v>25</v>
      </c>
      <c r="F2710" s="2164" t="s">
        <v>45</v>
      </c>
      <c r="G2710" s="2164" t="s">
        <v>28</v>
      </c>
      <c r="H2710" s="2164">
        <v>28</v>
      </c>
      <c r="I2710" s="2171" t="s">
        <v>520</v>
      </c>
      <c r="J2710" s="2171" t="s">
        <v>3288</v>
      </c>
      <c r="K2710" s="2255">
        <v>72</v>
      </c>
      <c r="L2710" s="2203">
        <v>15000000</v>
      </c>
      <c r="M2710" s="2256">
        <v>36</v>
      </c>
      <c r="N2710" s="2257">
        <v>15000000</v>
      </c>
      <c r="O2710" s="2255">
        <v>12</v>
      </c>
      <c r="P2710" s="2258">
        <v>4650000</v>
      </c>
      <c r="Q2710" s="2256">
        <v>3</v>
      </c>
      <c r="R2710" s="2203">
        <v>650000</v>
      </c>
      <c r="S2710" s="2256">
        <v>3</v>
      </c>
      <c r="T2710" s="2203">
        <v>650000</v>
      </c>
      <c r="U2710" s="2255"/>
      <c r="V2710" s="2258"/>
      <c r="W2710" s="2255"/>
      <c r="X2710" s="2203"/>
      <c r="Y2710" s="2240">
        <f t="shared" si="701"/>
        <v>6</v>
      </c>
      <c r="Z2710" s="2203">
        <f t="shared" si="701"/>
        <v>1300000</v>
      </c>
      <c r="AA2710" s="2240">
        <f t="shared" si="702"/>
        <v>42</v>
      </c>
      <c r="AB2710" s="2203">
        <f t="shared" si="702"/>
        <v>16300000</v>
      </c>
      <c r="AC2710" s="2243">
        <f t="shared" si="703"/>
        <v>58.333333333333336</v>
      </c>
      <c r="AD2710" s="2243">
        <f t="shared" si="703"/>
        <v>108.66666666666667</v>
      </c>
      <c r="AE2710" s="2605"/>
    </row>
    <row r="2711" spans="1:31" s="2131" customFormat="1" ht="38.25">
      <c r="A2711" s="2267"/>
      <c r="B2711" s="2253"/>
      <c r="C2711" s="2164">
        <v>5</v>
      </c>
      <c r="D2711" s="2164" t="s">
        <v>34</v>
      </c>
      <c r="E2711" s="2164" t="s">
        <v>25</v>
      </c>
      <c r="F2711" s="2164" t="s">
        <v>45</v>
      </c>
      <c r="G2711" s="2164" t="s">
        <v>28</v>
      </c>
      <c r="H2711" s="2164" t="s">
        <v>99</v>
      </c>
      <c r="I2711" s="2171" t="s">
        <v>3980</v>
      </c>
      <c r="J2711" s="2171" t="s">
        <v>3981</v>
      </c>
      <c r="K2711" s="2255">
        <v>1</v>
      </c>
      <c r="L2711" s="2203">
        <v>150000000</v>
      </c>
      <c r="M2711" s="2256">
        <v>1</v>
      </c>
      <c r="N2711" s="2257">
        <v>150000000</v>
      </c>
      <c r="O2711" s="2255"/>
      <c r="P2711" s="2258"/>
      <c r="Q2711" s="2256"/>
      <c r="R2711" s="2203">
        <v>0</v>
      </c>
      <c r="S2711" s="2256"/>
      <c r="T2711" s="2203">
        <v>0</v>
      </c>
      <c r="U2711" s="2255"/>
      <c r="V2711" s="2258"/>
      <c r="W2711" s="2255"/>
      <c r="X2711" s="2203"/>
      <c r="Y2711" s="2240">
        <f>Q2711+S2711+U2711+W2711</f>
        <v>0</v>
      </c>
      <c r="Z2711" s="2203">
        <f>R2711+T2711+V2711+X2711</f>
        <v>0</v>
      </c>
      <c r="AA2711" s="2240">
        <f>M2711+Y2711</f>
        <v>1</v>
      </c>
      <c r="AB2711" s="2203">
        <f>N2711+Z2711</f>
        <v>150000000</v>
      </c>
      <c r="AC2711" s="2243">
        <f>(AA2711/K2711)*100</f>
        <v>100</v>
      </c>
      <c r="AD2711" s="2243">
        <f>(AB2711/L2711)*100</f>
        <v>100</v>
      </c>
      <c r="AE2711" s="2605"/>
    </row>
    <row r="2712" spans="1:31" s="2131" customFormat="1" ht="27" customHeight="1">
      <c r="A2712" s="2267"/>
      <c r="B2712" s="2253"/>
      <c r="C2712" s="2164">
        <v>5</v>
      </c>
      <c r="D2712" s="2164" t="s">
        <v>34</v>
      </c>
      <c r="E2712" s="2164" t="s">
        <v>25</v>
      </c>
      <c r="F2712" s="2164" t="s">
        <v>45</v>
      </c>
      <c r="G2712" s="2164" t="s">
        <v>28</v>
      </c>
      <c r="H2712" s="2164" t="s">
        <v>105</v>
      </c>
      <c r="I2712" s="2171" t="s">
        <v>3982</v>
      </c>
      <c r="J2712" s="2171" t="s">
        <v>3983</v>
      </c>
      <c r="K2712" s="2255">
        <v>1</v>
      </c>
      <c r="L2712" s="2203">
        <v>15000000</v>
      </c>
      <c r="M2712" s="2256">
        <v>1</v>
      </c>
      <c r="N2712" s="2257">
        <v>15000000</v>
      </c>
      <c r="O2712" s="2255"/>
      <c r="P2712" s="2258"/>
      <c r="Q2712" s="2256"/>
      <c r="R2712" s="2203">
        <v>0</v>
      </c>
      <c r="S2712" s="2256"/>
      <c r="T2712" s="2203">
        <v>0</v>
      </c>
      <c r="U2712" s="2255"/>
      <c r="V2712" s="2258"/>
      <c r="W2712" s="2255"/>
      <c r="X2712" s="2203"/>
      <c r="Y2712" s="2240">
        <f t="shared" si="701"/>
        <v>0</v>
      </c>
      <c r="Z2712" s="2203">
        <f t="shared" si="701"/>
        <v>0</v>
      </c>
      <c r="AA2712" s="2240">
        <f t="shared" si="702"/>
        <v>1</v>
      </c>
      <c r="AB2712" s="2203">
        <f t="shared" si="702"/>
        <v>15000000</v>
      </c>
      <c r="AC2712" s="2243">
        <f t="shared" si="703"/>
        <v>100</v>
      </c>
      <c r="AD2712" s="2243">
        <f t="shared" si="703"/>
        <v>100</v>
      </c>
      <c r="AE2712" s="2605"/>
    </row>
    <row r="2713" spans="1:31" s="2131" customFormat="1" ht="51">
      <c r="A2713" s="2140" t="s">
        <v>3538</v>
      </c>
      <c r="B2713" s="2194"/>
      <c r="C2713" s="2142">
        <v>5</v>
      </c>
      <c r="D2713" s="2142" t="s">
        <v>34</v>
      </c>
      <c r="E2713" s="2142" t="s">
        <v>25</v>
      </c>
      <c r="F2713" s="2142" t="s">
        <v>45</v>
      </c>
      <c r="G2713" s="2142" t="s">
        <v>74</v>
      </c>
      <c r="H2713" s="2140"/>
      <c r="I2713" s="2143" t="s">
        <v>3648</v>
      </c>
      <c r="J2713" s="2143" t="s">
        <v>3649</v>
      </c>
      <c r="K2713" s="2144">
        <v>100</v>
      </c>
      <c r="L2713" s="2145">
        <f>L2714</f>
        <v>174225000</v>
      </c>
      <c r="M2713" s="2144">
        <v>50</v>
      </c>
      <c r="N2713" s="2145">
        <f>N2714</f>
        <v>76680000</v>
      </c>
      <c r="O2713" s="2144">
        <v>18</v>
      </c>
      <c r="P2713" s="2145">
        <f>P2714</f>
        <v>29142500</v>
      </c>
      <c r="Q2713" s="2144">
        <v>0</v>
      </c>
      <c r="R2713" s="2145">
        <f>R2714</f>
        <v>0</v>
      </c>
      <c r="S2713" s="2144">
        <v>0</v>
      </c>
      <c r="T2713" s="2145">
        <f>T2714</f>
        <v>0</v>
      </c>
      <c r="U2713" s="2195"/>
      <c r="V2713" s="2145">
        <f>V2714</f>
        <v>0</v>
      </c>
      <c r="W2713" s="2144"/>
      <c r="X2713" s="2145">
        <f>X2714</f>
        <v>0</v>
      </c>
      <c r="Y2713" s="2195">
        <f>Q2713+S2713+U2713+W2713</f>
        <v>0</v>
      </c>
      <c r="Z2713" s="2145">
        <f>R2713+T2713+V2713+X2713</f>
        <v>0</v>
      </c>
      <c r="AA2713" s="2147">
        <f>M2713+Y2713</f>
        <v>50</v>
      </c>
      <c r="AB2713" s="2145">
        <f>N2713+Z2713</f>
        <v>76680000</v>
      </c>
      <c r="AC2713" s="2147">
        <f>(AA2713/K2713)*100</f>
        <v>50</v>
      </c>
      <c r="AD2713" s="2147">
        <f>(AB2713/L2713)*100</f>
        <v>44.012053379250972</v>
      </c>
      <c r="AE2713" s="2204" t="s">
        <v>4119</v>
      </c>
    </row>
    <row r="2714" spans="1:31" s="2131" customFormat="1" ht="41.25" customHeight="1">
      <c r="A2714" s="2379"/>
      <c r="B2714" s="2162"/>
      <c r="C2714" s="2164">
        <v>5</v>
      </c>
      <c r="D2714" s="2164" t="s">
        <v>34</v>
      </c>
      <c r="E2714" s="2164" t="s">
        <v>25</v>
      </c>
      <c r="F2714" s="2164" t="s">
        <v>45</v>
      </c>
      <c r="G2714" s="2164" t="s">
        <v>74</v>
      </c>
      <c r="H2714" s="2164" t="s">
        <v>56</v>
      </c>
      <c r="I2714" s="2162" t="s">
        <v>2284</v>
      </c>
      <c r="J2714" s="2162" t="s">
        <v>3651</v>
      </c>
      <c r="K2714" s="2166">
        <v>6</v>
      </c>
      <c r="L2714" s="2167">
        <v>174225000</v>
      </c>
      <c r="M2714" s="2166">
        <v>3</v>
      </c>
      <c r="N2714" s="2167">
        <v>76680000</v>
      </c>
      <c r="O2714" s="2166">
        <v>1</v>
      </c>
      <c r="P2714" s="2167">
        <v>29142500</v>
      </c>
      <c r="Q2714" s="2166">
        <v>0</v>
      </c>
      <c r="R2714" s="2167">
        <v>0</v>
      </c>
      <c r="S2714" s="2166">
        <v>0</v>
      </c>
      <c r="T2714" s="2167">
        <v>0</v>
      </c>
      <c r="U2714" s="2166"/>
      <c r="V2714" s="2202"/>
      <c r="W2714" s="2166"/>
      <c r="X2714" s="2203"/>
      <c r="Y2714" s="2166">
        <f>Q2714+S2714+U2714+W2714</f>
        <v>0</v>
      </c>
      <c r="Z2714" s="2203">
        <f>R2714+T2714+V2714+X2714</f>
        <v>0</v>
      </c>
      <c r="AA2714" s="2166">
        <f>M2714+Y2714</f>
        <v>3</v>
      </c>
      <c r="AB2714" s="2203">
        <f>N2714+Z2714</f>
        <v>76680000</v>
      </c>
      <c r="AC2714" s="2170">
        <f>(AA2714/K2714)*100</f>
        <v>50</v>
      </c>
      <c r="AD2714" s="2170">
        <f>(AB2714/L2714)*100</f>
        <v>44.012053379250972</v>
      </c>
      <c r="AE2714" s="2409"/>
    </row>
    <row r="2715" spans="1:31" s="2161" customFormat="1" ht="59.25" customHeight="1">
      <c r="A2715" s="2196" t="s">
        <v>3543</v>
      </c>
      <c r="B2715" s="2194"/>
      <c r="C2715" s="2204">
        <v>5</v>
      </c>
      <c r="D2715" s="2205">
        <v>0</v>
      </c>
      <c r="E2715" s="2205">
        <v>1</v>
      </c>
      <c r="F2715" s="2204">
        <v>56</v>
      </c>
      <c r="G2715" s="2204">
        <v>20</v>
      </c>
      <c r="H2715" s="2205"/>
      <c r="I2715" s="2206" t="s">
        <v>3847</v>
      </c>
      <c r="J2715" s="2194" t="s">
        <v>3848</v>
      </c>
      <c r="K2715" s="2207">
        <v>72</v>
      </c>
      <c r="L2715" s="2208">
        <f>SUM(L2716)</f>
        <v>72000000</v>
      </c>
      <c r="M2715" s="2209">
        <v>40</v>
      </c>
      <c r="N2715" s="2208">
        <f>SUM(N2716)</f>
        <v>2250000</v>
      </c>
      <c r="O2715" s="2207">
        <v>15</v>
      </c>
      <c r="P2715" s="2208">
        <f>SUM(P2716)</f>
        <v>5800000</v>
      </c>
      <c r="Q2715" s="2210">
        <v>4</v>
      </c>
      <c r="R2715" s="2208">
        <f>SUM(R2716)</f>
        <v>0</v>
      </c>
      <c r="S2715" s="2210">
        <v>4</v>
      </c>
      <c r="T2715" s="2208">
        <f>SUM(T2716)</f>
        <v>0</v>
      </c>
      <c r="U2715" s="2210"/>
      <c r="V2715" s="2313">
        <f>SUM(V2716)</f>
        <v>0</v>
      </c>
      <c r="W2715" s="2210"/>
      <c r="X2715" s="2313">
        <f>SUM(X2716)</f>
        <v>0</v>
      </c>
      <c r="Y2715" s="2210">
        <f t="shared" ref="Y2715:Z2720" si="704">Q2715+S2715+U2715+W2715</f>
        <v>8</v>
      </c>
      <c r="Z2715" s="2313">
        <f t="shared" si="704"/>
        <v>0</v>
      </c>
      <c r="AA2715" s="2210">
        <f t="shared" ref="AA2715:AB2720" si="705">M2715+Y2715</f>
        <v>48</v>
      </c>
      <c r="AB2715" s="2213">
        <f t="shared" si="705"/>
        <v>2250000</v>
      </c>
      <c r="AC2715" s="2214">
        <f t="shared" ref="AC2715:AD2720" si="706">(AA2715/K2715)*100</f>
        <v>66.666666666666657</v>
      </c>
      <c r="AD2715" s="2214">
        <f t="shared" si="706"/>
        <v>3.125</v>
      </c>
      <c r="AE2715" s="2204" t="s">
        <v>4119</v>
      </c>
    </row>
    <row r="2716" spans="1:31" s="2161" customFormat="1" ht="59.25" customHeight="1">
      <c r="A2716" s="2333">
        <v>1</v>
      </c>
      <c r="B2716" s="2419"/>
      <c r="C2716" s="2420">
        <v>5</v>
      </c>
      <c r="D2716" s="2421">
        <v>0</v>
      </c>
      <c r="E2716" s="2421">
        <v>1</v>
      </c>
      <c r="F2716" s="2420">
        <v>56</v>
      </c>
      <c r="G2716" s="2420">
        <v>20</v>
      </c>
      <c r="H2716" s="2421">
        <v>12</v>
      </c>
      <c r="I2716" s="2337" t="s">
        <v>3984</v>
      </c>
      <c r="J2716" s="2337" t="s">
        <v>3850</v>
      </c>
      <c r="K2716" s="2338">
        <v>20</v>
      </c>
      <c r="L2716" s="2339">
        <v>72000000</v>
      </c>
      <c r="M2716" s="2340">
        <v>5</v>
      </c>
      <c r="N2716" s="2339">
        <v>2250000</v>
      </c>
      <c r="O2716" s="2338">
        <v>5</v>
      </c>
      <c r="P2716" s="2339">
        <v>5800000</v>
      </c>
      <c r="Q2716" s="2320">
        <v>0</v>
      </c>
      <c r="R2716" s="2341">
        <v>0</v>
      </c>
      <c r="S2716" s="2320">
        <v>0</v>
      </c>
      <c r="T2716" s="2341">
        <v>0</v>
      </c>
      <c r="U2716" s="2320"/>
      <c r="V2716" s="2342"/>
      <c r="W2716" s="2320"/>
      <c r="X2716" s="2342"/>
      <c r="Y2716" s="2219">
        <f t="shared" si="704"/>
        <v>0</v>
      </c>
      <c r="Z2716" s="2306">
        <f t="shared" si="704"/>
        <v>0</v>
      </c>
      <c r="AA2716" s="2219">
        <f t="shared" si="705"/>
        <v>5</v>
      </c>
      <c r="AB2716" s="2307">
        <f t="shared" si="705"/>
        <v>2250000</v>
      </c>
      <c r="AC2716" s="2308">
        <f t="shared" si="706"/>
        <v>25</v>
      </c>
      <c r="AD2716" s="2308">
        <f t="shared" si="706"/>
        <v>3.125</v>
      </c>
      <c r="AE2716" s="2215"/>
    </row>
    <row r="2717" spans="1:31" s="2131" customFormat="1" ht="56.25" customHeight="1">
      <c r="A2717" s="2140" t="s">
        <v>3547</v>
      </c>
      <c r="B2717" s="2194"/>
      <c r="C2717" s="2142">
        <v>5</v>
      </c>
      <c r="D2717" s="2142" t="s">
        <v>34</v>
      </c>
      <c r="E2717" s="2142" t="s">
        <v>25</v>
      </c>
      <c r="F2717" s="2142" t="s">
        <v>45</v>
      </c>
      <c r="G2717" s="2142" t="s">
        <v>74</v>
      </c>
      <c r="H2717" s="2140"/>
      <c r="I2717" s="2143" t="s">
        <v>3985</v>
      </c>
      <c r="J2717" s="2143" t="s">
        <v>3986</v>
      </c>
      <c r="K2717" s="2144">
        <v>1</v>
      </c>
      <c r="L2717" s="2145">
        <f>L2718</f>
        <v>174225000</v>
      </c>
      <c r="M2717" s="2144">
        <v>0</v>
      </c>
      <c r="N2717" s="2145">
        <f>N2718</f>
        <v>0</v>
      </c>
      <c r="O2717" s="2144">
        <v>1</v>
      </c>
      <c r="P2717" s="2145">
        <f>P2718</f>
        <v>14851910</v>
      </c>
      <c r="Q2717" s="2144">
        <v>0</v>
      </c>
      <c r="R2717" s="2145">
        <f>R2718</f>
        <v>8450000</v>
      </c>
      <c r="S2717" s="2144">
        <v>0</v>
      </c>
      <c r="T2717" s="2145">
        <f>T2718</f>
        <v>8450000</v>
      </c>
      <c r="U2717" s="2195"/>
      <c r="V2717" s="2145">
        <f>V2718</f>
        <v>0</v>
      </c>
      <c r="W2717" s="2144"/>
      <c r="X2717" s="2145">
        <f>X2718</f>
        <v>0</v>
      </c>
      <c r="Y2717" s="2195">
        <f t="shared" si="704"/>
        <v>0</v>
      </c>
      <c r="Z2717" s="2145">
        <f t="shared" si="704"/>
        <v>16900000</v>
      </c>
      <c r="AA2717" s="2147">
        <f t="shared" si="705"/>
        <v>0</v>
      </c>
      <c r="AB2717" s="2145">
        <f t="shared" si="705"/>
        <v>16900000</v>
      </c>
      <c r="AC2717" s="2147">
        <f t="shared" si="706"/>
        <v>0</v>
      </c>
      <c r="AD2717" s="2147">
        <f t="shared" si="706"/>
        <v>9.7001004448270916</v>
      </c>
      <c r="AE2717" s="2204" t="s">
        <v>4119</v>
      </c>
    </row>
    <row r="2718" spans="1:31" s="2131" customFormat="1" ht="41.25" customHeight="1">
      <c r="A2718" s="2379"/>
      <c r="B2718" s="2162"/>
      <c r="C2718" s="2164">
        <v>5</v>
      </c>
      <c r="D2718" s="2164" t="s">
        <v>34</v>
      </c>
      <c r="E2718" s="2164" t="s">
        <v>25</v>
      </c>
      <c r="F2718" s="2164" t="s">
        <v>45</v>
      </c>
      <c r="G2718" s="2164" t="s">
        <v>74</v>
      </c>
      <c r="H2718" s="2164">
        <v>23</v>
      </c>
      <c r="I2718" s="2162" t="s">
        <v>3987</v>
      </c>
      <c r="J2718" s="2162" t="s">
        <v>3988</v>
      </c>
      <c r="K2718" s="2166">
        <v>1</v>
      </c>
      <c r="L2718" s="2167">
        <v>174225000</v>
      </c>
      <c r="M2718" s="2166">
        <v>0</v>
      </c>
      <c r="N2718" s="2167">
        <v>0</v>
      </c>
      <c r="O2718" s="2166">
        <v>1</v>
      </c>
      <c r="P2718" s="2167">
        <v>14851910</v>
      </c>
      <c r="Q2718" s="2166">
        <v>0</v>
      </c>
      <c r="R2718" s="2167">
        <v>8450000</v>
      </c>
      <c r="S2718" s="2166">
        <v>0</v>
      </c>
      <c r="T2718" s="2167">
        <v>8450000</v>
      </c>
      <c r="U2718" s="2166"/>
      <c r="V2718" s="2202"/>
      <c r="W2718" s="2166"/>
      <c r="X2718" s="2203"/>
      <c r="Y2718" s="2166">
        <f t="shared" si="704"/>
        <v>0</v>
      </c>
      <c r="Z2718" s="2203">
        <f t="shared" si="704"/>
        <v>16900000</v>
      </c>
      <c r="AA2718" s="2166">
        <f t="shared" si="705"/>
        <v>0</v>
      </c>
      <c r="AB2718" s="2203">
        <f t="shared" si="705"/>
        <v>16900000</v>
      </c>
      <c r="AC2718" s="2170">
        <f t="shared" si="706"/>
        <v>0</v>
      </c>
      <c r="AD2718" s="2170">
        <f t="shared" si="706"/>
        <v>9.7001004448270916</v>
      </c>
      <c r="AE2718" s="2409"/>
    </row>
    <row r="2719" spans="1:31" s="2131" customFormat="1" ht="63.75">
      <c r="A2719" s="2140" t="s">
        <v>3555</v>
      </c>
      <c r="B2719" s="2194"/>
      <c r="C2719" s="2142">
        <v>5</v>
      </c>
      <c r="D2719" s="2142" t="s">
        <v>34</v>
      </c>
      <c r="E2719" s="2142" t="s">
        <v>25</v>
      </c>
      <c r="F2719" s="2142" t="s">
        <v>45</v>
      </c>
      <c r="G2719" s="2142" t="s">
        <v>45</v>
      </c>
      <c r="H2719" s="2142"/>
      <c r="I2719" s="2143" t="s">
        <v>3653</v>
      </c>
      <c r="J2719" s="2143" t="s">
        <v>3654</v>
      </c>
      <c r="K2719" s="2144">
        <v>100</v>
      </c>
      <c r="L2719" s="2145">
        <f>L2720</f>
        <v>75310000</v>
      </c>
      <c r="M2719" s="2144">
        <v>50</v>
      </c>
      <c r="N2719" s="2145">
        <f>N2720</f>
        <v>42692500</v>
      </c>
      <c r="O2719" s="2144">
        <v>18</v>
      </c>
      <c r="P2719" s="2145">
        <f>P2720</f>
        <v>19375000</v>
      </c>
      <c r="Q2719" s="2144">
        <v>0</v>
      </c>
      <c r="R2719" s="2145">
        <f>R2720</f>
        <v>0</v>
      </c>
      <c r="S2719" s="2144">
        <v>0</v>
      </c>
      <c r="T2719" s="2145">
        <f>T2720</f>
        <v>0</v>
      </c>
      <c r="U2719" s="2144"/>
      <c r="V2719" s="2146">
        <f>V2720</f>
        <v>0</v>
      </c>
      <c r="W2719" s="2144"/>
      <c r="X2719" s="2146">
        <f>X2720</f>
        <v>0</v>
      </c>
      <c r="Y2719" s="2144">
        <f t="shared" si="704"/>
        <v>0</v>
      </c>
      <c r="Z2719" s="2145">
        <f t="shared" si="704"/>
        <v>0</v>
      </c>
      <c r="AA2719" s="2144">
        <f t="shared" si="705"/>
        <v>50</v>
      </c>
      <c r="AB2719" s="2145">
        <f t="shared" si="705"/>
        <v>42692500</v>
      </c>
      <c r="AC2719" s="2147">
        <f t="shared" si="706"/>
        <v>50</v>
      </c>
      <c r="AD2719" s="2147">
        <f t="shared" si="706"/>
        <v>56.689018722613191</v>
      </c>
      <c r="AE2719" s="2204" t="s">
        <v>4119</v>
      </c>
    </row>
    <row r="2720" spans="1:31" s="2131" customFormat="1" ht="51">
      <c r="A2720" s="2379"/>
      <c r="B2720" s="2162"/>
      <c r="C2720" s="2164">
        <v>5</v>
      </c>
      <c r="D2720" s="2164" t="s">
        <v>34</v>
      </c>
      <c r="E2720" s="2164" t="s">
        <v>25</v>
      </c>
      <c r="F2720" s="2164" t="s">
        <v>45</v>
      </c>
      <c r="G2720" s="2164" t="s">
        <v>45</v>
      </c>
      <c r="H2720" s="2164">
        <v>18</v>
      </c>
      <c r="I2720" s="2162" t="s">
        <v>3989</v>
      </c>
      <c r="J2720" s="2162" t="s">
        <v>3656</v>
      </c>
      <c r="K2720" s="2166">
        <v>6</v>
      </c>
      <c r="L2720" s="2167">
        <v>75310000</v>
      </c>
      <c r="M2720" s="2166">
        <v>3</v>
      </c>
      <c r="N2720" s="2167">
        <v>42692500</v>
      </c>
      <c r="O2720" s="2166">
        <v>1</v>
      </c>
      <c r="P2720" s="2167">
        <v>19375000</v>
      </c>
      <c r="Q2720" s="2166">
        <v>0</v>
      </c>
      <c r="R2720" s="2167">
        <v>0</v>
      </c>
      <c r="S2720" s="2166">
        <v>0</v>
      </c>
      <c r="T2720" s="2167">
        <v>0</v>
      </c>
      <c r="U2720" s="2166"/>
      <c r="V2720" s="2202"/>
      <c r="W2720" s="2166"/>
      <c r="X2720" s="2203"/>
      <c r="Y2720" s="2240">
        <f t="shared" si="704"/>
        <v>0</v>
      </c>
      <c r="Z2720" s="2203">
        <f t="shared" si="704"/>
        <v>0</v>
      </c>
      <c r="AA2720" s="2240">
        <f t="shared" si="705"/>
        <v>3</v>
      </c>
      <c r="AB2720" s="2203">
        <f t="shared" si="705"/>
        <v>42692500</v>
      </c>
      <c r="AC2720" s="2243">
        <f t="shared" si="706"/>
        <v>50</v>
      </c>
      <c r="AD2720" s="2243">
        <f t="shared" si="706"/>
        <v>56.689018722613191</v>
      </c>
      <c r="AE2720" s="2409"/>
    </row>
    <row r="2721" spans="1:31" s="2131" customFormat="1" ht="51">
      <c r="A2721" s="2140" t="s">
        <v>3559</v>
      </c>
      <c r="B2721" s="2194"/>
      <c r="C2721" s="2142">
        <v>5</v>
      </c>
      <c r="D2721" s="2142" t="s">
        <v>34</v>
      </c>
      <c r="E2721" s="2142" t="s">
        <v>25</v>
      </c>
      <c r="F2721" s="2142" t="s">
        <v>45</v>
      </c>
      <c r="G2721" s="2142" t="s">
        <v>74</v>
      </c>
      <c r="H2721" s="2142"/>
      <c r="I2721" s="2143" t="s">
        <v>3722</v>
      </c>
      <c r="J2721" s="2143" t="s">
        <v>3723</v>
      </c>
      <c r="K2721" s="2144">
        <v>80</v>
      </c>
      <c r="L2721" s="2145">
        <f>L2722</f>
        <v>5000000</v>
      </c>
      <c r="M2721" s="2144">
        <v>75</v>
      </c>
      <c r="N2721" s="2145">
        <f>N2722</f>
        <v>3300000</v>
      </c>
      <c r="O2721" s="2144"/>
      <c r="P2721" s="2145">
        <f>P2722</f>
        <v>0</v>
      </c>
      <c r="Q2721" s="2144">
        <v>0</v>
      </c>
      <c r="R2721" s="2145">
        <f>R2722</f>
        <v>0</v>
      </c>
      <c r="S2721" s="2144">
        <v>0</v>
      </c>
      <c r="T2721" s="2145">
        <f>T2722</f>
        <v>0</v>
      </c>
      <c r="U2721" s="2144"/>
      <c r="V2721" s="2145">
        <f>V2722</f>
        <v>0</v>
      </c>
      <c r="W2721" s="2144"/>
      <c r="X2721" s="2145">
        <f>X2722</f>
        <v>0</v>
      </c>
      <c r="Y2721" s="2144">
        <f t="shared" si="701"/>
        <v>0</v>
      </c>
      <c r="Z2721" s="2145">
        <f t="shared" si="701"/>
        <v>0</v>
      </c>
      <c r="AA2721" s="2144">
        <f t="shared" si="702"/>
        <v>75</v>
      </c>
      <c r="AB2721" s="2145">
        <f t="shared" si="702"/>
        <v>3300000</v>
      </c>
      <c r="AC2721" s="2147">
        <f t="shared" si="703"/>
        <v>93.75</v>
      </c>
      <c r="AD2721" s="2147">
        <f t="shared" si="703"/>
        <v>66</v>
      </c>
      <c r="AE2721" s="2204" t="s">
        <v>4119</v>
      </c>
    </row>
    <row r="2722" spans="1:31" s="2131" customFormat="1" ht="38.25">
      <c r="A2722" s="2152"/>
      <c r="B2722" s="2198"/>
      <c r="C2722" s="2164"/>
      <c r="D2722" s="2164"/>
      <c r="E2722" s="2164"/>
      <c r="F2722" s="2164"/>
      <c r="G2722" s="2164"/>
      <c r="H2722" s="2164"/>
      <c r="I2722" s="2198" t="s">
        <v>3724</v>
      </c>
      <c r="J2722" s="2198" t="s">
        <v>3725</v>
      </c>
      <c r="K2722" s="2240">
        <v>36</v>
      </c>
      <c r="L2722" s="2241">
        <v>5000000</v>
      </c>
      <c r="M2722" s="2240">
        <v>18</v>
      </c>
      <c r="N2722" s="2241">
        <v>3300000</v>
      </c>
      <c r="O2722" s="2240">
        <v>0</v>
      </c>
      <c r="P2722" s="2241">
        <v>0</v>
      </c>
      <c r="Q2722" s="2240">
        <v>0</v>
      </c>
      <c r="R2722" s="2241">
        <v>0</v>
      </c>
      <c r="S2722" s="2240">
        <v>0</v>
      </c>
      <c r="T2722" s="2241">
        <v>0</v>
      </c>
      <c r="U2722" s="2240"/>
      <c r="V2722" s="2242"/>
      <c r="W2722" s="2240"/>
      <c r="X2722" s="2241"/>
      <c r="Y2722" s="2240">
        <f t="shared" si="701"/>
        <v>0</v>
      </c>
      <c r="Z2722" s="2203">
        <f t="shared" si="701"/>
        <v>0</v>
      </c>
      <c r="AA2722" s="2240">
        <f t="shared" si="702"/>
        <v>18</v>
      </c>
      <c r="AB2722" s="2203">
        <f t="shared" si="702"/>
        <v>3300000</v>
      </c>
      <c r="AC2722" s="2243">
        <f t="shared" si="703"/>
        <v>50</v>
      </c>
      <c r="AD2722" s="2170">
        <f t="shared" si="703"/>
        <v>66</v>
      </c>
      <c r="AE2722" s="2152"/>
    </row>
    <row r="2723" spans="1:31" s="2131" customFormat="1" ht="51">
      <c r="A2723" s="2140" t="s">
        <v>3565</v>
      </c>
      <c r="B2723" s="2194"/>
      <c r="C2723" s="2142">
        <v>5</v>
      </c>
      <c r="D2723" s="2142" t="s">
        <v>34</v>
      </c>
      <c r="E2723" s="2142" t="s">
        <v>25</v>
      </c>
      <c r="F2723" s="2142" t="s">
        <v>45</v>
      </c>
      <c r="G2723" s="2142" t="s">
        <v>42</v>
      </c>
      <c r="H2723" s="2140"/>
      <c r="I2723" s="2143" t="s">
        <v>3872</v>
      </c>
      <c r="J2723" s="2143" t="s">
        <v>3873</v>
      </c>
      <c r="K2723" s="2144">
        <v>100</v>
      </c>
      <c r="L2723" s="2145">
        <f>L2724</f>
        <v>34225000</v>
      </c>
      <c r="M2723" s="2144">
        <v>85</v>
      </c>
      <c r="N2723" s="2145">
        <f>N2724</f>
        <v>17225000</v>
      </c>
      <c r="O2723" s="2144"/>
      <c r="P2723" s="2145">
        <f>P2724</f>
        <v>0</v>
      </c>
      <c r="Q2723" s="2144"/>
      <c r="R2723" s="2145">
        <f>R2724</f>
        <v>0</v>
      </c>
      <c r="S2723" s="2144"/>
      <c r="T2723" s="2145">
        <f>T2724</f>
        <v>0</v>
      </c>
      <c r="U2723" s="2195"/>
      <c r="V2723" s="2145">
        <f>V2724</f>
        <v>0</v>
      </c>
      <c r="W2723" s="2144"/>
      <c r="X2723" s="2145">
        <f>X2724</f>
        <v>0</v>
      </c>
      <c r="Y2723" s="2195">
        <f t="shared" si="701"/>
        <v>0</v>
      </c>
      <c r="Z2723" s="2145">
        <f t="shared" si="701"/>
        <v>0</v>
      </c>
      <c r="AA2723" s="2147">
        <f t="shared" si="702"/>
        <v>85</v>
      </c>
      <c r="AB2723" s="2145">
        <f t="shared" si="702"/>
        <v>17225000</v>
      </c>
      <c r="AC2723" s="2147">
        <f t="shared" si="703"/>
        <v>85</v>
      </c>
      <c r="AD2723" s="2147">
        <f t="shared" si="703"/>
        <v>50.32870708546384</v>
      </c>
      <c r="AE2723" s="2204" t="s">
        <v>4119</v>
      </c>
    </row>
    <row r="2724" spans="1:31" s="2131" customFormat="1" ht="51">
      <c r="A2724" s="2379"/>
      <c r="B2724" s="2162"/>
      <c r="C2724" s="2164">
        <v>5</v>
      </c>
      <c r="D2724" s="2164" t="s">
        <v>34</v>
      </c>
      <c r="E2724" s="2164" t="s">
        <v>25</v>
      </c>
      <c r="F2724" s="2164" t="s">
        <v>45</v>
      </c>
      <c r="G2724" s="2164" t="s">
        <v>42</v>
      </c>
      <c r="H2724" s="2164" t="s">
        <v>29</v>
      </c>
      <c r="I2724" s="2162" t="s">
        <v>3990</v>
      </c>
      <c r="J2724" s="2162" t="s">
        <v>3991</v>
      </c>
      <c r="K2724" s="2166">
        <v>42</v>
      </c>
      <c r="L2724" s="2167">
        <v>34225000</v>
      </c>
      <c r="M2724" s="2166">
        <v>21</v>
      </c>
      <c r="N2724" s="2167">
        <v>17225000</v>
      </c>
      <c r="O2724" s="2166"/>
      <c r="P2724" s="2167">
        <v>0</v>
      </c>
      <c r="Q2724" s="2166">
        <v>0</v>
      </c>
      <c r="R2724" s="2167">
        <v>0</v>
      </c>
      <c r="S2724" s="2166">
        <v>0</v>
      </c>
      <c r="T2724" s="2167">
        <v>0</v>
      </c>
      <c r="U2724" s="2166"/>
      <c r="V2724" s="2202"/>
      <c r="W2724" s="2166"/>
      <c r="X2724" s="2203"/>
      <c r="Y2724" s="2166">
        <f t="shared" si="701"/>
        <v>0</v>
      </c>
      <c r="Z2724" s="2203">
        <f t="shared" si="701"/>
        <v>0</v>
      </c>
      <c r="AA2724" s="2166">
        <f t="shared" si="702"/>
        <v>21</v>
      </c>
      <c r="AB2724" s="2203">
        <f t="shared" si="702"/>
        <v>17225000</v>
      </c>
      <c r="AC2724" s="2170">
        <f t="shared" si="703"/>
        <v>50</v>
      </c>
      <c r="AD2724" s="2170">
        <f t="shared" si="703"/>
        <v>50.32870708546384</v>
      </c>
      <c r="AE2724" s="2409"/>
    </row>
    <row r="2725" spans="1:31" s="2131" customFormat="1" ht="51">
      <c r="A2725" s="2140" t="s">
        <v>13</v>
      </c>
      <c r="B2725" s="2194"/>
      <c r="C2725" s="2142">
        <v>5</v>
      </c>
      <c r="D2725" s="2142" t="s">
        <v>34</v>
      </c>
      <c r="E2725" s="2142" t="s">
        <v>25</v>
      </c>
      <c r="F2725" s="2142" t="s">
        <v>45</v>
      </c>
      <c r="G2725" s="2142">
        <v>21</v>
      </c>
      <c r="H2725" s="2142"/>
      <c r="I2725" s="2143" t="s">
        <v>3597</v>
      </c>
      <c r="J2725" s="2143" t="s">
        <v>3992</v>
      </c>
      <c r="K2725" s="2144">
        <v>80</v>
      </c>
      <c r="L2725" s="2145">
        <f>L2726</f>
        <v>100000000</v>
      </c>
      <c r="M2725" s="2144">
        <v>53</v>
      </c>
      <c r="N2725" s="2145">
        <f>N2726</f>
        <v>8680000</v>
      </c>
      <c r="O2725" s="2144"/>
      <c r="P2725" s="2145">
        <f>P2726</f>
        <v>0</v>
      </c>
      <c r="Q2725" s="2144"/>
      <c r="R2725" s="2145">
        <f>R2726</f>
        <v>0</v>
      </c>
      <c r="S2725" s="2144"/>
      <c r="T2725" s="2145">
        <f>T2726</f>
        <v>0</v>
      </c>
      <c r="U2725" s="2144"/>
      <c r="V2725" s="2145">
        <f>V2726</f>
        <v>0</v>
      </c>
      <c r="W2725" s="2144"/>
      <c r="X2725" s="2145">
        <f>X2726</f>
        <v>0</v>
      </c>
      <c r="Y2725" s="2144">
        <f t="shared" si="701"/>
        <v>0</v>
      </c>
      <c r="Z2725" s="2145">
        <f t="shared" si="701"/>
        <v>0</v>
      </c>
      <c r="AA2725" s="2144">
        <f t="shared" si="702"/>
        <v>53</v>
      </c>
      <c r="AB2725" s="2145">
        <f t="shared" si="702"/>
        <v>8680000</v>
      </c>
      <c r="AC2725" s="2147">
        <f t="shared" si="703"/>
        <v>66.25</v>
      </c>
      <c r="AD2725" s="2147">
        <f t="shared" si="703"/>
        <v>8.68</v>
      </c>
      <c r="AE2725" s="2204" t="s">
        <v>3973</v>
      </c>
    </row>
    <row r="2726" spans="1:31" s="2131" customFormat="1" ht="38.25">
      <c r="A2726" s="2152"/>
      <c r="B2726" s="2198"/>
      <c r="C2726" s="2164">
        <v>5</v>
      </c>
      <c r="D2726" s="2164" t="s">
        <v>34</v>
      </c>
      <c r="E2726" s="2164" t="s">
        <v>25</v>
      </c>
      <c r="F2726" s="2164" t="s">
        <v>45</v>
      </c>
      <c r="G2726" s="2164">
        <v>21</v>
      </c>
      <c r="H2726" s="2164">
        <v>21</v>
      </c>
      <c r="I2726" s="2198" t="s">
        <v>3993</v>
      </c>
      <c r="J2726" s="2198" t="s">
        <v>3994</v>
      </c>
      <c r="K2726" s="2240">
        <v>5</v>
      </c>
      <c r="L2726" s="2241">
        <v>100000000</v>
      </c>
      <c r="M2726" s="2240">
        <v>1</v>
      </c>
      <c r="N2726" s="2241">
        <v>8680000</v>
      </c>
      <c r="O2726" s="2240"/>
      <c r="P2726" s="2241"/>
      <c r="Q2726" s="2240"/>
      <c r="R2726" s="2240"/>
      <c r="S2726" s="2240"/>
      <c r="T2726" s="2240"/>
      <c r="U2726" s="2240"/>
      <c r="V2726" s="2242"/>
      <c r="W2726" s="2240"/>
      <c r="X2726" s="2203"/>
      <c r="Y2726" s="2240">
        <f t="shared" si="701"/>
        <v>0</v>
      </c>
      <c r="Z2726" s="2203">
        <f t="shared" si="701"/>
        <v>0</v>
      </c>
      <c r="AA2726" s="2240">
        <f t="shared" si="702"/>
        <v>1</v>
      </c>
      <c r="AB2726" s="2203">
        <f t="shared" si="702"/>
        <v>8680000</v>
      </c>
      <c r="AC2726" s="2243">
        <f t="shared" si="703"/>
        <v>20</v>
      </c>
      <c r="AD2726" s="2240">
        <f t="shared" si="703"/>
        <v>8.68</v>
      </c>
      <c r="AE2726" s="2216"/>
    </row>
    <row r="2727" spans="1:31" s="2131" customFormat="1" ht="51">
      <c r="A2727" s="2140" t="s">
        <v>3577</v>
      </c>
      <c r="B2727" s="2194"/>
      <c r="C2727" s="2142">
        <v>5</v>
      </c>
      <c r="D2727" s="2142" t="s">
        <v>34</v>
      </c>
      <c r="E2727" s="2142" t="s">
        <v>25</v>
      </c>
      <c r="F2727" s="2142" t="s">
        <v>45</v>
      </c>
      <c r="G2727" s="2142" t="s">
        <v>47</v>
      </c>
      <c r="H2727" s="2140"/>
      <c r="I2727" s="2143" t="s">
        <v>3661</v>
      </c>
      <c r="J2727" s="2143" t="s">
        <v>3662</v>
      </c>
      <c r="K2727" s="2144">
        <v>100</v>
      </c>
      <c r="L2727" s="2145">
        <f>L2728</f>
        <v>129353840</v>
      </c>
      <c r="M2727" s="2144">
        <v>50</v>
      </c>
      <c r="N2727" s="2145">
        <f>N2728</f>
        <v>56691613</v>
      </c>
      <c r="O2727" s="2144"/>
      <c r="P2727" s="2145">
        <f>P2728</f>
        <v>0</v>
      </c>
      <c r="Q2727" s="2144"/>
      <c r="R2727" s="2145">
        <f>R2728</f>
        <v>0</v>
      </c>
      <c r="S2727" s="2144"/>
      <c r="T2727" s="2145">
        <f>T2728</f>
        <v>0</v>
      </c>
      <c r="U2727" s="2195"/>
      <c r="V2727" s="2146">
        <f>V2728</f>
        <v>0</v>
      </c>
      <c r="W2727" s="2144"/>
      <c r="X2727" s="2146">
        <f>X2728</f>
        <v>0</v>
      </c>
      <c r="Y2727" s="2195">
        <f t="shared" si="701"/>
        <v>0</v>
      </c>
      <c r="Z2727" s="2145">
        <f t="shared" si="701"/>
        <v>0</v>
      </c>
      <c r="AA2727" s="2147">
        <f t="shared" si="702"/>
        <v>50</v>
      </c>
      <c r="AB2727" s="2145">
        <f t="shared" si="702"/>
        <v>56691613</v>
      </c>
      <c r="AC2727" s="2147">
        <f t="shared" si="703"/>
        <v>50</v>
      </c>
      <c r="AD2727" s="2147">
        <f t="shared" si="703"/>
        <v>43.826772363309821</v>
      </c>
      <c r="AE2727" s="2204" t="s">
        <v>3973</v>
      </c>
    </row>
    <row r="2728" spans="1:31" s="2131" customFormat="1" ht="25.5">
      <c r="A2728" s="2379"/>
      <c r="B2728" s="2162"/>
      <c r="C2728" s="2164">
        <v>5</v>
      </c>
      <c r="D2728" s="2164" t="s">
        <v>34</v>
      </c>
      <c r="E2728" s="2164" t="s">
        <v>25</v>
      </c>
      <c r="F2728" s="2164" t="s">
        <v>45</v>
      </c>
      <c r="G2728" s="2164" t="s">
        <v>47</v>
      </c>
      <c r="H2728" s="2151" t="s">
        <v>43</v>
      </c>
      <c r="I2728" s="2162" t="s">
        <v>231</v>
      </c>
      <c r="J2728" s="2162" t="s">
        <v>3995</v>
      </c>
      <c r="K2728" s="2166">
        <v>60</v>
      </c>
      <c r="L2728" s="2167">
        <v>129353840</v>
      </c>
      <c r="M2728" s="2166">
        <v>30</v>
      </c>
      <c r="N2728" s="2167">
        <v>56691613</v>
      </c>
      <c r="O2728" s="2166">
        <v>1</v>
      </c>
      <c r="P2728" s="2167"/>
      <c r="Q2728" s="2166"/>
      <c r="R2728" s="2167"/>
      <c r="S2728" s="2166"/>
      <c r="T2728" s="2167"/>
      <c r="U2728" s="2166"/>
      <c r="V2728" s="2202"/>
      <c r="W2728" s="2166"/>
      <c r="X2728" s="2203"/>
      <c r="Y2728" s="2166">
        <f t="shared" si="701"/>
        <v>0</v>
      </c>
      <c r="Z2728" s="2203">
        <f t="shared" si="701"/>
        <v>0</v>
      </c>
      <c r="AA2728" s="2166">
        <f t="shared" si="702"/>
        <v>30</v>
      </c>
      <c r="AB2728" s="2203">
        <f t="shared" si="702"/>
        <v>56691613</v>
      </c>
      <c r="AC2728" s="2170">
        <f t="shared" si="703"/>
        <v>50</v>
      </c>
      <c r="AD2728" s="2170">
        <f t="shared" si="703"/>
        <v>43.826772363309821</v>
      </c>
      <c r="AE2728" s="2409"/>
    </row>
    <row r="2729" spans="1:31" s="2131" customFormat="1" ht="63.75">
      <c r="A2729" s="2140" t="s">
        <v>19</v>
      </c>
      <c r="B2729" s="2194"/>
      <c r="C2729" s="2142">
        <v>5</v>
      </c>
      <c r="D2729" s="2142" t="s">
        <v>34</v>
      </c>
      <c r="E2729" s="2142" t="s">
        <v>25</v>
      </c>
      <c r="F2729" s="2142" t="s">
        <v>56</v>
      </c>
      <c r="G2729" s="2142">
        <v>21</v>
      </c>
      <c r="H2729" s="2142"/>
      <c r="I2729" s="2143" t="s">
        <v>3996</v>
      </c>
      <c r="J2729" s="2143" t="s">
        <v>3997</v>
      </c>
      <c r="K2729" s="2144">
        <v>80</v>
      </c>
      <c r="L2729" s="2145">
        <f>SUM(L2730:L2731)</f>
        <v>150000000</v>
      </c>
      <c r="M2729" s="2144">
        <v>75</v>
      </c>
      <c r="N2729" s="2145">
        <f>SUM(N2730:N2731)</f>
        <v>68747500</v>
      </c>
      <c r="O2729" s="2144"/>
      <c r="P2729" s="2145">
        <f>SUM(P2730:P2731)</f>
        <v>0</v>
      </c>
      <c r="Q2729" s="2144"/>
      <c r="R2729" s="2145">
        <f>SUM(R2730:R2731)</f>
        <v>0</v>
      </c>
      <c r="S2729" s="2144"/>
      <c r="T2729" s="2145">
        <f>SUM(T2730:T2731)</f>
        <v>0</v>
      </c>
      <c r="U2729" s="2144"/>
      <c r="V2729" s="2145">
        <f>SUM(V2730:V2731)</f>
        <v>0</v>
      </c>
      <c r="W2729" s="2144"/>
      <c r="X2729" s="2145">
        <f>SUM(X2730:X2731)</f>
        <v>0</v>
      </c>
      <c r="Y2729" s="2144">
        <f t="shared" si="701"/>
        <v>0</v>
      </c>
      <c r="Z2729" s="2145">
        <f t="shared" si="701"/>
        <v>0</v>
      </c>
      <c r="AA2729" s="2144">
        <f t="shared" si="702"/>
        <v>75</v>
      </c>
      <c r="AB2729" s="2145">
        <f t="shared" si="702"/>
        <v>68747500</v>
      </c>
      <c r="AC2729" s="2147">
        <f t="shared" si="703"/>
        <v>93.75</v>
      </c>
      <c r="AD2729" s="2147">
        <f t="shared" si="703"/>
        <v>45.831666666666663</v>
      </c>
      <c r="AE2729" s="2204" t="s">
        <v>4119</v>
      </c>
    </row>
    <row r="2730" spans="1:31" s="2131" customFormat="1" ht="38.25">
      <c r="A2730" s="2152"/>
      <c r="B2730" s="2198"/>
      <c r="C2730" s="2164">
        <v>5</v>
      </c>
      <c r="D2730" s="2164" t="s">
        <v>34</v>
      </c>
      <c r="E2730" s="2164" t="s">
        <v>25</v>
      </c>
      <c r="F2730" s="2164" t="s">
        <v>56</v>
      </c>
      <c r="G2730" s="2164">
        <v>21</v>
      </c>
      <c r="H2730" s="2164" t="s">
        <v>25</v>
      </c>
      <c r="I2730" s="2198" t="s">
        <v>3998</v>
      </c>
      <c r="J2730" s="2198" t="s">
        <v>3999</v>
      </c>
      <c r="K2730" s="2240">
        <v>5</v>
      </c>
      <c r="L2730" s="2241">
        <f>N2730</f>
        <v>50000000</v>
      </c>
      <c r="M2730" s="2240">
        <v>1</v>
      </c>
      <c r="N2730" s="2241">
        <v>50000000</v>
      </c>
      <c r="O2730" s="2240"/>
      <c r="P2730" s="2241"/>
      <c r="Q2730" s="2240"/>
      <c r="R2730" s="2240"/>
      <c r="S2730" s="2240"/>
      <c r="T2730" s="2240"/>
      <c r="U2730" s="2240"/>
      <c r="V2730" s="2242"/>
      <c r="W2730" s="2240"/>
      <c r="X2730" s="2203"/>
      <c r="Y2730" s="2240">
        <f t="shared" si="701"/>
        <v>0</v>
      </c>
      <c r="Z2730" s="2203">
        <f t="shared" si="701"/>
        <v>0</v>
      </c>
      <c r="AA2730" s="2240">
        <f t="shared" si="702"/>
        <v>1</v>
      </c>
      <c r="AB2730" s="2203">
        <f t="shared" si="702"/>
        <v>50000000</v>
      </c>
      <c r="AC2730" s="2243">
        <f t="shared" si="703"/>
        <v>20</v>
      </c>
      <c r="AD2730" s="2243">
        <f t="shared" si="703"/>
        <v>100</v>
      </c>
      <c r="AE2730" s="2216"/>
    </row>
    <row r="2731" spans="1:31" s="2131" customFormat="1" ht="25.5">
      <c r="A2731" s="2152"/>
      <c r="B2731" s="2198"/>
      <c r="C2731" s="2164">
        <v>5</v>
      </c>
      <c r="D2731" s="2164" t="s">
        <v>34</v>
      </c>
      <c r="E2731" s="2164" t="s">
        <v>25</v>
      </c>
      <c r="F2731" s="2164" t="s">
        <v>56</v>
      </c>
      <c r="G2731" s="2164">
        <v>21</v>
      </c>
      <c r="H2731" s="2164">
        <v>23</v>
      </c>
      <c r="I2731" s="2198" t="s">
        <v>4000</v>
      </c>
      <c r="J2731" s="2198" t="s">
        <v>4001</v>
      </c>
      <c r="K2731" s="2240">
        <v>60</v>
      </c>
      <c r="L2731" s="2241">
        <v>100000000</v>
      </c>
      <c r="M2731" s="2240">
        <v>30</v>
      </c>
      <c r="N2731" s="2241">
        <v>18747500</v>
      </c>
      <c r="O2731" s="2240"/>
      <c r="P2731" s="2241"/>
      <c r="Q2731" s="2240"/>
      <c r="R2731" s="2241"/>
      <c r="S2731" s="2240"/>
      <c r="T2731" s="2241"/>
      <c r="U2731" s="2240"/>
      <c r="V2731" s="2242"/>
      <c r="W2731" s="2240"/>
      <c r="X2731" s="2203"/>
      <c r="Y2731" s="2240">
        <f t="shared" si="701"/>
        <v>0</v>
      </c>
      <c r="Z2731" s="2203">
        <f t="shared" si="701"/>
        <v>0</v>
      </c>
      <c r="AA2731" s="2240">
        <f t="shared" si="702"/>
        <v>30</v>
      </c>
      <c r="AB2731" s="2203">
        <f t="shared" si="702"/>
        <v>18747500</v>
      </c>
      <c r="AC2731" s="2243">
        <f t="shared" si="703"/>
        <v>50</v>
      </c>
      <c r="AD2731" s="2240">
        <f t="shared" si="703"/>
        <v>18.747499999999999</v>
      </c>
      <c r="AE2731" s="2216"/>
    </row>
    <row r="2732" spans="1:31" s="2131" customFormat="1" ht="63.75">
      <c r="A2732" s="2140" t="s">
        <v>3589</v>
      </c>
      <c r="B2732" s="2194"/>
      <c r="C2732" s="2142">
        <v>5</v>
      </c>
      <c r="D2732" s="2142" t="s">
        <v>34</v>
      </c>
      <c r="E2732" s="2142" t="s">
        <v>25</v>
      </c>
      <c r="F2732" s="2142" t="s">
        <v>45</v>
      </c>
      <c r="G2732" s="2142" t="s">
        <v>3667</v>
      </c>
      <c r="H2732" s="2140"/>
      <c r="I2732" s="2143" t="s">
        <v>3668</v>
      </c>
      <c r="J2732" s="2143" t="s">
        <v>3669</v>
      </c>
      <c r="K2732" s="2144">
        <v>100</v>
      </c>
      <c r="L2732" s="2145">
        <f>SUM(L2733:L2739)</f>
        <v>691223000</v>
      </c>
      <c r="M2732" s="2144">
        <v>52</v>
      </c>
      <c r="N2732" s="2145">
        <f>SUM(N2733:N2739)</f>
        <v>262892671.5</v>
      </c>
      <c r="O2732" s="2144">
        <v>20</v>
      </c>
      <c r="P2732" s="2360">
        <f>SUM(P2733:P2739)</f>
        <v>89682500</v>
      </c>
      <c r="Q2732" s="2144">
        <v>0</v>
      </c>
      <c r="R2732" s="2145">
        <f>SUM(R2733:R2739)</f>
        <v>16165500</v>
      </c>
      <c r="S2732" s="2144">
        <v>0</v>
      </c>
      <c r="T2732" s="2145">
        <f>SUM(T2733:T2739)</f>
        <v>5495500</v>
      </c>
      <c r="U2732" s="2195"/>
      <c r="V2732" s="2145">
        <f>SUM(V2733:V2739)</f>
        <v>0</v>
      </c>
      <c r="W2732" s="2144"/>
      <c r="X2732" s="2145">
        <f>SUM(X2733:X2739)</f>
        <v>0</v>
      </c>
      <c r="Y2732" s="2195">
        <f t="shared" si="701"/>
        <v>0</v>
      </c>
      <c r="Z2732" s="2145">
        <f t="shared" si="701"/>
        <v>21661000</v>
      </c>
      <c r="AA2732" s="2147">
        <f t="shared" si="702"/>
        <v>52</v>
      </c>
      <c r="AB2732" s="2145">
        <f t="shared" si="702"/>
        <v>284553671.5</v>
      </c>
      <c r="AC2732" s="2147">
        <f t="shared" si="703"/>
        <v>52</v>
      </c>
      <c r="AD2732" s="2147">
        <f t="shared" si="703"/>
        <v>41.166696059014242</v>
      </c>
      <c r="AE2732" s="2204" t="s">
        <v>4119</v>
      </c>
    </row>
    <row r="2733" spans="1:31" s="2131" customFormat="1" ht="38.25">
      <c r="A2733" s="2267"/>
      <c r="B2733" s="2253"/>
      <c r="C2733" s="2164">
        <v>5</v>
      </c>
      <c r="D2733" s="2164" t="s">
        <v>34</v>
      </c>
      <c r="E2733" s="2164" t="s">
        <v>25</v>
      </c>
      <c r="F2733" s="2164" t="s">
        <v>45</v>
      </c>
      <c r="G2733" s="2164" t="s">
        <v>3667</v>
      </c>
      <c r="H2733" s="2254" t="s">
        <v>25</v>
      </c>
      <c r="I2733" s="2171" t="s">
        <v>3551</v>
      </c>
      <c r="J2733" s="2171" t="s">
        <v>3783</v>
      </c>
      <c r="K2733" s="2255">
        <v>60</v>
      </c>
      <c r="L2733" s="2203">
        <v>188580500</v>
      </c>
      <c r="M2733" s="2256">
        <v>30</v>
      </c>
      <c r="N2733" s="2257">
        <v>94923171.5</v>
      </c>
      <c r="O2733" s="2255">
        <v>10</v>
      </c>
      <c r="P2733" s="2361">
        <v>54582500</v>
      </c>
      <c r="Q2733" s="2256">
        <v>1</v>
      </c>
      <c r="R2733" s="2203">
        <v>4195500</v>
      </c>
      <c r="S2733" s="2256">
        <v>1</v>
      </c>
      <c r="T2733" s="2203">
        <v>4195500</v>
      </c>
      <c r="U2733" s="2255"/>
      <c r="V2733" s="2258"/>
      <c r="W2733" s="2255"/>
      <c r="X2733" s="2203"/>
      <c r="Y2733" s="2240">
        <f t="shared" si="701"/>
        <v>2</v>
      </c>
      <c r="Z2733" s="2203">
        <f t="shared" si="701"/>
        <v>8391000</v>
      </c>
      <c r="AA2733" s="2240">
        <f t="shared" si="702"/>
        <v>32</v>
      </c>
      <c r="AB2733" s="2203">
        <f t="shared" si="702"/>
        <v>103314171.5</v>
      </c>
      <c r="AC2733" s="2243">
        <f t="shared" si="703"/>
        <v>53.333333333333336</v>
      </c>
      <c r="AD2733" s="2243">
        <f t="shared" si="703"/>
        <v>54.78518272037671</v>
      </c>
      <c r="AE2733" s="2605"/>
    </row>
    <row r="2734" spans="1:31" s="2131" customFormat="1" ht="38.25">
      <c r="A2734" s="2267"/>
      <c r="B2734" s="2253"/>
      <c r="C2734" s="2164">
        <v>5</v>
      </c>
      <c r="D2734" s="2164" t="s">
        <v>34</v>
      </c>
      <c r="E2734" s="2164" t="s">
        <v>25</v>
      </c>
      <c r="F2734" s="2164" t="s">
        <v>45</v>
      </c>
      <c r="G2734" s="2164" t="s">
        <v>3667</v>
      </c>
      <c r="H2734" s="2254" t="s">
        <v>28</v>
      </c>
      <c r="I2734" s="2171" t="s">
        <v>3671</v>
      </c>
      <c r="J2734" s="2171" t="s">
        <v>3672</v>
      </c>
      <c r="K2734" s="2255">
        <v>6</v>
      </c>
      <c r="L2734" s="2268">
        <v>137849500</v>
      </c>
      <c r="M2734" s="2256">
        <v>3</v>
      </c>
      <c r="N2734" s="2257">
        <v>44413000</v>
      </c>
      <c r="O2734" s="2255">
        <v>1</v>
      </c>
      <c r="P2734" s="2258">
        <v>8615000</v>
      </c>
      <c r="Q2734" s="2257">
        <v>0</v>
      </c>
      <c r="R2734" s="2203"/>
      <c r="S2734" s="2257">
        <v>0</v>
      </c>
      <c r="T2734" s="2203"/>
      <c r="U2734" s="2255"/>
      <c r="V2734" s="2255"/>
      <c r="W2734" s="2255"/>
      <c r="X2734" s="2203"/>
      <c r="Y2734" s="2240">
        <f t="shared" si="701"/>
        <v>0</v>
      </c>
      <c r="Z2734" s="2203">
        <f t="shared" si="701"/>
        <v>0</v>
      </c>
      <c r="AA2734" s="2240">
        <f t="shared" si="702"/>
        <v>3</v>
      </c>
      <c r="AB2734" s="2203">
        <f t="shared" si="702"/>
        <v>44413000</v>
      </c>
      <c r="AC2734" s="2243">
        <f t="shared" si="703"/>
        <v>50</v>
      </c>
      <c r="AD2734" s="2243">
        <f t="shared" si="703"/>
        <v>32.21847014316338</v>
      </c>
      <c r="AE2734" s="2605"/>
    </row>
    <row r="2735" spans="1:31" s="2131" customFormat="1" ht="76.5" customHeight="1">
      <c r="A2735" s="2267"/>
      <c r="B2735" s="2253"/>
      <c r="C2735" s="2164">
        <v>5</v>
      </c>
      <c r="D2735" s="2164" t="s">
        <v>34</v>
      </c>
      <c r="E2735" s="2164" t="s">
        <v>25</v>
      </c>
      <c r="F2735" s="2164" t="s">
        <v>45</v>
      </c>
      <c r="G2735" s="2164" t="s">
        <v>3667</v>
      </c>
      <c r="H2735" s="2254" t="s">
        <v>39</v>
      </c>
      <c r="I2735" s="2171" t="s">
        <v>3673</v>
      </c>
      <c r="J2735" s="2171" t="s">
        <v>4002</v>
      </c>
      <c r="K2735" s="2255">
        <v>6</v>
      </c>
      <c r="L2735" s="2203">
        <v>171393000</v>
      </c>
      <c r="M2735" s="2256">
        <v>3</v>
      </c>
      <c r="N2735" s="2257">
        <v>59015300</v>
      </c>
      <c r="O2735" s="2255">
        <v>1</v>
      </c>
      <c r="P2735" s="2258">
        <v>11500000</v>
      </c>
      <c r="Q2735" s="2256">
        <v>1</v>
      </c>
      <c r="R2735" s="2203">
        <v>10670000</v>
      </c>
      <c r="S2735" s="2256">
        <v>0</v>
      </c>
      <c r="T2735" s="2203">
        <v>0</v>
      </c>
      <c r="U2735" s="2255"/>
      <c r="V2735" s="2258"/>
      <c r="W2735" s="2255"/>
      <c r="X2735" s="2203"/>
      <c r="Y2735" s="2240">
        <f t="shared" si="701"/>
        <v>1</v>
      </c>
      <c r="Z2735" s="2203">
        <f t="shared" si="701"/>
        <v>10670000</v>
      </c>
      <c r="AA2735" s="2240">
        <f t="shared" si="702"/>
        <v>4</v>
      </c>
      <c r="AB2735" s="2203">
        <f t="shared" si="702"/>
        <v>69685300</v>
      </c>
      <c r="AC2735" s="2243">
        <f t="shared" si="703"/>
        <v>66.666666666666657</v>
      </c>
      <c r="AD2735" s="2243">
        <f t="shared" si="703"/>
        <v>40.658194908776906</v>
      </c>
      <c r="AE2735" s="2605"/>
    </row>
    <row r="2736" spans="1:31" s="2131" customFormat="1" ht="31.5" customHeight="1">
      <c r="A2736" s="2267"/>
      <c r="B2736" s="2253"/>
      <c r="C2736" s="2164">
        <v>5</v>
      </c>
      <c r="D2736" s="2164" t="s">
        <v>34</v>
      </c>
      <c r="E2736" s="2164" t="s">
        <v>25</v>
      </c>
      <c r="F2736" s="2164" t="s">
        <v>45</v>
      </c>
      <c r="G2736" s="2164" t="s">
        <v>3667</v>
      </c>
      <c r="H2736" s="2254" t="s">
        <v>57</v>
      </c>
      <c r="I2736" s="2171" t="s">
        <v>3610</v>
      </c>
      <c r="J2736" s="2171" t="s">
        <v>4003</v>
      </c>
      <c r="K2736" s="2255">
        <v>72</v>
      </c>
      <c r="L2736" s="2203">
        <v>76200000</v>
      </c>
      <c r="M2736" s="2256">
        <v>36</v>
      </c>
      <c r="N2736" s="2257">
        <v>36200000</v>
      </c>
      <c r="O2736" s="2255">
        <v>12</v>
      </c>
      <c r="P2736" s="2258">
        <v>10935000</v>
      </c>
      <c r="Q2736" s="2256">
        <v>3</v>
      </c>
      <c r="R2736" s="2203">
        <v>1000000</v>
      </c>
      <c r="S2736" s="2256">
        <v>3</v>
      </c>
      <c r="T2736" s="2203">
        <v>1000000</v>
      </c>
      <c r="U2736" s="2255"/>
      <c r="V2736" s="2258"/>
      <c r="W2736" s="2255"/>
      <c r="X2736" s="2203"/>
      <c r="Y2736" s="2240">
        <f>Q2736+S2736+U2736+W2736</f>
        <v>6</v>
      </c>
      <c r="Z2736" s="2203">
        <f>R2736+T2736+V2736+X2736</f>
        <v>2000000</v>
      </c>
      <c r="AA2736" s="2240">
        <f>M2736+Y2736</f>
        <v>42</v>
      </c>
      <c r="AB2736" s="2203">
        <f>N2736+Z2736</f>
        <v>38200000</v>
      </c>
      <c r="AC2736" s="2243">
        <f>(AA2736/K2736)*100</f>
        <v>58.333333333333336</v>
      </c>
      <c r="AD2736" s="2243">
        <f>(AB2736/L2736)*100</f>
        <v>50.131233595800531</v>
      </c>
      <c r="AE2736" s="2605"/>
    </row>
    <row r="2737" spans="1:71" s="2131" customFormat="1" ht="51">
      <c r="A2737" s="2267"/>
      <c r="B2737" s="2253"/>
      <c r="C2737" s="2164">
        <v>5</v>
      </c>
      <c r="D2737" s="2164" t="s">
        <v>34</v>
      </c>
      <c r="E2737" s="2164" t="s">
        <v>25</v>
      </c>
      <c r="F2737" s="2164" t="s">
        <v>45</v>
      </c>
      <c r="G2737" s="2164" t="s">
        <v>3667</v>
      </c>
      <c r="H2737" s="2254" t="s">
        <v>38</v>
      </c>
      <c r="I2737" s="2171" t="s">
        <v>3676</v>
      </c>
      <c r="J2737" s="2171" t="s">
        <v>3677</v>
      </c>
      <c r="K2737" s="2255">
        <v>72</v>
      </c>
      <c r="L2737" s="2203">
        <v>36000000</v>
      </c>
      <c r="M2737" s="2256">
        <v>36</v>
      </c>
      <c r="N2737" s="2257">
        <v>15000000</v>
      </c>
      <c r="O2737" s="2255">
        <v>12</v>
      </c>
      <c r="P2737" s="2258">
        <v>4050000</v>
      </c>
      <c r="Q2737" s="2256">
        <v>3</v>
      </c>
      <c r="R2737" s="2203">
        <v>300000</v>
      </c>
      <c r="S2737" s="2256">
        <v>3</v>
      </c>
      <c r="T2737" s="2203">
        <v>300000</v>
      </c>
      <c r="U2737" s="2255"/>
      <c r="V2737" s="2258"/>
      <c r="W2737" s="2255"/>
      <c r="X2737" s="2203"/>
      <c r="Y2737" s="2240">
        <f t="shared" si="701"/>
        <v>6</v>
      </c>
      <c r="Z2737" s="2203">
        <f t="shared" si="701"/>
        <v>600000</v>
      </c>
      <c r="AA2737" s="2240">
        <f t="shared" si="702"/>
        <v>42</v>
      </c>
      <c r="AB2737" s="2203">
        <f t="shared" si="702"/>
        <v>15600000</v>
      </c>
      <c r="AC2737" s="2243">
        <f t="shared" si="703"/>
        <v>58.333333333333336</v>
      </c>
      <c r="AD2737" s="2243">
        <f t="shared" si="703"/>
        <v>43.333333333333336</v>
      </c>
      <c r="AE2737" s="2605"/>
    </row>
    <row r="2738" spans="1:71" s="2131" customFormat="1" ht="37.5" customHeight="1">
      <c r="A2738" s="2267"/>
      <c r="B2738" s="2253"/>
      <c r="C2738" s="2164">
        <v>5</v>
      </c>
      <c r="D2738" s="2164" t="s">
        <v>34</v>
      </c>
      <c r="E2738" s="2164" t="s">
        <v>25</v>
      </c>
      <c r="F2738" s="2164" t="s">
        <v>45</v>
      </c>
      <c r="G2738" s="2164" t="s">
        <v>3667</v>
      </c>
      <c r="H2738" s="2254" t="s">
        <v>61</v>
      </c>
      <c r="I2738" s="2171" t="s">
        <v>4004</v>
      </c>
      <c r="J2738" s="2171" t="s">
        <v>4005</v>
      </c>
      <c r="K2738" s="2255">
        <v>150</v>
      </c>
      <c r="L2738" s="2203">
        <v>56200000</v>
      </c>
      <c r="M2738" s="2256">
        <v>20</v>
      </c>
      <c r="N2738" s="2257">
        <v>9643200</v>
      </c>
      <c r="O2738" s="2255"/>
      <c r="P2738" s="2258"/>
      <c r="Q2738" s="2256"/>
      <c r="R2738" s="2203"/>
      <c r="S2738" s="2256"/>
      <c r="T2738" s="2203"/>
      <c r="U2738" s="2255"/>
      <c r="V2738" s="2258"/>
      <c r="W2738" s="2255"/>
      <c r="X2738" s="2203"/>
      <c r="Y2738" s="2240">
        <f t="shared" si="701"/>
        <v>0</v>
      </c>
      <c r="Z2738" s="2203">
        <f t="shared" si="701"/>
        <v>0</v>
      </c>
      <c r="AA2738" s="2240">
        <f t="shared" si="702"/>
        <v>20</v>
      </c>
      <c r="AB2738" s="2203">
        <f t="shared" si="702"/>
        <v>9643200</v>
      </c>
      <c r="AC2738" s="2243">
        <f t="shared" si="703"/>
        <v>13.333333333333334</v>
      </c>
      <c r="AD2738" s="2243">
        <f t="shared" si="703"/>
        <v>17.158718861209966</v>
      </c>
      <c r="AE2738" s="2605"/>
      <c r="AF2738" s="2161"/>
      <c r="AG2738" s="2161"/>
      <c r="AH2738" s="2161"/>
      <c r="AI2738" s="2161"/>
      <c r="AJ2738" s="2161"/>
      <c r="AK2738" s="2161"/>
      <c r="AL2738" s="2161"/>
      <c r="AM2738" s="2161"/>
      <c r="AN2738" s="2161"/>
      <c r="AO2738" s="2161"/>
      <c r="AP2738" s="2161"/>
      <c r="AQ2738" s="2161"/>
      <c r="AR2738" s="2161"/>
      <c r="AS2738" s="2161"/>
      <c r="AT2738" s="2161"/>
      <c r="AU2738" s="2161"/>
      <c r="AV2738" s="2161"/>
      <c r="AW2738" s="2161"/>
      <c r="AX2738" s="2161"/>
      <c r="AY2738" s="2161"/>
      <c r="AZ2738" s="2161"/>
      <c r="BA2738" s="2161"/>
      <c r="BB2738" s="2161"/>
      <c r="BC2738" s="2161"/>
      <c r="BD2738" s="2161"/>
      <c r="BE2738" s="2161"/>
      <c r="BF2738" s="2161"/>
      <c r="BG2738" s="2161"/>
      <c r="BH2738" s="2161"/>
      <c r="BI2738" s="2161"/>
      <c r="BJ2738" s="2161"/>
      <c r="BK2738" s="2161"/>
      <c r="BL2738" s="2161"/>
      <c r="BM2738" s="2161"/>
      <c r="BN2738" s="2161"/>
      <c r="BO2738" s="2161"/>
      <c r="BP2738" s="2161"/>
      <c r="BQ2738" s="2161"/>
      <c r="BR2738" s="2161"/>
      <c r="BS2738" s="2161"/>
    </row>
    <row r="2739" spans="1:71" s="2131" customFormat="1" ht="38.25">
      <c r="A2739" s="2267"/>
      <c r="B2739" s="2253"/>
      <c r="C2739" s="2164">
        <v>5</v>
      </c>
      <c r="D2739" s="2164" t="s">
        <v>34</v>
      </c>
      <c r="E2739" s="2164" t="s">
        <v>25</v>
      </c>
      <c r="F2739" s="2164" t="s">
        <v>45</v>
      </c>
      <c r="G2739" s="2164" t="s">
        <v>3667</v>
      </c>
      <c r="H2739" s="2254">
        <v>33</v>
      </c>
      <c r="I2739" s="2162" t="s">
        <v>4006</v>
      </c>
      <c r="J2739" s="2171" t="s">
        <v>4007</v>
      </c>
      <c r="K2739" s="2255">
        <v>15</v>
      </c>
      <c r="L2739" s="2203">
        <v>25000000</v>
      </c>
      <c r="M2739" s="2256">
        <v>6</v>
      </c>
      <c r="N2739" s="2257">
        <v>3698000</v>
      </c>
      <c r="O2739" s="2255"/>
      <c r="P2739" s="2258"/>
      <c r="Q2739" s="2256"/>
      <c r="R2739" s="2203"/>
      <c r="S2739" s="2256"/>
      <c r="T2739" s="2203"/>
      <c r="U2739" s="2255"/>
      <c r="V2739" s="2258"/>
      <c r="W2739" s="2255"/>
      <c r="X2739" s="2203"/>
      <c r="Y2739" s="2240">
        <f t="shared" si="701"/>
        <v>0</v>
      </c>
      <c r="Z2739" s="2203">
        <f t="shared" si="701"/>
        <v>0</v>
      </c>
      <c r="AA2739" s="2240">
        <f t="shared" si="702"/>
        <v>6</v>
      </c>
      <c r="AB2739" s="2203">
        <f t="shared" si="702"/>
        <v>3698000</v>
      </c>
      <c r="AC2739" s="2243">
        <f t="shared" si="703"/>
        <v>40</v>
      </c>
      <c r="AD2739" s="2243">
        <f t="shared" si="703"/>
        <v>14.792</v>
      </c>
      <c r="AE2739" s="2605"/>
      <c r="AF2739" s="2161"/>
      <c r="AG2739" s="2161"/>
      <c r="AH2739" s="2161"/>
      <c r="AI2739" s="2161"/>
      <c r="AJ2739" s="2161"/>
      <c r="AK2739" s="2161"/>
      <c r="AL2739" s="2161"/>
      <c r="AM2739" s="2161"/>
      <c r="AN2739" s="2161"/>
      <c r="AO2739" s="2161"/>
      <c r="AP2739" s="2161"/>
      <c r="AQ2739" s="2161"/>
      <c r="AR2739" s="2161"/>
      <c r="AS2739" s="2161"/>
      <c r="AT2739" s="2161"/>
      <c r="AU2739" s="2161"/>
      <c r="AV2739" s="2161"/>
      <c r="AW2739" s="2161"/>
      <c r="AX2739" s="2161"/>
      <c r="AY2739" s="2161"/>
      <c r="AZ2739" s="2161"/>
      <c r="BA2739" s="2161"/>
      <c r="BB2739" s="2161"/>
      <c r="BC2739" s="2161"/>
      <c r="BD2739" s="2161"/>
      <c r="BE2739" s="2161"/>
      <c r="BF2739" s="2161"/>
      <c r="BG2739" s="2161"/>
      <c r="BH2739" s="2161"/>
      <c r="BI2739" s="2161"/>
      <c r="BJ2739" s="2161"/>
      <c r="BK2739" s="2161"/>
      <c r="BL2739" s="2161"/>
      <c r="BM2739" s="2161"/>
      <c r="BN2739" s="2161"/>
      <c r="BO2739" s="2161"/>
      <c r="BP2739" s="2161"/>
      <c r="BQ2739" s="2161"/>
      <c r="BR2739" s="2161"/>
      <c r="BS2739" s="2161"/>
    </row>
    <row r="2740" spans="1:71" s="2131" customFormat="1" ht="20.100000000000001" customHeight="1">
      <c r="A2740" s="2705" t="s">
        <v>63</v>
      </c>
      <c r="B2740" s="2705"/>
      <c r="C2740" s="2706"/>
      <c r="D2740" s="2706"/>
      <c r="E2740" s="2706"/>
      <c r="F2740" s="2706"/>
      <c r="G2740" s="2706"/>
      <c r="H2740" s="2706"/>
      <c r="I2740" s="2706"/>
      <c r="J2740" s="2706"/>
      <c r="K2740" s="2706"/>
      <c r="L2740" s="2706"/>
      <c r="M2740" s="2706"/>
      <c r="N2740" s="2706"/>
      <c r="O2740" s="2706"/>
      <c r="P2740" s="2706"/>
      <c r="Q2740" s="2706"/>
      <c r="R2740" s="2706"/>
      <c r="S2740" s="2706"/>
      <c r="T2740" s="2706"/>
      <c r="U2740" s="2706"/>
      <c r="V2740" s="2706"/>
      <c r="W2740" s="2706"/>
      <c r="X2740" s="2706"/>
      <c r="Y2740" s="2706"/>
      <c r="Z2740" s="2706"/>
      <c r="AA2740" s="2706"/>
      <c r="AB2740" s="2706"/>
      <c r="AC2740" s="2249">
        <f>(AC2692+AC2704+AC2713+AC2715+AC2717+AC2719+AC2721+AC2723+AC2725+AC2727+AC2729+AC2732)/12</f>
        <v>60.340277777777779</v>
      </c>
      <c r="AD2740" s="2249">
        <f>(AD2692+AD2704+AD2713+AD2715+AD2717+AD2719+AD2721+AD2723+AD2725+AD2727+AD2729+AD2732)/12</f>
        <v>40.661465583742761</v>
      </c>
      <c r="AE2740" s="2152"/>
    </row>
    <row r="2741" spans="1:71" s="2131" customFormat="1" ht="20.100000000000001" customHeight="1">
      <c r="A2741" s="2705" t="s">
        <v>64</v>
      </c>
      <c r="B2741" s="2705"/>
      <c r="C2741" s="2706"/>
      <c r="D2741" s="2706"/>
      <c r="E2741" s="2706"/>
      <c r="F2741" s="2706"/>
      <c r="G2741" s="2706"/>
      <c r="H2741" s="2706"/>
      <c r="I2741" s="2706"/>
      <c r="J2741" s="2706"/>
      <c r="K2741" s="2706"/>
      <c r="L2741" s="2706"/>
      <c r="M2741" s="2706"/>
      <c r="N2741" s="2706"/>
      <c r="O2741" s="2706"/>
      <c r="P2741" s="2706"/>
      <c r="Q2741" s="2706"/>
      <c r="R2741" s="2706"/>
      <c r="S2741" s="2706"/>
      <c r="T2741" s="2706"/>
      <c r="U2741" s="2706"/>
      <c r="V2741" s="2706"/>
      <c r="W2741" s="2706"/>
      <c r="X2741" s="2706"/>
      <c r="Y2741" s="2706"/>
      <c r="Z2741" s="2706"/>
      <c r="AA2741" s="2706"/>
      <c r="AB2741" s="2706"/>
      <c r="AC2741" s="2250" t="str">
        <f>IF(AC2740&gt;=91,"ST",IF(AC2740&gt;=76,"T",IF(AC2740&gt;=66,"S",IF(AC2740&gt;=51,"R","SR"))))</f>
        <v>R</v>
      </c>
      <c r="AD2741" s="2250" t="str">
        <f>IF(AD2740&gt;=91,"ST",IF(AD2740&gt;=76,"T",IF(AD2740&gt;=66,"S",IF(AD2740&gt;=51,"R","SR"))))</f>
        <v>SR</v>
      </c>
      <c r="AE2741" s="2152"/>
    </row>
    <row r="2742" spans="1:71" s="2131" customFormat="1" ht="27.95" customHeight="1">
      <c r="A2742" s="2132" t="s">
        <v>137</v>
      </c>
      <c r="B2742" s="2133"/>
      <c r="C2742" s="2132"/>
      <c r="D2742" s="2132"/>
      <c r="E2742" s="2132"/>
      <c r="F2742" s="2132"/>
      <c r="G2742" s="2132"/>
      <c r="H2742" s="2132"/>
      <c r="I2742" s="2707" t="s">
        <v>4008</v>
      </c>
      <c r="J2742" s="2708"/>
      <c r="K2742" s="2134"/>
      <c r="L2742" s="2135">
        <f>L2743+L2756+L2763+L2765+L2768+L2770+L2772+L2774+L2777+L2779+L2782+L2784+L2786+L2788</f>
        <v>3254835072</v>
      </c>
      <c r="M2742" s="2134"/>
      <c r="N2742" s="2136">
        <f>N2743+N2756+N2763+N2765+N2768+N2770+N2772+N2774+N2777+N2779+N2782+N2784+N2786+N2788</f>
        <v>1736432856.5</v>
      </c>
      <c r="O2742" s="2134"/>
      <c r="P2742" s="2136">
        <f>P2743+P2756+P2763+P2765+P2768+P2770+P2772+P2774+P2777+P2779+P2782+P2784+P2786+P2788</f>
        <v>529372900</v>
      </c>
      <c r="Q2742" s="2135"/>
      <c r="R2742" s="2422">
        <f>SUM(R2743+R2756+R2765+R2772+R2774)</f>
        <v>75023825</v>
      </c>
      <c r="S2742" s="2134"/>
      <c r="T2742" s="2136">
        <f>T2743+T2756+T2763+T2765+T2768+T2770+T2772+T2774+T2777+T2779+T2782+T2784+T2786+T2788</f>
        <v>65563825</v>
      </c>
      <c r="U2742" s="2134"/>
      <c r="V2742" s="2136">
        <f>V2743+V2756+V2763+V2765+V2768+V2770+V2772+V2774+V2777+V2779+V2782+V2784+V2786+V2788</f>
        <v>0</v>
      </c>
      <c r="W2742" s="2134"/>
      <c r="X2742" s="2134">
        <f>X2743+X2756+X2763+X2765+X2768+X2770+X2772+X2774+X2777+X2779+X2782+X2784+X2786+X2788</f>
        <v>0</v>
      </c>
      <c r="Y2742" s="2134">
        <v>0</v>
      </c>
      <c r="Z2742" s="2136">
        <f>Z2743+Z2756+Z2763+Z2765+Z2768+Z2770+Z2772+Z2774+Z2777+Z2779+Z2782+Z2784+Z2786+Z2788</f>
        <v>140587650</v>
      </c>
      <c r="AA2742" s="2134"/>
      <c r="AB2742" s="2136">
        <f>AB2743+AB2756+AB2763+AB2765+AB2768+AB2770+AB2772+AB2774+AB2777+AB2779+AB2782+AB2784+AB2786+AB2788</f>
        <v>1877020506.5</v>
      </c>
      <c r="AC2742" s="2134"/>
      <c r="AD2742" s="2134"/>
      <c r="AE2742" s="2137"/>
      <c r="AF2742" s="2138"/>
      <c r="AG2742" s="2138"/>
      <c r="AH2742" s="2138"/>
      <c r="AI2742" s="2138"/>
      <c r="AJ2742" s="2138"/>
      <c r="AK2742" s="2138"/>
      <c r="AL2742" s="2138"/>
      <c r="AM2742" s="2138"/>
      <c r="AN2742" s="2138"/>
      <c r="AO2742" s="2138"/>
      <c r="AP2742" s="2138"/>
      <c r="AQ2742" s="2138"/>
      <c r="AR2742" s="2138"/>
      <c r="AS2742" s="2138"/>
      <c r="AT2742" s="2138"/>
      <c r="AU2742" s="2138"/>
      <c r="AV2742" s="2138"/>
      <c r="AW2742" s="2138"/>
      <c r="AX2742" s="2138"/>
      <c r="AY2742" s="2138"/>
      <c r="AZ2742" s="2138"/>
      <c r="BA2742" s="2138"/>
      <c r="BB2742" s="2138"/>
      <c r="BC2742" s="2138"/>
      <c r="BD2742" s="2138"/>
      <c r="BE2742" s="2138"/>
      <c r="BF2742" s="2138"/>
      <c r="BG2742" s="2138"/>
      <c r="BH2742" s="2138"/>
      <c r="BI2742" s="2138"/>
      <c r="BJ2742" s="2138"/>
      <c r="BK2742" s="2138"/>
      <c r="BL2742" s="2138"/>
      <c r="BM2742" s="2138"/>
      <c r="BN2742" s="2138"/>
      <c r="BO2742" s="2138"/>
      <c r="BP2742" s="2138"/>
      <c r="BQ2742" s="2138"/>
      <c r="BR2742" s="2138"/>
      <c r="BS2742" s="2138"/>
    </row>
    <row r="2743" spans="1:71" s="2131" customFormat="1" ht="63.75">
      <c r="A2743" s="2140" t="s">
        <v>113</v>
      </c>
      <c r="B2743" s="2194"/>
      <c r="C2743" s="2142">
        <v>5</v>
      </c>
      <c r="D2743" s="2142" t="s">
        <v>34</v>
      </c>
      <c r="E2743" s="2142" t="s">
        <v>25</v>
      </c>
      <c r="F2743" s="2142" t="s">
        <v>45</v>
      </c>
      <c r="G2743" s="2142" t="s">
        <v>25</v>
      </c>
      <c r="H2743" s="2140"/>
      <c r="I2743" s="2143" t="s">
        <v>3625</v>
      </c>
      <c r="J2743" s="2143" t="s">
        <v>3626</v>
      </c>
      <c r="K2743" s="2144">
        <v>72</v>
      </c>
      <c r="L2743" s="2145">
        <f>SUM(L2744:L2755)</f>
        <v>1289019002</v>
      </c>
      <c r="M2743" s="2144">
        <v>36</v>
      </c>
      <c r="N2743" s="2145">
        <f>SUM(N2744:N2755)</f>
        <v>779217037.5</v>
      </c>
      <c r="O2743" s="2144">
        <v>12</v>
      </c>
      <c r="P2743" s="2145">
        <f>SUM(P2744:P2755)</f>
        <v>279521049</v>
      </c>
      <c r="Q2743" s="2144">
        <v>3</v>
      </c>
      <c r="R2743" s="2388">
        <f>SUM(R2744:R2755)</f>
        <v>60127825</v>
      </c>
      <c r="S2743" s="2144">
        <v>3</v>
      </c>
      <c r="T2743" s="2388">
        <f>SUM(T2744:T2755)</f>
        <v>60127825</v>
      </c>
      <c r="U2743" s="2144"/>
      <c r="V2743" s="2145">
        <f>SUM(V2744:V2755)</f>
        <v>0</v>
      </c>
      <c r="W2743" s="2144"/>
      <c r="X2743" s="2145">
        <f>SUM(X2744:X2755)</f>
        <v>0</v>
      </c>
      <c r="Y2743" s="2147">
        <f t="shared" ref="Y2743:Z2793" si="707">Q2743+S2743+U2743+W2743</f>
        <v>6</v>
      </c>
      <c r="Z2743" s="2145">
        <f t="shared" si="707"/>
        <v>120255650</v>
      </c>
      <c r="AA2743" s="2147">
        <f t="shared" ref="AA2743:AB2793" si="708">M2743+Y2743</f>
        <v>42</v>
      </c>
      <c r="AB2743" s="2145">
        <f t="shared" si="708"/>
        <v>899472687.5</v>
      </c>
      <c r="AC2743" s="2147">
        <f t="shared" ref="AC2743:AD2793" si="709">(AA2743/K2743)*100</f>
        <v>58.333333333333336</v>
      </c>
      <c r="AD2743" s="2147">
        <f t="shared" si="709"/>
        <v>69.77962978857623</v>
      </c>
      <c r="AE2743" s="2140" t="s">
        <v>4009</v>
      </c>
      <c r="AF2743" s="2149"/>
      <c r="AG2743" s="2149"/>
      <c r="AH2743" s="2149"/>
      <c r="AI2743" s="2149"/>
      <c r="AJ2743" s="2149"/>
      <c r="AK2743" s="2149"/>
      <c r="AL2743" s="2149"/>
      <c r="AM2743" s="2149"/>
      <c r="AN2743" s="2149"/>
      <c r="AO2743" s="2149"/>
      <c r="AP2743" s="2149"/>
      <c r="AQ2743" s="2149"/>
      <c r="AR2743" s="2149"/>
      <c r="AS2743" s="2149"/>
      <c r="AT2743" s="2149"/>
      <c r="AU2743" s="2149"/>
      <c r="AV2743" s="2149"/>
      <c r="AW2743" s="2149"/>
      <c r="AX2743" s="2149"/>
      <c r="AY2743" s="2149"/>
      <c r="AZ2743" s="2149"/>
      <c r="BA2743" s="2149"/>
      <c r="BB2743" s="2149"/>
      <c r="BC2743" s="2149"/>
      <c r="BD2743" s="2149"/>
      <c r="BE2743" s="2149"/>
      <c r="BF2743" s="2149"/>
      <c r="BG2743" s="2149"/>
      <c r="BH2743" s="2149"/>
      <c r="BI2743" s="2149"/>
      <c r="BJ2743" s="2149"/>
      <c r="BK2743" s="2149"/>
      <c r="BL2743" s="2149"/>
      <c r="BM2743" s="2149"/>
      <c r="BN2743" s="2149"/>
      <c r="BO2743" s="2149"/>
      <c r="BP2743" s="2149"/>
      <c r="BQ2743" s="2149"/>
      <c r="BR2743" s="2149"/>
      <c r="BS2743" s="2149"/>
    </row>
    <row r="2744" spans="1:71" s="2131" customFormat="1" ht="51">
      <c r="A2744" s="2267"/>
      <c r="B2744" s="2253"/>
      <c r="C2744" s="2164">
        <v>5</v>
      </c>
      <c r="D2744" s="2164" t="s">
        <v>34</v>
      </c>
      <c r="E2744" s="2164" t="s">
        <v>25</v>
      </c>
      <c r="F2744" s="2164" t="s">
        <v>45</v>
      </c>
      <c r="G2744" s="2164" t="s">
        <v>25</v>
      </c>
      <c r="H2744" s="2254" t="s">
        <v>28</v>
      </c>
      <c r="I2744" s="2171" t="s">
        <v>3684</v>
      </c>
      <c r="J2744" s="2171" t="s">
        <v>3627</v>
      </c>
      <c r="K2744" s="2255">
        <v>72</v>
      </c>
      <c r="L2744" s="2203">
        <v>50769000</v>
      </c>
      <c r="M2744" s="2256">
        <v>36</v>
      </c>
      <c r="N2744" s="2257">
        <v>21388500</v>
      </c>
      <c r="O2744" s="2255">
        <v>12</v>
      </c>
      <c r="P2744" s="2258">
        <v>7200000</v>
      </c>
      <c r="Q2744" s="2256">
        <v>3</v>
      </c>
      <c r="R2744" s="2423">
        <v>1473625</v>
      </c>
      <c r="S2744" s="2256">
        <v>3</v>
      </c>
      <c r="T2744" s="2423">
        <v>1473625</v>
      </c>
      <c r="U2744" s="2255"/>
      <c r="V2744" s="2258"/>
      <c r="W2744" s="2255"/>
      <c r="X2744" s="2258"/>
      <c r="Y2744" s="2240">
        <f t="shared" si="707"/>
        <v>6</v>
      </c>
      <c r="Z2744" s="2203">
        <f t="shared" si="707"/>
        <v>2947250</v>
      </c>
      <c r="AA2744" s="2240">
        <f t="shared" si="708"/>
        <v>42</v>
      </c>
      <c r="AB2744" s="2203">
        <f t="shared" si="708"/>
        <v>24335750</v>
      </c>
      <c r="AC2744" s="2243">
        <f t="shared" si="709"/>
        <v>58.333333333333336</v>
      </c>
      <c r="AD2744" s="2243">
        <f t="shared" si="709"/>
        <v>47.934270913352641</v>
      </c>
      <c r="AE2744" s="2267"/>
      <c r="AF2744" s="2259"/>
      <c r="AG2744" s="2259"/>
      <c r="AH2744" s="2259"/>
      <c r="AI2744" s="2259"/>
      <c r="AJ2744" s="2259"/>
      <c r="AK2744" s="2259"/>
      <c r="AL2744" s="2259"/>
      <c r="AM2744" s="2259"/>
      <c r="AN2744" s="2259"/>
      <c r="AO2744" s="2259"/>
      <c r="AP2744" s="2259"/>
      <c r="AQ2744" s="2259"/>
      <c r="AR2744" s="2259"/>
      <c r="AS2744" s="2259"/>
      <c r="AT2744" s="2259"/>
      <c r="AU2744" s="2259"/>
      <c r="AV2744" s="2259"/>
      <c r="AW2744" s="2259"/>
      <c r="AX2744" s="2259"/>
      <c r="AY2744" s="2259"/>
      <c r="AZ2744" s="2259"/>
      <c r="BA2744" s="2259"/>
      <c r="BB2744" s="2259"/>
      <c r="BC2744" s="2259"/>
      <c r="BD2744" s="2259"/>
      <c r="BE2744" s="2259"/>
      <c r="BF2744" s="2259"/>
      <c r="BG2744" s="2259"/>
      <c r="BH2744" s="2259"/>
      <c r="BI2744" s="2259"/>
      <c r="BJ2744" s="2259"/>
      <c r="BK2744" s="2259"/>
      <c r="BL2744" s="2259"/>
      <c r="BM2744" s="2259"/>
      <c r="BN2744" s="2259"/>
      <c r="BO2744" s="2259"/>
      <c r="BP2744" s="2259"/>
      <c r="BQ2744" s="2259"/>
      <c r="BR2744" s="2259"/>
      <c r="BS2744" s="2259"/>
    </row>
    <row r="2745" spans="1:71" s="2131" customFormat="1" ht="63.75">
      <c r="A2745" s="2267"/>
      <c r="B2745" s="2253"/>
      <c r="C2745" s="2164">
        <v>5</v>
      </c>
      <c r="D2745" s="2164" t="s">
        <v>34</v>
      </c>
      <c r="E2745" s="2164" t="s">
        <v>25</v>
      </c>
      <c r="F2745" s="2164" t="s">
        <v>45</v>
      </c>
      <c r="G2745" s="2164" t="s">
        <v>25</v>
      </c>
      <c r="H2745" s="2254" t="s">
        <v>29</v>
      </c>
      <c r="I2745" s="2171" t="s">
        <v>3685</v>
      </c>
      <c r="J2745" s="2171" t="s">
        <v>3628</v>
      </c>
      <c r="K2745" s="2255">
        <v>72</v>
      </c>
      <c r="L2745" s="2203">
        <v>199260600</v>
      </c>
      <c r="M2745" s="2256">
        <v>36</v>
      </c>
      <c r="N2745" s="2257">
        <v>105250000</v>
      </c>
      <c r="O2745" s="2255">
        <v>12</v>
      </c>
      <c r="P2745" s="2258">
        <v>50100000</v>
      </c>
      <c r="Q2745" s="2256">
        <v>3</v>
      </c>
      <c r="R2745" s="2424">
        <v>7400000</v>
      </c>
      <c r="S2745" s="2256">
        <v>3</v>
      </c>
      <c r="T2745" s="2424">
        <v>7400000</v>
      </c>
      <c r="U2745" s="2255"/>
      <c r="V2745" s="2258"/>
      <c r="W2745" s="2255"/>
      <c r="X2745" s="2258"/>
      <c r="Y2745" s="2240">
        <f t="shared" si="707"/>
        <v>6</v>
      </c>
      <c r="Z2745" s="2203">
        <f t="shared" si="707"/>
        <v>14800000</v>
      </c>
      <c r="AA2745" s="2240">
        <f t="shared" si="708"/>
        <v>42</v>
      </c>
      <c r="AB2745" s="2203">
        <f t="shared" si="708"/>
        <v>120050000</v>
      </c>
      <c r="AC2745" s="2243">
        <f t="shared" si="709"/>
        <v>58.333333333333336</v>
      </c>
      <c r="AD2745" s="2243">
        <f t="shared" si="709"/>
        <v>60.247735879546681</v>
      </c>
      <c r="AE2745" s="2267"/>
      <c r="AF2745" s="2259"/>
      <c r="AG2745" s="2259"/>
      <c r="AH2745" s="2259"/>
      <c r="AI2745" s="2259"/>
      <c r="AJ2745" s="2259"/>
      <c r="AK2745" s="2259"/>
      <c r="AL2745" s="2259"/>
      <c r="AM2745" s="2259"/>
      <c r="AN2745" s="2259"/>
      <c r="AO2745" s="2259"/>
      <c r="AP2745" s="2259"/>
      <c r="AQ2745" s="2259"/>
      <c r="AR2745" s="2259"/>
      <c r="AS2745" s="2259"/>
      <c r="AT2745" s="2259"/>
      <c r="AU2745" s="2259"/>
      <c r="AV2745" s="2259"/>
      <c r="AW2745" s="2259"/>
      <c r="AX2745" s="2259"/>
      <c r="AY2745" s="2259"/>
      <c r="AZ2745" s="2259"/>
      <c r="BA2745" s="2259"/>
      <c r="BB2745" s="2259"/>
      <c r="BC2745" s="2259"/>
      <c r="BD2745" s="2259"/>
      <c r="BE2745" s="2259"/>
      <c r="BF2745" s="2259"/>
      <c r="BG2745" s="2259"/>
      <c r="BH2745" s="2259"/>
      <c r="BI2745" s="2259"/>
      <c r="BJ2745" s="2259"/>
      <c r="BK2745" s="2259"/>
      <c r="BL2745" s="2259"/>
      <c r="BM2745" s="2259"/>
      <c r="BN2745" s="2259"/>
      <c r="BO2745" s="2259"/>
      <c r="BP2745" s="2259"/>
      <c r="BQ2745" s="2259"/>
      <c r="BR2745" s="2259"/>
      <c r="BS2745" s="2259"/>
    </row>
    <row r="2746" spans="1:71" s="2131" customFormat="1" ht="51">
      <c r="A2746" s="2152"/>
      <c r="B2746" s="2253"/>
      <c r="C2746" s="2164">
        <v>5</v>
      </c>
      <c r="D2746" s="2164" t="s">
        <v>34</v>
      </c>
      <c r="E2746" s="2164" t="s">
        <v>25</v>
      </c>
      <c r="F2746" s="2164" t="s">
        <v>45</v>
      </c>
      <c r="G2746" s="2164" t="s">
        <v>25</v>
      </c>
      <c r="H2746" s="2164" t="s">
        <v>30</v>
      </c>
      <c r="I2746" s="2260" t="s">
        <v>110</v>
      </c>
      <c r="J2746" s="2260" t="s">
        <v>3629</v>
      </c>
      <c r="K2746" s="2261">
        <v>72</v>
      </c>
      <c r="L2746" s="2241">
        <v>202547836</v>
      </c>
      <c r="M2746" s="2261">
        <v>36</v>
      </c>
      <c r="N2746" s="2262">
        <v>88356377</v>
      </c>
      <c r="O2746" s="2240">
        <v>12</v>
      </c>
      <c r="P2746" s="2242">
        <v>21418325</v>
      </c>
      <c r="Q2746" s="2261">
        <v>3</v>
      </c>
      <c r="R2746" s="2425">
        <v>3444400</v>
      </c>
      <c r="S2746" s="2261">
        <v>3</v>
      </c>
      <c r="T2746" s="2425">
        <v>3444400</v>
      </c>
      <c r="U2746" s="2240"/>
      <c r="V2746" s="2241"/>
      <c r="W2746" s="2240"/>
      <c r="X2746" s="2258"/>
      <c r="Y2746" s="2240">
        <f t="shared" si="707"/>
        <v>6</v>
      </c>
      <c r="Z2746" s="2241">
        <f t="shared" si="707"/>
        <v>6888800</v>
      </c>
      <c r="AA2746" s="2240">
        <f t="shared" si="708"/>
        <v>42</v>
      </c>
      <c r="AB2746" s="2241">
        <f t="shared" si="708"/>
        <v>95245177</v>
      </c>
      <c r="AC2746" s="2243">
        <f t="shared" si="709"/>
        <v>58.333333333333336</v>
      </c>
      <c r="AD2746" s="2243">
        <f t="shared" si="709"/>
        <v>47.023547069641367</v>
      </c>
      <c r="AE2746" s="2152"/>
      <c r="AF2746" s="2259"/>
      <c r="AG2746" s="2259"/>
      <c r="AH2746" s="2259"/>
      <c r="AI2746" s="2259"/>
      <c r="AJ2746" s="2259"/>
      <c r="AK2746" s="2259"/>
      <c r="AL2746" s="2259"/>
      <c r="AM2746" s="2259"/>
      <c r="AN2746" s="2259"/>
      <c r="AO2746" s="2259"/>
      <c r="AP2746" s="2259"/>
      <c r="AQ2746" s="2259"/>
      <c r="AR2746" s="2259"/>
      <c r="AS2746" s="2259"/>
      <c r="AT2746" s="2259"/>
      <c r="AU2746" s="2259"/>
      <c r="AV2746" s="2259"/>
      <c r="AW2746" s="2259"/>
      <c r="AX2746" s="2259"/>
      <c r="AY2746" s="2259"/>
      <c r="AZ2746" s="2259"/>
      <c r="BA2746" s="2259"/>
      <c r="BB2746" s="2259"/>
      <c r="BC2746" s="2259"/>
      <c r="BD2746" s="2259"/>
      <c r="BE2746" s="2259"/>
      <c r="BF2746" s="2259"/>
      <c r="BG2746" s="2259"/>
      <c r="BH2746" s="2259"/>
      <c r="BI2746" s="2259"/>
      <c r="BJ2746" s="2259"/>
      <c r="BK2746" s="2259"/>
      <c r="BL2746" s="2259"/>
      <c r="BM2746" s="2259"/>
      <c r="BN2746" s="2259"/>
      <c r="BO2746" s="2259"/>
      <c r="BP2746" s="2259"/>
      <c r="BQ2746" s="2259"/>
      <c r="BR2746" s="2259"/>
      <c r="BS2746" s="2259"/>
    </row>
    <row r="2747" spans="1:71" s="2131" customFormat="1" ht="25.5">
      <c r="A2747" s="2267"/>
      <c r="B2747" s="2263"/>
      <c r="C2747" s="2254">
        <v>5</v>
      </c>
      <c r="D2747" s="2254" t="s">
        <v>34</v>
      </c>
      <c r="E2747" s="2254" t="s">
        <v>25</v>
      </c>
      <c r="F2747" s="2254" t="s">
        <v>45</v>
      </c>
      <c r="G2747" s="2254" t="s">
        <v>25</v>
      </c>
      <c r="H2747" s="2254" t="s">
        <v>31</v>
      </c>
      <c r="I2747" s="2171" t="s">
        <v>163</v>
      </c>
      <c r="J2747" s="2171" t="s">
        <v>103</v>
      </c>
      <c r="K2747" s="2255">
        <v>72</v>
      </c>
      <c r="L2747" s="2203">
        <v>66547812</v>
      </c>
      <c r="M2747" s="2256">
        <v>36</v>
      </c>
      <c r="N2747" s="2257">
        <v>40523960.5</v>
      </c>
      <c r="O2747" s="2255">
        <v>12</v>
      </c>
      <c r="P2747" s="2426">
        <v>28547044</v>
      </c>
      <c r="Q2747" s="2256">
        <v>3</v>
      </c>
      <c r="R2747" s="2423">
        <v>5396300</v>
      </c>
      <c r="S2747" s="2256">
        <v>3</v>
      </c>
      <c r="T2747" s="2423">
        <v>5396300</v>
      </c>
      <c r="U2747" s="2255"/>
      <c r="V2747" s="2203"/>
      <c r="W2747" s="2255"/>
      <c r="X2747" s="2258"/>
      <c r="Y2747" s="2255">
        <f t="shared" si="707"/>
        <v>6</v>
      </c>
      <c r="Z2747" s="2203">
        <f t="shared" si="707"/>
        <v>10792600</v>
      </c>
      <c r="AA2747" s="2255">
        <f t="shared" si="708"/>
        <v>42</v>
      </c>
      <c r="AB2747" s="2203">
        <f t="shared" si="708"/>
        <v>51316560.5</v>
      </c>
      <c r="AC2747" s="2264">
        <f t="shared" si="709"/>
        <v>58.333333333333336</v>
      </c>
      <c r="AD2747" s="2264">
        <f t="shared" si="709"/>
        <v>77.1123181330139</v>
      </c>
      <c r="AE2747" s="2267"/>
      <c r="AF2747" s="2259"/>
      <c r="AG2747" s="2259"/>
      <c r="AH2747" s="2259"/>
      <c r="AI2747" s="2259"/>
      <c r="AJ2747" s="2259"/>
      <c r="AK2747" s="2259"/>
      <c r="AL2747" s="2259"/>
      <c r="AM2747" s="2259"/>
      <c r="AN2747" s="2259"/>
      <c r="AO2747" s="2259"/>
      <c r="AP2747" s="2259"/>
      <c r="AQ2747" s="2259"/>
      <c r="AR2747" s="2259"/>
      <c r="AS2747" s="2259"/>
      <c r="AT2747" s="2259"/>
      <c r="AU2747" s="2259"/>
      <c r="AV2747" s="2259"/>
      <c r="AW2747" s="2259"/>
      <c r="AX2747" s="2259"/>
      <c r="AY2747" s="2259"/>
      <c r="AZ2747" s="2259"/>
      <c r="BA2747" s="2259"/>
      <c r="BB2747" s="2259"/>
      <c r="BC2747" s="2259"/>
      <c r="BD2747" s="2259"/>
      <c r="BE2747" s="2259"/>
      <c r="BF2747" s="2259"/>
      <c r="BG2747" s="2259"/>
      <c r="BH2747" s="2259"/>
      <c r="BI2747" s="2259"/>
      <c r="BJ2747" s="2259"/>
      <c r="BK2747" s="2259"/>
      <c r="BL2747" s="2259"/>
      <c r="BM2747" s="2259"/>
      <c r="BN2747" s="2259"/>
      <c r="BO2747" s="2259"/>
      <c r="BP2747" s="2259"/>
      <c r="BQ2747" s="2259"/>
      <c r="BR2747" s="2259"/>
      <c r="BS2747" s="2259"/>
    </row>
    <row r="2748" spans="1:71" s="2131" customFormat="1" ht="51">
      <c r="A2748" s="2439"/>
      <c r="B2748" s="2427"/>
      <c r="C2748" s="2428">
        <v>5</v>
      </c>
      <c r="D2748" s="2428" t="s">
        <v>34</v>
      </c>
      <c r="E2748" s="2428" t="s">
        <v>25</v>
      </c>
      <c r="F2748" s="2428" t="s">
        <v>45</v>
      </c>
      <c r="G2748" s="2428" t="s">
        <v>25</v>
      </c>
      <c r="H2748" s="2428" t="s">
        <v>62</v>
      </c>
      <c r="I2748" s="2429" t="s">
        <v>155</v>
      </c>
      <c r="J2748" s="2430" t="s">
        <v>4010</v>
      </c>
      <c r="K2748" s="2431">
        <v>72</v>
      </c>
      <c r="L2748" s="2432">
        <v>28255000</v>
      </c>
      <c r="M2748" s="2433">
        <v>36</v>
      </c>
      <c r="N2748" s="2434">
        <v>17199400</v>
      </c>
      <c r="O2748" s="2431">
        <v>12</v>
      </c>
      <c r="P2748" s="2435">
        <v>12441600</v>
      </c>
      <c r="Q2748" s="2433">
        <v>3</v>
      </c>
      <c r="R2748" s="2436">
        <v>1395000</v>
      </c>
      <c r="S2748" s="2433">
        <v>3</v>
      </c>
      <c r="T2748" s="2436">
        <v>1395000</v>
      </c>
      <c r="U2748" s="2431"/>
      <c r="V2748" s="2432"/>
      <c r="W2748" s="2431"/>
      <c r="X2748" s="2258"/>
      <c r="Y2748" s="2431">
        <f t="shared" si="707"/>
        <v>6</v>
      </c>
      <c r="Z2748" s="2432">
        <f t="shared" si="707"/>
        <v>2790000</v>
      </c>
      <c r="AA2748" s="2431">
        <f t="shared" si="708"/>
        <v>42</v>
      </c>
      <c r="AB2748" s="2432">
        <f t="shared" si="708"/>
        <v>19989400</v>
      </c>
      <c r="AC2748" s="2437">
        <f t="shared" si="709"/>
        <v>58.333333333333336</v>
      </c>
      <c r="AD2748" s="2437">
        <f t="shared" si="709"/>
        <v>70.746416563440093</v>
      </c>
      <c r="AE2748" s="2439"/>
      <c r="AF2748" s="2259"/>
      <c r="AG2748" s="2259"/>
      <c r="AH2748" s="2259"/>
      <c r="AI2748" s="2259"/>
      <c r="AJ2748" s="2259"/>
      <c r="AK2748" s="2259"/>
      <c r="AL2748" s="2259"/>
      <c r="AM2748" s="2259"/>
      <c r="AN2748" s="2259"/>
      <c r="AO2748" s="2259"/>
      <c r="AP2748" s="2259"/>
      <c r="AQ2748" s="2259"/>
      <c r="AR2748" s="2259"/>
      <c r="AS2748" s="2259"/>
      <c r="AT2748" s="2259"/>
      <c r="AU2748" s="2259"/>
      <c r="AV2748" s="2259"/>
      <c r="AW2748" s="2259"/>
      <c r="AX2748" s="2259"/>
      <c r="AY2748" s="2259"/>
      <c r="AZ2748" s="2259"/>
      <c r="BA2748" s="2259"/>
      <c r="BB2748" s="2259"/>
      <c r="BC2748" s="2259"/>
      <c r="BD2748" s="2259"/>
      <c r="BE2748" s="2259"/>
      <c r="BF2748" s="2259"/>
      <c r="BG2748" s="2259"/>
      <c r="BH2748" s="2259"/>
      <c r="BI2748" s="2259"/>
      <c r="BJ2748" s="2259"/>
      <c r="BK2748" s="2259"/>
      <c r="BL2748" s="2259"/>
      <c r="BM2748" s="2259"/>
      <c r="BN2748" s="2259"/>
      <c r="BO2748" s="2259"/>
      <c r="BP2748" s="2259"/>
      <c r="BQ2748" s="2259"/>
      <c r="BR2748" s="2259"/>
      <c r="BS2748" s="2259"/>
    </row>
    <row r="2749" spans="1:71" s="2131" customFormat="1" ht="51">
      <c r="A2749" s="2152"/>
      <c r="B2749" s="2253"/>
      <c r="C2749" s="2164">
        <v>5</v>
      </c>
      <c r="D2749" s="2164" t="s">
        <v>34</v>
      </c>
      <c r="E2749" s="2164" t="s">
        <v>25</v>
      </c>
      <c r="F2749" s="2164" t="s">
        <v>45</v>
      </c>
      <c r="G2749" s="2164" t="s">
        <v>25</v>
      </c>
      <c r="H2749" s="2164" t="s">
        <v>52</v>
      </c>
      <c r="I2749" s="2260" t="s">
        <v>3687</v>
      </c>
      <c r="J2749" s="2260" t="s">
        <v>3631</v>
      </c>
      <c r="K2749" s="2240">
        <v>72</v>
      </c>
      <c r="L2749" s="2241">
        <v>13691130</v>
      </c>
      <c r="M2749" s="2261">
        <v>36</v>
      </c>
      <c r="N2749" s="2262">
        <v>6343500</v>
      </c>
      <c r="O2749" s="2240">
        <v>12</v>
      </c>
      <c r="P2749" s="2242">
        <v>1814080</v>
      </c>
      <c r="Q2749" s="2261">
        <v>3</v>
      </c>
      <c r="R2749" s="2425">
        <v>0</v>
      </c>
      <c r="S2749" s="2261">
        <v>3</v>
      </c>
      <c r="T2749" s="2425">
        <v>0</v>
      </c>
      <c r="U2749" s="2240"/>
      <c r="V2749" s="2242"/>
      <c r="W2749" s="2240"/>
      <c r="X2749" s="2258"/>
      <c r="Y2749" s="2240">
        <f t="shared" si="707"/>
        <v>6</v>
      </c>
      <c r="Z2749" s="2241">
        <f t="shared" si="707"/>
        <v>0</v>
      </c>
      <c r="AA2749" s="2240">
        <f t="shared" si="708"/>
        <v>42</v>
      </c>
      <c r="AB2749" s="2241">
        <f t="shared" si="708"/>
        <v>6343500</v>
      </c>
      <c r="AC2749" s="2243">
        <f t="shared" si="709"/>
        <v>58.333333333333336</v>
      </c>
      <c r="AD2749" s="2243">
        <f t="shared" si="709"/>
        <v>46.332917735789522</v>
      </c>
      <c r="AE2749" s="2152"/>
      <c r="AF2749" s="2259"/>
      <c r="AG2749" s="2259"/>
      <c r="AH2749" s="2259"/>
      <c r="AI2749" s="2259"/>
      <c r="AJ2749" s="2259"/>
      <c r="AK2749" s="2259"/>
      <c r="AL2749" s="2259"/>
      <c r="AM2749" s="2259"/>
      <c r="AN2749" s="2259"/>
      <c r="AO2749" s="2259"/>
      <c r="AP2749" s="2259"/>
      <c r="AQ2749" s="2259"/>
      <c r="AR2749" s="2259"/>
      <c r="AS2749" s="2259"/>
      <c r="AT2749" s="2259"/>
      <c r="AU2749" s="2259"/>
      <c r="AV2749" s="2259"/>
      <c r="AW2749" s="2259"/>
      <c r="AX2749" s="2259"/>
      <c r="AY2749" s="2259"/>
      <c r="AZ2749" s="2259"/>
      <c r="BA2749" s="2259"/>
      <c r="BB2749" s="2259"/>
      <c r="BC2749" s="2259"/>
      <c r="BD2749" s="2259"/>
      <c r="BE2749" s="2259"/>
      <c r="BF2749" s="2259"/>
      <c r="BG2749" s="2259"/>
      <c r="BH2749" s="2259"/>
      <c r="BI2749" s="2259"/>
      <c r="BJ2749" s="2259"/>
      <c r="BK2749" s="2259"/>
      <c r="BL2749" s="2259"/>
      <c r="BM2749" s="2259"/>
      <c r="BN2749" s="2259"/>
      <c r="BO2749" s="2259"/>
      <c r="BP2749" s="2259"/>
      <c r="BQ2749" s="2259"/>
      <c r="BR2749" s="2259"/>
      <c r="BS2749" s="2259"/>
    </row>
    <row r="2750" spans="1:71" s="2131" customFormat="1" ht="63.75">
      <c r="A2750" s="2267"/>
      <c r="B2750" s="2253"/>
      <c r="C2750" s="2164">
        <v>5</v>
      </c>
      <c r="D2750" s="2164" t="s">
        <v>34</v>
      </c>
      <c r="E2750" s="2164" t="s">
        <v>25</v>
      </c>
      <c r="F2750" s="2164" t="s">
        <v>45</v>
      </c>
      <c r="G2750" s="2164" t="s">
        <v>25</v>
      </c>
      <c r="H2750" s="2254" t="s">
        <v>45</v>
      </c>
      <c r="I2750" s="2171" t="s">
        <v>3688</v>
      </c>
      <c r="J2750" s="2171" t="s">
        <v>3632</v>
      </c>
      <c r="K2750" s="2255">
        <v>72</v>
      </c>
      <c r="L2750" s="2203">
        <v>4641520</v>
      </c>
      <c r="M2750" s="2256">
        <v>36</v>
      </c>
      <c r="N2750" s="2257">
        <v>3220000</v>
      </c>
      <c r="O2750" s="2255">
        <v>3</v>
      </c>
      <c r="P2750" s="2258">
        <v>1200000</v>
      </c>
      <c r="Q2750" s="2256">
        <v>3</v>
      </c>
      <c r="R2750" s="2423">
        <v>0</v>
      </c>
      <c r="S2750" s="2256">
        <v>3</v>
      </c>
      <c r="T2750" s="2423">
        <v>0</v>
      </c>
      <c r="U2750" s="2255"/>
      <c r="V2750" s="2258"/>
      <c r="W2750" s="2255"/>
      <c r="X2750" s="2258"/>
      <c r="Y2750" s="2240">
        <f t="shared" si="707"/>
        <v>6</v>
      </c>
      <c r="Z2750" s="2203">
        <f t="shared" si="707"/>
        <v>0</v>
      </c>
      <c r="AA2750" s="2240">
        <f t="shared" si="708"/>
        <v>42</v>
      </c>
      <c r="AB2750" s="2203">
        <f t="shared" si="708"/>
        <v>3220000</v>
      </c>
      <c r="AC2750" s="2243">
        <f t="shared" si="709"/>
        <v>58.333333333333336</v>
      </c>
      <c r="AD2750" s="2243">
        <f t="shared" si="709"/>
        <v>69.373825815681073</v>
      </c>
      <c r="AE2750" s="2267"/>
      <c r="AF2750" s="2259"/>
      <c r="AG2750" s="2259"/>
      <c r="AH2750" s="2259"/>
      <c r="AI2750" s="2259"/>
      <c r="AJ2750" s="2259"/>
      <c r="AK2750" s="2259"/>
      <c r="AL2750" s="2259"/>
      <c r="AM2750" s="2259"/>
      <c r="AN2750" s="2259"/>
      <c r="AO2750" s="2259"/>
      <c r="AP2750" s="2259"/>
      <c r="AQ2750" s="2259"/>
      <c r="AR2750" s="2259"/>
      <c r="AS2750" s="2259"/>
      <c r="AT2750" s="2259"/>
      <c r="AU2750" s="2259"/>
      <c r="AV2750" s="2259"/>
      <c r="AW2750" s="2259"/>
      <c r="AX2750" s="2259"/>
      <c r="AY2750" s="2259"/>
      <c r="AZ2750" s="2259"/>
      <c r="BA2750" s="2259"/>
      <c r="BB2750" s="2259"/>
      <c r="BC2750" s="2259"/>
      <c r="BD2750" s="2259"/>
      <c r="BE2750" s="2259"/>
      <c r="BF2750" s="2259"/>
      <c r="BG2750" s="2259"/>
      <c r="BH2750" s="2259"/>
      <c r="BI2750" s="2259"/>
      <c r="BJ2750" s="2259"/>
      <c r="BK2750" s="2259"/>
      <c r="BL2750" s="2259"/>
      <c r="BM2750" s="2259"/>
      <c r="BN2750" s="2259"/>
      <c r="BO2750" s="2259"/>
      <c r="BP2750" s="2259"/>
      <c r="BQ2750" s="2259"/>
      <c r="BR2750" s="2259"/>
      <c r="BS2750" s="2259"/>
    </row>
    <row r="2751" spans="1:71" s="2131" customFormat="1" ht="38.25">
      <c r="A2751" s="2152"/>
      <c r="B2751" s="2253"/>
      <c r="C2751" s="2164">
        <v>5</v>
      </c>
      <c r="D2751" s="2164" t="s">
        <v>34</v>
      </c>
      <c r="E2751" s="2164" t="s">
        <v>25</v>
      </c>
      <c r="F2751" s="2164" t="s">
        <v>45</v>
      </c>
      <c r="G2751" s="2164" t="s">
        <v>25</v>
      </c>
      <c r="H2751" s="2164" t="s">
        <v>74</v>
      </c>
      <c r="I2751" s="2260" t="s">
        <v>167</v>
      </c>
      <c r="J2751" s="2265" t="s">
        <v>3633</v>
      </c>
      <c r="K2751" s="2240">
        <v>72</v>
      </c>
      <c r="L2751" s="2241">
        <v>85470000</v>
      </c>
      <c r="M2751" s="2261">
        <v>36</v>
      </c>
      <c r="N2751" s="2262">
        <v>53486500</v>
      </c>
      <c r="O2751" s="2240">
        <v>12</v>
      </c>
      <c r="P2751" s="2242">
        <v>13400000</v>
      </c>
      <c r="Q2751" s="2261">
        <v>3</v>
      </c>
      <c r="R2751" s="2425">
        <v>5894500</v>
      </c>
      <c r="S2751" s="2261">
        <v>3</v>
      </c>
      <c r="T2751" s="2425">
        <v>5894500</v>
      </c>
      <c r="U2751" s="2240"/>
      <c r="V2751" s="2242"/>
      <c r="W2751" s="2240"/>
      <c r="X2751" s="2258"/>
      <c r="Y2751" s="2240">
        <f t="shared" si="707"/>
        <v>6</v>
      </c>
      <c r="Z2751" s="2241">
        <f t="shared" si="707"/>
        <v>11789000</v>
      </c>
      <c r="AA2751" s="2240">
        <f t="shared" si="708"/>
        <v>42</v>
      </c>
      <c r="AB2751" s="2241">
        <f t="shared" si="708"/>
        <v>65275500</v>
      </c>
      <c r="AC2751" s="2243">
        <f t="shared" si="709"/>
        <v>58.333333333333336</v>
      </c>
      <c r="AD2751" s="2243">
        <f t="shared" si="709"/>
        <v>76.372411372411378</v>
      </c>
      <c r="AE2751" s="2152"/>
      <c r="AF2751" s="2259"/>
      <c r="AG2751" s="2259"/>
      <c r="AH2751" s="2259"/>
      <c r="AI2751" s="2259"/>
      <c r="AJ2751" s="2259"/>
      <c r="AK2751" s="2259"/>
      <c r="AL2751" s="2259"/>
      <c r="AM2751" s="2259"/>
      <c r="AN2751" s="2259"/>
      <c r="AO2751" s="2259"/>
      <c r="AP2751" s="2259"/>
      <c r="AQ2751" s="2259"/>
      <c r="AR2751" s="2259"/>
      <c r="AS2751" s="2259"/>
      <c r="AT2751" s="2259"/>
      <c r="AU2751" s="2259"/>
      <c r="AV2751" s="2259"/>
      <c r="AW2751" s="2259"/>
      <c r="AX2751" s="2259"/>
      <c r="AY2751" s="2259"/>
      <c r="AZ2751" s="2259"/>
      <c r="BA2751" s="2259"/>
      <c r="BB2751" s="2259"/>
      <c r="BC2751" s="2259"/>
      <c r="BD2751" s="2259"/>
      <c r="BE2751" s="2259"/>
      <c r="BF2751" s="2259"/>
      <c r="BG2751" s="2259"/>
      <c r="BH2751" s="2259"/>
      <c r="BI2751" s="2259"/>
      <c r="BJ2751" s="2259"/>
      <c r="BK2751" s="2259"/>
      <c r="BL2751" s="2259"/>
      <c r="BM2751" s="2259"/>
      <c r="BN2751" s="2259"/>
      <c r="BO2751" s="2259"/>
      <c r="BP2751" s="2259"/>
      <c r="BQ2751" s="2259"/>
      <c r="BR2751" s="2259"/>
      <c r="BS2751" s="2259"/>
    </row>
    <row r="2752" spans="1:71" s="2131" customFormat="1" ht="51">
      <c r="A2752" s="2267"/>
      <c r="B2752" s="2263"/>
      <c r="C2752" s="2254">
        <v>5</v>
      </c>
      <c r="D2752" s="2254" t="s">
        <v>34</v>
      </c>
      <c r="E2752" s="2254" t="s">
        <v>25</v>
      </c>
      <c r="F2752" s="2254" t="s">
        <v>45</v>
      </c>
      <c r="G2752" s="2254" t="s">
        <v>25</v>
      </c>
      <c r="H2752" s="2254" t="s">
        <v>44</v>
      </c>
      <c r="I2752" s="2171" t="s">
        <v>233</v>
      </c>
      <c r="J2752" s="2171" t="s">
        <v>3634</v>
      </c>
      <c r="K2752" s="2255">
        <v>72</v>
      </c>
      <c r="L2752" s="2203">
        <v>197033000</v>
      </c>
      <c r="M2752" s="2256">
        <v>36</v>
      </c>
      <c r="N2752" s="2257">
        <v>126878000</v>
      </c>
      <c r="O2752" s="2255">
        <v>12</v>
      </c>
      <c r="P2752" s="2258">
        <v>14950000</v>
      </c>
      <c r="Q2752" s="2256">
        <v>3</v>
      </c>
      <c r="R2752" s="2423">
        <v>2650000</v>
      </c>
      <c r="S2752" s="2256">
        <v>3</v>
      </c>
      <c r="T2752" s="2423">
        <v>2650000</v>
      </c>
      <c r="U2752" s="2255"/>
      <c r="V2752" s="2258"/>
      <c r="W2752" s="2255"/>
      <c r="X2752" s="2258"/>
      <c r="Y2752" s="2255">
        <f t="shared" si="707"/>
        <v>6</v>
      </c>
      <c r="Z2752" s="2203">
        <f t="shared" si="707"/>
        <v>5300000</v>
      </c>
      <c r="AA2752" s="2255">
        <f t="shared" si="708"/>
        <v>42</v>
      </c>
      <c r="AB2752" s="2203">
        <f t="shared" si="708"/>
        <v>132178000</v>
      </c>
      <c r="AC2752" s="2264">
        <f t="shared" si="709"/>
        <v>58.333333333333336</v>
      </c>
      <c r="AD2752" s="2264">
        <f t="shared" si="709"/>
        <v>67.084194018260902</v>
      </c>
      <c r="AE2752" s="2267"/>
      <c r="AF2752" s="2259"/>
      <c r="AG2752" s="2259"/>
      <c r="AH2752" s="2259"/>
      <c r="AI2752" s="2259"/>
      <c r="AJ2752" s="2259"/>
      <c r="AK2752" s="2259"/>
      <c r="AL2752" s="2259"/>
      <c r="AM2752" s="2259"/>
      <c r="AN2752" s="2259"/>
      <c r="AO2752" s="2259"/>
      <c r="AP2752" s="2259"/>
      <c r="AQ2752" s="2259"/>
      <c r="AR2752" s="2259"/>
      <c r="AS2752" s="2259"/>
      <c r="AT2752" s="2259"/>
      <c r="AU2752" s="2259"/>
      <c r="AV2752" s="2259"/>
      <c r="AW2752" s="2259"/>
      <c r="AX2752" s="2259"/>
      <c r="AY2752" s="2259"/>
      <c r="AZ2752" s="2259"/>
      <c r="BA2752" s="2259"/>
      <c r="BB2752" s="2259"/>
      <c r="BC2752" s="2259"/>
      <c r="BD2752" s="2259"/>
      <c r="BE2752" s="2259"/>
      <c r="BF2752" s="2259"/>
      <c r="BG2752" s="2259"/>
      <c r="BH2752" s="2259"/>
      <c r="BI2752" s="2259"/>
      <c r="BJ2752" s="2259"/>
      <c r="BK2752" s="2259"/>
      <c r="BL2752" s="2259"/>
      <c r="BM2752" s="2259"/>
      <c r="BN2752" s="2259"/>
      <c r="BO2752" s="2259"/>
      <c r="BP2752" s="2259"/>
      <c r="BQ2752" s="2259"/>
      <c r="BR2752" s="2259"/>
      <c r="BS2752" s="2259"/>
    </row>
    <row r="2753" spans="1:71" s="2131" customFormat="1" ht="51">
      <c r="A2753" s="2267"/>
      <c r="B2753" s="2253"/>
      <c r="C2753" s="2164">
        <v>5</v>
      </c>
      <c r="D2753" s="2164" t="s">
        <v>34</v>
      </c>
      <c r="E2753" s="2164" t="s">
        <v>25</v>
      </c>
      <c r="F2753" s="2164" t="s">
        <v>45</v>
      </c>
      <c r="G2753" s="2164" t="s">
        <v>25</v>
      </c>
      <c r="H2753" s="2254" t="s">
        <v>54</v>
      </c>
      <c r="I2753" s="2171" t="s">
        <v>3689</v>
      </c>
      <c r="J2753" s="2171" t="s">
        <v>3635</v>
      </c>
      <c r="K2753" s="2255">
        <v>72</v>
      </c>
      <c r="L2753" s="2203">
        <v>382943104</v>
      </c>
      <c r="M2753" s="2256">
        <v>36</v>
      </c>
      <c r="N2753" s="2257">
        <v>295988000</v>
      </c>
      <c r="O2753" s="2255">
        <v>12</v>
      </c>
      <c r="P2753" s="2258">
        <v>110100000</v>
      </c>
      <c r="Q2753" s="2256">
        <v>3</v>
      </c>
      <c r="R2753" s="2423">
        <v>26860000</v>
      </c>
      <c r="S2753" s="2256">
        <v>3</v>
      </c>
      <c r="T2753" s="2423">
        <v>26860000</v>
      </c>
      <c r="U2753" s="2255"/>
      <c r="V2753" s="2258"/>
      <c r="W2753" s="2255"/>
      <c r="X2753" s="2258"/>
      <c r="Y2753" s="2240">
        <f t="shared" si="707"/>
        <v>6</v>
      </c>
      <c r="Z2753" s="2203">
        <f t="shared" si="707"/>
        <v>53720000</v>
      </c>
      <c r="AA2753" s="2240">
        <f t="shared" si="708"/>
        <v>42</v>
      </c>
      <c r="AB2753" s="2203">
        <f t="shared" si="708"/>
        <v>349708000</v>
      </c>
      <c r="AC2753" s="2243">
        <f t="shared" si="709"/>
        <v>58.333333333333336</v>
      </c>
      <c r="AD2753" s="2243">
        <f t="shared" si="709"/>
        <v>91.321137878487562</v>
      </c>
      <c r="AE2753" s="2267"/>
      <c r="AF2753" s="2259"/>
      <c r="AG2753" s="2259"/>
      <c r="AH2753" s="2259"/>
      <c r="AI2753" s="2259"/>
      <c r="AJ2753" s="2259"/>
      <c r="AK2753" s="2259"/>
      <c r="AL2753" s="2259"/>
      <c r="AM2753" s="2259"/>
      <c r="AN2753" s="2259"/>
      <c r="AO2753" s="2259"/>
      <c r="AP2753" s="2259"/>
      <c r="AQ2753" s="2259"/>
      <c r="AR2753" s="2259"/>
      <c r="AS2753" s="2259"/>
      <c r="AT2753" s="2259"/>
      <c r="AU2753" s="2259"/>
      <c r="AV2753" s="2259"/>
      <c r="AW2753" s="2259"/>
      <c r="AX2753" s="2259"/>
      <c r="AY2753" s="2259"/>
      <c r="AZ2753" s="2259"/>
      <c r="BA2753" s="2259"/>
      <c r="BB2753" s="2259"/>
      <c r="BC2753" s="2259"/>
      <c r="BD2753" s="2259"/>
      <c r="BE2753" s="2259"/>
      <c r="BF2753" s="2259"/>
      <c r="BG2753" s="2259"/>
      <c r="BH2753" s="2259"/>
      <c r="BI2753" s="2259"/>
      <c r="BJ2753" s="2259"/>
      <c r="BK2753" s="2259"/>
      <c r="BL2753" s="2259"/>
      <c r="BM2753" s="2259"/>
      <c r="BN2753" s="2259"/>
      <c r="BO2753" s="2259"/>
      <c r="BP2753" s="2259"/>
      <c r="BQ2753" s="2259"/>
      <c r="BR2753" s="2259"/>
      <c r="BS2753" s="2259"/>
    </row>
    <row r="2754" spans="1:71" s="2259" customFormat="1" ht="79.5" customHeight="1">
      <c r="A2754" s="2267"/>
      <c r="B2754" s="2253"/>
      <c r="C2754" s="2164">
        <v>5</v>
      </c>
      <c r="D2754" s="2164" t="s">
        <v>34</v>
      </c>
      <c r="E2754" s="2164" t="s">
        <v>25</v>
      </c>
      <c r="F2754" s="2164" t="s">
        <v>45</v>
      </c>
      <c r="G2754" s="2164" t="s">
        <v>25</v>
      </c>
      <c r="H2754" s="2254">
        <v>23</v>
      </c>
      <c r="I2754" s="2171" t="s">
        <v>1716</v>
      </c>
      <c r="J2754" s="2171" t="s">
        <v>4011</v>
      </c>
      <c r="K2754" s="2255">
        <v>4</v>
      </c>
      <c r="L2754" s="2384">
        <v>28930000</v>
      </c>
      <c r="M2754" s="2256">
        <v>1</v>
      </c>
      <c r="N2754" s="2415">
        <v>7191400</v>
      </c>
      <c r="O2754" s="2255">
        <v>7</v>
      </c>
      <c r="P2754" s="2417">
        <v>1000000</v>
      </c>
      <c r="Q2754" s="2256"/>
      <c r="R2754" s="2423">
        <v>0</v>
      </c>
      <c r="S2754" s="2256"/>
      <c r="T2754" s="2423">
        <v>0</v>
      </c>
      <c r="U2754" s="2267"/>
      <c r="V2754" s="2417"/>
      <c r="W2754" s="2252"/>
      <c r="X2754" s="2252"/>
      <c r="Y2754" s="2152">
        <f t="shared" si="707"/>
        <v>0</v>
      </c>
      <c r="Z2754" s="2384">
        <f t="shared" si="707"/>
        <v>0</v>
      </c>
      <c r="AA2754" s="2152">
        <f>M2754+Y2754</f>
        <v>1</v>
      </c>
      <c r="AB2754" s="2384">
        <f t="shared" si="708"/>
        <v>7191400</v>
      </c>
      <c r="AC2754" s="2385">
        <f>(AA2754/K2754)*100</f>
        <v>25</v>
      </c>
      <c r="AD2754" s="2385">
        <f t="shared" ref="AD2754:AD2755" si="710">AB2754/L2754*100</f>
        <v>24.857932941583133</v>
      </c>
      <c r="AE2754" s="2267" t="s">
        <v>3924</v>
      </c>
    </row>
    <row r="2755" spans="1:71" s="2259" customFormat="1" ht="79.5" customHeight="1">
      <c r="A2755" s="2267"/>
      <c r="B2755" s="2253"/>
      <c r="C2755" s="2164">
        <v>5</v>
      </c>
      <c r="D2755" s="2164" t="s">
        <v>34</v>
      </c>
      <c r="E2755" s="2164" t="s">
        <v>25</v>
      </c>
      <c r="F2755" s="2164" t="s">
        <v>45</v>
      </c>
      <c r="G2755" s="2164" t="s">
        <v>25</v>
      </c>
      <c r="H2755" s="2254" t="s">
        <v>574</v>
      </c>
      <c r="I2755" s="2171" t="s">
        <v>4012</v>
      </c>
      <c r="J2755" s="2171" t="s">
        <v>4013</v>
      </c>
      <c r="K2755" s="2255">
        <v>35</v>
      </c>
      <c r="L2755" s="2384">
        <v>28930000</v>
      </c>
      <c r="M2755" s="2256">
        <v>21</v>
      </c>
      <c r="N2755" s="2415">
        <f>7191400+6200000</f>
        <v>13391400</v>
      </c>
      <c r="O2755" s="2255">
        <v>7</v>
      </c>
      <c r="P2755" s="2417">
        <v>17350000</v>
      </c>
      <c r="Q2755" s="2256"/>
      <c r="R2755" s="2423">
        <v>5614000</v>
      </c>
      <c r="S2755" s="2256"/>
      <c r="T2755" s="2423">
        <v>5614000</v>
      </c>
      <c r="U2755" s="2267"/>
      <c r="V2755" s="2417"/>
      <c r="W2755" s="2252"/>
      <c r="X2755" s="2252"/>
      <c r="Y2755" s="2152">
        <f t="shared" si="707"/>
        <v>0</v>
      </c>
      <c r="Z2755" s="2384">
        <f t="shared" si="707"/>
        <v>11228000</v>
      </c>
      <c r="AA2755" s="2152">
        <f>M2755+Y2755</f>
        <v>21</v>
      </c>
      <c r="AB2755" s="2384">
        <f t="shared" si="708"/>
        <v>24619400</v>
      </c>
      <c r="AC2755" s="2385">
        <f>(AA2755/K2755)*100</f>
        <v>60</v>
      </c>
      <c r="AD2755" s="2385">
        <f t="shared" si="710"/>
        <v>85.099896301417203</v>
      </c>
      <c r="AE2755" s="2267" t="s">
        <v>3924</v>
      </c>
    </row>
    <row r="2756" spans="1:71" s="2131" customFormat="1" ht="63.75">
      <c r="A2756" s="2140" t="s">
        <v>114</v>
      </c>
      <c r="B2756" s="2194"/>
      <c r="C2756" s="2142">
        <v>5</v>
      </c>
      <c r="D2756" s="2142" t="s">
        <v>34</v>
      </c>
      <c r="E2756" s="2142" t="s">
        <v>25</v>
      </c>
      <c r="F2756" s="2142" t="s">
        <v>45</v>
      </c>
      <c r="G2756" s="2142" t="s">
        <v>28</v>
      </c>
      <c r="H2756" s="2140"/>
      <c r="I2756" s="2143" t="s">
        <v>3636</v>
      </c>
      <c r="J2756" s="2143" t="s">
        <v>3531</v>
      </c>
      <c r="K2756" s="2144">
        <v>72</v>
      </c>
      <c r="L2756" s="2145">
        <f>SUM(L2757:L2762)</f>
        <v>458422585</v>
      </c>
      <c r="M2756" s="2144">
        <v>36</v>
      </c>
      <c r="N2756" s="2145">
        <f>SUM(N2757:N2762)</f>
        <v>326051050</v>
      </c>
      <c r="O2756" s="2144">
        <v>12</v>
      </c>
      <c r="P2756" s="2145">
        <f>SUM(P2757:P2762)</f>
        <v>87496851</v>
      </c>
      <c r="Q2756" s="2144">
        <v>3</v>
      </c>
      <c r="R2756" s="2388">
        <f>SUM(R2757:R2762)</f>
        <v>3711000</v>
      </c>
      <c r="S2756" s="2144">
        <v>3</v>
      </c>
      <c r="T2756" s="2388">
        <f>SUM(T2757:T2762)</f>
        <v>3711000</v>
      </c>
      <c r="U2756" s="2144"/>
      <c r="V2756" s="2145">
        <f>SUM(V2757:V2762)</f>
        <v>0</v>
      </c>
      <c r="W2756" s="2144"/>
      <c r="X2756" s="2145">
        <f>SUM(X2757:X2762)</f>
        <v>0</v>
      </c>
      <c r="Y2756" s="2144">
        <f t="shared" si="707"/>
        <v>6</v>
      </c>
      <c r="Z2756" s="2145">
        <f t="shared" si="707"/>
        <v>7422000</v>
      </c>
      <c r="AA2756" s="2144">
        <f t="shared" si="708"/>
        <v>42</v>
      </c>
      <c r="AB2756" s="2145">
        <f t="shared" si="708"/>
        <v>333473050</v>
      </c>
      <c r="AC2756" s="2147">
        <f t="shared" si="709"/>
        <v>58.333333333333336</v>
      </c>
      <c r="AD2756" s="2147">
        <f t="shared" si="709"/>
        <v>72.743590938042459</v>
      </c>
      <c r="AE2756" s="2140" t="s">
        <v>4009</v>
      </c>
    </row>
    <row r="2757" spans="1:71" s="2131" customFormat="1" ht="38.25">
      <c r="A2757" s="2267"/>
      <c r="B2757" s="2253"/>
      <c r="C2757" s="2164">
        <v>5</v>
      </c>
      <c r="D2757" s="2164" t="s">
        <v>34</v>
      </c>
      <c r="E2757" s="2164" t="s">
        <v>25</v>
      </c>
      <c r="F2757" s="2164" t="s">
        <v>45</v>
      </c>
      <c r="G2757" s="2164" t="s">
        <v>28</v>
      </c>
      <c r="H2757" s="2164" t="s">
        <v>29</v>
      </c>
      <c r="I2757" s="2171" t="s">
        <v>3637</v>
      </c>
      <c r="J2757" s="2171" t="s">
        <v>4014</v>
      </c>
      <c r="K2757" s="2255">
        <v>72</v>
      </c>
      <c r="L2757" s="2203">
        <v>25209890</v>
      </c>
      <c r="M2757" s="2256">
        <v>36</v>
      </c>
      <c r="N2757" s="2257">
        <v>71430000</v>
      </c>
      <c r="O2757" s="2255">
        <v>12</v>
      </c>
      <c r="P2757" s="2258">
        <v>5150000</v>
      </c>
      <c r="Q2757" s="2256">
        <v>3</v>
      </c>
      <c r="R2757" s="2423">
        <v>1530000</v>
      </c>
      <c r="S2757" s="2256">
        <v>3</v>
      </c>
      <c r="T2757" s="2423">
        <v>1530000</v>
      </c>
      <c r="U2757" s="2255"/>
      <c r="V2757" s="2258"/>
      <c r="W2757" s="2255"/>
      <c r="X2757" s="2258"/>
      <c r="Y2757" s="2240">
        <f t="shared" si="707"/>
        <v>6</v>
      </c>
      <c r="Z2757" s="2203">
        <f t="shared" si="707"/>
        <v>3060000</v>
      </c>
      <c r="AA2757" s="2240">
        <f t="shared" si="708"/>
        <v>42</v>
      </c>
      <c r="AB2757" s="2203">
        <f t="shared" si="708"/>
        <v>74490000</v>
      </c>
      <c r="AC2757" s="2243">
        <f t="shared" si="709"/>
        <v>58.333333333333336</v>
      </c>
      <c r="AD2757" s="2243">
        <f t="shared" si="709"/>
        <v>295.47927420548046</v>
      </c>
      <c r="AE2757" s="2267"/>
    </row>
    <row r="2758" spans="1:71" s="2131" customFormat="1" ht="38.25">
      <c r="A2758" s="2267"/>
      <c r="B2758" s="2253"/>
      <c r="C2758" s="2164">
        <v>5</v>
      </c>
      <c r="D2758" s="2164" t="s">
        <v>34</v>
      </c>
      <c r="E2758" s="2164" t="s">
        <v>25</v>
      </c>
      <c r="F2758" s="2164" t="s">
        <v>45</v>
      </c>
      <c r="G2758" s="2164" t="s">
        <v>28</v>
      </c>
      <c r="H2758" s="2164" t="s">
        <v>29</v>
      </c>
      <c r="I2758" s="2171" t="s">
        <v>82</v>
      </c>
      <c r="J2758" s="2171" t="s">
        <v>3977</v>
      </c>
      <c r="K2758" s="2255">
        <v>60</v>
      </c>
      <c r="L2758" s="2203">
        <v>15000000</v>
      </c>
      <c r="M2758" s="2256">
        <v>12</v>
      </c>
      <c r="N2758" s="2257">
        <v>2339000</v>
      </c>
      <c r="O2758" s="2255">
        <v>12</v>
      </c>
      <c r="P2758" s="2258">
        <v>20262975</v>
      </c>
      <c r="Q2758" s="2256">
        <v>3</v>
      </c>
      <c r="R2758" s="2423">
        <v>0</v>
      </c>
      <c r="S2758" s="2256">
        <v>3</v>
      </c>
      <c r="T2758" s="2423">
        <v>0</v>
      </c>
      <c r="U2758" s="2255"/>
      <c r="V2758" s="2258"/>
      <c r="W2758" s="2255"/>
      <c r="X2758" s="2258"/>
      <c r="Y2758" s="2240">
        <f t="shared" si="707"/>
        <v>6</v>
      </c>
      <c r="Z2758" s="2203">
        <f t="shared" si="707"/>
        <v>0</v>
      </c>
      <c r="AA2758" s="2240">
        <f t="shared" si="708"/>
        <v>18</v>
      </c>
      <c r="AB2758" s="2203">
        <f t="shared" si="708"/>
        <v>2339000</v>
      </c>
      <c r="AC2758" s="2243">
        <f t="shared" si="709"/>
        <v>30</v>
      </c>
      <c r="AD2758" s="2243">
        <f t="shared" si="709"/>
        <v>15.593333333333334</v>
      </c>
      <c r="AE2758" s="2605"/>
    </row>
    <row r="2759" spans="1:71" s="2131" customFormat="1" ht="25.5">
      <c r="A2759" s="2267"/>
      <c r="B2759" s="2253"/>
      <c r="C2759" s="2164">
        <v>5</v>
      </c>
      <c r="D2759" s="2164" t="s">
        <v>34</v>
      </c>
      <c r="E2759" s="2164" t="s">
        <v>25</v>
      </c>
      <c r="F2759" s="2164" t="s">
        <v>45</v>
      </c>
      <c r="G2759" s="2164" t="s">
        <v>28</v>
      </c>
      <c r="H2759" s="2164" t="s">
        <v>54</v>
      </c>
      <c r="I2759" s="2171" t="s">
        <v>4015</v>
      </c>
      <c r="J2759" s="2171" t="s">
        <v>4016</v>
      </c>
      <c r="K2759" s="2255">
        <v>72</v>
      </c>
      <c r="L2759" s="2203">
        <v>72000000</v>
      </c>
      <c r="M2759" s="2256">
        <v>36</v>
      </c>
      <c r="N2759" s="2257">
        <v>37000000</v>
      </c>
      <c r="O2759" s="2255">
        <v>12</v>
      </c>
      <c r="P2759" s="2258">
        <v>10000000</v>
      </c>
      <c r="Q2759" s="2256">
        <v>3</v>
      </c>
      <c r="R2759" s="2423">
        <v>0</v>
      </c>
      <c r="S2759" s="2256">
        <v>3</v>
      </c>
      <c r="T2759" s="2423">
        <v>0</v>
      </c>
      <c r="U2759" s="2255"/>
      <c r="V2759" s="2258"/>
      <c r="W2759" s="2255"/>
      <c r="X2759" s="2258"/>
      <c r="Y2759" s="2240">
        <f t="shared" si="707"/>
        <v>6</v>
      </c>
      <c r="Z2759" s="2203">
        <f t="shared" si="707"/>
        <v>0</v>
      </c>
      <c r="AA2759" s="2240">
        <f t="shared" si="708"/>
        <v>42</v>
      </c>
      <c r="AB2759" s="2203">
        <f t="shared" si="708"/>
        <v>37000000</v>
      </c>
      <c r="AC2759" s="2243">
        <f t="shared" si="709"/>
        <v>58.333333333333336</v>
      </c>
      <c r="AD2759" s="2243">
        <f t="shared" si="709"/>
        <v>51.388888888888886</v>
      </c>
      <c r="AE2759" s="2605"/>
    </row>
    <row r="2760" spans="1:71" s="2131" customFormat="1" ht="25.5">
      <c r="A2760" s="2267"/>
      <c r="B2760" s="2253"/>
      <c r="C2760" s="2164">
        <v>5</v>
      </c>
      <c r="D2760" s="2164" t="s">
        <v>34</v>
      </c>
      <c r="E2760" s="2164" t="s">
        <v>25</v>
      </c>
      <c r="F2760" s="2164" t="s">
        <v>45</v>
      </c>
      <c r="G2760" s="2164" t="s">
        <v>28</v>
      </c>
      <c r="H2760" s="2164" t="s">
        <v>61</v>
      </c>
      <c r="I2760" s="2171" t="s">
        <v>134</v>
      </c>
      <c r="J2760" s="2171" t="s">
        <v>243</v>
      </c>
      <c r="K2760" s="2255">
        <v>72</v>
      </c>
      <c r="L2760" s="2203">
        <v>53854000</v>
      </c>
      <c r="M2760" s="2256">
        <v>36</v>
      </c>
      <c r="N2760" s="2257">
        <v>80418000</v>
      </c>
      <c r="O2760" s="2255">
        <v>12</v>
      </c>
      <c r="P2760" s="2258">
        <v>43983876</v>
      </c>
      <c r="Q2760" s="2256">
        <v>3</v>
      </c>
      <c r="R2760" s="2423">
        <v>0</v>
      </c>
      <c r="S2760" s="2256">
        <v>3</v>
      </c>
      <c r="T2760" s="2423">
        <v>0</v>
      </c>
      <c r="U2760" s="2255"/>
      <c r="V2760" s="2258"/>
      <c r="W2760" s="2255"/>
      <c r="X2760" s="2258"/>
      <c r="Y2760" s="2240">
        <f t="shared" si="707"/>
        <v>6</v>
      </c>
      <c r="Z2760" s="2203">
        <f t="shared" si="707"/>
        <v>0</v>
      </c>
      <c r="AA2760" s="2240">
        <f t="shared" si="708"/>
        <v>42</v>
      </c>
      <c r="AB2760" s="2203">
        <f t="shared" si="708"/>
        <v>80418000</v>
      </c>
      <c r="AC2760" s="2243">
        <f t="shared" si="709"/>
        <v>58.333333333333336</v>
      </c>
      <c r="AD2760" s="2243">
        <f t="shared" si="709"/>
        <v>149.32595536079026</v>
      </c>
      <c r="AE2760" s="2267"/>
    </row>
    <row r="2761" spans="1:71" s="2131" customFormat="1" ht="51">
      <c r="A2761" s="2267"/>
      <c r="B2761" s="2253"/>
      <c r="C2761" s="2164">
        <v>5</v>
      </c>
      <c r="D2761" s="2164" t="s">
        <v>34</v>
      </c>
      <c r="E2761" s="2164" t="s">
        <v>25</v>
      </c>
      <c r="F2761" s="2164" t="s">
        <v>45</v>
      </c>
      <c r="G2761" s="2164" t="s">
        <v>28</v>
      </c>
      <c r="H2761" s="2164" t="s">
        <v>84</v>
      </c>
      <c r="I2761" s="2171" t="s">
        <v>239</v>
      </c>
      <c r="J2761" s="2171" t="s">
        <v>3694</v>
      </c>
      <c r="K2761" s="2255">
        <v>72</v>
      </c>
      <c r="L2761" s="2203">
        <v>273794695</v>
      </c>
      <c r="M2761" s="2256">
        <v>36</v>
      </c>
      <c r="N2761" s="2257">
        <v>127464050</v>
      </c>
      <c r="O2761" s="2255">
        <v>12</v>
      </c>
      <c r="P2761" s="2258">
        <v>8100000</v>
      </c>
      <c r="Q2761" s="2256">
        <v>3</v>
      </c>
      <c r="R2761" s="2423">
        <v>2181000</v>
      </c>
      <c r="S2761" s="2256">
        <v>3</v>
      </c>
      <c r="T2761" s="2423">
        <v>2181000</v>
      </c>
      <c r="U2761" s="2255"/>
      <c r="V2761" s="2203"/>
      <c r="W2761" s="2255"/>
      <c r="X2761" s="2258"/>
      <c r="Y2761" s="2240">
        <f t="shared" si="707"/>
        <v>6</v>
      </c>
      <c r="Z2761" s="2203">
        <f t="shared" si="707"/>
        <v>4362000</v>
      </c>
      <c r="AA2761" s="2240">
        <f t="shared" si="708"/>
        <v>42</v>
      </c>
      <c r="AB2761" s="2203">
        <f t="shared" si="708"/>
        <v>131826050</v>
      </c>
      <c r="AC2761" s="2243">
        <f t="shared" si="709"/>
        <v>58.333333333333336</v>
      </c>
      <c r="AD2761" s="2243">
        <f t="shared" si="709"/>
        <v>48.147773644774233</v>
      </c>
      <c r="AE2761" s="2267"/>
    </row>
    <row r="2762" spans="1:71" s="2131" customFormat="1" ht="38.25">
      <c r="A2762" s="2267"/>
      <c r="B2762" s="2253"/>
      <c r="C2762" s="2164">
        <v>5</v>
      </c>
      <c r="D2762" s="2164" t="s">
        <v>34</v>
      </c>
      <c r="E2762" s="2164" t="s">
        <v>25</v>
      </c>
      <c r="F2762" s="2164" t="s">
        <v>45</v>
      </c>
      <c r="G2762" s="2164" t="s">
        <v>28</v>
      </c>
      <c r="H2762" s="2164" t="s">
        <v>50</v>
      </c>
      <c r="I2762" s="2171" t="s">
        <v>4017</v>
      </c>
      <c r="J2762" s="2171" t="s">
        <v>4018</v>
      </c>
      <c r="K2762" s="2255">
        <v>72</v>
      </c>
      <c r="L2762" s="2203">
        <v>18564000</v>
      </c>
      <c r="M2762" s="2256">
        <v>36</v>
      </c>
      <c r="N2762" s="2257">
        <v>7400000</v>
      </c>
      <c r="O2762" s="2255">
        <v>12</v>
      </c>
      <c r="P2762" s="2258"/>
      <c r="Q2762" s="2256">
        <v>0</v>
      </c>
      <c r="R2762" s="2423">
        <v>0</v>
      </c>
      <c r="S2762" s="2256">
        <v>0</v>
      </c>
      <c r="T2762" s="2423">
        <v>0</v>
      </c>
      <c r="U2762" s="2255"/>
      <c r="V2762" s="2258"/>
      <c r="W2762" s="2255"/>
      <c r="X2762" s="2258"/>
      <c r="Y2762" s="2240">
        <f t="shared" si="707"/>
        <v>0</v>
      </c>
      <c r="Z2762" s="2203">
        <f t="shared" si="707"/>
        <v>0</v>
      </c>
      <c r="AA2762" s="2240">
        <f t="shared" si="708"/>
        <v>36</v>
      </c>
      <c r="AB2762" s="2203">
        <f t="shared" si="708"/>
        <v>7400000</v>
      </c>
      <c r="AC2762" s="2243">
        <f t="shared" si="709"/>
        <v>50</v>
      </c>
      <c r="AD2762" s="2243">
        <f t="shared" si="709"/>
        <v>39.862098685628098</v>
      </c>
      <c r="AE2762" s="2267"/>
    </row>
    <row r="2763" spans="1:71" s="2131" customFormat="1" ht="51">
      <c r="A2763" s="2140" t="s">
        <v>3538</v>
      </c>
      <c r="B2763" s="2194"/>
      <c r="C2763" s="2142">
        <v>5</v>
      </c>
      <c r="D2763" s="2142" t="s">
        <v>34</v>
      </c>
      <c r="E2763" s="2142" t="s">
        <v>25</v>
      </c>
      <c r="F2763" s="2142" t="s">
        <v>45</v>
      </c>
      <c r="G2763" s="2142" t="s">
        <v>74</v>
      </c>
      <c r="H2763" s="2140"/>
      <c r="I2763" s="2143" t="s">
        <v>3648</v>
      </c>
      <c r="J2763" s="2143" t="s">
        <v>3649</v>
      </c>
      <c r="K2763" s="2144">
        <v>100</v>
      </c>
      <c r="L2763" s="2145">
        <f>L2764</f>
        <v>98767141</v>
      </c>
      <c r="M2763" s="2144">
        <v>50</v>
      </c>
      <c r="N2763" s="2145">
        <f>N2764</f>
        <v>68707600</v>
      </c>
      <c r="O2763" s="2144">
        <v>18</v>
      </c>
      <c r="P2763" s="2145">
        <f>P2764</f>
        <v>36000000</v>
      </c>
      <c r="Q2763" s="2144">
        <v>0</v>
      </c>
      <c r="R2763" s="2145">
        <f>R2764</f>
        <v>0</v>
      </c>
      <c r="S2763" s="2144">
        <v>0</v>
      </c>
      <c r="T2763" s="2145">
        <f>T2764</f>
        <v>0</v>
      </c>
      <c r="U2763" s="2195"/>
      <c r="V2763" s="2145">
        <f>V2764</f>
        <v>0</v>
      </c>
      <c r="W2763" s="2144"/>
      <c r="X2763" s="2145">
        <f>X2764</f>
        <v>0</v>
      </c>
      <c r="Y2763" s="2195">
        <f>Q2763+S2763+U2763+W2763</f>
        <v>0</v>
      </c>
      <c r="Z2763" s="2145">
        <f>R2763+T2763+V2763+X2763</f>
        <v>0</v>
      </c>
      <c r="AA2763" s="2147">
        <f>M2763+Y2763</f>
        <v>50</v>
      </c>
      <c r="AB2763" s="2145">
        <f>N2763+Z2763</f>
        <v>68707600</v>
      </c>
      <c r="AC2763" s="2147">
        <f>(AA2763/K2763)*100</f>
        <v>50</v>
      </c>
      <c r="AD2763" s="2147">
        <f>(AB2763/L2763)*100</f>
        <v>69.565241338716078</v>
      </c>
      <c r="AE2763" s="2140" t="s">
        <v>4009</v>
      </c>
    </row>
    <row r="2764" spans="1:71" s="2131" customFormat="1" ht="25.5">
      <c r="A2764" s="2379"/>
      <c r="B2764" s="2162"/>
      <c r="C2764" s="2164">
        <v>5</v>
      </c>
      <c r="D2764" s="2164" t="s">
        <v>34</v>
      </c>
      <c r="E2764" s="2164" t="s">
        <v>25</v>
      </c>
      <c r="F2764" s="2164" t="s">
        <v>45</v>
      </c>
      <c r="G2764" s="2164" t="s">
        <v>74</v>
      </c>
      <c r="H2764" s="2164" t="s">
        <v>56</v>
      </c>
      <c r="I2764" s="2162" t="s">
        <v>3650</v>
      </c>
      <c r="J2764" s="2162" t="s">
        <v>3651</v>
      </c>
      <c r="K2764" s="2166">
        <v>6</v>
      </c>
      <c r="L2764" s="2167">
        <v>98767141</v>
      </c>
      <c r="M2764" s="2166">
        <v>3</v>
      </c>
      <c r="N2764" s="2167">
        <v>68707600</v>
      </c>
      <c r="O2764" s="2166">
        <v>1</v>
      </c>
      <c r="P2764" s="2167">
        <v>36000000</v>
      </c>
      <c r="Q2764" s="2166">
        <v>0</v>
      </c>
      <c r="R2764" s="2167"/>
      <c r="S2764" s="2166">
        <v>0</v>
      </c>
      <c r="T2764" s="2167"/>
      <c r="U2764" s="2166"/>
      <c r="V2764" s="2202"/>
      <c r="W2764" s="2166"/>
      <c r="X2764" s="2258"/>
      <c r="Y2764" s="2166">
        <f>Q2764+S2764+U2764+W2764</f>
        <v>0</v>
      </c>
      <c r="Z2764" s="2203">
        <f>R2764+T2764+V2764+X2764</f>
        <v>0</v>
      </c>
      <c r="AA2764" s="2166">
        <f>M2764+Y2764</f>
        <v>3</v>
      </c>
      <c r="AB2764" s="2203">
        <f>N2764+Z2764</f>
        <v>68707600</v>
      </c>
      <c r="AC2764" s="2170">
        <f>(AA2764/K2764)*100</f>
        <v>50</v>
      </c>
      <c r="AD2764" s="2170">
        <f>(AB2764/L2764)*100</f>
        <v>69.565241338716078</v>
      </c>
      <c r="AE2764" s="2379"/>
    </row>
    <row r="2765" spans="1:71" s="2131" customFormat="1" ht="62.25" customHeight="1">
      <c r="A2765" s="2140" t="s">
        <v>3543</v>
      </c>
      <c r="B2765" s="2194"/>
      <c r="C2765" s="2142">
        <v>5</v>
      </c>
      <c r="D2765" s="2142" t="s">
        <v>34</v>
      </c>
      <c r="E2765" s="2142" t="s">
        <v>25</v>
      </c>
      <c r="F2765" s="2142" t="s">
        <v>45</v>
      </c>
      <c r="G2765" s="2142" t="s">
        <v>84</v>
      </c>
      <c r="H2765" s="2140"/>
      <c r="I2765" s="2143" t="s">
        <v>3548</v>
      </c>
      <c r="J2765" s="2143" t="s">
        <v>3549</v>
      </c>
      <c r="K2765" s="2144">
        <v>100</v>
      </c>
      <c r="L2765" s="2145">
        <f>SUM(L2766:L2767)</f>
        <v>156825000</v>
      </c>
      <c r="M2765" s="2144">
        <v>75</v>
      </c>
      <c r="N2765" s="2145">
        <f>SUM(N2766:N2767)</f>
        <v>0</v>
      </c>
      <c r="O2765" s="2144">
        <v>15</v>
      </c>
      <c r="P2765" s="2145">
        <f>SUM(P2766:P2767)</f>
        <v>52275000</v>
      </c>
      <c r="Q2765" s="2144">
        <v>0</v>
      </c>
      <c r="R2765" s="2145">
        <f>SUM(R2766:R2767)</f>
        <v>1125000</v>
      </c>
      <c r="S2765" s="2144">
        <v>0</v>
      </c>
      <c r="T2765" s="2145">
        <f>SUM(T2766:T2767)</f>
        <v>1125000</v>
      </c>
      <c r="U2765" s="2195"/>
      <c r="V2765" s="2145">
        <f>SUM(V2766:V2767)</f>
        <v>0</v>
      </c>
      <c r="W2765" s="2144"/>
      <c r="X2765" s="2145">
        <f>SUM(X2766:X2767)</f>
        <v>0</v>
      </c>
      <c r="Y2765" s="2147">
        <f t="shared" ref="Y2765:Z2773" si="711">Q2765+S2765+U2765+W2765</f>
        <v>0</v>
      </c>
      <c r="Z2765" s="2145">
        <f t="shared" si="711"/>
        <v>2250000</v>
      </c>
      <c r="AA2765" s="2147">
        <f t="shared" ref="AA2765:AB2772" si="712">M2765+Y2765</f>
        <v>75</v>
      </c>
      <c r="AB2765" s="2145">
        <f t="shared" si="712"/>
        <v>2250000</v>
      </c>
      <c r="AC2765" s="2147">
        <f t="shared" ref="AC2765:AD2778" si="713">(AA2765/K2765)*100</f>
        <v>75</v>
      </c>
      <c r="AD2765" s="2147">
        <f t="shared" si="713"/>
        <v>1.4347202295552368</v>
      </c>
      <c r="AE2765" s="2140" t="s">
        <v>4009</v>
      </c>
    </row>
    <row r="2766" spans="1:71" s="2131" customFormat="1" ht="38.25">
      <c r="A2766" s="2379"/>
      <c r="B2766" s="2162"/>
      <c r="C2766" s="2164">
        <v>5</v>
      </c>
      <c r="D2766" s="2164" t="s">
        <v>34</v>
      </c>
      <c r="E2766" s="2164" t="s">
        <v>25</v>
      </c>
      <c r="F2766" s="2164" t="s">
        <v>45</v>
      </c>
      <c r="G2766" s="2164">
        <v>24</v>
      </c>
      <c r="H2766" s="2164">
        <v>15</v>
      </c>
      <c r="I2766" s="2197" t="s">
        <v>3551</v>
      </c>
      <c r="J2766" s="2198" t="s">
        <v>3875</v>
      </c>
      <c r="K2766" s="2199">
        <v>36</v>
      </c>
      <c r="L2766" s="2200">
        <f>3*P2766</f>
        <v>132750000</v>
      </c>
      <c r="M2766" s="2201">
        <v>0</v>
      </c>
      <c r="N2766" s="2200">
        <v>0</v>
      </c>
      <c r="O2766" s="2166">
        <v>12</v>
      </c>
      <c r="P2766" s="2167">
        <v>44250000</v>
      </c>
      <c r="Q2766" s="2166">
        <v>0</v>
      </c>
      <c r="R2766" s="2167">
        <v>1125000</v>
      </c>
      <c r="S2766" s="2166">
        <v>0</v>
      </c>
      <c r="T2766" s="2167">
        <v>1125000</v>
      </c>
      <c r="U2766" s="2166"/>
      <c r="V2766" s="2202"/>
      <c r="W2766" s="2166"/>
      <c r="X2766" s="2167"/>
      <c r="Y2766" s="2166">
        <f t="shared" si="711"/>
        <v>0</v>
      </c>
      <c r="Z2766" s="2203">
        <f t="shared" si="711"/>
        <v>2250000</v>
      </c>
      <c r="AA2766" s="2166">
        <f t="shared" si="712"/>
        <v>0</v>
      </c>
      <c r="AB2766" s="2203">
        <f t="shared" si="712"/>
        <v>2250000</v>
      </c>
      <c r="AC2766" s="2170">
        <f t="shared" si="713"/>
        <v>0</v>
      </c>
      <c r="AD2766" s="2170">
        <f t="shared" si="713"/>
        <v>1.6949152542372881</v>
      </c>
      <c r="AE2766" s="2379"/>
    </row>
    <row r="2767" spans="1:71" s="2131" customFormat="1" ht="38.25">
      <c r="A2767" s="2379"/>
      <c r="B2767" s="2162"/>
      <c r="C2767" s="2164">
        <v>5</v>
      </c>
      <c r="D2767" s="2164" t="s">
        <v>34</v>
      </c>
      <c r="E2767" s="2164" t="s">
        <v>25</v>
      </c>
      <c r="F2767" s="2164" t="s">
        <v>45</v>
      </c>
      <c r="G2767" s="2164">
        <v>24</v>
      </c>
      <c r="H2767" s="2164">
        <v>16</v>
      </c>
      <c r="I2767" s="2198" t="s">
        <v>3553</v>
      </c>
      <c r="J2767" s="2198" t="s">
        <v>3554</v>
      </c>
      <c r="K2767" s="2199">
        <v>36</v>
      </c>
      <c r="L2767" s="2200">
        <f>3*P2767</f>
        <v>24075000</v>
      </c>
      <c r="M2767" s="2201">
        <v>0</v>
      </c>
      <c r="N2767" s="2200">
        <v>0</v>
      </c>
      <c r="O2767" s="2166">
        <v>12</v>
      </c>
      <c r="P2767" s="2167">
        <v>8025000</v>
      </c>
      <c r="Q2767" s="2166">
        <v>0</v>
      </c>
      <c r="R2767" s="2167">
        <v>0</v>
      </c>
      <c r="S2767" s="2166">
        <v>0</v>
      </c>
      <c r="T2767" s="2167">
        <v>0</v>
      </c>
      <c r="U2767" s="2166"/>
      <c r="V2767" s="2202"/>
      <c r="W2767" s="2166"/>
      <c r="X2767" s="2167"/>
      <c r="Y2767" s="2166">
        <f t="shared" si="711"/>
        <v>0</v>
      </c>
      <c r="Z2767" s="2203">
        <f t="shared" si="711"/>
        <v>0</v>
      </c>
      <c r="AA2767" s="2166">
        <f t="shared" si="712"/>
        <v>0</v>
      </c>
      <c r="AB2767" s="2203">
        <f t="shared" si="712"/>
        <v>0</v>
      </c>
      <c r="AC2767" s="2170">
        <f t="shared" si="713"/>
        <v>0</v>
      </c>
      <c r="AD2767" s="2170">
        <f t="shared" si="713"/>
        <v>0</v>
      </c>
      <c r="AE2767" s="2379"/>
    </row>
    <row r="2768" spans="1:71" s="2266" customFormat="1" ht="54" customHeight="1">
      <c r="A2768" s="2140" t="s">
        <v>3547</v>
      </c>
      <c r="B2768" s="2194"/>
      <c r="C2768" s="2142">
        <v>5</v>
      </c>
      <c r="D2768" s="2142" t="s">
        <v>34</v>
      </c>
      <c r="E2768" s="2142" t="s">
        <v>25</v>
      </c>
      <c r="F2768" s="2142" t="s">
        <v>45</v>
      </c>
      <c r="G2768" s="2142" t="s">
        <v>45</v>
      </c>
      <c r="H2768" s="2142"/>
      <c r="I2768" s="2143" t="s">
        <v>4019</v>
      </c>
      <c r="J2768" s="2143" t="s">
        <v>4020</v>
      </c>
      <c r="K2768" s="2144">
        <v>100</v>
      </c>
      <c r="L2768" s="2373">
        <f>SUM(L2769:L2769)</f>
        <v>70929850</v>
      </c>
      <c r="M2768" s="2144">
        <v>32</v>
      </c>
      <c r="N2768" s="2373">
        <f>SUM(N2769:N2769)</f>
        <v>43745950</v>
      </c>
      <c r="O2768" s="2144">
        <v>18</v>
      </c>
      <c r="P2768" s="2373">
        <f>SUM(P2769:P2769)</f>
        <v>13955000</v>
      </c>
      <c r="Q2768" s="2144">
        <v>0</v>
      </c>
      <c r="R2768" s="2373">
        <f>SUM(R2769:R2769)</f>
        <v>0</v>
      </c>
      <c r="S2768" s="2144">
        <v>0</v>
      </c>
      <c r="T2768" s="2373">
        <f>SUM(T2769:T2769)</f>
        <v>0</v>
      </c>
      <c r="U2768" s="2148"/>
      <c r="V2768" s="2374"/>
      <c r="W2768" s="2148"/>
      <c r="X2768" s="2148"/>
      <c r="Y2768" s="2140">
        <f t="shared" si="711"/>
        <v>0</v>
      </c>
      <c r="Z2768" s="2373">
        <f t="shared" si="711"/>
        <v>0</v>
      </c>
      <c r="AA2768" s="2140">
        <f t="shared" si="712"/>
        <v>32</v>
      </c>
      <c r="AB2768" s="2373">
        <f t="shared" si="712"/>
        <v>43745950</v>
      </c>
      <c r="AC2768" s="2375">
        <f t="shared" si="713"/>
        <v>32</v>
      </c>
      <c r="AD2768" s="2375">
        <f t="shared" si="713"/>
        <v>61.674950673094607</v>
      </c>
      <c r="AE2768" s="2140" t="s">
        <v>4009</v>
      </c>
    </row>
    <row r="2769" spans="1:71" s="2259" customFormat="1" ht="38.25">
      <c r="A2769" s="2379"/>
      <c r="B2769" s="2162"/>
      <c r="C2769" s="2164">
        <v>5</v>
      </c>
      <c r="D2769" s="2164" t="s">
        <v>34</v>
      </c>
      <c r="E2769" s="2164" t="s">
        <v>25</v>
      </c>
      <c r="F2769" s="2164" t="s">
        <v>45</v>
      </c>
      <c r="G2769" s="2164" t="s">
        <v>45</v>
      </c>
      <c r="H2769" s="2164" t="s">
        <v>31</v>
      </c>
      <c r="I2769" s="2162" t="s">
        <v>4021</v>
      </c>
      <c r="J2769" s="2162" t="s">
        <v>4022</v>
      </c>
      <c r="K2769" s="2166">
        <v>6</v>
      </c>
      <c r="L2769" s="2278">
        <v>70929850</v>
      </c>
      <c r="M2769" s="2166">
        <v>3</v>
      </c>
      <c r="N2769" s="2410">
        <f>12574000+12591300+18580650</f>
        <v>43745950</v>
      </c>
      <c r="O2769" s="2411">
        <v>1</v>
      </c>
      <c r="P2769" s="2410">
        <v>13955000</v>
      </c>
      <c r="Q2769" s="2411">
        <v>0</v>
      </c>
      <c r="R2769" s="2410">
        <v>0</v>
      </c>
      <c r="S2769" s="2411">
        <v>0</v>
      </c>
      <c r="T2769" s="2410">
        <v>0</v>
      </c>
      <c r="U2769" s="2409"/>
      <c r="V2769" s="2412"/>
      <c r="W2769" s="2162"/>
      <c r="X2769" s="2162"/>
      <c r="Y2769" s="2152">
        <f t="shared" si="711"/>
        <v>0</v>
      </c>
      <c r="Z2769" s="2384">
        <f t="shared" si="711"/>
        <v>0</v>
      </c>
      <c r="AA2769" s="2152">
        <f t="shared" si="712"/>
        <v>3</v>
      </c>
      <c r="AB2769" s="2384">
        <f t="shared" si="712"/>
        <v>43745950</v>
      </c>
      <c r="AC2769" s="2385">
        <f t="shared" si="713"/>
        <v>50</v>
      </c>
      <c r="AD2769" s="2385">
        <f t="shared" si="713"/>
        <v>61.674950673094607</v>
      </c>
      <c r="AE2769" s="2379"/>
    </row>
    <row r="2770" spans="1:71" s="2131" customFormat="1" ht="38.25">
      <c r="A2770" s="2196" t="s">
        <v>3555</v>
      </c>
      <c r="B2770" s="2194"/>
      <c r="C2770" s="2204">
        <v>5</v>
      </c>
      <c r="D2770" s="2205">
        <v>0</v>
      </c>
      <c r="E2770" s="2205">
        <v>1</v>
      </c>
      <c r="F2770" s="2205">
        <v>15</v>
      </c>
      <c r="G2770" s="2205">
        <v>18</v>
      </c>
      <c r="H2770" s="2205"/>
      <c r="I2770" s="2206" t="s">
        <v>3556</v>
      </c>
      <c r="J2770" s="2194" t="s">
        <v>2155</v>
      </c>
      <c r="K2770" s="2207">
        <v>150</v>
      </c>
      <c r="L2770" s="2208">
        <f>SUM(L2771)</f>
        <v>20880000</v>
      </c>
      <c r="M2770" s="2209">
        <v>115</v>
      </c>
      <c r="N2770" s="2208">
        <f>SUM(N2771)</f>
        <v>0</v>
      </c>
      <c r="O2770" s="2207">
        <v>30</v>
      </c>
      <c r="P2770" s="2208">
        <f>SUM(P2771)</f>
        <v>6960000</v>
      </c>
      <c r="Q2770" s="2210">
        <v>0</v>
      </c>
      <c r="R2770" s="2208">
        <f>SUM(R2771)</f>
        <v>0</v>
      </c>
      <c r="S2770" s="2210">
        <v>0</v>
      </c>
      <c r="T2770" s="2208">
        <f>SUM(T2771)</f>
        <v>0</v>
      </c>
      <c r="U2770" s="2210"/>
      <c r="V2770" s="2212">
        <f>SUM(V2771)</f>
        <v>0</v>
      </c>
      <c r="W2770" s="2210"/>
      <c r="X2770" s="2212">
        <f>SUM(X2771)</f>
        <v>0</v>
      </c>
      <c r="Y2770" s="2210">
        <f t="shared" si="711"/>
        <v>0</v>
      </c>
      <c r="Z2770" s="2213">
        <f t="shared" si="711"/>
        <v>0</v>
      </c>
      <c r="AA2770" s="2210">
        <f t="shared" si="712"/>
        <v>115</v>
      </c>
      <c r="AB2770" s="2213">
        <f t="shared" si="712"/>
        <v>0</v>
      </c>
      <c r="AC2770" s="2214">
        <f t="shared" si="713"/>
        <v>76.666666666666671</v>
      </c>
      <c r="AD2770" s="2214">
        <f t="shared" si="713"/>
        <v>0</v>
      </c>
      <c r="AE2770" s="2140" t="s">
        <v>4009</v>
      </c>
    </row>
    <row r="2771" spans="1:71" s="2131" customFormat="1" ht="38.25">
      <c r="A2771" s="2215"/>
      <c r="B2771" s="2198"/>
      <c r="C2771" s="2216">
        <v>5</v>
      </c>
      <c r="D2771" s="2217">
        <v>0</v>
      </c>
      <c r="E2771" s="2217">
        <v>1</v>
      </c>
      <c r="F2771" s="2217">
        <v>15</v>
      </c>
      <c r="G2771" s="2217">
        <v>18</v>
      </c>
      <c r="H2771" s="2217">
        <v>25</v>
      </c>
      <c r="I2771" s="2218" t="s">
        <v>3557</v>
      </c>
      <c r="J2771" s="2198" t="s">
        <v>3558</v>
      </c>
      <c r="K2771" s="2199">
        <v>36</v>
      </c>
      <c r="L2771" s="2200">
        <f>3*P2771</f>
        <v>20880000</v>
      </c>
      <c r="M2771" s="2201">
        <v>0</v>
      </c>
      <c r="N2771" s="2200"/>
      <c r="O2771" s="2199">
        <v>12</v>
      </c>
      <c r="P2771" s="2200">
        <v>6960000</v>
      </c>
      <c r="Q2771" s="2219">
        <v>0</v>
      </c>
      <c r="R2771" s="2200">
        <v>0</v>
      </c>
      <c r="S2771" s="2219">
        <v>0</v>
      </c>
      <c r="T2771" s="2200">
        <v>0</v>
      </c>
      <c r="U2771" s="2221"/>
      <c r="V2771" s="2220"/>
      <c r="W2771" s="2219"/>
      <c r="X2771" s="2222"/>
      <c r="Y2771" s="2219">
        <f t="shared" si="711"/>
        <v>0</v>
      </c>
      <c r="Z2771" s="2223">
        <f t="shared" si="711"/>
        <v>0</v>
      </c>
      <c r="AA2771" s="2219">
        <f t="shared" si="712"/>
        <v>0</v>
      </c>
      <c r="AB2771" s="2224">
        <f t="shared" si="712"/>
        <v>0</v>
      </c>
      <c r="AC2771" s="2225">
        <f t="shared" si="713"/>
        <v>0</v>
      </c>
      <c r="AD2771" s="2225">
        <f t="shared" si="713"/>
        <v>0</v>
      </c>
      <c r="AE2771" s="2215"/>
    </row>
    <row r="2772" spans="1:71" s="2259" customFormat="1" ht="51">
      <c r="A2772" s="2140" t="s">
        <v>3577</v>
      </c>
      <c r="B2772" s="2194"/>
      <c r="C2772" s="2142">
        <v>5</v>
      </c>
      <c r="D2772" s="2142" t="s">
        <v>34</v>
      </c>
      <c r="E2772" s="2142" t="s">
        <v>25</v>
      </c>
      <c r="F2772" s="2142" t="s">
        <v>45</v>
      </c>
      <c r="G2772" s="2142" t="s">
        <v>35</v>
      </c>
      <c r="H2772" s="2142"/>
      <c r="I2772" s="2143" t="s">
        <v>1287</v>
      </c>
      <c r="J2772" s="2143" t="s">
        <v>3963</v>
      </c>
      <c r="K2772" s="2144">
        <v>100</v>
      </c>
      <c r="L2772" s="2373">
        <f>SUM(L2773:L2773)</f>
        <v>52402670</v>
      </c>
      <c r="M2772" s="2144">
        <v>32</v>
      </c>
      <c r="N2772" s="2373">
        <f>SUM(N2773:N2773)</f>
        <v>23104250</v>
      </c>
      <c r="O2772" s="2144">
        <v>18</v>
      </c>
      <c r="P2772" s="2373">
        <f>SUM(P2773:P2773)</f>
        <v>18665000</v>
      </c>
      <c r="Q2772" s="2144">
        <v>0</v>
      </c>
      <c r="R2772" s="2373">
        <f>SUM(R2773:R2773)</f>
        <v>9460000</v>
      </c>
      <c r="S2772" s="2144">
        <v>0</v>
      </c>
      <c r="T2772" s="2373">
        <f>SUM(T2773:T2773)</f>
        <v>0</v>
      </c>
      <c r="U2772" s="2148"/>
      <c r="V2772" s="2373"/>
      <c r="W2772" s="2148"/>
      <c r="X2772" s="2148"/>
      <c r="Y2772" s="2140">
        <f t="shared" si="711"/>
        <v>0</v>
      </c>
      <c r="Z2772" s="2373">
        <f t="shared" si="711"/>
        <v>9460000</v>
      </c>
      <c r="AA2772" s="2140">
        <f t="shared" si="712"/>
        <v>32</v>
      </c>
      <c r="AB2772" s="2373">
        <f>N2772+Z2772</f>
        <v>32564250</v>
      </c>
      <c r="AC2772" s="2375">
        <f t="shared" si="713"/>
        <v>32</v>
      </c>
      <c r="AD2772" s="2375">
        <f t="shared" si="713"/>
        <v>62.142348853598492</v>
      </c>
      <c r="AE2772" s="2140" t="s">
        <v>4009</v>
      </c>
    </row>
    <row r="2773" spans="1:71" s="2259" customFormat="1" ht="63.75">
      <c r="A2773" s="2267"/>
      <c r="B2773" s="2253"/>
      <c r="C2773" s="2164">
        <v>5</v>
      </c>
      <c r="D2773" s="2164" t="s">
        <v>34</v>
      </c>
      <c r="E2773" s="2164" t="s">
        <v>25</v>
      </c>
      <c r="F2773" s="2164" t="s">
        <v>45</v>
      </c>
      <c r="G2773" s="2164" t="s">
        <v>35</v>
      </c>
      <c r="H2773" s="2254" t="s">
        <v>43</v>
      </c>
      <c r="I2773" s="2171" t="s">
        <v>3964</v>
      </c>
      <c r="J2773" s="2171" t="s">
        <v>3965</v>
      </c>
      <c r="K2773" s="2255">
        <v>6</v>
      </c>
      <c r="L2773" s="2384">
        <v>52402670</v>
      </c>
      <c r="M2773" s="2256">
        <v>3</v>
      </c>
      <c r="N2773" s="2415">
        <f>6505500+9884600+6714150</f>
        <v>23104250</v>
      </c>
      <c r="O2773" s="2255">
        <v>1</v>
      </c>
      <c r="P2773" s="2417">
        <v>18665000</v>
      </c>
      <c r="Q2773" s="2256">
        <v>1</v>
      </c>
      <c r="R2773" s="2384">
        <v>9460000</v>
      </c>
      <c r="S2773" s="2256">
        <v>0</v>
      </c>
      <c r="T2773" s="2384">
        <v>0</v>
      </c>
      <c r="U2773" s="2267"/>
      <c r="V2773" s="2417"/>
      <c r="W2773" s="2252"/>
      <c r="X2773" s="2252"/>
      <c r="Y2773" s="2152">
        <f>Q2773+S2773+U2773+W2773</f>
        <v>1</v>
      </c>
      <c r="Z2773" s="2384">
        <f t="shared" si="711"/>
        <v>9460000</v>
      </c>
      <c r="AA2773" s="2152">
        <f>M2773+Y2773</f>
        <v>4</v>
      </c>
      <c r="AB2773" s="2384">
        <f>N2773+Z2773</f>
        <v>32564250</v>
      </c>
      <c r="AC2773" s="2385">
        <f t="shared" si="713"/>
        <v>66.666666666666657</v>
      </c>
      <c r="AD2773" s="2385">
        <f t="shared" si="713"/>
        <v>62.142348853598492</v>
      </c>
      <c r="AE2773" s="2267"/>
    </row>
    <row r="2774" spans="1:71" s="2131" customFormat="1" ht="51">
      <c r="A2774" s="2140" t="s">
        <v>19</v>
      </c>
      <c r="B2774" s="2194"/>
      <c r="C2774" s="2142">
        <v>5</v>
      </c>
      <c r="D2774" s="2142" t="s">
        <v>34</v>
      </c>
      <c r="E2774" s="2142" t="s">
        <v>25</v>
      </c>
      <c r="F2774" s="2142" t="s">
        <v>45</v>
      </c>
      <c r="G2774" s="2142" t="s">
        <v>47</v>
      </c>
      <c r="H2774" s="2140"/>
      <c r="I2774" s="2143" t="s">
        <v>3661</v>
      </c>
      <c r="J2774" s="2143" t="s">
        <v>3662</v>
      </c>
      <c r="K2774" s="2144">
        <v>100</v>
      </c>
      <c r="L2774" s="2145">
        <f>SUM(L2775:L2776)</f>
        <v>59900000</v>
      </c>
      <c r="M2774" s="2144">
        <v>50</v>
      </c>
      <c r="N2774" s="2145">
        <f>SUM(N2775:N2776)</f>
        <v>57505284.75</v>
      </c>
      <c r="O2774" s="2144">
        <v>18</v>
      </c>
      <c r="P2774" s="2145">
        <f>SUM(P2775:P2776)</f>
        <v>26900000</v>
      </c>
      <c r="Q2774" s="2144">
        <v>2</v>
      </c>
      <c r="R2774" s="2145">
        <f>SUM(R2775:R2776)</f>
        <v>600000</v>
      </c>
      <c r="S2774" s="2144">
        <v>2</v>
      </c>
      <c r="T2774" s="2145">
        <f>SUM(T2775:T2776)</f>
        <v>600000</v>
      </c>
      <c r="U2774" s="2195"/>
      <c r="V2774" s="2146">
        <f>SUM(V2775:V2776)</f>
        <v>0</v>
      </c>
      <c r="W2774" s="2144"/>
      <c r="X2774" s="2146">
        <f>SUM(X2775:X2776)</f>
        <v>0</v>
      </c>
      <c r="Y2774" s="2195">
        <f>Q2774+S2774+U2774+W2774</f>
        <v>4</v>
      </c>
      <c r="Z2774" s="2145">
        <f>R2774+T2774+V2774+X2774</f>
        <v>1200000</v>
      </c>
      <c r="AA2774" s="2147">
        <f>M2774+Y2774</f>
        <v>54</v>
      </c>
      <c r="AB2774" s="2145">
        <f>N2774+Z2774</f>
        <v>58705284.75</v>
      </c>
      <c r="AC2774" s="2147">
        <f t="shared" si="713"/>
        <v>54</v>
      </c>
      <c r="AD2774" s="2147">
        <f t="shared" si="713"/>
        <v>98.00548372287146</v>
      </c>
      <c r="AE2774" s="2140" t="s">
        <v>4009</v>
      </c>
      <c r="AF2774" s="2270"/>
      <c r="AG2774" s="2270"/>
      <c r="AH2774" s="2270"/>
      <c r="AI2774" s="2270"/>
      <c r="AJ2774" s="2270"/>
      <c r="AK2774" s="2270"/>
      <c r="AL2774" s="2270"/>
      <c r="AM2774" s="2270"/>
      <c r="AN2774" s="2270"/>
      <c r="AO2774" s="2270"/>
      <c r="AP2774" s="2270"/>
      <c r="AQ2774" s="2270"/>
      <c r="AR2774" s="2270"/>
      <c r="AS2774" s="2270"/>
      <c r="AT2774" s="2270"/>
      <c r="AU2774" s="2270"/>
      <c r="AV2774" s="2270"/>
      <c r="AW2774" s="2270"/>
      <c r="AX2774" s="2270"/>
      <c r="AY2774" s="2270"/>
      <c r="AZ2774" s="2270"/>
      <c r="BA2774" s="2270"/>
      <c r="BB2774" s="2270"/>
      <c r="BC2774" s="2270"/>
      <c r="BD2774" s="2270"/>
      <c r="BE2774" s="2270"/>
      <c r="BF2774" s="2270"/>
      <c r="BG2774" s="2270"/>
      <c r="BH2774" s="2270"/>
      <c r="BI2774" s="2270"/>
      <c r="BJ2774" s="2270"/>
      <c r="BK2774" s="2270"/>
      <c r="BL2774" s="2270"/>
      <c r="BM2774" s="2270"/>
      <c r="BN2774" s="2270"/>
      <c r="BO2774" s="2270"/>
      <c r="BP2774" s="2270"/>
      <c r="BQ2774" s="2270"/>
      <c r="BR2774" s="2270"/>
      <c r="BS2774" s="2270"/>
    </row>
    <row r="2775" spans="1:71" s="2131" customFormat="1" ht="25.5">
      <c r="A2775" s="2379"/>
      <c r="B2775" s="2162"/>
      <c r="C2775" s="2164">
        <v>5</v>
      </c>
      <c r="D2775" s="2164" t="s">
        <v>34</v>
      </c>
      <c r="E2775" s="2164" t="s">
        <v>25</v>
      </c>
      <c r="F2775" s="2164" t="s">
        <v>45</v>
      </c>
      <c r="G2775" s="2164" t="s">
        <v>47</v>
      </c>
      <c r="H2775" s="2151" t="s">
        <v>78</v>
      </c>
      <c r="I2775" s="2162" t="s">
        <v>4023</v>
      </c>
      <c r="J2775" s="2162" t="s">
        <v>4024</v>
      </c>
      <c r="K2775" s="2166">
        <v>60</v>
      </c>
      <c r="L2775" s="2167">
        <v>29950000</v>
      </c>
      <c r="M2775" s="2166">
        <v>30</v>
      </c>
      <c r="N2775" s="2167">
        <v>22676685.75</v>
      </c>
      <c r="O2775" s="2166">
        <v>10</v>
      </c>
      <c r="P2775" s="2167">
        <v>12300000</v>
      </c>
      <c r="Q2775" s="2166">
        <v>0</v>
      </c>
      <c r="R2775" s="2167"/>
      <c r="S2775" s="2166">
        <v>0</v>
      </c>
      <c r="T2775" s="2167"/>
      <c r="U2775" s="2166"/>
      <c r="V2775" s="2202"/>
      <c r="W2775" s="2166"/>
      <c r="X2775" s="2258"/>
      <c r="Y2775" s="2166">
        <f>Q2775+S2775+U2775+W2775</f>
        <v>0</v>
      </c>
      <c r="Z2775" s="2203">
        <f>R2775+T2775+V2775+X2775</f>
        <v>0</v>
      </c>
      <c r="AA2775" s="2166">
        <f>M2775+Y2775</f>
        <v>30</v>
      </c>
      <c r="AB2775" s="2203">
        <f>N2775+Z2775</f>
        <v>22676685.75</v>
      </c>
      <c r="AC2775" s="2170">
        <f t="shared" si="713"/>
        <v>50</v>
      </c>
      <c r="AD2775" s="2170">
        <f t="shared" si="713"/>
        <v>75.715144407345576</v>
      </c>
      <c r="AE2775" s="2379"/>
      <c r="AF2775" s="2161"/>
      <c r="AG2775" s="2161"/>
      <c r="AH2775" s="2161"/>
      <c r="AI2775" s="2161"/>
      <c r="AJ2775" s="2161"/>
      <c r="AK2775" s="2161"/>
      <c r="AL2775" s="2161"/>
      <c r="AM2775" s="2161"/>
      <c r="AN2775" s="2161"/>
      <c r="AO2775" s="2161"/>
      <c r="AP2775" s="2161"/>
      <c r="AQ2775" s="2161"/>
      <c r="AR2775" s="2161"/>
      <c r="AS2775" s="2161"/>
      <c r="AT2775" s="2161"/>
      <c r="AU2775" s="2161"/>
      <c r="AV2775" s="2161"/>
      <c r="AW2775" s="2161"/>
      <c r="AX2775" s="2161"/>
      <c r="AY2775" s="2161"/>
      <c r="AZ2775" s="2161"/>
      <c r="BA2775" s="2161"/>
      <c r="BB2775" s="2161"/>
      <c r="BC2775" s="2161"/>
      <c r="BD2775" s="2161"/>
      <c r="BE2775" s="2161"/>
      <c r="BF2775" s="2161"/>
      <c r="BG2775" s="2161"/>
      <c r="BH2775" s="2161"/>
      <c r="BI2775" s="2161"/>
      <c r="BJ2775" s="2161"/>
      <c r="BK2775" s="2161"/>
      <c r="BL2775" s="2161"/>
      <c r="BM2775" s="2161"/>
      <c r="BN2775" s="2161"/>
      <c r="BO2775" s="2161"/>
      <c r="BP2775" s="2161"/>
      <c r="BQ2775" s="2161"/>
      <c r="BR2775" s="2161"/>
      <c r="BS2775" s="2161"/>
    </row>
    <row r="2776" spans="1:71" s="2131" customFormat="1" ht="25.5">
      <c r="A2776" s="2379"/>
      <c r="B2776" s="2162"/>
      <c r="C2776" s="2164">
        <v>5</v>
      </c>
      <c r="D2776" s="2164" t="s">
        <v>34</v>
      </c>
      <c r="E2776" s="2164" t="s">
        <v>25</v>
      </c>
      <c r="F2776" s="2164" t="s">
        <v>45</v>
      </c>
      <c r="G2776" s="2164" t="s">
        <v>47</v>
      </c>
      <c r="H2776" s="2151" t="s">
        <v>38</v>
      </c>
      <c r="I2776" s="2162" t="s">
        <v>3663</v>
      </c>
      <c r="J2776" s="2162" t="s">
        <v>4024</v>
      </c>
      <c r="K2776" s="2166">
        <v>60</v>
      </c>
      <c r="L2776" s="2167">
        <v>29950000</v>
      </c>
      <c r="M2776" s="2166">
        <v>30</v>
      </c>
      <c r="N2776" s="2167">
        <v>34828599</v>
      </c>
      <c r="O2776" s="2166">
        <v>10</v>
      </c>
      <c r="P2776" s="2167">
        <v>14600000</v>
      </c>
      <c r="Q2776" s="2166">
        <v>2</v>
      </c>
      <c r="R2776" s="2167">
        <v>600000</v>
      </c>
      <c r="S2776" s="2166">
        <v>2</v>
      </c>
      <c r="T2776" s="2167">
        <v>600000</v>
      </c>
      <c r="U2776" s="2166"/>
      <c r="V2776" s="2202"/>
      <c r="W2776" s="2166"/>
      <c r="X2776" s="2258"/>
      <c r="Y2776" s="2166">
        <f>Q2776+S2776+U2776+W2776</f>
        <v>4</v>
      </c>
      <c r="Z2776" s="2203">
        <f>R2776+T2776+V2776+X2776</f>
        <v>1200000</v>
      </c>
      <c r="AA2776" s="2166">
        <f>M2776+Y2776</f>
        <v>34</v>
      </c>
      <c r="AB2776" s="2203">
        <f>N2776+Z2776</f>
        <v>36028599</v>
      </c>
      <c r="AC2776" s="2170">
        <f t="shared" si="713"/>
        <v>56.666666666666664</v>
      </c>
      <c r="AD2776" s="2170">
        <f t="shared" si="713"/>
        <v>120.29582303839732</v>
      </c>
      <c r="AE2776" s="2379"/>
      <c r="AF2776" s="2161"/>
      <c r="AG2776" s="2161"/>
      <c r="AH2776" s="2161"/>
      <c r="AI2776" s="2161"/>
      <c r="AJ2776" s="2161"/>
      <c r="AK2776" s="2161"/>
      <c r="AL2776" s="2161"/>
      <c r="AM2776" s="2161"/>
      <c r="AN2776" s="2161"/>
      <c r="AO2776" s="2161"/>
      <c r="AP2776" s="2161"/>
      <c r="AQ2776" s="2161"/>
      <c r="AR2776" s="2161"/>
      <c r="AS2776" s="2161"/>
      <c r="AT2776" s="2161"/>
      <c r="AU2776" s="2161"/>
      <c r="AV2776" s="2161"/>
      <c r="AW2776" s="2161"/>
      <c r="AX2776" s="2161"/>
      <c r="AY2776" s="2161"/>
      <c r="AZ2776" s="2161"/>
      <c r="BA2776" s="2161"/>
      <c r="BB2776" s="2161"/>
      <c r="BC2776" s="2161"/>
      <c r="BD2776" s="2161"/>
      <c r="BE2776" s="2161"/>
      <c r="BF2776" s="2161"/>
      <c r="BG2776" s="2161"/>
      <c r="BH2776" s="2161"/>
      <c r="BI2776" s="2161"/>
      <c r="BJ2776" s="2161"/>
      <c r="BK2776" s="2161"/>
      <c r="BL2776" s="2161"/>
      <c r="BM2776" s="2161"/>
      <c r="BN2776" s="2161"/>
      <c r="BO2776" s="2161"/>
      <c r="BP2776" s="2161"/>
      <c r="BQ2776" s="2161"/>
      <c r="BR2776" s="2161"/>
      <c r="BS2776" s="2161"/>
    </row>
    <row r="2777" spans="1:71" s="2131" customFormat="1" ht="38.25">
      <c r="A2777" s="2140" t="s">
        <v>3589</v>
      </c>
      <c r="B2777" s="2194"/>
      <c r="C2777" s="2142">
        <v>5</v>
      </c>
      <c r="D2777" s="2142" t="s">
        <v>34</v>
      </c>
      <c r="E2777" s="2142" t="s">
        <v>25</v>
      </c>
      <c r="F2777" s="2142" t="s">
        <v>45</v>
      </c>
      <c r="G2777" s="2142">
        <v>47</v>
      </c>
      <c r="H2777" s="2140"/>
      <c r="I2777" s="2143" t="s">
        <v>3917</v>
      </c>
      <c r="J2777" s="2143" t="s">
        <v>3918</v>
      </c>
      <c r="K2777" s="2144">
        <v>95</v>
      </c>
      <c r="L2777" s="2145">
        <f>SUM(L2778:L2778)</f>
        <v>22800000</v>
      </c>
      <c r="M2777" s="2144">
        <v>80</v>
      </c>
      <c r="N2777" s="2145">
        <f>SUM(N2778:N2778)</f>
        <v>0</v>
      </c>
      <c r="O2777" s="2144">
        <v>20</v>
      </c>
      <c r="P2777" s="2145">
        <f>SUM(P2778:P2778)</f>
        <v>7600000</v>
      </c>
      <c r="Q2777" s="2144">
        <v>0</v>
      </c>
      <c r="R2777" s="2145">
        <f>SUM(R2778:R2778)</f>
        <v>0</v>
      </c>
      <c r="S2777" s="2144">
        <v>0</v>
      </c>
      <c r="T2777" s="2145">
        <f>SUM(T2778:T2778)</f>
        <v>0</v>
      </c>
      <c r="U2777" s="2195"/>
      <c r="V2777" s="2145">
        <f>SUM(V2778:V2778)</f>
        <v>0</v>
      </c>
      <c r="W2777" s="2144"/>
      <c r="X2777" s="2145">
        <f>SUM(X2778:X2778)</f>
        <v>0</v>
      </c>
      <c r="Y2777" s="2195">
        <f t="shared" ref="Y2777:Z2778" si="714">Q2777+S2777+U2777+W2777</f>
        <v>0</v>
      </c>
      <c r="Z2777" s="2145">
        <f t="shared" si="714"/>
        <v>0</v>
      </c>
      <c r="AA2777" s="2147">
        <f t="shared" ref="AA2777:AB2778" si="715">M2777+Y2777</f>
        <v>80</v>
      </c>
      <c r="AB2777" s="2145">
        <f t="shared" si="715"/>
        <v>0</v>
      </c>
      <c r="AC2777" s="2147">
        <f t="shared" si="713"/>
        <v>84.210526315789465</v>
      </c>
      <c r="AD2777" s="2147">
        <f t="shared" si="713"/>
        <v>0</v>
      </c>
      <c r="AE2777" s="2140" t="s">
        <v>4009</v>
      </c>
      <c r="AF2777" s="2149"/>
      <c r="AG2777" s="2149"/>
      <c r="AH2777" s="2149"/>
      <c r="AI2777" s="2149"/>
      <c r="AJ2777" s="2149"/>
      <c r="AK2777" s="2149"/>
      <c r="AL2777" s="2149"/>
      <c r="AM2777" s="2149"/>
      <c r="AN2777" s="2149"/>
      <c r="AO2777" s="2149"/>
      <c r="AP2777" s="2149"/>
      <c r="AQ2777" s="2149"/>
      <c r="AR2777" s="2149"/>
      <c r="AS2777" s="2149"/>
      <c r="AT2777" s="2149"/>
      <c r="AU2777" s="2149"/>
      <c r="AV2777" s="2149"/>
      <c r="AW2777" s="2149"/>
      <c r="AX2777" s="2149"/>
      <c r="AY2777" s="2149"/>
      <c r="AZ2777" s="2149"/>
      <c r="BA2777" s="2149"/>
      <c r="BB2777" s="2149"/>
      <c r="BC2777" s="2149"/>
      <c r="BD2777" s="2149"/>
      <c r="BE2777" s="2149"/>
      <c r="BF2777" s="2149"/>
      <c r="BG2777" s="2149"/>
      <c r="BH2777" s="2149"/>
      <c r="BI2777" s="2149"/>
      <c r="BJ2777" s="2149"/>
      <c r="BK2777" s="2149"/>
      <c r="BL2777" s="2149"/>
      <c r="BM2777" s="2149"/>
      <c r="BN2777" s="2149"/>
      <c r="BO2777" s="2149"/>
      <c r="BP2777" s="2149"/>
      <c r="BQ2777" s="2149"/>
      <c r="BR2777" s="2149"/>
      <c r="BS2777" s="2149"/>
    </row>
    <row r="2778" spans="1:71" s="2131" customFormat="1" ht="25.5">
      <c r="A2778" s="2267"/>
      <c r="B2778" s="2253"/>
      <c r="C2778" s="2164">
        <v>5</v>
      </c>
      <c r="D2778" s="2164" t="s">
        <v>34</v>
      </c>
      <c r="E2778" s="2164" t="s">
        <v>25</v>
      </c>
      <c r="F2778" s="2164" t="s">
        <v>45</v>
      </c>
      <c r="G2778" s="2164">
        <v>47</v>
      </c>
      <c r="H2778" s="2254" t="s">
        <v>43</v>
      </c>
      <c r="I2778" s="2171" t="s">
        <v>1942</v>
      </c>
      <c r="J2778" s="2171" t="s">
        <v>3922</v>
      </c>
      <c r="K2778" s="2255">
        <v>36</v>
      </c>
      <c r="L2778" s="2268">
        <f>3*P2778</f>
        <v>22800000</v>
      </c>
      <c r="M2778" s="2256">
        <v>0</v>
      </c>
      <c r="N2778" s="2257">
        <v>0</v>
      </c>
      <c r="O2778" s="2255">
        <v>12</v>
      </c>
      <c r="P2778" s="2258">
        <v>7600000</v>
      </c>
      <c r="Q2778" s="2366">
        <v>0</v>
      </c>
      <c r="R2778" s="2203">
        <v>0</v>
      </c>
      <c r="S2778" s="2366">
        <v>0</v>
      </c>
      <c r="T2778" s="2203">
        <v>0</v>
      </c>
      <c r="U2778" s="2255"/>
      <c r="V2778" s="2203"/>
      <c r="W2778" s="2255"/>
      <c r="X2778" s="2203"/>
      <c r="Y2778" s="2240">
        <f t="shared" si="714"/>
        <v>0</v>
      </c>
      <c r="Z2778" s="2203">
        <f t="shared" si="714"/>
        <v>0</v>
      </c>
      <c r="AA2778" s="2240">
        <f t="shared" si="715"/>
        <v>0</v>
      </c>
      <c r="AB2778" s="2203">
        <f t="shared" si="715"/>
        <v>0</v>
      </c>
      <c r="AC2778" s="2243">
        <f t="shared" si="713"/>
        <v>0</v>
      </c>
      <c r="AD2778" s="2243">
        <f t="shared" si="713"/>
        <v>0</v>
      </c>
      <c r="AE2778" s="2605"/>
      <c r="AF2778" s="2161"/>
      <c r="AG2778" s="2161"/>
      <c r="AH2778" s="2161"/>
      <c r="AI2778" s="2161"/>
      <c r="AJ2778" s="2161"/>
      <c r="AK2778" s="2161"/>
      <c r="AL2778" s="2161"/>
      <c r="AM2778" s="2161"/>
      <c r="AN2778" s="2161"/>
      <c r="AO2778" s="2161"/>
      <c r="AP2778" s="2161"/>
      <c r="AQ2778" s="2161"/>
      <c r="AR2778" s="2161"/>
      <c r="AS2778" s="2161"/>
      <c r="AT2778" s="2161"/>
      <c r="AU2778" s="2161"/>
      <c r="AV2778" s="2161"/>
      <c r="AW2778" s="2161"/>
      <c r="AX2778" s="2161"/>
      <c r="AY2778" s="2161"/>
      <c r="AZ2778" s="2161"/>
      <c r="BA2778" s="2161"/>
      <c r="BB2778" s="2161"/>
      <c r="BC2778" s="2161"/>
      <c r="BD2778" s="2161"/>
      <c r="BE2778" s="2161"/>
      <c r="BF2778" s="2161"/>
      <c r="BG2778" s="2161"/>
      <c r="BH2778" s="2161"/>
      <c r="BI2778" s="2161"/>
      <c r="BJ2778" s="2161"/>
      <c r="BK2778" s="2161"/>
      <c r="BL2778" s="2161"/>
      <c r="BM2778" s="2161"/>
      <c r="BN2778" s="2161"/>
      <c r="BO2778" s="2161"/>
      <c r="BP2778" s="2161"/>
      <c r="BQ2778" s="2161"/>
      <c r="BR2778" s="2161"/>
      <c r="BS2778" s="2161"/>
    </row>
    <row r="2779" spans="1:71" s="2131" customFormat="1" ht="51">
      <c r="A2779" s="2140" t="s">
        <v>3596</v>
      </c>
      <c r="B2779" s="2194"/>
      <c r="C2779" s="2142">
        <v>5</v>
      </c>
      <c r="D2779" s="2142" t="s">
        <v>34</v>
      </c>
      <c r="E2779" s="2142" t="s">
        <v>25</v>
      </c>
      <c r="F2779" s="2142" t="s">
        <v>45</v>
      </c>
      <c r="G2779" s="2142" t="s">
        <v>56</v>
      </c>
      <c r="H2779" s="2140"/>
      <c r="I2779" s="2143" t="s">
        <v>3722</v>
      </c>
      <c r="J2779" s="2143" t="s">
        <v>4025</v>
      </c>
      <c r="K2779" s="2144">
        <v>72</v>
      </c>
      <c r="L2779" s="2145">
        <f>SUM(L2780:L2781)</f>
        <v>250029600</v>
      </c>
      <c r="M2779" s="2144">
        <v>71</v>
      </c>
      <c r="N2779" s="2145">
        <f>SUM(N2780:N2781)</f>
        <v>91301428.75</v>
      </c>
      <c r="O2779" s="2144"/>
      <c r="P2779" s="2145">
        <f>SUM(P2780:P2781)</f>
        <v>0</v>
      </c>
      <c r="Q2779" s="2144"/>
      <c r="R2779" s="2145">
        <f>SUM(R2780:R2781)</f>
        <v>0</v>
      </c>
      <c r="S2779" s="2144"/>
      <c r="T2779" s="2145">
        <f>SUM(T2780:T2781)</f>
        <v>0</v>
      </c>
      <c r="U2779" s="2144"/>
      <c r="V2779" s="2145">
        <f>SUM(V2780:V2781)</f>
        <v>0</v>
      </c>
      <c r="W2779" s="2144"/>
      <c r="X2779" s="2144">
        <f>SUM(X2780:X2781)</f>
        <v>0</v>
      </c>
      <c r="Y2779" s="2147">
        <f t="shared" si="707"/>
        <v>0</v>
      </c>
      <c r="Z2779" s="2145">
        <f t="shared" si="707"/>
        <v>0</v>
      </c>
      <c r="AA2779" s="2147">
        <f t="shared" si="708"/>
        <v>71</v>
      </c>
      <c r="AB2779" s="2145">
        <f t="shared" si="708"/>
        <v>91301428.75</v>
      </c>
      <c r="AC2779" s="2147">
        <f t="shared" si="709"/>
        <v>98.611111111111114</v>
      </c>
      <c r="AD2779" s="2147">
        <f t="shared" si="709"/>
        <v>36.516247976239612</v>
      </c>
      <c r="AE2779" s="2140" t="s">
        <v>4009</v>
      </c>
    </row>
    <row r="2780" spans="1:71" s="2131" customFormat="1" ht="38.25">
      <c r="A2780" s="2267"/>
      <c r="B2780" s="2253"/>
      <c r="C2780" s="2164">
        <v>5</v>
      </c>
      <c r="D2780" s="2164" t="s">
        <v>34</v>
      </c>
      <c r="E2780" s="2164" t="s">
        <v>25</v>
      </c>
      <c r="F2780" s="2164" t="s">
        <v>45</v>
      </c>
      <c r="G2780" s="2164" t="s">
        <v>56</v>
      </c>
      <c r="H2780" s="2254" t="s">
        <v>25</v>
      </c>
      <c r="I2780" s="2171" t="s">
        <v>4026</v>
      </c>
      <c r="J2780" s="2171" t="s">
        <v>4027</v>
      </c>
      <c r="K2780" s="2255">
        <v>6</v>
      </c>
      <c r="L2780" s="2203">
        <v>50769000</v>
      </c>
      <c r="M2780" s="2256">
        <v>3</v>
      </c>
      <c r="N2780" s="2257">
        <v>16685871.5</v>
      </c>
      <c r="O2780" s="2255"/>
      <c r="P2780" s="2258"/>
      <c r="Q2780" s="2256"/>
      <c r="R2780" s="2203"/>
      <c r="S2780" s="2256"/>
      <c r="T2780" s="2203"/>
      <c r="U2780" s="2255"/>
      <c r="V2780" s="2258"/>
      <c r="W2780" s="2255"/>
      <c r="X2780" s="2258"/>
      <c r="Y2780" s="2240">
        <f t="shared" si="707"/>
        <v>0</v>
      </c>
      <c r="Z2780" s="2203">
        <f t="shared" si="707"/>
        <v>0</v>
      </c>
      <c r="AA2780" s="2240">
        <f t="shared" si="708"/>
        <v>3</v>
      </c>
      <c r="AB2780" s="2203">
        <f t="shared" si="708"/>
        <v>16685871.5</v>
      </c>
      <c r="AC2780" s="2243">
        <f t="shared" si="709"/>
        <v>50</v>
      </c>
      <c r="AD2780" s="2243">
        <f t="shared" si="709"/>
        <v>32.866259922393589</v>
      </c>
      <c r="AE2780" s="2267"/>
    </row>
    <row r="2781" spans="1:71" s="2131" customFormat="1" ht="25.5">
      <c r="A2781" s="2267"/>
      <c r="B2781" s="2253"/>
      <c r="C2781" s="2164">
        <v>5</v>
      </c>
      <c r="D2781" s="2164" t="s">
        <v>34</v>
      </c>
      <c r="E2781" s="2164" t="s">
        <v>25</v>
      </c>
      <c r="F2781" s="2164" t="s">
        <v>45</v>
      </c>
      <c r="G2781" s="2164" t="s">
        <v>56</v>
      </c>
      <c r="H2781" s="2254" t="s">
        <v>31</v>
      </c>
      <c r="I2781" s="2171" t="s">
        <v>4028</v>
      </c>
      <c r="J2781" s="2171" t="s">
        <v>4029</v>
      </c>
      <c r="K2781" s="2255">
        <v>24</v>
      </c>
      <c r="L2781" s="2203">
        <v>199260600</v>
      </c>
      <c r="M2781" s="2256">
        <v>16</v>
      </c>
      <c r="N2781" s="2257">
        <v>74615557.25</v>
      </c>
      <c r="O2781" s="2255"/>
      <c r="P2781" s="2258"/>
      <c r="Q2781" s="2256"/>
      <c r="R2781" s="2258"/>
      <c r="S2781" s="2256"/>
      <c r="T2781" s="2258"/>
      <c r="U2781" s="2255"/>
      <c r="V2781" s="2258"/>
      <c r="W2781" s="2255"/>
      <c r="X2781" s="2258"/>
      <c r="Y2781" s="2240">
        <f t="shared" si="707"/>
        <v>0</v>
      </c>
      <c r="Z2781" s="2203">
        <f t="shared" si="707"/>
        <v>0</v>
      </c>
      <c r="AA2781" s="2240">
        <f t="shared" si="708"/>
        <v>16</v>
      </c>
      <c r="AB2781" s="2203">
        <f t="shared" si="708"/>
        <v>74615557.25</v>
      </c>
      <c r="AC2781" s="2243">
        <f t="shared" si="709"/>
        <v>66.666666666666657</v>
      </c>
      <c r="AD2781" s="2243">
        <f t="shared" si="709"/>
        <v>37.446217290322323</v>
      </c>
      <c r="AE2781" s="2267"/>
    </row>
    <row r="2782" spans="1:71" s="2131" customFormat="1" ht="63.75">
      <c r="A2782" s="2140" t="s">
        <v>3612</v>
      </c>
      <c r="B2782" s="2194"/>
      <c r="C2782" s="2142">
        <v>5</v>
      </c>
      <c r="D2782" s="2142" t="s">
        <v>34</v>
      </c>
      <c r="E2782" s="2142" t="s">
        <v>25</v>
      </c>
      <c r="F2782" s="2142" t="s">
        <v>45</v>
      </c>
      <c r="G2782" s="2142" t="s">
        <v>45</v>
      </c>
      <c r="H2782" s="2142"/>
      <c r="I2782" s="2143" t="s">
        <v>3653</v>
      </c>
      <c r="J2782" s="2143" t="s">
        <v>3654</v>
      </c>
      <c r="K2782" s="2144">
        <v>100</v>
      </c>
      <c r="L2782" s="2145">
        <f>L2783</f>
        <v>70929850</v>
      </c>
      <c r="M2782" s="2144">
        <v>50</v>
      </c>
      <c r="N2782" s="2145">
        <f>N2783</f>
        <v>32668300</v>
      </c>
      <c r="O2782" s="2144"/>
      <c r="P2782" s="2145">
        <f>P2783</f>
        <v>0</v>
      </c>
      <c r="Q2782" s="2144"/>
      <c r="R2782" s="2145">
        <f>R2783</f>
        <v>0</v>
      </c>
      <c r="S2782" s="2144"/>
      <c r="T2782" s="2145">
        <f>T2783</f>
        <v>0</v>
      </c>
      <c r="U2782" s="2144"/>
      <c r="V2782" s="2146">
        <f>V2783</f>
        <v>0</v>
      </c>
      <c r="W2782" s="2144"/>
      <c r="X2782" s="2146">
        <f>X2783</f>
        <v>0</v>
      </c>
      <c r="Y2782" s="2144">
        <f t="shared" si="707"/>
        <v>0</v>
      </c>
      <c r="Z2782" s="2145">
        <f t="shared" si="707"/>
        <v>0</v>
      </c>
      <c r="AA2782" s="2144">
        <f t="shared" si="708"/>
        <v>50</v>
      </c>
      <c r="AB2782" s="2145">
        <f t="shared" si="708"/>
        <v>32668300</v>
      </c>
      <c r="AC2782" s="2147">
        <f t="shared" si="709"/>
        <v>50</v>
      </c>
      <c r="AD2782" s="2147">
        <f t="shared" si="709"/>
        <v>46.057195947827324</v>
      </c>
      <c r="AE2782" s="2140" t="s">
        <v>4009</v>
      </c>
    </row>
    <row r="2783" spans="1:71" s="2131" customFormat="1" ht="63.75">
      <c r="A2783" s="2379"/>
      <c r="B2783" s="2162"/>
      <c r="C2783" s="2164">
        <v>5</v>
      </c>
      <c r="D2783" s="2164" t="s">
        <v>34</v>
      </c>
      <c r="E2783" s="2164" t="s">
        <v>25</v>
      </c>
      <c r="F2783" s="2164" t="s">
        <v>45</v>
      </c>
      <c r="G2783" s="2164" t="s">
        <v>45</v>
      </c>
      <c r="H2783" s="2164" t="s">
        <v>31</v>
      </c>
      <c r="I2783" s="2162" t="s">
        <v>3655</v>
      </c>
      <c r="J2783" s="2162" t="s">
        <v>4030</v>
      </c>
      <c r="K2783" s="2166">
        <v>6</v>
      </c>
      <c r="L2783" s="2167">
        <v>70929850</v>
      </c>
      <c r="M2783" s="2166">
        <v>3</v>
      </c>
      <c r="N2783" s="2167">
        <v>32668300</v>
      </c>
      <c r="O2783" s="2166"/>
      <c r="P2783" s="2167"/>
      <c r="Q2783" s="2166"/>
      <c r="R2783" s="2167"/>
      <c r="S2783" s="2166"/>
      <c r="T2783" s="2167"/>
      <c r="U2783" s="2166"/>
      <c r="V2783" s="2202"/>
      <c r="W2783" s="2166"/>
      <c r="X2783" s="2258"/>
      <c r="Y2783" s="2240">
        <f t="shared" si="707"/>
        <v>0</v>
      </c>
      <c r="Z2783" s="2203">
        <f t="shared" si="707"/>
        <v>0</v>
      </c>
      <c r="AA2783" s="2240">
        <f t="shared" si="708"/>
        <v>3</v>
      </c>
      <c r="AB2783" s="2203">
        <f t="shared" si="708"/>
        <v>32668300</v>
      </c>
      <c r="AC2783" s="2243">
        <f t="shared" si="709"/>
        <v>50</v>
      </c>
      <c r="AD2783" s="2243">
        <f t="shared" si="709"/>
        <v>46.057195947827324</v>
      </c>
      <c r="AE2783" s="2379"/>
    </row>
    <row r="2784" spans="1:71" s="2131" customFormat="1" ht="50.25" customHeight="1">
      <c r="A2784" s="2140" t="s">
        <v>3618</v>
      </c>
      <c r="B2784" s="2194"/>
      <c r="C2784" s="2142">
        <v>5</v>
      </c>
      <c r="D2784" s="2142" t="s">
        <v>34</v>
      </c>
      <c r="E2784" s="2142" t="s">
        <v>25</v>
      </c>
      <c r="F2784" s="2142" t="s">
        <v>45</v>
      </c>
      <c r="G2784" s="2142">
        <v>21</v>
      </c>
      <c r="H2784" s="2142"/>
      <c r="I2784" s="2143" t="s">
        <v>4031</v>
      </c>
      <c r="J2784" s="2143" t="s">
        <v>4032</v>
      </c>
      <c r="K2784" s="2144">
        <v>80</v>
      </c>
      <c r="L2784" s="2145">
        <f>L2785</f>
        <v>23205000</v>
      </c>
      <c r="M2784" s="2144">
        <v>52</v>
      </c>
      <c r="N2784" s="2145">
        <f>N2785</f>
        <v>8819300</v>
      </c>
      <c r="O2784" s="2144"/>
      <c r="P2784" s="2145">
        <f>P2785</f>
        <v>0</v>
      </c>
      <c r="Q2784" s="2144"/>
      <c r="R2784" s="2145">
        <f>R2785</f>
        <v>0</v>
      </c>
      <c r="S2784" s="2144"/>
      <c r="T2784" s="2145">
        <f>T2785</f>
        <v>0</v>
      </c>
      <c r="U2784" s="2144"/>
      <c r="V2784" s="2145">
        <f>V2785</f>
        <v>0</v>
      </c>
      <c r="W2784" s="2144"/>
      <c r="X2784" s="2145">
        <f>X2785</f>
        <v>0</v>
      </c>
      <c r="Y2784" s="2144">
        <f t="shared" si="707"/>
        <v>0</v>
      </c>
      <c r="Z2784" s="2145">
        <f t="shared" si="707"/>
        <v>0</v>
      </c>
      <c r="AA2784" s="2144">
        <f t="shared" si="708"/>
        <v>52</v>
      </c>
      <c r="AB2784" s="2145">
        <f t="shared" si="708"/>
        <v>8819300</v>
      </c>
      <c r="AC2784" s="2147">
        <f t="shared" si="709"/>
        <v>65</v>
      </c>
      <c r="AD2784" s="2147">
        <f t="shared" si="709"/>
        <v>38.006033182503771</v>
      </c>
      <c r="AE2784" s="2140" t="s">
        <v>4009</v>
      </c>
    </row>
    <row r="2785" spans="1:71" s="2131" customFormat="1" ht="36" customHeight="1">
      <c r="A2785" s="2379"/>
      <c r="B2785" s="2271"/>
      <c r="C2785" s="2164" t="s">
        <v>34</v>
      </c>
      <c r="D2785" s="2164" t="s">
        <v>25</v>
      </c>
      <c r="E2785" s="2164" t="s">
        <v>45</v>
      </c>
      <c r="F2785" s="2164" t="s">
        <v>45</v>
      </c>
      <c r="G2785" s="2164">
        <v>21</v>
      </c>
      <c r="H2785" s="2244">
        <v>27</v>
      </c>
      <c r="I2785" s="2271" t="s">
        <v>3599</v>
      </c>
      <c r="J2785" s="2271" t="s">
        <v>4033</v>
      </c>
      <c r="K2785" s="2700">
        <v>5</v>
      </c>
      <c r="L2785" s="2247">
        <v>23205000</v>
      </c>
      <c r="M2785" s="2700">
        <v>2</v>
      </c>
      <c r="N2785" s="2247">
        <v>8819300</v>
      </c>
      <c r="O2785" s="2700"/>
      <c r="P2785" s="2247"/>
      <c r="Q2785" s="2700"/>
      <c r="R2785" s="2700"/>
      <c r="S2785" s="2700"/>
      <c r="T2785" s="2700"/>
      <c r="U2785" s="2700"/>
      <c r="V2785" s="2364"/>
      <c r="W2785" s="2700"/>
      <c r="X2785" s="2258"/>
      <c r="Y2785" s="2240">
        <f t="shared" si="707"/>
        <v>0</v>
      </c>
      <c r="Z2785" s="2203">
        <f t="shared" si="707"/>
        <v>0</v>
      </c>
      <c r="AA2785" s="2240">
        <f t="shared" si="708"/>
        <v>2</v>
      </c>
      <c r="AB2785" s="2203">
        <f t="shared" si="708"/>
        <v>8819300</v>
      </c>
      <c r="AC2785" s="2243">
        <f t="shared" si="709"/>
        <v>40</v>
      </c>
      <c r="AD2785" s="2700">
        <f t="shared" si="709"/>
        <v>38.006033182503771</v>
      </c>
      <c r="AE2785" s="2379"/>
      <c r="AF2785" s="2259"/>
      <c r="AG2785" s="2259"/>
      <c r="AH2785" s="2259"/>
      <c r="AI2785" s="2259"/>
      <c r="AJ2785" s="2259"/>
      <c r="AK2785" s="2259"/>
      <c r="AL2785" s="2259"/>
      <c r="AM2785" s="2259"/>
      <c r="AN2785" s="2259"/>
      <c r="AO2785" s="2259"/>
      <c r="AP2785" s="2259"/>
      <c r="AQ2785" s="2259"/>
      <c r="AR2785" s="2259"/>
      <c r="AS2785" s="2259"/>
      <c r="AT2785" s="2259"/>
      <c r="AU2785" s="2259"/>
      <c r="AV2785" s="2259"/>
      <c r="AW2785" s="2259"/>
      <c r="AX2785" s="2259"/>
      <c r="AY2785" s="2259"/>
      <c r="AZ2785" s="2259"/>
      <c r="BA2785" s="2259"/>
      <c r="BB2785" s="2259"/>
      <c r="BC2785" s="2259"/>
      <c r="BD2785" s="2259"/>
      <c r="BE2785" s="2259"/>
      <c r="BF2785" s="2259"/>
      <c r="BG2785" s="2259"/>
      <c r="BH2785" s="2259"/>
      <c r="BI2785" s="2259"/>
      <c r="BJ2785" s="2259"/>
      <c r="BK2785" s="2259"/>
      <c r="BL2785" s="2259"/>
      <c r="BM2785" s="2259"/>
      <c r="BN2785" s="2259"/>
      <c r="BO2785" s="2259"/>
      <c r="BP2785" s="2259"/>
      <c r="BQ2785" s="2259"/>
      <c r="BR2785" s="2259"/>
      <c r="BS2785" s="2259"/>
    </row>
    <row r="2786" spans="1:71" s="2131" customFormat="1" ht="81" customHeight="1">
      <c r="A2786" s="2140" t="s">
        <v>86</v>
      </c>
      <c r="B2786" s="2194"/>
      <c r="C2786" s="2142">
        <v>5</v>
      </c>
      <c r="D2786" s="2142" t="s">
        <v>34</v>
      </c>
      <c r="E2786" s="2142" t="s">
        <v>25</v>
      </c>
      <c r="F2786" s="2142" t="s">
        <v>45</v>
      </c>
      <c r="G2786" s="2142" t="s">
        <v>35</v>
      </c>
      <c r="H2786" s="2140"/>
      <c r="I2786" s="2143" t="s">
        <v>3746</v>
      </c>
      <c r="J2786" s="2143" t="s">
        <v>4034</v>
      </c>
      <c r="K2786" s="2144">
        <v>100</v>
      </c>
      <c r="L2786" s="2145">
        <f>L2787</f>
        <v>170530000</v>
      </c>
      <c r="M2786" s="2144">
        <v>56</v>
      </c>
      <c r="N2786" s="2145">
        <f>N2787</f>
        <v>96435000</v>
      </c>
      <c r="O2786" s="2144"/>
      <c r="P2786" s="2145">
        <f>P2787</f>
        <v>0</v>
      </c>
      <c r="Q2786" s="2144"/>
      <c r="R2786" s="2145">
        <f>R2787</f>
        <v>0</v>
      </c>
      <c r="S2786" s="2144"/>
      <c r="T2786" s="2145">
        <f>T2787</f>
        <v>0</v>
      </c>
      <c r="U2786" s="2195"/>
      <c r="V2786" s="2146">
        <f>V2787</f>
        <v>0</v>
      </c>
      <c r="W2786" s="2144"/>
      <c r="X2786" s="2146">
        <f>X2787</f>
        <v>0</v>
      </c>
      <c r="Y2786" s="2195">
        <f t="shared" si="707"/>
        <v>0</v>
      </c>
      <c r="Z2786" s="2145">
        <f t="shared" si="707"/>
        <v>0</v>
      </c>
      <c r="AA2786" s="2147">
        <f t="shared" si="708"/>
        <v>56</v>
      </c>
      <c r="AB2786" s="2145">
        <f t="shared" si="708"/>
        <v>96435000</v>
      </c>
      <c r="AC2786" s="2147">
        <f t="shared" si="709"/>
        <v>56.000000000000007</v>
      </c>
      <c r="AD2786" s="2147">
        <f t="shared" si="709"/>
        <v>56.550167126018877</v>
      </c>
      <c r="AE2786" s="2140" t="s">
        <v>4009</v>
      </c>
      <c r="AF2786" s="2149"/>
      <c r="AG2786" s="2149"/>
      <c r="AH2786" s="2149"/>
      <c r="AI2786" s="2149"/>
      <c r="AJ2786" s="2149"/>
      <c r="AK2786" s="2149"/>
      <c r="AL2786" s="2149"/>
      <c r="AM2786" s="2149"/>
      <c r="AN2786" s="2149"/>
      <c r="AO2786" s="2149"/>
      <c r="AP2786" s="2149"/>
      <c r="AQ2786" s="2149"/>
      <c r="AR2786" s="2149"/>
      <c r="AS2786" s="2149"/>
      <c r="AT2786" s="2149"/>
      <c r="AU2786" s="2149"/>
      <c r="AV2786" s="2149"/>
      <c r="AW2786" s="2149"/>
      <c r="AX2786" s="2149"/>
      <c r="AY2786" s="2149"/>
      <c r="AZ2786" s="2149"/>
      <c r="BA2786" s="2149"/>
      <c r="BB2786" s="2149"/>
      <c r="BC2786" s="2149"/>
      <c r="BD2786" s="2149"/>
      <c r="BE2786" s="2149"/>
      <c r="BF2786" s="2149"/>
      <c r="BG2786" s="2149"/>
      <c r="BH2786" s="2149"/>
      <c r="BI2786" s="2149"/>
      <c r="BJ2786" s="2149"/>
      <c r="BK2786" s="2149"/>
      <c r="BL2786" s="2149"/>
      <c r="BM2786" s="2149"/>
      <c r="BN2786" s="2149"/>
      <c r="BO2786" s="2149"/>
      <c r="BP2786" s="2149"/>
      <c r="BQ2786" s="2149"/>
      <c r="BR2786" s="2149"/>
      <c r="BS2786" s="2149"/>
    </row>
    <row r="2787" spans="1:71" s="2131" customFormat="1" ht="25.5">
      <c r="A2787" s="2152"/>
      <c r="B2787" s="2271"/>
      <c r="C2787" s="2164">
        <v>5</v>
      </c>
      <c r="D2787" s="2164" t="s">
        <v>34</v>
      </c>
      <c r="E2787" s="2164" t="s">
        <v>25</v>
      </c>
      <c r="F2787" s="2164" t="s">
        <v>45</v>
      </c>
      <c r="G2787" s="2164" t="s">
        <v>35</v>
      </c>
      <c r="H2787" s="2164" t="s">
        <v>25</v>
      </c>
      <c r="I2787" s="2271" t="s">
        <v>4035</v>
      </c>
      <c r="J2787" s="2271" t="s">
        <v>3697</v>
      </c>
      <c r="K2787" s="2240">
        <v>6</v>
      </c>
      <c r="L2787" s="2241">
        <v>170530000</v>
      </c>
      <c r="M2787" s="2240">
        <v>3</v>
      </c>
      <c r="N2787" s="2241">
        <v>96435000</v>
      </c>
      <c r="O2787" s="2240"/>
      <c r="P2787" s="2241"/>
      <c r="Q2787" s="2240"/>
      <c r="R2787" s="2242"/>
      <c r="S2787" s="2240"/>
      <c r="T2787" s="2242"/>
      <c r="U2787" s="2240"/>
      <c r="V2787" s="2242"/>
      <c r="W2787" s="2240"/>
      <c r="X2787" s="2258"/>
      <c r="Y2787" s="2240">
        <f t="shared" si="707"/>
        <v>0</v>
      </c>
      <c r="Z2787" s="2203">
        <f t="shared" si="707"/>
        <v>0</v>
      </c>
      <c r="AA2787" s="2240">
        <f t="shared" si="708"/>
        <v>3</v>
      </c>
      <c r="AB2787" s="2203">
        <f t="shared" si="708"/>
        <v>96435000</v>
      </c>
      <c r="AC2787" s="2243">
        <f t="shared" si="709"/>
        <v>50</v>
      </c>
      <c r="AD2787" s="2243">
        <f t="shared" si="709"/>
        <v>56.550167126018877</v>
      </c>
      <c r="AE2787" s="2152"/>
      <c r="AF2787" s="2259"/>
      <c r="AG2787" s="2259"/>
      <c r="AH2787" s="2259"/>
      <c r="AI2787" s="2259"/>
      <c r="AJ2787" s="2259"/>
      <c r="AK2787" s="2259"/>
      <c r="AL2787" s="2259"/>
      <c r="AM2787" s="2259"/>
      <c r="AN2787" s="2259"/>
      <c r="AO2787" s="2259"/>
      <c r="AP2787" s="2259"/>
      <c r="AQ2787" s="2259"/>
      <c r="AR2787" s="2259"/>
      <c r="AS2787" s="2259"/>
      <c r="AT2787" s="2259"/>
      <c r="AU2787" s="2259"/>
      <c r="AV2787" s="2259"/>
      <c r="AW2787" s="2259"/>
      <c r="AX2787" s="2259"/>
      <c r="AY2787" s="2259"/>
      <c r="AZ2787" s="2259"/>
      <c r="BA2787" s="2259"/>
      <c r="BB2787" s="2259"/>
      <c r="BC2787" s="2259"/>
      <c r="BD2787" s="2259"/>
      <c r="BE2787" s="2259"/>
      <c r="BF2787" s="2259"/>
      <c r="BG2787" s="2259"/>
      <c r="BH2787" s="2259"/>
      <c r="BI2787" s="2259"/>
      <c r="BJ2787" s="2259"/>
      <c r="BK2787" s="2259"/>
      <c r="BL2787" s="2259"/>
      <c r="BM2787" s="2259"/>
      <c r="BN2787" s="2259"/>
      <c r="BO2787" s="2259"/>
      <c r="BP2787" s="2259"/>
      <c r="BQ2787" s="2259"/>
      <c r="BR2787" s="2259"/>
      <c r="BS2787" s="2259"/>
    </row>
    <row r="2788" spans="1:71" s="2131" customFormat="1" ht="63.75">
      <c r="A2788" s="2140" t="s">
        <v>4036</v>
      </c>
      <c r="B2788" s="2194"/>
      <c r="C2788" s="2142">
        <v>5</v>
      </c>
      <c r="D2788" s="2142" t="s">
        <v>34</v>
      </c>
      <c r="E2788" s="2142" t="s">
        <v>25</v>
      </c>
      <c r="F2788" s="2142" t="s">
        <v>45</v>
      </c>
      <c r="G2788" s="2142" t="s">
        <v>3667</v>
      </c>
      <c r="H2788" s="2140"/>
      <c r="I2788" s="2143" t="s">
        <v>3668</v>
      </c>
      <c r="J2788" s="2143" t="s">
        <v>3669</v>
      </c>
      <c r="K2788" s="2144">
        <v>100</v>
      </c>
      <c r="L2788" s="2145">
        <f>SUM(L2789:L2793)</f>
        <v>510194374</v>
      </c>
      <c r="M2788" s="2144">
        <v>52</v>
      </c>
      <c r="N2788" s="2145">
        <f>SUM(N2789:N2793)</f>
        <v>208877655.5</v>
      </c>
      <c r="O2788" s="2144"/>
      <c r="P2788" s="2145">
        <f>SUM(P2789:P2793)</f>
        <v>0</v>
      </c>
      <c r="Q2788" s="2144"/>
      <c r="R2788" s="2145">
        <f>SUM(R2789:R2793)</f>
        <v>0</v>
      </c>
      <c r="S2788" s="2144"/>
      <c r="T2788" s="2145">
        <f>SUM(T2789:T2793)</f>
        <v>0</v>
      </c>
      <c r="U2788" s="2195"/>
      <c r="V2788" s="2145">
        <f>SUM(V2789:V2793)</f>
        <v>0</v>
      </c>
      <c r="W2788" s="2144"/>
      <c r="X2788" s="2145">
        <f>SUM(X2789:X2793)</f>
        <v>0</v>
      </c>
      <c r="Y2788" s="2195">
        <f t="shared" si="707"/>
        <v>0</v>
      </c>
      <c r="Z2788" s="2145">
        <f t="shared" si="707"/>
        <v>0</v>
      </c>
      <c r="AA2788" s="2147">
        <f t="shared" si="708"/>
        <v>52</v>
      </c>
      <c r="AB2788" s="2145">
        <f t="shared" si="708"/>
        <v>208877655.5</v>
      </c>
      <c r="AC2788" s="2147">
        <f t="shared" si="709"/>
        <v>52</v>
      </c>
      <c r="AD2788" s="2147">
        <f t="shared" si="709"/>
        <v>40.940799456953634</v>
      </c>
      <c r="AE2788" s="2140" t="s">
        <v>4009</v>
      </c>
      <c r="AF2788" s="2149"/>
      <c r="AG2788" s="2149"/>
      <c r="AH2788" s="2149"/>
      <c r="AI2788" s="2149"/>
      <c r="AJ2788" s="2149"/>
      <c r="AK2788" s="2149"/>
      <c r="AL2788" s="2149"/>
      <c r="AM2788" s="2149"/>
      <c r="AN2788" s="2149"/>
      <c r="AO2788" s="2149"/>
      <c r="AP2788" s="2149"/>
      <c r="AQ2788" s="2149"/>
      <c r="AR2788" s="2149"/>
      <c r="AS2788" s="2149"/>
      <c r="AT2788" s="2149"/>
      <c r="AU2788" s="2149"/>
      <c r="AV2788" s="2149"/>
      <c r="AW2788" s="2149"/>
      <c r="AX2788" s="2149"/>
      <c r="AY2788" s="2149"/>
      <c r="AZ2788" s="2149"/>
      <c r="BA2788" s="2149"/>
      <c r="BB2788" s="2149"/>
      <c r="BC2788" s="2149"/>
      <c r="BD2788" s="2149"/>
      <c r="BE2788" s="2149"/>
      <c r="BF2788" s="2149"/>
      <c r="BG2788" s="2149"/>
      <c r="BH2788" s="2149"/>
      <c r="BI2788" s="2149"/>
      <c r="BJ2788" s="2149"/>
      <c r="BK2788" s="2149"/>
      <c r="BL2788" s="2149"/>
      <c r="BM2788" s="2149"/>
      <c r="BN2788" s="2149"/>
      <c r="BO2788" s="2149"/>
      <c r="BP2788" s="2149"/>
      <c r="BQ2788" s="2149"/>
      <c r="BR2788" s="2149"/>
      <c r="BS2788" s="2149"/>
    </row>
    <row r="2789" spans="1:71" s="2131" customFormat="1" ht="38.25">
      <c r="A2789" s="2267"/>
      <c r="B2789" s="2253"/>
      <c r="C2789" s="2164">
        <v>5</v>
      </c>
      <c r="D2789" s="2164" t="s">
        <v>34</v>
      </c>
      <c r="E2789" s="2164" t="s">
        <v>25</v>
      </c>
      <c r="F2789" s="2164" t="s">
        <v>45</v>
      </c>
      <c r="G2789" s="2164" t="s">
        <v>3667</v>
      </c>
      <c r="H2789" s="2254" t="s">
        <v>25</v>
      </c>
      <c r="I2789" s="2171" t="s">
        <v>3551</v>
      </c>
      <c r="J2789" s="2171" t="s">
        <v>3783</v>
      </c>
      <c r="K2789" s="2255">
        <v>60</v>
      </c>
      <c r="L2789" s="2203">
        <v>224265159</v>
      </c>
      <c r="M2789" s="2256">
        <v>30</v>
      </c>
      <c r="N2789" s="2257">
        <v>122635400</v>
      </c>
      <c r="O2789" s="2255"/>
      <c r="P2789" s="2258"/>
      <c r="Q2789" s="2256"/>
      <c r="R2789" s="2203"/>
      <c r="S2789" s="2256"/>
      <c r="T2789" s="2203"/>
      <c r="U2789" s="2255"/>
      <c r="V2789" s="2203"/>
      <c r="W2789" s="2255"/>
      <c r="X2789" s="2258"/>
      <c r="Y2789" s="2240">
        <f t="shared" si="707"/>
        <v>0</v>
      </c>
      <c r="Z2789" s="2203">
        <f t="shared" si="707"/>
        <v>0</v>
      </c>
      <c r="AA2789" s="2240">
        <f t="shared" si="708"/>
        <v>30</v>
      </c>
      <c r="AB2789" s="2203">
        <f t="shared" si="708"/>
        <v>122635400</v>
      </c>
      <c r="AC2789" s="2243">
        <f t="shared" si="709"/>
        <v>50</v>
      </c>
      <c r="AD2789" s="2243">
        <f t="shared" si="709"/>
        <v>54.683215416443709</v>
      </c>
      <c r="AE2789" s="2267"/>
      <c r="AF2789" s="2161"/>
      <c r="AG2789" s="2161"/>
      <c r="AH2789" s="2161"/>
      <c r="AI2789" s="2161"/>
      <c r="AJ2789" s="2161"/>
      <c r="AK2789" s="2161"/>
      <c r="AL2789" s="2161"/>
      <c r="AM2789" s="2161"/>
      <c r="AN2789" s="2161"/>
      <c r="AO2789" s="2161"/>
      <c r="AP2789" s="2161"/>
      <c r="AQ2789" s="2161"/>
      <c r="AR2789" s="2161"/>
      <c r="AS2789" s="2161"/>
      <c r="AT2789" s="2161"/>
      <c r="AU2789" s="2161"/>
      <c r="AV2789" s="2161"/>
      <c r="AW2789" s="2161"/>
      <c r="AX2789" s="2161"/>
      <c r="AY2789" s="2161"/>
      <c r="AZ2789" s="2161"/>
      <c r="BA2789" s="2161"/>
      <c r="BB2789" s="2161"/>
      <c r="BC2789" s="2161"/>
      <c r="BD2789" s="2161"/>
      <c r="BE2789" s="2161"/>
      <c r="BF2789" s="2161"/>
      <c r="BG2789" s="2161"/>
      <c r="BH2789" s="2161"/>
      <c r="BI2789" s="2161"/>
      <c r="BJ2789" s="2161"/>
      <c r="BK2789" s="2161"/>
      <c r="BL2789" s="2161"/>
      <c r="BM2789" s="2161"/>
      <c r="BN2789" s="2161"/>
      <c r="BO2789" s="2161"/>
      <c r="BP2789" s="2161"/>
      <c r="BQ2789" s="2161"/>
      <c r="BR2789" s="2161"/>
      <c r="BS2789" s="2161"/>
    </row>
    <row r="2790" spans="1:71" s="2131" customFormat="1" ht="38.25">
      <c r="A2790" s="2267"/>
      <c r="B2790" s="2253"/>
      <c r="C2790" s="2164">
        <v>5</v>
      </c>
      <c r="D2790" s="2164" t="s">
        <v>34</v>
      </c>
      <c r="E2790" s="2164" t="s">
        <v>25</v>
      </c>
      <c r="F2790" s="2164" t="s">
        <v>45</v>
      </c>
      <c r="G2790" s="2164" t="s">
        <v>3667</v>
      </c>
      <c r="H2790" s="2254" t="s">
        <v>28</v>
      </c>
      <c r="I2790" s="2171" t="s">
        <v>3671</v>
      </c>
      <c r="J2790" s="2171" t="s">
        <v>3672</v>
      </c>
      <c r="K2790" s="2255">
        <v>6</v>
      </c>
      <c r="L2790" s="2268">
        <v>20003563</v>
      </c>
      <c r="M2790" s="2256">
        <v>3</v>
      </c>
      <c r="N2790" s="2257">
        <v>10258050</v>
      </c>
      <c r="O2790" s="2255"/>
      <c r="P2790" s="2258"/>
      <c r="Q2790" s="2257"/>
      <c r="R2790" s="2203"/>
      <c r="S2790" s="2257"/>
      <c r="T2790" s="2203"/>
      <c r="U2790" s="2255"/>
      <c r="V2790" s="2255"/>
      <c r="W2790" s="2255"/>
      <c r="X2790" s="2258"/>
      <c r="Y2790" s="2240">
        <f t="shared" si="707"/>
        <v>0</v>
      </c>
      <c r="Z2790" s="2203">
        <f t="shared" si="707"/>
        <v>0</v>
      </c>
      <c r="AA2790" s="2240">
        <f t="shared" si="708"/>
        <v>3</v>
      </c>
      <c r="AB2790" s="2203">
        <f t="shared" si="708"/>
        <v>10258050</v>
      </c>
      <c r="AC2790" s="2243">
        <f t="shared" si="709"/>
        <v>50</v>
      </c>
      <c r="AD2790" s="2243">
        <f t="shared" si="709"/>
        <v>51.281114269492889</v>
      </c>
      <c r="AE2790" s="2267"/>
      <c r="AF2790" s="2161"/>
      <c r="AG2790" s="2161"/>
      <c r="AH2790" s="2161"/>
      <c r="AI2790" s="2161"/>
      <c r="AJ2790" s="2161"/>
      <c r="AK2790" s="2161"/>
      <c r="AL2790" s="2161"/>
      <c r="AM2790" s="2161"/>
      <c r="AN2790" s="2161"/>
      <c r="AO2790" s="2161"/>
      <c r="AP2790" s="2161"/>
      <c r="AQ2790" s="2161"/>
      <c r="AR2790" s="2161"/>
      <c r="AS2790" s="2161"/>
      <c r="AT2790" s="2161"/>
      <c r="AU2790" s="2161"/>
      <c r="AV2790" s="2161"/>
      <c r="AW2790" s="2161"/>
      <c r="AX2790" s="2161"/>
      <c r="AY2790" s="2161"/>
      <c r="AZ2790" s="2161"/>
      <c r="BA2790" s="2161"/>
      <c r="BB2790" s="2161"/>
      <c r="BC2790" s="2161"/>
      <c r="BD2790" s="2161"/>
      <c r="BE2790" s="2161"/>
      <c r="BF2790" s="2161"/>
      <c r="BG2790" s="2161"/>
      <c r="BH2790" s="2161"/>
      <c r="BI2790" s="2161"/>
      <c r="BJ2790" s="2161"/>
      <c r="BK2790" s="2161"/>
      <c r="BL2790" s="2161"/>
      <c r="BM2790" s="2161"/>
      <c r="BN2790" s="2161"/>
      <c r="BO2790" s="2161"/>
      <c r="BP2790" s="2161"/>
      <c r="BQ2790" s="2161"/>
      <c r="BR2790" s="2161"/>
      <c r="BS2790" s="2161"/>
    </row>
    <row r="2791" spans="1:71" s="2131" customFormat="1" ht="63.75">
      <c r="A2791" s="2267"/>
      <c r="B2791" s="2253"/>
      <c r="C2791" s="2164">
        <v>5</v>
      </c>
      <c r="D2791" s="2164" t="s">
        <v>34</v>
      </c>
      <c r="E2791" s="2164" t="s">
        <v>25</v>
      </c>
      <c r="F2791" s="2164" t="s">
        <v>45</v>
      </c>
      <c r="G2791" s="2164" t="s">
        <v>3667</v>
      </c>
      <c r="H2791" s="2254" t="s">
        <v>39</v>
      </c>
      <c r="I2791" s="2171" t="s">
        <v>3673</v>
      </c>
      <c r="J2791" s="2171" t="s">
        <v>3674</v>
      </c>
      <c r="K2791" s="2255">
        <v>6</v>
      </c>
      <c r="L2791" s="2203">
        <v>52402670</v>
      </c>
      <c r="M2791" s="2256">
        <v>3</v>
      </c>
      <c r="N2791" s="2257">
        <v>25485549.5</v>
      </c>
      <c r="O2791" s="2255"/>
      <c r="P2791" s="2258"/>
      <c r="Q2791" s="2256"/>
      <c r="R2791" s="2203"/>
      <c r="S2791" s="2256"/>
      <c r="T2791" s="2203"/>
      <c r="U2791" s="2255"/>
      <c r="V2791" s="2258"/>
      <c r="W2791" s="2255"/>
      <c r="X2791" s="2258"/>
      <c r="Y2791" s="2240">
        <f t="shared" si="707"/>
        <v>0</v>
      </c>
      <c r="Z2791" s="2203">
        <f t="shared" si="707"/>
        <v>0</v>
      </c>
      <c r="AA2791" s="2240">
        <f t="shared" si="708"/>
        <v>3</v>
      </c>
      <c r="AB2791" s="2203">
        <f t="shared" si="708"/>
        <v>25485549.5</v>
      </c>
      <c r="AC2791" s="2243">
        <f t="shared" si="709"/>
        <v>50</v>
      </c>
      <c r="AD2791" s="2243">
        <f t="shared" si="709"/>
        <v>48.634066737439142</v>
      </c>
      <c r="AE2791" s="2267"/>
      <c r="AF2791" s="2161"/>
      <c r="AG2791" s="2161"/>
      <c r="AH2791" s="2161"/>
      <c r="AI2791" s="2161"/>
      <c r="AJ2791" s="2161"/>
      <c r="AK2791" s="2161"/>
      <c r="AL2791" s="2161"/>
      <c r="AM2791" s="2161"/>
      <c r="AN2791" s="2161"/>
      <c r="AO2791" s="2161"/>
      <c r="AP2791" s="2161"/>
      <c r="AQ2791" s="2161"/>
      <c r="AR2791" s="2161"/>
      <c r="AS2791" s="2161"/>
      <c r="AT2791" s="2161"/>
      <c r="AU2791" s="2161"/>
      <c r="AV2791" s="2161"/>
      <c r="AW2791" s="2161"/>
      <c r="AX2791" s="2161"/>
      <c r="AY2791" s="2161"/>
      <c r="AZ2791" s="2161"/>
      <c r="BA2791" s="2161"/>
      <c r="BB2791" s="2161"/>
      <c r="BC2791" s="2161"/>
      <c r="BD2791" s="2161"/>
      <c r="BE2791" s="2161"/>
      <c r="BF2791" s="2161"/>
      <c r="BG2791" s="2161"/>
      <c r="BH2791" s="2161"/>
      <c r="BI2791" s="2161"/>
      <c r="BJ2791" s="2161"/>
      <c r="BK2791" s="2161"/>
      <c r="BL2791" s="2161"/>
      <c r="BM2791" s="2161"/>
      <c r="BN2791" s="2161"/>
      <c r="BO2791" s="2161"/>
      <c r="BP2791" s="2161"/>
      <c r="BQ2791" s="2161"/>
      <c r="BR2791" s="2161"/>
      <c r="BS2791" s="2161"/>
    </row>
    <row r="2792" spans="1:71" s="2131" customFormat="1" ht="51">
      <c r="A2792" s="2267"/>
      <c r="B2792" s="2253"/>
      <c r="C2792" s="2164">
        <v>5</v>
      </c>
      <c r="D2792" s="2164" t="s">
        <v>34</v>
      </c>
      <c r="E2792" s="2164" t="s">
        <v>25</v>
      </c>
      <c r="F2792" s="2164" t="s">
        <v>45</v>
      </c>
      <c r="G2792" s="2164" t="s">
        <v>3667</v>
      </c>
      <c r="H2792" s="2254" t="s">
        <v>38</v>
      </c>
      <c r="I2792" s="2171" t="s">
        <v>3676</v>
      </c>
      <c r="J2792" s="2171" t="s">
        <v>3677</v>
      </c>
      <c r="K2792" s="2255">
        <v>72</v>
      </c>
      <c r="L2792" s="2203">
        <v>38314412</v>
      </c>
      <c r="M2792" s="2256">
        <v>36</v>
      </c>
      <c r="N2792" s="2257">
        <v>20753100</v>
      </c>
      <c r="O2792" s="2255"/>
      <c r="P2792" s="2258"/>
      <c r="Q2792" s="2256"/>
      <c r="R2792" s="2203"/>
      <c r="S2792" s="2256"/>
      <c r="T2792" s="2203"/>
      <c r="U2792" s="2255"/>
      <c r="V2792" s="2203"/>
      <c r="W2792" s="2255"/>
      <c r="X2792" s="2258"/>
      <c r="Y2792" s="2240">
        <f t="shared" si="707"/>
        <v>0</v>
      </c>
      <c r="Z2792" s="2203">
        <f t="shared" si="707"/>
        <v>0</v>
      </c>
      <c r="AA2792" s="2240">
        <f t="shared" si="708"/>
        <v>36</v>
      </c>
      <c r="AB2792" s="2203">
        <f t="shared" si="708"/>
        <v>20753100</v>
      </c>
      <c r="AC2792" s="2243">
        <f t="shared" si="709"/>
        <v>50</v>
      </c>
      <c r="AD2792" s="2243">
        <f t="shared" si="709"/>
        <v>54.165257710336256</v>
      </c>
      <c r="AE2792" s="2267"/>
      <c r="AF2792" s="2161"/>
      <c r="AG2792" s="2161"/>
      <c r="AH2792" s="2161"/>
      <c r="AI2792" s="2161"/>
      <c r="AJ2792" s="2161"/>
      <c r="AK2792" s="2161"/>
      <c r="AL2792" s="2161"/>
      <c r="AM2792" s="2161"/>
      <c r="AN2792" s="2161"/>
      <c r="AO2792" s="2161"/>
      <c r="AP2792" s="2161"/>
      <c r="AQ2792" s="2161"/>
      <c r="AR2792" s="2161"/>
      <c r="AS2792" s="2161"/>
      <c r="AT2792" s="2161"/>
      <c r="AU2792" s="2161"/>
      <c r="AV2792" s="2161"/>
      <c r="AW2792" s="2161"/>
      <c r="AX2792" s="2161"/>
      <c r="AY2792" s="2161"/>
      <c r="AZ2792" s="2161"/>
      <c r="BA2792" s="2161"/>
      <c r="BB2792" s="2161"/>
      <c r="BC2792" s="2161"/>
      <c r="BD2792" s="2161"/>
      <c r="BE2792" s="2161"/>
      <c r="BF2792" s="2161"/>
      <c r="BG2792" s="2161"/>
      <c r="BH2792" s="2161"/>
      <c r="BI2792" s="2161"/>
      <c r="BJ2792" s="2161"/>
      <c r="BK2792" s="2161"/>
      <c r="BL2792" s="2161"/>
      <c r="BM2792" s="2161"/>
      <c r="BN2792" s="2161"/>
      <c r="BO2792" s="2161"/>
      <c r="BP2792" s="2161"/>
      <c r="BQ2792" s="2161"/>
      <c r="BR2792" s="2161"/>
      <c r="BS2792" s="2161"/>
    </row>
    <row r="2793" spans="1:71" s="2131" customFormat="1" ht="38.25">
      <c r="A2793" s="2267"/>
      <c r="B2793" s="2253"/>
      <c r="C2793" s="2164">
        <v>5</v>
      </c>
      <c r="D2793" s="2164" t="s">
        <v>34</v>
      </c>
      <c r="E2793" s="2164" t="s">
        <v>25</v>
      </c>
      <c r="F2793" s="2164" t="s">
        <v>45</v>
      </c>
      <c r="G2793" s="2164" t="s">
        <v>3667</v>
      </c>
      <c r="H2793" s="2254" t="s">
        <v>56</v>
      </c>
      <c r="I2793" s="2171" t="s">
        <v>3678</v>
      </c>
      <c r="J2793" s="2171" t="s">
        <v>3679</v>
      </c>
      <c r="K2793" s="2255">
        <v>150</v>
      </c>
      <c r="L2793" s="2203">
        <v>175208570</v>
      </c>
      <c r="M2793" s="2256">
        <v>56</v>
      </c>
      <c r="N2793" s="2257">
        <v>29745556</v>
      </c>
      <c r="O2793" s="2255"/>
      <c r="P2793" s="2258"/>
      <c r="Q2793" s="2256"/>
      <c r="R2793" s="2203"/>
      <c r="S2793" s="2256"/>
      <c r="T2793" s="2203"/>
      <c r="U2793" s="2255"/>
      <c r="V2793" s="2258"/>
      <c r="W2793" s="2255"/>
      <c r="X2793" s="2258"/>
      <c r="Y2793" s="2240">
        <f t="shared" si="707"/>
        <v>0</v>
      </c>
      <c r="Z2793" s="2203">
        <f t="shared" si="707"/>
        <v>0</v>
      </c>
      <c r="AA2793" s="2240">
        <f t="shared" si="708"/>
        <v>56</v>
      </c>
      <c r="AB2793" s="2203">
        <f t="shared" si="708"/>
        <v>29745556</v>
      </c>
      <c r="AC2793" s="2243">
        <f t="shared" si="709"/>
        <v>37.333333333333336</v>
      </c>
      <c r="AD2793" s="2243">
        <f t="shared" si="709"/>
        <v>16.977226627670099</v>
      </c>
      <c r="AE2793" s="2267"/>
      <c r="AF2793" s="2161"/>
      <c r="AG2793" s="2161"/>
      <c r="AH2793" s="2161"/>
      <c r="AI2793" s="2161"/>
      <c r="AJ2793" s="2161"/>
      <c r="AK2793" s="2161"/>
      <c r="AL2793" s="2161"/>
      <c r="AM2793" s="2161"/>
      <c r="AN2793" s="2161"/>
      <c r="AO2793" s="2161"/>
      <c r="AP2793" s="2161"/>
      <c r="AQ2793" s="2161"/>
      <c r="AR2793" s="2161"/>
      <c r="AS2793" s="2161"/>
      <c r="AT2793" s="2161"/>
      <c r="AU2793" s="2161"/>
      <c r="AV2793" s="2161"/>
      <c r="AW2793" s="2161"/>
      <c r="AX2793" s="2161"/>
      <c r="AY2793" s="2161"/>
      <c r="AZ2793" s="2161"/>
      <c r="BA2793" s="2161"/>
      <c r="BB2793" s="2161"/>
      <c r="BC2793" s="2161"/>
      <c r="BD2793" s="2161"/>
      <c r="BE2793" s="2161"/>
      <c r="BF2793" s="2161"/>
      <c r="BG2793" s="2161"/>
      <c r="BH2793" s="2161"/>
      <c r="BI2793" s="2161"/>
      <c r="BJ2793" s="2161"/>
      <c r="BK2793" s="2161"/>
      <c r="BL2793" s="2161"/>
      <c r="BM2793" s="2161"/>
      <c r="BN2793" s="2161"/>
      <c r="BO2793" s="2161"/>
      <c r="BP2793" s="2161"/>
      <c r="BQ2793" s="2161"/>
      <c r="BR2793" s="2161"/>
      <c r="BS2793" s="2161"/>
    </row>
    <row r="2794" spans="1:71" s="2131" customFormat="1" ht="20.100000000000001" customHeight="1">
      <c r="A2794" s="2705" t="s">
        <v>63</v>
      </c>
      <c r="B2794" s="2705"/>
      <c r="C2794" s="2706"/>
      <c r="D2794" s="2706"/>
      <c r="E2794" s="2706"/>
      <c r="F2794" s="2706"/>
      <c r="G2794" s="2706"/>
      <c r="H2794" s="2706"/>
      <c r="I2794" s="2706"/>
      <c r="J2794" s="2706"/>
      <c r="K2794" s="2706"/>
      <c r="L2794" s="2706"/>
      <c r="M2794" s="2706"/>
      <c r="N2794" s="2706"/>
      <c r="O2794" s="2706"/>
      <c r="P2794" s="2706"/>
      <c r="Q2794" s="2706"/>
      <c r="R2794" s="2706"/>
      <c r="S2794" s="2706"/>
      <c r="T2794" s="2706"/>
      <c r="U2794" s="2706"/>
      <c r="V2794" s="2706"/>
      <c r="W2794" s="2706"/>
      <c r="X2794" s="2706"/>
      <c r="Y2794" s="2706"/>
      <c r="Z2794" s="2706"/>
      <c r="AA2794" s="2706"/>
      <c r="AB2794" s="2706"/>
      <c r="AC2794" s="2249">
        <f>(AC2743+AC2756+AC2763+AC2765+AC2768+AC2770+AC2772+AC2774+AC2777+AC2779+AC2782+AC2784+AC2786+AC2788)/14</f>
        <v>60.15392648287385</v>
      </c>
      <c r="AD2794" s="2249">
        <f>(AD2743+AD2756+AD2763+AD2765+AD2768+AD2770+AD2772+AD2774+AD2777+AD2779+AD2782+AD2784+AD2786+AD2788)/14</f>
        <v>46.672600659571273</v>
      </c>
      <c r="AE2794" s="2152"/>
    </row>
    <row r="2795" spans="1:71" s="2131" customFormat="1" ht="20.100000000000001" customHeight="1">
      <c r="A2795" s="2705" t="s">
        <v>64</v>
      </c>
      <c r="B2795" s="2705"/>
      <c r="C2795" s="2706"/>
      <c r="D2795" s="2706"/>
      <c r="E2795" s="2706"/>
      <c r="F2795" s="2706"/>
      <c r="G2795" s="2706"/>
      <c r="H2795" s="2706"/>
      <c r="I2795" s="2706"/>
      <c r="J2795" s="2706"/>
      <c r="K2795" s="2706"/>
      <c r="L2795" s="2706"/>
      <c r="M2795" s="2706"/>
      <c r="N2795" s="2706"/>
      <c r="O2795" s="2706"/>
      <c r="P2795" s="2706"/>
      <c r="Q2795" s="2706"/>
      <c r="R2795" s="2706"/>
      <c r="S2795" s="2706"/>
      <c r="T2795" s="2706"/>
      <c r="U2795" s="2706"/>
      <c r="V2795" s="2706"/>
      <c r="W2795" s="2706"/>
      <c r="X2795" s="2706"/>
      <c r="Y2795" s="2706"/>
      <c r="Z2795" s="2706"/>
      <c r="AA2795" s="2706"/>
      <c r="AB2795" s="2706"/>
      <c r="AC2795" s="2250" t="str">
        <f>IF(AC2794&gt;=91,"ST",IF(AC2794&gt;=76,"T",IF(AC2794&gt;=66,"S",IF(AC2794&gt;=51,"R","SR"))))</f>
        <v>R</v>
      </c>
      <c r="AD2795" s="2250" t="str">
        <f>IF(AD2794&gt;=91,"ST",IF(AD2794&gt;=76,"T",IF(AD2794&gt;=66,"S",IF(AD2794&gt;=51,"R","SR"))))</f>
        <v>SR</v>
      </c>
      <c r="AE2795" s="2152"/>
    </row>
    <row r="2796" spans="1:71" s="2131" customFormat="1" ht="27.95" customHeight="1">
      <c r="A2796" s="2132" t="s">
        <v>147</v>
      </c>
      <c r="B2796" s="2133"/>
      <c r="C2796" s="2132"/>
      <c r="D2796" s="2132"/>
      <c r="E2796" s="2132"/>
      <c r="F2796" s="2132"/>
      <c r="G2796" s="2132"/>
      <c r="H2796" s="2132"/>
      <c r="I2796" s="2707" t="s">
        <v>4037</v>
      </c>
      <c r="J2796" s="2708"/>
      <c r="K2796" s="2134"/>
      <c r="L2796" s="2135">
        <f>L2797+L2811+L2817+L2819+L2821+L2823+L2826+L2830+L2833+L2835+L2837+L2839+L2841+L2848+L2828</f>
        <v>3192156602</v>
      </c>
      <c r="M2796" s="2134"/>
      <c r="N2796" s="2136">
        <f>N2797+N2811+N2817+N2819+N2821+N2823+N2826+N2830+N2833+N2835+N2837+N2839+N2841+N2848+N2828</f>
        <v>1593948144</v>
      </c>
      <c r="O2796" s="2134"/>
      <c r="P2796" s="2136">
        <f>P2797+P2811+P2817+P2819+P2821+P2823+P2826+P2830+P2833+P2835+P2837+P2839+P2841+P2848+P2828</f>
        <v>626050700</v>
      </c>
      <c r="Q2796" s="2134"/>
      <c r="R2796" s="2136">
        <f>SUM(R2797+R2811+R2817+R2823+R2833+R2835+R2837+R2841)</f>
        <v>142189650</v>
      </c>
      <c r="S2796" s="2134"/>
      <c r="T2796" s="2136">
        <f>T2797+T2811+T2817+T2819+T2821+T2823+T2826+T2830+T2833+T2835+T2837+T2839+T2841+T2848+T2828</f>
        <v>112089650</v>
      </c>
      <c r="U2796" s="2134"/>
      <c r="V2796" s="2136">
        <f>V2797+V2811+V2817+V2819+V2821+V2823+V2826+V2830+V2833+V2835+V2837+V2839+V2841+V2848+V2828</f>
        <v>0</v>
      </c>
      <c r="W2796" s="2134"/>
      <c r="X2796" s="2136">
        <f>X2797+X2811+X2817+X2819+X2821+X2823+X2826+X2830+X2833+X2835+X2837+X2839+X2841+X2848+X2828</f>
        <v>0</v>
      </c>
      <c r="Y2796" s="2134"/>
      <c r="Z2796" s="2136">
        <f t="shared" ref="Z2796:Z2797" si="716">R2796+T2796+V2796+X2796</f>
        <v>254279300</v>
      </c>
      <c r="AA2796" s="2134"/>
      <c r="AB2796" s="2136">
        <f t="shared" ref="AA2796:AB2810" si="717">N2796+Z2796</f>
        <v>1848227444</v>
      </c>
      <c r="AC2796" s="2134"/>
      <c r="AD2796" s="2134"/>
      <c r="AE2796" s="2137"/>
      <c r="AF2796" s="2138"/>
      <c r="AG2796" s="2138"/>
      <c r="AH2796" s="2138"/>
      <c r="AI2796" s="2138"/>
      <c r="AJ2796" s="2138"/>
      <c r="AK2796" s="2138"/>
      <c r="AL2796" s="2138"/>
      <c r="AM2796" s="2138"/>
      <c r="AN2796" s="2138"/>
      <c r="AO2796" s="2138"/>
      <c r="AP2796" s="2138"/>
      <c r="AQ2796" s="2138"/>
      <c r="AR2796" s="2138"/>
      <c r="AS2796" s="2138"/>
      <c r="AT2796" s="2138"/>
      <c r="AU2796" s="2138"/>
      <c r="AV2796" s="2138"/>
      <c r="AW2796" s="2138"/>
      <c r="AX2796" s="2138"/>
      <c r="AY2796" s="2138"/>
      <c r="AZ2796" s="2138"/>
      <c r="BA2796" s="2138"/>
      <c r="BB2796" s="2138"/>
      <c r="BC2796" s="2138"/>
      <c r="BD2796" s="2138"/>
      <c r="BE2796" s="2138"/>
      <c r="BF2796" s="2138"/>
      <c r="BG2796" s="2138"/>
      <c r="BH2796" s="2138"/>
      <c r="BI2796" s="2138"/>
      <c r="BJ2796" s="2138"/>
      <c r="BK2796" s="2138"/>
      <c r="BL2796" s="2138"/>
      <c r="BM2796" s="2138"/>
      <c r="BN2796" s="2138"/>
      <c r="BO2796" s="2138"/>
      <c r="BP2796" s="2138"/>
      <c r="BQ2796" s="2138"/>
      <c r="BR2796" s="2138"/>
      <c r="BS2796" s="2138"/>
    </row>
    <row r="2797" spans="1:71" s="2149" customFormat="1" ht="92.25" customHeight="1">
      <c r="A2797" s="2140" t="s">
        <v>113</v>
      </c>
      <c r="B2797" s="2194"/>
      <c r="C2797" s="2142">
        <v>5</v>
      </c>
      <c r="D2797" s="2142" t="s">
        <v>34</v>
      </c>
      <c r="E2797" s="2142" t="s">
        <v>25</v>
      </c>
      <c r="F2797" s="2142" t="s">
        <v>45</v>
      </c>
      <c r="G2797" s="2142" t="s">
        <v>25</v>
      </c>
      <c r="H2797" s="2140"/>
      <c r="I2797" s="2143" t="s">
        <v>3625</v>
      </c>
      <c r="J2797" s="2143" t="s">
        <v>3626</v>
      </c>
      <c r="K2797" s="2144">
        <v>72</v>
      </c>
      <c r="L2797" s="2145">
        <f>SUM(L2798:L2810)</f>
        <v>1271464002</v>
      </c>
      <c r="M2797" s="2144">
        <v>36</v>
      </c>
      <c r="N2797" s="2145">
        <f>SUM(N2798:N2810)</f>
        <v>773360694</v>
      </c>
      <c r="O2797" s="2144">
        <v>12</v>
      </c>
      <c r="P2797" s="2145">
        <f>SUM(P2798:P2810)</f>
        <v>281728950</v>
      </c>
      <c r="Q2797" s="2144">
        <v>3</v>
      </c>
      <c r="R2797" s="2145">
        <f>SUM(R2798:R2810)</f>
        <v>94496300</v>
      </c>
      <c r="S2797" s="2144">
        <v>3</v>
      </c>
      <c r="T2797" s="2145">
        <f>SUM(T2798:T2810)</f>
        <v>70396300</v>
      </c>
      <c r="U2797" s="2144"/>
      <c r="V2797" s="2145"/>
      <c r="W2797" s="2144"/>
      <c r="X2797" s="2144"/>
      <c r="Y2797" s="2147">
        <f>Q2797+S2797+U2797+W2797</f>
        <v>6</v>
      </c>
      <c r="Z2797" s="2373">
        <f t="shared" si="716"/>
        <v>164892600</v>
      </c>
      <c r="AA2797" s="2147">
        <f>M2797+Y2797</f>
        <v>42</v>
      </c>
      <c r="AB2797" s="2373">
        <f t="shared" si="717"/>
        <v>938253294</v>
      </c>
      <c r="AC2797" s="2375">
        <f>(AA2797/K2797)*100</f>
        <v>58.333333333333336</v>
      </c>
      <c r="AD2797" s="2375">
        <f>AB2797/L2797*100</f>
        <v>73.793146524332357</v>
      </c>
      <c r="AE2797" s="2140" t="s">
        <v>3924</v>
      </c>
    </row>
    <row r="2798" spans="1:71" s="2259" customFormat="1" ht="93.75" customHeight="1">
      <c r="A2798" s="2267"/>
      <c r="B2798" s="2253"/>
      <c r="C2798" s="2164">
        <v>5</v>
      </c>
      <c r="D2798" s="2164" t="s">
        <v>34</v>
      </c>
      <c r="E2798" s="2164" t="s">
        <v>25</v>
      </c>
      <c r="F2798" s="2164" t="s">
        <v>45</v>
      </c>
      <c r="G2798" s="2164" t="s">
        <v>25</v>
      </c>
      <c r="H2798" s="2254" t="s">
        <v>28</v>
      </c>
      <c r="I2798" s="2171" t="s">
        <v>3684</v>
      </c>
      <c r="J2798" s="2171" t="s">
        <v>3627</v>
      </c>
      <c r="K2798" s="2255">
        <v>72</v>
      </c>
      <c r="L2798" s="2203">
        <v>50769000</v>
      </c>
      <c r="M2798" s="2256">
        <v>36</v>
      </c>
      <c r="N2798" s="2257">
        <f>9000000+5188500+3720000</f>
        <v>17908500</v>
      </c>
      <c r="O2798" s="2255">
        <v>12</v>
      </c>
      <c r="P2798" s="2258">
        <v>3720000</v>
      </c>
      <c r="Q2798" s="2256">
        <v>3</v>
      </c>
      <c r="R2798" s="2203">
        <v>1010000</v>
      </c>
      <c r="S2798" s="2256">
        <v>3</v>
      </c>
      <c r="T2798" s="2203">
        <v>1010000</v>
      </c>
      <c r="U2798" s="2255"/>
      <c r="V2798" s="2258"/>
      <c r="W2798" s="2255"/>
      <c r="X2798" s="2255"/>
      <c r="Y2798" s="2240">
        <f t="shared" ref="Y2798:Z2809" si="718">Q2798+S2798+U2798+W2798</f>
        <v>6</v>
      </c>
      <c r="Z2798" s="2384">
        <f>R2798+T2798+V2798+X2798</f>
        <v>2020000</v>
      </c>
      <c r="AA2798" s="2240">
        <f t="shared" si="717"/>
        <v>42</v>
      </c>
      <c r="AB2798" s="2384">
        <f t="shared" si="717"/>
        <v>19928500</v>
      </c>
      <c r="AC2798" s="2385">
        <f>(AA2798/K2798)*100</f>
        <v>58.333333333333336</v>
      </c>
      <c r="AD2798" s="2385">
        <f t="shared" ref="AD2798:AD2810" si="719">AB2798/L2798*100</f>
        <v>39.253284484626441</v>
      </c>
      <c r="AE2798" s="2267"/>
    </row>
    <row r="2799" spans="1:71" s="2259" customFormat="1" ht="63.75">
      <c r="A2799" s="2267"/>
      <c r="B2799" s="2253"/>
      <c r="C2799" s="2164">
        <v>5</v>
      </c>
      <c r="D2799" s="2164" t="s">
        <v>34</v>
      </c>
      <c r="E2799" s="2164" t="s">
        <v>25</v>
      </c>
      <c r="F2799" s="2164" t="s">
        <v>45</v>
      </c>
      <c r="G2799" s="2164" t="s">
        <v>25</v>
      </c>
      <c r="H2799" s="2254" t="s">
        <v>29</v>
      </c>
      <c r="I2799" s="2171" t="s">
        <v>3685</v>
      </c>
      <c r="J2799" s="2171" t="s">
        <v>3628</v>
      </c>
      <c r="K2799" s="2255">
        <v>72</v>
      </c>
      <c r="L2799" s="2203">
        <v>199260600</v>
      </c>
      <c r="M2799" s="2256">
        <v>36</v>
      </c>
      <c r="N2799" s="2257">
        <f>29350000+39600000+61800000</f>
        <v>130750000</v>
      </c>
      <c r="O2799" s="2255">
        <v>12</v>
      </c>
      <c r="P2799" s="2258">
        <v>65400000</v>
      </c>
      <c r="Q2799" s="2256">
        <v>3</v>
      </c>
      <c r="R2799" s="2203">
        <v>17250000</v>
      </c>
      <c r="S2799" s="2256">
        <v>3</v>
      </c>
      <c r="T2799" s="2203">
        <v>17250000</v>
      </c>
      <c r="U2799" s="2255"/>
      <c r="V2799" s="2258"/>
      <c r="W2799" s="2255"/>
      <c r="X2799" s="2255"/>
      <c r="Y2799" s="2240">
        <f t="shared" si="718"/>
        <v>6</v>
      </c>
      <c r="Z2799" s="2384">
        <f t="shared" si="718"/>
        <v>34500000</v>
      </c>
      <c r="AA2799" s="2240">
        <f t="shared" si="717"/>
        <v>42</v>
      </c>
      <c r="AB2799" s="2384">
        <f t="shared" si="717"/>
        <v>165250000</v>
      </c>
      <c r="AC2799" s="2385">
        <f t="shared" ref="AC2799:AC2809" si="720">(AA2799/K2799)*100</f>
        <v>58.333333333333336</v>
      </c>
      <c r="AD2799" s="2385">
        <f t="shared" si="719"/>
        <v>82.931598118243144</v>
      </c>
      <c r="AE2799" s="2267"/>
    </row>
    <row r="2800" spans="1:71" s="2259" customFormat="1" ht="81" customHeight="1">
      <c r="A2800" s="2152"/>
      <c r="B2800" s="2253"/>
      <c r="C2800" s="2164">
        <v>5</v>
      </c>
      <c r="D2800" s="2164" t="s">
        <v>34</v>
      </c>
      <c r="E2800" s="2164" t="s">
        <v>25</v>
      </c>
      <c r="F2800" s="2164" t="s">
        <v>45</v>
      </c>
      <c r="G2800" s="2164" t="s">
        <v>25</v>
      </c>
      <c r="H2800" s="2164" t="s">
        <v>30</v>
      </c>
      <c r="I2800" s="2260" t="s">
        <v>110</v>
      </c>
      <c r="J2800" s="2260" t="s">
        <v>3629</v>
      </c>
      <c r="K2800" s="2261">
        <v>72</v>
      </c>
      <c r="L2800" s="2241">
        <v>202547836</v>
      </c>
      <c r="M2800" s="2261">
        <v>36</v>
      </c>
      <c r="N2800" s="2262">
        <f>28767600+37875600+40510100</f>
        <v>107153300</v>
      </c>
      <c r="O2800" s="2240">
        <v>12</v>
      </c>
      <c r="P2800" s="2242">
        <v>48440000</v>
      </c>
      <c r="Q2800" s="2261">
        <v>3</v>
      </c>
      <c r="R2800" s="2241">
        <v>11132000</v>
      </c>
      <c r="S2800" s="2261">
        <v>3</v>
      </c>
      <c r="T2800" s="2241">
        <v>11132000</v>
      </c>
      <c r="U2800" s="2240"/>
      <c r="V2800" s="2242"/>
      <c r="W2800" s="2240"/>
      <c r="X2800" s="2240"/>
      <c r="Y2800" s="2240">
        <f>Q2800+S2800+U2800+W2800</f>
        <v>6</v>
      </c>
      <c r="Z2800" s="2381">
        <f t="shared" si="718"/>
        <v>22264000</v>
      </c>
      <c r="AA2800" s="2240">
        <f t="shared" si="717"/>
        <v>42</v>
      </c>
      <c r="AB2800" s="2381">
        <f t="shared" si="717"/>
        <v>129417300</v>
      </c>
      <c r="AC2800" s="2385">
        <f>(AA2800/K2800)*100</f>
        <v>58.333333333333336</v>
      </c>
      <c r="AD2800" s="2385">
        <f t="shared" si="719"/>
        <v>63.894684117977938</v>
      </c>
      <c r="AE2800" s="2152"/>
    </row>
    <row r="2801" spans="1:31" s="2259" customFormat="1" ht="25.5">
      <c r="A2801" s="2267"/>
      <c r="B2801" s="2263"/>
      <c r="C2801" s="2254">
        <v>5</v>
      </c>
      <c r="D2801" s="2254" t="s">
        <v>34</v>
      </c>
      <c r="E2801" s="2254" t="s">
        <v>25</v>
      </c>
      <c r="F2801" s="2254" t="s">
        <v>45</v>
      </c>
      <c r="G2801" s="2254" t="s">
        <v>25</v>
      </c>
      <c r="H2801" s="2254" t="s">
        <v>31</v>
      </c>
      <c r="I2801" s="2171" t="s">
        <v>163</v>
      </c>
      <c r="J2801" s="2171" t="s">
        <v>103</v>
      </c>
      <c r="K2801" s="2255">
        <v>72</v>
      </c>
      <c r="L2801" s="2203">
        <v>66547812</v>
      </c>
      <c r="M2801" s="2256">
        <v>36</v>
      </c>
      <c r="N2801" s="2257">
        <f>13363344+11460150+10494600</f>
        <v>35318094</v>
      </c>
      <c r="O2801" s="2255">
        <v>12</v>
      </c>
      <c r="P2801" s="2258">
        <v>10959450</v>
      </c>
      <c r="Q2801" s="2256">
        <v>3</v>
      </c>
      <c r="R2801" s="2203">
        <v>4679300</v>
      </c>
      <c r="S2801" s="2256">
        <v>3</v>
      </c>
      <c r="T2801" s="2203">
        <v>4679300</v>
      </c>
      <c r="U2801" s="2255"/>
      <c r="V2801" s="2258"/>
      <c r="W2801" s="2255"/>
      <c r="X2801" s="2255"/>
      <c r="Y2801" s="2255">
        <f t="shared" si="718"/>
        <v>6</v>
      </c>
      <c r="Z2801" s="2384">
        <f t="shared" si="718"/>
        <v>9358600</v>
      </c>
      <c r="AA2801" s="2255">
        <f>M2801+Y2801</f>
        <v>42</v>
      </c>
      <c r="AB2801" s="2384">
        <f t="shared" si="717"/>
        <v>44676694</v>
      </c>
      <c r="AC2801" s="2438">
        <f>(AA2801/K2801)*100</f>
        <v>58.333333333333336</v>
      </c>
      <c r="AD2801" s="2438">
        <f t="shared" si="719"/>
        <v>67.134730139587461</v>
      </c>
      <c r="AE2801" s="2267"/>
    </row>
    <row r="2802" spans="1:31" s="2259" customFormat="1" ht="38.25">
      <c r="A2802" s="2439"/>
      <c r="B2802" s="2427"/>
      <c r="C2802" s="2428">
        <v>5</v>
      </c>
      <c r="D2802" s="2428" t="s">
        <v>34</v>
      </c>
      <c r="E2802" s="2428" t="s">
        <v>25</v>
      </c>
      <c r="F2802" s="2428" t="s">
        <v>45</v>
      </c>
      <c r="G2802" s="2428" t="s">
        <v>25</v>
      </c>
      <c r="H2802" s="2428" t="s">
        <v>62</v>
      </c>
      <c r="I2802" s="2429" t="s">
        <v>155</v>
      </c>
      <c r="J2802" s="2430" t="s">
        <v>4038</v>
      </c>
      <c r="K2802" s="2431">
        <v>36</v>
      </c>
      <c r="L2802" s="2432">
        <v>16255000</v>
      </c>
      <c r="M2802" s="2433">
        <v>24</v>
      </c>
      <c r="N2802" s="2434">
        <f>3000000+3000000+6178400</f>
        <v>12178400</v>
      </c>
      <c r="O2802" s="2431">
        <v>12</v>
      </c>
      <c r="P2802" s="2435">
        <v>3841000</v>
      </c>
      <c r="Q2802" s="2433">
        <v>5</v>
      </c>
      <c r="R2802" s="2432">
        <v>1530500</v>
      </c>
      <c r="S2802" s="2433">
        <v>5</v>
      </c>
      <c r="T2802" s="2432">
        <v>1530500</v>
      </c>
      <c r="U2802" s="2431"/>
      <c r="V2802" s="2432"/>
      <c r="W2802" s="2431"/>
      <c r="X2802" s="2431"/>
      <c r="Y2802" s="2431">
        <f t="shared" si="718"/>
        <v>10</v>
      </c>
      <c r="Z2802" s="2440">
        <f t="shared" si="718"/>
        <v>3061000</v>
      </c>
      <c r="AA2802" s="2431">
        <f t="shared" ref="AA2802:AA2803" si="721">M2802+Y2802</f>
        <v>34</v>
      </c>
      <c r="AB2802" s="2440">
        <f t="shared" si="717"/>
        <v>15239400</v>
      </c>
      <c r="AC2802" s="2441">
        <f t="shared" ref="AC2802:AC2803" si="722">(AA2802/K2802)*100</f>
        <v>94.444444444444443</v>
      </c>
      <c r="AD2802" s="2441">
        <f t="shared" si="719"/>
        <v>93.752076284220237</v>
      </c>
      <c r="AE2802" s="2439"/>
    </row>
    <row r="2803" spans="1:31" s="2259" customFormat="1" ht="38.25">
      <c r="A2803" s="2267"/>
      <c r="B2803" s="2263"/>
      <c r="C2803" s="2254"/>
      <c r="D2803" s="2254"/>
      <c r="E2803" s="2254"/>
      <c r="F2803" s="2254"/>
      <c r="G2803" s="2254"/>
      <c r="H2803" s="2254"/>
      <c r="I2803" s="2171"/>
      <c r="J2803" s="2442" t="s">
        <v>4039</v>
      </c>
      <c r="K2803" s="2617">
        <f>L2803/200</f>
        <v>116875</v>
      </c>
      <c r="L2803" s="2203">
        <f>12000000+N2803</f>
        <v>23375000</v>
      </c>
      <c r="M2803" s="2257">
        <v>56875</v>
      </c>
      <c r="N2803" s="2257">
        <f>2030000+2888200+6456800</f>
        <v>11375000</v>
      </c>
      <c r="O2803" s="2203">
        <v>22375</v>
      </c>
      <c r="P2803" s="2258">
        <v>4475000</v>
      </c>
      <c r="Q2803" s="2257">
        <f>R2803/200</f>
        <v>12060</v>
      </c>
      <c r="R2803" s="2203">
        <v>2412000</v>
      </c>
      <c r="S2803" s="2257">
        <v>8000</v>
      </c>
      <c r="T2803" s="2203">
        <v>1412000</v>
      </c>
      <c r="U2803" s="2255"/>
      <c r="V2803" s="2203"/>
      <c r="W2803" s="2255"/>
      <c r="X2803" s="2255"/>
      <c r="Y2803" s="2203">
        <f t="shared" si="718"/>
        <v>20060</v>
      </c>
      <c r="Z2803" s="2384">
        <f t="shared" si="718"/>
        <v>3824000</v>
      </c>
      <c r="AA2803" s="2203">
        <f t="shared" si="721"/>
        <v>76935</v>
      </c>
      <c r="AB2803" s="2384">
        <f t="shared" si="717"/>
        <v>15199000</v>
      </c>
      <c r="AC2803" s="2438">
        <f t="shared" si="722"/>
        <v>65.82673796791444</v>
      </c>
      <c r="AD2803" s="2438">
        <f t="shared" si="719"/>
        <v>65.022459893048122</v>
      </c>
      <c r="AE2803" s="2267"/>
    </row>
    <row r="2804" spans="1:31" s="2259" customFormat="1" ht="92.25" customHeight="1">
      <c r="A2804" s="2267"/>
      <c r="B2804" s="2253"/>
      <c r="C2804" s="2164">
        <v>5</v>
      </c>
      <c r="D2804" s="2164" t="s">
        <v>34</v>
      </c>
      <c r="E2804" s="2164" t="s">
        <v>25</v>
      </c>
      <c r="F2804" s="2164" t="s">
        <v>45</v>
      </c>
      <c r="G2804" s="2164" t="s">
        <v>25</v>
      </c>
      <c r="H2804" s="2254" t="s">
        <v>52</v>
      </c>
      <c r="I2804" s="2171" t="s">
        <v>3687</v>
      </c>
      <c r="J2804" s="2171" t="s">
        <v>3631</v>
      </c>
      <c r="K2804" s="2255">
        <v>72</v>
      </c>
      <c r="L2804" s="2203">
        <v>13691130</v>
      </c>
      <c r="M2804" s="2256">
        <v>36</v>
      </c>
      <c r="N2804" s="2257">
        <f>2413500+2430000+1900000</f>
        <v>6743500</v>
      </c>
      <c r="O2804" s="2255">
        <v>12</v>
      </c>
      <c r="P2804" s="2258">
        <v>1223500</v>
      </c>
      <c r="Q2804" s="2256">
        <v>3</v>
      </c>
      <c r="R2804" s="2203">
        <v>549000</v>
      </c>
      <c r="S2804" s="2256">
        <v>3</v>
      </c>
      <c r="T2804" s="2203">
        <v>549000</v>
      </c>
      <c r="U2804" s="2255"/>
      <c r="V2804" s="2258"/>
      <c r="W2804" s="2255"/>
      <c r="X2804" s="2255"/>
      <c r="Y2804" s="2240">
        <f>Q2804+S2804+U2804+W2804</f>
        <v>6</v>
      </c>
      <c r="Z2804" s="2384">
        <f t="shared" si="718"/>
        <v>1098000</v>
      </c>
      <c r="AA2804" s="2240">
        <f t="shared" si="717"/>
        <v>42</v>
      </c>
      <c r="AB2804" s="2384">
        <f t="shared" si="717"/>
        <v>7841500</v>
      </c>
      <c r="AC2804" s="2385">
        <f t="shared" si="720"/>
        <v>58.333333333333336</v>
      </c>
      <c r="AD2804" s="2385">
        <f t="shared" si="719"/>
        <v>57.274308256513528</v>
      </c>
      <c r="AE2804" s="2267"/>
    </row>
    <row r="2805" spans="1:31" s="2259" customFormat="1" ht="63.75">
      <c r="A2805" s="2267"/>
      <c r="B2805" s="2253"/>
      <c r="C2805" s="2164">
        <v>5</v>
      </c>
      <c r="D2805" s="2164" t="s">
        <v>34</v>
      </c>
      <c r="E2805" s="2164" t="s">
        <v>25</v>
      </c>
      <c r="F2805" s="2164" t="s">
        <v>45</v>
      </c>
      <c r="G2805" s="2164" t="s">
        <v>25</v>
      </c>
      <c r="H2805" s="2254" t="s">
        <v>45</v>
      </c>
      <c r="I2805" s="2171" t="s">
        <v>3688</v>
      </c>
      <c r="J2805" s="2171" t="s">
        <v>4040</v>
      </c>
      <c r="K2805" s="2255">
        <v>6</v>
      </c>
      <c r="L2805" s="2203">
        <v>4641520</v>
      </c>
      <c r="M2805" s="2256">
        <v>3</v>
      </c>
      <c r="N2805" s="2257">
        <f>1300000+720000+1800000</f>
        <v>3820000</v>
      </c>
      <c r="O2805" s="2255">
        <v>1</v>
      </c>
      <c r="P2805" s="2258">
        <v>1800000</v>
      </c>
      <c r="Q2805" s="2256">
        <v>0</v>
      </c>
      <c r="R2805" s="2203">
        <v>0</v>
      </c>
      <c r="S2805" s="2256">
        <v>0</v>
      </c>
      <c r="T2805" s="2203">
        <v>0</v>
      </c>
      <c r="U2805" s="2255"/>
      <c r="V2805" s="2258"/>
      <c r="W2805" s="2255"/>
      <c r="X2805" s="2255"/>
      <c r="Y2805" s="2240">
        <f t="shared" si="718"/>
        <v>0</v>
      </c>
      <c r="Z2805" s="2384">
        <f t="shared" si="718"/>
        <v>0</v>
      </c>
      <c r="AA2805" s="2240">
        <f t="shared" si="717"/>
        <v>3</v>
      </c>
      <c r="AB2805" s="2384">
        <f t="shared" si="717"/>
        <v>3820000</v>
      </c>
      <c r="AC2805" s="2385">
        <f t="shared" si="720"/>
        <v>50</v>
      </c>
      <c r="AD2805" s="2385">
        <f t="shared" si="719"/>
        <v>82.30062565711232</v>
      </c>
      <c r="AE2805" s="2267"/>
    </row>
    <row r="2806" spans="1:31" s="2259" customFormat="1" ht="60.75" customHeight="1">
      <c r="A2806" s="2439"/>
      <c r="B2806" s="2427"/>
      <c r="C2806" s="2428">
        <v>5</v>
      </c>
      <c r="D2806" s="2428" t="s">
        <v>34</v>
      </c>
      <c r="E2806" s="2428" t="s">
        <v>25</v>
      </c>
      <c r="F2806" s="2428" t="s">
        <v>45</v>
      </c>
      <c r="G2806" s="2428" t="s">
        <v>25</v>
      </c>
      <c r="H2806" s="2428" t="s">
        <v>74</v>
      </c>
      <c r="I2806" s="2429" t="s">
        <v>167</v>
      </c>
      <c r="J2806" s="2430" t="s">
        <v>3633</v>
      </c>
      <c r="K2806" s="2431">
        <v>72</v>
      </c>
      <c r="L2806" s="2432">
        <v>40095000</v>
      </c>
      <c r="M2806" s="2433">
        <v>36</v>
      </c>
      <c r="N2806" s="2434">
        <f>17737500+8250000+8250000</f>
        <v>34237500</v>
      </c>
      <c r="O2806" s="2431">
        <v>12</v>
      </c>
      <c r="P2806" s="2435">
        <v>8085000</v>
      </c>
      <c r="Q2806" s="2433">
        <v>3</v>
      </c>
      <c r="R2806" s="2432">
        <v>2469500</v>
      </c>
      <c r="S2806" s="2433">
        <v>3</v>
      </c>
      <c r="T2806" s="2432">
        <v>2469500</v>
      </c>
      <c r="U2806" s="2431"/>
      <c r="V2806" s="2435"/>
      <c r="W2806" s="2431"/>
      <c r="X2806" s="2431"/>
      <c r="Y2806" s="2431">
        <f t="shared" si="718"/>
        <v>6</v>
      </c>
      <c r="Z2806" s="2440">
        <f t="shared" si="718"/>
        <v>4939000</v>
      </c>
      <c r="AA2806" s="2431">
        <f>M2806+Y2806</f>
        <v>42</v>
      </c>
      <c r="AB2806" s="2440">
        <f t="shared" si="717"/>
        <v>39176500</v>
      </c>
      <c r="AC2806" s="2441">
        <f>(AA2806/K2806)*100</f>
        <v>58.333333333333336</v>
      </c>
      <c r="AD2806" s="2441">
        <f t="shared" si="719"/>
        <v>97.709190672153639</v>
      </c>
      <c r="AE2806" s="2439"/>
    </row>
    <row r="2807" spans="1:31" s="2259" customFormat="1" ht="25.5">
      <c r="A2807" s="2267"/>
      <c r="B2807" s="2263"/>
      <c r="C2807" s="2254"/>
      <c r="D2807" s="2254"/>
      <c r="E2807" s="2254"/>
      <c r="F2807" s="2254"/>
      <c r="G2807" s="2254"/>
      <c r="H2807" s="2254"/>
      <c r="I2807" s="2171"/>
      <c r="J2807" s="2442" t="s">
        <v>4041</v>
      </c>
      <c r="K2807" s="2255">
        <v>72</v>
      </c>
      <c r="L2807" s="2203">
        <v>45375000</v>
      </c>
      <c r="M2807" s="2256">
        <v>36</v>
      </c>
      <c r="N2807" s="2257">
        <f>10312500+4812500+2750000</f>
        <v>17875000</v>
      </c>
      <c r="O2807" s="2255">
        <v>12</v>
      </c>
      <c r="P2807" s="2258">
        <v>2695000</v>
      </c>
      <c r="Q2807" s="2256">
        <v>3</v>
      </c>
      <c r="R2807" s="2203">
        <v>539000</v>
      </c>
      <c r="S2807" s="2256">
        <v>3</v>
      </c>
      <c r="T2807" s="2203">
        <v>539000</v>
      </c>
      <c r="U2807" s="2255"/>
      <c r="V2807" s="2258"/>
      <c r="W2807" s="2255"/>
      <c r="X2807" s="2255"/>
      <c r="Y2807" s="2255">
        <f t="shared" si="718"/>
        <v>6</v>
      </c>
      <c r="Z2807" s="2384">
        <f t="shared" si="718"/>
        <v>1078000</v>
      </c>
      <c r="AA2807" s="2255">
        <f>M2807+Y2807</f>
        <v>42</v>
      </c>
      <c r="AB2807" s="2384">
        <f t="shared" si="717"/>
        <v>18953000</v>
      </c>
      <c r="AC2807" s="2438">
        <f>(AA2807/K2807)*100</f>
        <v>58.333333333333336</v>
      </c>
      <c r="AD2807" s="2438">
        <f t="shared" si="719"/>
        <v>41.769696969696966</v>
      </c>
      <c r="AE2807" s="2267"/>
    </row>
    <row r="2808" spans="1:31" s="2259" customFormat="1" ht="64.5" customHeight="1">
      <c r="A2808" s="2267"/>
      <c r="B2808" s="2253"/>
      <c r="C2808" s="2164">
        <v>5</v>
      </c>
      <c r="D2808" s="2164" t="s">
        <v>34</v>
      </c>
      <c r="E2808" s="2164" t="s">
        <v>25</v>
      </c>
      <c r="F2808" s="2164" t="s">
        <v>45</v>
      </c>
      <c r="G2808" s="2164" t="s">
        <v>25</v>
      </c>
      <c r="H2808" s="2254" t="s">
        <v>44</v>
      </c>
      <c r="I2808" s="2171" t="s">
        <v>233</v>
      </c>
      <c r="J2808" s="2171" t="s">
        <v>3634</v>
      </c>
      <c r="K2808" s="2255">
        <v>72</v>
      </c>
      <c r="L2808" s="2203">
        <v>197033000</v>
      </c>
      <c r="M2808" s="2256">
        <v>36</v>
      </c>
      <c r="N2808" s="2257">
        <f>43880000+31002000+49000000</f>
        <v>123882000</v>
      </c>
      <c r="O2808" s="2255">
        <v>12</v>
      </c>
      <c r="P2808" s="2258">
        <v>34500000</v>
      </c>
      <c r="Q2808" s="2256">
        <v>3</v>
      </c>
      <c r="R2808" s="2203">
        <v>6550000</v>
      </c>
      <c r="S2808" s="2256">
        <v>3</v>
      </c>
      <c r="T2808" s="2203">
        <v>6550000</v>
      </c>
      <c r="U2808" s="2255"/>
      <c r="V2808" s="2258"/>
      <c r="W2808" s="2255"/>
      <c r="X2808" s="2255"/>
      <c r="Y2808" s="2240">
        <f>Q2808+S2808+U2808+W2808</f>
        <v>6</v>
      </c>
      <c r="Z2808" s="2384">
        <f t="shared" si="718"/>
        <v>13100000</v>
      </c>
      <c r="AA2808" s="2240">
        <f t="shared" si="717"/>
        <v>42</v>
      </c>
      <c r="AB2808" s="2384">
        <f t="shared" si="717"/>
        <v>136982000</v>
      </c>
      <c r="AC2808" s="2385">
        <f t="shared" si="720"/>
        <v>58.333333333333336</v>
      </c>
      <c r="AD2808" s="2385">
        <f t="shared" si="719"/>
        <v>69.522364274004872</v>
      </c>
      <c r="AE2808" s="2267"/>
    </row>
    <row r="2809" spans="1:31" s="2259" customFormat="1" ht="51">
      <c r="A2809" s="2267"/>
      <c r="B2809" s="2253"/>
      <c r="C2809" s="2164">
        <v>5</v>
      </c>
      <c r="D2809" s="2164" t="s">
        <v>34</v>
      </c>
      <c r="E2809" s="2164" t="s">
        <v>25</v>
      </c>
      <c r="F2809" s="2164" t="s">
        <v>45</v>
      </c>
      <c r="G2809" s="2164" t="s">
        <v>25</v>
      </c>
      <c r="H2809" s="2254" t="s">
        <v>54</v>
      </c>
      <c r="I2809" s="2171" t="s">
        <v>3689</v>
      </c>
      <c r="J2809" s="2171" t="s">
        <v>3635</v>
      </c>
      <c r="K2809" s="2255">
        <v>72</v>
      </c>
      <c r="L2809" s="2203">
        <v>382943104</v>
      </c>
      <c r="M2809" s="2256">
        <v>36</v>
      </c>
      <c r="N2809" s="2257">
        <f>84550000+77238000+96940000</f>
        <v>258728000</v>
      </c>
      <c r="O2809" s="2255">
        <v>12</v>
      </c>
      <c r="P2809" s="2258">
        <v>92940000</v>
      </c>
      <c r="Q2809" s="2256">
        <v>3</v>
      </c>
      <c r="R2809" s="2203">
        <v>43275000</v>
      </c>
      <c r="S2809" s="2256">
        <v>3</v>
      </c>
      <c r="T2809" s="2203">
        <v>23275000</v>
      </c>
      <c r="U2809" s="2255"/>
      <c r="V2809" s="2258"/>
      <c r="W2809" s="2255"/>
      <c r="X2809" s="2255"/>
      <c r="Y2809" s="2240">
        <f t="shared" ref="Y2809:Z2824" si="723">Q2809+S2809+U2809+W2809</f>
        <v>6</v>
      </c>
      <c r="Z2809" s="2384">
        <f t="shared" si="718"/>
        <v>66550000</v>
      </c>
      <c r="AA2809" s="2240">
        <f t="shared" si="717"/>
        <v>42</v>
      </c>
      <c r="AB2809" s="2384">
        <f t="shared" si="717"/>
        <v>325278000</v>
      </c>
      <c r="AC2809" s="2385">
        <f t="shared" si="720"/>
        <v>58.333333333333336</v>
      </c>
      <c r="AD2809" s="2385">
        <f t="shared" si="719"/>
        <v>84.941600097334572</v>
      </c>
      <c r="AE2809" s="2267"/>
    </row>
    <row r="2810" spans="1:31" s="2259" customFormat="1" ht="79.5" customHeight="1">
      <c r="A2810" s="2267"/>
      <c r="B2810" s="2253"/>
      <c r="C2810" s="2164">
        <v>5</v>
      </c>
      <c r="D2810" s="2164" t="s">
        <v>34</v>
      </c>
      <c r="E2810" s="2164" t="s">
        <v>25</v>
      </c>
      <c r="F2810" s="2164" t="s">
        <v>45</v>
      </c>
      <c r="G2810" s="2164" t="s">
        <v>25</v>
      </c>
      <c r="H2810" s="2254" t="s">
        <v>61</v>
      </c>
      <c r="I2810" s="2171" t="s">
        <v>4012</v>
      </c>
      <c r="J2810" s="2171" t="s">
        <v>4013</v>
      </c>
      <c r="K2810" s="2255">
        <v>35</v>
      </c>
      <c r="L2810" s="2203">
        <v>28930000</v>
      </c>
      <c r="M2810" s="2256">
        <v>21</v>
      </c>
      <c r="N2810" s="2257">
        <f>7191400+6200000</f>
        <v>13391400</v>
      </c>
      <c r="O2810" s="2255">
        <v>7</v>
      </c>
      <c r="P2810" s="2258">
        <v>3650000</v>
      </c>
      <c r="Q2810" s="2256">
        <v>3</v>
      </c>
      <c r="R2810" s="2203">
        <v>3100000</v>
      </c>
      <c r="S2810" s="2256">
        <v>3</v>
      </c>
      <c r="T2810" s="2203">
        <v>0</v>
      </c>
      <c r="U2810" s="2255"/>
      <c r="V2810" s="2258"/>
      <c r="W2810" s="2255"/>
      <c r="X2810" s="2255"/>
      <c r="Y2810" s="2240">
        <f t="shared" si="723"/>
        <v>6</v>
      </c>
      <c r="Z2810" s="2384">
        <f t="shared" si="723"/>
        <v>3100000</v>
      </c>
      <c r="AA2810" s="2240">
        <f>M2810+Y2810</f>
        <v>27</v>
      </c>
      <c r="AB2810" s="2384">
        <f t="shared" si="717"/>
        <v>16491400</v>
      </c>
      <c r="AC2810" s="2385">
        <f>(AA2810/K2810)*100</f>
        <v>77.142857142857153</v>
      </c>
      <c r="AD2810" s="2385">
        <f t="shared" si="719"/>
        <v>57.004493605254055</v>
      </c>
      <c r="AE2810" s="2267"/>
    </row>
    <row r="2811" spans="1:31" s="2266" customFormat="1" ht="63.75">
      <c r="A2811" s="2140" t="s">
        <v>114</v>
      </c>
      <c r="B2811" s="2194"/>
      <c r="C2811" s="2142">
        <v>5</v>
      </c>
      <c r="D2811" s="2142" t="s">
        <v>34</v>
      </c>
      <c r="E2811" s="2142" t="s">
        <v>25</v>
      </c>
      <c r="F2811" s="2142" t="s">
        <v>45</v>
      </c>
      <c r="G2811" s="2142" t="s">
        <v>28</v>
      </c>
      <c r="H2811" s="2140"/>
      <c r="I2811" s="2143" t="s">
        <v>3636</v>
      </c>
      <c r="J2811" s="2143" t="s">
        <v>3531</v>
      </c>
      <c r="K2811" s="2144">
        <v>72</v>
      </c>
      <c r="L2811" s="2145">
        <f>SUM(L2812:L2816)</f>
        <v>423067585</v>
      </c>
      <c r="M2811" s="2144">
        <v>36</v>
      </c>
      <c r="N2811" s="2145">
        <f>SUM(N2812:N2816)</f>
        <v>299106100</v>
      </c>
      <c r="O2811" s="2144">
        <v>12</v>
      </c>
      <c r="P2811" s="2145">
        <f>SUM(P2812:P2816)</f>
        <v>133724000</v>
      </c>
      <c r="Q2811" s="2144">
        <v>3</v>
      </c>
      <c r="R2811" s="2145">
        <f>SUM(R2812:R2816)</f>
        <v>24459350</v>
      </c>
      <c r="S2811" s="2144">
        <v>3</v>
      </c>
      <c r="T2811" s="2145">
        <f>SUM(T2812:T2816)</f>
        <v>24459350</v>
      </c>
      <c r="U2811" s="2144"/>
      <c r="V2811" s="2145"/>
      <c r="W2811" s="2144"/>
      <c r="X2811" s="2144"/>
      <c r="Y2811" s="2144">
        <f t="shared" si="723"/>
        <v>6</v>
      </c>
      <c r="Z2811" s="2373">
        <f t="shared" si="723"/>
        <v>48918700</v>
      </c>
      <c r="AA2811" s="2144">
        <f>M2811+Y2811</f>
        <v>42</v>
      </c>
      <c r="AB2811" s="2373">
        <f>N2811+Z2811</f>
        <v>348024800</v>
      </c>
      <c r="AC2811" s="2375">
        <f>(AA2811/K2811)*100</f>
        <v>58.333333333333336</v>
      </c>
      <c r="AD2811" s="2375">
        <f>(AB2811/L2811)*100</f>
        <v>82.262222949555451</v>
      </c>
      <c r="AE2811" s="2140" t="s">
        <v>3924</v>
      </c>
    </row>
    <row r="2812" spans="1:31" s="2259" customFormat="1" ht="51">
      <c r="A2812" s="2267"/>
      <c r="B2812" s="2253"/>
      <c r="C2812" s="2164">
        <v>5</v>
      </c>
      <c r="D2812" s="2164" t="s">
        <v>34</v>
      </c>
      <c r="E2812" s="2164" t="s">
        <v>25</v>
      </c>
      <c r="F2812" s="2164" t="s">
        <v>45</v>
      </c>
      <c r="G2812" s="2164" t="s">
        <v>28</v>
      </c>
      <c r="H2812" s="2164" t="s">
        <v>29</v>
      </c>
      <c r="I2812" s="2171" t="s">
        <v>3637</v>
      </c>
      <c r="J2812" s="2171" t="s">
        <v>4042</v>
      </c>
      <c r="K2812" s="2255">
        <v>45</v>
      </c>
      <c r="L2812" s="2203">
        <v>25209890</v>
      </c>
      <c r="M2812" s="2256">
        <v>36</v>
      </c>
      <c r="N2812" s="2257">
        <f>9940000+47540000+4373000</f>
        <v>61853000</v>
      </c>
      <c r="O2812" s="2255">
        <v>12</v>
      </c>
      <c r="P2812" s="2258">
        <v>4050000</v>
      </c>
      <c r="Q2812" s="2256">
        <v>0</v>
      </c>
      <c r="R2812" s="2203">
        <v>0</v>
      </c>
      <c r="S2812" s="2256">
        <v>0</v>
      </c>
      <c r="T2812" s="2203">
        <v>0</v>
      </c>
      <c r="U2812" s="2255"/>
      <c r="V2812" s="2258"/>
      <c r="W2812" s="2255"/>
      <c r="X2812" s="2255"/>
      <c r="Y2812" s="2240">
        <f t="shared" si="723"/>
        <v>0</v>
      </c>
      <c r="Z2812" s="2384">
        <f t="shared" si="723"/>
        <v>0</v>
      </c>
      <c r="AA2812" s="2240">
        <f t="shared" ref="AA2812:AB2836" si="724">M2812+Y2812</f>
        <v>36</v>
      </c>
      <c r="AB2812" s="2384">
        <f>N2812+Z2812</f>
        <v>61853000</v>
      </c>
      <c r="AC2812" s="2385">
        <f>(AA2812/K2812)*100</f>
        <v>80</v>
      </c>
      <c r="AD2812" s="2385">
        <f>(AB2812/L2812)*100</f>
        <v>245.35212172683023</v>
      </c>
      <c r="AE2812" s="2267"/>
    </row>
    <row r="2813" spans="1:31" s="2259" customFormat="1" ht="51">
      <c r="A2813" s="2267"/>
      <c r="B2813" s="2253"/>
      <c r="C2813" s="2164">
        <v>5</v>
      </c>
      <c r="D2813" s="2164" t="s">
        <v>34</v>
      </c>
      <c r="E2813" s="2164" t="s">
        <v>25</v>
      </c>
      <c r="F2813" s="2164" t="s">
        <v>45</v>
      </c>
      <c r="G2813" s="2164" t="s">
        <v>28</v>
      </c>
      <c r="H2813" s="2164" t="s">
        <v>43</v>
      </c>
      <c r="I2813" s="2171" t="s">
        <v>82</v>
      </c>
      <c r="J2813" s="2171" t="s">
        <v>244</v>
      </c>
      <c r="K2813" s="2255">
        <v>12</v>
      </c>
      <c r="L2813" s="2203">
        <v>51645000</v>
      </c>
      <c r="M2813" s="2256">
        <v>6</v>
      </c>
      <c r="N2813" s="2257">
        <f>12200000+10000000+9000000</f>
        <v>31200000</v>
      </c>
      <c r="O2813" s="2255">
        <v>2</v>
      </c>
      <c r="P2813" s="2258">
        <v>15000000</v>
      </c>
      <c r="Q2813" s="2256">
        <v>0</v>
      </c>
      <c r="R2813" s="2203">
        <v>0</v>
      </c>
      <c r="S2813" s="2256">
        <v>0</v>
      </c>
      <c r="T2813" s="2203">
        <v>0</v>
      </c>
      <c r="U2813" s="2255"/>
      <c r="V2813" s="2258"/>
      <c r="W2813" s="2255"/>
      <c r="X2813" s="2255"/>
      <c r="Y2813" s="2240">
        <f t="shared" si="723"/>
        <v>0</v>
      </c>
      <c r="Z2813" s="2384">
        <f t="shared" si="723"/>
        <v>0</v>
      </c>
      <c r="AA2813" s="2240">
        <f t="shared" si="724"/>
        <v>6</v>
      </c>
      <c r="AB2813" s="2384">
        <f t="shared" si="724"/>
        <v>31200000</v>
      </c>
      <c r="AC2813" s="2385">
        <f t="shared" ref="AC2813:AD2836" si="725">(AA2813/K2813)*100</f>
        <v>50</v>
      </c>
      <c r="AD2813" s="2385">
        <f>(AB2813/L2813)*100</f>
        <v>60.412431019459781</v>
      </c>
      <c r="AE2813" s="2267"/>
    </row>
    <row r="2814" spans="1:31" s="2259" customFormat="1" ht="64.5" customHeight="1">
      <c r="A2814" s="2267"/>
      <c r="B2814" s="2253"/>
      <c r="C2814" s="2164">
        <v>5</v>
      </c>
      <c r="D2814" s="2164" t="s">
        <v>34</v>
      </c>
      <c r="E2814" s="2164" t="s">
        <v>25</v>
      </c>
      <c r="F2814" s="2164" t="s">
        <v>45</v>
      </c>
      <c r="G2814" s="2164" t="s">
        <v>28</v>
      </c>
      <c r="H2814" s="2164" t="s">
        <v>61</v>
      </c>
      <c r="I2814" s="2171" t="s">
        <v>134</v>
      </c>
      <c r="J2814" s="2171" t="s">
        <v>3695</v>
      </c>
      <c r="K2814" s="2255">
        <v>6</v>
      </c>
      <c r="L2814" s="2203">
        <v>53854000</v>
      </c>
      <c r="M2814" s="2256">
        <v>3</v>
      </c>
      <c r="N2814" s="2257">
        <f>14409000+21009000+17439000</f>
        <v>52857000</v>
      </c>
      <c r="O2814" s="2255">
        <v>1</v>
      </c>
      <c r="P2814" s="2258">
        <v>42539000</v>
      </c>
      <c r="Q2814" s="2256">
        <v>1</v>
      </c>
      <c r="R2814" s="2203">
        <v>10000000</v>
      </c>
      <c r="S2814" s="2256">
        <v>1</v>
      </c>
      <c r="T2814" s="2203">
        <v>10000000</v>
      </c>
      <c r="U2814" s="2255"/>
      <c r="V2814" s="2258"/>
      <c r="W2814" s="2255"/>
      <c r="X2814" s="2255"/>
      <c r="Y2814" s="2240">
        <f t="shared" si="723"/>
        <v>2</v>
      </c>
      <c r="Z2814" s="2384">
        <f t="shared" si="723"/>
        <v>20000000</v>
      </c>
      <c r="AA2814" s="2240">
        <f t="shared" si="724"/>
        <v>5</v>
      </c>
      <c r="AB2814" s="2384">
        <f t="shared" si="724"/>
        <v>72857000</v>
      </c>
      <c r="AC2814" s="2385">
        <f t="shared" si="725"/>
        <v>83.333333333333343</v>
      </c>
      <c r="AD2814" s="2385">
        <f t="shared" si="725"/>
        <v>135.28614401901439</v>
      </c>
      <c r="AE2814" s="2267"/>
    </row>
    <row r="2815" spans="1:31" s="2259" customFormat="1" ht="51">
      <c r="A2815" s="2267"/>
      <c r="B2815" s="2253"/>
      <c r="C2815" s="2164">
        <v>5</v>
      </c>
      <c r="D2815" s="2164" t="s">
        <v>34</v>
      </c>
      <c r="E2815" s="2164" t="s">
        <v>25</v>
      </c>
      <c r="F2815" s="2164" t="s">
        <v>45</v>
      </c>
      <c r="G2815" s="2164" t="s">
        <v>28</v>
      </c>
      <c r="H2815" s="2164" t="s">
        <v>84</v>
      </c>
      <c r="I2815" s="2171" t="s">
        <v>239</v>
      </c>
      <c r="J2815" s="2171" t="s">
        <v>3777</v>
      </c>
      <c r="K2815" s="2255">
        <v>24</v>
      </c>
      <c r="L2815" s="2203">
        <v>273794695</v>
      </c>
      <c r="M2815" s="2256">
        <v>12</v>
      </c>
      <c r="N2815" s="2257">
        <f>44411750+43102300+59082050</f>
        <v>146596100</v>
      </c>
      <c r="O2815" s="2255">
        <v>4</v>
      </c>
      <c r="P2815" s="2258">
        <v>68535000</v>
      </c>
      <c r="Q2815" s="2256">
        <v>1</v>
      </c>
      <c r="R2815" s="2203">
        <v>13959350</v>
      </c>
      <c r="S2815" s="2256">
        <v>1</v>
      </c>
      <c r="T2815" s="2203">
        <v>13959350</v>
      </c>
      <c r="U2815" s="2255"/>
      <c r="V2815" s="2258"/>
      <c r="W2815" s="2255"/>
      <c r="X2815" s="2255"/>
      <c r="Y2815" s="2240">
        <f t="shared" si="723"/>
        <v>2</v>
      </c>
      <c r="Z2815" s="2384">
        <f t="shared" si="723"/>
        <v>27918700</v>
      </c>
      <c r="AA2815" s="2240">
        <f t="shared" si="724"/>
        <v>14</v>
      </c>
      <c r="AB2815" s="2384">
        <f t="shared" si="724"/>
        <v>174514800</v>
      </c>
      <c r="AC2815" s="2385">
        <f t="shared" si="725"/>
        <v>58.333333333333336</v>
      </c>
      <c r="AD2815" s="2385">
        <f t="shared" si="725"/>
        <v>63.739291953775798</v>
      </c>
      <c r="AE2815" s="2267"/>
    </row>
    <row r="2816" spans="1:31" s="2259" customFormat="1" ht="51">
      <c r="A2816" s="2267"/>
      <c r="B2816" s="2253"/>
      <c r="C2816" s="2164">
        <v>5</v>
      </c>
      <c r="D2816" s="2164" t="s">
        <v>34</v>
      </c>
      <c r="E2816" s="2164" t="s">
        <v>25</v>
      </c>
      <c r="F2816" s="2164" t="s">
        <v>45</v>
      </c>
      <c r="G2816" s="2164" t="s">
        <v>28</v>
      </c>
      <c r="H2816" s="2164" t="s">
        <v>50</v>
      </c>
      <c r="I2816" s="2171" t="s">
        <v>3778</v>
      </c>
      <c r="J2816" s="2171" t="s">
        <v>3779</v>
      </c>
      <c r="K2816" s="2255">
        <v>96</v>
      </c>
      <c r="L2816" s="2203">
        <v>18564000</v>
      </c>
      <c r="M2816" s="2256">
        <f>96/3</f>
        <v>32</v>
      </c>
      <c r="N2816" s="2257">
        <f>3000000+3600000</f>
        <v>6600000</v>
      </c>
      <c r="O2816" s="2255">
        <v>13</v>
      </c>
      <c r="P2816" s="2258">
        <v>3600000</v>
      </c>
      <c r="Q2816" s="2256">
        <v>2</v>
      </c>
      <c r="R2816" s="2203">
        <v>500000</v>
      </c>
      <c r="S2816" s="2256">
        <v>2</v>
      </c>
      <c r="T2816" s="2203">
        <v>500000</v>
      </c>
      <c r="U2816" s="2255"/>
      <c r="V2816" s="2258"/>
      <c r="W2816" s="2255"/>
      <c r="X2816" s="2255"/>
      <c r="Y2816" s="2240">
        <f t="shared" si="723"/>
        <v>4</v>
      </c>
      <c r="Z2816" s="2384">
        <f>R2816+T2816+V2816+X2816</f>
        <v>1000000</v>
      </c>
      <c r="AA2816" s="2240">
        <f t="shared" si="724"/>
        <v>36</v>
      </c>
      <c r="AB2816" s="2384">
        <f t="shared" si="724"/>
        <v>7600000</v>
      </c>
      <c r="AC2816" s="2385">
        <f t="shared" si="725"/>
        <v>37.5</v>
      </c>
      <c r="AD2816" s="2385">
        <f>(AB2816/L2816)*100</f>
        <v>40.939452704158583</v>
      </c>
      <c r="AE2816" s="2267"/>
    </row>
    <row r="2817" spans="1:31" s="2259" customFormat="1" ht="53.25" customHeight="1">
      <c r="A2817" s="2140" t="s">
        <v>3538</v>
      </c>
      <c r="B2817" s="2194"/>
      <c r="C2817" s="2142">
        <v>5</v>
      </c>
      <c r="D2817" s="2142" t="s">
        <v>34</v>
      </c>
      <c r="E2817" s="2142" t="s">
        <v>25</v>
      </c>
      <c r="F2817" s="2142" t="s">
        <v>45</v>
      </c>
      <c r="G2817" s="2142" t="s">
        <v>45</v>
      </c>
      <c r="H2817" s="2140"/>
      <c r="I2817" s="2143" t="s">
        <v>1833</v>
      </c>
      <c r="J2817" s="2143" t="s">
        <v>3958</v>
      </c>
      <c r="K2817" s="2144">
        <v>6</v>
      </c>
      <c r="L2817" s="2145">
        <f>SUM(L2818:L2818)</f>
        <v>56000000</v>
      </c>
      <c r="M2817" s="2144">
        <v>0</v>
      </c>
      <c r="N2817" s="2145">
        <f>SUM(N2818:N2818)</f>
        <v>0</v>
      </c>
      <c r="O2817" s="2144">
        <v>2</v>
      </c>
      <c r="P2817" s="2145">
        <f>SUM(P2818:P2818)</f>
        <v>17200000</v>
      </c>
      <c r="Q2817" s="2144">
        <v>0</v>
      </c>
      <c r="R2817" s="2145">
        <f>SUM(R2818:R2818)</f>
        <v>3292250</v>
      </c>
      <c r="S2817" s="2144">
        <v>0</v>
      </c>
      <c r="T2817" s="2145">
        <f>SUM(T2818:T2818)</f>
        <v>3292250</v>
      </c>
      <c r="U2817" s="2147"/>
      <c r="V2817" s="2145"/>
      <c r="W2817" s="2144"/>
      <c r="X2817" s="2144"/>
      <c r="Y2817" s="2147">
        <f t="shared" si="723"/>
        <v>0</v>
      </c>
      <c r="Z2817" s="2373">
        <f t="shared" si="723"/>
        <v>6584500</v>
      </c>
      <c r="AA2817" s="2147">
        <f t="shared" si="724"/>
        <v>0</v>
      </c>
      <c r="AB2817" s="2373">
        <f t="shared" si="724"/>
        <v>6584500</v>
      </c>
      <c r="AC2817" s="2375">
        <f t="shared" si="725"/>
        <v>0</v>
      </c>
      <c r="AD2817" s="2375">
        <f t="shared" si="725"/>
        <v>11.758035714285715</v>
      </c>
      <c r="AE2817" s="2140" t="s">
        <v>3924</v>
      </c>
    </row>
    <row r="2818" spans="1:31" s="2259" customFormat="1" ht="79.5" customHeight="1">
      <c r="A2818" s="2379"/>
      <c r="B2818" s="2162"/>
      <c r="C2818" s="2164">
        <v>5</v>
      </c>
      <c r="D2818" s="2164" t="s">
        <v>34</v>
      </c>
      <c r="E2818" s="2164" t="s">
        <v>25</v>
      </c>
      <c r="F2818" s="2164" t="s">
        <v>45</v>
      </c>
      <c r="G2818" s="2164" t="s">
        <v>45</v>
      </c>
      <c r="H2818" s="2164" t="s">
        <v>45</v>
      </c>
      <c r="I2818" s="2162" t="s">
        <v>3541</v>
      </c>
      <c r="J2818" s="2162" t="s">
        <v>3959</v>
      </c>
      <c r="K2818" s="2166">
        <v>6</v>
      </c>
      <c r="L2818" s="2167">
        <v>56000000</v>
      </c>
      <c r="M2818" s="2166">
        <v>0</v>
      </c>
      <c r="N2818" s="2359">
        <f>0</f>
        <v>0</v>
      </c>
      <c r="O2818" s="2411">
        <v>2</v>
      </c>
      <c r="P2818" s="2359">
        <v>17200000</v>
      </c>
      <c r="Q2818" s="2411">
        <v>1</v>
      </c>
      <c r="R2818" s="2359">
        <v>3292250</v>
      </c>
      <c r="S2818" s="2411">
        <v>1</v>
      </c>
      <c r="T2818" s="2359">
        <v>3292250</v>
      </c>
      <c r="U2818" s="2166"/>
      <c r="V2818" s="2202"/>
      <c r="W2818" s="2166"/>
      <c r="X2818" s="2166"/>
      <c r="Y2818" s="2166">
        <f t="shared" si="723"/>
        <v>2</v>
      </c>
      <c r="Z2818" s="2384">
        <f t="shared" si="723"/>
        <v>6584500</v>
      </c>
      <c r="AA2818" s="2166">
        <f t="shared" si="724"/>
        <v>2</v>
      </c>
      <c r="AB2818" s="2384">
        <f t="shared" si="724"/>
        <v>6584500</v>
      </c>
      <c r="AC2818" s="2413">
        <f t="shared" si="725"/>
        <v>33.333333333333329</v>
      </c>
      <c r="AD2818" s="2413">
        <f>(AB2818/L2818)*100</f>
        <v>11.758035714285715</v>
      </c>
      <c r="AE2818" s="2379"/>
    </row>
    <row r="2819" spans="1:31" s="2266" customFormat="1" ht="51">
      <c r="A2819" s="2140" t="s">
        <v>3543</v>
      </c>
      <c r="B2819" s="2194"/>
      <c r="C2819" s="2142">
        <v>5</v>
      </c>
      <c r="D2819" s="2142" t="s">
        <v>34</v>
      </c>
      <c r="E2819" s="2142" t="s">
        <v>25</v>
      </c>
      <c r="F2819" s="2142" t="s">
        <v>45</v>
      </c>
      <c r="G2819" s="2142" t="s">
        <v>74</v>
      </c>
      <c r="H2819" s="2140"/>
      <c r="I2819" s="2143" t="s">
        <v>3648</v>
      </c>
      <c r="J2819" s="2143" t="s">
        <v>3649</v>
      </c>
      <c r="K2819" s="2144">
        <v>100</v>
      </c>
      <c r="L2819" s="2145">
        <f>SUM(L2820:L2820)</f>
        <v>98767141</v>
      </c>
      <c r="M2819" s="2144">
        <v>33</v>
      </c>
      <c r="N2819" s="2145">
        <f>SUM(N2820:N2820)</f>
        <v>60553600</v>
      </c>
      <c r="O2819" s="2144">
        <v>18</v>
      </c>
      <c r="P2819" s="2145">
        <f>SUM(P2820:P2820)</f>
        <v>21935000</v>
      </c>
      <c r="Q2819" s="2144">
        <v>0</v>
      </c>
      <c r="R2819" s="2145">
        <f>SUM(R2820:R2820)</f>
        <v>0</v>
      </c>
      <c r="S2819" s="2144">
        <v>0</v>
      </c>
      <c r="T2819" s="2145">
        <f>SUM(T2820:T2820)</f>
        <v>0</v>
      </c>
      <c r="U2819" s="2147"/>
      <c r="V2819" s="2145"/>
      <c r="W2819" s="2144"/>
      <c r="X2819" s="2144"/>
      <c r="Y2819" s="2147">
        <f t="shared" si="723"/>
        <v>0</v>
      </c>
      <c r="Z2819" s="2373">
        <f t="shared" si="723"/>
        <v>0</v>
      </c>
      <c r="AA2819" s="2147">
        <f t="shared" si="724"/>
        <v>33</v>
      </c>
      <c r="AB2819" s="2373">
        <f t="shared" si="724"/>
        <v>60553600</v>
      </c>
      <c r="AC2819" s="2375">
        <f t="shared" si="725"/>
        <v>33</v>
      </c>
      <c r="AD2819" s="2375">
        <f t="shared" si="725"/>
        <v>61.30945918541876</v>
      </c>
      <c r="AE2819" s="2140" t="s">
        <v>3924</v>
      </c>
    </row>
    <row r="2820" spans="1:31" s="2259" customFormat="1" ht="25.5">
      <c r="A2820" s="2379"/>
      <c r="B2820" s="2162"/>
      <c r="C2820" s="2164">
        <v>5</v>
      </c>
      <c r="D2820" s="2164" t="s">
        <v>34</v>
      </c>
      <c r="E2820" s="2164" t="s">
        <v>25</v>
      </c>
      <c r="F2820" s="2164" t="s">
        <v>45</v>
      </c>
      <c r="G2820" s="2164" t="s">
        <v>74</v>
      </c>
      <c r="H2820" s="2164" t="s">
        <v>56</v>
      </c>
      <c r="I2820" s="2162" t="s">
        <v>4043</v>
      </c>
      <c r="J2820" s="2162" t="s">
        <v>3651</v>
      </c>
      <c r="K2820" s="2166">
        <v>6</v>
      </c>
      <c r="L2820" s="2167">
        <v>98767141</v>
      </c>
      <c r="M2820" s="2166">
        <v>3</v>
      </c>
      <c r="N2820" s="2359">
        <f>17508800+20033800+23011000</f>
        <v>60553600</v>
      </c>
      <c r="O2820" s="2411">
        <v>1</v>
      </c>
      <c r="P2820" s="2359">
        <v>21935000</v>
      </c>
      <c r="Q2820" s="2411">
        <v>0</v>
      </c>
      <c r="R2820" s="2359">
        <v>0</v>
      </c>
      <c r="S2820" s="2411">
        <v>0</v>
      </c>
      <c r="T2820" s="2359">
        <v>0</v>
      </c>
      <c r="U2820" s="2166"/>
      <c r="V2820" s="2202"/>
      <c r="W2820" s="2166"/>
      <c r="X2820" s="2166"/>
      <c r="Y2820" s="2166">
        <f t="shared" si="723"/>
        <v>0</v>
      </c>
      <c r="Z2820" s="2384">
        <f t="shared" si="723"/>
        <v>0</v>
      </c>
      <c r="AA2820" s="2166">
        <f t="shared" si="724"/>
        <v>3</v>
      </c>
      <c r="AB2820" s="2384">
        <f t="shared" si="724"/>
        <v>60553600</v>
      </c>
      <c r="AC2820" s="2413">
        <f t="shared" si="725"/>
        <v>50</v>
      </c>
      <c r="AD2820" s="2413">
        <f>(AB2820/L2820)*100</f>
        <v>61.30945918541876</v>
      </c>
      <c r="AE2820" s="2379" t="s">
        <v>3924</v>
      </c>
    </row>
    <row r="2821" spans="1:31" s="2259" customFormat="1" ht="63.75">
      <c r="A2821" s="2140" t="s">
        <v>3547</v>
      </c>
      <c r="B2821" s="2194"/>
      <c r="C2821" s="2142">
        <v>5</v>
      </c>
      <c r="D2821" s="2142" t="s">
        <v>34</v>
      </c>
      <c r="E2821" s="2142" t="s">
        <v>25</v>
      </c>
      <c r="F2821" s="2142" t="s">
        <v>45</v>
      </c>
      <c r="G2821" s="2142" t="s">
        <v>42</v>
      </c>
      <c r="H2821" s="2142"/>
      <c r="I2821" s="2143" t="s">
        <v>3906</v>
      </c>
      <c r="J2821" s="2143" t="s">
        <v>4044</v>
      </c>
      <c r="K2821" s="2144">
        <v>100</v>
      </c>
      <c r="L2821" s="2145">
        <f>SUM(L2822:L2822)</f>
        <v>30265900</v>
      </c>
      <c r="M2821" s="2144">
        <v>32</v>
      </c>
      <c r="N2821" s="2145">
        <f>SUM(N2822:N2822)</f>
        <v>13757400</v>
      </c>
      <c r="O2821" s="2144">
        <v>18</v>
      </c>
      <c r="P2821" s="2145">
        <f>SUM(P2822:P2822)</f>
        <v>4987500</v>
      </c>
      <c r="Q2821" s="2144">
        <v>0</v>
      </c>
      <c r="R2821" s="2145">
        <f>SUM(R2822:R2822)</f>
        <v>0</v>
      </c>
      <c r="S2821" s="2144">
        <v>0</v>
      </c>
      <c r="T2821" s="2145">
        <f>SUM(T2822:T2822)</f>
        <v>0</v>
      </c>
      <c r="U2821" s="2144"/>
      <c r="V2821" s="2146"/>
      <c r="W2821" s="2144"/>
      <c r="X2821" s="2144"/>
      <c r="Y2821" s="2144">
        <f t="shared" si="723"/>
        <v>0</v>
      </c>
      <c r="Z2821" s="2373">
        <f t="shared" si="723"/>
        <v>0</v>
      </c>
      <c r="AA2821" s="2144">
        <f t="shared" si="724"/>
        <v>32</v>
      </c>
      <c r="AB2821" s="2373">
        <f t="shared" si="724"/>
        <v>13757400</v>
      </c>
      <c r="AC2821" s="2375">
        <f t="shared" si="725"/>
        <v>32</v>
      </c>
      <c r="AD2821" s="2375">
        <f t="shared" si="725"/>
        <v>45.455116153823276</v>
      </c>
      <c r="AE2821" s="2140" t="s">
        <v>3924</v>
      </c>
    </row>
    <row r="2822" spans="1:31" s="2259" customFormat="1" ht="125.25" customHeight="1">
      <c r="A2822" s="2379"/>
      <c r="B2822" s="2162"/>
      <c r="C2822" s="2164">
        <v>5</v>
      </c>
      <c r="D2822" s="2164" t="s">
        <v>34</v>
      </c>
      <c r="E2822" s="2164" t="s">
        <v>25</v>
      </c>
      <c r="F2822" s="2164" t="s">
        <v>45</v>
      </c>
      <c r="G2822" s="2164" t="s">
        <v>42</v>
      </c>
      <c r="H2822" s="2164" t="s">
        <v>57</v>
      </c>
      <c r="I2822" s="2162" t="s">
        <v>4045</v>
      </c>
      <c r="J2822" s="2162" t="s">
        <v>4046</v>
      </c>
      <c r="K2822" s="2166">
        <v>50</v>
      </c>
      <c r="L2822" s="2167">
        <v>30265900</v>
      </c>
      <c r="M2822" s="2166">
        <v>20</v>
      </c>
      <c r="N2822" s="2359">
        <f>8842200+4915200</f>
        <v>13757400</v>
      </c>
      <c r="O2822" s="2411">
        <v>10</v>
      </c>
      <c r="P2822" s="2359">
        <v>4987500</v>
      </c>
      <c r="Q2822" s="2411">
        <v>0</v>
      </c>
      <c r="R2822" s="2359">
        <v>0</v>
      </c>
      <c r="S2822" s="2411">
        <v>0</v>
      </c>
      <c r="T2822" s="2359">
        <v>0</v>
      </c>
      <c r="U2822" s="2166"/>
      <c r="V2822" s="2202"/>
      <c r="W2822" s="2166"/>
      <c r="X2822" s="2166"/>
      <c r="Y2822" s="2240">
        <f t="shared" si="723"/>
        <v>0</v>
      </c>
      <c r="Z2822" s="2384">
        <f t="shared" si="723"/>
        <v>0</v>
      </c>
      <c r="AA2822" s="2240">
        <f t="shared" si="724"/>
        <v>20</v>
      </c>
      <c r="AB2822" s="2384">
        <f t="shared" si="724"/>
        <v>13757400</v>
      </c>
      <c r="AC2822" s="2385">
        <f t="shared" si="725"/>
        <v>40</v>
      </c>
      <c r="AD2822" s="2385">
        <f t="shared" si="725"/>
        <v>45.455116153823276</v>
      </c>
      <c r="AE2822" s="2379" t="s">
        <v>3924</v>
      </c>
    </row>
    <row r="2823" spans="1:31" s="2259" customFormat="1" ht="69" customHeight="1">
      <c r="A2823" s="2140" t="s">
        <v>3555</v>
      </c>
      <c r="B2823" s="2194"/>
      <c r="C2823" s="2142">
        <v>5</v>
      </c>
      <c r="D2823" s="2142" t="s">
        <v>34</v>
      </c>
      <c r="E2823" s="2142" t="s">
        <v>25</v>
      </c>
      <c r="F2823" s="2142" t="s">
        <v>45</v>
      </c>
      <c r="G2823" s="2142" t="s">
        <v>84</v>
      </c>
      <c r="H2823" s="2140"/>
      <c r="I2823" s="2143" t="s">
        <v>3548</v>
      </c>
      <c r="J2823" s="2143" t="s">
        <v>3549</v>
      </c>
      <c r="K2823" s="2144">
        <v>100</v>
      </c>
      <c r="L2823" s="2145">
        <f>SUM(L2824:L2825)</f>
        <v>244268722</v>
      </c>
      <c r="M2823" s="2144">
        <v>32</v>
      </c>
      <c r="N2823" s="2145">
        <f>SUM(N2824:N2825)</f>
        <v>140332550</v>
      </c>
      <c r="O2823" s="2144">
        <v>20</v>
      </c>
      <c r="P2823" s="2145">
        <f>SUM(P2824:P2825)</f>
        <v>29672000</v>
      </c>
      <c r="Q2823" s="2144">
        <v>0</v>
      </c>
      <c r="R2823" s="2145">
        <f>SUM(R2824:R2825)</f>
        <v>4510000</v>
      </c>
      <c r="S2823" s="2144">
        <v>0</v>
      </c>
      <c r="T2823" s="2145">
        <f>SUM(T2824:T2825)</f>
        <v>4510000</v>
      </c>
      <c r="U2823" s="2147"/>
      <c r="V2823" s="2145"/>
      <c r="W2823" s="2144"/>
      <c r="X2823" s="2144"/>
      <c r="Y2823" s="2195">
        <f>Q2823+S2823+U2823+W2823</f>
        <v>0</v>
      </c>
      <c r="Z2823" s="2373">
        <f t="shared" si="723"/>
        <v>9020000</v>
      </c>
      <c r="AA2823" s="2147">
        <f t="shared" si="724"/>
        <v>32</v>
      </c>
      <c r="AB2823" s="2373">
        <f t="shared" si="724"/>
        <v>149352550</v>
      </c>
      <c r="AC2823" s="2375">
        <f>(AA2823/K2823)*100</f>
        <v>32</v>
      </c>
      <c r="AD2823" s="2375">
        <f t="shared" si="725"/>
        <v>61.142723790891253</v>
      </c>
      <c r="AE2823" s="2140" t="s">
        <v>3924</v>
      </c>
    </row>
    <row r="2824" spans="1:31" s="2259" customFormat="1" ht="38.25">
      <c r="A2824" s="2267"/>
      <c r="B2824" s="2253"/>
      <c r="C2824" s="2164">
        <v>5</v>
      </c>
      <c r="D2824" s="2164" t="s">
        <v>34</v>
      </c>
      <c r="E2824" s="2164" t="s">
        <v>25</v>
      </c>
      <c r="F2824" s="2164" t="s">
        <v>45</v>
      </c>
      <c r="G2824" s="2164" t="s">
        <v>84</v>
      </c>
      <c r="H2824" s="2254" t="s">
        <v>45</v>
      </c>
      <c r="I2824" s="2171" t="s">
        <v>3551</v>
      </c>
      <c r="J2824" s="2171" t="s">
        <v>3783</v>
      </c>
      <c r="K2824" s="2255">
        <v>60</v>
      </c>
      <c r="L2824" s="2203">
        <v>224265159</v>
      </c>
      <c r="M2824" s="2256">
        <v>30</v>
      </c>
      <c r="N2824" s="2257">
        <f>39286100+53909300+36171700</f>
        <v>129367100</v>
      </c>
      <c r="O2824" s="2255">
        <v>10</v>
      </c>
      <c r="P2824" s="2258">
        <v>27442000</v>
      </c>
      <c r="Q2824" s="2256">
        <v>1</v>
      </c>
      <c r="R2824" s="2203">
        <v>4510000</v>
      </c>
      <c r="S2824" s="2256">
        <v>3</v>
      </c>
      <c r="T2824" s="2203">
        <v>4510000</v>
      </c>
      <c r="U2824" s="2255"/>
      <c r="V2824" s="2258"/>
      <c r="W2824" s="2255"/>
      <c r="X2824" s="2255"/>
      <c r="Y2824" s="2240">
        <f>Q2824+S2824+U2824+W2824</f>
        <v>4</v>
      </c>
      <c r="Z2824" s="2384">
        <f t="shared" si="723"/>
        <v>9020000</v>
      </c>
      <c r="AA2824" s="2240">
        <f t="shared" si="724"/>
        <v>34</v>
      </c>
      <c r="AB2824" s="2384">
        <f t="shared" si="724"/>
        <v>138387100</v>
      </c>
      <c r="AC2824" s="2385">
        <f>(AA2824/K2824)*100</f>
        <v>56.666666666666664</v>
      </c>
      <c r="AD2824" s="2385">
        <f>(AB2824/L2824)*100</f>
        <v>61.706910077815522</v>
      </c>
      <c r="AE2824" s="2267"/>
    </row>
    <row r="2825" spans="1:31" s="2259" customFormat="1" ht="151.5" customHeight="1">
      <c r="A2825" s="2267"/>
      <c r="B2825" s="2253"/>
      <c r="C2825" s="2164">
        <v>5</v>
      </c>
      <c r="D2825" s="2164" t="s">
        <v>34</v>
      </c>
      <c r="E2825" s="2164" t="s">
        <v>25</v>
      </c>
      <c r="F2825" s="2164" t="s">
        <v>45</v>
      </c>
      <c r="G2825" s="2164" t="s">
        <v>84</v>
      </c>
      <c r="H2825" s="2254" t="s">
        <v>42</v>
      </c>
      <c r="I2825" s="2171" t="s">
        <v>3671</v>
      </c>
      <c r="J2825" s="2171" t="s">
        <v>3672</v>
      </c>
      <c r="K2825" s="2255">
        <v>6</v>
      </c>
      <c r="L2825" s="2268">
        <v>20003563</v>
      </c>
      <c r="M2825" s="2256">
        <v>3</v>
      </c>
      <c r="N2825" s="2257">
        <f>5362600+3050450+2552400</f>
        <v>10965450</v>
      </c>
      <c r="O2825" s="2255">
        <v>1</v>
      </c>
      <c r="P2825" s="2258">
        <v>2230000</v>
      </c>
      <c r="Q2825" s="2257">
        <v>0</v>
      </c>
      <c r="R2825" s="2203">
        <v>0</v>
      </c>
      <c r="S2825" s="2257">
        <v>0</v>
      </c>
      <c r="T2825" s="2203">
        <v>0</v>
      </c>
      <c r="U2825" s="2255"/>
      <c r="V2825" s="2255"/>
      <c r="W2825" s="2255"/>
      <c r="X2825" s="2255"/>
      <c r="Y2825" s="2240">
        <f>Q2825+S2825+U2825+W2825</f>
        <v>0</v>
      </c>
      <c r="Z2825" s="2384">
        <f t="shared" ref="Z2825:Z2838" si="726">R2825+T2825+V2825+X2825</f>
        <v>0</v>
      </c>
      <c r="AA2825" s="2240">
        <f t="shared" si="724"/>
        <v>3</v>
      </c>
      <c r="AB2825" s="2384">
        <f t="shared" si="724"/>
        <v>10965450</v>
      </c>
      <c r="AC2825" s="2385">
        <f>(AA2825/K2825)*100</f>
        <v>50</v>
      </c>
      <c r="AD2825" s="2385">
        <f>(AB2825/L2825)*100</f>
        <v>54.817484265178166</v>
      </c>
      <c r="AE2825" s="2267"/>
    </row>
    <row r="2826" spans="1:31" s="2266" customFormat="1" ht="54" customHeight="1">
      <c r="A2826" s="2140" t="s">
        <v>3559</v>
      </c>
      <c r="B2826" s="2194"/>
      <c r="C2826" s="2142">
        <v>5</v>
      </c>
      <c r="D2826" s="2142" t="s">
        <v>34</v>
      </c>
      <c r="E2826" s="2142" t="s">
        <v>25</v>
      </c>
      <c r="F2826" s="2142" t="s">
        <v>45</v>
      </c>
      <c r="G2826" s="2142" t="s">
        <v>45</v>
      </c>
      <c r="H2826" s="2142"/>
      <c r="I2826" s="2143" t="s">
        <v>4019</v>
      </c>
      <c r="J2826" s="2143" t="s">
        <v>4020</v>
      </c>
      <c r="K2826" s="2144">
        <v>100</v>
      </c>
      <c r="L2826" s="2145">
        <f>SUM(L2827:L2827)</f>
        <v>70929850</v>
      </c>
      <c r="M2826" s="2144">
        <v>32</v>
      </c>
      <c r="N2826" s="2145">
        <f>SUM(N2827:N2827)</f>
        <v>43745950</v>
      </c>
      <c r="O2826" s="2144">
        <v>18</v>
      </c>
      <c r="P2826" s="2145">
        <f>SUM(P2827:P2827)</f>
        <v>19275000</v>
      </c>
      <c r="Q2826" s="2144">
        <v>0</v>
      </c>
      <c r="R2826" s="2145">
        <f>SUM(R2827:R2827)</f>
        <v>0</v>
      </c>
      <c r="S2826" s="2144">
        <v>0</v>
      </c>
      <c r="T2826" s="2145">
        <f>SUM(T2827:T2827)</f>
        <v>0</v>
      </c>
      <c r="U2826" s="2144"/>
      <c r="V2826" s="2146"/>
      <c r="W2826" s="2144"/>
      <c r="X2826" s="2144"/>
      <c r="Y2826" s="2144">
        <f t="shared" ref="Y2826:Y2837" si="727">Q2826+S2826+U2826+W2826</f>
        <v>0</v>
      </c>
      <c r="Z2826" s="2373">
        <f t="shared" si="726"/>
        <v>0</v>
      </c>
      <c r="AA2826" s="2144">
        <f t="shared" si="724"/>
        <v>32</v>
      </c>
      <c r="AB2826" s="2373">
        <f t="shared" si="724"/>
        <v>43745950</v>
      </c>
      <c r="AC2826" s="2375">
        <f t="shared" si="725"/>
        <v>32</v>
      </c>
      <c r="AD2826" s="2375">
        <f t="shared" si="725"/>
        <v>61.674950673094607</v>
      </c>
      <c r="AE2826" s="2140" t="s">
        <v>3924</v>
      </c>
    </row>
    <row r="2827" spans="1:31" s="2259" customFormat="1" ht="68.25" customHeight="1">
      <c r="A2827" s="2379"/>
      <c r="B2827" s="2162"/>
      <c r="C2827" s="2164">
        <v>5</v>
      </c>
      <c r="D2827" s="2164" t="s">
        <v>34</v>
      </c>
      <c r="E2827" s="2164" t="s">
        <v>25</v>
      </c>
      <c r="F2827" s="2164" t="s">
        <v>45</v>
      </c>
      <c r="G2827" s="2164" t="s">
        <v>45</v>
      </c>
      <c r="H2827" s="2164" t="s">
        <v>31</v>
      </c>
      <c r="I2827" s="2162" t="s">
        <v>4021</v>
      </c>
      <c r="J2827" s="2162" t="s">
        <v>4022</v>
      </c>
      <c r="K2827" s="2166">
        <v>6</v>
      </c>
      <c r="L2827" s="2167">
        <v>70929850</v>
      </c>
      <c r="M2827" s="2166">
        <v>3</v>
      </c>
      <c r="N2827" s="2359">
        <f>12574000+12591300+18580650</f>
        <v>43745950</v>
      </c>
      <c r="O2827" s="2411">
        <v>1</v>
      </c>
      <c r="P2827" s="2359">
        <v>19275000</v>
      </c>
      <c r="Q2827" s="2411">
        <v>0</v>
      </c>
      <c r="R2827" s="2359">
        <v>0</v>
      </c>
      <c r="S2827" s="2411">
        <v>0</v>
      </c>
      <c r="T2827" s="2359">
        <v>0</v>
      </c>
      <c r="U2827" s="2166"/>
      <c r="V2827" s="2202"/>
      <c r="W2827" s="2166"/>
      <c r="X2827" s="2166"/>
      <c r="Y2827" s="2240">
        <f t="shared" si="727"/>
        <v>0</v>
      </c>
      <c r="Z2827" s="2384">
        <f t="shared" si="726"/>
        <v>0</v>
      </c>
      <c r="AA2827" s="2240">
        <f t="shared" si="724"/>
        <v>3</v>
      </c>
      <c r="AB2827" s="2384">
        <f t="shared" si="724"/>
        <v>43745950</v>
      </c>
      <c r="AC2827" s="2385">
        <f t="shared" si="725"/>
        <v>50</v>
      </c>
      <c r="AD2827" s="2385">
        <f t="shared" si="725"/>
        <v>61.674950673094607</v>
      </c>
      <c r="AE2827" s="2379"/>
    </row>
    <row r="2828" spans="1:31" s="2259" customFormat="1" ht="38.25">
      <c r="A2828" s="2140" t="s">
        <v>3565</v>
      </c>
      <c r="B2828" s="2194"/>
      <c r="C2828" s="2142">
        <v>5</v>
      </c>
      <c r="D2828" s="2142" t="s">
        <v>34</v>
      </c>
      <c r="E2828" s="2142" t="s">
        <v>25</v>
      </c>
      <c r="F2828" s="2142" t="s">
        <v>45</v>
      </c>
      <c r="G2828" s="2142" t="s">
        <v>44</v>
      </c>
      <c r="H2828" s="2142"/>
      <c r="I2828" s="2143" t="s">
        <v>3556</v>
      </c>
      <c r="J2828" s="2143" t="s">
        <v>2155</v>
      </c>
      <c r="K2828" s="2144">
        <v>150</v>
      </c>
      <c r="L2828" s="2145">
        <f>SUM(L2829:L2829)</f>
        <v>175208570</v>
      </c>
      <c r="M2828" s="2144">
        <v>75</v>
      </c>
      <c r="N2828" s="2145">
        <f>SUM(N2829:N2829)</f>
        <v>31285000</v>
      </c>
      <c r="O2828" s="2144">
        <v>30</v>
      </c>
      <c r="P2828" s="2145">
        <f>SUM(P2829:P2829)</f>
        <v>3850000</v>
      </c>
      <c r="Q2828" s="2144">
        <v>0</v>
      </c>
      <c r="R2828" s="2145">
        <f>SUM(R2829:R2829)</f>
        <v>0</v>
      </c>
      <c r="S2828" s="2144">
        <v>0</v>
      </c>
      <c r="T2828" s="2145">
        <f>SUM(T2829:T2829)</f>
        <v>0</v>
      </c>
      <c r="U2828" s="2144"/>
      <c r="V2828" s="2146"/>
      <c r="W2828" s="2144"/>
      <c r="X2828" s="2144"/>
      <c r="Y2828" s="2144">
        <f t="shared" si="727"/>
        <v>0</v>
      </c>
      <c r="Z2828" s="2373">
        <f t="shared" si="726"/>
        <v>0</v>
      </c>
      <c r="AA2828" s="2144">
        <f t="shared" si="724"/>
        <v>75</v>
      </c>
      <c r="AB2828" s="2373">
        <f>N2828+Z2828</f>
        <v>31285000</v>
      </c>
      <c r="AC2828" s="2375">
        <f t="shared" si="725"/>
        <v>50</v>
      </c>
      <c r="AD2828" s="2375">
        <f t="shared" si="725"/>
        <v>17.855861730964413</v>
      </c>
      <c r="AE2828" s="2140" t="s">
        <v>3924</v>
      </c>
    </row>
    <row r="2829" spans="1:31" s="2259" customFormat="1" ht="38.25">
      <c r="A2829" s="2267"/>
      <c r="B2829" s="2253"/>
      <c r="C2829" s="2164">
        <v>5</v>
      </c>
      <c r="D2829" s="2164" t="s">
        <v>34</v>
      </c>
      <c r="E2829" s="2164" t="s">
        <v>25</v>
      </c>
      <c r="F2829" s="2164" t="s">
        <v>45</v>
      </c>
      <c r="G2829" s="2164" t="s">
        <v>44</v>
      </c>
      <c r="H2829" s="2254" t="s">
        <v>474</v>
      </c>
      <c r="I2829" s="2171" t="s">
        <v>3678</v>
      </c>
      <c r="J2829" s="2171" t="s">
        <v>3679</v>
      </c>
      <c r="K2829" s="2255">
        <v>150</v>
      </c>
      <c r="L2829" s="2203">
        <v>175208570</v>
      </c>
      <c r="M2829" s="2256">
        <v>75</v>
      </c>
      <c r="N2829" s="2257">
        <f>9200000+17995000+4090000</f>
        <v>31285000</v>
      </c>
      <c r="O2829" s="2255">
        <v>30</v>
      </c>
      <c r="P2829" s="2258">
        <v>3850000</v>
      </c>
      <c r="Q2829" s="2256">
        <v>0</v>
      </c>
      <c r="R2829" s="2203">
        <v>0</v>
      </c>
      <c r="S2829" s="2256">
        <v>0</v>
      </c>
      <c r="T2829" s="2203">
        <v>0</v>
      </c>
      <c r="U2829" s="2255"/>
      <c r="V2829" s="2258"/>
      <c r="W2829" s="2255"/>
      <c r="X2829" s="2255"/>
      <c r="Y2829" s="2240">
        <f>Q2829+S2829+U2829+W2829</f>
        <v>0</v>
      </c>
      <c r="Z2829" s="2384">
        <f t="shared" si="726"/>
        <v>0</v>
      </c>
      <c r="AA2829" s="2240">
        <f>M2829+Y2829</f>
        <v>75</v>
      </c>
      <c r="AB2829" s="2384">
        <f>N2829+Z2829</f>
        <v>31285000</v>
      </c>
      <c r="AC2829" s="2385">
        <f>(AA2829/K2829)*100</f>
        <v>50</v>
      </c>
      <c r="AD2829" s="2385">
        <f>(AB2829/L2829)*100</f>
        <v>17.855861730964413</v>
      </c>
      <c r="AE2829" s="2267"/>
    </row>
    <row r="2830" spans="1:31" s="2259" customFormat="1" ht="38.25">
      <c r="A2830" s="2140" t="s">
        <v>13</v>
      </c>
      <c r="B2830" s="2194"/>
      <c r="C2830" s="2142">
        <v>5</v>
      </c>
      <c r="D2830" s="2142" t="s">
        <v>34</v>
      </c>
      <c r="E2830" s="2142" t="s">
        <v>25</v>
      </c>
      <c r="F2830" s="2142" t="s">
        <v>45</v>
      </c>
      <c r="G2830" s="2142" t="s">
        <v>44</v>
      </c>
      <c r="H2830" s="2142"/>
      <c r="I2830" s="2143" t="s">
        <v>4047</v>
      </c>
      <c r="J2830" s="2143" t="s">
        <v>4048</v>
      </c>
      <c r="K2830" s="2144">
        <v>10</v>
      </c>
      <c r="L2830" s="2145">
        <f>SUM(L2831:L2832)</f>
        <v>113165400</v>
      </c>
      <c r="M2830" s="2144">
        <v>2</v>
      </c>
      <c r="N2830" s="2145">
        <f>SUM(N2831:N2832)</f>
        <v>7466400</v>
      </c>
      <c r="O2830" s="2144">
        <v>2</v>
      </c>
      <c r="P2830" s="2145">
        <f>SUM(P2831:P2832)</f>
        <v>6460000</v>
      </c>
      <c r="Q2830" s="2144">
        <v>0</v>
      </c>
      <c r="R2830" s="2145">
        <f>SUM(R2831:R2832)</f>
        <v>0</v>
      </c>
      <c r="S2830" s="2144">
        <v>0</v>
      </c>
      <c r="T2830" s="2145">
        <f>SUM(T2831:T2832)</f>
        <v>0</v>
      </c>
      <c r="U2830" s="2144"/>
      <c r="V2830" s="2146"/>
      <c r="W2830" s="2144"/>
      <c r="X2830" s="2144"/>
      <c r="Y2830" s="2144">
        <f t="shared" ref="Y2830" si="728">Q2830+S2830+U2830+W2830</f>
        <v>0</v>
      </c>
      <c r="Z2830" s="2373">
        <f t="shared" si="726"/>
        <v>0</v>
      </c>
      <c r="AA2830" s="2144">
        <f t="shared" ref="AA2830" si="729">M2830+Y2830</f>
        <v>2</v>
      </c>
      <c r="AB2830" s="2373">
        <f>N2830+Z2830</f>
        <v>7466400</v>
      </c>
      <c r="AC2830" s="2375">
        <f t="shared" ref="AC2830:AD2830" si="730">(AA2830/K2830)*100</f>
        <v>20</v>
      </c>
      <c r="AD2830" s="2375">
        <f t="shared" si="730"/>
        <v>6.5977763521359005</v>
      </c>
      <c r="AE2830" s="2140" t="s">
        <v>3924</v>
      </c>
    </row>
    <row r="2831" spans="1:31" s="2259" customFormat="1" ht="63.75">
      <c r="A2831" s="2267"/>
      <c r="B2831" s="2253"/>
      <c r="C2831" s="2164">
        <v>5</v>
      </c>
      <c r="D2831" s="2164" t="s">
        <v>34</v>
      </c>
      <c r="E2831" s="2164" t="s">
        <v>25</v>
      </c>
      <c r="F2831" s="2164" t="s">
        <v>45</v>
      </c>
      <c r="G2831" s="2164" t="s">
        <v>44</v>
      </c>
      <c r="H2831" s="2254" t="s">
        <v>28</v>
      </c>
      <c r="I2831" s="2162" t="s">
        <v>4049</v>
      </c>
      <c r="J2831" s="2171" t="s">
        <v>4050</v>
      </c>
      <c r="K2831" s="2255">
        <v>10</v>
      </c>
      <c r="L2831" s="2203">
        <v>30786000</v>
      </c>
      <c r="M2831" s="2256">
        <v>2</v>
      </c>
      <c r="N2831" s="2257">
        <f>4056400</f>
        <v>4056400</v>
      </c>
      <c r="O2831" s="2255">
        <v>2</v>
      </c>
      <c r="P2831" s="2258">
        <v>3230000</v>
      </c>
      <c r="Q2831" s="2256">
        <v>0</v>
      </c>
      <c r="R2831" s="2203">
        <v>0</v>
      </c>
      <c r="S2831" s="2256">
        <v>0</v>
      </c>
      <c r="T2831" s="2203">
        <v>0</v>
      </c>
      <c r="U2831" s="2255"/>
      <c r="V2831" s="2258"/>
      <c r="W2831" s="2255"/>
      <c r="X2831" s="2255"/>
      <c r="Y2831" s="2240">
        <f>Q2831+S2831+U2831+W2831</f>
        <v>0</v>
      </c>
      <c r="Z2831" s="2384">
        <f t="shared" si="726"/>
        <v>0</v>
      </c>
      <c r="AA2831" s="2240">
        <f>M2831+Y2831</f>
        <v>2</v>
      </c>
      <c r="AB2831" s="2384">
        <f>N2831+Z2831</f>
        <v>4056400</v>
      </c>
      <c r="AC2831" s="2385">
        <f>(AA2831/K2831)*100</f>
        <v>20</v>
      </c>
      <c r="AD2831" s="2385">
        <f>(AB2831/L2831)*100</f>
        <v>13.17611901513675</v>
      </c>
      <c r="AE2831" s="2267"/>
    </row>
    <row r="2832" spans="1:31" s="2259" customFormat="1" ht="76.5">
      <c r="A2832" s="2165"/>
      <c r="B2832" s="2162"/>
      <c r="C2832" s="2164"/>
      <c r="D2832" s="2164"/>
      <c r="E2832" s="2164"/>
      <c r="F2832" s="2164"/>
      <c r="G2832" s="2164"/>
      <c r="H2832" s="2151"/>
      <c r="I2832" s="2153"/>
      <c r="J2832" s="2153" t="s">
        <v>4051</v>
      </c>
      <c r="K2832" s="2154">
        <v>10</v>
      </c>
      <c r="L2832" s="2155">
        <f>6*13729900</f>
        <v>82379400</v>
      </c>
      <c r="M2832" s="2156">
        <v>2</v>
      </c>
      <c r="N2832" s="2256">
        <f>3410000</f>
        <v>3410000</v>
      </c>
      <c r="O2832" s="2255">
        <v>2</v>
      </c>
      <c r="P2832" s="2258">
        <v>3230000</v>
      </c>
      <c r="Q2832" s="2256">
        <v>0</v>
      </c>
      <c r="R2832" s="2203">
        <v>0</v>
      </c>
      <c r="S2832" s="2256">
        <v>0</v>
      </c>
      <c r="T2832" s="2203">
        <v>0</v>
      </c>
      <c r="U2832" s="2154"/>
      <c r="V2832" s="2158"/>
      <c r="W2832" s="2154"/>
      <c r="X2832" s="2154"/>
      <c r="Y2832" s="2154">
        <f>Q2832+S2832+U2832+W2832</f>
        <v>0</v>
      </c>
      <c r="Z2832" s="2384">
        <f t="shared" si="726"/>
        <v>0</v>
      </c>
      <c r="AA2832" s="2154">
        <f>M2832+Y2832</f>
        <v>2</v>
      </c>
      <c r="AB2832" s="2384">
        <f t="shared" ref="AB2832" si="731">N2832+Z2832</f>
        <v>3410000</v>
      </c>
      <c r="AC2832" s="2160">
        <f>(AA2832/K2832)*100</f>
        <v>20</v>
      </c>
      <c r="AD2832" s="2443">
        <f>(AB2832/L2832)*100</f>
        <v>4.1393843606532696</v>
      </c>
      <c r="AE2832" s="2165"/>
    </row>
    <row r="2833" spans="1:31" s="2259" customFormat="1" ht="51">
      <c r="A2833" s="2140" t="s">
        <v>3577</v>
      </c>
      <c r="B2833" s="2194"/>
      <c r="C2833" s="2142">
        <v>5</v>
      </c>
      <c r="D2833" s="2142" t="s">
        <v>34</v>
      </c>
      <c r="E2833" s="2142" t="s">
        <v>25</v>
      </c>
      <c r="F2833" s="2142" t="s">
        <v>45</v>
      </c>
      <c r="G2833" s="2142" t="s">
        <v>35</v>
      </c>
      <c r="H2833" s="2142"/>
      <c r="I2833" s="2143" t="s">
        <v>1287</v>
      </c>
      <c r="J2833" s="2143" t="s">
        <v>3963</v>
      </c>
      <c r="K2833" s="2144">
        <v>100</v>
      </c>
      <c r="L2833" s="2145">
        <f>SUM(L2834:L2834)</f>
        <v>52402670</v>
      </c>
      <c r="M2833" s="2144">
        <v>32</v>
      </c>
      <c r="N2833" s="2145">
        <f>SUM(N2834:N2834)</f>
        <v>23104250</v>
      </c>
      <c r="O2833" s="2144">
        <v>18</v>
      </c>
      <c r="P2833" s="2145">
        <f>SUM(P2834:P2834)</f>
        <v>14252500</v>
      </c>
      <c r="Q2833" s="2144">
        <v>0</v>
      </c>
      <c r="R2833" s="2145">
        <f>SUM(R2834:R2834)</f>
        <v>7562000</v>
      </c>
      <c r="S2833" s="2144">
        <v>0</v>
      </c>
      <c r="T2833" s="2145">
        <f>SUM(T2834:T2834)</f>
        <v>1562000</v>
      </c>
      <c r="U2833" s="2144"/>
      <c r="V2833" s="2145"/>
      <c r="W2833" s="2144"/>
      <c r="X2833" s="2144"/>
      <c r="Y2833" s="2144">
        <f t="shared" ref="Y2833" si="732">Q2833+S2833+U2833+W2833</f>
        <v>0</v>
      </c>
      <c r="Z2833" s="2373">
        <f t="shared" si="726"/>
        <v>9124000</v>
      </c>
      <c r="AA2833" s="2144">
        <f t="shared" ref="AA2833" si="733">M2833+Y2833</f>
        <v>32</v>
      </c>
      <c r="AB2833" s="2373">
        <f>N2833+Z2833</f>
        <v>32228250</v>
      </c>
      <c r="AC2833" s="2375">
        <f t="shared" ref="AC2833:AD2833" si="734">(AA2833/K2833)*100</f>
        <v>32</v>
      </c>
      <c r="AD2833" s="2375">
        <f t="shared" si="734"/>
        <v>61.501160150809106</v>
      </c>
      <c r="AE2833" s="2140" t="s">
        <v>3924</v>
      </c>
    </row>
    <row r="2834" spans="1:31" s="2259" customFormat="1" ht="63.75">
      <c r="A2834" s="2267"/>
      <c r="B2834" s="2253"/>
      <c r="C2834" s="2164">
        <v>5</v>
      </c>
      <c r="D2834" s="2164" t="s">
        <v>34</v>
      </c>
      <c r="E2834" s="2164" t="s">
        <v>25</v>
      </c>
      <c r="F2834" s="2164" t="s">
        <v>45</v>
      </c>
      <c r="G2834" s="2164" t="s">
        <v>35</v>
      </c>
      <c r="H2834" s="2254" t="s">
        <v>43</v>
      </c>
      <c r="I2834" s="2171" t="s">
        <v>3964</v>
      </c>
      <c r="J2834" s="2171" t="s">
        <v>3965</v>
      </c>
      <c r="K2834" s="2255">
        <v>6</v>
      </c>
      <c r="L2834" s="2203">
        <v>52402670</v>
      </c>
      <c r="M2834" s="2256">
        <v>3</v>
      </c>
      <c r="N2834" s="2257">
        <f>6505500+9884600+6714150</f>
        <v>23104250</v>
      </c>
      <c r="O2834" s="2255">
        <v>1</v>
      </c>
      <c r="P2834" s="2258">
        <v>14252500</v>
      </c>
      <c r="Q2834" s="2256">
        <v>1</v>
      </c>
      <c r="R2834" s="2203">
        <v>7562000</v>
      </c>
      <c r="S2834" s="2256">
        <v>0</v>
      </c>
      <c r="T2834" s="2203">
        <v>1562000</v>
      </c>
      <c r="U2834" s="2255"/>
      <c r="V2834" s="2258"/>
      <c r="W2834" s="2255"/>
      <c r="X2834" s="2255"/>
      <c r="Y2834" s="2240">
        <f>Q2834+S2834+U2834+W2834</f>
        <v>1</v>
      </c>
      <c r="Z2834" s="2384">
        <f t="shared" si="726"/>
        <v>9124000</v>
      </c>
      <c r="AA2834" s="2240">
        <f>M2834+Y2834</f>
        <v>4</v>
      </c>
      <c r="AB2834" s="2384">
        <f>N2834+Z2834</f>
        <v>32228250</v>
      </c>
      <c r="AC2834" s="2385">
        <f>(AA2834/K2834)*100</f>
        <v>66.666666666666657</v>
      </c>
      <c r="AD2834" s="2385">
        <f>(AB2834/L2834)*100</f>
        <v>61.501160150809106</v>
      </c>
      <c r="AE2834" s="2267"/>
    </row>
    <row r="2835" spans="1:31" s="2266" customFormat="1" ht="72.75" customHeight="1">
      <c r="A2835" s="2140" t="s">
        <v>19</v>
      </c>
      <c r="B2835" s="2194"/>
      <c r="C2835" s="2142">
        <v>5</v>
      </c>
      <c r="D2835" s="2142" t="s">
        <v>34</v>
      </c>
      <c r="E2835" s="2142" t="s">
        <v>25</v>
      </c>
      <c r="F2835" s="2142" t="s">
        <v>45</v>
      </c>
      <c r="G2835" s="2142" t="s">
        <v>74</v>
      </c>
      <c r="H2835" s="2142"/>
      <c r="I2835" s="2143" t="s">
        <v>4052</v>
      </c>
      <c r="J2835" s="2143" t="s">
        <v>4053</v>
      </c>
      <c r="K2835" s="2144">
        <v>100</v>
      </c>
      <c r="L2835" s="2145">
        <f>SUM(L2836:L2836)</f>
        <v>23205000</v>
      </c>
      <c r="M2835" s="2144">
        <v>32</v>
      </c>
      <c r="N2835" s="2145">
        <f>SUM(N2836:N2836)</f>
        <v>14761900</v>
      </c>
      <c r="O2835" s="2144">
        <v>20</v>
      </c>
      <c r="P2835" s="2145">
        <f>SUM(P2836:P2836)</f>
        <v>7093750</v>
      </c>
      <c r="Q2835" s="2144">
        <v>0</v>
      </c>
      <c r="R2835" s="2145">
        <f>SUM(R2836:R2836)</f>
        <v>1348750</v>
      </c>
      <c r="S2835" s="2144">
        <v>0</v>
      </c>
      <c r="T2835" s="2145">
        <f>SUM(T2836:T2836)</f>
        <v>1348750</v>
      </c>
      <c r="U2835" s="2144"/>
      <c r="V2835" s="2145"/>
      <c r="W2835" s="2144"/>
      <c r="X2835" s="2144"/>
      <c r="Y2835" s="2144">
        <f t="shared" si="727"/>
        <v>0</v>
      </c>
      <c r="Z2835" s="2373">
        <f t="shared" si="726"/>
        <v>2697500</v>
      </c>
      <c r="AA2835" s="2144">
        <f t="shared" si="724"/>
        <v>32</v>
      </c>
      <c r="AB2835" s="2373">
        <f t="shared" si="724"/>
        <v>17459400</v>
      </c>
      <c r="AC2835" s="2375">
        <f t="shared" si="725"/>
        <v>32</v>
      </c>
      <c r="AD2835" s="2375">
        <f t="shared" si="725"/>
        <v>75.23981900452489</v>
      </c>
      <c r="AE2835" s="2140" t="s">
        <v>3924</v>
      </c>
    </row>
    <row r="2836" spans="1:31" s="2259" customFormat="1" ht="67.5" customHeight="1">
      <c r="A2836" s="2379"/>
      <c r="B2836" s="2271"/>
      <c r="C2836" s="2164" t="s">
        <v>34</v>
      </c>
      <c r="D2836" s="2164" t="s">
        <v>25</v>
      </c>
      <c r="E2836" s="2164" t="s">
        <v>45</v>
      </c>
      <c r="F2836" s="2164" t="s">
        <v>45</v>
      </c>
      <c r="G2836" s="2164" t="s">
        <v>74</v>
      </c>
      <c r="H2836" s="2244" t="s">
        <v>4054</v>
      </c>
      <c r="I2836" s="2271" t="s">
        <v>4055</v>
      </c>
      <c r="J2836" s="2271" t="s">
        <v>4056</v>
      </c>
      <c r="K2836" s="2700">
        <v>100</v>
      </c>
      <c r="L2836" s="2247">
        <v>23205000</v>
      </c>
      <c r="M2836" s="2700">
        <v>32</v>
      </c>
      <c r="N2836" s="2241">
        <f>4973800+9788100</f>
        <v>14761900</v>
      </c>
      <c r="O2836" s="2240">
        <v>20</v>
      </c>
      <c r="P2836" s="2241">
        <v>7093750</v>
      </c>
      <c r="Q2836" s="2240">
        <v>5</v>
      </c>
      <c r="R2836" s="2241">
        <v>1348750</v>
      </c>
      <c r="S2836" s="2240">
        <v>5</v>
      </c>
      <c r="T2836" s="2241">
        <v>1348750</v>
      </c>
      <c r="U2836" s="2700"/>
      <c r="V2836" s="2364"/>
      <c r="W2836" s="2700"/>
      <c r="X2836" s="2700"/>
      <c r="Y2836" s="2240">
        <f t="shared" si="727"/>
        <v>10</v>
      </c>
      <c r="Z2836" s="2384">
        <f t="shared" si="726"/>
        <v>2697500</v>
      </c>
      <c r="AA2836" s="2240">
        <f t="shared" si="724"/>
        <v>42</v>
      </c>
      <c r="AB2836" s="2384">
        <f t="shared" si="724"/>
        <v>17459400</v>
      </c>
      <c r="AC2836" s="2385">
        <f t="shared" si="725"/>
        <v>42</v>
      </c>
      <c r="AD2836" s="2379"/>
      <c r="AE2836" s="2379"/>
    </row>
    <row r="2837" spans="1:31" s="2259" customFormat="1" ht="58.5" customHeight="1">
      <c r="A2837" s="2140" t="s">
        <v>3589</v>
      </c>
      <c r="B2837" s="2444"/>
      <c r="C2837" s="2368">
        <v>5</v>
      </c>
      <c r="D2837" s="2368" t="s">
        <v>34</v>
      </c>
      <c r="E2837" s="2368" t="s">
        <v>25</v>
      </c>
      <c r="F2837" s="2368" t="s">
        <v>3667</v>
      </c>
      <c r="G2837" s="2368" t="s">
        <v>47</v>
      </c>
      <c r="H2837" s="2445" t="s">
        <v>29</v>
      </c>
      <c r="I2837" s="2194" t="s">
        <v>3661</v>
      </c>
      <c r="J2837" s="2194" t="s">
        <v>4057</v>
      </c>
      <c r="K2837" s="2144">
        <v>100</v>
      </c>
      <c r="L2837" s="2145">
        <f>SUM(L2838:L2838)</f>
        <v>29950000</v>
      </c>
      <c r="M2837" s="2144">
        <v>32</v>
      </c>
      <c r="N2837" s="2145">
        <f>SUM(N2838:N2838)</f>
        <v>29888700</v>
      </c>
      <c r="O2837" s="2144">
        <v>20</v>
      </c>
      <c r="P2837" s="2145">
        <f>SUM(P2838:P2838)</f>
        <v>5967500</v>
      </c>
      <c r="Q2837" s="2144">
        <v>0</v>
      </c>
      <c r="R2837" s="2145">
        <f>SUM(R2838:R2838)</f>
        <v>2642500</v>
      </c>
      <c r="S2837" s="2144">
        <v>0</v>
      </c>
      <c r="T2837" s="2145">
        <f>SUM(T2838:T2838)</f>
        <v>2642500</v>
      </c>
      <c r="U2837" s="2144"/>
      <c r="V2837" s="2145"/>
      <c r="W2837" s="2144"/>
      <c r="X2837" s="2144"/>
      <c r="Y2837" s="2144">
        <f t="shared" si="727"/>
        <v>0</v>
      </c>
      <c r="Z2837" s="2373">
        <f t="shared" si="726"/>
        <v>5285000</v>
      </c>
      <c r="AA2837" s="2144">
        <f t="shared" ref="AA2837" si="735">M2837+Y2837</f>
        <v>32</v>
      </c>
      <c r="AB2837" s="2373">
        <f>N2837+Z2837</f>
        <v>35173700</v>
      </c>
      <c r="AC2837" s="2375">
        <f t="shared" ref="AC2837:AD2837" si="736">(AA2837/K2837)*100</f>
        <v>32</v>
      </c>
      <c r="AD2837" s="2375">
        <f t="shared" si="736"/>
        <v>117.44140233722871</v>
      </c>
      <c r="AE2837" s="2140" t="s">
        <v>3924</v>
      </c>
    </row>
    <row r="2838" spans="1:31" s="2259" customFormat="1" ht="67.5" customHeight="1">
      <c r="A2838" s="2379"/>
      <c r="B2838" s="2162"/>
      <c r="C2838" s="2164">
        <v>5</v>
      </c>
      <c r="D2838" s="2164" t="s">
        <v>34</v>
      </c>
      <c r="E2838" s="2164" t="s">
        <v>25</v>
      </c>
      <c r="F2838" s="2164" t="s">
        <v>3667</v>
      </c>
      <c r="G2838" s="2164" t="s">
        <v>47</v>
      </c>
      <c r="H2838" s="2151" t="s">
        <v>29</v>
      </c>
      <c r="I2838" s="2162" t="s">
        <v>3703</v>
      </c>
      <c r="J2838" s="2162" t="s">
        <v>4058</v>
      </c>
      <c r="K2838" s="2166">
        <v>60</v>
      </c>
      <c r="L2838" s="2167">
        <v>29950000</v>
      </c>
      <c r="M2838" s="2166">
        <v>20</v>
      </c>
      <c r="N2838" s="2359">
        <f>8850000+12432500+8606200</f>
        <v>29888700</v>
      </c>
      <c r="O2838" s="2411">
        <v>10</v>
      </c>
      <c r="P2838" s="2359">
        <v>5967500</v>
      </c>
      <c r="Q2838" s="2411">
        <v>2</v>
      </c>
      <c r="R2838" s="2359">
        <v>2642500</v>
      </c>
      <c r="S2838" s="2411">
        <v>2</v>
      </c>
      <c r="T2838" s="2359">
        <v>2642500</v>
      </c>
      <c r="U2838" s="2166"/>
      <c r="V2838" s="2202"/>
      <c r="W2838" s="2166"/>
      <c r="X2838" s="2166"/>
      <c r="Y2838" s="2166">
        <f>Q2838+S2838+U2838+W2838</f>
        <v>4</v>
      </c>
      <c r="Z2838" s="2384">
        <f t="shared" si="726"/>
        <v>5285000</v>
      </c>
      <c r="AA2838" s="2166">
        <f>M2838+Y2838</f>
        <v>24</v>
      </c>
      <c r="AB2838" s="2384">
        <f>N2838+Z2838</f>
        <v>35173700</v>
      </c>
      <c r="AC2838" s="2413">
        <f>(AA2838/K2838)*100</f>
        <v>40</v>
      </c>
      <c r="AD2838" s="2413">
        <f>(AB2838/L2838)*100</f>
        <v>117.44140233722871</v>
      </c>
      <c r="AE2838" s="2379"/>
    </row>
    <row r="2839" spans="1:31" s="2259" customFormat="1" ht="90" customHeight="1">
      <c r="A2839" s="2140" t="s">
        <v>3596</v>
      </c>
      <c r="B2839" s="2194"/>
      <c r="C2839" s="2142">
        <v>5</v>
      </c>
      <c r="D2839" s="2142" t="s">
        <v>34</v>
      </c>
      <c r="E2839" s="2142" t="s">
        <v>25</v>
      </c>
      <c r="F2839" s="2142" t="s">
        <v>45</v>
      </c>
      <c r="G2839" s="2142" t="s">
        <v>1817</v>
      </c>
      <c r="H2839" s="2140"/>
      <c r="I2839" s="2143" t="s">
        <v>237</v>
      </c>
      <c r="J2839" s="2143" t="s">
        <v>4059</v>
      </c>
      <c r="K2839" s="2144">
        <v>100</v>
      </c>
      <c r="L2839" s="2145">
        <f>SUM(L2840:L2840)</f>
        <v>38314412</v>
      </c>
      <c r="M2839" s="2144">
        <v>32</v>
      </c>
      <c r="N2839" s="2145">
        <f>SUM(N2840:N2840)</f>
        <v>18985400</v>
      </c>
      <c r="O2839" s="2144">
        <v>18</v>
      </c>
      <c r="P2839" s="2145">
        <f>SUM(P2840:P2840)</f>
        <v>4895000</v>
      </c>
      <c r="Q2839" s="2144">
        <v>0</v>
      </c>
      <c r="R2839" s="2145">
        <f>SUM(R2840:R2840)</f>
        <v>0</v>
      </c>
      <c r="S2839" s="2144">
        <v>0</v>
      </c>
      <c r="T2839" s="2145">
        <f>SUM(T2840:T2840)</f>
        <v>0</v>
      </c>
      <c r="U2839" s="2147"/>
      <c r="V2839" s="2146"/>
      <c r="W2839" s="2144"/>
      <c r="X2839" s="2144"/>
      <c r="Y2839" s="2147">
        <f t="shared" ref="Y2839" si="737">Q2839+S2839+U2839+W2839</f>
        <v>0</v>
      </c>
      <c r="Z2839" s="2373">
        <f>SUM(Z2840:Z2840)</f>
        <v>0</v>
      </c>
      <c r="AA2839" s="2147">
        <f t="shared" ref="AA2839" si="738">M2839+Y2839</f>
        <v>32</v>
      </c>
      <c r="AB2839" s="2373">
        <f>SUM(AB2840:AB2840)</f>
        <v>18985400</v>
      </c>
      <c r="AC2839" s="2375">
        <f t="shared" ref="AC2839:AD2849" si="739">(AA2839/K2839)*100</f>
        <v>32</v>
      </c>
      <c r="AD2839" s="2375">
        <f t="shared" si="739"/>
        <v>49.551589099161951</v>
      </c>
      <c r="AE2839" s="2140" t="s">
        <v>3924</v>
      </c>
    </row>
    <row r="2840" spans="1:31" s="2259" customFormat="1" ht="58.5" customHeight="1">
      <c r="A2840" s="2267"/>
      <c r="B2840" s="2253"/>
      <c r="C2840" s="2164">
        <v>5</v>
      </c>
      <c r="D2840" s="2164" t="s">
        <v>34</v>
      </c>
      <c r="E2840" s="2164" t="s">
        <v>25</v>
      </c>
      <c r="F2840" s="2164" t="s">
        <v>45</v>
      </c>
      <c r="G2840" s="2164" t="s">
        <v>1817</v>
      </c>
      <c r="H2840" s="2254" t="s">
        <v>43</v>
      </c>
      <c r="I2840" s="2171" t="s">
        <v>3676</v>
      </c>
      <c r="J2840" s="2171" t="s">
        <v>3677</v>
      </c>
      <c r="K2840" s="2255">
        <v>72</v>
      </c>
      <c r="L2840" s="2203">
        <v>38314412</v>
      </c>
      <c r="M2840" s="2256">
        <v>36</v>
      </c>
      <c r="N2840" s="2257">
        <f>6992000+6261100+5732300</f>
        <v>18985400</v>
      </c>
      <c r="O2840" s="2255">
        <v>12</v>
      </c>
      <c r="P2840" s="2258">
        <v>4895000</v>
      </c>
      <c r="Q2840" s="2256">
        <v>0</v>
      </c>
      <c r="R2840" s="2203">
        <v>0</v>
      </c>
      <c r="S2840" s="2256">
        <v>0</v>
      </c>
      <c r="T2840" s="2203">
        <v>0</v>
      </c>
      <c r="U2840" s="2255"/>
      <c r="V2840" s="2258"/>
      <c r="W2840" s="2255"/>
      <c r="X2840" s="2255"/>
      <c r="Y2840" s="2240">
        <f>Q2840+S2840+U2840+W2840</f>
        <v>0</v>
      </c>
      <c r="Z2840" s="2384">
        <f>R2840+T2840+V2840+X2840</f>
        <v>0</v>
      </c>
      <c r="AA2840" s="2240">
        <f>M2840+Y2840</f>
        <v>36</v>
      </c>
      <c r="AB2840" s="2384">
        <f>N2840+Z2840</f>
        <v>18985400</v>
      </c>
      <c r="AC2840" s="2385">
        <f t="shared" si="739"/>
        <v>50</v>
      </c>
      <c r="AD2840" s="2385">
        <f t="shared" si="739"/>
        <v>49.551589099161951</v>
      </c>
      <c r="AE2840" s="2267"/>
    </row>
    <row r="2841" spans="1:31" s="2259" customFormat="1" ht="63.75">
      <c r="A2841" s="2140">
        <v>14</v>
      </c>
      <c r="B2841" s="2194"/>
      <c r="C2841" s="2142">
        <v>5</v>
      </c>
      <c r="D2841" s="2142" t="s">
        <v>34</v>
      </c>
      <c r="E2841" s="2142" t="s">
        <v>25</v>
      </c>
      <c r="F2841" s="2142" t="s">
        <v>45</v>
      </c>
      <c r="G2841" s="2142" t="s">
        <v>104</v>
      </c>
      <c r="H2841" s="2140"/>
      <c r="I2841" s="2143" t="s">
        <v>3590</v>
      </c>
      <c r="J2841" s="2372" t="s">
        <v>3945</v>
      </c>
      <c r="K2841" s="2144">
        <v>100</v>
      </c>
      <c r="L2841" s="2145">
        <f>SUM(L2842:L2847)</f>
        <v>517113000</v>
      </c>
      <c r="M2841" s="2144">
        <v>36</v>
      </c>
      <c r="N2841" s="2145">
        <f>SUM(N2842:N2847)</f>
        <v>120991000</v>
      </c>
      <c r="O2841" s="2144">
        <v>20</v>
      </c>
      <c r="P2841" s="2145">
        <f>SUM(P2842:P2847)</f>
        <v>63782000</v>
      </c>
      <c r="Q2841" s="2144">
        <v>0</v>
      </c>
      <c r="R2841" s="2145">
        <f>SUM(R2842:R2847)</f>
        <v>3878500</v>
      </c>
      <c r="S2841" s="2144">
        <v>0</v>
      </c>
      <c r="T2841" s="2145">
        <f>SUM(T2842:T2847)</f>
        <v>3878500</v>
      </c>
      <c r="U2841" s="2147"/>
      <c r="V2841" s="2146">
        <f>SUM(V2842:V2847)</f>
        <v>0</v>
      </c>
      <c r="W2841" s="2144"/>
      <c r="X2841" s="2144">
        <f>SUM(X2842:X2847)</f>
        <v>0</v>
      </c>
      <c r="Y2841" s="2147">
        <f t="shared" ref="Y2841:Z2849" si="740">Q2841+S2841+U2841+W2841</f>
        <v>0</v>
      </c>
      <c r="Z2841" s="2373">
        <f t="shared" si="740"/>
        <v>7757000</v>
      </c>
      <c r="AA2841" s="2147">
        <f>M2841+Y2841</f>
        <v>36</v>
      </c>
      <c r="AB2841" s="2373">
        <f t="shared" ref="AA2841:AB2842" si="741">N2841+Z2841</f>
        <v>128748000</v>
      </c>
      <c r="AC2841" s="2375">
        <f t="shared" si="739"/>
        <v>36</v>
      </c>
      <c r="AD2841" s="2375">
        <f t="shared" si="739"/>
        <v>24.897459549460176</v>
      </c>
      <c r="AE2841" s="2140" t="s">
        <v>3924</v>
      </c>
    </row>
    <row r="2842" spans="1:31" s="2259" customFormat="1" ht="38.25">
      <c r="A2842" s="2377"/>
      <c r="B2842" s="2378"/>
      <c r="C2842" s="2164">
        <v>5</v>
      </c>
      <c r="D2842" s="2164" t="s">
        <v>34</v>
      </c>
      <c r="E2842" s="2164" t="s">
        <v>25</v>
      </c>
      <c r="F2842" s="2164" t="s">
        <v>45</v>
      </c>
      <c r="G2842" s="2164" t="s">
        <v>104</v>
      </c>
      <c r="H2842" s="2164" t="s">
        <v>39</v>
      </c>
      <c r="I2842" s="2260" t="s">
        <v>3657</v>
      </c>
      <c r="J2842" s="2260" t="s">
        <v>3947</v>
      </c>
      <c r="K2842" s="2700">
        <v>3</v>
      </c>
      <c r="L2842" s="2247">
        <v>40547000</v>
      </c>
      <c r="M2842" s="2700">
        <v>0</v>
      </c>
      <c r="N2842" s="2241">
        <v>0</v>
      </c>
      <c r="O2842" s="2240">
        <v>1</v>
      </c>
      <c r="P2842" s="2241">
        <v>12250000</v>
      </c>
      <c r="Q2842" s="2240">
        <v>0</v>
      </c>
      <c r="R2842" s="2242">
        <v>0</v>
      </c>
      <c r="S2842" s="2240">
        <v>0</v>
      </c>
      <c r="T2842" s="2242">
        <v>0</v>
      </c>
      <c r="U2842" s="2700"/>
      <c r="V2842" s="2700"/>
      <c r="W2842" s="2700"/>
      <c r="X2842" s="2700"/>
      <c r="Y2842" s="2240">
        <f t="shared" si="740"/>
        <v>0</v>
      </c>
      <c r="Z2842" s="2384">
        <f t="shared" si="740"/>
        <v>0</v>
      </c>
      <c r="AA2842" s="2240">
        <f t="shared" si="741"/>
        <v>0</v>
      </c>
      <c r="AB2842" s="2384">
        <f t="shared" si="741"/>
        <v>0</v>
      </c>
      <c r="AC2842" s="2385">
        <f t="shared" si="739"/>
        <v>0</v>
      </c>
      <c r="AD2842" s="2385">
        <f t="shared" si="739"/>
        <v>0</v>
      </c>
      <c r="AE2842" s="2379"/>
    </row>
    <row r="2843" spans="1:31" s="2259" customFormat="1" ht="25.5">
      <c r="A2843" s="2152"/>
      <c r="B2843" s="2271"/>
      <c r="C2843" s="2164">
        <v>5</v>
      </c>
      <c r="D2843" s="2164" t="s">
        <v>34</v>
      </c>
      <c r="E2843" s="2164" t="s">
        <v>25</v>
      </c>
      <c r="F2843" s="2164" t="s">
        <v>45</v>
      </c>
      <c r="G2843" s="2164" t="s">
        <v>104</v>
      </c>
      <c r="H2843" s="2164" t="s">
        <v>57</v>
      </c>
      <c r="I2843" s="2271" t="s">
        <v>4060</v>
      </c>
      <c r="J2843" s="2271" t="s">
        <v>4061</v>
      </c>
      <c r="K2843" s="2240">
        <v>6</v>
      </c>
      <c r="L2843" s="2241">
        <v>170530000</v>
      </c>
      <c r="M2843" s="2240">
        <v>3</v>
      </c>
      <c r="N2843" s="2241">
        <f>31300000+26440000+26642500</f>
        <v>84382500</v>
      </c>
      <c r="O2843" s="2240">
        <v>1</v>
      </c>
      <c r="P2843" s="2241">
        <v>30452000</v>
      </c>
      <c r="Q2843" s="2240">
        <v>0</v>
      </c>
      <c r="R2843" s="2242">
        <v>0</v>
      </c>
      <c r="S2843" s="2240">
        <v>0</v>
      </c>
      <c r="T2843" s="2242">
        <v>0</v>
      </c>
      <c r="U2843" s="2240"/>
      <c r="V2843" s="2242"/>
      <c r="W2843" s="2240"/>
      <c r="X2843" s="2240"/>
      <c r="Y2843" s="2240">
        <f t="shared" si="740"/>
        <v>0</v>
      </c>
      <c r="Z2843" s="2384">
        <f t="shared" si="740"/>
        <v>0</v>
      </c>
      <c r="AA2843" s="2240">
        <f>M2843+Y2843</f>
        <v>3</v>
      </c>
      <c r="AB2843" s="2384">
        <f>N2843+Z2843</f>
        <v>84382500</v>
      </c>
      <c r="AC2843" s="2385">
        <f t="shared" si="739"/>
        <v>50</v>
      </c>
      <c r="AD2843" s="2385">
        <f t="shared" si="739"/>
        <v>49.482495748548644</v>
      </c>
      <c r="AE2843" s="2152"/>
    </row>
    <row r="2844" spans="1:31" s="2259" customFormat="1" ht="25.5">
      <c r="A2844" s="2152"/>
      <c r="B2844" s="2271"/>
      <c r="C2844" s="2164"/>
      <c r="D2844" s="2164"/>
      <c r="E2844" s="2164"/>
      <c r="F2844" s="2164"/>
      <c r="G2844" s="2164"/>
      <c r="H2844" s="2164"/>
      <c r="I2844" s="2271"/>
      <c r="J2844" s="2271" t="s">
        <v>4062</v>
      </c>
      <c r="K2844" s="2240">
        <v>4</v>
      </c>
      <c r="L2844" s="2241">
        <v>165000000</v>
      </c>
      <c r="M2844" s="2240">
        <v>2</v>
      </c>
      <c r="N2844" s="2241">
        <f>36608500</f>
        <v>36608500</v>
      </c>
      <c r="O2844" s="2240">
        <v>0</v>
      </c>
      <c r="P2844" s="2241">
        <v>0</v>
      </c>
      <c r="Q2844" s="2240">
        <v>0</v>
      </c>
      <c r="R2844" s="2242">
        <v>0</v>
      </c>
      <c r="S2844" s="2240">
        <v>0</v>
      </c>
      <c r="T2844" s="2242">
        <v>0</v>
      </c>
      <c r="U2844" s="2240"/>
      <c r="V2844" s="2240"/>
      <c r="W2844" s="2240"/>
      <c r="X2844" s="2240"/>
      <c r="Y2844" s="2240">
        <f t="shared" si="740"/>
        <v>0</v>
      </c>
      <c r="Z2844" s="2384">
        <f t="shared" si="740"/>
        <v>0</v>
      </c>
      <c r="AA2844" s="2240">
        <f>M2844+Y2844</f>
        <v>2</v>
      </c>
      <c r="AB2844" s="2384">
        <f>N2844+Z2844</f>
        <v>36608500</v>
      </c>
      <c r="AC2844" s="2385">
        <f t="shared" si="739"/>
        <v>50</v>
      </c>
      <c r="AD2844" s="2385">
        <f t="shared" si="739"/>
        <v>22.186969696969697</v>
      </c>
      <c r="AE2844" s="2152"/>
    </row>
    <row r="2845" spans="1:31" s="2259" customFormat="1" ht="84.75" customHeight="1">
      <c r="A2845" s="2152"/>
      <c r="B2845" s="2271"/>
      <c r="C2845" s="2164">
        <v>5</v>
      </c>
      <c r="D2845" s="2164" t="s">
        <v>34</v>
      </c>
      <c r="E2845" s="2164" t="s">
        <v>25</v>
      </c>
      <c r="F2845" s="2164" t="s">
        <v>45</v>
      </c>
      <c r="G2845" s="2164" t="s">
        <v>104</v>
      </c>
      <c r="H2845" s="2164" t="s">
        <v>54</v>
      </c>
      <c r="I2845" s="2446" t="s">
        <v>4063</v>
      </c>
      <c r="J2845" s="2447" t="s">
        <v>4064</v>
      </c>
      <c r="K2845" s="2700">
        <f>11*3</f>
        <v>33</v>
      </c>
      <c r="L2845" s="2247">
        <v>45693000</v>
      </c>
      <c r="M2845" s="2700">
        <v>0</v>
      </c>
      <c r="N2845" s="2241">
        <v>0</v>
      </c>
      <c r="O2845" s="2240">
        <v>11</v>
      </c>
      <c r="P2845" s="2241">
        <v>13805000</v>
      </c>
      <c r="Q2845" s="2240">
        <v>3</v>
      </c>
      <c r="R2845" s="2242">
        <v>3878500</v>
      </c>
      <c r="S2845" s="2240">
        <v>3</v>
      </c>
      <c r="T2845" s="2242">
        <v>3878500</v>
      </c>
      <c r="U2845" s="2700"/>
      <c r="V2845" s="2700"/>
      <c r="W2845" s="2700"/>
      <c r="X2845" s="2700"/>
      <c r="Y2845" s="2240">
        <f t="shared" si="740"/>
        <v>6</v>
      </c>
      <c r="Z2845" s="2384">
        <f t="shared" si="740"/>
        <v>7757000</v>
      </c>
      <c r="AA2845" s="2240">
        <f t="shared" ref="AA2845:AB2849" si="742">M2845+Y2845</f>
        <v>6</v>
      </c>
      <c r="AB2845" s="2384">
        <f>N2845+Z2845</f>
        <v>7757000</v>
      </c>
      <c r="AC2845" s="2385">
        <f t="shared" si="739"/>
        <v>18.181818181818183</v>
      </c>
      <c r="AD2845" s="2385">
        <f t="shared" si="739"/>
        <v>16.976342109294642</v>
      </c>
      <c r="AE2845" s="2379"/>
    </row>
    <row r="2846" spans="1:31" s="2259" customFormat="1" ht="84.75" customHeight="1">
      <c r="A2846" s="2152"/>
      <c r="B2846" s="2271"/>
      <c r="C2846" s="2164">
        <v>5</v>
      </c>
      <c r="D2846" s="2164" t="s">
        <v>34</v>
      </c>
      <c r="E2846" s="2164" t="s">
        <v>25</v>
      </c>
      <c r="F2846" s="2164" t="s">
        <v>45</v>
      </c>
      <c r="G2846" s="2164" t="s">
        <v>104</v>
      </c>
      <c r="H2846" s="2164" t="s">
        <v>54</v>
      </c>
      <c r="I2846" s="2448" t="s">
        <v>4065</v>
      </c>
      <c r="J2846" s="2171" t="s">
        <v>4066</v>
      </c>
      <c r="K2846" s="2700">
        <v>3</v>
      </c>
      <c r="L2846" s="2247">
        <v>45693000</v>
      </c>
      <c r="M2846" s="2700">
        <v>0</v>
      </c>
      <c r="N2846" s="2241">
        <v>0</v>
      </c>
      <c r="O2846" s="2240">
        <v>1</v>
      </c>
      <c r="P2846" s="2241">
        <v>7275000</v>
      </c>
      <c r="Q2846" s="2240">
        <v>0</v>
      </c>
      <c r="R2846" s="2242">
        <v>0</v>
      </c>
      <c r="S2846" s="2240">
        <v>0</v>
      </c>
      <c r="T2846" s="2242">
        <v>0</v>
      </c>
      <c r="U2846" s="2700"/>
      <c r="V2846" s="2700"/>
      <c r="W2846" s="2700"/>
      <c r="X2846" s="2700"/>
      <c r="Y2846" s="2240">
        <f t="shared" si="740"/>
        <v>0</v>
      </c>
      <c r="Z2846" s="2384">
        <f t="shared" si="740"/>
        <v>0</v>
      </c>
      <c r="AA2846" s="2240">
        <f t="shared" si="742"/>
        <v>0</v>
      </c>
      <c r="AB2846" s="2384">
        <f t="shared" si="742"/>
        <v>0</v>
      </c>
      <c r="AC2846" s="2385">
        <f t="shared" si="739"/>
        <v>0</v>
      </c>
      <c r="AD2846" s="2385">
        <f t="shared" si="739"/>
        <v>0</v>
      </c>
      <c r="AE2846" s="2379"/>
    </row>
    <row r="2847" spans="1:31" s="2259" customFormat="1" ht="38.25">
      <c r="A2847" s="2379"/>
      <c r="B2847" s="2161"/>
      <c r="C2847" s="2164">
        <v>5</v>
      </c>
      <c r="D2847" s="2164" t="s">
        <v>34</v>
      </c>
      <c r="E2847" s="2164" t="s">
        <v>25</v>
      </c>
      <c r="F2847" s="2164" t="s">
        <v>45</v>
      </c>
      <c r="G2847" s="2164" t="s">
        <v>35</v>
      </c>
      <c r="H2847" s="2244" t="s">
        <v>56</v>
      </c>
      <c r="I2847" s="2271" t="s">
        <v>4067</v>
      </c>
      <c r="J2847" s="2271" t="s">
        <v>4068</v>
      </c>
      <c r="K2847" s="2700">
        <v>4</v>
      </c>
      <c r="L2847" s="2247">
        <v>49650000</v>
      </c>
      <c r="M2847" s="2700">
        <v>0</v>
      </c>
      <c r="N2847" s="2241">
        <v>0</v>
      </c>
      <c r="O2847" s="2240">
        <v>0</v>
      </c>
      <c r="P2847" s="2241">
        <v>0</v>
      </c>
      <c r="Q2847" s="2240">
        <v>0</v>
      </c>
      <c r="R2847" s="2242">
        <v>0</v>
      </c>
      <c r="S2847" s="2240">
        <v>0</v>
      </c>
      <c r="T2847" s="2242">
        <v>0</v>
      </c>
      <c r="U2847" s="2700"/>
      <c r="V2847" s="2700"/>
      <c r="W2847" s="2700"/>
      <c r="X2847" s="2700"/>
      <c r="Y2847" s="2240">
        <f t="shared" si="740"/>
        <v>0</v>
      </c>
      <c r="Z2847" s="2384">
        <f t="shared" si="740"/>
        <v>0</v>
      </c>
      <c r="AA2847" s="2240">
        <f t="shared" si="742"/>
        <v>0</v>
      </c>
      <c r="AB2847" s="2384">
        <f t="shared" si="742"/>
        <v>0</v>
      </c>
      <c r="AC2847" s="2385">
        <f t="shared" si="739"/>
        <v>0</v>
      </c>
      <c r="AD2847" s="2385">
        <f t="shared" si="739"/>
        <v>0</v>
      </c>
      <c r="AE2847" s="2379"/>
    </row>
    <row r="2848" spans="1:31" s="2149" customFormat="1" ht="51">
      <c r="A2848" s="2140" t="s">
        <v>3596</v>
      </c>
      <c r="B2848" s="2194"/>
      <c r="C2848" s="2142">
        <v>5</v>
      </c>
      <c r="D2848" s="2142" t="s">
        <v>34</v>
      </c>
      <c r="E2848" s="2142" t="s">
        <v>25</v>
      </c>
      <c r="F2848" s="2142" t="s">
        <v>45</v>
      </c>
      <c r="G2848" s="2142" t="s">
        <v>3667</v>
      </c>
      <c r="H2848" s="2140"/>
      <c r="I2848" s="2143" t="s">
        <v>3668</v>
      </c>
      <c r="J2848" s="2372" t="s">
        <v>4069</v>
      </c>
      <c r="K2848" s="2144">
        <v>10</v>
      </c>
      <c r="L2848" s="2145">
        <f>SUM(L2849)</f>
        <v>48034350</v>
      </c>
      <c r="M2848" s="2144">
        <v>4</v>
      </c>
      <c r="N2848" s="2145">
        <f>SUM(N2849)</f>
        <v>16609200</v>
      </c>
      <c r="O2848" s="2144">
        <v>2</v>
      </c>
      <c r="P2848" s="2145">
        <f>SUM(P2849)</f>
        <v>11227500</v>
      </c>
      <c r="Q2848" s="2144">
        <v>0</v>
      </c>
      <c r="R2848" s="2145">
        <v>0</v>
      </c>
      <c r="S2848" s="2144">
        <v>0</v>
      </c>
      <c r="T2848" s="2145">
        <v>0</v>
      </c>
      <c r="U2848" s="2147"/>
      <c r="V2848" s="2145"/>
      <c r="W2848" s="2144"/>
      <c r="X2848" s="2144"/>
      <c r="Y2848" s="2147">
        <f t="shared" si="740"/>
        <v>0</v>
      </c>
      <c r="Z2848" s="2373">
        <f t="shared" si="740"/>
        <v>0</v>
      </c>
      <c r="AA2848" s="2147">
        <f>M2848+Y2848</f>
        <v>4</v>
      </c>
      <c r="AB2848" s="2373">
        <f t="shared" si="742"/>
        <v>16609200</v>
      </c>
      <c r="AC2848" s="2375">
        <f>(AA2848/K2848)*100</f>
        <v>40</v>
      </c>
      <c r="AD2848" s="2375">
        <f t="shared" si="739"/>
        <v>34.577755293867824</v>
      </c>
      <c r="AE2848" s="2140" t="s">
        <v>3924</v>
      </c>
    </row>
    <row r="2849" spans="1:251" s="2161" customFormat="1" ht="65.25" customHeight="1">
      <c r="A2849" s="2152"/>
      <c r="B2849" s="2253"/>
      <c r="C2849" s="2164">
        <v>5</v>
      </c>
      <c r="D2849" s="2164" t="s">
        <v>34</v>
      </c>
      <c r="E2849" s="2164" t="s">
        <v>25</v>
      </c>
      <c r="F2849" s="2164" t="s">
        <v>45</v>
      </c>
      <c r="G2849" s="2164" t="s">
        <v>3667</v>
      </c>
      <c r="H2849" s="2164" t="s">
        <v>54</v>
      </c>
      <c r="I2849" s="2449" t="s">
        <v>3969</v>
      </c>
      <c r="J2849" s="2260" t="s">
        <v>3970</v>
      </c>
      <c r="K2849" s="2240">
        <v>10</v>
      </c>
      <c r="L2849" s="2241">
        <v>48034350</v>
      </c>
      <c r="M2849" s="2261">
        <v>4</v>
      </c>
      <c r="N2849" s="2262">
        <f>10259200+6350000</f>
        <v>16609200</v>
      </c>
      <c r="O2849" s="2240">
        <v>2</v>
      </c>
      <c r="P2849" s="2242">
        <v>11227500</v>
      </c>
      <c r="Q2849" s="2261">
        <v>0</v>
      </c>
      <c r="R2849" s="2241">
        <v>0</v>
      </c>
      <c r="S2849" s="2261">
        <v>0</v>
      </c>
      <c r="T2849" s="2241">
        <v>0</v>
      </c>
      <c r="U2849" s="2240"/>
      <c r="V2849" s="2240"/>
      <c r="W2849" s="2240"/>
      <c r="X2849" s="2240"/>
      <c r="Y2849" s="2240">
        <f t="shared" si="740"/>
        <v>0</v>
      </c>
      <c r="Z2849" s="2381">
        <f t="shared" si="740"/>
        <v>0</v>
      </c>
      <c r="AA2849" s="2240">
        <f>M2849+Y2849</f>
        <v>4</v>
      </c>
      <c r="AB2849" s="2381">
        <f t="shared" si="742"/>
        <v>16609200</v>
      </c>
      <c r="AC2849" s="2385">
        <f t="shared" ref="AC2849" si="743">(AA2849/K2849)*100</f>
        <v>40</v>
      </c>
      <c r="AD2849" s="2385">
        <f t="shared" si="739"/>
        <v>34.577755293867824</v>
      </c>
      <c r="AE2849" s="2152"/>
    </row>
    <row r="2850" spans="1:251" s="2131" customFormat="1" ht="18.75" customHeight="1">
      <c r="A2850" s="2705" t="s">
        <v>63</v>
      </c>
      <c r="B2850" s="2705"/>
      <c r="C2850" s="2706"/>
      <c r="D2850" s="2706"/>
      <c r="E2850" s="2706"/>
      <c r="F2850" s="2706"/>
      <c r="G2850" s="2706"/>
      <c r="H2850" s="2706"/>
      <c r="I2850" s="2706"/>
      <c r="J2850" s="2706"/>
      <c r="K2850" s="2706"/>
      <c r="L2850" s="2706"/>
      <c r="M2850" s="2706"/>
      <c r="N2850" s="2706"/>
      <c r="O2850" s="2706"/>
      <c r="P2850" s="2706"/>
      <c r="Q2850" s="2706"/>
      <c r="R2850" s="2706"/>
      <c r="S2850" s="2706"/>
      <c r="T2850" s="2706"/>
      <c r="U2850" s="2706"/>
      <c r="V2850" s="2706"/>
      <c r="W2850" s="2706"/>
      <c r="X2850" s="2706"/>
      <c r="Y2850" s="2706"/>
      <c r="Z2850" s="2706"/>
      <c r="AA2850" s="2706"/>
      <c r="AB2850" s="2706"/>
      <c r="AC2850" s="2249">
        <f>(AC2797+AC2811+AC2817+AC2819+AC2821+AC2823+AC2826+AC2830+AC2833+AC2835+AC2837+AC2839+AC2841+AC2848)/14</f>
        <v>33.547619047619051</v>
      </c>
      <c r="AD2850" s="2249">
        <f>(AD2797+AD2811+AD2817+AD2819+AD2821+AD2823+AD2826+AD2830+AD2833+AD2835+AD2837+AD2839+AD2841+AD2848)/14</f>
        <v>54.800186912756431</v>
      </c>
      <c r="AE2850" s="2152"/>
    </row>
    <row r="2851" spans="1:251" s="2131" customFormat="1" ht="19.5" customHeight="1">
      <c r="A2851" s="2705" t="s">
        <v>64</v>
      </c>
      <c r="B2851" s="2705"/>
      <c r="C2851" s="2706"/>
      <c r="D2851" s="2706"/>
      <c r="E2851" s="2706"/>
      <c r="F2851" s="2706"/>
      <c r="G2851" s="2706"/>
      <c r="H2851" s="2706"/>
      <c r="I2851" s="2706"/>
      <c r="J2851" s="2706"/>
      <c r="K2851" s="2706"/>
      <c r="L2851" s="2706"/>
      <c r="M2851" s="2706"/>
      <c r="N2851" s="2706"/>
      <c r="O2851" s="2706"/>
      <c r="P2851" s="2706"/>
      <c r="Q2851" s="2706"/>
      <c r="R2851" s="2706"/>
      <c r="S2851" s="2706"/>
      <c r="T2851" s="2706"/>
      <c r="U2851" s="2706"/>
      <c r="V2851" s="2706"/>
      <c r="W2851" s="2706"/>
      <c r="X2851" s="2706"/>
      <c r="Y2851" s="2706"/>
      <c r="Z2851" s="2706"/>
      <c r="AA2851" s="2706"/>
      <c r="AB2851" s="2706"/>
      <c r="AC2851" s="2250" t="str">
        <f>IF(AC2850&gt;=91,"ST",IF(AC2850&gt;=76,"T",IF(AC2850&gt;=66,"S",IF(AC2850&gt;=51,"R","SR"))))</f>
        <v>SR</v>
      </c>
      <c r="AD2851" s="2250" t="str">
        <f>IF(AD2850&gt;=91,"ST",IF(AD2850&gt;=76,"T",IF(AD2850&gt;=66,"S",IF(AD2850&gt;=51,"R","SR"))))</f>
        <v>R</v>
      </c>
      <c r="AE2851" s="2152"/>
    </row>
    <row r="2852" spans="1:251" s="2131" customFormat="1" ht="7.5" customHeight="1">
      <c r="A2852" s="2709"/>
      <c r="B2852" s="2710"/>
      <c r="C2852" s="2710"/>
      <c r="D2852" s="2710"/>
      <c r="E2852" s="2710"/>
      <c r="F2852" s="2710"/>
      <c r="G2852" s="2710"/>
      <c r="H2852" s="2710"/>
      <c r="I2852" s="2710"/>
      <c r="J2852" s="2710"/>
      <c r="K2852" s="2710"/>
      <c r="L2852" s="2710"/>
      <c r="M2852" s="2710"/>
      <c r="N2852" s="2710"/>
      <c r="O2852" s="2710"/>
      <c r="P2852" s="2710"/>
      <c r="Q2852" s="2710"/>
      <c r="R2852" s="2710"/>
      <c r="S2852" s="2710"/>
      <c r="T2852" s="2710"/>
      <c r="U2852" s="2710"/>
      <c r="V2852" s="2710"/>
      <c r="W2852" s="2710"/>
      <c r="X2852" s="2710"/>
      <c r="Y2852" s="2710"/>
      <c r="Z2852" s="2710"/>
      <c r="AA2852" s="2710"/>
      <c r="AB2852" s="2710"/>
      <c r="AC2852" s="2710"/>
      <c r="AD2852" s="2710"/>
      <c r="AE2852" s="2711"/>
      <c r="AF2852" s="2020"/>
      <c r="AG2852" s="2020"/>
      <c r="AH2852" s="2020"/>
      <c r="AI2852" s="2020"/>
      <c r="AJ2852" s="2020"/>
      <c r="AK2852" s="2020"/>
      <c r="AL2852" s="2020"/>
      <c r="AM2852" s="2020"/>
      <c r="AN2852" s="2020"/>
      <c r="AO2852" s="2020"/>
      <c r="AP2852" s="2020"/>
      <c r="AQ2852" s="2020"/>
      <c r="AR2852" s="2020"/>
      <c r="AS2852" s="2020"/>
      <c r="AT2852" s="2020"/>
      <c r="AU2852" s="2020"/>
      <c r="AV2852" s="2020"/>
      <c r="AW2852" s="2020"/>
      <c r="AX2852" s="2020"/>
      <c r="AY2852" s="2020"/>
      <c r="AZ2852" s="2020"/>
      <c r="BA2852" s="2020"/>
      <c r="BB2852" s="2020"/>
      <c r="BC2852" s="2020"/>
      <c r="BD2852" s="2020"/>
      <c r="BE2852" s="2020"/>
      <c r="BF2852" s="2020"/>
      <c r="BG2852" s="2020"/>
      <c r="BH2852" s="2020"/>
      <c r="BI2852" s="2020"/>
      <c r="BJ2852" s="2020"/>
      <c r="BK2852" s="2020"/>
      <c r="BL2852" s="2020"/>
      <c r="BM2852" s="2020"/>
      <c r="BN2852" s="2020"/>
      <c r="BO2852" s="2020"/>
      <c r="BP2852" s="2020"/>
      <c r="BQ2852" s="2020"/>
      <c r="BR2852" s="2020"/>
      <c r="BS2852" s="2020"/>
      <c r="BT2852" s="2020"/>
      <c r="BU2852" s="2020"/>
      <c r="BV2852" s="2020"/>
      <c r="BW2852" s="2020"/>
      <c r="BX2852" s="2020"/>
      <c r="BY2852" s="2020"/>
      <c r="BZ2852" s="2020"/>
      <c r="CA2852" s="2020"/>
      <c r="CB2852" s="2020"/>
      <c r="CC2852" s="2020"/>
      <c r="CD2852" s="2020"/>
      <c r="CE2852" s="2020"/>
      <c r="CF2852" s="2020"/>
      <c r="CG2852" s="2020"/>
      <c r="CH2852" s="2020"/>
      <c r="CI2852" s="2020"/>
      <c r="CJ2852" s="2020"/>
      <c r="CK2852" s="2020"/>
      <c r="CL2852" s="2020"/>
      <c r="CM2852" s="2020"/>
      <c r="CN2852" s="2020"/>
      <c r="CO2852" s="2020"/>
      <c r="CP2852" s="2020"/>
      <c r="CQ2852" s="2020"/>
      <c r="CR2852" s="2020"/>
      <c r="CS2852" s="2020"/>
      <c r="CT2852" s="2020"/>
      <c r="CU2852" s="2020"/>
      <c r="CV2852" s="2020"/>
      <c r="CW2852" s="2020"/>
      <c r="CX2852" s="2020"/>
      <c r="CY2852" s="2020"/>
      <c r="CZ2852" s="2020"/>
      <c r="DA2852" s="2020"/>
      <c r="DB2852" s="2020"/>
      <c r="DC2852" s="2020"/>
      <c r="DD2852" s="2020"/>
      <c r="DE2852" s="2020"/>
      <c r="DF2852" s="2020"/>
      <c r="DG2852" s="2020"/>
      <c r="DH2852" s="2020"/>
      <c r="DI2852" s="2020"/>
      <c r="DJ2852" s="2020"/>
      <c r="DK2852" s="2020"/>
      <c r="DL2852" s="2020"/>
      <c r="DM2852" s="2020"/>
      <c r="DN2852" s="2020"/>
      <c r="DO2852" s="2020"/>
      <c r="DP2852" s="2020"/>
      <c r="DQ2852" s="2020"/>
      <c r="DR2852" s="2020"/>
      <c r="DS2852" s="2020"/>
      <c r="DT2852" s="2020"/>
      <c r="DU2852" s="2020"/>
      <c r="DV2852" s="2020"/>
      <c r="DW2852" s="2020"/>
      <c r="DX2852" s="2020"/>
      <c r="DY2852" s="2020"/>
      <c r="DZ2852" s="2020"/>
      <c r="EA2852" s="2020"/>
      <c r="EB2852" s="2020"/>
      <c r="EC2852" s="2020"/>
      <c r="ED2852" s="2020"/>
      <c r="EE2852" s="2020"/>
      <c r="EF2852" s="2020"/>
      <c r="EG2852" s="2020"/>
      <c r="EH2852" s="2020"/>
      <c r="EI2852" s="2020"/>
      <c r="EJ2852" s="2020"/>
      <c r="EK2852" s="2020"/>
      <c r="EL2852" s="2020"/>
      <c r="EM2852" s="2020"/>
      <c r="EN2852" s="2020"/>
      <c r="EO2852" s="2020"/>
      <c r="EP2852" s="2020"/>
      <c r="EQ2852" s="2020"/>
      <c r="ER2852" s="2020"/>
      <c r="ES2852" s="2020"/>
      <c r="ET2852" s="2020"/>
      <c r="EU2852" s="2020"/>
      <c r="EV2852" s="2020"/>
      <c r="EW2852" s="2020"/>
      <c r="EX2852" s="2020"/>
      <c r="EY2852" s="2020"/>
      <c r="EZ2852" s="2020"/>
      <c r="FA2852" s="2020"/>
      <c r="FB2852" s="2020"/>
      <c r="FC2852" s="2020"/>
      <c r="FD2852" s="2020"/>
      <c r="FE2852" s="2020"/>
      <c r="FF2852" s="2020"/>
      <c r="FG2852" s="2020"/>
      <c r="FH2852" s="2020"/>
      <c r="FI2852" s="2020"/>
      <c r="FJ2852" s="2020"/>
      <c r="FK2852" s="2020"/>
      <c r="FL2852" s="2020"/>
      <c r="FM2852" s="2020"/>
      <c r="FN2852" s="2020"/>
      <c r="FO2852" s="2020"/>
      <c r="FP2852" s="2020"/>
      <c r="FQ2852" s="2020"/>
      <c r="FR2852" s="2020"/>
      <c r="FS2852" s="2020"/>
      <c r="FT2852" s="2020"/>
      <c r="FU2852" s="2020"/>
      <c r="FV2852" s="2020"/>
      <c r="FW2852" s="2020"/>
      <c r="FX2852" s="2020"/>
      <c r="FY2852" s="2020"/>
      <c r="FZ2852" s="2020"/>
      <c r="GA2852" s="2020"/>
      <c r="GB2852" s="2020"/>
      <c r="GC2852" s="2020"/>
      <c r="GD2852" s="2020"/>
      <c r="GE2852" s="2020"/>
      <c r="GF2852" s="2020"/>
      <c r="GG2852" s="2020"/>
      <c r="GH2852" s="2020"/>
      <c r="GI2852" s="2020"/>
      <c r="GJ2852" s="2020"/>
      <c r="GK2852" s="2020"/>
      <c r="GL2852" s="2020"/>
      <c r="GM2852" s="2020"/>
      <c r="GN2852" s="2020"/>
      <c r="GO2852" s="2020"/>
      <c r="GP2852" s="2020"/>
      <c r="GQ2852" s="2020"/>
      <c r="GR2852" s="2020"/>
      <c r="GS2852" s="2020"/>
      <c r="GT2852" s="2020"/>
      <c r="GU2852" s="2020"/>
      <c r="GV2852" s="2020"/>
      <c r="GW2852" s="2020"/>
      <c r="GX2852" s="2020"/>
      <c r="GY2852" s="2020"/>
      <c r="GZ2852" s="2020"/>
      <c r="HA2852" s="2020"/>
      <c r="HB2852" s="2020"/>
      <c r="HC2852" s="2020"/>
      <c r="HD2852" s="2020"/>
      <c r="HE2852" s="2020"/>
      <c r="HF2852" s="2020"/>
      <c r="HG2852" s="2020"/>
      <c r="HH2852" s="2020"/>
      <c r="HI2852" s="2020"/>
      <c r="HJ2852" s="2020"/>
      <c r="HK2852" s="2020"/>
      <c r="HL2852" s="2020"/>
      <c r="HM2852" s="2020"/>
      <c r="HN2852" s="2020"/>
      <c r="HO2852" s="2020"/>
      <c r="HP2852" s="2020"/>
      <c r="HQ2852" s="2020"/>
      <c r="HR2852" s="2020"/>
      <c r="HS2852" s="2020"/>
      <c r="HT2852" s="2020"/>
      <c r="HU2852" s="2020"/>
      <c r="HV2852" s="2020"/>
      <c r="HW2852" s="2020"/>
      <c r="HX2852" s="2020"/>
      <c r="HY2852" s="2020"/>
      <c r="HZ2852" s="2020"/>
      <c r="IA2852" s="2020"/>
      <c r="IB2852" s="2020"/>
      <c r="IC2852" s="2020"/>
      <c r="ID2852" s="2020"/>
      <c r="IE2852" s="2020"/>
      <c r="IF2852" s="2020"/>
      <c r="IG2852" s="2020"/>
      <c r="IH2852" s="2020"/>
      <c r="II2852" s="2020"/>
      <c r="IJ2852" s="2020"/>
      <c r="IK2852" s="2020"/>
      <c r="IL2852" s="2020"/>
      <c r="IM2852" s="2020"/>
      <c r="IN2852" s="2020"/>
      <c r="IO2852" s="2020"/>
      <c r="IP2852" s="2020"/>
      <c r="IQ2852" s="2020"/>
    </row>
    <row r="2853" spans="1:251">
      <c r="A2853" s="2846" t="s">
        <v>245</v>
      </c>
      <c r="B2853" s="2846"/>
      <c r="C2853" s="2846"/>
      <c r="D2853" s="2846"/>
      <c r="E2853" s="2846"/>
      <c r="F2853" s="2846"/>
      <c r="G2853" s="2846"/>
      <c r="H2853" s="2846"/>
      <c r="I2853" s="2846"/>
      <c r="J2853" s="11" t="s">
        <v>246</v>
      </c>
      <c r="K2853" s="12"/>
      <c r="L2853" s="12"/>
      <c r="M2853" s="12"/>
      <c r="N2853" s="12"/>
      <c r="O2853" s="781"/>
      <c r="P2853" s="239"/>
      <c r="Q2853" s="1131"/>
      <c r="R2853" s="11"/>
      <c r="S2853" s="11"/>
      <c r="T2853" s="11"/>
      <c r="U2853" s="11"/>
      <c r="V2853" s="782"/>
      <c r="W2853" s="11"/>
      <c r="X2853" s="11"/>
      <c r="Y2853" s="1131"/>
      <c r="Z2853" s="265"/>
      <c r="AA2853" s="12"/>
      <c r="AB2853" s="265"/>
      <c r="AC2853" s="12"/>
      <c r="AD2853" s="12"/>
      <c r="AE2853" s="779"/>
    </row>
    <row r="2854" spans="1:251">
      <c r="A2854" s="2846" t="s">
        <v>247</v>
      </c>
      <c r="B2854" s="2846"/>
      <c r="C2854" s="2846"/>
      <c r="D2854" s="2846"/>
      <c r="E2854" s="2846"/>
      <c r="F2854" s="2846"/>
      <c r="G2854" s="2846"/>
      <c r="H2854" s="2846"/>
      <c r="I2854" s="2846"/>
      <c r="J2854" s="11" t="s">
        <v>246</v>
      </c>
      <c r="K2854" s="12"/>
      <c r="L2854" s="12"/>
      <c r="M2854" s="12"/>
      <c r="N2854" s="12"/>
      <c r="O2854" s="781"/>
      <c r="P2854" s="239"/>
      <c r="Q2854" s="1131"/>
      <c r="R2854" s="11"/>
      <c r="S2854" s="11"/>
      <c r="T2854" s="11"/>
      <c r="U2854" s="11"/>
      <c r="V2854" s="782"/>
      <c r="W2854" s="11"/>
      <c r="X2854" s="11"/>
      <c r="Y2854" s="1131"/>
      <c r="Z2854" s="265"/>
      <c r="AA2854" s="12"/>
      <c r="AB2854" s="265"/>
      <c r="AC2854" s="12" t="s">
        <v>248</v>
      </c>
      <c r="AD2854" s="12"/>
      <c r="AE2854" s="779"/>
    </row>
    <row r="2855" spans="1:251">
      <c r="A2855" s="2846" t="s">
        <v>249</v>
      </c>
      <c r="B2855" s="2846"/>
      <c r="C2855" s="2846"/>
      <c r="D2855" s="2846"/>
      <c r="E2855" s="2846"/>
      <c r="F2855" s="2846"/>
      <c r="G2855" s="2846"/>
      <c r="H2855" s="2846"/>
      <c r="I2855" s="2846"/>
      <c r="J2855" s="11" t="s">
        <v>246</v>
      </c>
      <c r="K2855" s="12"/>
      <c r="L2855" s="12"/>
      <c r="M2855" s="12"/>
      <c r="N2855" s="12"/>
      <c r="O2855" s="781"/>
      <c r="P2855" s="239"/>
      <c r="Q2855" s="1131"/>
      <c r="R2855" s="11"/>
      <c r="S2855" s="11"/>
      <c r="T2855" s="11"/>
      <c r="U2855" s="11"/>
      <c r="V2855" s="782"/>
      <c r="W2855" s="11"/>
      <c r="X2855" s="11"/>
      <c r="Y2855" s="1131"/>
      <c r="Z2855" s="265"/>
      <c r="AA2855" s="12"/>
      <c r="AB2855" s="265"/>
      <c r="AC2855" s="12"/>
      <c r="AD2855" s="12"/>
      <c r="AE2855" s="779"/>
    </row>
    <row r="2856" spans="1:251">
      <c r="A2856" s="2846" t="s">
        <v>250</v>
      </c>
      <c r="B2856" s="2846"/>
      <c r="C2856" s="2846"/>
      <c r="D2856" s="2846"/>
      <c r="E2856" s="2846"/>
      <c r="F2856" s="2846"/>
      <c r="G2856" s="2846"/>
      <c r="H2856" s="2846"/>
      <c r="I2856" s="2846"/>
      <c r="J2856" s="11" t="s">
        <v>246</v>
      </c>
      <c r="K2856" s="12"/>
      <c r="L2856" s="12"/>
      <c r="M2856" s="12"/>
      <c r="N2856" s="12"/>
      <c r="O2856" s="781"/>
      <c r="P2856" s="239"/>
      <c r="Q2856" s="1131"/>
      <c r="R2856" s="11"/>
      <c r="S2856" s="11"/>
      <c r="T2856" s="11"/>
      <c r="U2856" s="11"/>
      <c r="V2856" s="782"/>
      <c r="W2856" s="11"/>
      <c r="X2856" s="11"/>
      <c r="Y2856" s="1131"/>
      <c r="Z2856" s="265"/>
      <c r="AA2856" s="12"/>
      <c r="AB2856" s="265"/>
      <c r="AC2856" s="12"/>
      <c r="AD2856" s="12"/>
      <c r="AE2856" s="779"/>
    </row>
    <row r="2857" spans="1:251">
      <c r="A2857" s="2618"/>
      <c r="B2857" s="2618"/>
      <c r="C2857" s="2618"/>
      <c r="D2857" s="2618"/>
      <c r="E2857" s="2618"/>
      <c r="F2857" s="2618"/>
      <c r="G2857" s="2618"/>
      <c r="H2857" s="2618"/>
      <c r="I2857" s="2618"/>
      <c r="J2857" s="848"/>
      <c r="K2857" s="1295"/>
      <c r="L2857" s="1295"/>
      <c r="M2857" s="1295"/>
      <c r="N2857" s="1295"/>
      <c r="O2857" s="1292"/>
      <c r="P2857" s="852"/>
      <c r="Q2857" s="1292"/>
      <c r="R2857" s="1293"/>
      <c r="S2857" s="1293"/>
      <c r="T2857" s="1293"/>
      <c r="U2857" s="1293"/>
      <c r="V2857" s="1294"/>
      <c r="W2857" s="1293"/>
      <c r="X2857" s="1293"/>
      <c r="Y2857" s="1292"/>
      <c r="Z2857" s="1294"/>
      <c r="AA2857" s="1292"/>
      <c r="AB2857" s="1294"/>
      <c r="AC2857" s="1292"/>
      <c r="AD2857" s="1292"/>
      <c r="AE2857" s="852"/>
    </row>
    <row r="2858" spans="1:251">
      <c r="A2858" s="2618"/>
      <c r="B2858" s="2618"/>
      <c r="C2858" s="2618"/>
      <c r="D2858" s="2618"/>
      <c r="E2858" s="2618"/>
      <c r="F2858" s="2618"/>
      <c r="G2858" s="2618"/>
      <c r="H2858" s="2618"/>
      <c r="I2858" s="2618"/>
      <c r="J2858" s="848"/>
      <c r="K2858" s="1295"/>
      <c r="L2858" s="1295"/>
      <c r="M2858" s="1295"/>
      <c r="N2858" s="1295"/>
      <c r="O2858" s="1295"/>
      <c r="P2858" s="2556"/>
      <c r="Q2858" s="1295"/>
      <c r="R2858" s="848"/>
      <c r="S2858" s="848"/>
      <c r="T2858" s="848"/>
      <c r="U2858" s="848"/>
      <c r="V2858" s="1296"/>
      <c r="W2858" s="848"/>
      <c r="X2858" s="848"/>
      <c r="Y2858" s="1295"/>
      <c r="Z2858" s="1296"/>
      <c r="AA2858" s="1295"/>
      <c r="AB2858" s="1296"/>
      <c r="AC2858" s="1295"/>
      <c r="AD2858" s="1295"/>
      <c r="AE2858" s="2556"/>
    </row>
    <row r="2859" spans="1:251" ht="27.75" customHeight="1">
      <c r="O2859" s="1295"/>
      <c r="P2859" s="2556"/>
      <c r="Q2859" s="1295"/>
      <c r="R2859" s="848"/>
      <c r="S2859" s="848"/>
      <c r="T2859" s="848"/>
      <c r="U2859" s="848"/>
      <c r="V2859" s="1296"/>
      <c r="W2859" s="848"/>
      <c r="X2859" s="848"/>
      <c r="Y2859" s="1295"/>
      <c r="Z2859" s="1296"/>
      <c r="AA2859" s="1295"/>
      <c r="AB2859" s="1296"/>
      <c r="AC2859" s="1295"/>
      <c r="AD2859" s="1295"/>
      <c r="AE2859" s="2556"/>
    </row>
    <row r="2860" spans="1:251" ht="25.5">
      <c r="O2860" s="1295"/>
      <c r="P2860" s="853"/>
      <c r="Q2860" s="1295"/>
      <c r="R2860" s="848"/>
      <c r="S2860" s="2845" t="s">
        <v>4135</v>
      </c>
      <c r="T2860" s="2845"/>
      <c r="U2860" s="2845"/>
      <c r="V2860" s="2845"/>
      <c r="W2860" s="2845"/>
      <c r="X2860" s="2845"/>
      <c r="Y2860" s="2845"/>
      <c r="Z2860" s="2622"/>
      <c r="AA2860" s="2858" t="s">
        <v>4136</v>
      </c>
      <c r="AB2860" s="2858"/>
      <c r="AC2860" s="2858"/>
      <c r="AD2860" s="2858"/>
      <c r="AE2860" s="2858"/>
    </row>
    <row r="2861" spans="1:251" ht="25.5">
      <c r="O2861" s="1295"/>
      <c r="P2861" s="853"/>
      <c r="Q2861" s="1295"/>
      <c r="R2861" s="848"/>
      <c r="S2861" s="2845" t="s">
        <v>251</v>
      </c>
      <c r="T2861" s="2845"/>
      <c r="U2861" s="2845"/>
      <c r="V2861" s="2845"/>
      <c r="W2861" s="2845"/>
      <c r="X2861" s="2845"/>
      <c r="Y2861" s="2845"/>
      <c r="Z2861" s="2622"/>
      <c r="AA2861" s="2858" t="s">
        <v>252</v>
      </c>
      <c r="AB2861" s="2858"/>
      <c r="AC2861" s="2858"/>
      <c r="AD2861" s="2858"/>
      <c r="AE2861" s="2858"/>
    </row>
    <row r="2862" spans="1:251" ht="25.5">
      <c r="O2862" s="1295"/>
      <c r="P2862" s="853"/>
      <c r="Q2862" s="1295"/>
      <c r="R2862" s="848"/>
      <c r="S2862" s="2859" t="s">
        <v>253</v>
      </c>
      <c r="T2862" s="2859"/>
      <c r="U2862" s="2859"/>
      <c r="V2862" s="2859"/>
      <c r="W2862" s="2859"/>
      <c r="X2862" s="2859"/>
      <c r="Y2862" s="2859"/>
      <c r="Z2862" s="2622"/>
      <c r="AA2862" s="2844" t="s">
        <v>4122</v>
      </c>
      <c r="AB2862" s="2844"/>
      <c r="AC2862" s="2844"/>
      <c r="AD2862" s="2844"/>
      <c r="AE2862" s="2844"/>
    </row>
    <row r="2863" spans="1:251" ht="65.25" customHeight="1">
      <c r="O2863" s="1295"/>
      <c r="P2863" s="853"/>
      <c r="Q2863" s="1295"/>
      <c r="R2863" s="848"/>
      <c r="S2863" s="2845"/>
      <c r="T2863" s="2845"/>
      <c r="U2863" s="2845"/>
      <c r="V2863" s="2845"/>
      <c r="W2863" s="2845"/>
      <c r="X2863" s="2845"/>
      <c r="Y2863" s="2845"/>
      <c r="Z2863" s="2622"/>
      <c r="AA2863" s="2623"/>
      <c r="AB2863" s="2858"/>
      <c r="AC2863" s="2858"/>
      <c r="AD2863" s="2858"/>
      <c r="AE2863" s="2858"/>
    </row>
    <row r="2864" spans="1:251" ht="25.5">
      <c r="O2864" s="1295"/>
      <c r="P2864" s="853"/>
      <c r="Q2864" s="1295"/>
      <c r="R2864" s="848"/>
      <c r="S2864" s="2624"/>
      <c r="T2864" s="2624"/>
      <c r="U2864" s="2624"/>
      <c r="V2864" s="2625"/>
      <c r="W2864" s="2624"/>
      <c r="X2864" s="2624"/>
      <c r="Y2864" s="2624"/>
      <c r="Z2864" s="2622"/>
      <c r="AA2864" s="2623"/>
      <c r="AB2864" s="2625"/>
      <c r="AC2864" s="2625"/>
      <c r="AD2864" s="2625"/>
      <c r="AE2864" s="2625"/>
    </row>
    <row r="2865" spans="3:69" ht="25.5">
      <c r="O2865" s="1295"/>
      <c r="P2865" s="853"/>
      <c r="Q2865" s="1295"/>
      <c r="R2865" s="848"/>
      <c r="S2865" s="2624"/>
      <c r="T2865" s="2624"/>
      <c r="U2865" s="2624"/>
      <c r="V2865" s="2625"/>
      <c r="W2865" s="2624"/>
      <c r="X2865" s="2624"/>
      <c r="Y2865" s="2624"/>
      <c r="Z2865" s="2622"/>
      <c r="AA2865" s="2623"/>
      <c r="AB2865" s="2625"/>
      <c r="AC2865" s="2625"/>
      <c r="AD2865" s="2625"/>
      <c r="AE2865" s="2625"/>
    </row>
    <row r="2866" spans="3:69" ht="25.5">
      <c r="O2866" s="1295"/>
      <c r="P2866" s="853"/>
      <c r="Q2866" s="1295"/>
      <c r="R2866" s="848"/>
      <c r="S2866" s="2859" t="s">
        <v>4123</v>
      </c>
      <c r="T2866" s="2859"/>
      <c r="U2866" s="2859"/>
      <c r="V2866" s="2859"/>
      <c r="W2866" s="2859"/>
      <c r="X2866" s="2859"/>
      <c r="Y2866" s="2859"/>
      <c r="Z2866" s="2622"/>
      <c r="AA2866" s="2844" t="s">
        <v>254</v>
      </c>
      <c r="AB2866" s="2844"/>
      <c r="AC2866" s="2844"/>
      <c r="AD2866" s="2844"/>
      <c r="AE2866" s="2844"/>
    </row>
    <row r="2867" spans="3:69" ht="25.5">
      <c r="O2867" s="1295"/>
      <c r="P2867" s="853"/>
      <c r="Q2867" s="1295"/>
      <c r="R2867" s="848"/>
      <c r="S2867" s="2845" t="s">
        <v>255</v>
      </c>
      <c r="T2867" s="2845"/>
      <c r="U2867" s="2845"/>
      <c r="V2867" s="2845"/>
      <c r="W2867" s="2845"/>
      <c r="X2867" s="2845"/>
      <c r="Y2867" s="2845"/>
      <c r="Z2867" s="2619"/>
      <c r="AA2867" s="2620"/>
      <c r="AB2867" s="2619"/>
      <c r="AC2867" s="2620"/>
      <c r="AD2867" s="2620"/>
      <c r="AE2867" s="2621"/>
    </row>
    <row r="2868" spans="3:69">
      <c r="C2868" s="853"/>
      <c r="D2868" s="853"/>
      <c r="E2868" s="853"/>
      <c r="F2868" s="853"/>
      <c r="G2868" s="853"/>
      <c r="H2868" s="853"/>
      <c r="I2868" s="848"/>
      <c r="J2868" s="848"/>
      <c r="K2868" s="1295"/>
      <c r="L2868" s="1295"/>
      <c r="M2868" s="1295"/>
      <c r="N2868" s="1295"/>
      <c r="O2868" s="1295"/>
      <c r="P2868" s="853"/>
      <c r="Q2868" s="1295"/>
      <c r="R2868" s="848"/>
      <c r="S2868" s="848"/>
      <c r="T2868" s="848"/>
      <c r="U2868" s="848"/>
      <c r="V2868" s="1296"/>
      <c r="W2868" s="848"/>
      <c r="X2868" s="848"/>
      <c r="Y2868" s="1295"/>
      <c r="Z2868" s="1296"/>
      <c r="AA2868" s="1295"/>
      <c r="AB2868" s="1296"/>
      <c r="AC2868" s="1295"/>
      <c r="AD2868" s="1295"/>
      <c r="AE2868" s="2556"/>
      <c r="AF2868" s="750"/>
      <c r="AG2868" s="750"/>
      <c r="AH2868" s="750"/>
      <c r="AI2868" s="750"/>
      <c r="AJ2868" s="750"/>
      <c r="AK2868" s="750"/>
      <c r="AL2868" s="750"/>
      <c r="AM2868" s="750"/>
      <c r="AN2868" s="750"/>
      <c r="AO2868" s="750"/>
      <c r="AP2868" s="750"/>
      <c r="AQ2868" s="750"/>
      <c r="AR2868" s="750"/>
      <c r="AS2868" s="750"/>
      <c r="AT2868" s="750"/>
      <c r="AU2868" s="750"/>
      <c r="AV2868" s="750"/>
      <c r="AW2868" s="750"/>
      <c r="AX2868" s="750"/>
      <c r="AY2868" s="750"/>
      <c r="AZ2868" s="750"/>
      <c r="BA2868" s="750"/>
      <c r="BB2868" s="750"/>
      <c r="BC2868" s="750"/>
      <c r="BD2868" s="750"/>
      <c r="BE2868" s="750"/>
      <c r="BF2868" s="750"/>
      <c r="BG2868" s="750"/>
      <c r="BH2868" s="750"/>
      <c r="BI2868" s="750"/>
      <c r="BJ2868" s="750"/>
      <c r="BK2868" s="750"/>
      <c r="BL2868" s="750"/>
      <c r="BM2868" s="750"/>
      <c r="BN2868" s="750"/>
      <c r="BO2868" s="750"/>
      <c r="BP2868" s="750"/>
      <c r="BQ2868" s="750"/>
    </row>
    <row r="2869" spans="3:69">
      <c r="C2869" s="853"/>
      <c r="D2869" s="853"/>
      <c r="E2869" s="853"/>
      <c r="F2869" s="853"/>
      <c r="G2869" s="853"/>
      <c r="H2869" s="853"/>
      <c r="I2869" s="848"/>
      <c r="J2869" s="848"/>
      <c r="K2869" s="1295"/>
      <c r="L2869" s="1295"/>
      <c r="M2869" s="1295"/>
      <c r="N2869" s="1295"/>
      <c r="O2869" s="1295"/>
      <c r="P2869" s="853"/>
      <c r="Q2869" s="1295"/>
      <c r="R2869" s="848"/>
      <c r="S2869" s="848"/>
      <c r="T2869" s="848"/>
      <c r="U2869" s="848"/>
      <c r="V2869" s="1296"/>
      <c r="W2869" s="848"/>
      <c r="X2869" s="848"/>
      <c r="Y2869" s="1295"/>
      <c r="Z2869" s="1296"/>
      <c r="AA2869" s="1295"/>
      <c r="AB2869" s="1296"/>
      <c r="AC2869" s="1295"/>
      <c r="AD2869" s="1295"/>
      <c r="AE2869" s="2556"/>
      <c r="AF2869" s="750"/>
      <c r="AG2869" s="750"/>
      <c r="AH2869" s="750"/>
      <c r="AI2869" s="750"/>
      <c r="AJ2869" s="750"/>
      <c r="AK2869" s="750"/>
      <c r="AL2869" s="750"/>
      <c r="AM2869" s="750"/>
      <c r="AN2869" s="750"/>
      <c r="AO2869" s="750"/>
      <c r="AP2869" s="750"/>
      <c r="AQ2869" s="750"/>
      <c r="AR2869" s="750"/>
      <c r="AS2869" s="750"/>
      <c r="AT2869" s="750"/>
      <c r="AU2869" s="750"/>
      <c r="AV2869" s="750"/>
      <c r="AW2869" s="750"/>
      <c r="AX2869" s="750"/>
      <c r="AY2869" s="750"/>
      <c r="AZ2869" s="750"/>
      <c r="BA2869" s="750"/>
      <c r="BB2869" s="750"/>
      <c r="BC2869" s="750"/>
      <c r="BD2869" s="750"/>
      <c r="BE2869" s="750"/>
      <c r="BF2869" s="750"/>
      <c r="BG2869" s="750"/>
      <c r="BH2869" s="750"/>
      <c r="BI2869" s="750"/>
      <c r="BJ2869" s="750"/>
      <c r="BK2869" s="750"/>
      <c r="BL2869" s="750"/>
      <c r="BM2869" s="750"/>
      <c r="BN2869" s="750"/>
      <c r="BO2869" s="750"/>
      <c r="BP2869" s="750"/>
      <c r="BQ2869" s="750"/>
    </row>
    <row r="2870" spans="3:69">
      <c r="C2870" s="853"/>
      <c r="D2870" s="853"/>
      <c r="E2870" s="853"/>
      <c r="F2870" s="853"/>
      <c r="G2870" s="853"/>
      <c r="H2870" s="853"/>
      <c r="I2870" s="848"/>
      <c r="J2870" s="848"/>
      <c r="K2870" s="1295"/>
      <c r="L2870" s="1295"/>
      <c r="M2870" s="1295"/>
      <c r="N2870" s="1295"/>
      <c r="O2870" s="1295"/>
      <c r="P2870" s="853"/>
      <c r="Q2870" s="1295"/>
      <c r="R2870" s="848"/>
      <c r="S2870" s="848"/>
      <c r="T2870" s="848"/>
      <c r="U2870" s="848"/>
      <c r="V2870" s="1296"/>
      <c r="W2870" s="848"/>
      <c r="X2870" s="848"/>
      <c r="Y2870" s="1295"/>
      <c r="Z2870" s="1296"/>
      <c r="AA2870" s="1295"/>
      <c r="AB2870" s="1296"/>
      <c r="AC2870" s="1295"/>
      <c r="AD2870" s="1295"/>
      <c r="AE2870" s="2556"/>
      <c r="AF2870" s="750"/>
      <c r="AG2870" s="750"/>
      <c r="AH2870" s="750"/>
      <c r="AI2870" s="750"/>
      <c r="AJ2870" s="750"/>
      <c r="AK2870" s="750"/>
      <c r="AL2870" s="750"/>
      <c r="AM2870" s="750"/>
      <c r="AN2870" s="750"/>
      <c r="AO2870" s="750"/>
      <c r="AP2870" s="750"/>
      <c r="AQ2870" s="750"/>
      <c r="AR2870" s="750"/>
      <c r="AS2870" s="750"/>
      <c r="AT2870" s="750"/>
      <c r="AU2870" s="750"/>
      <c r="AV2870" s="750"/>
      <c r="AW2870" s="750"/>
      <c r="AX2870" s="750"/>
      <c r="AY2870" s="750"/>
      <c r="AZ2870" s="750"/>
      <c r="BA2870" s="750"/>
      <c r="BB2870" s="750"/>
      <c r="BC2870" s="750"/>
      <c r="BD2870" s="750"/>
      <c r="BE2870" s="750"/>
      <c r="BF2870" s="750"/>
      <c r="BG2870" s="750"/>
      <c r="BH2870" s="750"/>
      <c r="BI2870" s="750"/>
      <c r="BJ2870" s="750"/>
      <c r="BK2870" s="750"/>
      <c r="BL2870" s="750"/>
      <c r="BM2870" s="750"/>
      <c r="BN2870" s="750"/>
      <c r="BO2870" s="750"/>
      <c r="BP2870" s="750"/>
      <c r="BQ2870" s="750"/>
    </row>
    <row r="2871" spans="3:69">
      <c r="C2871" s="853"/>
      <c r="D2871" s="853"/>
      <c r="E2871" s="853"/>
      <c r="F2871" s="853"/>
      <c r="G2871" s="853"/>
      <c r="H2871" s="853"/>
      <c r="I2871" s="848"/>
      <c r="J2871" s="848"/>
      <c r="K2871" s="1295"/>
      <c r="L2871" s="1295"/>
      <c r="M2871" s="1295"/>
      <c r="N2871" s="1295"/>
      <c r="O2871" s="1295"/>
      <c r="P2871" s="853"/>
      <c r="Q2871" s="1295"/>
      <c r="R2871" s="848"/>
      <c r="S2871" s="848"/>
      <c r="T2871" s="848"/>
      <c r="U2871" s="848"/>
      <c r="V2871" s="1296"/>
      <c r="W2871" s="848"/>
      <c r="X2871" s="848"/>
      <c r="Y2871" s="1295"/>
      <c r="Z2871" s="1296"/>
      <c r="AA2871" s="1295"/>
      <c r="AB2871" s="1296"/>
      <c r="AC2871" s="1295"/>
      <c r="AD2871" s="1295"/>
      <c r="AE2871" s="2556"/>
      <c r="AF2871" s="750"/>
      <c r="AG2871" s="750"/>
      <c r="AH2871" s="750"/>
      <c r="AI2871" s="750"/>
      <c r="AJ2871" s="750"/>
      <c r="AK2871" s="750"/>
      <c r="AL2871" s="750"/>
      <c r="AM2871" s="750"/>
      <c r="AN2871" s="750"/>
      <c r="AO2871" s="750"/>
      <c r="AP2871" s="750"/>
      <c r="AQ2871" s="750"/>
      <c r="AR2871" s="750"/>
      <c r="AS2871" s="750"/>
      <c r="AT2871" s="750"/>
      <c r="AU2871" s="750"/>
      <c r="AV2871" s="750"/>
      <c r="AW2871" s="750"/>
      <c r="AX2871" s="750"/>
      <c r="AY2871" s="750"/>
      <c r="AZ2871" s="750"/>
      <c r="BA2871" s="750"/>
      <c r="BB2871" s="750"/>
      <c r="BC2871" s="750"/>
      <c r="BD2871" s="750"/>
      <c r="BE2871" s="750"/>
      <c r="BF2871" s="750"/>
      <c r="BG2871" s="750"/>
      <c r="BH2871" s="750"/>
      <c r="BI2871" s="750"/>
      <c r="BJ2871" s="750"/>
      <c r="BK2871" s="750"/>
      <c r="BL2871" s="750"/>
      <c r="BM2871" s="750"/>
      <c r="BN2871" s="750"/>
      <c r="BO2871" s="750"/>
      <c r="BP2871" s="750"/>
      <c r="BQ2871" s="750"/>
    </row>
    <row r="2872" spans="3:69">
      <c r="C2872" s="853"/>
      <c r="D2872" s="853"/>
      <c r="E2872" s="853"/>
      <c r="F2872" s="853"/>
      <c r="G2872" s="853"/>
      <c r="H2872" s="853"/>
      <c r="I2872" s="848"/>
      <c r="J2872" s="848"/>
      <c r="K2872" s="1295"/>
      <c r="L2872" s="1295"/>
      <c r="M2872" s="1295"/>
      <c r="N2872" s="1295"/>
      <c r="O2872" s="1295"/>
      <c r="P2872" s="853"/>
      <c r="Q2872" s="1295"/>
      <c r="R2872" s="848"/>
      <c r="S2872" s="848"/>
      <c r="T2872" s="848"/>
      <c r="U2872" s="848"/>
      <c r="V2872" s="1296"/>
      <c r="W2872" s="848"/>
      <c r="X2872" s="848"/>
      <c r="Y2872" s="1295"/>
      <c r="Z2872" s="1296"/>
      <c r="AA2872" s="1295"/>
      <c r="AB2872" s="1296"/>
      <c r="AC2872" s="1295"/>
      <c r="AD2872" s="1295"/>
      <c r="AE2872" s="2556"/>
      <c r="AF2872" s="750"/>
      <c r="AG2872" s="750"/>
      <c r="AH2872" s="750"/>
      <c r="AI2872" s="750"/>
      <c r="AJ2872" s="750"/>
      <c r="AK2872" s="750"/>
      <c r="AL2872" s="750"/>
      <c r="AM2872" s="750"/>
      <c r="AN2872" s="750"/>
      <c r="AO2872" s="750"/>
      <c r="AP2872" s="750"/>
      <c r="AQ2872" s="750"/>
      <c r="AR2872" s="750"/>
      <c r="AS2872" s="750"/>
      <c r="AT2872" s="750"/>
      <c r="AU2872" s="750"/>
      <c r="AV2872" s="750"/>
      <c r="AW2872" s="750"/>
      <c r="AX2872" s="750"/>
      <c r="AY2872" s="750"/>
      <c r="AZ2872" s="750"/>
      <c r="BA2872" s="750"/>
      <c r="BB2872" s="750"/>
      <c r="BC2872" s="750"/>
      <c r="BD2872" s="750"/>
      <c r="BE2872" s="750"/>
      <c r="BF2872" s="750"/>
      <c r="BG2872" s="750"/>
      <c r="BH2872" s="750"/>
      <c r="BI2872" s="750"/>
      <c r="BJ2872" s="750"/>
      <c r="BK2872" s="750"/>
      <c r="BL2872" s="750"/>
      <c r="BM2872" s="750"/>
      <c r="BN2872" s="750"/>
      <c r="BO2872" s="750"/>
      <c r="BP2872" s="750"/>
      <c r="BQ2872" s="750"/>
    </row>
    <row r="2873" spans="3:69">
      <c r="C2873" s="853"/>
      <c r="D2873" s="853"/>
      <c r="E2873" s="853"/>
      <c r="F2873" s="853"/>
      <c r="G2873" s="853"/>
      <c r="H2873" s="853"/>
      <c r="I2873" s="848"/>
      <c r="J2873" s="848"/>
      <c r="K2873" s="1295"/>
      <c r="L2873" s="1295"/>
      <c r="M2873" s="1295"/>
      <c r="N2873" s="1295"/>
      <c r="O2873" s="1295"/>
      <c r="P2873" s="853"/>
      <c r="Q2873" s="1295"/>
      <c r="R2873" s="848"/>
      <c r="S2873" s="848"/>
      <c r="T2873" s="848"/>
      <c r="U2873" s="848"/>
      <c r="V2873" s="1296"/>
      <c r="W2873" s="848"/>
      <c r="X2873" s="848"/>
      <c r="Y2873" s="1295"/>
      <c r="Z2873" s="1296"/>
      <c r="AA2873" s="1295"/>
      <c r="AB2873" s="1296"/>
      <c r="AC2873" s="1295"/>
      <c r="AD2873" s="1295"/>
      <c r="AE2873" s="2556"/>
      <c r="AF2873" s="750"/>
      <c r="AG2873" s="750"/>
      <c r="AH2873" s="750"/>
      <c r="AI2873" s="750"/>
      <c r="AJ2873" s="750"/>
      <c r="AK2873" s="750"/>
      <c r="AL2873" s="750"/>
      <c r="AM2873" s="750"/>
      <c r="AN2873" s="750"/>
      <c r="AO2873" s="750"/>
      <c r="AP2873" s="750"/>
      <c r="AQ2873" s="750"/>
      <c r="AR2873" s="750"/>
      <c r="AS2873" s="750"/>
      <c r="AT2873" s="750"/>
      <c r="AU2873" s="750"/>
      <c r="AV2873" s="750"/>
      <c r="AW2873" s="750"/>
      <c r="AX2873" s="750"/>
      <c r="AY2873" s="750"/>
      <c r="AZ2873" s="750"/>
      <c r="BA2873" s="750"/>
      <c r="BB2873" s="750"/>
      <c r="BC2873" s="750"/>
      <c r="BD2873" s="750"/>
      <c r="BE2873" s="750"/>
      <c r="BF2873" s="750"/>
      <c r="BG2873" s="750"/>
      <c r="BH2873" s="750"/>
      <c r="BI2873" s="750"/>
      <c r="BJ2873" s="750"/>
      <c r="BK2873" s="750"/>
      <c r="BL2873" s="750"/>
      <c r="BM2873" s="750"/>
      <c r="BN2873" s="750"/>
      <c r="BO2873" s="750"/>
      <c r="BP2873" s="750"/>
      <c r="BQ2873" s="750"/>
    </row>
    <row r="2874" spans="3:69">
      <c r="C2874" s="853"/>
      <c r="D2874" s="853"/>
      <c r="E2874" s="853"/>
      <c r="F2874" s="853"/>
      <c r="G2874" s="853"/>
      <c r="H2874" s="853"/>
      <c r="I2874" s="848"/>
      <c r="J2874" s="848"/>
      <c r="K2874" s="1295"/>
      <c r="L2874" s="1295"/>
      <c r="M2874" s="1295"/>
      <c r="N2874" s="1295"/>
      <c r="O2874" s="1295"/>
      <c r="P2874" s="853"/>
      <c r="Q2874" s="1295"/>
      <c r="R2874" s="848"/>
      <c r="S2874" s="848"/>
      <c r="T2874" s="848"/>
      <c r="U2874" s="848"/>
      <c r="V2874" s="1296"/>
      <c r="W2874" s="848"/>
      <c r="X2874" s="848"/>
      <c r="Y2874" s="1295"/>
      <c r="Z2874" s="1296"/>
      <c r="AA2874" s="1295"/>
      <c r="AB2874" s="1296"/>
      <c r="AC2874" s="1295"/>
      <c r="AD2874" s="1295"/>
      <c r="AE2874" s="2556"/>
      <c r="AF2874" s="750"/>
      <c r="AG2874" s="750"/>
      <c r="AH2874" s="750"/>
      <c r="AI2874" s="750"/>
      <c r="AJ2874" s="750"/>
      <c r="AK2874" s="750"/>
      <c r="AL2874" s="750"/>
      <c r="AM2874" s="750"/>
      <c r="AN2874" s="750"/>
      <c r="AO2874" s="750"/>
      <c r="AP2874" s="750"/>
      <c r="AQ2874" s="750"/>
      <c r="AR2874" s="750"/>
      <c r="AS2874" s="750"/>
      <c r="AT2874" s="750"/>
      <c r="AU2874" s="750"/>
      <c r="AV2874" s="750"/>
      <c r="AW2874" s="750"/>
      <c r="AX2874" s="750"/>
      <c r="AY2874" s="750"/>
      <c r="AZ2874" s="750"/>
      <c r="BA2874" s="750"/>
      <c r="BB2874" s="750"/>
      <c r="BC2874" s="750"/>
      <c r="BD2874" s="750"/>
      <c r="BE2874" s="750"/>
      <c r="BF2874" s="750"/>
      <c r="BG2874" s="750"/>
      <c r="BH2874" s="750"/>
      <c r="BI2874" s="750"/>
      <c r="BJ2874" s="750"/>
      <c r="BK2874" s="750"/>
      <c r="BL2874" s="750"/>
      <c r="BM2874" s="750"/>
      <c r="BN2874" s="750"/>
      <c r="BO2874" s="750"/>
      <c r="BP2874" s="750"/>
      <c r="BQ2874" s="750"/>
    </row>
    <row r="2875" spans="3:69">
      <c r="C2875" s="853"/>
      <c r="D2875" s="853"/>
      <c r="E2875" s="853"/>
      <c r="F2875" s="853"/>
      <c r="G2875" s="853"/>
      <c r="H2875" s="853"/>
      <c r="I2875" s="848"/>
      <c r="J2875" s="848"/>
      <c r="K2875" s="1295"/>
      <c r="L2875" s="1295"/>
      <c r="M2875" s="1295"/>
      <c r="N2875" s="1295"/>
      <c r="O2875" s="1295"/>
      <c r="P2875" s="853"/>
      <c r="Q2875" s="1295"/>
      <c r="R2875" s="848"/>
      <c r="S2875" s="848"/>
      <c r="T2875" s="848"/>
      <c r="U2875" s="848"/>
      <c r="V2875" s="1296"/>
      <c r="W2875" s="848"/>
      <c r="X2875" s="848"/>
      <c r="Y2875" s="1295"/>
      <c r="Z2875" s="1296"/>
      <c r="AA2875" s="1295"/>
      <c r="AB2875" s="1296"/>
      <c r="AC2875" s="1295"/>
      <c r="AD2875" s="1295"/>
      <c r="AE2875" s="2556"/>
      <c r="AF2875" s="750"/>
      <c r="AG2875" s="750"/>
      <c r="AH2875" s="750"/>
      <c r="AI2875" s="750"/>
      <c r="AJ2875" s="750"/>
      <c r="AK2875" s="750"/>
      <c r="AL2875" s="750"/>
      <c r="AM2875" s="750"/>
      <c r="AN2875" s="750"/>
      <c r="AO2875" s="750"/>
      <c r="AP2875" s="750"/>
      <c r="AQ2875" s="750"/>
      <c r="AR2875" s="750"/>
      <c r="AS2875" s="750"/>
      <c r="AT2875" s="750"/>
      <c r="AU2875" s="750"/>
      <c r="AV2875" s="750"/>
      <c r="AW2875" s="750"/>
      <c r="AX2875" s="750"/>
      <c r="AY2875" s="750"/>
      <c r="AZ2875" s="750"/>
      <c r="BA2875" s="750"/>
      <c r="BB2875" s="750"/>
      <c r="BC2875" s="750"/>
      <c r="BD2875" s="750"/>
      <c r="BE2875" s="750"/>
      <c r="BF2875" s="750"/>
      <c r="BG2875" s="750"/>
      <c r="BH2875" s="750"/>
      <c r="BI2875" s="750"/>
      <c r="BJ2875" s="750"/>
      <c r="BK2875" s="750"/>
      <c r="BL2875" s="750"/>
      <c r="BM2875" s="750"/>
      <c r="BN2875" s="750"/>
      <c r="BO2875" s="750"/>
      <c r="BP2875" s="750"/>
      <c r="BQ2875" s="750"/>
    </row>
    <row r="2876" spans="3:69">
      <c r="C2876" s="853"/>
      <c r="D2876" s="853"/>
      <c r="E2876" s="853"/>
      <c r="F2876" s="853"/>
      <c r="G2876" s="853"/>
      <c r="H2876" s="853"/>
      <c r="I2876" s="848"/>
      <c r="J2876" s="848"/>
      <c r="K2876" s="1295"/>
      <c r="L2876" s="1295"/>
      <c r="M2876" s="1295"/>
      <c r="N2876" s="1295"/>
      <c r="O2876" s="1295"/>
      <c r="P2876" s="853"/>
      <c r="Q2876" s="1295"/>
      <c r="R2876" s="848"/>
      <c r="S2876" s="848"/>
      <c r="T2876" s="848"/>
      <c r="U2876" s="848"/>
      <c r="V2876" s="1296"/>
      <c r="W2876" s="848"/>
      <c r="X2876" s="848"/>
      <c r="Y2876" s="1295"/>
      <c r="Z2876" s="1296"/>
      <c r="AA2876" s="1295"/>
      <c r="AB2876" s="1296"/>
      <c r="AC2876" s="1295"/>
      <c r="AD2876" s="1295"/>
      <c r="AE2876" s="2556"/>
      <c r="AF2876" s="750"/>
      <c r="AG2876" s="750"/>
      <c r="AH2876" s="750"/>
      <c r="AI2876" s="750"/>
      <c r="AJ2876" s="750"/>
      <c r="AK2876" s="750"/>
      <c r="AL2876" s="750"/>
      <c r="AM2876" s="750"/>
      <c r="AN2876" s="750"/>
      <c r="AO2876" s="750"/>
      <c r="AP2876" s="750"/>
      <c r="AQ2876" s="750"/>
      <c r="AR2876" s="750"/>
      <c r="AS2876" s="750"/>
      <c r="AT2876" s="750"/>
      <c r="AU2876" s="750"/>
      <c r="AV2876" s="750"/>
      <c r="AW2876" s="750"/>
      <c r="AX2876" s="750"/>
      <c r="AY2876" s="750"/>
      <c r="AZ2876" s="750"/>
      <c r="BA2876" s="750"/>
      <c r="BB2876" s="750"/>
      <c r="BC2876" s="750"/>
      <c r="BD2876" s="750"/>
      <c r="BE2876" s="750"/>
      <c r="BF2876" s="750"/>
      <c r="BG2876" s="750"/>
      <c r="BH2876" s="750"/>
      <c r="BI2876" s="750"/>
      <c r="BJ2876" s="750"/>
      <c r="BK2876" s="750"/>
      <c r="BL2876" s="750"/>
      <c r="BM2876" s="750"/>
      <c r="BN2876" s="750"/>
      <c r="BO2876" s="750"/>
      <c r="BP2876" s="750"/>
      <c r="BQ2876" s="750"/>
    </row>
    <row r="2877" spans="3:69">
      <c r="C2877" s="853"/>
      <c r="D2877" s="853"/>
      <c r="E2877" s="853"/>
      <c r="F2877" s="853"/>
      <c r="G2877" s="853"/>
      <c r="H2877" s="853"/>
      <c r="I2877" s="848"/>
      <c r="J2877" s="848"/>
      <c r="K2877" s="1295"/>
      <c r="L2877" s="1295"/>
      <c r="M2877" s="1295"/>
      <c r="N2877" s="1295"/>
      <c r="O2877" s="1295"/>
      <c r="P2877" s="853"/>
      <c r="Q2877" s="1295"/>
      <c r="R2877" s="848"/>
      <c r="S2877" s="848"/>
      <c r="T2877" s="848"/>
      <c r="U2877" s="848"/>
      <c r="V2877" s="1296"/>
      <c r="W2877" s="848"/>
      <c r="X2877" s="848"/>
      <c r="Y2877" s="1295"/>
      <c r="Z2877" s="1296"/>
      <c r="AA2877" s="1295"/>
      <c r="AB2877" s="1296"/>
      <c r="AC2877" s="1295"/>
      <c r="AD2877" s="1295"/>
      <c r="AE2877" s="2556"/>
      <c r="AF2877" s="750"/>
      <c r="AG2877" s="750"/>
      <c r="AH2877" s="750"/>
      <c r="AI2877" s="750"/>
      <c r="AJ2877" s="750"/>
      <c r="AK2877" s="750"/>
      <c r="AL2877" s="750"/>
      <c r="AM2877" s="750"/>
      <c r="AN2877" s="750"/>
      <c r="AO2877" s="750"/>
      <c r="AP2877" s="750"/>
      <c r="AQ2877" s="750"/>
      <c r="AR2877" s="750"/>
      <c r="AS2877" s="750"/>
      <c r="AT2877" s="750"/>
      <c r="AU2877" s="750"/>
      <c r="AV2877" s="750"/>
      <c r="AW2877" s="750"/>
      <c r="AX2877" s="750"/>
      <c r="AY2877" s="750"/>
      <c r="AZ2877" s="750"/>
      <c r="BA2877" s="750"/>
      <c r="BB2877" s="750"/>
      <c r="BC2877" s="750"/>
      <c r="BD2877" s="750"/>
      <c r="BE2877" s="750"/>
      <c r="BF2877" s="750"/>
      <c r="BG2877" s="750"/>
      <c r="BH2877" s="750"/>
      <c r="BI2877" s="750"/>
      <c r="BJ2877" s="750"/>
      <c r="BK2877" s="750"/>
      <c r="BL2877" s="750"/>
      <c r="BM2877" s="750"/>
      <c r="BN2877" s="750"/>
      <c r="BO2877" s="750"/>
      <c r="BP2877" s="750"/>
      <c r="BQ2877" s="750"/>
    </row>
    <row r="2878" spans="3:69">
      <c r="C2878" s="853"/>
      <c r="D2878" s="853"/>
      <c r="E2878" s="853"/>
      <c r="F2878" s="853"/>
      <c r="G2878" s="853"/>
      <c r="H2878" s="853"/>
      <c r="I2878" s="848"/>
      <c r="J2878" s="848"/>
      <c r="K2878" s="1295"/>
      <c r="L2878" s="1295"/>
      <c r="M2878" s="1295"/>
      <c r="N2878" s="1295"/>
      <c r="O2878" s="1295"/>
      <c r="P2878" s="853"/>
      <c r="Q2878" s="1295"/>
      <c r="R2878" s="848"/>
      <c r="S2878" s="848"/>
      <c r="T2878" s="848"/>
      <c r="U2878" s="848"/>
      <c r="V2878" s="1296"/>
      <c r="W2878" s="848"/>
      <c r="X2878" s="848"/>
      <c r="Y2878" s="1295"/>
      <c r="Z2878" s="1296"/>
      <c r="AA2878" s="1295"/>
      <c r="AB2878" s="1296"/>
      <c r="AC2878" s="1295"/>
      <c r="AD2878" s="1295"/>
      <c r="AE2878" s="2556"/>
      <c r="AF2878" s="750"/>
      <c r="AG2878" s="750"/>
      <c r="AH2878" s="750"/>
      <c r="AI2878" s="750"/>
      <c r="AJ2878" s="750"/>
      <c r="AK2878" s="750"/>
      <c r="AL2878" s="750"/>
      <c r="AM2878" s="750"/>
      <c r="AN2878" s="750"/>
      <c r="AO2878" s="750"/>
      <c r="AP2878" s="750"/>
      <c r="AQ2878" s="750"/>
      <c r="AR2878" s="750"/>
      <c r="AS2878" s="750"/>
      <c r="AT2878" s="750"/>
      <c r="AU2878" s="750"/>
      <c r="AV2878" s="750"/>
      <c r="AW2878" s="750"/>
      <c r="AX2878" s="750"/>
      <c r="AY2878" s="750"/>
      <c r="AZ2878" s="750"/>
      <c r="BA2878" s="750"/>
      <c r="BB2878" s="750"/>
      <c r="BC2878" s="750"/>
      <c r="BD2878" s="750"/>
      <c r="BE2878" s="750"/>
      <c r="BF2878" s="750"/>
      <c r="BG2878" s="750"/>
      <c r="BH2878" s="750"/>
      <c r="BI2878" s="750"/>
      <c r="BJ2878" s="750"/>
      <c r="BK2878" s="750"/>
      <c r="BL2878" s="750"/>
      <c r="BM2878" s="750"/>
      <c r="BN2878" s="750"/>
      <c r="BO2878" s="750"/>
      <c r="BP2878" s="750"/>
      <c r="BQ2878" s="750"/>
    </row>
    <row r="2879" spans="3:69">
      <c r="C2879" s="853"/>
      <c r="D2879" s="853"/>
      <c r="E2879" s="853"/>
      <c r="F2879" s="853"/>
      <c r="G2879" s="853"/>
      <c r="H2879" s="853"/>
      <c r="I2879" s="848"/>
      <c r="J2879" s="848"/>
      <c r="K2879" s="1295"/>
      <c r="L2879" s="1295"/>
      <c r="M2879" s="1295"/>
      <c r="N2879" s="1295"/>
      <c r="O2879" s="1295"/>
      <c r="P2879" s="853"/>
      <c r="Q2879" s="1295"/>
      <c r="R2879" s="848"/>
      <c r="S2879" s="848"/>
      <c r="T2879" s="848"/>
      <c r="U2879" s="848"/>
      <c r="V2879" s="1296"/>
      <c r="W2879" s="848"/>
      <c r="X2879" s="848"/>
      <c r="Y2879" s="1295"/>
      <c r="Z2879" s="1296"/>
      <c r="AA2879" s="1295"/>
      <c r="AB2879" s="1296"/>
      <c r="AC2879" s="1295"/>
      <c r="AD2879" s="1295"/>
      <c r="AE2879" s="2556"/>
      <c r="AF2879" s="750"/>
      <c r="AG2879" s="750"/>
      <c r="AH2879" s="750"/>
      <c r="AI2879" s="750"/>
      <c r="AJ2879" s="750"/>
      <c r="AK2879" s="750"/>
      <c r="AL2879" s="750"/>
      <c r="AM2879" s="750"/>
      <c r="AN2879" s="750"/>
      <c r="AO2879" s="750"/>
      <c r="AP2879" s="750"/>
      <c r="AQ2879" s="750"/>
      <c r="AR2879" s="750"/>
      <c r="AS2879" s="750"/>
      <c r="AT2879" s="750"/>
      <c r="AU2879" s="750"/>
      <c r="AV2879" s="750"/>
      <c r="AW2879" s="750"/>
      <c r="AX2879" s="750"/>
      <c r="AY2879" s="750"/>
      <c r="AZ2879" s="750"/>
      <c r="BA2879" s="750"/>
      <c r="BB2879" s="750"/>
      <c r="BC2879" s="750"/>
      <c r="BD2879" s="750"/>
      <c r="BE2879" s="750"/>
      <c r="BF2879" s="750"/>
      <c r="BG2879" s="750"/>
      <c r="BH2879" s="750"/>
      <c r="BI2879" s="750"/>
      <c r="BJ2879" s="750"/>
      <c r="BK2879" s="750"/>
      <c r="BL2879" s="750"/>
      <c r="BM2879" s="750"/>
      <c r="BN2879" s="750"/>
      <c r="BO2879" s="750"/>
      <c r="BP2879" s="750"/>
      <c r="BQ2879" s="750"/>
    </row>
    <row r="2880" spans="3:69">
      <c r="C2880" s="853"/>
      <c r="D2880" s="853"/>
      <c r="E2880" s="853"/>
      <c r="F2880" s="853"/>
      <c r="G2880" s="853"/>
      <c r="H2880" s="853"/>
      <c r="I2880" s="848"/>
      <c r="J2880" s="848"/>
      <c r="K2880" s="1295"/>
      <c r="L2880" s="1295"/>
      <c r="M2880" s="1295"/>
      <c r="N2880" s="1295"/>
      <c r="O2880" s="1295"/>
      <c r="P2880" s="853"/>
      <c r="Q2880" s="1295"/>
      <c r="R2880" s="848"/>
      <c r="S2880" s="848"/>
      <c r="T2880" s="848"/>
      <c r="U2880" s="848"/>
      <c r="V2880" s="1296"/>
      <c r="W2880" s="848"/>
      <c r="X2880" s="848"/>
      <c r="Y2880" s="1295"/>
      <c r="Z2880" s="1296"/>
      <c r="AA2880" s="1295"/>
      <c r="AB2880" s="1296"/>
      <c r="AC2880" s="1295"/>
      <c r="AD2880" s="1295"/>
      <c r="AE2880" s="2556"/>
      <c r="AF2880" s="750"/>
      <c r="AG2880" s="750"/>
      <c r="AH2880" s="750"/>
      <c r="AI2880" s="750"/>
      <c r="AJ2880" s="750"/>
      <c r="AK2880" s="750"/>
      <c r="AL2880" s="750"/>
      <c r="AM2880" s="750"/>
      <c r="AN2880" s="750"/>
      <c r="AO2880" s="750"/>
      <c r="AP2880" s="750"/>
      <c r="AQ2880" s="750"/>
      <c r="AR2880" s="750"/>
      <c r="AS2880" s="750"/>
      <c r="AT2880" s="750"/>
      <c r="AU2880" s="750"/>
      <c r="AV2880" s="750"/>
      <c r="AW2880" s="750"/>
      <c r="AX2880" s="750"/>
      <c r="AY2880" s="750"/>
      <c r="AZ2880" s="750"/>
      <c r="BA2880" s="750"/>
      <c r="BB2880" s="750"/>
      <c r="BC2880" s="750"/>
      <c r="BD2880" s="750"/>
      <c r="BE2880" s="750"/>
      <c r="BF2880" s="750"/>
      <c r="BG2880" s="750"/>
      <c r="BH2880" s="750"/>
      <c r="BI2880" s="750"/>
      <c r="BJ2880" s="750"/>
      <c r="BK2880" s="750"/>
      <c r="BL2880" s="750"/>
      <c r="BM2880" s="750"/>
      <c r="BN2880" s="750"/>
      <c r="BO2880" s="750"/>
      <c r="BP2880" s="750"/>
      <c r="BQ2880" s="750"/>
    </row>
    <row r="2881" spans="3:69">
      <c r="C2881" s="853"/>
      <c r="D2881" s="853"/>
      <c r="E2881" s="853"/>
      <c r="F2881" s="853"/>
      <c r="G2881" s="853"/>
      <c r="H2881" s="853"/>
      <c r="I2881" s="848"/>
      <c r="J2881" s="848"/>
      <c r="K2881" s="1295"/>
      <c r="L2881" s="1295"/>
      <c r="M2881" s="1295"/>
      <c r="N2881" s="1295"/>
      <c r="O2881" s="1295"/>
      <c r="P2881" s="853"/>
      <c r="Q2881" s="1295"/>
      <c r="R2881" s="848"/>
      <c r="S2881" s="848"/>
      <c r="T2881" s="848"/>
      <c r="U2881" s="848"/>
      <c r="V2881" s="1296"/>
      <c r="W2881" s="848"/>
      <c r="X2881" s="848"/>
      <c r="Y2881" s="1295"/>
      <c r="Z2881" s="1296"/>
      <c r="AA2881" s="1295"/>
      <c r="AB2881" s="1296"/>
      <c r="AC2881" s="1295"/>
      <c r="AD2881" s="1295"/>
      <c r="AE2881" s="2556"/>
      <c r="AF2881" s="750"/>
      <c r="AG2881" s="750"/>
      <c r="AH2881" s="750"/>
      <c r="AI2881" s="750"/>
      <c r="AJ2881" s="750"/>
      <c r="AK2881" s="750"/>
      <c r="AL2881" s="750"/>
      <c r="AM2881" s="750"/>
      <c r="AN2881" s="750"/>
      <c r="AO2881" s="750"/>
      <c r="AP2881" s="750"/>
      <c r="AQ2881" s="750"/>
      <c r="AR2881" s="750"/>
      <c r="AS2881" s="750"/>
      <c r="AT2881" s="750"/>
      <c r="AU2881" s="750"/>
      <c r="AV2881" s="750"/>
      <c r="AW2881" s="750"/>
      <c r="AX2881" s="750"/>
      <c r="AY2881" s="750"/>
      <c r="AZ2881" s="750"/>
      <c r="BA2881" s="750"/>
      <c r="BB2881" s="750"/>
      <c r="BC2881" s="750"/>
      <c r="BD2881" s="750"/>
      <c r="BE2881" s="750"/>
      <c r="BF2881" s="750"/>
      <c r="BG2881" s="750"/>
      <c r="BH2881" s="750"/>
      <c r="BI2881" s="750"/>
      <c r="BJ2881" s="750"/>
      <c r="BK2881" s="750"/>
      <c r="BL2881" s="750"/>
      <c r="BM2881" s="750"/>
      <c r="BN2881" s="750"/>
      <c r="BO2881" s="750"/>
      <c r="BP2881" s="750"/>
      <c r="BQ2881" s="750"/>
    </row>
    <row r="2882" spans="3:69">
      <c r="C2882" s="853"/>
      <c r="D2882" s="853"/>
      <c r="E2882" s="853"/>
      <c r="F2882" s="853"/>
      <c r="G2882" s="853"/>
      <c r="H2882" s="853"/>
      <c r="I2882" s="848"/>
      <c r="J2882" s="848"/>
      <c r="K2882" s="1295"/>
      <c r="L2882" s="1295"/>
      <c r="M2882" s="1295"/>
      <c r="N2882" s="1295"/>
      <c r="O2882" s="1295"/>
      <c r="P2882" s="853"/>
      <c r="Q2882" s="1295"/>
      <c r="R2882" s="848"/>
      <c r="S2882" s="848"/>
      <c r="T2882" s="848"/>
      <c r="U2882" s="848"/>
      <c r="V2882" s="1296"/>
      <c r="W2882" s="848"/>
      <c r="X2882" s="848"/>
      <c r="Y2882" s="1295"/>
      <c r="Z2882" s="1296"/>
      <c r="AA2882" s="1295"/>
      <c r="AB2882" s="1296"/>
      <c r="AC2882" s="1295"/>
      <c r="AD2882" s="1295"/>
      <c r="AE2882" s="2556"/>
      <c r="AF2882" s="750"/>
      <c r="AG2882" s="750"/>
      <c r="AH2882" s="750"/>
      <c r="AI2882" s="750"/>
      <c r="AJ2882" s="750"/>
      <c r="AK2882" s="750"/>
      <c r="AL2882" s="750"/>
      <c r="AM2882" s="750"/>
      <c r="AN2882" s="750"/>
      <c r="AO2882" s="750"/>
      <c r="AP2882" s="750"/>
      <c r="AQ2882" s="750"/>
      <c r="AR2882" s="750"/>
      <c r="AS2882" s="750"/>
      <c r="AT2882" s="750"/>
      <c r="AU2882" s="750"/>
      <c r="AV2882" s="750"/>
      <c r="AW2882" s="750"/>
      <c r="AX2882" s="750"/>
      <c r="AY2882" s="750"/>
      <c r="AZ2882" s="750"/>
      <c r="BA2882" s="750"/>
      <c r="BB2882" s="750"/>
      <c r="BC2882" s="750"/>
      <c r="BD2882" s="750"/>
      <c r="BE2882" s="750"/>
      <c r="BF2882" s="750"/>
      <c r="BG2882" s="750"/>
      <c r="BH2882" s="750"/>
      <c r="BI2882" s="750"/>
      <c r="BJ2882" s="750"/>
      <c r="BK2882" s="750"/>
      <c r="BL2882" s="750"/>
      <c r="BM2882" s="750"/>
      <c r="BN2882" s="750"/>
      <c r="BO2882" s="750"/>
      <c r="BP2882" s="750"/>
      <c r="BQ2882" s="750"/>
    </row>
    <row r="2883" spans="3:69">
      <c r="C2883" s="853"/>
      <c r="D2883" s="853"/>
      <c r="E2883" s="853"/>
      <c r="F2883" s="853"/>
      <c r="G2883" s="853"/>
      <c r="H2883" s="853"/>
      <c r="I2883" s="848"/>
      <c r="J2883" s="848"/>
      <c r="K2883" s="1295"/>
      <c r="L2883" s="1295"/>
      <c r="M2883" s="1295"/>
      <c r="N2883" s="1295"/>
      <c r="O2883" s="1295"/>
      <c r="P2883" s="853"/>
      <c r="Q2883" s="1295"/>
      <c r="R2883" s="848"/>
      <c r="S2883" s="848"/>
      <c r="T2883" s="848"/>
      <c r="U2883" s="848"/>
      <c r="V2883" s="1296"/>
      <c r="W2883" s="848"/>
      <c r="X2883" s="848"/>
      <c r="Y2883" s="1295"/>
      <c r="Z2883" s="1296"/>
      <c r="AA2883" s="1295"/>
      <c r="AB2883" s="1296"/>
      <c r="AC2883" s="1295"/>
      <c r="AD2883" s="1295"/>
      <c r="AE2883" s="2556"/>
      <c r="AF2883" s="750"/>
      <c r="AG2883" s="750"/>
      <c r="AH2883" s="750"/>
      <c r="AI2883" s="750"/>
      <c r="AJ2883" s="750"/>
      <c r="AK2883" s="750"/>
      <c r="AL2883" s="750"/>
      <c r="AM2883" s="750"/>
      <c r="AN2883" s="750"/>
      <c r="AO2883" s="750"/>
      <c r="AP2883" s="750"/>
      <c r="AQ2883" s="750"/>
      <c r="AR2883" s="750"/>
      <c r="AS2883" s="750"/>
      <c r="AT2883" s="750"/>
      <c r="AU2883" s="750"/>
      <c r="AV2883" s="750"/>
      <c r="AW2883" s="750"/>
      <c r="AX2883" s="750"/>
      <c r="AY2883" s="750"/>
      <c r="AZ2883" s="750"/>
      <c r="BA2883" s="750"/>
      <c r="BB2883" s="750"/>
      <c r="BC2883" s="750"/>
      <c r="BD2883" s="750"/>
      <c r="BE2883" s="750"/>
      <c r="BF2883" s="750"/>
      <c r="BG2883" s="750"/>
      <c r="BH2883" s="750"/>
      <c r="BI2883" s="750"/>
      <c r="BJ2883" s="750"/>
      <c r="BK2883" s="750"/>
      <c r="BL2883" s="750"/>
      <c r="BM2883" s="750"/>
      <c r="BN2883" s="750"/>
      <c r="BO2883" s="750"/>
      <c r="BP2883" s="750"/>
      <c r="BQ2883" s="750"/>
    </row>
    <row r="2884" spans="3:69">
      <c r="C2884" s="853"/>
      <c r="D2884" s="853"/>
      <c r="E2884" s="853"/>
      <c r="F2884" s="853"/>
      <c r="G2884" s="853"/>
      <c r="H2884" s="853"/>
      <c r="I2884" s="848"/>
      <c r="J2884" s="848"/>
      <c r="K2884" s="1295"/>
      <c r="L2884" s="1295"/>
      <c r="M2884" s="1295"/>
      <c r="N2884" s="1295"/>
      <c r="O2884" s="1295"/>
      <c r="P2884" s="853"/>
      <c r="Q2884" s="1295"/>
      <c r="R2884" s="848"/>
      <c r="S2884" s="848"/>
      <c r="T2884" s="848"/>
      <c r="U2884" s="848"/>
      <c r="V2884" s="1296"/>
      <c r="W2884" s="848"/>
      <c r="X2884" s="848"/>
      <c r="Y2884" s="1295"/>
      <c r="Z2884" s="1296"/>
      <c r="AA2884" s="1295"/>
      <c r="AB2884" s="1296"/>
      <c r="AC2884" s="1295"/>
      <c r="AD2884" s="1295"/>
      <c r="AE2884" s="2556"/>
      <c r="AF2884" s="750"/>
      <c r="AG2884" s="750"/>
      <c r="AH2884" s="750"/>
      <c r="AI2884" s="750"/>
      <c r="AJ2884" s="750"/>
      <c r="AK2884" s="750"/>
      <c r="AL2884" s="750"/>
      <c r="AM2884" s="750"/>
      <c r="AN2884" s="750"/>
      <c r="AO2884" s="750"/>
      <c r="AP2884" s="750"/>
      <c r="AQ2884" s="750"/>
      <c r="AR2884" s="750"/>
      <c r="AS2884" s="750"/>
      <c r="AT2884" s="750"/>
      <c r="AU2884" s="750"/>
      <c r="AV2884" s="750"/>
      <c r="AW2884" s="750"/>
      <c r="AX2884" s="750"/>
      <c r="AY2884" s="750"/>
      <c r="AZ2884" s="750"/>
      <c r="BA2884" s="750"/>
      <c r="BB2884" s="750"/>
      <c r="BC2884" s="750"/>
      <c r="BD2884" s="750"/>
      <c r="BE2884" s="750"/>
      <c r="BF2884" s="750"/>
      <c r="BG2884" s="750"/>
      <c r="BH2884" s="750"/>
      <c r="BI2884" s="750"/>
      <c r="BJ2884" s="750"/>
      <c r="BK2884" s="750"/>
      <c r="BL2884" s="750"/>
      <c r="BM2884" s="750"/>
      <c r="BN2884" s="750"/>
      <c r="BO2884" s="750"/>
      <c r="BP2884" s="750"/>
      <c r="BQ2884" s="750"/>
    </row>
    <row r="2885" spans="3:69">
      <c r="C2885" s="853"/>
      <c r="D2885" s="853"/>
      <c r="E2885" s="853"/>
      <c r="F2885" s="853"/>
      <c r="G2885" s="853"/>
      <c r="H2885" s="853"/>
      <c r="I2885" s="848"/>
      <c r="J2885" s="848"/>
      <c r="K2885" s="1295"/>
      <c r="L2885" s="1295"/>
      <c r="M2885" s="1295"/>
      <c r="N2885" s="1295"/>
      <c r="O2885" s="1295"/>
      <c r="P2885" s="853"/>
      <c r="Q2885" s="1295"/>
      <c r="R2885" s="848"/>
      <c r="S2885" s="848"/>
      <c r="T2885" s="848"/>
      <c r="U2885" s="848"/>
      <c r="V2885" s="1296"/>
      <c r="W2885" s="848"/>
      <c r="X2885" s="848"/>
      <c r="Y2885" s="1295"/>
      <c r="Z2885" s="1296"/>
      <c r="AA2885" s="1295"/>
      <c r="AB2885" s="1296"/>
      <c r="AC2885" s="1295"/>
      <c r="AD2885" s="1295"/>
      <c r="AE2885" s="2556"/>
      <c r="AF2885" s="750"/>
      <c r="AG2885" s="750"/>
      <c r="AH2885" s="750"/>
      <c r="AI2885" s="750"/>
      <c r="AJ2885" s="750"/>
      <c r="AK2885" s="750"/>
      <c r="AL2885" s="750"/>
      <c r="AM2885" s="750"/>
      <c r="AN2885" s="750"/>
      <c r="AO2885" s="750"/>
      <c r="AP2885" s="750"/>
      <c r="AQ2885" s="750"/>
      <c r="AR2885" s="750"/>
      <c r="AS2885" s="750"/>
      <c r="AT2885" s="750"/>
      <c r="AU2885" s="750"/>
      <c r="AV2885" s="750"/>
      <c r="AW2885" s="750"/>
      <c r="AX2885" s="750"/>
      <c r="AY2885" s="750"/>
      <c r="AZ2885" s="750"/>
      <c r="BA2885" s="750"/>
      <c r="BB2885" s="750"/>
      <c r="BC2885" s="750"/>
      <c r="BD2885" s="750"/>
      <c r="BE2885" s="750"/>
      <c r="BF2885" s="750"/>
      <c r="BG2885" s="750"/>
      <c r="BH2885" s="750"/>
      <c r="BI2885" s="750"/>
      <c r="BJ2885" s="750"/>
      <c r="BK2885" s="750"/>
      <c r="BL2885" s="750"/>
      <c r="BM2885" s="750"/>
      <c r="BN2885" s="750"/>
      <c r="BO2885" s="750"/>
      <c r="BP2885" s="750"/>
      <c r="BQ2885" s="750"/>
    </row>
    <row r="2886" spans="3:69">
      <c r="C2886" s="853"/>
      <c r="D2886" s="853"/>
      <c r="E2886" s="853"/>
      <c r="F2886" s="853"/>
      <c r="G2886" s="853"/>
      <c r="H2886" s="853"/>
      <c r="I2886" s="848"/>
      <c r="J2886" s="848"/>
      <c r="K2886" s="1295"/>
      <c r="L2886" s="1295"/>
      <c r="M2886" s="1295"/>
      <c r="N2886" s="1295"/>
      <c r="O2886" s="1295"/>
      <c r="P2886" s="853"/>
      <c r="Q2886" s="1295"/>
      <c r="R2886" s="848"/>
      <c r="S2886" s="848"/>
      <c r="T2886" s="848"/>
      <c r="U2886" s="848"/>
      <c r="V2886" s="1296"/>
      <c r="W2886" s="848"/>
      <c r="X2886" s="848"/>
      <c r="Y2886" s="1295"/>
      <c r="Z2886" s="1296"/>
      <c r="AA2886" s="1295"/>
      <c r="AB2886" s="1296"/>
      <c r="AC2886" s="1295"/>
      <c r="AD2886" s="1295"/>
      <c r="AE2886" s="2556"/>
      <c r="AF2886" s="750"/>
      <c r="AG2886" s="750"/>
      <c r="AH2886" s="750"/>
      <c r="AI2886" s="750"/>
      <c r="AJ2886" s="750"/>
      <c r="AK2886" s="750"/>
      <c r="AL2886" s="750"/>
      <c r="AM2886" s="750"/>
      <c r="AN2886" s="750"/>
      <c r="AO2886" s="750"/>
      <c r="AP2886" s="750"/>
      <c r="AQ2886" s="750"/>
      <c r="AR2886" s="750"/>
      <c r="AS2886" s="750"/>
      <c r="AT2886" s="750"/>
      <c r="AU2886" s="750"/>
      <c r="AV2886" s="750"/>
      <c r="AW2886" s="750"/>
      <c r="AX2886" s="750"/>
      <c r="AY2886" s="750"/>
      <c r="AZ2886" s="750"/>
      <c r="BA2886" s="750"/>
      <c r="BB2886" s="750"/>
      <c r="BC2886" s="750"/>
      <c r="BD2886" s="750"/>
      <c r="BE2886" s="750"/>
      <c r="BF2886" s="750"/>
      <c r="BG2886" s="750"/>
      <c r="BH2886" s="750"/>
      <c r="BI2886" s="750"/>
      <c r="BJ2886" s="750"/>
      <c r="BK2886" s="750"/>
      <c r="BL2886" s="750"/>
      <c r="BM2886" s="750"/>
      <c r="BN2886" s="750"/>
      <c r="BO2886" s="750"/>
      <c r="BP2886" s="750"/>
      <c r="BQ2886" s="750"/>
    </row>
    <row r="2887" spans="3:69">
      <c r="C2887" s="853"/>
      <c r="D2887" s="853"/>
      <c r="E2887" s="853"/>
      <c r="F2887" s="853"/>
      <c r="G2887" s="853"/>
      <c r="H2887" s="853"/>
      <c r="I2887" s="848"/>
      <c r="J2887" s="848"/>
      <c r="K2887" s="1295"/>
      <c r="L2887" s="1295"/>
      <c r="M2887" s="1295"/>
      <c r="N2887" s="1295"/>
      <c r="O2887" s="1295"/>
      <c r="P2887" s="853"/>
      <c r="Q2887" s="1295"/>
      <c r="R2887" s="848"/>
      <c r="S2887" s="848"/>
      <c r="T2887" s="848"/>
      <c r="U2887" s="848"/>
      <c r="V2887" s="1296"/>
      <c r="W2887" s="848"/>
      <c r="X2887" s="848"/>
      <c r="Y2887" s="1295"/>
      <c r="Z2887" s="1296"/>
      <c r="AA2887" s="1295"/>
      <c r="AB2887" s="1296"/>
      <c r="AC2887" s="1295"/>
      <c r="AD2887" s="1295"/>
      <c r="AE2887" s="2556"/>
      <c r="AF2887" s="750"/>
      <c r="AG2887" s="750"/>
      <c r="AH2887" s="750"/>
      <c r="AI2887" s="750"/>
      <c r="AJ2887" s="750"/>
      <c r="AK2887" s="750"/>
      <c r="AL2887" s="750"/>
      <c r="AM2887" s="750"/>
      <c r="AN2887" s="750"/>
      <c r="AO2887" s="750"/>
      <c r="AP2887" s="750"/>
      <c r="AQ2887" s="750"/>
      <c r="AR2887" s="750"/>
      <c r="AS2887" s="750"/>
      <c r="AT2887" s="750"/>
      <c r="AU2887" s="750"/>
      <c r="AV2887" s="750"/>
      <c r="AW2887" s="750"/>
      <c r="AX2887" s="750"/>
      <c r="AY2887" s="750"/>
      <c r="AZ2887" s="750"/>
      <c r="BA2887" s="750"/>
      <c r="BB2887" s="750"/>
      <c r="BC2887" s="750"/>
      <c r="BD2887" s="750"/>
      <c r="BE2887" s="750"/>
      <c r="BF2887" s="750"/>
      <c r="BG2887" s="750"/>
      <c r="BH2887" s="750"/>
      <c r="BI2887" s="750"/>
      <c r="BJ2887" s="750"/>
      <c r="BK2887" s="750"/>
      <c r="BL2887" s="750"/>
      <c r="BM2887" s="750"/>
      <c r="BN2887" s="750"/>
      <c r="BO2887" s="750"/>
      <c r="BP2887" s="750"/>
      <c r="BQ2887" s="750"/>
    </row>
    <row r="2888" spans="3:69">
      <c r="C2888" s="853"/>
      <c r="D2888" s="853"/>
      <c r="E2888" s="853"/>
      <c r="F2888" s="853"/>
      <c r="G2888" s="853"/>
      <c r="H2888" s="853"/>
      <c r="I2888" s="848"/>
      <c r="J2888" s="848"/>
      <c r="K2888" s="1295"/>
      <c r="L2888" s="1295"/>
      <c r="M2888" s="1295"/>
      <c r="N2888" s="1295"/>
      <c r="O2888" s="1295"/>
      <c r="P2888" s="853"/>
      <c r="Q2888" s="1295"/>
      <c r="R2888" s="848"/>
      <c r="S2888" s="848"/>
      <c r="T2888" s="848"/>
      <c r="U2888" s="848"/>
      <c r="V2888" s="1296"/>
      <c r="W2888" s="848"/>
      <c r="X2888" s="848"/>
      <c r="Y2888" s="1295"/>
      <c r="Z2888" s="1296"/>
      <c r="AA2888" s="1295"/>
      <c r="AB2888" s="1296"/>
      <c r="AC2888" s="1295"/>
      <c r="AD2888" s="1295"/>
      <c r="AE2888" s="2556"/>
      <c r="AF2888" s="750"/>
      <c r="AG2888" s="750"/>
      <c r="AH2888" s="750"/>
      <c r="AI2888" s="750"/>
      <c r="AJ2888" s="750"/>
      <c r="AK2888" s="750"/>
      <c r="AL2888" s="750"/>
      <c r="AM2888" s="750"/>
      <c r="AN2888" s="750"/>
      <c r="AO2888" s="750"/>
      <c r="AP2888" s="750"/>
      <c r="AQ2888" s="750"/>
      <c r="AR2888" s="750"/>
      <c r="AS2888" s="750"/>
      <c r="AT2888" s="750"/>
      <c r="AU2888" s="750"/>
      <c r="AV2888" s="750"/>
      <c r="AW2888" s="750"/>
      <c r="AX2888" s="750"/>
      <c r="AY2888" s="750"/>
      <c r="AZ2888" s="750"/>
      <c r="BA2888" s="750"/>
      <c r="BB2888" s="750"/>
      <c r="BC2888" s="750"/>
      <c r="BD2888" s="750"/>
      <c r="BE2888" s="750"/>
      <c r="BF2888" s="750"/>
      <c r="BG2888" s="750"/>
      <c r="BH2888" s="750"/>
      <c r="BI2888" s="750"/>
      <c r="BJ2888" s="750"/>
      <c r="BK2888" s="750"/>
      <c r="BL2888" s="750"/>
      <c r="BM2888" s="750"/>
      <c r="BN2888" s="750"/>
      <c r="BO2888" s="750"/>
      <c r="BP2888" s="750"/>
      <c r="BQ2888" s="750"/>
    </row>
    <row r="2889" spans="3:69">
      <c r="C2889" s="853"/>
      <c r="D2889" s="853"/>
      <c r="E2889" s="853"/>
      <c r="F2889" s="853"/>
      <c r="G2889" s="853"/>
      <c r="H2889" s="853"/>
      <c r="I2889" s="848"/>
      <c r="J2889" s="848"/>
      <c r="K2889" s="1295"/>
      <c r="L2889" s="1295"/>
      <c r="M2889" s="1295"/>
      <c r="N2889" s="1295"/>
      <c r="O2889" s="1295"/>
      <c r="P2889" s="853"/>
      <c r="Q2889" s="1295"/>
      <c r="R2889" s="848"/>
      <c r="S2889" s="848"/>
      <c r="T2889" s="848"/>
      <c r="U2889" s="848"/>
      <c r="V2889" s="1296"/>
      <c r="W2889" s="848"/>
      <c r="X2889" s="848"/>
      <c r="Y2889" s="1295"/>
      <c r="Z2889" s="1296"/>
      <c r="AA2889" s="1295"/>
      <c r="AB2889" s="1296"/>
      <c r="AC2889" s="1295"/>
      <c r="AD2889" s="1295"/>
      <c r="AE2889" s="2556"/>
      <c r="AF2889" s="750"/>
      <c r="AG2889" s="750"/>
      <c r="AH2889" s="750"/>
      <c r="AI2889" s="750"/>
      <c r="AJ2889" s="750"/>
      <c r="AK2889" s="750"/>
      <c r="AL2889" s="750"/>
      <c r="AM2889" s="750"/>
      <c r="AN2889" s="750"/>
      <c r="AO2889" s="750"/>
      <c r="AP2889" s="750"/>
      <c r="AQ2889" s="750"/>
      <c r="AR2889" s="750"/>
      <c r="AS2889" s="750"/>
      <c r="AT2889" s="750"/>
      <c r="AU2889" s="750"/>
      <c r="AV2889" s="750"/>
      <c r="AW2889" s="750"/>
      <c r="AX2889" s="750"/>
      <c r="AY2889" s="750"/>
      <c r="AZ2889" s="750"/>
      <c r="BA2889" s="750"/>
      <c r="BB2889" s="750"/>
      <c r="BC2889" s="750"/>
      <c r="BD2889" s="750"/>
      <c r="BE2889" s="750"/>
      <c r="BF2889" s="750"/>
      <c r="BG2889" s="750"/>
      <c r="BH2889" s="750"/>
      <c r="BI2889" s="750"/>
      <c r="BJ2889" s="750"/>
      <c r="BK2889" s="750"/>
      <c r="BL2889" s="750"/>
      <c r="BM2889" s="750"/>
      <c r="BN2889" s="750"/>
      <c r="BO2889" s="750"/>
      <c r="BP2889" s="750"/>
      <c r="BQ2889" s="750"/>
    </row>
    <row r="2890" spans="3:69">
      <c r="C2890" s="853"/>
      <c r="D2890" s="853"/>
      <c r="E2890" s="853"/>
      <c r="F2890" s="853"/>
      <c r="G2890" s="853"/>
      <c r="H2890" s="853"/>
      <c r="I2890" s="848"/>
      <c r="J2890" s="848"/>
      <c r="K2890" s="1295"/>
      <c r="L2890" s="1295"/>
      <c r="M2890" s="1295"/>
      <c r="N2890" s="1295"/>
      <c r="O2890" s="1295"/>
      <c r="P2890" s="853"/>
      <c r="Q2890" s="1295"/>
      <c r="R2890" s="848"/>
      <c r="S2890" s="848"/>
      <c r="T2890" s="848"/>
      <c r="U2890" s="848"/>
      <c r="V2890" s="1296"/>
      <c r="W2890" s="848"/>
      <c r="X2890" s="848"/>
      <c r="Y2890" s="1295"/>
      <c r="Z2890" s="1296"/>
      <c r="AA2890" s="1295"/>
      <c r="AB2890" s="1296"/>
      <c r="AC2890" s="1295"/>
      <c r="AD2890" s="1295"/>
      <c r="AE2890" s="2556"/>
      <c r="AF2890" s="750"/>
      <c r="AG2890" s="750"/>
      <c r="AH2890" s="750"/>
      <c r="AI2890" s="750"/>
      <c r="AJ2890" s="750"/>
      <c r="AK2890" s="750"/>
      <c r="AL2890" s="750"/>
      <c r="AM2890" s="750"/>
      <c r="AN2890" s="750"/>
      <c r="AO2890" s="750"/>
      <c r="AP2890" s="750"/>
      <c r="AQ2890" s="750"/>
      <c r="AR2890" s="750"/>
      <c r="AS2890" s="750"/>
      <c r="AT2890" s="750"/>
      <c r="AU2890" s="750"/>
      <c r="AV2890" s="750"/>
      <c r="AW2890" s="750"/>
      <c r="AX2890" s="750"/>
      <c r="AY2890" s="750"/>
      <c r="AZ2890" s="750"/>
      <c r="BA2890" s="750"/>
      <c r="BB2890" s="750"/>
      <c r="BC2890" s="750"/>
      <c r="BD2890" s="750"/>
      <c r="BE2890" s="750"/>
      <c r="BF2890" s="750"/>
      <c r="BG2890" s="750"/>
      <c r="BH2890" s="750"/>
      <c r="BI2890" s="750"/>
      <c r="BJ2890" s="750"/>
      <c r="BK2890" s="750"/>
      <c r="BL2890" s="750"/>
      <c r="BM2890" s="750"/>
      <c r="BN2890" s="750"/>
      <c r="BO2890" s="750"/>
      <c r="BP2890" s="750"/>
      <c r="BQ2890" s="750"/>
    </row>
    <row r="2891" spans="3:69">
      <c r="C2891" s="853"/>
      <c r="D2891" s="853"/>
      <c r="E2891" s="853"/>
      <c r="F2891" s="853"/>
      <c r="G2891" s="853"/>
      <c r="H2891" s="853"/>
      <c r="I2891" s="848"/>
      <c r="J2891" s="848"/>
      <c r="K2891" s="1295"/>
      <c r="L2891" s="1295"/>
      <c r="M2891" s="1295"/>
      <c r="N2891" s="1295"/>
      <c r="O2891" s="1295"/>
      <c r="P2891" s="853"/>
      <c r="Q2891" s="1295"/>
      <c r="R2891" s="848"/>
      <c r="S2891" s="848"/>
      <c r="T2891" s="848"/>
      <c r="U2891" s="848"/>
      <c r="V2891" s="1296"/>
      <c r="W2891" s="848"/>
      <c r="X2891" s="848"/>
      <c r="Y2891" s="1295"/>
      <c r="Z2891" s="1296"/>
      <c r="AA2891" s="1295"/>
      <c r="AB2891" s="1296"/>
      <c r="AC2891" s="1295"/>
      <c r="AD2891" s="1295"/>
      <c r="AE2891" s="2556"/>
      <c r="AF2891" s="750"/>
      <c r="AG2891" s="750"/>
      <c r="AH2891" s="750"/>
      <c r="AI2891" s="750"/>
      <c r="AJ2891" s="750"/>
      <c r="AK2891" s="750"/>
      <c r="AL2891" s="750"/>
      <c r="AM2891" s="750"/>
      <c r="AN2891" s="750"/>
      <c r="AO2891" s="750"/>
      <c r="AP2891" s="750"/>
      <c r="AQ2891" s="750"/>
      <c r="AR2891" s="750"/>
      <c r="AS2891" s="750"/>
      <c r="AT2891" s="750"/>
      <c r="AU2891" s="750"/>
      <c r="AV2891" s="750"/>
      <c r="AW2891" s="750"/>
      <c r="AX2891" s="750"/>
      <c r="AY2891" s="750"/>
      <c r="AZ2891" s="750"/>
      <c r="BA2891" s="750"/>
      <c r="BB2891" s="750"/>
      <c r="BC2891" s="750"/>
      <c r="BD2891" s="750"/>
      <c r="BE2891" s="750"/>
      <c r="BF2891" s="750"/>
      <c r="BG2891" s="750"/>
      <c r="BH2891" s="750"/>
      <c r="BI2891" s="750"/>
      <c r="BJ2891" s="750"/>
      <c r="BK2891" s="750"/>
      <c r="BL2891" s="750"/>
      <c r="BM2891" s="750"/>
      <c r="BN2891" s="750"/>
      <c r="BO2891" s="750"/>
      <c r="BP2891" s="750"/>
      <c r="BQ2891" s="750"/>
    </row>
    <row r="2892" spans="3:69">
      <c r="C2892" s="853"/>
      <c r="D2892" s="853"/>
      <c r="E2892" s="853"/>
      <c r="F2892" s="853"/>
      <c r="G2892" s="853"/>
      <c r="H2892" s="853"/>
      <c r="I2892" s="848"/>
      <c r="J2892" s="848"/>
      <c r="K2892" s="1295"/>
      <c r="L2892" s="1295"/>
      <c r="M2892" s="1295"/>
      <c r="N2892" s="1295"/>
      <c r="O2892" s="1295"/>
      <c r="P2892" s="853"/>
      <c r="Q2892" s="1295"/>
      <c r="R2892" s="848"/>
      <c r="S2892" s="848"/>
      <c r="T2892" s="848"/>
      <c r="U2892" s="848"/>
      <c r="V2892" s="1296"/>
      <c r="W2892" s="848"/>
      <c r="X2892" s="848"/>
      <c r="Y2892" s="1295"/>
      <c r="Z2892" s="1296"/>
      <c r="AA2892" s="1295"/>
      <c r="AB2892" s="1296"/>
      <c r="AC2892" s="1295"/>
      <c r="AD2892" s="1295"/>
      <c r="AE2892" s="2556"/>
      <c r="AF2892" s="750"/>
      <c r="AG2892" s="750"/>
      <c r="AH2892" s="750"/>
      <c r="AI2892" s="750"/>
      <c r="AJ2892" s="750"/>
      <c r="AK2892" s="750"/>
      <c r="AL2892" s="750"/>
      <c r="AM2892" s="750"/>
      <c r="AN2892" s="750"/>
      <c r="AO2892" s="750"/>
      <c r="AP2892" s="750"/>
      <c r="AQ2892" s="750"/>
      <c r="AR2892" s="750"/>
      <c r="AS2892" s="750"/>
      <c r="AT2892" s="750"/>
      <c r="AU2892" s="750"/>
      <c r="AV2892" s="750"/>
      <c r="AW2892" s="750"/>
      <c r="AX2892" s="750"/>
      <c r="AY2892" s="750"/>
      <c r="AZ2892" s="750"/>
      <c r="BA2892" s="750"/>
      <c r="BB2892" s="750"/>
      <c r="BC2892" s="750"/>
      <c r="BD2892" s="750"/>
      <c r="BE2892" s="750"/>
      <c r="BF2892" s="750"/>
      <c r="BG2892" s="750"/>
      <c r="BH2892" s="750"/>
      <c r="BI2892" s="750"/>
      <c r="BJ2892" s="750"/>
      <c r="BK2892" s="750"/>
      <c r="BL2892" s="750"/>
      <c r="BM2892" s="750"/>
      <c r="BN2892" s="750"/>
      <c r="BO2892" s="750"/>
      <c r="BP2892" s="750"/>
      <c r="BQ2892" s="750"/>
    </row>
    <row r="2893" spans="3:69">
      <c r="C2893" s="853"/>
      <c r="D2893" s="853"/>
      <c r="E2893" s="853"/>
      <c r="F2893" s="853"/>
      <c r="G2893" s="853"/>
      <c r="H2893" s="853"/>
      <c r="I2893" s="848"/>
      <c r="J2893" s="848"/>
      <c r="K2893" s="1295"/>
      <c r="L2893" s="1295"/>
      <c r="M2893" s="1295"/>
      <c r="N2893" s="1295"/>
      <c r="O2893" s="1295"/>
      <c r="P2893" s="853"/>
      <c r="Q2893" s="1295"/>
      <c r="R2893" s="848"/>
      <c r="S2893" s="848"/>
      <c r="T2893" s="848"/>
      <c r="U2893" s="848"/>
      <c r="V2893" s="1296"/>
      <c r="W2893" s="848"/>
      <c r="X2893" s="848"/>
      <c r="Y2893" s="1295"/>
      <c r="Z2893" s="1296"/>
      <c r="AA2893" s="1295"/>
      <c r="AB2893" s="1296"/>
      <c r="AC2893" s="1295"/>
      <c r="AD2893" s="1295"/>
      <c r="AE2893" s="2556"/>
      <c r="AF2893" s="750"/>
      <c r="AG2893" s="750"/>
      <c r="AH2893" s="750"/>
      <c r="AI2893" s="750"/>
      <c r="AJ2893" s="750"/>
      <c r="AK2893" s="750"/>
      <c r="AL2893" s="750"/>
      <c r="AM2893" s="750"/>
      <c r="AN2893" s="750"/>
      <c r="AO2893" s="750"/>
      <c r="AP2893" s="750"/>
      <c r="AQ2893" s="750"/>
      <c r="AR2893" s="750"/>
      <c r="AS2893" s="750"/>
      <c r="AT2893" s="750"/>
      <c r="AU2893" s="750"/>
      <c r="AV2893" s="750"/>
      <c r="AW2893" s="750"/>
      <c r="AX2893" s="750"/>
      <c r="AY2893" s="750"/>
      <c r="AZ2893" s="750"/>
      <c r="BA2893" s="750"/>
      <c r="BB2893" s="750"/>
      <c r="BC2893" s="750"/>
      <c r="BD2893" s="750"/>
      <c r="BE2893" s="750"/>
      <c r="BF2893" s="750"/>
      <c r="BG2893" s="750"/>
      <c r="BH2893" s="750"/>
      <c r="BI2893" s="750"/>
      <c r="BJ2893" s="750"/>
      <c r="BK2893" s="750"/>
      <c r="BL2893" s="750"/>
      <c r="BM2893" s="750"/>
      <c r="BN2893" s="750"/>
      <c r="BO2893" s="750"/>
      <c r="BP2893" s="750"/>
      <c r="BQ2893" s="750"/>
    </row>
    <row r="2894" spans="3:69">
      <c r="C2894" s="853"/>
      <c r="D2894" s="853"/>
      <c r="E2894" s="853"/>
      <c r="F2894" s="853"/>
      <c r="G2894" s="853"/>
      <c r="H2894" s="853"/>
      <c r="I2894" s="848"/>
      <c r="J2894" s="848"/>
      <c r="K2894" s="1295"/>
      <c r="L2894" s="1295"/>
      <c r="M2894" s="1295"/>
      <c r="N2894" s="1295"/>
      <c r="O2894" s="1295"/>
      <c r="P2894" s="853"/>
      <c r="Q2894" s="1295"/>
      <c r="R2894" s="848"/>
      <c r="S2894" s="848"/>
      <c r="T2894" s="848"/>
      <c r="U2894" s="848"/>
      <c r="V2894" s="1296"/>
      <c r="W2894" s="848"/>
      <c r="X2894" s="848"/>
      <c r="Y2894" s="1295"/>
      <c r="Z2894" s="1296"/>
      <c r="AA2894" s="1295"/>
      <c r="AB2894" s="1296"/>
      <c r="AC2894" s="1295"/>
      <c r="AD2894" s="1295"/>
      <c r="AE2894" s="2556"/>
      <c r="AF2894" s="750"/>
      <c r="AG2894" s="750"/>
      <c r="AH2894" s="750"/>
      <c r="AI2894" s="750"/>
      <c r="AJ2894" s="750"/>
      <c r="AK2894" s="750"/>
      <c r="AL2894" s="750"/>
      <c r="AM2894" s="750"/>
      <c r="AN2894" s="750"/>
      <c r="AO2894" s="750"/>
      <c r="AP2894" s="750"/>
      <c r="AQ2894" s="750"/>
      <c r="AR2894" s="750"/>
      <c r="AS2894" s="750"/>
      <c r="AT2894" s="750"/>
      <c r="AU2894" s="750"/>
      <c r="AV2894" s="750"/>
      <c r="AW2894" s="750"/>
      <c r="AX2894" s="750"/>
      <c r="AY2894" s="750"/>
      <c r="AZ2894" s="750"/>
      <c r="BA2894" s="750"/>
      <c r="BB2894" s="750"/>
      <c r="BC2894" s="750"/>
      <c r="BD2894" s="750"/>
      <c r="BE2894" s="750"/>
      <c r="BF2894" s="750"/>
      <c r="BG2894" s="750"/>
      <c r="BH2894" s="750"/>
      <c r="BI2894" s="750"/>
      <c r="BJ2894" s="750"/>
      <c r="BK2894" s="750"/>
      <c r="BL2894" s="750"/>
      <c r="BM2894" s="750"/>
      <c r="BN2894" s="750"/>
      <c r="BO2894" s="750"/>
      <c r="BP2894" s="750"/>
      <c r="BQ2894" s="750"/>
    </row>
    <row r="2895" spans="3:69">
      <c r="C2895" s="853"/>
      <c r="D2895" s="853"/>
      <c r="E2895" s="853"/>
      <c r="F2895" s="853"/>
      <c r="G2895" s="853"/>
      <c r="H2895" s="853"/>
      <c r="I2895" s="848"/>
      <c r="J2895" s="848"/>
      <c r="K2895" s="1295"/>
      <c r="L2895" s="1295"/>
      <c r="M2895" s="1295"/>
      <c r="N2895" s="1295"/>
      <c r="O2895" s="1295"/>
      <c r="P2895" s="853"/>
      <c r="Q2895" s="1295"/>
      <c r="R2895" s="848"/>
      <c r="S2895" s="848"/>
      <c r="T2895" s="848"/>
      <c r="U2895" s="848"/>
      <c r="V2895" s="1296"/>
      <c r="W2895" s="848"/>
      <c r="X2895" s="848"/>
      <c r="Y2895" s="1295"/>
      <c r="Z2895" s="1296"/>
      <c r="AA2895" s="1295"/>
      <c r="AB2895" s="1296"/>
      <c r="AC2895" s="1295"/>
      <c r="AD2895" s="1295"/>
      <c r="AE2895" s="2556"/>
      <c r="AF2895" s="750"/>
      <c r="AG2895" s="750"/>
      <c r="AH2895" s="750"/>
      <c r="AI2895" s="750"/>
      <c r="AJ2895" s="750"/>
      <c r="AK2895" s="750"/>
      <c r="AL2895" s="750"/>
      <c r="AM2895" s="750"/>
      <c r="AN2895" s="750"/>
      <c r="AO2895" s="750"/>
      <c r="AP2895" s="750"/>
      <c r="AQ2895" s="750"/>
      <c r="AR2895" s="750"/>
      <c r="AS2895" s="750"/>
      <c r="AT2895" s="750"/>
      <c r="AU2895" s="750"/>
      <c r="AV2895" s="750"/>
      <c r="AW2895" s="750"/>
      <c r="AX2895" s="750"/>
      <c r="AY2895" s="750"/>
      <c r="AZ2895" s="750"/>
      <c r="BA2895" s="750"/>
      <c r="BB2895" s="750"/>
      <c r="BC2895" s="750"/>
      <c r="BD2895" s="750"/>
      <c r="BE2895" s="750"/>
      <c r="BF2895" s="750"/>
      <c r="BG2895" s="750"/>
      <c r="BH2895" s="750"/>
      <c r="BI2895" s="750"/>
      <c r="BJ2895" s="750"/>
      <c r="BK2895" s="750"/>
      <c r="BL2895" s="750"/>
      <c r="BM2895" s="750"/>
      <c r="BN2895" s="750"/>
      <c r="BO2895" s="750"/>
      <c r="BP2895" s="750"/>
      <c r="BQ2895" s="750"/>
    </row>
    <row r="2896" spans="3:69">
      <c r="C2896" s="853"/>
      <c r="D2896" s="853"/>
      <c r="E2896" s="853"/>
      <c r="F2896" s="853"/>
      <c r="G2896" s="853"/>
      <c r="H2896" s="853"/>
      <c r="I2896" s="848"/>
      <c r="J2896" s="848"/>
      <c r="K2896" s="1295"/>
      <c r="L2896" s="1295"/>
      <c r="M2896" s="1295"/>
      <c r="N2896" s="1295"/>
      <c r="O2896" s="1295"/>
      <c r="P2896" s="853"/>
      <c r="Q2896" s="1295"/>
      <c r="R2896" s="848"/>
      <c r="S2896" s="848"/>
      <c r="T2896" s="848"/>
      <c r="U2896" s="848"/>
      <c r="V2896" s="1296"/>
      <c r="W2896" s="848"/>
      <c r="X2896" s="848"/>
      <c r="Y2896" s="1295"/>
      <c r="Z2896" s="1296"/>
      <c r="AA2896" s="1295"/>
      <c r="AB2896" s="1296"/>
      <c r="AC2896" s="1295"/>
      <c r="AD2896" s="1295"/>
      <c r="AE2896" s="2556"/>
      <c r="AF2896" s="750"/>
      <c r="AG2896" s="750"/>
      <c r="AH2896" s="750"/>
      <c r="AI2896" s="750"/>
      <c r="AJ2896" s="750"/>
      <c r="AK2896" s="750"/>
      <c r="AL2896" s="750"/>
      <c r="AM2896" s="750"/>
      <c r="AN2896" s="750"/>
      <c r="AO2896" s="750"/>
      <c r="AP2896" s="750"/>
      <c r="AQ2896" s="750"/>
      <c r="AR2896" s="750"/>
      <c r="AS2896" s="750"/>
      <c r="AT2896" s="750"/>
      <c r="AU2896" s="750"/>
      <c r="AV2896" s="750"/>
      <c r="AW2896" s="750"/>
      <c r="AX2896" s="750"/>
      <c r="AY2896" s="750"/>
      <c r="AZ2896" s="750"/>
      <c r="BA2896" s="750"/>
      <c r="BB2896" s="750"/>
      <c r="BC2896" s="750"/>
      <c r="BD2896" s="750"/>
      <c r="BE2896" s="750"/>
      <c r="BF2896" s="750"/>
      <c r="BG2896" s="750"/>
      <c r="BH2896" s="750"/>
      <c r="BI2896" s="750"/>
      <c r="BJ2896" s="750"/>
      <c r="BK2896" s="750"/>
      <c r="BL2896" s="750"/>
      <c r="BM2896" s="750"/>
      <c r="BN2896" s="750"/>
      <c r="BO2896" s="750"/>
      <c r="BP2896" s="750"/>
      <c r="BQ2896" s="750"/>
    </row>
    <row r="2897" spans="3:69">
      <c r="C2897" s="853"/>
      <c r="D2897" s="853"/>
      <c r="E2897" s="853"/>
      <c r="F2897" s="853"/>
      <c r="G2897" s="853"/>
      <c r="H2897" s="853"/>
      <c r="I2897" s="848"/>
      <c r="J2897" s="848"/>
      <c r="K2897" s="1295"/>
      <c r="L2897" s="1295"/>
      <c r="M2897" s="1295"/>
      <c r="N2897" s="1295"/>
      <c r="O2897" s="1295"/>
      <c r="P2897" s="853"/>
      <c r="Q2897" s="1295"/>
      <c r="R2897" s="848"/>
      <c r="S2897" s="848"/>
      <c r="T2897" s="848"/>
      <c r="U2897" s="848"/>
      <c r="V2897" s="1296"/>
      <c r="W2897" s="848"/>
      <c r="X2897" s="848"/>
      <c r="Y2897" s="1295"/>
      <c r="Z2897" s="1296"/>
      <c r="AA2897" s="1295"/>
      <c r="AB2897" s="1296"/>
      <c r="AC2897" s="1295"/>
      <c r="AD2897" s="1295"/>
      <c r="AE2897" s="2556"/>
      <c r="AF2897" s="750"/>
      <c r="AG2897" s="750"/>
      <c r="AH2897" s="750"/>
      <c r="AI2897" s="750"/>
      <c r="AJ2897" s="750"/>
      <c r="AK2897" s="750"/>
      <c r="AL2897" s="750"/>
      <c r="AM2897" s="750"/>
      <c r="AN2897" s="750"/>
      <c r="AO2897" s="750"/>
      <c r="AP2897" s="750"/>
      <c r="AQ2897" s="750"/>
      <c r="AR2897" s="750"/>
      <c r="AS2897" s="750"/>
      <c r="AT2897" s="750"/>
      <c r="AU2897" s="750"/>
      <c r="AV2897" s="750"/>
      <c r="AW2897" s="750"/>
      <c r="AX2897" s="750"/>
      <c r="AY2897" s="750"/>
      <c r="AZ2897" s="750"/>
      <c r="BA2897" s="750"/>
      <c r="BB2897" s="750"/>
      <c r="BC2897" s="750"/>
      <c r="BD2897" s="750"/>
      <c r="BE2897" s="750"/>
      <c r="BF2897" s="750"/>
      <c r="BG2897" s="750"/>
      <c r="BH2897" s="750"/>
      <c r="BI2897" s="750"/>
      <c r="BJ2897" s="750"/>
      <c r="BK2897" s="750"/>
      <c r="BL2897" s="750"/>
      <c r="BM2897" s="750"/>
      <c r="BN2897" s="750"/>
      <c r="BO2897" s="750"/>
      <c r="BP2897" s="750"/>
      <c r="BQ2897" s="750"/>
    </row>
    <row r="2898" spans="3:69">
      <c r="C2898" s="853"/>
      <c r="D2898" s="853"/>
      <c r="E2898" s="853"/>
      <c r="F2898" s="853"/>
      <c r="G2898" s="853"/>
      <c r="H2898" s="853"/>
      <c r="I2898" s="848"/>
      <c r="J2898" s="848"/>
      <c r="K2898" s="1295"/>
      <c r="L2898" s="1295"/>
      <c r="M2898" s="1295"/>
      <c r="N2898" s="1295"/>
      <c r="O2898" s="1295"/>
      <c r="P2898" s="853"/>
      <c r="Q2898" s="1295"/>
      <c r="R2898" s="848"/>
      <c r="S2898" s="848"/>
      <c r="T2898" s="848"/>
      <c r="U2898" s="848"/>
      <c r="V2898" s="1296"/>
      <c r="W2898" s="848"/>
      <c r="X2898" s="848"/>
      <c r="Y2898" s="1295"/>
      <c r="Z2898" s="1296"/>
      <c r="AA2898" s="1295"/>
      <c r="AB2898" s="1296"/>
      <c r="AC2898" s="1295"/>
      <c r="AD2898" s="1295"/>
      <c r="AE2898" s="2556"/>
      <c r="AF2898" s="750"/>
      <c r="AG2898" s="750"/>
      <c r="AH2898" s="750"/>
      <c r="AI2898" s="750"/>
      <c r="AJ2898" s="750"/>
      <c r="AK2898" s="750"/>
      <c r="AL2898" s="750"/>
      <c r="AM2898" s="750"/>
      <c r="AN2898" s="750"/>
      <c r="AO2898" s="750"/>
      <c r="AP2898" s="750"/>
      <c r="AQ2898" s="750"/>
      <c r="AR2898" s="750"/>
      <c r="AS2898" s="750"/>
      <c r="AT2898" s="750"/>
      <c r="AU2898" s="750"/>
      <c r="AV2898" s="750"/>
      <c r="AW2898" s="750"/>
      <c r="AX2898" s="750"/>
      <c r="AY2898" s="750"/>
      <c r="AZ2898" s="750"/>
      <c r="BA2898" s="750"/>
      <c r="BB2898" s="750"/>
      <c r="BC2898" s="750"/>
      <c r="BD2898" s="750"/>
      <c r="BE2898" s="750"/>
      <c r="BF2898" s="750"/>
      <c r="BG2898" s="750"/>
      <c r="BH2898" s="750"/>
      <c r="BI2898" s="750"/>
      <c r="BJ2898" s="750"/>
      <c r="BK2898" s="750"/>
      <c r="BL2898" s="750"/>
      <c r="BM2898" s="750"/>
      <c r="BN2898" s="750"/>
      <c r="BO2898" s="750"/>
      <c r="BP2898" s="750"/>
      <c r="BQ2898" s="750"/>
    </row>
    <row r="2899" spans="3:69">
      <c r="C2899" s="853"/>
      <c r="D2899" s="853"/>
      <c r="E2899" s="853"/>
      <c r="F2899" s="853"/>
      <c r="G2899" s="853"/>
      <c r="H2899" s="853"/>
      <c r="I2899" s="848"/>
      <c r="J2899" s="848"/>
      <c r="K2899" s="1295"/>
      <c r="L2899" s="1295"/>
      <c r="M2899" s="1295"/>
      <c r="N2899" s="1295"/>
      <c r="O2899" s="1295"/>
      <c r="P2899" s="853"/>
      <c r="Q2899" s="1295"/>
      <c r="R2899" s="848"/>
      <c r="S2899" s="848"/>
      <c r="T2899" s="848"/>
      <c r="U2899" s="848"/>
      <c r="V2899" s="1296"/>
      <c r="W2899" s="848"/>
      <c r="X2899" s="848"/>
      <c r="Y2899" s="1295"/>
      <c r="Z2899" s="1296"/>
      <c r="AA2899" s="1295"/>
      <c r="AB2899" s="1296"/>
      <c r="AC2899" s="1295"/>
      <c r="AD2899" s="1295"/>
      <c r="AE2899" s="2556"/>
      <c r="AF2899" s="750"/>
      <c r="AG2899" s="750"/>
      <c r="AH2899" s="750"/>
      <c r="AI2899" s="750"/>
      <c r="AJ2899" s="750"/>
      <c r="AK2899" s="750"/>
      <c r="AL2899" s="750"/>
      <c r="AM2899" s="750"/>
      <c r="AN2899" s="750"/>
      <c r="AO2899" s="750"/>
      <c r="AP2899" s="750"/>
      <c r="AQ2899" s="750"/>
      <c r="AR2899" s="750"/>
      <c r="AS2899" s="750"/>
      <c r="AT2899" s="750"/>
      <c r="AU2899" s="750"/>
      <c r="AV2899" s="750"/>
      <c r="AW2899" s="750"/>
      <c r="AX2899" s="750"/>
      <c r="AY2899" s="750"/>
      <c r="AZ2899" s="750"/>
      <c r="BA2899" s="750"/>
      <c r="BB2899" s="750"/>
      <c r="BC2899" s="750"/>
      <c r="BD2899" s="750"/>
      <c r="BE2899" s="750"/>
      <c r="BF2899" s="750"/>
      <c r="BG2899" s="750"/>
      <c r="BH2899" s="750"/>
      <c r="BI2899" s="750"/>
      <c r="BJ2899" s="750"/>
      <c r="BK2899" s="750"/>
      <c r="BL2899" s="750"/>
      <c r="BM2899" s="750"/>
      <c r="BN2899" s="750"/>
      <c r="BO2899" s="750"/>
      <c r="BP2899" s="750"/>
      <c r="BQ2899" s="750"/>
    </row>
    <row r="2900" spans="3:69">
      <c r="C2900" s="853"/>
      <c r="D2900" s="853"/>
      <c r="E2900" s="853"/>
      <c r="F2900" s="853"/>
      <c r="G2900" s="853"/>
      <c r="H2900" s="853"/>
      <c r="I2900" s="848"/>
      <c r="J2900" s="848"/>
      <c r="K2900" s="1295"/>
      <c r="L2900" s="1295"/>
      <c r="M2900" s="1295"/>
      <c r="N2900" s="1295"/>
      <c r="O2900" s="1295"/>
      <c r="P2900" s="853"/>
      <c r="Q2900" s="1295"/>
      <c r="R2900" s="848"/>
      <c r="S2900" s="848"/>
      <c r="T2900" s="848"/>
      <c r="U2900" s="848"/>
      <c r="V2900" s="1296"/>
      <c r="W2900" s="848"/>
      <c r="X2900" s="848"/>
      <c r="Y2900" s="1295"/>
      <c r="Z2900" s="1296"/>
      <c r="AA2900" s="1295"/>
      <c r="AB2900" s="1296"/>
      <c r="AC2900" s="1295"/>
      <c r="AD2900" s="1295"/>
      <c r="AE2900" s="2556"/>
      <c r="AF2900" s="750"/>
      <c r="AG2900" s="750"/>
      <c r="AH2900" s="750"/>
      <c r="AI2900" s="750"/>
      <c r="AJ2900" s="750"/>
      <c r="AK2900" s="750"/>
      <c r="AL2900" s="750"/>
      <c r="AM2900" s="750"/>
      <c r="AN2900" s="750"/>
      <c r="AO2900" s="750"/>
      <c r="AP2900" s="750"/>
      <c r="AQ2900" s="750"/>
      <c r="AR2900" s="750"/>
      <c r="AS2900" s="750"/>
      <c r="AT2900" s="750"/>
      <c r="AU2900" s="750"/>
      <c r="AV2900" s="750"/>
      <c r="AW2900" s="750"/>
      <c r="AX2900" s="750"/>
      <c r="AY2900" s="750"/>
      <c r="AZ2900" s="750"/>
      <c r="BA2900" s="750"/>
      <c r="BB2900" s="750"/>
      <c r="BC2900" s="750"/>
      <c r="BD2900" s="750"/>
      <c r="BE2900" s="750"/>
      <c r="BF2900" s="750"/>
      <c r="BG2900" s="750"/>
      <c r="BH2900" s="750"/>
      <c r="BI2900" s="750"/>
      <c r="BJ2900" s="750"/>
      <c r="BK2900" s="750"/>
      <c r="BL2900" s="750"/>
      <c r="BM2900" s="750"/>
      <c r="BN2900" s="750"/>
      <c r="BO2900" s="750"/>
      <c r="BP2900" s="750"/>
      <c r="BQ2900" s="750"/>
    </row>
    <row r="2901" spans="3:69">
      <c r="C2901" s="853"/>
      <c r="D2901" s="853"/>
      <c r="E2901" s="853"/>
      <c r="F2901" s="853"/>
      <c r="G2901" s="853"/>
      <c r="H2901" s="853"/>
      <c r="I2901" s="848"/>
      <c r="J2901" s="848"/>
      <c r="K2901" s="1295"/>
      <c r="L2901" s="1295"/>
      <c r="M2901" s="1295"/>
      <c r="N2901" s="1295"/>
      <c r="O2901" s="1295"/>
      <c r="P2901" s="853"/>
      <c r="Q2901" s="1295"/>
      <c r="R2901" s="848"/>
      <c r="S2901" s="848"/>
      <c r="T2901" s="848"/>
      <c r="U2901" s="848"/>
      <c r="V2901" s="1296"/>
      <c r="W2901" s="848"/>
      <c r="X2901" s="848"/>
      <c r="Y2901" s="1295"/>
      <c r="Z2901" s="1296"/>
      <c r="AA2901" s="1295"/>
      <c r="AB2901" s="1296"/>
      <c r="AC2901" s="1295"/>
      <c r="AD2901" s="1295"/>
      <c r="AE2901" s="2556"/>
      <c r="AF2901" s="750"/>
      <c r="AG2901" s="750"/>
      <c r="AH2901" s="750"/>
      <c r="AI2901" s="750"/>
      <c r="AJ2901" s="750"/>
      <c r="AK2901" s="750"/>
      <c r="AL2901" s="750"/>
      <c r="AM2901" s="750"/>
      <c r="AN2901" s="750"/>
      <c r="AO2901" s="750"/>
      <c r="AP2901" s="750"/>
      <c r="AQ2901" s="750"/>
      <c r="AR2901" s="750"/>
      <c r="AS2901" s="750"/>
      <c r="AT2901" s="750"/>
      <c r="AU2901" s="750"/>
      <c r="AV2901" s="750"/>
      <c r="AW2901" s="750"/>
      <c r="AX2901" s="750"/>
      <c r="AY2901" s="750"/>
      <c r="AZ2901" s="750"/>
      <c r="BA2901" s="750"/>
      <c r="BB2901" s="750"/>
      <c r="BC2901" s="750"/>
      <c r="BD2901" s="750"/>
      <c r="BE2901" s="750"/>
      <c r="BF2901" s="750"/>
      <c r="BG2901" s="750"/>
      <c r="BH2901" s="750"/>
      <c r="BI2901" s="750"/>
      <c r="BJ2901" s="750"/>
      <c r="BK2901" s="750"/>
      <c r="BL2901" s="750"/>
      <c r="BM2901" s="750"/>
      <c r="BN2901" s="750"/>
      <c r="BO2901" s="750"/>
      <c r="BP2901" s="750"/>
      <c r="BQ2901" s="750"/>
    </row>
    <row r="2902" spans="3:69">
      <c r="C2902" s="853"/>
      <c r="D2902" s="853"/>
      <c r="E2902" s="853"/>
      <c r="F2902" s="853"/>
      <c r="G2902" s="853"/>
      <c r="H2902" s="853"/>
      <c r="I2902" s="848"/>
      <c r="J2902" s="848"/>
      <c r="K2902" s="1295"/>
      <c r="L2902" s="1295"/>
      <c r="M2902" s="1295"/>
      <c r="N2902" s="1295"/>
      <c r="O2902" s="1295"/>
      <c r="P2902" s="853"/>
      <c r="Q2902" s="1295"/>
      <c r="R2902" s="848"/>
      <c r="S2902" s="848"/>
      <c r="T2902" s="848"/>
      <c r="U2902" s="848"/>
      <c r="V2902" s="1296"/>
      <c r="W2902" s="848"/>
      <c r="X2902" s="848"/>
      <c r="Y2902" s="1295"/>
      <c r="Z2902" s="1296"/>
      <c r="AA2902" s="1295"/>
      <c r="AB2902" s="1296"/>
      <c r="AC2902" s="1295"/>
      <c r="AD2902" s="1295"/>
      <c r="AE2902" s="2556"/>
      <c r="AF2902" s="750"/>
      <c r="AG2902" s="750"/>
      <c r="AH2902" s="750"/>
      <c r="AI2902" s="750"/>
      <c r="AJ2902" s="750"/>
      <c r="AK2902" s="750"/>
      <c r="AL2902" s="750"/>
      <c r="AM2902" s="750"/>
      <c r="AN2902" s="750"/>
      <c r="AO2902" s="750"/>
      <c r="AP2902" s="750"/>
      <c r="AQ2902" s="750"/>
      <c r="AR2902" s="750"/>
      <c r="AS2902" s="750"/>
      <c r="AT2902" s="750"/>
      <c r="AU2902" s="750"/>
      <c r="AV2902" s="750"/>
      <c r="AW2902" s="750"/>
      <c r="AX2902" s="750"/>
      <c r="AY2902" s="750"/>
      <c r="AZ2902" s="750"/>
      <c r="BA2902" s="750"/>
      <c r="BB2902" s="750"/>
      <c r="BC2902" s="750"/>
      <c r="BD2902" s="750"/>
      <c r="BE2902" s="750"/>
      <c r="BF2902" s="750"/>
      <c r="BG2902" s="750"/>
      <c r="BH2902" s="750"/>
      <c r="BI2902" s="750"/>
      <c r="BJ2902" s="750"/>
      <c r="BK2902" s="750"/>
      <c r="BL2902" s="750"/>
      <c r="BM2902" s="750"/>
      <c r="BN2902" s="750"/>
      <c r="BO2902" s="750"/>
      <c r="BP2902" s="750"/>
      <c r="BQ2902" s="750"/>
    </row>
    <row r="2903" spans="3:69">
      <c r="C2903" s="853"/>
      <c r="D2903" s="853"/>
      <c r="E2903" s="853"/>
      <c r="F2903" s="853"/>
      <c r="G2903" s="853"/>
      <c r="H2903" s="853"/>
      <c r="I2903" s="848"/>
      <c r="J2903" s="848"/>
      <c r="K2903" s="1295"/>
      <c r="L2903" s="1295"/>
      <c r="M2903" s="1295"/>
      <c r="N2903" s="1295"/>
      <c r="O2903" s="1295"/>
      <c r="P2903" s="853"/>
      <c r="Q2903" s="1295"/>
      <c r="R2903" s="848"/>
      <c r="S2903" s="848"/>
      <c r="T2903" s="848"/>
      <c r="U2903" s="848"/>
      <c r="V2903" s="1296"/>
      <c r="W2903" s="848"/>
      <c r="X2903" s="848"/>
      <c r="Y2903" s="1295"/>
      <c r="Z2903" s="1296"/>
      <c r="AA2903" s="1295"/>
      <c r="AB2903" s="1296"/>
      <c r="AC2903" s="1295"/>
      <c r="AD2903" s="1295"/>
      <c r="AE2903" s="2556"/>
      <c r="AF2903" s="750"/>
      <c r="AG2903" s="750"/>
      <c r="AH2903" s="750"/>
      <c r="AI2903" s="750"/>
      <c r="AJ2903" s="750"/>
      <c r="AK2903" s="750"/>
      <c r="AL2903" s="750"/>
      <c r="AM2903" s="750"/>
      <c r="AN2903" s="750"/>
      <c r="AO2903" s="750"/>
      <c r="AP2903" s="750"/>
      <c r="AQ2903" s="750"/>
      <c r="AR2903" s="750"/>
      <c r="AS2903" s="750"/>
      <c r="AT2903" s="750"/>
      <c r="AU2903" s="750"/>
      <c r="AV2903" s="750"/>
      <c r="AW2903" s="750"/>
      <c r="AX2903" s="750"/>
      <c r="AY2903" s="750"/>
      <c r="AZ2903" s="750"/>
      <c r="BA2903" s="750"/>
      <c r="BB2903" s="750"/>
      <c r="BC2903" s="750"/>
      <c r="BD2903" s="750"/>
      <c r="BE2903" s="750"/>
      <c r="BF2903" s="750"/>
      <c r="BG2903" s="750"/>
      <c r="BH2903" s="750"/>
      <c r="BI2903" s="750"/>
      <c r="BJ2903" s="750"/>
      <c r="BK2903" s="750"/>
      <c r="BL2903" s="750"/>
      <c r="BM2903" s="750"/>
      <c r="BN2903" s="750"/>
      <c r="BO2903" s="750"/>
      <c r="BP2903" s="750"/>
      <c r="BQ2903" s="750"/>
    </row>
    <row r="2904" spans="3:69">
      <c r="C2904" s="853"/>
      <c r="D2904" s="853"/>
      <c r="E2904" s="853"/>
      <c r="F2904" s="853"/>
      <c r="G2904" s="853"/>
      <c r="H2904" s="853"/>
      <c r="I2904" s="848"/>
      <c r="J2904" s="848"/>
      <c r="K2904" s="1295"/>
      <c r="L2904" s="1295"/>
      <c r="M2904" s="1295"/>
      <c r="N2904" s="1295"/>
      <c r="O2904" s="1295"/>
      <c r="P2904" s="853"/>
      <c r="Q2904" s="1295"/>
      <c r="R2904" s="848"/>
      <c r="S2904" s="848"/>
      <c r="T2904" s="848"/>
      <c r="U2904" s="848"/>
      <c r="V2904" s="1296"/>
      <c r="W2904" s="848"/>
      <c r="X2904" s="848"/>
      <c r="Y2904" s="1295"/>
      <c r="Z2904" s="1296"/>
      <c r="AA2904" s="1295"/>
      <c r="AB2904" s="1296"/>
      <c r="AC2904" s="1295"/>
      <c r="AD2904" s="1295"/>
      <c r="AE2904" s="2556"/>
      <c r="AF2904" s="750"/>
      <c r="AG2904" s="750"/>
      <c r="AH2904" s="750"/>
      <c r="AI2904" s="750"/>
      <c r="AJ2904" s="750"/>
      <c r="AK2904" s="750"/>
      <c r="AL2904" s="750"/>
      <c r="AM2904" s="750"/>
      <c r="AN2904" s="750"/>
      <c r="AO2904" s="750"/>
      <c r="AP2904" s="750"/>
      <c r="AQ2904" s="750"/>
      <c r="AR2904" s="750"/>
      <c r="AS2904" s="750"/>
      <c r="AT2904" s="750"/>
      <c r="AU2904" s="750"/>
      <c r="AV2904" s="750"/>
      <c r="AW2904" s="750"/>
      <c r="AX2904" s="750"/>
      <c r="AY2904" s="750"/>
      <c r="AZ2904" s="750"/>
      <c r="BA2904" s="750"/>
      <c r="BB2904" s="750"/>
      <c r="BC2904" s="750"/>
      <c r="BD2904" s="750"/>
      <c r="BE2904" s="750"/>
      <c r="BF2904" s="750"/>
      <c r="BG2904" s="750"/>
      <c r="BH2904" s="750"/>
      <c r="BI2904" s="750"/>
      <c r="BJ2904" s="750"/>
      <c r="BK2904" s="750"/>
      <c r="BL2904" s="750"/>
      <c r="BM2904" s="750"/>
      <c r="BN2904" s="750"/>
      <c r="BO2904" s="750"/>
      <c r="BP2904" s="750"/>
      <c r="BQ2904" s="750"/>
    </row>
    <row r="2905" spans="3:69">
      <c r="C2905" s="853"/>
      <c r="D2905" s="853"/>
      <c r="E2905" s="853"/>
      <c r="F2905" s="853"/>
      <c r="G2905" s="853"/>
      <c r="H2905" s="853"/>
      <c r="I2905" s="848"/>
      <c r="J2905" s="848"/>
      <c r="K2905" s="1295"/>
      <c r="L2905" s="1295"/>
      <c r="M2905" s="1295"/>
      <c r="N2905" s="1295"/>
      <c r="O2905" s="1295"/>
      <c r="P2905" s="853"/>
      <c r="Q2905" s="1295"/>
      <c r="R2905" s="848"/>
      <c r="S2905" s="848"/>
      <c r="T2905" s="848"/>
      <c r="U2905" s="848"/>
      <c r="V2905" s="1296"/>
      <c r="W2905" s="848"/>
      <c r="X2905" s="848"/>
      <c r="Y2905" s="1295"/>
      <c r="Z2905" s="1296"/>
      <c r="AA2905" s="1295"/>
      <c r="AB2905" s="1296"/>
      <c r="AC2905" s="1295"/>
      <c r="AD2905" s="1295"/>
      <c r="AE2905" s="2556"/>
      <c r="AF2905" s="750"/>
      <c r="AG2905" s="750"/>
      <c r="AH2905" s="750"/>
      <c r="AI2905" s="750"/>
      <c r="AJ2905" s="750"/>
      <c r="AK2905" s="750"/>
      <c r="AL2905" s="750"/>
      <c r="AM2905" s="750"/>
      <c r="AN2905" s="750"/>
      <c r="AO2905" s="750"/>
      <c r="AP2905" s="750"/>
      <c r="AQ2905" s="750"/>
      <c r="AR2905" s="750"/>
      <c r="AS2905" s="750"/>
      <c r="AT2905" s="750"/>
      <c r="AU2905" s="750"/>
      <c r="AV2905" s="750"/>
      <c r="AW2905" s="750"/>
      <c r="AX2905" s="750"/>
      <c r="AY2905" s="750"/>
      <c r="AZ2905" s="750"/>
      <c r="BA2905" s="750"/>
      <c r="BB2905" s="750"/>
      <c r="BC2905" s="750"/>
      <c r="BD2905" s="750"/>
      <c r="BE2905" s="750"/>
      <c r="BF2905" s="750"/>
      <c r="BG2905" s="750"/>
      <c r="BH2905" s="750"/>
      <c r="BI2905" s="750"/>
      <c r="BJ2905" s="750"/>
      <c r="BK2905" s="750"/>
      <c r="BL2905" s="750"/>
      <c r="BM2905" s="750"/>
      <c r="BN2905" s="750"/>
      <c r="BO2905" s="750"/>
      <c r="BP2905" s="750"/>
      <c r="BQ2905" s="750"/>
    </row>
    <row r="2906" spans="3:69">
      <c r="C2906" s="853"/>
      <c r="D2906" s="853"/>
      <c r="E2906" s="853"/>
      <c r="F2906" s="853"/>
      <c r="G2906" s="853"/>
      <c r="H2906" s="853"/>
      <c r="I2906" s="848"/>
      <c r="J2906" s="848"/>
      <c r="K2906" s="1295"/>
      <c r="L2906" s="1295"/>
      <c r="M2906" s="1295"/>
      <c r="N2906" s="1295"/>
      <c r="O2906" s="1295"/>
      <c r="P2906" s="853"/>
      <c r="Q2906" s="1295"/>
      <c r="R2906" s="848"/>
      <c r="S2906" s="848"/>
      <c r="T2906" s="848"/>
      <c r="U2906" s="848"/>
      <c r="V2906" s="1296"/>
      <c r="W2906" s="848"/>
      <c r="X2906" s="848"/>
      <c r="Y2906" s="1295"/>
      <c r="Z2906" s="1296"/>
      <c r="AA2906" s="1295"/>
      <c r="AB2906" s="1296"/>
      <c r="AC2906" s="1295"/>
      <c r="AD2906" s="1295"/>
      <c r="AE2906" s="2556"/>
      <c r="AF2906" s="750"/>
      <c r="AG2906" s="750"/>
      <c r="AH2906" s="750"/>
      <c r="AI2906" s="750"/>
      <c r="AJ2906" s="750"/>
      <c r="AK2906" s="750"/>
      <c r="AL2906" s="750"/>
      <c r="AM2906" s="750"/>
      <c r="AN2906" s="750"/>
      <c r="AO2906" s="750"/>
      <c r="AP2906" s="750"/>
      <c r="AQ2906" s="750"/>
      <c r="AR2906" s="750"/>
      <c r="AS2906" s="750"/>
      <c r="AT2906" s="750"/>
      <c r="AU2906" s="750"/>
      <c r="AV2906" s="750"/>
      <c r="AW2906" s="750"/>
      <c r="AX2906" s="750"/>
      <c r="AY2906" s="750"/>
      <c r="AZ2906" s="750"/>
      <c r="BA2906" s="750"/>
      <c r="BB2906" s="750"/>
      <c r="BC2906" s="750"/>
      <c r="BD2906" s="750"/>
      <c r="BE2906" s="750"/>
      <c r="BF2906" s="750"/>
      <c r="BG2906" s="750"/>
      <c r="BH2906" s="750"/>
      <c r="BI2906" s="750"/>
      <c r="BJ2906" s="750"/>
      <c r="BK2906" s="750"/>
      <c r="BL2906" s="750"/>
      <c r="BM2906" s="750"/>
      <c r="BN2906" s="750"/>
      <c r="BO2906" s="750"/>
      <c r="BP2906" s="750"/>
      <c r="BQ2906" s="750"/>
    </row>
    <row r="2907" spans="3:69">
      <c r="C2907" s="853"/>
      <c r="D2907" s="853"/>
      <c r="E2907" s="853"/>
      <c r="F2907" s="853"/>
      <c r="G2907" s="853"/>
      <c r="H2907" s="853"/>
      <c r="I2907" s="848"/>
      <c r="J2907" s="848"/>
      <c r="K2907" s="1295"/>
      <c r="L2907" s="1295"/>
      <c r="M2907" s="1295"/>
      <c r="N2907" s="1295"/>
      <c r="O2907" s="1295"/>
      <c r="P2907" s="853"/>
      <c r="Q2907" s="1295"/>
      <c r="R2907" s="848"/>
      <c r="S2907" s="848"/>
      <c r="T2907" s="848"/>
      <c r="U2907" s="848"/>
      <c r="V2907" s="1296"/>
      <c r="W2907" s="848"/>
      <c r="X2907" s="848"/>
      <c r="Y2907" s="1295"/>
      <c r="Z2907" s="1296"/>
      <c r="AA2907" s="1295"/>
      <c r="AB2907" s="1296"/>
      <c r="AC2907" s="1295"/>
      <c r="AD2907" s="1295"/>
      <c r="AE2907" s="2556"/>
      <c r="AF2907" s="750"/>
      <c r="AG2907" s="750"/>
      <c r="AH2907" s="750"/>
      <c r="AI2907" s="750"/>
      <c r="AJ2907" s="750"/>
      <c r="AK2907" s="750"/>
      <c r="AL2907" s="750"/>
      <c r="AM2907" s="750"/>
      <c r="AN2907" s="750"/>
      <c r="AO2907" s="750"/>
      <c r="AP2907" s="750"/>
      <c r="AQ2907" s="750"/>
      <c r="AR2907" s="750"/>
      <c r="AS2907" s="750"/>
      <c r="AT2907" s="750"/>
      <c r="AU2907" s="750"/>
      <c r="AV2907" s="750"/>
      <c r="AW2907" s="750"/>
      <c r="AX2907" s="750"/>
      <c r="AY2907" s="750"/>
      <c r="AZ2907" s="750"/>
      <c r="BA2907" s="750"/>
      <c r="BB2907" s="750"/>
      <c r="BC2907" s="750"/>
      <c r="BD2907" s="750"/>
      <c r="BE2907" s="750"/>
      <c r="BF2907" s="750"/>
      <c r="BG2907" s="750"/>
      <c r="BH2907" s="750"/>
      <c r="BI2907" s="750"/>
      <c r="BJ2907" s="750"/>
      <c r="BK2907" s="750"/>
      <c r="BL2907" s="750"/>
      <c r="BM2907" s="750"/>
      <c r="BN2907" s="750"/>
      <c r="BO2907" s="750"/>
      <c r="BP2907" s="750"/>
      <c r="BQ2907" s="750"/>
    </row>
    <row r="2908" spans="3:69">
      <c r="C2908" s="853"/>
      <c r="D2908" s="853"/>
      <c r="E2908" s="853"/>
      <c r="F2908" s="853"/>
      <c r="G2908" s="853"/>
      <c r="H2908" s="853"/>
      <c r="I2908" s="848"/>
      <c r="J2908" s="848"/>
      <c r="K2908" s="1295"/>
      <c r="L2908" s="1295"/>
      <c r="M2908" s="1295"/>
      <c r="N2908" s="1295"/>
      <c r="O2908" s="1295"/>
      <c r="P2908" s="853"/>
      <c r="Q2908" s="1295"/>
      <c r="R2908" s="848"/>
      <c r="S2908" s="848"/>
      <c r="T2908" s="848"/>
      <c r="U2908" s="848"/>
      <c r="V2908" s="1296"/>
      <c r="W2908" s="848"/>
      <c r="X2908" s="848"/>
      <c r="Y2908" s="1295"/>
      <c r="Z2908" s="1296"/>
      <c r="AA2908" s="1295"/>
      <c r="AB2908" s="1296"/>
      <c r="AC2908" s="1295"/>
      <c r="AD2908" s="1295"/>
      <c r="AE2908" s="2556"/>
      <c r="AF2908" s="750"/>
      <c r="AG2908" s="750"/>
      <c r="AH2908" s="750"/>
      <c r="AI2908" s="750"/>
      <c r="AJ2908" s="750"/>
      <c r="AK2908" s="750"/>
      <c r="AL2908" s="750"/>
      <c r="AM2908" s="750"/>
      <c r="AN2908" s="750"/>
      <c r="AO2908" s="750"/>
      <c r="AP2908" s="750"/>
      <c r="AQ2908" s="750"/>
      <c r="AR2908" s="750"/>
      <c r="AS2908" s="750"/>
      <c r="AT2908" s="750"/>
      <c r="AU2908" s="750"/>
      <c r="AV2908" s="750"/>
      <c r="AW2908" s="750"/>
      <c r="AX2908" s="750"/>
      <c r="AY2908" s="750"/>
      <c r="AZ2908" s="750"/>
      <c r="BA2908" s="750"/>
      <c r="BB2908" s="750"/>
      <c r="BC2908" s="750"/>
      <c r="BD2908" s="750"/>
      <c r="BE2908" s="750"/>
      <c r="BF2908" s="750"/>
      <c r="BG2908" s="750"/>
      <c r="BH2908" s="750"/>
      <c r="BI2908" s="750"/>
      <c r="BJ2908" s="750"/>
      <c r="BK2908" s="750"/>
      <c r="BL2908" s="750"/>
      <c r="BM2908" s="750"/>
      <c r="BN2908" s="750"/>
      <c r="BO2908" s="750"/>
      <c r="BP2908" s="750"/>
      <c r="BQ2908" s="750"/>
    </row>
    <row r="2909" spans="3:69">
      <c r="C2909" s="853"/>
      <c r="D2909" s="853"/>
      <c r="E2909" s="853"/>
      <c r="F2909" s="853"/>
      <c r="G2909" s="853"/>
      <c r="H2909" s="853"/>
      <c r="I2909" s="848"/>
      <c r="J2909" s="848"/>
      <c r="K2909" s="1295"/>
      <c r="L2909" s="1295"/>
      <c r="M2909" s="1295"/>
      <c r="N2909" s="1295"/>
      <c r="O2909" s="1295"/>
      <c r="P2909" s="853"/>
      <c r="Q2909" s="1295"/>
      <c r="R2909" s="848"/>
      <c r="S2909" s="848"/>
      <c r="T2909" s="848"/>
      <c r="U2909" s="848"/>
      <c r="V2909" s="1296"/>
      <c r="W2909" s="848"/>
      <c r="X2909" s="848"/>
      <c r="Y2909" s="1295"/>
      <c r="Z2909" s="1296"/>
      <c r="AA2909" s="1295"/>
      <c r="AB2909" s="1296"/>
      <c r="AC2909" s="1295"/>
      <c r="AD2909" s="1295"/>
      <c r="AE2909" s="2556"/>
      <c r="AF2909" s="750"/>
      <c r="AG2909" s="750"/>
      <c r="AH2909" s="750"/>
      <c r="AI2909" s="750"/>
      <c r="AJ2909" s="750"/>
      <c r="AK2909" s="750"/>
      <c r="AL2909" s="750"/>
      <c r="AM2909" s="750"/>
      <c r="AN2909" s="750"/>
      <c r="AO2909" s="750"/>
      <c r="AP2909" s="750"/>
      <c r="AQ2909" s="750"/>
      <c r="AR2909" s="750"/>
      <c r="AS2909" s="750"/>
      <c r="AT2909" s="750"/>
      <c r="AU2909" s="750"/>
      <c r="AV2909" s="750"/>
      <c r="AW2909" s="750"/>
      <c r="AX2909" s="750"/>
      <c r="AY2909" s="750"/>
      <c r="AZ2909" s="750"/>
      <c r="BA2909" s="750"/>
      <c r="BB2909" s="750"/>
      <c r="BC2909" s="750"/>
      <c r="BD2909" s="750"/>
      <c r="BE2909" s="750"/>
      <c r="BF2909" s="750"/>
      <c r="BG2909" s="750"/>
      <c r="BH2909" s="750"/>
      <c r="BI2909" s="750"/>
      <c r="BJ2909" s="750"/>
      <c r="BK2909" s="750"/>
      <c r="BL2909" s="750"/>
      <c r="BM2909" s="750"/>
      <c r="BN2909" s="750"/>
      <c r="BO2909" s="750"/>
      <c r="BP2909" s="750"/>
      <c r="BQ2909" s="750"/>
    </row>
    <row r="2910" spans="3:69">
      <c r="C2910" s="853"/>
      <c r="D2910" s="853"/>
      <c r="E2910" s="853"/>
      <c r="F2910" s="853"/>
      <c r="G2910" s="853"/>
      <c r="H2910" s="853"/>
      <c r="I2910" s="848"/>
      <c r="J2910" s="848"/>
      <c r="K2910" s="1295"/>
      <c r="L2910" s="1295"/>
      <c r="M2910" s="1295"/>
      <c r="N2910" s="1295"/>
      <c r="O2910" s="1295"/>
      <c r="P2910" s="853"/>
      <c r="Q2910" s="1295"/>
      <c r="R2910" s="848"/>
      <c r="S2910" s="848"/>
      <c r="T2910" s="848"/>
      <c r="U2910" s="848"/>
      <c r="V2910" s="1296"/>
      <c r="W2910" s="848"/>
      <c r="X2910" s="848"/>
      <c r="Y2910" s="1295"/>
      <c r="Z2910" s="1296"/>
      <c r="AA2910" s="1295"/>
      <c r="AB2910" s="1296"/>
      <c r="AC2910" s="1295"/>
      <c r="AD2910" s="1295"/>
      <c r="AE2910" s="2556"/>
      <c r="AF2910" s="750"/>
      <c r="AG2910" s="750"/>
      <c r="AH2910" s="750"/>
      <c r="AI2910" s="750"/>
      <c r="AJ2910" s="750"/>
      <c r="AK2910" s="750"/>
      <c r="AL2910" s="750"/>
      <c r="AM2910" s="750"/>
      <c r="AN2910" s="750"/>
      <c r="AO2910" s="750"/>
      <c r="AP2910" s="750"/>
      <c r="AQ2910" s="750"/>
      <c r="AR2910" s="750"/>
      <c r="AS2910" s="750"/>
      <c r="AT2910" s="750"/>
      <c r="AU2910" s="750"/>
      <c r="AV2910" s="750"/>
      <c r="AW2910" s="750"/>
      <c r="AX2910" s="750"/>
      <c r="AY2910" s="750"/>
      <c r="AZ2910" s="750"/>
      <c r="BA2910" s="750"/>
      <c r="BB2910" s="750"/>
      <c r="BC2910" s="750"/>
      <c r="BD2910" s="750"/>
      <c r="BE2910" s="750"/>
      <c r="BF2910" s="750"/>
      <c r="BG2910" s="750"/>
      <c r="BH2910" s="750"/>
      <c r="BI2910" s="750"/>
      <c r="BJ2910" s="750"/>
      <c r="BK2910" s="750"/>
      <c r="BL2910" s="750"/>
      <c r="BM2910" s="750"/>
      <c r="BN2910" s="750"/>
      <c r="BO2910" s="750"/>
      <c r="BP2910" s="750"/>
      <c r="BQ2910" s="750"/>
    </row>
    <row r="2911" spans="3:69">
      <c r="C2911" s="853"/>
      <c r="D2911" s="853"/>
      <c r="E2911" s="853"/>
      <c r="F2911" s="853"/>
      <c r="G2911" s="853"/>
      <c r="H2911" s="853"/>
      <c r="I2911" s="848"/>
      <c r="J2911" s="848"/>
      <c r="K2911" s="1295"/>
      <c r="L2911" s="1295"/>
      <c r="M2911" s="1295"/>
      <c r="N2911" s="1295"/>
      <c r="O2911" s="1295"/>
      <c r="P2911" s="853"/>
      <c r="Q2911" s="1295"/>
      <c r="R2911" s="848"/>
      <c r="S2911" s="848"/>
      <c r="T2911" s="848"/>
      <c r="U2911" s="848"/>
      <c r="V2911" s="1296"/>
      <c r="W2911" s="848"/>
      <c r="X2911" s="848"/>
      <c r="Y2911" s="1295"/>
      <c r="Z2911" s="1296"/>
      <c r="AA2911" s="1295"/>
      <c r="AB2911" s="1296"/>
      <c r="AC2911" s="1295"/>
      <c r="AD2911" s="1295"/>
      <c r="AE2911" s="2556"/>
      <c r="AF2911" s="750"/>
      <c r="AG2911" s="750"/>
      <c r="AH2911" s="750"/>
      <c r="AI2911" s="750"/>
      <c r="AJ2911" s="750"/>
      <c r="AK2911" s="750"/>
      <c r="AL2911" s="750"/>
      <c r="AM2911" s="750"/>
      <c r="AN2911" s="750"/>
      <c r="AO2911" s="750"/>
      <c r="AP2911" s="750"/>
      <c r="AQ2911" s="750"/>
      <c r="AR2911" s="750"/>
      <c r="AS2911" s="750"/>
      <c r="AT2911" s="750"/>
      <c r="AU2911" s="750"/>
      <c r="AV2911" s="750"/>
      <c r="AW2911" s="750"/>
      <c r="AX2911" s="750"/>
      <c r="AY2911" s="750"/>
      <c r="AZ2911" s="750"/>
      <c r="BA2911" s="750"/>
      <c r="BB2911" s="750"/>
      <c r="BC2911" s="750"/>
      <c r="BD2911" s="750"/>
      <c r="BE2911" s="750"/>
      <c r="BF2911" s="750"/>
      <c r="BG2911" s="750"/>
      <c r="BH2911" s="750"/>
      <c r="BI2911" s="750"/>
      <c r="BJ2911" s="750"/>
      <c r="BK2911" s="750"/>
      <c r="BL2911" s="750"/>
      <c r="BM2911" s="750"/>
      <c r="BN2911" s="750"/>
      <c r="BO2911" s="750"/>
      <c r="BP2911" s="750"/>
      <c r="BQ2911" s="750"/>
    </row>
    <row r="2912" spans="3:69">
      <c r="C2912" s="853"/>
      <c r="D2912" s="853"/>
      <c r="E2912" s="853"/>
      <c r="F2912" s="853"/>
      <c r="G2912" s="853"/>
      <c r="H2912" s="853"/>
      <c r="I2912" s="848"/>
      <c r="J2912" s="848"/>
      <c r="K2912" s="1295"/>
      <c r="L2912" s="1295"/>
      <c r="M2912" s="1295"/>
      <c r="N2912" s="1295"/>
      <c r="O2912" s="1295"/>
      <c r="P2912" s="853"/>
      <c r="Q2912" s="1295"/>
      <c r="R2912" s="848"/>
      <c r="S2912" s="848"/>
      <c r="T2912" s="848"/>
      <c r="U2912" s="848"/>
      <c r="V2912" s="1296"/>
      <c r="W2912" s="848"/>
      <c r="X2912" s="848"/>
      <c r="Y2912" s="1295"/>
      <c r="Z2912" s="1296"/>
      <c r="AA2912" s="1295"/>
      <c r="AB2912" s="1296"/>
      <c r="AC2912" s="1295"/>
      <c r="AD2912" s="1295"/>
      <c r="AE2912" s="2556"/>
      <c r="AF2912" s="750"/>
      <c r="AG2912" s="750"/>
      <c r="AH2912" s="750"/>
      <c r="AI2912" s="750"/>
      <c r="AJ2912" s="750"/>
      <c r="AK2912" s="750"/>
      <c r="AL2912" s="750"/>
      <c r="AM2912" s="750"/>
      <c r="AN2912" s="750"/>
      <c r="AO2912" s="750"/>
      <c r="AP2912" s="750"/>
      <c r="AQ2912" s="750"/>
      <c r="AR2912" s="750"/>
      <c r="AS2912" s="750"/>
      <c r="AT2912" s="750"/>
      <c r="AU2912" s="750"/>
      <c r="AV2912" s="750"/>
      <c r="AW2912" s="750"/>
      <c r="AX2912" s="750"/>
      <c r="AY2912" s="750"/>
      <c r="AZ2912" s="750"/>
      <c r="BA2912" s="750"/>
      <c r="BB2912" s="750"/>
      <c r="BC2912" s="750"/>
      <c r="BD2912" s="750"/>
      <c r="BE2912" s="750"/>
      <c r="BF2912" s="750"/>
      <c r="BG2912" s="750"/>
      <c r="BH2912" s="750"/>
      <c r="BI2912" s="750"/>
      <c r="BJ2912" s="750"/>
      <c r="BK2912" s="750"/>
      <c r="BL2912" s="750"/>
      <c r="BM2912" s="750"/>
      <c r="BN2912" s="750"/>
      <c r="BO2912" s="750"/>
      <c r="BP2912" s="750"/>
      <c r="BQ2912" s="750"/>
    </row>
    <row r="2913" spans="3:69">
      <c r="C2913" s="853"/>
      <c r="D2913" s="853"/>
      <c r="E2913" s="853"/>
      <c r="F2913" s="853"/>
      <c r="G2913" s="853"/>
      <c r="H2913" s="853"/>
      <c r="I2913" s="848"/>
      <c r="J2913" s="848"/>
      <c r="K2913" s="1295"/>
      <c r="L2913" s="1295"/>
      <c r="M2913" s="1295"/>
      <c r="N2913" s="1295"/>
      <c r="O2913" s="1295"/>
      <c r="P2913" s="853"/>
      <c r="Q2913" s="1295"/>
      <c r="R2913" s="848"/>
      <c r="S2913" s="848"/>
      <c r="T2913" s="848"/>
      <c r="U2913" s="848"/>
      <c r="V2913" s="1296"/>
      <c r="W2913" s="848"/>
      <c r="X2913" s="848"/>
      <c r="Y2913" s="1295"/>
      <c r="Z2913" s="1296"/>
      <c r="AA2913" s="1295"/>
      <c r="AB2913" s="1296"/>
      <c r="AC2913" s="1295"/>
      <c r="AD2913" s="1295"/>
      <c r="AE2913" s="2556"/>
      <c r="AF2913" s="750"/>
      <c r="AG2913" s="750"/>
      <c r="AH2913" s="750"/>
      <c r="AI2913" s="750"/>
      <c r="AJ2913" s="750"/>
      <c r="AK2913" s="750"/>
      <c r="AL2913" s="750"/>
      <c r="AM2913" s="750"/>
      <c r="AN2913" s="750"/>
      <c r="AO2913" s="750"/>
      <c r="AP2913" s="750"/>
      <c r="AQ2913" s="750"/>
      <c r="AR2913" s="750"/>
      <c r="AS2913" s="750"/>
      <c r="AT2913" s="750"/>
      <c r="AU2913" s="750"/>
      <c r="AV2913" s="750"/>
      <c r="AW2913" s="750"/>
      <c r="AX2913" s="750"/>
      <c r="AY2913" s="750"/>
      <c r="AZ2913" s="750"/>
      <c r="BA2913" s="750"/>
      <c r="BB2913" s="750"/>
      <c r="BC2913" s="750"/>
      <c r="BD2913" s="750"/>
      <c r="BE2913" s="750"/>
      <c r="BF2913" s="750"/>
      <c r="BG2913" s="750"/>
      <c r="BH2913" s="750"/>
      <c r="BI2913" s="750"/>
      <c r="BJ2913" s="750"/>
      <c r="BK2913" s="750"/>
      <c r="BL2913" s="750"/>
      <c r="BM2913" s="750"/>
      <c r="BN2913" s="750"/>
      <c r="BO2913" s="750"/>
      <c r="BP2913" s="750"/>
      <c r="BQ2913" s="750"/>
    </row>
    <row r="2914" spans="3:69">
      <c r="C2914" s="853"/>
      <c r="D2914" s="853"/>
      <c r="E2914" s="853"/>
      <c r="F2914" s="853"/>
      <c r="G2914" s="853"/>
      <c r="H2914" s="853"/>
      <c r="I2914" s="848"/>
      <c r="J2914" s="848"/>
      <c r="K2914" s="1295"/>
      <c r="L2914" s="1295"/>
      <c r="M2914" s="1295"/>
      <c r="N2914" s="1295"/>
      <c r="O2914" s="1295"/>
      <c r="P2914" s="853"/>
      <c r="Q2914" s="1295"/>
      <c r="R2914" s="848"/>
      <c r="S2914" s="848"/>
      <c r="T2914" s="848"/>
      <c r="U2914" s="848"/>
      <c r="V2914" s="1296"/>
      <c r="W2914" s="848"/>
      <c r="X2914" s="848"/>
      <c r="Y2914" s="1295"/>
      <c r="Z2914" s="1296"/>
      <c r="AA2914" s="1295"/>
      <c r="AB2914" s="1296"/>
      <c r="AC2914" s="1295"/>
      <c r="AD2914" s="1295"/>
      <c r="AE2914" s="2556"/>
      <c r="AF2914" s="750"/>
      <c r="AG2914" s="750"/>
      <c r="AH2914" s="750"/>
      <c r="AI2914" s="750"/>
      <c r="AJ2914" s="750"/>
      <c r="AK2914" s="750"/>
      <c r="AL2914" s="750"/>
      <c r="AM2914" s="750"/>
      <c r="AN2914" s="750"/>
      <c r="AO2914" s="750"/>
      <c r="AP2914" s="750"/>
      <c r="AQ2914" s="750"/>
      <c r="AR2914" s="750"/>
      <c r="AS2914" s="750"/>
      <c r="AT2914" s="750"/>
      <c r="AU2914" s="750"/>
      <c r="AV2914" s="750"/>
      <c r="AW2914" s="750"/>
      <c r="AX2914" s="750"/>
      <c r="AY2914" s="750"/>
      <c r="AZ2914" s="750"/>
      <c r="BA2914" s="750"/>
      <c r="BB2914" s="750"/>
      <c r="BC2914" s="750"/>
      <c r="BD2914" s="750"/>
      <c r="BE2914" s="750"/>
      <c r="BF2914" s="750"/>
      <c r="BG2914" s="750"/>
      <c r="BH2914" s="750"/>
      <c r="BI2914" s="750"/>
      <c r="BJ2914" s="750"/>
      <c r="BK2914" s="750"/>
      <c r="BL2914" s="750"/>
      <c r="BM2914" s="750"/>
      <c r="BN2914" s="750"/>
      <c r="BO2914" s="750"/>
      <c r="BP2914" s="750"/>
      <c r="BQ2914" s="750"/>
    </row>
    <row r="2915" spans="3:69">
      <c r="C2915" s="853"/>
      <c r="D2915" s="853"/>
      <c r="E2915" s="853"/>
      <c r="F2915" s="853"/>
      <c r="G2915" s="853"/>
      <c r="H2915" s="853"/>
      <c r="I2915" s="848"/>
      <c r="J2915" s="848"/>
      <c r="K2915" s="1295"/>
      <c r="L2915" s="1295"/>
      <c r="M2915" s="1295"/>
      <c r="N2915" s="1295"/>
      <c r="O2915" s="1295"/>
      <c r="P2915" s="853"/>
      <c r="Q2915" s="1295"/>
      <c r="R2915" s="848"/>
      <c r="S2915" s="848"/>
      <c r="T2915" s="848"/>
      <c r="U2915" s="848"/>
      <c r="V2915" s="1296"/>
      <c r="W2915" s="848"/>
      <c r="X2915" s="848"/>
      <c r="Y2915" s="1295"/>
      <c r="Z2915" s="1296"/>
      <c r="AA2915" s="1295"/>
      <c r="AB2915" s="1296"/>
      <c r="AC2915" s="1295"/>
      <c r="AD2915" s="1295"/>
      <c r="AE2915" s="2556"/>
      <c r="AF2915" s="750"/>
      <c r="AG2915" s="750"/>
      <c r="AH2915" s="750"/>
      <c r="AI2915" s="750"/>
      <c r="AJ2915" s="750"/>
      <c r="AK2915" s="750"/>
      <c r="AL2915" s="750"/>
      <c r="AM2915" s="750"/>
      <c r="AN2915" s="750"/>
      <c r="AO2915" s="750"/>
      <c r="AP2915" s="750"/>
      <c r="AQ2915" s="750"/>
      <c r="AR2915" s="750"/>
      <c r="AS2915" s="750"/>
      <c r="AT2915" s="750"/>
      <c r="AU2915" s="750"/>
      <c r="AV2915" s="750"/>
      <c r="AW2915" s="750"/>
      <c r="AX2915" s="750"/>
      <c r="AY2915" s="750"/>
      <c r="AZ2915" s="750"/>
      <c r="BA2915" s="750"/>
      <c r="BB2915" s="750"/>
      <c r="BC2915" s="750"/>
      <c r="BD2915" s="750"/>
      <c r="BE2915" s="750"/>
      <c r="BF2915" s="750"/>
      <c r="BG2915" s="750"/>
      <c r="BH2915" s="750"/>
      <c r="BI2915" s="750"/>
      <c r="BJ2915" s="750"/>
      <c r="BK2915" s="750"/>
      <c r="BL2915" s="750"/>
      <c r="BM2915" s="750"/>
      <c r="BN2915" s="750"/>
      <c r="BO2915" s="750"/>
      <c r="BP2915" s="750"/>
      <c r="BQ2915" s="750"/>
    </row>
    <row r="2916" spans="3:69">
      <c r="C2916" s="853"/>
      <c r="D2916" s="853"/>
      <c r="E2916" s="853"/>
      <c r="F2916" s="853"/>
      <c r="G2916" s="853"/>
      <c r="H2916" s="853"/>
      <c r="I2916" s="848"/>
      <c r="J2916" s="848"/>
      <c r="K2916" s="1295"/>
      <c r="L2916" s="1295"/>
      <c r="M2916" s="1295"/>
      <c r="N2916" s="1295"/>
      <c r="O2916" s="1295"/>
      <c r="P2916" s="853"/>
      <c r="Q2916" s="1295"/>
      <c r="R2916" s="848"/>
      <c r="S2916" s="848"/>
      <c r="T2916" s="848"/>
      <c r="U2916" s="848"/>
      <c r="V2916" s="1296"/>
      <c r="W2916" s="848"/>
      <c r="X2916" s="848"/>
      <c r="Y2916" s="1295"/>
      <c r="Z2916" s="1296"/>
      <c r="AA2916" s="1295"/>
      <c r="AB2916" s="1296"/>
      <c r="AC2916" s="1295"/>
      <c r="AD2916" s="1295"/>
      <c r="AE2916" s="2556"/>
      <c r="AF2916" s="750"/>
      <c r="AG2916" s="750"/>
      <c r="AH2916" s="750"/>
      <c r="AI2916" s="750"/>
      <c r="AJ2916" s="750"/>
      <c r="AK2916" s="750"/>
      <c r="AL2916" s="750"/>
      <c r="AM2916" s="750"/>
      <c r="AN2916" s="750"/>
      <c r="AO2916" s="750"/>
      <c r="AP2916" s="750"/>
      <c r="AQ2916" s="750"/>
      <c r="AR2916" s="750"/>
      <c r="AS2916" s="750"/>
      <c r="AT2916" s="750"/>
      <c r="AU2916" s="750"/>
      <c r="AV2916" s="750"/>
      <c r="AW2916" s="750"/>
      <c r="AX2916" s="750"/>
      <c r="AY2916" s="750"/>
      <c r="AZ2916" s="750"/>
      <c r="BA2916" s="750"/>
      <c r="BB2916" s="750"/>
      <c r="BC2916" s="750"/>
      <c r="BD2916" s="750"/>
      <c r="BE2916" s="750"/>
      <c r="BF2916" s="750"/>
      <c r="BG2916" s="750"/>
      <c r="BH2916" s="750"/>
      <c r="BI2916" s="750"/>
      <c r="BJ2916" s="750"/>
      <c r="BK2916" s="750"/>
      <c r="BL2916" s="750"/>
      <c r="BM2916" s="750"/>
      <c r="BN2916" s="750"/>
      <c r="BO2916" s="750"/>
      <c r="BP2916" s="750"/>
      <c r="BQ2916" s="750"/>
    </row>
    <row r="2917" spans="3:69">
      <c r="C2917" s="853"/>
      <c r="D2917" s="853"/>
      <c r="E2917" s="853"/>
      <c r="F2917" s="853"/>
      <c r="G2917" s="853"/>
      <c r="H2917" s="853"/>
      <c r="I2917" s="848"/>
      <c r="J2917" s="848"/>
      <c r="K2917" s="1295"/>
      <c r="L2917" s="1295"/>
      <c r="M2917" s="1295"/>
      <c r="N2917" s="1295"/>
      <c r="O2917" s="1295"/>
      <c r="P2917" s="853"/>
      <c r="Q2917" s="1295"/>
      <c r="R2917" s="848"/>
      <c r="S2917" s="848"/>
      <c r="T2917" s="848"/>
      <c r="U2917" s="848"/>
      <c r="V2917" s="1296"/>
      <c r="W2917" s="848"/>
      <c r="X2917" s="848"/>
      <c r="Y2917" s="1295"/>
      <c r="Z2917" s="1296"/>
      <c r="AA2917" s="1295"/>
      <c r="AB2917" s="1296"/>
      <c r="AC2917" s="1295"/>
      <c r="AD2917" s="1295"/>
      <c r="AE2917" s="2556"/>
      <c r="AF2917" s="750"/>
      <c r="AG2917" s="750"/>
      <c r="AH2917" s="750"/>
      <c r="AI2917" s="750"/>
      <c r="AJ2917" s="750"/>
      <c r="AK2917" s="750"/>
      <c r="AL2917" s="750"/>
      <c r="AM2917" s="750"/>
      <c r="AN2917" s="750"/>
      <c r="AO2917" s="750"/>
      <c r="AP2917" s="750"/>
      <c r="AQ2917" s="750"/>
      <c r="AR2917" s="750"/>
      <c r="AS2917" s="750"/>
      <c r="AT2917" s="750"/>
      <c r="AU2917" s="750"/>
      <c r="AV2917" s="750"/>
      <c r="AW2917" s="750"/>
      <c r="AX2917" s="750"/>
      <c r="AY2917" s="750"/>
      <c r="AZ2917" s="750"/>
      <c r="BA2917" s="750"/>
      <c r="BB2917" s="750"/>
      <c r="BC2917" s="750"/>
      <c r="BD2917" s="750"/>
      <c r="BE2917" s="750"/>
      <c r="BF2917" s="750"/>
      <c r="BG2917" s="750"/>
      <c r="BH2917" s="750"/>
      <c r="BI2917" s="750"/>
      <c r="BJ2917" s="750"/>
      <c r="BK2917" s="750"/>
      <c r="BL2917" s="750"/>
      <c r="BM2917" s="750"/>
      <c r="BN2917" s="750"/>
      <c r="BO2917" s="750"/>
      <c r="BP2917" s="750"/>
      <c r="BQ2917" s="750"/>
    </row>
    <row r="2918" spans="3:69">
      <c r="C2918" s="853"/>
      <c r="D2918" s="853"/>
      <c r="E2918" s="853"/>
      <c r="F2918" s="853"/>
      <c r="G2918" s="853"/>
      <c r="H2918" s="853"/>
      <c r="I2918" s="848"/>
      <c r="J2918" s="848"/>
      <c r="K2918" s="1295"/>
      <c r="L2918" s="1295"/>
      <c r="M2918" s="1295"/>
      <c r="N2918" s="1295"/>
      <c r="O2918" s="1295"/>
      <c r="P2918" s="853"/>
      <c r="Q2918" s="1295"/>
      <c r="R2918" s="848"/>
      <c r="S2918" s="848"/>
      <c r="T2918" s="848"/>
      <c r="U2918" s="848"/>
      <c r="V2918" s="1296"/>
      <c r="W2918" s="848"/>
      <c r="X2918" s="848"/>
      <c r="Y2918" s="1295"/>
      <c r="Z2918" s="1296"/>
      <c r="AA2918" s="1295"/>
      <c r="AB2918" s="1296"/>
      <c r="AC2918" s="1295"/>
      <c r="AD2918" s="1295"/>
      <c r="AE2918" s="2556"/>
      <c r="AF2918" s="750"/>
      <c r="AG2918" s="750"/>
      <c r="AH2918" s="750"/>
      <c r="AI2918" s="750"/>
      <c r="AJ2918" s="750"/>
      <c r="AK2918" s="750"/>
      <c r="AL2918" s="750"/>
      <c r="AM2918" s="750"/>
      <c r="AN2918" s="750"/>
      <c r="AO2918" s="750"/>
      <c r="AP2918" s="750"/>
      <c r="AQ2918" s="750"/>
      <c r="AR2918" s="750"/>
      <c r="AS2918" s="750"/>
      <c r="AT2918" s="750"/>
      <c r="AU2918" s="750"/>
      <c r="AV2918" s="750"/>
      <c r="AW2918" s="750"/>
      <c r="AX2918" s="750"/>
      <c r="AY2918" s="750"/>
      <c r="AZ2918" s="750"/>
      <c r="BA2918" s="750"/>
      <c r="BB2918" s="750"/>
      <c r="BC2918" s="750"/>
      <c r="BD2918" s="750"/>
      <c r="BE2918" s="750"/>
      <c r="BF2918" s="750"/>
      <c r="BG2918" s="750"/>
      <c r="BH2918" s="750"/>
      <c r="BI2918" s="750"/>
      <c r="BJ2918" s="750"/>
      <c r="BK2918" s="750"/>
      <c r="BL2918" s="750"/>
      <c r="BM2918" s="750"/>
      <c r="BN2918" s="750"/>
      <c r="BO2918" s="750"/>
      <c r="BP2918" s="750"/>
      <c r="BQ2918" s="750"/>
    </row>
    <row r="2919" spans="3:69">
      <c r="C2919" s="853"/>
      <c r="D2919" s="853"/>
      <c r="E2919" s="853"/>
      <c r="F2919" s="853"/>
      <c r="G2919" s="853"/>
      <c r="H2919" s="853"/>
      <c r="I2919" s="848"/>
      <c r="J2919" s="848"/>
      <c r="K2919" s="1295"/>
      <c r="L2919" s="1295"/>
      <c r="M2919" s="1295"/>
      <c r="N2919" s="1295"/>
      <c r="O2919" s="1295"/>
      <c r="P2919" s="853"/>
      <c r="Q2919" s="1295"/>
      <c r="R2919" s="848"/>
      <c r="S2919" s="848"/>
      <c r="T2919" s="848"/>
      <c r="U2919" s="848"/>
      <c r="V2919" s="1296"/>
      <c r="W2919" s="848"/>
      <c r="X2919" s="848"/>
      <c r="Y2919" s="1295"/>
      <c r="Z2919" s="1296"/>
      <c r="AA2919" s="1295"/>
      <c r="AB2919" s="1296"/>
      <c r="AC2919" s="1295"/>
      <c r="AD2919" s="1295"/>
      <c r="AE2919" s="2556"/>
      <c r="AF2919" s="750"/>
      <c r="AG2919" s="750"/>
      <c r="AH2919" s="750"/>
      <c r="AI2919" s="750"/>
      <c r="AJ2919" s="750"/>
      <c r="AK2919" s="750"/>
      <c r="AL2919" s="750"/>
      <c r="AM2919" s="750"/>
      <c r="AN2919" s="750"/>
      <c r="AO2919" s="750"/>
      <c r="AP2919" s="750"/>
      <c r="AQ2919" s="750"/>
      <c r="AR2919" s="750"/>
      <c r="AS2919" s="750"/>
      <c r="AT2919" s="750"/>
      <c r="AU2919" s="750"/>
      <c r="AV2919" s="750"/>
      <c r="AW2919" s="750"/>
      <c r="AX2919" s="750"/>
      <c r="AY2919" s="750"/>
      <c r="AZ2919" s="750"/>
      <c r="BA2919" s="750"/>
      <c r="BB2919" s="750"/>
      <c r="BC2919" s="750"/>
      <c r="BD2919" s="750"/>
      <c r="BE2919" s="750"/>
      <c r="BF2919" s="750"/>
      <c r="BG2919" s="750"/>
      <c r="BH2919" s="750"/>
      <c r="BI2919" s="750"/>
      <c r="BJ2919" s="750"/>
      <c r="BK2919" s="750"/>
      <c r="BL2919" s="750"/>
      <c r="BM2919" s="750"/>
      <c r="BN2919" s="750"/>
      <c r="BO2919" s="750"/>
      <c r="BP2919" s="750"/>
      <c r="BQ2919" s="750"/>
    </row>
    <row r="2920" spans="3:69">
      <c r="C2920" s="853"/>
      <c r="D2920" s="853"/>
      <c r="E2920" s="853"/>
      <c r="F2920" s="853"/>
      <c r="G2920" s="853"/>
      <c r="H2920" s="853"/>
      <c r="I2920" s="848"/>
      <c r="J2920" s="848"/>
      <c r="K2920" s="1295"/>
      <c r="L2920" s="1295"/>
      <c r="M2920" s="1295"/>
      <c r="N2920" s="1295"/>
      <c r="O2920" s="1295"/>
      <c r="P2920" s="853"/>
      <c r="Q2920" s="1295"/>
      <c r="R2920" s="848"/>
      <c r="S2920" s="848"/>
      <c r="T2920" s="848"/>
      <c r="U2920" s="848"/>
      <c r="V2920" s="1296"/>
      <c r="W2920" s="848"/>
      <c r="X2920" s="848"/>
      <c r="Y2920" s="1295"/>
      <c r="Z2920" s="1296"/>
      <c r="AA2920" s="1295"/>
      <c r="AB2920" s="1296"/>
      <c r="AC2920" s="1295"/>
      <c r="AD2920" s="1295"/>
      <c r="AE2920" s="2556"/>
      <c r="AF2920" s="750"/>
      <c r="AG2920" s="750"/>
      <c r="AH2920" s="750"/>
      <c r="AI2920" s="750"/>
      <c r="AJ2920" s="750"/>
      <c r="AK2920" s="750"/>
      <c r="AL2920" s="750"/>
      <c r="AM2920" s="750"/>
      <c r="AN2920" s="750"/>
      <c r="AO2920" s="750"/>
      <c r="AP2920" s="750"/>
      <c r="AQ2920" s="750"/>
      <c r="AR2920" s="750"/>
      <c r="AS2920" s="750"/>
      <c r="AT2920" s="750"/>
      <c r="AU2920" s="750"/>
      <c r="AV2920" s="750"/>
      <c r="AW2920" s="750"/>
      <c r="AX2920" s="750"/>
      <c r="AY2920" s="750"/>
      <c r="AZ2920" s="750"/>
      <c r="BA2920" s="750"/>
      <c r="BB2920" s="750"/>
      <c r="BC2920" s="750"/>
      <c r="BD2920" s="750"/>
      <c r="BE2920" s="750"/>
      <c r="BF2920" s="750"/>
      <c r="BG2920" s="750"/>
      <c r="BH2920" s="750"/>
      <c r="BI2920" s="750"/>
      <c r="BJ2920" s="750"/>
      <c r="BK2920" s="750"/>
      <c r="BL2920" s="750"/>
      <c r="BM2920" s="750"/>
      <c r="BN2920" s="750"/>
      <c r="BO2920" s="750"/>
      <c r="BP2920" s="750"/>
      <c r="BQ2920" s="750"/>
    </row>
    <row r="2921" spans="3:69">
      <c r="C2921" s="853"/>
      <c r="D2921" s="853"/>
      <c r="E2921" s="853"/>
      <c r="F2921" s="853"/>
      <c r="G2921" s="853"/>
      <c r="H2921" s="853"/>
      <c r="I2921" s="848"/>
      <c r="J2921" s="848"/>
      <c r="K2921" s="1295"/>
      <c r="L2921" s="1295"/>
      <c r="M2921" s="1295"/>
      <c r="N2921" s="1295"/>
      <c r="O2921" s="1295"/>
      <c r="P2921" s="853"/>
      <c r="Q2921" s="1295"/>
      <c r="R2921" s="848"/>
      <c r="S2921" s="848"/>
      <c r="T2921" s="848"/>
      <c r="U2921" s="848"/>
      <c r="V2921" s="1296"/>
      <c r="W2921" s="848"/>
      <c r="X2921" s="848"/>
      <c r="Y2921" s="1295"/>
      <c r="Z2921" s="1296"/>
      <c r="AA2921" s="1295"/>
      <c r="AB2921" s="1296"/>
      <c r="AC2921" s="1295"/>
      <c r="AD2921" s="1295"/>
      <c r="AE2921" s="2556"/>
      <c r="AF2921" s="750"/>
      <c r="AG2921" s="750"/>
      <c r="AH2921" s="750"/>
      <c r="AI2921" s="750"/>
      <c r="AJ2921" s="750"/>
      <c r="AK2921" s="750"/>
      <c r="AL2921" s="750"/>
      <c r="AM2921" s="750"/>
      <c r="AN2921" s="750"/>
      <c r="AO2921" s="750"/>
      <c r="AP2921" s="750"/>
      <c r="AQ2921" s="750"/>
      <c r="AR2921" s="750"/>
      <c r="AS2921" s="750"/>
      <c r="AT2921" s="750"/>
      <c r="AU2921" s="750"/>
      <c r="AV2921" s="750"/>
      <c r="AW2921" s="750"/>
      <c r="AX2921" s="750"/>
      <c r="AY2921" s="750"/>
      <c r="AZ2921" s="750"/>
      <c r="BA2921" s="750"/>
      <c r="BB2921" s="750"/>
      <c r="BC2921" s="750"/>
      <c r="BD2921" s="750"/>
      <c r="BE2921" s="750"/>
      <c r="BF2921" s="750"/>
      <c r="BG2921" s="750"/>
      <c r="BH2921" s="750"/>
      <c r="BI2921" s="750"/>
      <c r="BJ2921" s="750"/>
      <c r="BK2921" s="750"/>
      <c r="BL2921" s="750"/>
      <c r="BM2921" s="750"/>
      <c r="BN2921" s="750"/>
      <c r="BO2921" s="750"/>
      <c r="BP2921" s="750"/>
      <c r="BQ2921" s="750"/>
    </row>
    <row r="2922" spans="3:69">
      <c r="C2922" s="853"/>
      <c r="D2922" s="853"/>
      <c r="E2922" s="853"/>
      <c r="F2922" s="853"/>
      <c r="G2922" s="853"/>
      <c r="H2922" s="853"/>
      <c r="I2922" s="848"/>
      <c r="J2922" s="848"/>
      <c r="K2922" s="1295"/>
      <c r="L2922" s="1295"/>
      <c r="M2922" s="1295"/>
      <c r="N2922" s="1295"/>
      <c r="O2922" s="1295"/>
      <c r="P2922" s="853"/>
      <c r="Q2922" s="1295"/>
      <c r="R2922" s="848"/>
      <c r="S2922" s="848"/>
      <c r="T2922" s="848"/>
      <c r="U2922" s="848"/>
      <c r="V2922" s="1296"/>
      <c r="W2922" s="848"/>
      <c r="X2922" s="848"/>
      <c r="Y2922" s="1295"/>
      <c r="Z2922" s="1296"/>
      <c r="AA2922" s="1295"/>
      <c r="AB2922" s="1296"/>
      <c r="AC2922" s="1295"/>
      <c r="AD2922" s="1295"/>
      <c r="AE2922" s="2556"/>
      <c r="AF2922" s="750"/>
      <c r="AG2922" s="750"/>
      <c r="AH2922" s="750"/>
      <c r="AI2922" s="750"/>
      <c r="AJ2922" s="750"/>
      <c r="AK2922" s="750"/>
      <c r="AL2922" s="750"/>
      <c r="AM2922" s="750"/>
      <c r="AN2922" s="750"/>
      <c r="AO2922" s="750"/>
      <c r="AP2922" s="750"/>
      <c r="AQ2922" s="750"/>
      <c r="AR2922" s="750"/>
      <c r="AS2922" s="750"/>
      <c r="AT2922" s="750"/>
      <c r="AU2922" s="750"/>
      <c r="AV2922" s="750"/>
      <c r="AW2922" s="750"/>
      <c r="AX2922" s="750"/>
      <c r="AY2922" s="750"/>
      <c r="AZ2922" s="750"/>
      <c r="BA2922" s="750"/>
      <c r="BB2922" s="750"/>
      <c r="BC2922" s="750"/>
      <c r="BD2922" s="750"/>
      <c r="BE2922" s="750"/>
      <c r="BF2922" s="750"/>
      <c r="BG2922" s="750"/>
      <c r="BH2922" s="750"/>
      <c r="BI2922" s="750"/>
      <c r="BJ2922" s="750"/>
      <c r="BK2922" s="750"/>
      <c r="BL2922" s="750"/>
      <c r="BM2922" s="750"/>
      <c r="BN2922" s="750"/>
      <c r="BO2922" s="750"/>
      <c r="BP2922" s="750"/>
      <c r="BQ2922" s="750"/>
    </row>
    <row r="2923" spans="3:69">
      <c r="C2923" s="853"/>
      <c r="D2923" s="853"/>
      <c r="E2923" s="853"/>
      <c r="F2923" s="853"/>
      <c r="G2923" s="853"/>
      <c r="H2923" s="853"/>
      <c r="I2923" s="848"/>
      <c r="J2923" s="848"/>
      <c r="K2923" s="1295"/>
      <c r="L2923" s="1295"/>
      <c r="M2923" s="1295"/>
      <c r="N2923" s="1295"/>
      <c r="O2923" s="1295"/>
      <c r="P2923" s="853"/>
      <c r="Q2923" s="1295"/>
      <c r="R2923" s="848"/>
      <c r="S2923" s="848"/>
      <c r="T2923" s="848"/>
      <c r="U2923" s="848"/>
      <c r="V2923" s="1296"/>
      <c r="W2923" s="848"/>
      <c r="X2923" s="848"/>
      <c r="Y2923" s="1295"/>
      <c r="Z2923" s="1296"/>
      <c r="AA2923" s="1295"/>
      <c r="AB2923" s="1296"/>
      <c r="AC2923" s="1295"/>
      <c r="AD2923" s="1295"/>
      <c r="AE2923" s="2556"/>
      <c r="AF2923" s="750"/>
      <c r="AG2923" s="750"/>
      <c r="AH2923" s="750"/>
      <c r="AI2923" s="750"/>
      <c r="AJ2923" s="750"/>
      <c r="AK2923" s="750"/>
      <c r="AL2923" s="750"/>
      <c r="AM2923" s="750"/>
      <c r="AN2923" s="750"/>
      <c r="AO2923" s="750"/>
      <c r="AP2923" s="750"/>
      <c r="AQ2923" s="750"/>
      <c r="AR2923" s="750"/>
      <c r="AS2923" s="750"/>
      <c r="AT2923" s="750"/>
      <c r="AU2923" s="750"/>
      <c r="AV2923" s="750"/>
      <c r="AW2923" s="750"/>
      <c r="AX2923" s="750"/>
      <c r="AY2923" s="750"/>
      <c r="AZ2923" s="750"/>
      <c r="BA2923" s="750"/>
      <c r="BB2923" s="750"/>
      <c r="BC2923" s="750"/>
      <c r="BD2923" s="750"/>
      <c r="BE2923" s="750"/>
      <c r="BF2923" s="750"/>
      <c r="BG2923" s="750"/>
      <c r="BH2923" s="750"/>
      <c r="BI2923" s="750"/>
      <c r="BJ2923" s="750"/>
      <c r="BK2923" s="750"/>
      <c r="BL2923" s="750"/>
      <c r="BM2923" s="750"/>
      <c r="BN2923" s="750"/>
      <c r="BO2923" s="750"/>
      <c r="BP2923" s="750"/>
      <c r="BQ2923" s="750"/>
    </row>
    <row r="2924" spans="3:69">
      <c r="C2924" s="853"/>
      <c r="D2924" s="853"/>
      <c r="E2924" s="853"/>
      <c r="F2924" s="853"/>
      <c r="G2924" s="853"/>
      <c r="H2924" s="853"/>
      <c r="I2924" s="848"/>
      <c r="J2924" s="848"/>
      <c r="K2924" s="1295"/>
      <c r="L2924" s="1295"/>
      <c r="M2924" s="1295"/>
      <c r="N2924" s="1295"/>
      <c r="O2924" s="1295"/>
      <c r="P2924" s="853"/>
      <c r="Q2924" s="1295"/>
      <c r="R2924" s="848"/>
      <c r="S2924" s="848"/>
      <c r="T2924" s="848"/>
      <c r="U2924" s="848"/>
      <c r="V2924" s="1296"/>
      <c r="W2924" s="848"/>
      <c r="X2924" s="848"/>
      <c r="Y2924" s="1295"/>
      <c r="Z2924" s="1296"/>
      <c r="AA2924" s="1295"/>
      <c r="AB2924" s="1296"/>
      <c r="AC2924" s="1295"/>
      <c r="AD2924" s="1295"/>
      <c r="AE2924" s="2556"/>
      <c r="AF2924" s="750"/>
      <c r="AG2924" s="750"/>
      <c r="AH2924" s="750"/>
      <c r="AI2924" s="750"/>
      <c r="AJ2924" s="750"/>
      <c r="AK2924" s="750"/>
      <c r="AL2924" s="750"/>
      <c r="AM2924" s="750"/>
      <c r="AN2924" s="750"/>
      <c r="AO2924" s="750"/>
      <c r="AP2924" s="750"/>
      <c r="AQ2924" s="750"/>
      <c r="AR2924" s="750"/>
      <c r="AS2924" s="750"/>
      <c r="AT2924" s="750"/>
      <c r="AU2924" s="750"/>
      <c r="AV2924" s="750"/>
      <c r="AW2924" s="750"/>
      <c r="AX2924" s="750"/>
      <c r="AY2924" s="750"/>
      <c r="AZ2924" s="750"/>
      <c r="BA2924" s="750"/>
      <c r="BB2924" s="750"/>
      <c r="BC2924" s="750"/>
      <c r="BD2924" s="750"/>
      <c r="BE2924" s="750"/>
      <c r="BF2924" s="750"/>
      <c r="BG2924" s="750"/>
      <c r="BH2924" s="750"/>
      <c r="BI2924" s="750"/>
      <c r="BJ2924" s="750"/>
      <c r="BK2924" s="750"/>
      <c r="BL2924" s="750"/>
      <c r="BM2924" s="750"/>
      <c r="BN2924" s="750"/>
      <c r="BO2924" s="750"/>
      <c r="BP2924" s="750"/>
      <c r="BQ2924" s="750"/>
    </row>
    <row r="2925" spans="3:69">
      <c r="C2925" s="853"/>
      <c r="D2925" s="853"/>
      <c r="E2925" s="853"/>
      <c r="F2925" s="853"/>
      <c r="G2925" s="853"/>
      <c r="H2925" s="853"/>
      <c r="I2925" s="848"/>
      <c r="J2925" s="848"/>
      <c r="K2925" s="1295"/>
      <c r="L2925" s="1295"/>
      <c r="M2925" s="1295"/>
      <c r="N2925" s="1295"/>
      <c r="O2925" s="1295"/>
      <c r="P2925" s="853"/>
      <c r="Q2925" s="1295"/>
      <c r="R2925" s="848"/>
      <c r="S2925" s="848"/>
      <c r="T2925" s="848"/>
      <c r="U2925" s="848"/>
      <c r="V2925" s="1296"/>
      <c r="W2925" s="848"/>
      <c r="X2925" s="848"/>
      <c r="Y2925" s="1295"/>
      <c r="Z2925" s="1296"/>
      <c r="AA2925" s="1295"/>
      <c r="AB2925" s="1296"/>
      <c r="AC2925" s="1295"/>
      <c r="AD2925" s="1295"/>
      <c r="AE2925" s="2556"/>
      <c r="AF2925" s="750"/>
      <c r="AG2925" s="750"/>
      <c r="AH2925" s="750"/>
      <c r="AI2925" s="750"/>
      <c r="AJ2925" s="750"/>
      <c r="AK2925" s="750"/>
      <c r="AL2925" s="750"/>
      <c r="AM2925" s="750"/>
      <c r="AN2925" s="750"/>
      <c r="AO2925" s="750"/>
      <c r="AP2925" s="750"/>
      <c r="AQ2925" s="750"/>
      <c r="AR2925" s="750"/>
      <c r="AS2925" s="750"/>
      <c r="AT2925" s="750"/>
      <c r="AU2925" s="750"/>
      <c r="AV2925" s="750"/>
      <c r="AW2925" s="750"/>
      <c r="AX2925" s="750"/>
      <c r="AY2925" s="750"/>
      <c r="AZ2925" s="750"/>
      <c r="BA2925" s="750"/>
      <c r="BB2925" s="750"/>
      <c r="BC2925" s="750"/>
      <c r="BD2925" s="750"/>
      <c r="BE2925" s="750"/>
      <c r="BF2925" s="750"/>
      <c r="BG2925" s="750"/>
      <c r="BH2925" s="750"/>
      <c r="BI2925" s="750"/>
      <c r="BJ2925" s="750"/>
      <c r="BK2925" s="750"/>
      <c r="BL2925" s="750"/>
      <c r="BM2925" s="750"/>
      <c r="BN2925" s="750"/>
      <c r="BO2925" s="750"/>
      <c r="BP2925" s="750"/>
      <c r="BQ2925" s="750"/>
    </row>
    <row r="2926" spans="3:69">
      <c r="C2926" s="853"/>
      <c r="D2926" s="853"/>
      <c r="E2926" s="853"/>
      <c r="F2926" s="853"/>
      <c r="G2926" s="853"/>
      <c r="H2926" s="853"/>
      <c r="I2926" s="848"/>
      <c r="J2926" s="848"/>
      <c r="K2926" s="1295"/>
      <c r="L2926" s="1295"/>
      <c r="M2926" s="1295"/>
      <c r="N2926" s="1295"/>
      <c r="O2926" s="1295"/>
      <c r="P2926" s="853"/>
      <c r="Q2926" s="1295"/>
      <c r="R2926" s="848"/>
      <c r="S2926" s="848"/>
      <c r="T2926" s="848"/>
      <c r="U2926" s="848"/>
      <c r="V2926" s="1296"/>
      <c r="W2926" s="848"/>
      <c r="X2926" s="848"/>
      <c r="Y2926" s="1295"/>
      <c r="Z2926" s="1296"/>
      <c r="AA2926" s="1295"/>
      <c r="AB2926" s="1296"/>
      <c r="AC2926" s="1295"/>
      <c r="AD2926" s="1295"/>
      <c r="AE2926" s="2556"/>
      <c r="AF2926" s="750"/>
      <c r="AG2926" s="750"/>
      <c r="AH2926" s="750"/>
      <c r="AI2926" s="750"/>
      <c r="AJ2926" s="750"/>
      <c r="AK2926" s="750"/>
      <c r="AL2926" s="750"/>
      <c r="AM2926" s="750"/>
      <c r="AN2926" s="750"/>
      <c r="AO2926" s="750"/>
      <c r="AP2926" s="750"/>
      <c r="AQ2926" s="750"/>
      <c r="AR2926" s="750"/>
      <c r="AS2926" s="750"/>
      <c r="AT2926" s="750"/>
      <c r="AU2926" s="750"/>
      <c r="AV2926" s="750"/>
      <c r="AW2926" s="750"/>
      <c r="AX2926" s="750"/>
      <c r="AY2926" s="750"/>
      <c r="AZ2926" s="750"/>
      <c r="BA2926" s="750"/>
      <c r="BB2926" s="750"/>
      <c r="BC2926" s="750"/>
      <c r="BD2926" s="750"/>
      <c r="BE2926" s="750"/>
      <c r="BF2926" s="750"/>
      <c r="BG2926" s="750"/>
      <c r="BH2926" s="750"/>
      <c r="BI2926" s="750"/>
      <c r="BJ2926" s="750"/>
      <c r="BK2926" s="750"/>
      <c r="BL2926" s="750"/>
      <c r="BM2926" s="750"/>
      <c r="BN2926" s="750"/>
      <c r="BO2926" s="750"/>
      <c r="BP2926" s="750"/>
      <c r="BQ2926" s="750"/>
    </row>
    <row r="2927" spans="3:69">
      <c r="C2927" s="853"/>
      <c r="D2927" s="853"/>
      <c r="E2927" s="853"/>
      <c r="F2927" s="853"/>
      <c r="G2927" s="853"/>
      <c r="H2927" s="853"/>
      <c r="I2927" s="848"/>
      <c r="J2927" s="848"/>
      <c r="K2927" s="1295"/>
      <c r="L2927" s="1295"/>
      <c r="M2927" s="1295"/>
      <c r="N2927" s="1295"/>
      <c r="O2927" s="1295"/>
      <c r="P2927" s="853"/>
      <c r="Q2927" s="1295"/>
      <c r="R2927" s="848"/>
      <c r="S2927" s="848"/>
      <c r="T2927" s="848"/>
      <c r="U2927" s="848"/>
      <c r="V2927" s="1296"/>
      <c r="W2927" s="848"/>
      <c r="X2927" s="848"/>
      <c r="Y2927" s="1295"/>
      <c r="Z2927" s="1296"/>
      <c r="AA2927" s="1295"/>
      <c r="AB2927" s="1296"/>
      <c r="AC2927" s="1295"/>
      <c r="AD2927" s="1295"/>
      <c r="AE2927" s="2556"/>
      <c r="AF2927" s="750"/>
      <c r="AG2927" s="750"/>
      <c r="AH2927" s="750"/>
      <c r="AI2927" s="750"/>
      <c r="AJ2927" s="750"/>
      <c r="AK2927" s="750"/>
      <c r="AL2927" s="750"/>
      <c r="AM2927" s="750"/>
      <c r="AN2927" s="750"/>
      <c r="AO2927" s="750"/>
      <c r="AP2927" s="750"/>
      <c r="AQ2927" s="750"/>
      <c r="AR2927" s="750"/>
      <c r="AS2927" s="750"/>
      <c r="AT2927" s="750"/>
      <c r="AU2927" s="750"/>
      <c r="AV2927" s="750"/>
      <c r="AW2927" s="750"/>
      <c r="AX2927" s="750"/>
      <c r="AY2927" s="750"/>
      <c r="AZ2927" s="750"/>
      <c r="BA2927" s="750"/>
      <c r="BB2927" s="750"/>
      <c r="BC2927" s="750"/>
      <c r="BD2927" s="750"/>
      <c r="BE2927" s="750"/>
      <c r="BF2927" s="750"/>
      <c r="BG2927" s="750"/>
      <c r="BH2927" s="750"/>
      <c r="BI2927" s="750"/>
      <c r="BJ2927" s="750"/>
      <c r="BK2927" s="750"/>
      <c r="BL2927" s="750"/>
      <c r="BM2927" s="750"/>
      <c r="BN2927" s="750"/>
      <c r="BO2927" s="750"/>
      <c r="BP2927" s="750"/>
      <c r="BQ2927" s="750"/>
    </row>
    <row r="2928" spans="3:69">
      <c r="C2928" s="853"/>
      <c r="D2928" s="853"/>
      <c r="E2928" s="853"/>
      <c r="F2928" s="853"/>
      <c r="G2928" s="853"/>
      <c r="H2928" s="853"/>
      <c r="I2928" s="848"/>
      <c r="J2928" s="848"/>
      <c r="K2928" s="1295"/>
      <c r="L2928" s="1295"/>
      <c r="M2928" s="1295"/>
      <c r="N2928" s="1295"/>
      <c r="O2928" s="1295"/>
      <c r="P2928" s="853"/>
      <c r="Q2928" s="1295"/>
      <c r="R2928" s="848"/>
      <c r="S2928" s="848"/>
      <c r="T2928" s="848"/>
      <c r="U2928" s="848"/>
      <c r="V2928" s="1296"/>
      <c r="W2928" s="848"/>
      <c r="X2928" s="848"/>
      <c r="Y2928" s="1295"/>
      <c r="Z2928" s="1296"/>
      <c r="AA2928" s="1295"/>
      <c r="AB2928" s="1296"/>
      <c r="AC2928" s="1295"/>
      <c r="AD2928" s="1295"/>
      <c r="AE2928" s="2556"/>
      <c r="AF2928" s="750"/>
      <c r="AG2928" s="750"/>
      <c r="AH2928" s="750"/>
      <c r="AI2928" s="750"/>
      <c r="AJ2928" s="750"/>
      <c r="AK2928" s="750"/>
      <c r="AL2928" s="750"/>
      <c r="AM2928" s="750"/>
      <c r="AN2928" s="750"/>
      <c r="AO2928" s="750"/>
      <c r="AP2928" s="750"/>
      <c r="AQ2928" s="750"/>
      <c r="AR2928" s="750"/>
      <c r="AS2928" s="750"/>
      <c r="AT2928" s="750"/>
      <c r="AU2928" s="750"/>
      <c r="AV2928" s="750"/>
      <c r="AW2928" s="750"/>
      <c r="AX2928" s="750"/>
      <c r="AY2928" s="750"/>
      <c r="AZ2928" s="750"/>
      <c r="BA2928" s="750"/>
      <c r="BB2928" s="750"/>
      <c r="BC2928" s="750"/>
      <c r="BD2928" s="750"/>
      <c r="BE2928" s="750"/>
      <c r="BF2928" s="750"/>
      <c r="BG2928" s="750"/>
      <c r="BH2928" s="750"/>
      <c r="BI2928" s="750"/>
      <c r="BJ2928" s="750"/>
      <c r="BK2928" s="750"/>
      <c r="BL2928" s="750"/>
      <c r="BM2928" s="750"/>
      <c r="BN2928" s="750"/>
      <c r="BO2928" s="750"/>
      <c r="BP2928" s="750"/>
      <c r="BQ2928" s="750"/>
    </row>
    <row r="2929" spans="3:69">
      <c r="C2929" s="853"/>
      <c r="D2929" s="853"/>
      <c r="E2929" s="853"/>
      <c r="F2929" s="853"/>
      <c r="G2929" s="853"/>
      <c r="H2929" s="853"/>
      <c r="I2929" s="848"/>
      <c r="J2929" s="848"/>
      <c r="K2929" s="1295"/>
      <c r="L2929" s="1295"/>
      <c r="M2929" s="1295"/>
      <c r="N2929" s="1295"/>
      <c r="O2929" s="1295"/>
      <c r="P2929" s="853"/>
      <c r="Q2929" s="1295"/>
      <c r="R2929" s="848"/>
      <c r="S2929" s="848"/>
      <c r="T2929" s="848"/>
      <c r="U2929" s="848"/>
      <c r="V2929" s="1296"/>
      <c r="W2929" s="848"/>
      <c r="X2929" s="848"/>
      <c r="Y2929" s="1295"/>
      <c r="Z2929" s="1296"/>
      <c r="AA2929" s="1295"/>
      <c r="AB2929" s="1296"/>
      <c r="AC2929" s="1295"/>
      <c r="AD2929" s="1295"/>
      <c r="AE2929" s="2556"/>
      <c r="AF2929" s="750"/>
      <c r="AG2929" s="750"/>
      <c r="AH2929" s="750"/>
      <c r="AI2929" s="750"/>
      <c r="AJ2929" s="750"/>
      <c r="AK2929" s="750"/>
      <c r="AL2929" s="750"/>
      <c r="AM2929" s="750"/>
      <c r="AN2929" s="750"/>
      <c r="AO2929" s="750"/>
      <c r="AP2929" s="750"/>
      <c r="AQ2929" s="750"/>
      <c r="AR2929" s="750"/>
      <c r="AS2929" s="750"/>
      <c r="AT2929" s="750"/>
      <c r="AU2929" s="750"/>
      <c r="AV2929" s="750"/>
      <c r="AW2929" s="750"/>
      <c r="AX2929" s="750"/>
      <c r="AY2929" s="750"/>
      <c r="AZ2929" s="750"/>
      <c r="BA2929" s="750"/>
      <c r="BB2929" s="750"/>
      <c r="BC2929" s="750"/>
      <c r="BD2929" s="750"/>
      <c r="BE2929" s="750"/>
      <c r="BF2929" s="750"/>
      <c r="BG2929" s="750"/>
      <c r="BH2929" s="750"/>
      <c r="BI2929" s="750"/>
      <c r="BJ2929" s="750"/>
      <c r="BK2929" s="750"/>
      <c r="BL2929" s="750"/>
      <c r="BM2929" s="750"/>
      <c r="BN2929" s="750"/>
      <c r="BO2929" s="750"/>
      <c r="BP2929" s="750"/>
      <c r="BQ2929" s="750"/>
    </row>
    <row r="2930" spans="3:69">
      <c r="C2930" s="853"/>
      <c r="D2930" s="853"/>
      <c r="E2930" s="853"/>
      <c r="F2930" s="853"/>
      <c r="G2930" s="853"/>
      <c r="H2930" s="853"/>
      <c r="I2930" s="848"/>
      <c r="J2930" s="848"/>
      <c r="K2930" s="1295"/>
      <c r="L2930" s="1295"/>
      <c r="M2930" s="1295"/>
      <c r="N2930" s="1295"/>
      <c r="O2930" s="1295"/>
      <c r="P2930" s="853"/>
      <c r="Q2930" s="1295"/>
      <c r="R2930" s="848"/>
      <c r="S2930" s="848"/>
      <c r="T2930" s="848"/>
      <c r="U2930" s="848"/>
      <c r="V2930" s="1296"/>
      <c r="W2930" s="848"/>
      <c r="X2930" s="848"/>
      <c r="Y2930" s="1295"/>
      <c r="Z2930" s="1296"/>
      <c r="AA2930" s="1295"/>
      <c r="AB2930" s="1296"/>
      <c r="AC2930" s="1295"/>
      <c r="AD2930" s="1295"/>
      <c r="AE2930" s="2556"/>
      <c r="AF2930" s="750"/>
      <c r="AG2930" s="750"/>
      <c r="AH2930" s="750"/>
      <c r="AI2930" s="750"/>
      <c r="AJ2930" s="750"/>
      <c r="AK2930" s="750"/>
      <c r="AL2930" s="750"/>
      <c r="AM2930" s="750"/>
      <c r="AN2930" s="750"/>
      <c r="AO2930" s="750"/>
      <c r="AP2930" s="750"/>
      <c r="AQ2930" s="750"/>
      <c r="AR2930" s="750"/>
      <c r="AS2930" s="750"/>
      <c r="AT2930" s="750"/>
      <c r="AU2930" s="750"/>
      <c r="AV2930" s="750"/>
      <c r="AW2930" s="750"/>
      <c r="AX2930" s="750"/>
      <c r="AY2930" s="750"/>
      <c r="AZ2930" s="750"/>
      <c r="BA2930" s="750"/>
      <c r="BB2930" s="750"/>
      <c r="BC2930" s="750"/>
      <c r="BD2930" s="750"/>
      <c r="BE2930" s="750"/>
      <c r="BF2930" s="750"/>
      <c r="BG2930" s="750"/>
      <c r="BH2930" s="750"/>
      <c r="BI2930" s="750"/>
      <c r="BJ2930" s="750"/>
      <c r="BK2930" s="750"/>
      <c r="BL2930" s="750"/>
      <c r="BM2930" s="750"/>
      <c r="BN2930" s="750"/>
      <c r="BO2930" s="750"/>
      <c r="BP2930" s="750"/>
      <c r="BQ2930" s="750"/>
    </row>
    <row r="2931" spans="3:69">
      <c r="C2931" s="853"/>
      <c r="D2931" s="853"/>
      <c r="E2931" s="853"/>
      <c r="F2931" s="853"/>
      <c r="G2931" s="853"/>
      <c r="H2931" s="853"/>
      <c r="I2931" s="848"/>
      <c r="J2931" s="848"/>
      <c r="K2931" s="1295"/>
      <c r="L2931" s="1295"/>
      <c r="M2931" s="1295"/>
      <c r="N2931" s="1295"/>
      <c r="O2931" s="1295"/>
      <c r="P2931" s="853"/>
      <c r="Q2931" s="1295"/>
      <c r="R2931" s="848"/>
      <c r="S2931" s="848"/>
      <c r="T2931" s="848"/>
      <c r="U2931" s="848"/>
      <c r="V2931" s="1296"/>
      <c r="W2931" s="848"/>
      <c r="X2931" s="848"/>
      <c r="Y2931" s="1295"/>
      <c r="Z2931" s="1296"/>
      <c r="AA2931" s="1295"/>
      <c r="AB2931" s="1296"/>
      <c r="AC2931" s="1295"/>
      <c r="AD2931" s="1295"/>
      <c r="AE2931" s="2556"/>
      <c r="AF2931" s="750"/>
      <c r="AG2931" s="750"/>
      <c r="AH2931" s="750"/>
      <c r="AI2931" s="750"/>
      <c r="AJ2931" s="750"/>
      <c r="AK2931" s="750"/>
      <c r="AL2931" s="750"/>
      <c r="AM2931" s="750"/>
      <c r="AN2931" s="750"/>
      <c r="AO2931" s="750"/>
      <c r="AP2931" s="750"/>
      <c r="AQ2931" s="750"/>
      <c r="AR2931" s="750"/>
      <c r="AS2931" s="750"/>
      <c r="AT2931" s="750"/>
      <c r="AU2931" s="750"/>
      <c r="AV2931" s="750"/>
      <c r="AW2931" s="750"/>
      <c r="AX2931" s="750"/>
      <c r="AY2931" s="750"/>
      <c r="AZ2931" s="750"/>
      <c r="BA2931" s="750"/>
      <c r="BB2931" s="750"/>
      <c r="BC2931" s="750"/>
      <c r="BD2931" s="750"/>
      <c r="BE2931" s="750"/>
      <c r="BF2931" s="750"/>
      <c r="BG2931" s="750"/>
      <c r="BH2931" s="750"/>
      <c r="BI2931" s="750"/>
      <c r="BJ2931" s="750"/>
      <c r="BK2931" s="750"/>
      <c r="BL2931" s="750"/>
      <c r="BM2931" s="750"/>
      <c r="BN2931" s="750"/>
      <c r="BO2931" s="750"/>
      <c r="BP2931" s="750"/>
      <c r="BQ2931" s="750"/>
    </row>
    <row r="2932" spans="3:69">
      <c r="C2932" s="853"/>
      <c r="D2932" s="853"/>
      <c r="E2932" s="853"/>
      <c r="F2932" s="853"/>
      <c r="G2932" s="853"/>
      <c r="H2932" s="853"/>
      <c r="I2932" s="848"/>
      <c r="J2932" s="848"/>
      <c r="K2932" s="1295"/>
      <c r="L2932" s="1295"/>
      <c r="M2932" s="1295"/>
      <c r="N2932" s="1295"/>
      <c r="O2932" s="1295"/>
      <c r="P2932" s="853"/>
      <c r="Q2932" s="1295"/>
      <c r="R2932" s="848"/>
      <c r="S2932" s="848"/>
      <c r="T2932" s="848"/>
      <c r="U2932" s="848"/>
      <c r="V2932" s="1296"/>
      <c r="W2932" s="848"/>
      <c r="X2932" s="848"/>
      <c r="Y2932" s="1295"/>
      <c r="Z2932" s="1296"/>
      <c r="AA2932" s="1295"/>
      <c r="AB2932" s="1296"/>
      <c r="AC2932" s="1295"/>
      <c r="AD2932" s="1295"/>
      <c r="AE2932" s="2556"/>
      <c r="AF2932" s="750"/>
      <c r="AG2932" s="750"/>
      <c r="AH2932" s="750"/>
      <c r="AI2932" s="750"/>
      <c r="AJ2932" s="750"/>
      <c r="AK2932" s="750"/>
      <c r="AL2932" s="750"/>
      <c r="AM2932" s="750"/>
      <c r="AN2932" s="750"/>
      <c r="AO2932" s="750"/>
      <c r="AP2932" s="750"/>
      <c r="AQ2932" s="750"/>
      <c r="AR2932" s="750"/>
      <c r="AS2932" s="750"/>
      <c r="AT2932" s="750"/>
      <c r="AU2932" s="750"/>
      <c r="AV2932" s="750"/>
      <c r="AW2932" s="750"/>
      <c r="AX2932" s="750"/>
      <c r="AY2932" s="750"/>
      <c r="AZ2932" s="750"/>
      <c r="BA2932" s="750"/>
      <c r="BB2932" s="750"/>
      <c r="BC2932" s="750"/>
      <c r="BD2932" s="750"/>
      <c r="BE2932" s="750"/>
      <c r="BF2932" s="750"/>
      <c r="BG2932" s="750"/>
      <c r="BH2932" s="750"/>
      <c r="BI2932" s="750"/>
      <c r="BJ2932" s="750"/>
      <c r="BK2932" s="750"/>
      <c r="BL2932" s="750"/>
      <c r="BM2932" s="750"/>
      <c r="BN2932" s="750"/>
      <c r="BO2932" s="750"/>
      <c r="BP2932" s="750"/>
      <c r="BQ2932" s="750"/>
    </row>
    <row r="2933" spans="3:69">
      <c r="C2933" s="853"/>
      <c r="D2933" s="853"/>
      <c r="E2933" s="853"/>
      <c r="F2933" s="853"/>
      <c r="G2933" s="853"/>
      <c r="H2933" s="853"/>
      <c r="I2933" s="848"/>
      <c r="J2933" s="848"/>
      <c r="K2933" s="1295"/>
      <c r="L2933" s="1295"/>
      <c r="M2933" s="1295"/>
      <c r="N2933" s="1295"/>
      <c r="O2933" s="1295"/>
      <c r="P2933" s="853"/>
      <c r="Q2933" s="1295"/>
      <c r="R2933" s="848"/>
      <c r="S2933" s="848"/>
      <c r="T2933" s="848"/>
      <c r="U2933" s="848"/>
      <c r="V2933" s="1296"/>
      <c r="W2933" s="848"/>
      <c r="X2933" s="848"/>
      <c r="Y2933" s="1295"/>
      <c r="Z2933" s="1296"/>
      <c r="AA2933" s="1295"/>
      <c r="AB2933" s="1296"/>
      <c r="AC2933" s="1295"/>
      <c r="AD2933" s="1295"/>
      <c r="AE2933" s="2556"/>
      <c r="AF2933" s="750"/>
      <c r="AG2933" s="750"/>
      <c r="AH2933" s="750"/>
      <c r="AI2933" s="750"/>
      <c r="AJ2933" s="750"/>
      <c r="AK2933" s="750"/>
      <c r="AL2933" s="750"/>
      <c r="AM2933" s="750"/>
      <c r="AN2933" s="750"/>
      <c r="AO2933" s="750"/>
      <c r="AP2933" s="750"/>
      <c r="AQ2933" s="750"/>
      <c r="AR2933" s="750"/>
      <c r="AS2933" s="750"/>
      <c r="AT2933" s="750"/>
      <c r="AU2933" s="750"/>
      <c r="AV2933" s="750"/>
      <c r="AW2933" s="750"/>
      <c r="AX2933" s="750"/>
      <c r="AY2933" s="750"/>
      <c r="AZ2933" s="750"/>
      <c r="BA2933" s="750"/>
      <c r="BB2933" s="750"/>
      <c r="BC2933" s="750"/>
      <c r="BD2933" s="750"/>
      <c r="BE2933" s="750"/>
      <c r="BF2933" s="750"/>
      <c r="BG2933" s="750"/>
      <c r="BH2933" s="750"/>
      <c r="BI2933" s="750"/>
      <c r="BJ2933" s="750"/>
      <c r="BK2933" s="750"/>
      <c r="BL2933" s="750"/>
      <c r="BM2933" s="750"/>
      <c r="BN2933" s="750"/>
      <c r="BO2933" s="750"/>
      <c r="BP2933" s="750"/>
      <c r="BQ2933" s="750"/>
    </row>
    <row r="2934" spans="3:69">
      <c r="C2934" s="853"/>
      <c r="D2934" s="853"/>
      <c r="E2934" s="853"/>
      <c r="F2934" s="853"/>
      <c r="G2934" s="853"/>
      <c r="H2934" s="853"/>
      <c r="I2934" s="848"/>
      <c r="J2934" s="848"/>
      <c r="K2934" s="1295"/>
      <c r="L2934" s="1295"/>
      <c r="M2934" s="1295"/>
      <c r="N2934" s="1295"/>
      <c r="O2934" s="1295"/>
      <c r="P2934" s="853"/>
      <c r="Q2934" s="1295"/>
      <c r="R2934" s="848"/>
      <c r="S2934" s="848"/>
      <c r="T2934" s="848"/>
      <c r="U2934" s="848"/>
      <c r="V2934" s="1296"/>
      <c r="W2934" s="848"/>
      <c r="X2934" s="848"/>
      <c r="Y2934" s="1295"/>
      <c r="Z2934" s="1296"/>
      <c r="AA2934" s="1295"/>
      <c r="AB2934" s="1296"/>
      <c r="AC2934" s="1295"/>
      <c r="AD2934" s="1295"/>
      <c r="AE2934" s="2556"/>
      <c r="AF2934" s="750"/>
      <c r="AG2934" s="750"/>
      <c r="AH2934" s="750"/>
      <c r="AI2934" s="750"/>
      <c r="AJ2934" s="750"/>
      <c r="AK2934" s="750"/>
      <c r="AL2934" s="750"/>
      <c r="AM2934" s="750"/>
      <c r="AN2934" s="750"/>
      <c r="AO2934" s="750"/>
      <c r="AP2934" s="750"/>
      <c r="AQ2934" s="750"/>
      <c r="AR2934" s="750"/>
      <c r="AS2934" s="750"/>
      <c r="AT2934" s="750"/>
      <c r="AU2934" s="750"/>
      <c r="AV2934" s="750"/>
      <c r="AW2934" s="750"/>
      <c r="AX2934" s="750"/>
      <c r="AY2934" s="750"/>
      <c r="AZ2934" s="750"/>
      <c r="BA2934" s="750"/>
      <c r="BB2934" s="750"/>
      <c r="BC2934" s="750"/>
      <c r="BD2934" s="750"/>
      <c r="BE2934" s="750"/>
      <c r="BF2934" s="750"/>
      <c r="BG2934" s="750"/>
      <c r="BH2934" s="750"/>
      <c r="BI2934" s="750"/>
      <c r="BJ2934" s="750"/>
      <c r="BK2934" s="750"/>
      <c r="BL2934" s="750"/>
      <c r="BM2934" s="750"/>
      <c r="BN2934" s="750"/>
      <c r="BO2934" s="750"/>
      <c r="BP2934" s="750"/>
      <c r="BQ2934" s="750"/>
    </row>
    <row r="2935" spans="3:69">
      <c r="C2935" s="853"/>
      <c r="D2935" s="853"/>
      <c r="E2935" s="853"/>
      <c r="F2935" s="853"/>
      <c r="G2935" s="853"/>
      <c r="H2935" s="853"/>
      <c r="I2935" s="848"/>
      <c r="J2935" s="848"/>
      <c r="K2935" s="1295"/>
      <c r="L2935" s="1295"/>
      <c r="M2935" s="1295"/>
      <c r="N2935" s="1295"/>
      <c r="O2935" s="1295"/>
      <c r="P2935" s="853"/>
      <c r="Q2935" s="1295"/>
      <c r="R2935" s="848"/>
      <c r="S2935" s="848"/>
      <c r="T2935" s="848"/>
      <c r="U2935" s="848"/>
      <c r="V2935" s="1296"/>
      <c r="W2935" s="848"/>
      <c r="X2935" s="848"/>
      <c r="Y2935" s="1295"/>
      <c r="Z2935" s="1296"/>
      <c r="AA2935" s="1295"/>
      <c r="AB2935" s="1296"/>
      <c r="AC2935" s="1295"/>
      <c r="AD2935" s="1295"/>
      <c r="AE2935" s="2556"/>
      <c r="AF2935" s="750"/>
      <c r="AG2935" s="750"/>
      <c r="AH2935" s="750"/>
      <c r="AI2935" s="750"/>
      <c r="AJ2935" s="750"/>
      <c r="AK2935" s="750"/>
      <c r="AL2935" s="750"/>
      <c r="AM2935" s="750"/>
      <c r="AN2935" s="750"/>
      <c r="AO2935" s="750"/>
      <c r="AP2935" s="750"/>
      <c r="AQ2935" s="750"/>
      <c r="AR2935" s="750"/>
      <c r="AS2935" s="750"/>
      <c r="AT2935" s="750"/>
      <c r="AU2935" s="750"/>
      <c r="AV2935" s="750"/>
      <c r="AW2935" s="750"/>
      <c r="AX2935" s="750"/>
      <c r="AY2935" s="750"/>
      <c r="AZ2935" s="750"/>
      <c r="BA2935" s="750"/>
      <c r="BB2935" s="750"/>
      <c r="BC2935" s="750"/>
      <c r="BD2935" s="750"/>
      <c r="BE2935" s="750"/>
      <c r="BF2935" s="750"/>
      <c r="BG2935" s="750"/>
      <c r="BH2935" s="750"/>
      <c r="BI2935" s="750"/>
      <c r="BJ2935" s="750"/>
      <c r="BK2935" s="750"/>
      <c r="BL2935" s="750"/>
      <c r="BM2935" s="750"/>
      <c r="BN2935" s="750"/>
      <c r="BO2935" s="750"/>
      <c r="BP2935" s="750"/>
      <c r="BQ2935" s="750"/>
    </row>
    <row r="2936" spans="3:69">
      <c r="C2936" s="853"/>
      <c r="D2936" s="853"/>
      <c r="E2936" s="853"/>
      <c r="F2936" s="853"/>
      <c r="G2936" s="853"/>
      <c r="H2936" s="853"/>
      <c r="I2936" s="848"/>
      <c r="J2936" s="848"/>
      <c r="K2936" s="1295"/>
      <c r="L2936" s="1295"/>
      <c r="M2936" s="1295"/>
      <c r="N2936" s="1295"/>
      <c r="O2936" s="1295"/>
      <c r="P2936" s="853"/>
      <c r="Q2936" s="1295"/>
      <c r="R2936" s="848"/>
      <c r="S2936" s="848"/>
      <c r="T2936" s="848"/>
      <c r="U2936" s="848"/>
      <c r="V2936" s="1296"/>
      <c r="W2936" s="848"/>
      <c r="X2936" s="848"/>
      <c r="Y2936" s="1295"/>
      <c r="Z2936" s="1296"/>
      <c r="AA2936" s="1295"/>
      <c r="AB2936" s="1296"/>
      <c r="AC2936" s="1295"/>
      <c r="AD2936" s="1295"/>
      <c r="AE2936" s="2556"/>
      <c r="AF2936" s="750"/>
      <c r="AG2936" s="750"/>
      <c r="AH2936" s="750"/>
      <c r="AI2936" s="750"/>
      <c r="AJ2936" s="750"/>
      <c r="AK2936" s="750"/>
      <c r="AL2936" s="750"/>
      <c r="AM2936" s="750"/>
      <c r="AN2936" s="750"/>
      <c r="AO2936" s="750"/>
      <c r="AP2936" s="750"/>
      <c r="AQ2936" s="750"/>
      <c r="AR2936" s="750"/>
      <c r="AS2936" s="750"/>
      <c r="AT2936" s="750"/>
      <c r="AU2936" s="750"/>
      <c r="AV2936" s="750"/>
      <c r="AW2936" s="750"/>
      <c r="AX2936" s="750"/>
      <c r="AY2936" s="750"/>
      <c r="AZ2936" s="750"/>
      <c r="BA2936" s="750"/>
      <c r="BB2936" s="750"/>
      <c r="BC2936" s="750"/>
      <c r="BD2936" s="750"/>
      <c r="BE2936" s="750"/>
      <c r="BF2936" s="750"/>
      <c r="BG2936" s="750"/>
      <c r="BH2936" s="750"/>
      <c r="BI2936" s="750"/>
      <c r="BJ2936" s="750"/>
      <c r="BK2936" s="750"/>
      <c r="BL2936" s="750"/>
      <c r="BM2936" s="750"/>
      <c r="BN2936" s="750"/>
      <c r="BO2936" s="750"/>
      <c r="BP2936" s="750"/>
      <c r="BQ2936" s="750"/>
    </row>
    <row r="2937" spans="3:69">
      <c r="C2937" s="853"/>
      <c r="D2937" s="853"/>
      <c r="E2937" s="853"/>
      <c r="F2937" s="853"/>
      <c r="G2937" s="853"/>
      <c r="H2937" s="853"/>
      <c r="I2937" s="848"/>
      <c r="J2937" s="848"/>
      <c r="K2937" s="1295"/>
      <c r="L2937" s="1295"/>
      <c r="M2937" s="1295"/>
      <c r="N2937" s="1295"/>
      <c r="O2937" s="1295"/>
      <c r="P2937" s="853"/>
      <c r="Q2937" s="1295"/>
      <c r="R2937" s="848"/>
      <c r="S2937" s="848"/>
      <c r="T2937" s="848"/>
      <c r="U2937" s="848"/>
      <c r="V2937" s="1296"/>
      <c r="W2937" s="848"/>
      <c r="X2937" s="848"/>
      <c r="Y2937" s="1295"/>
      <c r="Z2937" s="1296"/>
      <c r="AA2937" s="1295"/>
      <c r="AB2937" s="1296"/>
      <c r="AC2937" s="1295"/>
      <c r="AD2937" s="1295"/>
      <c r="AE2937" s="2556"/>
      <c r="AF2937" s="750"/>
      <c r="AG2937" s="750"/>
      <c r="AH2937" s="750"/>
      <c r="AI2937" s="750"/>
      <c r="AJ2937" s="750"/>
      <c r="AK2937" s="750"/>
      <c r="AL2937" s="750"/>
      <c r="AM2937" s="750"/>
      <c r="AN2937" s="750"/>
      <c r="AO2937" s="750"/>
      <c r="AP2937" s="750"/>
      <c r="AQ2937" s="750"/>
      <c r="AR2937" s="750"/>
      <c r="AS2937" s="750"/>
      <c r="AT2937" s="750"/>
      <c r="AU2937" s="750"/>
      <c r="AV2937" s="750"/>
      <c r="AW2937" s="750"/>
      <c r="AX2937" s="750"/>
      <c r="AY2937" s="750"/>
      <c r="AZ2937" s="750"/>
      <c r="BA2937" s="750"/>
      <c r="BB2937" s="750"/>
      <c r="BC2937" s="750"/>
      <c r="BD2937" s="750"/>
      <c r="BE2937" s="750"/>
      <c r="BF2937" s="750"/>
      <c r="BG2937" s="750"/>
      <c r="BH2937" s="750"/>
      <c r="BI2937" s="750"/>
      <c r="BJ2937" s="750"/>
      <c r="BK2937" s="750"/>
      <c r="BL2937" s="750"/>
      <c r="BM2937" s="750"/>
      <c r="BN2937" s="750"/>
      <c r="BO2937" s="750"/>
      <c r="BP2937" s="750"/>
      <c r="BQ2937" s="750"/>
    </row>
    <row r="2938" spans="3:69">
      <c r="C2938" s="853"/>
      <c r="D2938" s="853"/>
      <c r="E2938" s="853"/>
      <c r="F2938" s="853"/>
      <c r="G2938" s="853"/>
      <c r="H2938" s="853"/>
      <c r="I2938" s="848"/>
      <c r="J2938" s="848"/>
      <c r="K2938" s="1295"/>
      <c r="L2938" s="1295"/>
      <c r="M2938" s="1295"/>
      <c r="N2938" s="1295"/>
      <c r="O2938" s="1295"/>
      <c r="P2938" s="853"/>
      <c r="Q2938" s="1295"/>
      <c r="R2938" s="848"/>
      <c r="S2938" s="848"/>
      <c r="T2938" s="848"/>
      <c r="U2938" s="848"/>
      <c r="V2938" s="1296"/>
      <c r="W2938" s="848"/>
      <c r="X2938" s="848"/>
      <c r="Y2938" s="1295"/>
      <c r="Z2938" s="1296"/>
      <c r="AA2938" s="1295"/>
      <c r="AB2938" s="1296"/>
      <c r="AC2938" s="1295"/>
      <c r="AD2938" s="1295"/>
      <c r="AE2938" s="2556"/>
      <c r="AF2938" s="750"/>
      <c r="AG2938" s="750"/>
      <c r="AH2938" s="750"/>
      <c r="AI2938" s="750"/>
      <c r="AJ2938" s="750"/>
      <c r="AK2938" s="750"/>
      <c r="AL2938" s="750"/>
      <c r="AM2938" s="750"/>
      <c r="AN2938" s="750"/>
      <c r="AO2938" s="750"/>
      <c r="AP2938" s="750"/>
      <c r="AQ2938" s="750"/>
      <c r="AR2938" s="750"/>
      <c r="AS2938" s="750"/>
      <c r="AT2938" s="750"/>
      <c r="AU2938" s="750"/>
      <c r="AV2938" s="750"/>
      <c r="AW2938" s="750"/>
      <c r="AX2938" s="750"/>
      <c r="AY2938" s="750"/>
      <c r="AZ2938" s="750"/>
      <c r="BA2938" s="750"/>
      <c r="BB2938" s="750"/>
      <c r="BC2938" s="750"/>
      <c r="BD2938" s="750"/>
      <c r="BE2938" s="750"/>
      <c r="BF2938" s="750"/>
      <c r="BG2938" s="750"/>
      <c r="BH2938" s="750"/>
      <c r="BI2938" s="750"/>
      <c r="BJ2938" s="750"/>
      <c r="BK2938" s="750"/>
      <c r="BL2938" s="750"/>
      <c r="BM2938" s="750"/>
      <c r="BN2938" s="750"/>
      <c r="BO2938" s="750"/>
      <c r="BP2938" s="750"/>
      <c r="BQ2938" s="750"/>
    </row>
    <row r="2939" spans="3:69">
      <c r="C2939" s="853"/>
      <c r="D2939" s="853"/>
      <c r="E2939" s="853"/>
      <c r="F2939" s="853"/>
      <c r="G2939" s="853"/>
      <c r="H2939" s="853"/>
      <c r="I2939" s="848"/>
      <c r="J2939" s="848"/>
      <c r="K2939" s="1295"/>
      <c r="L2939" s="1295"/>
      <c r="M2939" s="1295"/>
      <c r="N2939" s="1295"/>
      <c r="O2939" s="1295"/>
      <c r="P2939" s="853"/>
      <c r="Q2939" s="1295"/>
      <c r="R2939" s="848"/>
      <c r="S2939" s="848"/>
      <c r="T2939" s="848"/>
      <c r="U2939" s="848"/>
      <c r="V2939" s="1296"/>
      <c r="W2939" s="848"/>
      <c r="X2939" s="848"/>
      <c r="Y2939" s="1295"/>
      <c r="Z2939" s="1296"/>
      <c r="AA2939" s="1295"/>
      <c r="AB2939" s="1296"/>
      <c r="AC2939" s="1295"/>
      <c r="AD2939" s="1295"/>
      <c r="AE2939" s="2556"/>
      <c r="AF2939" s="750"/>
      <c r="AG2939" s="750"/>
      <c r="AH2939" s="750"/>
      <c r="AI2939" s="750"/>
      <c r="AJ2939" s="750"/>
      <c r="AK2939" s="750"/>
      <c r="AL2939" s="750"/>
      <c r="AM2939" s="750"/>
      <c r="AN2939" s="750"/>
      <c r="AO2939" s="750"/>
      <c r="AP2939" s="750"/>
      <c r="AQ2939" s="750"/>
      <c r="AR2939" s="750"/>
      <c r="AS2939" s="750"/>
      <c r="AT2939" s="750"/>
      <c r="AU2939" s="750"/>
      <c r="AV2939" s="750"/>
      <c r="AW2939" s="750"/>
      <c r="AX2939" s="750"/>
      <c r="AY2939" s="750"/>
      <c r="AZ2939" s="750"/>
      <c r="BA2939" s="750"/>
      <c r="BB2939" s="750"/>
      <c r="BC2939" s="750"/>
      <c r="BD2939" s="750"/>
      <c r="BE2939" s="750"/>
      <c r="BF2939" s="750"/>
      <c r="BG2939" s="750"/>
      <c r="BH2939" s="750"/>
      <c r="BI2939" s="750"/>
      <c r="BJ2939" s="750"/>
      <c r="BK2939" s="750"/>
      <c r="BL2939" s="750"/>
      <c r="BM2939" s="750"/>
      <c r="BN2939" s="750"/>
      <c r="BO2939" s="750"/>
      <c r="BP2939" s="750"/>
      <c r="BQ2939" s="750"/>
    </row>
    <row r="2940" spans="3:69">
      <c r="C2940" s="853"/>
      <c r="D2940" s="853"/>
      <c r="E2940" s="853"/>
      <c r="F2940" s="853"/>
      <c r="G2940" s="853"/>
      <c r="H2940" s="853"/>
      <c r="I2940" s="848"/>
      <c r="J2940" s="848"/>
      <c r="K2940" s="1295"/>
      <c r="L2940" s="1295"/>
      <c r="M2940" s="1295"/>
      <c r="N2940" s="1295"/>
      <c r="O2940" s="1295"/>
      <c r="P2940" s="853"/>
      <c r="Q2940" s="1295"/>
      <c r="R2940" s="848"/>
      <c r="S2940" s="848"/>
      <c r="T2940" s="848"/>
      <c r="U2940" s="848"/>
      <c r="V2940" s="1296"/>
      <c r="W2940" s="848"/>
      <c r="X2940" s="848"/>
      <c r="Y2940" s="1295"/>
      <c r="Z2940" s="1296"/>
      <c r="AA2940" s="1295"/>
      <c r="AB2940" s="1296"/>
      <c r="AC2940" s="1295"/>
      <c r="AD2940" s="1295"/>
      <c r="AE2940" s="2556"/>
      <c r="AF2940" s="750"/>
      <c r="AG2940" s="750"/>
      <c r="AH2940" s="750"/>
      <c r="AI2940" s="750"/>
      <c r="AJ2940" s="750"/>
      <c r="AK2940" s="750"/>
      <c r="AL2940" s="750"/>
      <c r="AM2940" s="750"/>
      <c r="AN2940" s="750"/>
      <c r="AO2940" s="750"/>
      <c r="AP2940" s="750"/>
      <c r="AQ2940" s="750"/>
      <c r="AR2940" s="750"/>
      <c r="AS2940" s="750"/>
      <c r="AT2940" s="750"/>
      <c r="AU2940" s="750"/>
      <c r="AV2940" s="750"/>
      <c r="AW2940" s="750"/>
      <c r="AX2940" s="750"/>
      <c r="AY2940" s="750"/>
      <c r="AZ2940" s="750"/>
      <c r="BA2940" s="750"/>
      <c r="BB2940" s="750"/>
      <c r="BC2940" s="750"/>
      <c r="BD2940" s="750"/>
      <c r="BE2940" s="750"/>
      <c r="BF2940" s="750"/>
      <c r="BG2940" s="750"/>
      <c r="BH2940" s="750"/>
      <c r="BI2940" s="750"/>
      <c r="BJ2940" s="750"/>
      <c r="BK2940" s="750"/>
      <c r="BL2940" s="750"/>
      <c r="BM2940" s="750"/>
      <c r="BN2940" s="750"/>
      <c r="BO2940" s="750"/>
      <c r="BP2940" s="750"/>
      <c r="BQ2940" s="750"/>
    </row>
    <row r="2941" spans="3:69">
      <c r="C2941" s="853"/>
      <c r="D2941" s="853"/>
      <c r="E2941" s="853"/>
      <c r="F2941" s="853"/>
      <c r="G2941" s="853"/>
      <c r="H2941" s="853"/>
      <c r="I2941" s="848"/>
      <c r="J2941" s="848"/>
      <c r="K2941" s="1295"/>
      <c r="L2941" s="1295"/>
      <c r="M2941" s="1295"/>
      <c r="N2941" s="1295"/>
      <c r="O2941" s="1295"/>
      <c r="P2941" s="853"/>
      <c r="Q2941" s="1295"/>
      <c r="R2941" s="848"/>
      <c r="S2941" s="848"/>
      <c r="T2941" s="848"/>
      <c r="U2941" s="848"/>
      <c r="V2941" s="1296"/>
      <c r="W2941" s="848"/>
      <c r="X2941" s="848"/>
      <c r="Y2941" s="1295"/>
      <c r="Z2941" s="1296"/>
      <c r="AA2941" s="1295"/>
      <c r="AB2941" s="1296"/>
      <c r="AC2941" s="1295"/>
      <c r="AD2941" s="1295"/>
      <c r="AE2941" s="2556"/>
      <c r="AF2941" s="750"/>
      <c r="AG2941" s="750"/>
      <c r="AH2941" s="750"/>
      <c r="AI2941" s="750"/>
      <c r="AJ2941" s="750"/>
      <c r="AK2941" s="750"/>
      <c r="AL2941" s="750"/>
      <c r="AM2941" s="750"/>
      <c r="AN2941" s="750"/>
      <c r="AO2941" s="750"/>
      <c r="AP2941" s="750"/>
      <c r="AQ2941" s="750"/>
      <c r="AR2941" s="750"/>
      <c r="AS2941" s="750"/>
      <c r="AT2941" s="750"/>
      <c r="AU2941" s="750"/>
      <c r="AV2941" s="750"/>
      <c r="AW2941" s="750"/>
      <c r="AX2941" s="750"/>
      <c r="AY2941" s="750"/>
      <c r="AZ2941" s="750"/>
      <c r="BA2941" s="750"/>
      <c r="BB2941" s="750"/>
      <c r="BC2941" s="750"/>
      <c r="BD2941" s="750"/>
      <c r="BE2941" s="750"/>
      <c r="BF2941" s="750"/>
      <c r="BG2941" s="750"/>
      <c r="BH2941" s="750"/>
      <c r="BI2941" s="750"/>
      <c r="BJ2941" s="750"/>
      <c r="BK2941" s="750"/>
      <c r="BL2941" s="750"/>
      <c r="BM2941" s="750"/>
      <c r="BN2941" s="750"/>
      <c r="BO2941" s="750"/>
      <c r="BP2941" s="750"/>
      <c r="BQ2941" s="750"/>
    </row>
    <row r="2942" spans="3:69">
      <c r="C2942" s="853"/>
      <c r="D2942" s="853"/>
      <c r="E2942" s="853"/>
      <c r="F2942" s="853"/>
      <c r="G2942" s="853"/>
      <c r="H2942" s="853"/>
      <c r="I2942" s="848"/>
      <c r="J2942" s="848"/>
      <c r="K2942" s="1295"/>
      <c r="L2942" s="1295"/>
      <c r="M2942" s="1295"/>
      <c r="N2942" s="1295"/>
      <c r="O2942" s="1295"/>
      <c r="P2942" s="853"/>
      <c r="Q2942" s="1295"/>
      <c r="R2942" s="848"/>
      <c r="S2942" s="848"/>
      <c r="T2942" s="848"/>
      <c r="U2942" s="848"/>
      <c r="V2942" s="1296"/>
      <c r="W2942" s="848"/>
      <c r="X2942" s="848"/>
      <c r="Y2942" s="1295"/>
      <c r="Z2942" s="1296"/>
      <c r="AA2942" s="1295"/>
      <c r="AB2942" s="1296"/>
      <c r="AC2942" s="1295"/>
      <c r="AD2942" s="1295"/>
      <c r="AE2942" s="2556"/>
      <c r="AF2942" s="750"/>
      <c r="AG2942" s="750"/>
      <c r="AH2942" s="750"/>
      <c r="AI2942" s="750"/>
      <c r="AJ2942" s="750"/>
      <c r="AK2942" s="750"/>
      <c r="AL2942" s="750"/>
      <c r="AM2942" s="750"/>
      <c r="AN2942" s="750"/>
      <c r="AO2942" s="750"/>
      <c r="AP2942" s="750"/>
      <c r="AQ2942" s="750"/>
      <c r="AR2942" s="750"/>
      <c r="AS2942" s="750"/>
      <c r="AT2942" s="750"/>
      <c r="AU2942" s="750"/>
      <c r="AV2942" s="750"/>
      <c r="AW2942" s="750"/>
      <c r="AX2942" s="750"/>
      <c r="AY2942" s="750"/>
      <c r="AZ2942" s="750"/>
      <c r="BA2942" s="750"/>
      <c r="BB2942" s="750"/>
      <c r="BC2942" s="750"/>
      <c r="BD2942" s="750"/>
      <c r="BE2942" s="750"/>
      <c r="BF2942" s="750"/>
      <c r="BG2942" s="750"/>
      <c r="BH2942" s="750"/>
      <c r="BI2942" s="750"/>
      <c r="BJ2942" s="750"/>
      <c r="BK2942" s="750"/>
      <c r="BL2942" s="750"/>
      <c r="BM2942" s="750"/>
      <c r="BN2942" s="750"/>
      <c r="BO2942" s="750"/>
      <c r="BP2942" s="750"/>
      <c r="BQ2942" s="750"/>
    </row>
    <row r="2943" spans="3:69">
      <c r="C2943" s="853"/>
      <c r="D2943" s="853"/>
      <c r="E2943" s="853"/>
      <c r="F2943" s="853"/>
      <c r="G2943" s="853"/>
      <c r="H2943" s="853"/>
      <c r="I2943" s="848"/>
      <c r="J2943" s="848"/>
      <c r="K2943" s="1295"/>
      <c r="L2943" s="1295"/>
      <c r="M2943" s="1295"/>
      <c r="N2943" s="1295"/>
      <c r="O2943" s="1295"/>
      <c r="P2943" s="853"/>
      <c r="Q2943" s="1295"/>
      <c r="R2943" s="848"/>
      <c r="S2943" s="848"/>
      <c r="T2943" s="848"/>
      <c r="U2943" s="848"/>
      <c r="V2943" s="1296"/>
      <c r="W2943" s="848"/>
      <c r="X2943" s="848"/>
      <c r="Y2943" s="1295"/>
      <c r="Z2943" s="1296"/>
      <c r="AA2943" s="1295"/>
      <c r="AB2943" s="1296"/>
      <c r="AC2943" s="1295"/>
      <c r="AD2943" s="1295"/>
      <c r="AE2943" s="2556"/>
      <c r="AF2943" s="750"/>
      <c r="AG2943" s="750"/>
      <c r="AH2943" s="750"/>
      <c r="AI2943" s="750"/>
      <c r="AJ2943" s="750"/>
      <c r="AK2943" s="750"/>
      <c r="AL2943" s="750"/>
      <c r="AM2943" s="750"/>
      <c r="AN2943" s="750"/>
      <c r="AO2943" s="750"/>
      <c r="AP2943" s="750"/>
      <c r="AQ2943" s="750"/>
      <c r="AR2943" s="750"/>
      <c r="AS2943" s="750"/>
      <c r="AT2943" s="750"/>
      <c r="AU2943" s="750"/>
      <c r="AV2943" s="750"/>
      <c r="AW2943" s="750"/>
      <c r="AX2943" s="750"/>
      <c r="AY2943" s="750"/>
      <c r="AZ2943" s="750"/>
      <c r="BA2943" s="750"/>
      <c r="BB2943" s="750"/>
      <c r="BC2943" s="750"/>
      <c r="BD2943" s="750"/>
      <c r="BE2943" s="750"/>
      <c r="BF2943" s="750"/>
      <c r="BG2943" s="750"/>
      <c r="BH2943" s="750"/>
      <c r="BI2943" s="750"/>
      <c r="BJ2943" s="750"/>
      <c r="BK2943" s="750"/>
      <c r="BL2943" s="750"/>
      <c r="BM2943" s="750"/>
      <c r="BN2943" s="750"/>
      <c r="BO2943" s="750"/>
      <c r="BP2943" s="750"/>
      <c r="BQ2943" s="750"/>
    </row>
    <row r="2944" spans="3:69">
      <c r="C2944" s="853"/>
      <c r="D2944" s="853"/>
      <c r="E2944" s="853"/>
      <c r="F2944" s="853"/>
      <c r="G2944" s="853"/>
      <c r="H2944" s="853"/>
      <c r="I2944" s="848"/>
      <c r="J2944" s="848"/>
      <c r="K2944" s="1295"/>
      <c r="L2944" s="1295"/>
      <c r="M2944" s="1295"/>
      <c r="N2944" s="1295"/>
      <c r="O2944" s="1295"/>
      <c r="P2944" s="853"/>
      <c r="Q2944" s="1295"/>
      <c r="R2944" s="848"/>
      <c r="S2944" s="848"/>
      <c r="T2944" s="848"/>
      <c r="U2944" s="848"/>
      <c r="V2944" s="1296"/>
      <c r="W2944" s="848"/>
      <c r="X2944" s="848"/>
      <c r="Y2944" s="1295"/>
      <c r="Z2944" s="1296"/>
      <c r="AA2944" s="1295"/>
      <c r="AB2944" s="1296"/>
      <c r="AC2944" s="1295"/>
      <c r="AD2944" s="1295"/>
      <c r="AE2944" s="2556"/>
      <c r="AF2944" s="750"/>
      <c r="AG2944" s="750"/>
      <c r="AH2944" s="750"/>
      <c r="AI2944" s="750"/>
      <c r="AJ2944" s="750"/>
      <c r="AK2944" s="750"/>
      <c r="AL2944" s="750"/>
      <c r="AM2944" s="750"/>
      <c r="AN2944" s="750"/>
      <c r="AO2944" s="750"/>
      <c r="AP2944" s="750"/>
      <c r="AQ2944" s="750"/>
      <c r="AR2944" s="750"/>
      <c r="AS2944" s="750"/>
      <c r="AT2944" s="750"/>
      <c r="AU2944" s="750"/>
      <c r="AV2944" s="750"/>
      <c r="AW2944" s="750"/>
      <c r="AX2944" s="750"/>
      <c r="AY2944" s="750"/>
      <c r="AZ2944" s="750"/>
      <c r="BA2944" s="750"/>
      <c r="BB2944" s="750"/>
      <c r="BC2944" s="750"/>
      <c r="BD2944" s="750"/>
      <c r="BE2944" s="750"/>
      <c r="BF2944" s="750"/>
      <c r="BG2944" s="750"/>
      <c r="BH2944" s="750"/>
      <c r="BI2944" s="750"/>
      <c r="BJ2944" s="750"/>
      <c r="BK2944" s="750"/>
      <c r="BL2944" s="750"/>
      <c r="BM2944" s="750"/>
      <c r="BN2944" s="750"/>
      <c r="BO2944" s="750"/>
      <c r="BP2944" s="750"/>
      <c r="BQ2944" s="750"/>
    </row>
    <row r="2945" spans="3:69">
      <c r="C2945" s="853"/>
      <c r="D2945" s="853"/>
      <c r="E2945" s="853"/>
      <c r="F2945" s="853"/>
      <c r="G2945" s="853"/>
      <c r="H2945" s="853"/>
      <c r="I2945" s="848"/>
      <c r="J2945" s="848"/>
      <c r="K2945" s="1295"/>
      <c r="L2945" s="1295"/>
      <c r="M2945" s="1295"/>
      <c r="N2945" s="1295"/>
      <c r="O2945" s="1295"/>
      <c r="P2945" s="853"/>
      <c r="Q2945" s="1295"/>
      <c r="R2945" s="848"/>
      <c r="S2945" s="848"/>
      <c r="T2945" s="848"/>
      <c r="U2945" s="848"/>
      <c r="V2945" s="1296"/>
      <c r="W2945" s="848"/>
      <c r="X2945" s="848"/>
      <c r="Y2945" s="1295"/>
      <c r="Z2945" s="1296"/>
      <c r="AA2945" s="1295"/>
      <c r="AB2945" s="1296"/>
      <c r="AC2945" s="1295"/>
      <c r="AD2945" s="1295"/>
      <c r="AE2945" s="2556"/>
      <c r="AF2945" s="750"/>
      <c r="AG2945" s="750"/>
      <c r="AH2945" s="750"/>
      <c r="AI2945" s="750"/>
      <c r="AJ2945" s="750"/>
      <c r="AK2945" s="750"/>
      <c r="AL2945" s="750"/>
      <c r="AM2945" s="750"/>
      <c r="AN2945" s="750"/>
      <c r="AO2945" s="750"/>
      <c r="AP2945" s="750"/>
      <c r="AQ2945" s="750"/>
      <c r="AR2945" s="750"/>
      <c r="AS2945" s="750"/>
      <c r="AT2945" s="750"/>
      <c r="AU2945" s="750"/>
      <c r="AV2945" s="750"/>
      <c r="AW2945" s="750"/>
      <c r="AX2945" s="750"/>
      <c r="AY2945" s="750"/>
      <c r="AZ2945" s="750"/>
      <c r="BA2945" s="750"/>
      <c r="BB2945" s="750"/>
      <c r="BC2945" s="750"/>
      <c r="BD2945" s="750"/>
      <c r="BE2945" s="750"/>
      <c r="BF2945" s="750"/>
      <c r="BG2945" s="750"/>
      <c r="BH2945" s="750"/>
      <c r="BI2945" s="750"/>
      <c r="BJ2945" s="750"/>
      <c r="BK2945" s="750"/>
      <c r="BL2945" s="750"/>
      <c r="BM2945" s="750"/>
      <c r="BN2945" s="750"/>
      <c r="BO2945" s="750"/>
      <c r="BP2945" s="750"/>
      <c r="BQ2945" s="750"/>
    </row>
    <row r="2946" spans="3:69">
      <c r="C2946" s="853"/>
      <c r="D2946" s="853"/>
      <c r="E2946" s="853"/>
      <c r="F2946" s="853"/>
      <c r="G2946" s="853"/>
      <c r="H2946" s="853"/>
      <c r="I2946" s="848"/>
      <c r="J2946" s="848"/>
      <c r="K2946" s="1295"/>
      <c r="L2946" s="1295"/>
      <c r="M2946" s="1295"/>
      <c r="N2946" s="1295"/>
      <c r="O2946" s="1295"/>
      <c r="P2946" s="853"/>
      <c r="Q2946" s="1295"/>
      <c r="R2946" s="848"/>
      <c r="S2946" s="848"/>
      <c r="T2946" s="848"/>
      <c r="U2946" s="848"/>
      <c r="V2946" s="1296"/>
      <c r="W2946" s="848"/>
      <c r="X2946" s="848"/>
      <c r="Y2946" s="1295"/>
      <c r="Z2946" s="1296"/>
      <c r="AA2946" s="1295"/>
      <c r="AB2946" s="1296"/>
      <c r="AC2946" s="1295"/>
      <c r="AD2946" s="1295"/>
      <c r="AE2946" s="2556"/>
      <c r="AF2946" s="750"/>
      <c r="AG2946" s="750"/>
      <c r="AH2946" s="750"/>
      <c r="AI2946" s="750"/>
      <c r="AJ2946" s="750"/>
      <c r="AK2946" s="750"/>
      <c r="AL2946" s="750"/>
      <c r="AM2946" s="750"/>
      <c r="AN2946" s="750"/>
      <c r="AO2946" s="750"/>
      <c r="AP2946" s="750"/>
      <c r="AQ2946" s="750"/>
      <c r="AR2946" s="750"/>
      <c r="AS2946" s="750"/>
      <c r="AT2946" s="750"/>
      <c r="AU2946" s="750"/>
      <c r="AV2946" s="750"/>
      <c r="AW2946" s="750"/>
      <c r="AX2946" s="750"/>
      <c r="AY2946" s="750"/>
      <c r="AZ2946" s="750"/>
      <c r="BA2946" s="750"/>
      <c r="BB2946" s="750"/>
      <c r="BC2946" s="750"/>
      <c r="BD2946" s="750"/>
      <c r="BE2946" s="750"/>
      <c r="BF2946" s="750"/>
      <c r="BG2946" s="750"/>
      <c r="BH2946" s="750"/>
      <c r="BI2946" s="750"/>
      <c r="BJ2946" s="750"/>
      <c r="BK2946" s="750"/>
      <c r="BL2946" s="750"/>
      <c r="BM2946" s="750"/>
      <c r="BN2946" s="750"/>
      <c r="BO2946" s="750"/>
      <c r="BP2946" s="750"/>
      <c r="BQ2946" s="750"/>
    </row>
    <row r="2947" spans="3:69">
      <c r="C2947" s="853"/>
      <c r="D2947" s="853"/>
      <c r="E2947" s="853"/>
      <c r="F2947" s="853"/>
      <c r="G2947" s="853"/>
      <c r="H2947" s="853"/>
      <c r="I2947" s="848"/>
      <c r="J2947" s="848"/>
      <c r="K2947" s="1295"/>
      <c r="L2947" s="1295"/>
      <c r="M2947" s="1295"/>
      <c r="N2947" s="1295"/>
      <c r="O2947" s="1295"/>
      <c r="P2947" s="853"/>
      <c r="Q2947" s="1295"/>
      <c r="R2947" s="848"/>
      <c r="S2947" s="848"/>
      <c r="T2947" s="848"/>
      <c r="U2947" s="848"/>
      <c r="V2947" s="1296"/>
      <c r="W2947" s="848"/>
      <c r="X2947" s="848"/>
      <c r="Y2947" s="1295"/>
      <c r="Z2947" s="1296"/>
      <c r="AA2947" s="1295"/>
      <c r="AB2947" s="1296"/>
      <c r="AC2947" s="1295"/>
      <c r="AD2947" s="1295"/>
      <c r="AE2947" s="2556"/>
      <c r="AF2947" s="750"/>
      <c r="AG2947" s="750"/>
      <c r="AH2947" s="750"/>
      <c r="AI2947" s="750"/>
      <c r="AJ2947" s="750"/>
      <c r="AK2947" s="750"/>
      <c r="AL2947" s="750"/>
      <c r="AM2947" s="750"/>
      <c r="AN2947" s="750"/>
      <c r="AO2947" s="750"/>
      <c r="AP2947" s="750"/>
      <c r="AQ2947" s="750"/>
      <c r="AR2947" s="750"/>
      <c r="AS2947" s="750"/>
      <c r="AT2947" s="750"/>
      <c r="AU2947" s="750"/>
      <c r="AV2947" s="750"/>
      <c r="AW2947" s="750"/>
      <c r="AX2947" s="750"/>
      <c r="AY2947" s="750"/>
      <c r="AZ2947" s="750"/>
      <c r="BA2947" s="750"/>
      <c r="BB2947" s="750"/>
      <c r="BC2947" s="750"/>
      <c r="BD2947" s="750"/>
      <c r="BE2947" s="750"/>
      <c r="BF2947" s="750"/>
      <c r="BG2947" s="750"/>
      <c r="BH2947" s="750"/>
      <c r="BI2947" s="750"/>
      <c r="BJ2947" s="750"/>
      <c r="BK2947" s="750"/>
      <c r="BL2947" s="750"/>
      <c r="BM2947" s="750"/>
      <c r="BN2947" s="750"/>
      <c r="BO2947" s="750"/>
      <c r="BP2947" s="750"/>
      <c r="BQ2947" s="750"/>
    </row>
    <row r="2948" spans="3:69">
      <c r="C2948" s="853"/>
      <c r="D2948" s="853"/>
      <c r="E2948" s="853"/>
      <c r="F2948" s="853"/>
      <c r="G2948" s="853"/>
      <c r="H2948" s="853"/>
      <c r="I2948" s="848"/>
      <c r="J2948" s="848"/>
      <c r="K2948" s="1295"/>
      <c r="L2948" s="1295"/>
      <c r="M2948" s="1295"/>
      <c r="N2948" s="1295"/>
      <c r="O2948" s="1295"/>
      <c r="P2948" s="853"/>
      <c r="Q2948" s="1295"/>
      <c r="R2948" s="848"/>
      <c r="S2948" s="848"/>
      <c r="T2948" s="848"/>
      <c r="U2948" s="848"/>
      <c r="V2948" s="1296"/>
      <c r="W2948" s="848"/>
      <c r="X2948" s="848"/>
      <c r="Y2948" s="1295"/>
      <c r="Z2948" s="1296"/>
      <c r="AA2948" s="1295"/>
      <c r="AB2948" s="1296"/>
      <c r="AC2948" s="1295"/>
      <c r="AD2948" s="1295"/>
      <c r="AE2948" s="2556"/>
      <c r="AF2948" s="750"/>
      <c r="AG2948" s="750"/>
      <c r="AH2948" s="750"/>
      <c r="AI2948" s="750"/>
      <c r="AJ2948" s="750"/>
      <c r="AK2948" s="750"/>
      <c r="AL2948" s="750"/>
      <c r="AM2948" s="750"/>
      <c r="AN2948" s="750"/>
      <c r="AO2948" s="750"/>
      <c r="AP2948" s="750"/>
      <c r="AQ2948" s="750"/>
      <c r="AR2948" s="750"/>
      <c r="AS2948" s="750"/>
      <c r="AT2948" s="750"/>
      <c r="AU2948" s="750"/>
      <c r="AV2948" s="750"/>
      <c r="AW2948" s="750"/>
      <c r="AX2948" s="750"/>
      <c r="AY2948" s="750"/>
      <c r="AZ2948" s="750"/>
      <c r="BA2948" s="750"/>
      <c r="BB2948" s="750"/>
      <c r="BC2948" s="750"/>
      <c r="BD2948" s="750"/>
      <c r="BE2948" s="750"/>
      <c r="BF2948" s="750"/>
      <c r="BG2948" s="750"/>
      <c r="BH2948" s="750"/>
      <c r="BI2948" s="750"/>
      <c r="BJ2948" s="750"/>
      <c r="BK2948" s="750"/>
      <c r="BL2948" s="750"/>
      <c r="BM2948" s="750"/>
      <c r="BN2948" s="750"/>
      <c r="BO2948" s="750"/>
      <c r="BP2948" s="750"/>
      <c r="BQ2948" s="750"/>
    </row>
    <row r="2949" spans="3:69">
      <c r="C2949" s="853"/>
      <c r="D2949" s="853"/>
      <c r="E2949" s="853"/>
      <c r="F2949" s="853"/>
      <c r="G2949" s="853"/>
      <c r="H2949" s="853"/>
      <c r="I2949" s="848"/>
      <c r="J2949" s="848"/>
      <c r="K2949" s="1295"/>
      <c r="L2949" s="1295"/>
      <c r="M2949" s="1295"/>
      <c r="N2949" s="1295"/>
      <c r="O2949" s="1295"/>
      <c r="P2949" s="853"/>
      <c r="Q2949" s="1295"/>
      <c r="R2949" s="848"/>
      <c r="S2949" s="848"/>
      <c r="T2949" s="848"/>
      <c r="U2949" s="848"/>
      <c r="V2949" s="1296"/>
      <c r="W2949" s="848"/>
      <c r="X2949" s="848"/>
      <c r="Y2949" s="1295"/>
      <c r="Z2949" s="1296"/>
      <c r="AA2949" s="1295"/>
      <c r="AB2949" s="1296"/>
      <c r="AC2949" s="1295"/>
      <c r="AD2949" s="1295"/>
      <c r="AE2949" s="2556"/>
      <c r="AF2949" s="750"/>
      <c r="AG2949" s="750"/>
      <c r="AH2949" s="750"/>
      <c r="AI2949" s="750"/>
      <c r="AJ2949" s="750"/>
      <c r="AK2949" s="750"/>
      <c r="AL2949" s="750"/>
      <c r="AM2949" s="750"/>
      <c r="AN2949" s="750"/>
      <c r="AO2949" s="750"/>
      <c r="AP2949" s="750"/>
      <c r="AQ2949" s="750"/>
      <c r="AR2949" s="750"/>
      <c r="AS2949" s="750"/>
      <c r="AT2949" s="750"/>
      <c r="AU2949" s="750"/>
      <c r="AV2949" s="750"/>
      <c r="AW2949" s="750"/>
      <c r="AX2949" s="750"/>
      <c r="AY2949" s="750"/>
      <c r="AZ2949" s="750"/>
      <c r="BA2949" s="750"/>
      <c r="BB2949" s="750"/>
      <c r="BC2949" s="750"/>
      <c r="BD2949" s="750"/>
      <c r="BE2949" s="750"/>
      <c r="BF2949" s="750"/>
      <c r="BG2949" s="750"/>
      <c r="BH2949" s="750"/>
      <c r="BI2949" s="750"/>
      <c r="BJ2949" s="750"/>
      <c r="BK2949" s="750"/>
      <c r="BL2949" s="750"/>
      <c r="BM2949" s="750"/>
      <c r="BN2949" s="750"/>
      <c r="BO2949" s="750"/>
      <c r="BP2949" s="750"/>
      <c r="BQ2949" s="750"/>
    </row>
    <row r="2950" spans="3:69">
      <c r="C2950" s="853"/>
      <c r="D2950" s="853"/>
      <c r="E2950" s="853"/>
      <c r="F2950" s="853"/>
      <c r="G2950" s="853"/>
      <c r="H2950" s="853"/>
      <c r="I2950" s="848"/>
      <c r="J2950" s="848"/>
      <c r="K2950" s="1295"/>
      <c r="L2950" s="1295"/>
      <c r="M2950" s="1295"/>
      <c r="N2950" s="1295"/>
      <c r="O2950" s="1295"/>
      <c r="P2950" s="853"/>
      <c r="Q2950" s="1295"/>
      <c r="R2950" s="848"/>
      <c r="S2950" s="848"/>
      <c r="T2950" s="848"/>
      <c r="U2950" s="848"/>
      <c r="V2950" s="1296"/>
      <c r="W2950" s="848"/>
      <c r="X2950" s="848"/>
      <c r="Y2950" s="1295"/>
      <c r="Z2950" s="1296"/>
      <c r="AA2950" s="1295"/>
      <c r="AB2950" s="1296"/>
      <c r="AC2950" s="1295"/>
      <c r="AD2950" s="1295"/>
      <c r="AE2950" s="2556"/>
      <c r="AF2950" s="750"/>
      <c r="AG2950" s="750"/>
      <c r="AH2950" s="750"/>
      <c r="AI2950" s="750"/>
      <c r="AJ2950" s="750"/>
      <c r="AK2950" s="750"/>
      <c r="AL2950" s="750"/>
      <c r="AM2950" s="750"/>
      <c r="AN2950" s="750"/>
      <c r="AO2950" s="750"/>
      <c r="AP2950" s="750"/>
      <c r="AQ2950" s="750"/>
      <c r="AR2950" s="750"/>
      <c r="AS2950" s="750"/>
      <c r="AT2950" s="750"/>
      <c r="AU2950" s="750"/>
      <c r="AV2950" s="750"/>
      <c r="AW2950" s="750"/>
      <c r="AX2950" s="750"/>
      <c r="AY2950" s="750"/>
      <c r="AZ2950" s="750"/>
      <c r="BA2950" s="750"/>
      <c r="BB2950" s="750"/>
      <c r="BC2950" s="750"/>
      <c r="BD2950" s="750"/>
      <c r="BE2950" s="750"/>
      <c r="BF2950" s="750"/>
      <c r="BG2950" s="750"/>
      <c r="BH2950" s="750"/>
      <c r="BI2950" s="750"/>
      <c r="BJ2950" s="750"/>
      <c r="BK2950" s="750"/>
      <c r="BL2950" s="750"/>
      <c r="BM2950" s="750"/>
      <c r="BN2950" s="750"/>
      <c r="BO2950" s="750"/>
      <c r="BP2950" s="750"/>
      <c r="BQ2950" s="750"/>
    </row>
    <row r="2951" spans="3:69">
      <c r="C2951" s="853"/>
      <c r="D2951" s="853"/>
      <c r="E2951" s="853"/>
      <c r="F2951" s="853"/>
      <c r="G2951" s="853"/>
      <c r="H2951" s="853"/>
      <c r="I2951" s="848"/>
      <c r="J2951" s="848"/>
      <c r="K2951" s="1295"/>
      <c r="L2951" s="1295"/>
      <c r="M2951" s="1295"/>
      <c r="N2951" s="1295"/>
      <c r="O2951" s="1295"/>
      <c r="P2951" s="853"/>
      <c r="Q2951" s="1295"/>
      <c r="R2951" s="848"/>
      <c r="S2951" s="848"/>
      <c r="T2951" s="848"/>
      <c r="U2951" s="848"/>
      <c r="V2951" s="1296"/>
      <c r="W2951" s="848"/>
      <c r="X2951" s="848"/>
      <c r="Y2951" s="1295"/>
      <c r="Z2951" s="1296"/>
      <c r="AA2951" s="1295"/>
      <c r="AB2951" s="1296"/>
      <c r="AC2951" s="1295"/>
      <c r="AD2951" s="1295"/>
      <c r="AE2951" s="2556"/>
      <c r="AF2951" s="750"/>
      <c r="AG2951" s="750"/>
      <c r="AH2951" s="750"/>
      <c r="AI2951" s="750"/>
      <c r="AJ2951" s="750"/>
      <c r="AK2951" s="750"/>
      <c r="AL2951" s="750"/>
      <c r="AM2951" s="750"/>
      <c r="AN2951" s="750"/>
      <c r="AO2951" s="750"/>
      <c r="AP2951" s="750"/>
      <c r="AQ2951" s="750"/>
      <c r="AR2951" s="750"/>
      <c r="AS2951" s="750"/>
      <c r="AT2951" s="750"/>
      <c r="AU2951" s="750"/>
      <c r="AV2951" s="750"/>
      <c r="AW2951" s="750"/>
      <c r="AX2951" s="750"/>
      <c r="AY2951" s="750"/>
      <c r="AZ2951" s="750"/>
      <c r="BA2951" s="750"/>
      <c r="BB2951" s="750"/>
      <c r="BC2951" s="750"/>
      <c r="BD2951" s="750"/>
      <c r="BE2951" s="750"/>
      <c r="BF2951" s="750"/>
      <c r="BG2951" s="750"/>
      <c r="BH2951" s="750"/>
      <c r="BI2951" s="750"/>
      <c r="BJ2951" s="750"/>
      <c r="BK2951" s="750"/>
      <c r="BL2951" s="750"/>
      <c r="BM2951" s="750"/>
      <c r="BN2951" s="750"/>
      <c r="BO2951" s="750"/>
      <c r="BP2951" s="750"/>
      <c r="BQ2951" s="750"/>
    </row>
    <row r="2952" spans="3:69">
      <c r="C2952" s="853"/>
      <c r="D2952" s="853"/>
      <c r="E2952" s="853"/>
      <c r="F2952" s="853"/>
      <c r="G2952" s="853"/>
      <c r="H2952" s="853"/>
      <c r="I2952" s="848"/>
      <c r="J2952" s="848"/>
      <c r="K2952" s="1295"/>
      <c r="L2952" s="1295"/>
      <c r="M2952" s="1295"/>
      <c r="N2952" s="1295"/>
      <c r="O2952" s="1295"/>
      <c r="P2952" s="853"/>
      <c r="Q2952" s="1295"/>
      <c r="R2952" s="848"/>
      <c r="S2952" s="848"/>
      <c r="T2952" s="848"/>
      <c r="U2952" s="848"/>
      <c r="V2952" s="1296"/>
      <c r="W2952" s="848"/>
      <c r="X2952" s="848"/>
      <c r="Y2952" s="1295"/>
      <c r="Z2952" s="1296"/>
      <c r="AA2952" s="1295"/>
      <c r="AB2952" s="1296"/>
      <c r="AC2952" s="1295"/>
      <c r="AD2952" s="1295"/>
      <c r="AE2952" s="2556"/>
      <c r="AF2952" s="750"/>
      <c r="AG2952" s="750"/>
      <c r="AH2952" s="750"/>
      <c r="AI2952" s="750"/>
      <c r="AJ2952" s="750"/>
      <c r="AK2952" s="750"/>
      <c r="AL2952" s="750"/>
      <c r="AM2952" s="750"/>
      <c r="AN2952" s="750"/>
      <c r="AO2952" s="750"/>
      <c r="AP2952" s="750"/>
      <c r="AQ2952" s="750"/>
      <c r="AR2952" s="750"/>
      <c r="AS2952" s="750"/>
      <c r="AT2952" s="750"/>
      <c r="AU2952" s="750"/>
      <c r="AV2952" s="750"/>
      <c r="AW2952" s="750"/>
      <c r="AX2952" s="750"/>
      <c r="AY2952" s="750"/>
      <c r="AZ2952" s="750"/>
      <c r="BA2952" s="750"/>
      <c r="BB2952" s="750"/>
      <c r="BC2952" s="750"/>
      <c r="BD2952" s="750"/>
      <c r="BE2952" s="750"/>
      <c r="BF2952" s="750"/>
      <c r="BG2952" s="750"/>
      <c r="BH2952" s="750"/>
      <c r="BI2952" s="750"/>
      <c r="BJ2952" s="750"/>
      <c r="BK2952" s="750"/>
      <c r="BL2952" s="750"/>
      <c r="BM2952" s="750"/>
      <c r="BN2952" s="750"/>
      <c r="BO2952" s="750"/>
      <c r="BP2952" s="750"/>
      <c r="BQ2952" s="750"/>
    </row>
    <row r="2953" spans="3:69">
      <c r="C2953" s="853"/>
      <c r="D2953" s="853"/>
      <c r="E2953" s="853"/>
      <c r="F2953" s="853"/>
      <c r="G2953" s="853"/>
      <c r="H2953" s="853"/>
      <c r="I2953" s="848"/>
      <c r="J2953" s="848"/>
      <c r="K2953" s="1295"/>
      <c r="L2953" s="1295"/>
      <c r="M2953" s="1295"/>
      <c r="N2953" s="1295"/>
      <c r="O2953" s="1295"/>
      <c r="P2953" s="853"/>
      <c r="Q2953" s="1295"/>
      <c r="R2953" s="848"/>
      <c r="S2953" s="848"/>
      <c r="T2953" s="848"/>
      <c r="U2953" s="848"/>
      <c r="V2953" s="1296"/>
      <c r="W2953" s="848"/>
      <c r="X2953" s="848"/>
      <c r="Y2953" s="1295"/>
      <c r="Z2953" s="1296"/>
      <c r="AA2953" s="1295"/>
      <c r="AB2953" s="1296"/>
      <c r="AC2953" s="1295"/>
      <c r="AD2953" s="1295"/>
      <c r="AE2953" s="2556"/>
      <c r="AF2953" s="750"/>
      <c r="AG2953" s="750"/>
      <c r="AH2953" s="750"/>
      <c r="AI2953" s="750"/>
      <c r="AJ2953" s="750"/>
      <c r="AK2953" s="750"/>
      <c r="AL2953" s="750"/>
      <c r="AM2953" s="750"/>
      <c r="AN2953" s="750"/>
      <c r="AO2953" s="750"/>
      <c r="AP2953" s="750"/>
      <c r="AQ2953" s="750"/>
      <c r="AR2953" s="750"/>
      <c r="AS2953" s="750"/>
      <c r="AT2953" s="750"/>
      <c r="AU2953" s="750"/>
      <c r="AV2953" s="750"/>
      <c r="AW2953" s="750"/>
      <c r="AX2953" s="750"/>
      <c r="AY2953" s="750"/>
      <c r="AZ2953" s="750"/>
      <c r="BA2953" s="750"/>
      <c r="BB2953" s="750"/>
      <c r="BC2953" s="750"/>
      <c r="BD2953" s="750"/>
      <c r="BE2953" s="750"/>
      <c r="BF2953" s="750"/>
      <c r="BG2953" s="750"/>
      <c r="BH2953" s="750"/>
      <c r="BI2953" s="750"/>
      <c r="BJ2953" s="750"/>
      <c r="BK2953" s="750"/>
      <c r="BL2953" s="750"/>
      <c r="BM2953" s="750"/>
      <c r="BN2953" s="750"/>
      <c r="BO2953" s="750"/>
      <c r="BP2953" s="750"/>
      <c r="BQ2953" s="750"/>
    </row>
    <row r="2954" spans="3:69">
      <c r="C2954" s="853"/>
      <c r="D2954" s="853"/>
      <c r="E2954" s="853"/>
      <c r="F2954" s="853"/>
      <c r="G2954" s="853"/>
      <c r="H2954" s="853"/>
      <c r="I2954" s="848"/>
      <c r="J2954" s="848"/>
      <c r="K2954" s="1295"/>
      <c r="L2954" s="1295"/>
      <c r="M2954" s="1295"/>
      <c r="N2954" s="1295"/>
      <c r="O2954" s="1295"/>
      <c r="P2954" s="853"/>
      <c r="Q2954" s="1295"/>
      <c r="R2954" s="848"/>
      <c r="S2954" s="848"/>
      <c r="T2954" s="848"/>
      <c r="U2954" s="848"/>
      <c r="V2954" s="1296"/>
      <c r="W2954" s="848"/>
      <c r="X2954" s="848"/>
      <c r="Y2954" s="1295"/>
      <c r="Z2954" s="1296"/>
      <c r="AA2954" s="1295"/>
      <c r="AB2954" s="1296"/>
      <c r="AC2954" s="1295"/>
      <c r="AD2954" s="1295"/>
      <c r="AE2954" s="2556"/>
      <c r="AF2954" s="750"/>
      <c r="AG2954" s="750"/>
      <c r="AH2954" s="750"/>
      <c r="AI2954" s="750"/>
      <c r="AJ2954" s="750"/>
      <c r="AK2954" s="750"/>
      <c r="AL2954" s="750"/>
      <c r="AM2954" s="750"/>
      <c r="AN2954" s="750"/>
      <c r="AO2954" s="750"/>
      <c r="AP2954" s="750"/>
      <c r="AQ2954" s="750"/>
      <c r="AR2954" s="750"/>
      <c r="AS2954" s="750"/>
      <c r="AT2954" s="750"/>
      <c r="AU2954" s="750"/>
      <c r="AV2954" s="750"/>
      <c r="AW2954" s="750"/>
      <c r="AX2954" s="750"/>
      <c r="AY2954" s="750"/>
      <c r="AZ2954" s="750"/>
      <c r="BA2954" s="750"/>
      <c r="BB2954" s="750"/>
      <c r="BC2954" s="750"/>
      <c r="BD2954" s="750"/>
      <c r="BE2954" s="750"/>
      <c r="BF2954" s="750"/>
      <c r="BG2954" s="750"/>
      <c r="BH2954" s="750"/>
      <c r="BI2954" s="750"/>
      <c r="BJ2954" s="750"/>
      <c r="BK2954" s="750"/>
      <c r="BL2954" s="750"/>
      <c r="BM2954" s="750"/>
      <c r="BN2954" s="750"/>
      <c r="BO2954" s="750"/>
      <c r="BP2954" s="750"/>
      <c r="BQ2954" s="750"/>
    </row>
    <row r="2955" spans="3:69">
      <c r="C2955" s="853"/>
      <c r="D2955" s="853"/>
      <c r="E2955" s="853"/>
      <c r="F2955" s="853"/>
      <c r="G2955" s="853"/>
      <c r="H2955" s="853"/>
      <c r="I2955" s="848"/>
      <c r="J2955" s="848"/>
      <c r="K2955" s="1295"/>
      <c r="L2955" s="1295"/>
      <c r="M2955" s="1295"/>
      <c r="N2955" s="1295"/>
      <c r="O2955" s="1295"/>
      <c r="P2955" s="853"/>
      <c r="Q2955" s="1295"/>
      <c r="R2955" s="848"/>
      <c r="S2955" s="848"/>
      <c r="T2955" s="848"/>
      <c r="U2955" s="848"/>
      <c r="V2955" s="1296"/>
      <c r="W2955" s="848"/>
      <c r="X2955" s="848"/>
      <c r="Y2955" s="1295"/>
      <c r="Z2955" s="1296"/>
      <c r="AA2955" s="1295"/>
      <c r="AB2955" s="1296"/>
      <c r="AC2955" s="1295"/>
      <c r="AD2955" s="1295"/>
      <c r="AE2955" s="2556"/>
      <c r="AF2955" s="750"/>
      <c r="AG2955" s="750"/>
      <c r="AH2955" s="750"/>
      <c r="AI2955" s="750"/>
      <c r="AJ2955" s="750"/>
      <c r="AK2955" s="750"/>
      <c r="AL2955" s="750"/>
      <c r="AM2955" s="750"/>
      <c r="AN2955" s="750"/>
      <c r="AO2955" s="750"/>
      <c r="AP2955" s="750"/>
      <c r="AQ2955" s="750"/>
      <c r="AR2955" s="750"/>
      <c r="AS2955" s="750"/>
      <c r="AT2955" s="750"/>
      <c r="AU2955" s="750"/>
      <c r="AV2955" s="750"/>
      <c r="AW2955" s="750"/>
      <c r="AX2955" s="750"/>
      <c r="AY2955" s="750"/>
      <c r="AZ2955" s="750"/>
      <c r="BA2955" s="750"/>
      <c r="BB2955" s="750"/>
      <c r="BC2955" s="750"/>
      <c r="BD2955" s="750"/>
      <c r="BE2955" s="750"/>
      <c r="BF2955" s="750"/>
      <c r="BG2955" s="750"/>
      <c r="BH2955" s="750"/>
      <c r="BI2955" s="750"/>
      <c r="BJ2955" s="750"/>
      <c r="BK2955" s="750"/>
      <c r="BL2955" s="750"/>
      <c r="BM2955" s="750"/>
      <c r="BN2955" s="750"/>
      <c r="BO2955" s="750"/>
      <c r="BP2955" s="750"/>
      <c r="BQ2955" s="750"/>
    </row>
    <row r="2956" spans="3:69">
      <c r="C2956" s="853"/>
      <c r="D2956" s="853"/>
      <c r="E2956" s="853"/>
      <c r="F2956" s="853"/>
      <c r="G2956" s="853"/>
      <c r="H2956" s="853"/>
      <c r="I2956" s="848"/>
      <c r="J2956" s="848"/>
      <c r="K2956" s="1295"/>
      <c r="L2956" s="1295"/>
      <c r="M2956" s="1295"/>
      <c r="N2956" s="1295"/>
      <c r="O2956" s="1295"/>
      <c r="P2956" s="853"/>
      <c r="Q2956" s="1295"/>
      <c r="R2956" s="848"/>
      <c r="S2956" s="848"/>
      <c r="T2956" s="848"/>
      <c r="U2956" s="848"/>
      <c r="V2956" s="1296"/>
      <c r="W2956" s="848"/>
      <c r="X2956" s="848"/>
      <c r="Y2956" s="1295"/>
      <c r="Z2956" s="1296"/>
      <c r="AA2956" s="1295"/>
      <c r="AB2956" s="1296"/>
      <c r="AC2956" s="1295"/>
      <c r="AD2956" s="1295"/>
      <c r="AE2956" s="2556"/>
      <c r="AF2956" s="750"/>
      <c r="AG2956" s="750"/>
      <c r="AH2956" s="750"/>
      <c r="AI2956" s="750"/>
      <c r="AJ2956" s="750"/>
      <c r="AK2956" s="750"/>
      <c r="AL2956" s="750"/>
      <c r="AM2956" s="750"/>
      <c r="AN2956" s="750"/>
      <c r="AO2956" s="750"/>
      <c r="AP2956" s="750"/>
      <c r="AQ2956" s="750"/>
      <c r="AR2956" s="750"/>
      <c r="AS2956" s="750"/>
      <c r="AT2956" s="750"/>
      <c r="AU2956" s="750"/>
      <c r="AV2956" s="750"/>
      <c r="AW2956" s="750"/>
      <c r="AX2956" s="750"/>
      <c r="AY2956" s="750"/>
      <c r="AZ2956" s="750"/>
      <c r="BA2956" s="750"/>
      <c r="BB2956" s="750"/>
      <c r="BC2956" s="750"/>
      <c r="BD2956" s="750"/>
      <c r="BE2956" s="750"/>
      <c r="BF2956" s="750"/>
      <c r="BG2956" s="750"/>
      <c r="BH2956" s="750"/>
      <c r="BI2956" s="750"/>
      <c r="BJ2956" s="750"/>
      <c r="BK2956" s="750"/>
      <c r="BL2956" s="750"/>
      <c r="BM2956" s="750"/>
      <c r="BN2956" s="750"/>
      <c r="BO2956" s="750"/>
      <c r="BP2956" s="750"/>
      <c r="BQ2956" s="750"/>
    </row>
    <row r="2957" spans="3:69">
      <c r="C2957" s="853"/>
      <c r="D2957" s="853"/>
      <c r="E2957" s="853"/>
      <c r="F2957" s="853"/>
      <c r="G2957" s="853"/>
      <c r="H2957" s="853"/>
      <c r="I2957" s="848"/>
      <c r="J2957" s="848"/>
      <c r="K2957" s="1295"/>
      <c r="L2957" s="1295"/>
      <c r="M2957" s="1295"/>
      <c r="N2957" s="1295"/>
      <c r="O2957" s="1295"/>
      <c r="P2957" s="853"/>
      <c r="Q2957" s="1295"/>
      <c r="R2957" s="848"/>
      <c r="S2957" s="848"/>
      <c r="T2957" s="848"/>
      <c r="U2957" s="848"/>
      <c r="V2957" s="1296"/>
      <c r="W2957" s="848"/>
      <c r="X2957" s="848"/>
      <c r="Y2957" s="1295"/>
      <c r="Z2957" s="1296"/>
      <c r="AA2957" s="1295"/>
      <c r="AB2957" s="1296"/>
      <c r="AC2957" s="1295"/>
      <c r="AD2957" s="1295"/>
      <c r="AE2957" s="2556"/>
      <c r="AF2957" s="750"/>
      <c r="AG2957" s="750"/>
      <c r="AH2957" s="750"/>
      <c r="AI2957" s="750"/>
      <c r="AJ2957" s="750"/>
      <c r="AK2957" s="750"/>
      <c r="AL2957" s="750"/>
      <c r="AM2957" s="750"/>
      <c r="AN2957" s="750"/>
      <c r="AO2957" s="750"/>
      <c r="AP2957" s="750"/>
      <c r="AQ2957" s="750"/>
      <c r="AR2957" s="750"/>
      <c r="AS2957" s="750"/>
      <c r="AT2957" s="750"/>
      <c r="AU2957" s="750"/>
      <c r="AV2957" s="750"/>
      <c r="AW2957" s="750"/>
      <c r="AX2957" s="750"/>
      <c r="AY2957" s="750"/>
      <c r="AZ2957" s="750"/>
      <c r="BA2957" s="750"/>
      <c r="BB2957" s="750"/>
      <c r="BC2957" s="750"/>
      <c r="BD2957" s="750"/>
      <c r="BE2957" s="750"/>
      <c r="BF2957" s="750"/>
      <c r="BG2957" s="750"/>
      <c r="BH2957" s="750"/>
      <c r="BI2957" s="750"/>
      <c r="BJ2957" s="750"/>
      <c r="BK2957" s="750"/>
      <c r="BL2957" s="750"/>
      <c r="BM2957" s="750"/>
      <c r="BN2957" s="750"/>
      <c r="BO2957" s="750"/>
      <c r="BP2957" s="750"/>
      <c r="BQ2957" s="750"/>
    </row>
    <row r="2958" spans="3:69">
      <c r="C2958" s="853"/>
      <c r="D2958" s="853"/>
      <c r="E2958" s="853"/>
      <c r="F2958" s="853"/>
      <c r="G2958" s="853"/>
      <c r="H2958" s="853"/>
      <c r="I2958" s="848"/>
      <c r="J2958" s="848"/>
      <c r="K2958" s="1295"/>
      <c r="L2958" s="1295"/>
      <c r="M2958" s="1295"/>
      <c r="N2958" s="1295"/>
      <c r="O2958" s="1295"/>
      <c r="P2958" s="853"/>
      <c r="Q2958" s="1295"/>
      <c r="R2958" s="848"/>
      <c r="S2958" s="848"/>
      <c r="T2958" s="848"/>
      <c r="U2958" s="848"/>
      <c r="V2958" s="1296"/>
      <c r="W2958" s="848"/>
      <c r="X2958" s="848"/>
      <c r="Y2958" s="1295"/>
      <c r="Z2958" s="1296"/>
      <c r="AA2958" s="1295"/>
      <c r="AB2958" s="1296"/>
      <c r="AC2958" s="1295"/>
      <c r="AD2958" s="1295"/>
      <c r="AE2958" s="2556"/>
      <c r="AF2958" s="750"/>
      <c r="AG2958" s="750"/>
      <c r="AH2958" s="750"/>
      <c r="AI2958" s="750"/>
      <c r="AJ2958" s="750"/>
      <c r="AK2958" s="750"/>
      <c r="AL2958" s="750"/>
      <c r="AM2958" s="750"/>
      <c r="AN2958" s="750"/>
      <c r="AO2958" s="750"/>
      <c r="AP2958" s="750"/>
      <c r="AQ2958" s="750"/>
      <c r="AR2958" s="750"/>
      <c r="AS2958" s="750"/>
      <c r="AT2958" s="750"/>
      <c r="AU2958" s="750"/>
      <c r="AV2958" s="750"/>
      <c r="AW2958" s="750"/>
      <c r="AX2958" s="750"/>
      <c r="AY2958" s="750"/>
      <c r="AZ2958" s="750"/>
      <c r="BA2958" s="750"/>
      <c r="BB2958" s="750"/>
      <c r="BC2958" s="750"/>
      <c r="BD2958" s="750"/>
      <c r="BE2958" s="750"/>
      <c r="BF2958" s="750"/>
      <c r="BG2958" s="750"/>
      <c r="BH2958" s="750"/>
      <c r="BI2958" s="750"/>
      <c r="BJ2958" s="750"/>
      <c r="BK2958" s="750"/>
      <c r="BL2958" s="750"/>
      <c r="BM2958" s="750"/>
      <c r="BN2958" s="750"/>
      <c r="BO2958" s="750"/>
      <c r="BP2958" s="750"/>
      <c r="BQ2958" s="750"/>
    </row>
    <row r="2959" spans="3:69">
      <c r="C2959" s="853"/>
      <c r="D2959" s="853"/>
      <c r="E2959" s="853"/>
      <c r="F2959" s="853"/>
      <c r="G2959" s="853"/>
      <c r="H2959" s="853"/>
      <c r="I2959" s="848"/>
      <c r="J2959" s="848"/>
      <c r="K2959" s="1295"/>
      <c r="L2959" s="1295"/>
      <c r="M2959" s="1295"/>
      <c r="N2959" s="1295"/>
      <c r="O2959" s="1295"/>
      <c r="P2959" s="853"/>
      <c r="Q2959" s="1295"/>
      <c r="R2959" s="848"/>
      <c r="S2959" s="848"/>
      <c r="T2959" s="848"/>
      <c r="U2959" s="848"/>
      <c r="V2959" s="1296"/>
      <c r="W2959" s="848"/>
      <c r="X2959" s="848"/>
      <c r="Y2959" s="1295"/>
      <c r="Z2959" s="1296"/>
      <c r="AA2959" s="1295"/>
      <c r="AB2959" s="1296"/>
      <c r="AC2959" s="1295"/>
      <c r="AD2959" s="1295"/>
      <c r="AE2959" s="2556"/>
      <c r="AF2959" s="750"/>
      <c r="AG2959" s="750"/>
      <c r="AH2959" s="750"/>
      <c r="AI2959" s="750"/>
      <c r="AJ2959" s="750"/>
      <c r="AK2959" s="750"/>
      <c r="AL2959" s="750"/>
      <c r="AM2959" s="750"/>
      <c r="AN2959" s="750"/>
      <c r="AO2959" s="750"/>
      <c r="AP2959" s="750"/>
      <c r="AQ2959" s="750"/>
      <c r="AR2959" s="750"/>
      <c r="AS2959" s="750"/>
      <c r="AT2959" s="750"/>
      <c r="AU2959" s="750"/>
      <c r="AV2959" s="750"/>
      <c r="AW2959" s="750"/>
      <c r="AX2959" s="750"/>
      <c r="AY2959" s="750"/>
      <c r="AZ2959" s="750"/>
      <c r="BA2959" s="750"/>
      <c r="BB2959" s="750"/>
      <c r="BC2959" s="750"/>
      <c r="BD2959" s="750"/>
      <c r="BE2959" s="750"/>
      <c r="BF2959" s="750"/>
      <c r="BG2959" s="750"/>
      <c r="BH2959" s="750"/>
      <c r="BI2959" s="750"/>
      <c r="BJ2959" s="750"/>
      <c r="BK2959" s="750"/>
      <c r="BL2959" s="750"/>
      <c r="BM2959" s="750"/>
      <c r="BN2959" s="750"/>
      <c r="BO2959" s="750"/>
      <c r="BP2959" s="750"/>
      <c r="BQ2959" s="750"/>
    </row>
    <row r="2960" spans="3:69">
      <c r="C2960" s="853"/>
      <c r="D2960" s="853"/>
      <c r="E2960" s="853"/>
      <c r="F2960" s="853"/>
      <c r="G2960" s="853"/>
      <c r="H2960" s="853"/>
      <c r="I2960" s="848"/>
      <c r="J2960" s="848"/>
      <c r="K2960" s="1295"/>
      <c r="L2960" s="1295"/>
      <c r="M2960" s="1295"/>
      <c r="N2960" s="1295"/>
      <c r="O2960" s="1295"/>
      <c r="P2960" s="853"/>
      <c r="Q2960" s="1295"/>
      <c r="R2960" s="848"/>
      <c r="S2960" s="848"/>
      <c r="T2960" s="848"/>
      <c r="U2960" s="848"/>
      <c r="V2960" s="1296"/>
      <c r="W2960" s="848"/>
      <c r="X2960" s="848"/>
      <c r="Y2960" s="1295"/>
      <c r="Z2960" s="1296"/>
      <c r="AA2960" s="1295"/>
      <c r="AB2960" s="1296"/>
      <c r="AC2960" s="1295"/>
      <c r="AD2960" s="1295"/>
      <c r="AE2960" s="2556"/>
      <c r="AF2960" s="750"/>
      <c r="AG2960" s="750"/>
      <c r="AH2960" s="750"/>
      <c r="AI2960" s="750"/>
      <c r="AJ2960" s="750"/>
      <c r="AK2960" s="750"/>
      <c r="AL2960" s="750"/>
      <c r="AM2960" s="750"/>
      <c r="AN2960" s="750"/>
      <c r="AO2960" s="750"/>
      <c r="AP2960" s="750"/>
      <c r="AQ2960" s="750"/>
      <c r="AR2960" s="750"/>
      <c r="AS2960" s="750"/>
      <c r="AT2960" s="750"/>
      <c r="AU2960" s="750"/>
      <c r="AV2960" s="750"/>
      <c r="AW2960" s="750"/>
      <c r="AX2960" s="750"/>
      <c r="AY2960" s="750"/>
      <c r="AZ2960" s="750"/>
      <c r="BA2960" s="750"/>
      <c r="BB2960" s="750"/>
      <c r="BC2960" s="750"/>
      <c r="BD2960" s="750"/>
      <c r="BE2960" s="750"/>
      <c r="BF2960" s="750"/>
      <c r="BG2960" s="750"/>
      <c r="BH2960" s="750"/>
      <c r="BI2960" s="750"/>
      <c r="BJ2960" s="750"/>
      <c r="BK2960" s="750"/>
      <c r="BL2960" s="750"/>
      <c r="BM2960" s="750"/>
      <c r="BN2960" s="750"/>
      <c r="BO2960" s="750"/>
      <c r="BP2960" s="750"/>
      <c r="BQ2960" s="750"/>
    </row>
    <row r="2961" spans="3:69">
      <c r="C2961" s="853"/>
      <c r="D2961" s="853"/>
      <c r="E2961" s="853"/>
      <c r="F2961" s="853"/>
      <c r="G2961" s="853"/>
      <c r="H2961" s="853"/>
      <c r="I2961" s="848"/>
      <c r="J2961" s="848"/>
      <c r="K2961" s="1295"/>
      <c r="L2961" s="1295"/>
      <c r="M2961" s="1295"/>
      <c r="N2961" s="1295"/>
      <c r="O2961" s="1295"/>
      <c r="P2961" s="853"/>
      <c r="Q2961" s="1295"/>
      <c r="R2961" s="848"/>
      <c r="S2961" s="848"/>
      <c r="T2961" s="848"/>
      <c r="U2961" s="848"/>
      <c r="V2961" s="1296"/>
      <c r="W2961" s="848"/>
      <c r="X2961" s="848"/>
      <c r="Y2961" s="1295"/>
      <c r="Z2961" s="1296"/>
      <c r="AA2961" s="1295"/>
      <c r="AB2961" s="1296"/>
      <c r="AC2961" s="1295"/>
      <c r="AD2961" s="1295"/>
      <c r="AE2961" s="2556"/>
      <c r="AF2961" s="750"/>
      <c r="AG2961" s="750"/>
      <c r="AH2961" s="750"/>
      <c r="AI2961" s="750"/>
      <c r="AJ2961" s="750"/>
      <c r="AK2961" s="750"/>
      <c r="AL2961" s="750"/>
      <c r="AM2961" s="750"/>
      <c r="AN2961" s="750"/>
      <c r="AO2961" s="750"/>
      <c r="AP2961" s="750"/>
      <c r="AQ2961" s="750"/>
      <c r="AR2961" s="750"/>
      <c r="AS2961" s="750"/>
      <c r="AT2961" s="750"/>
      <c r="AU2961" s="750"/>
      <c r="AV2961" s="750"/>
      <c r="AW2961" s="750"/>
      <c r="AX2961" s="750"/>
      <c r="AY2961" s="750"/>
      <c r="AZ2961" s="750"/>
      <c r="BA2961" s="750"/>
      <c r="BB2961" s="750"/>
      <c r="BC2961" s="750"/>
      <c r="BD2961" s="750"/>
      <c r="BE2961" s="750"/>
      <c r="BF2961" s="750"/>
      <c r="BG2961" s="750"/>
      <c r="BH2961" s="750"/>
      <c r="BI2961" s="750"/>
      <c r="BJ2961" s="750"/>
      <c r="BK2961" s="750"/>
      <c r="BL2961" s="750"/>
      <c r="BM2961" s="750"/>
      <c r="BN2961" s="750"/>
      <c r="BO2961" s="750"/>
      <c r="BP2961" s="750"/>
      <c r="BQ2961" s="750"/>
    </row>
    <row r="2962" spans="3:69">
      <c r="C2962" s="853"/>
      <c r="D2962" s="853"/>
      <c r="E2962" s="853"/>
      <c r="F2962" s="853"/>
      <c r="G2962" s="853"/>
      <c r="H2962" s="853"/>
      <c r="I2962" s="848"/>
      <c r="J2962" s="848"/>
      <c r="K2962" s="1295"/>
      <c r="L2962" s="1295"/>
      <c r="M2962" s="1295"/>
      <c r="N2962" s="1295"/>
      <c r="O2962" s="1295"/>
      <c r="P2962" s="853"/>
      <c r="Q2962" s="1295"/>
      <c r="R2962" s="848"/>
      <c r="S2962" s="848"/>
      <c r="T2962" s="848"/>
      <c r="U2962" s="848"/>
      <c r="V2962" s="1296"/>
      <c r="W2962" s="848"/>
      <c r="X2962" s="848"/>
      <c r="Y2962" s="1295"/>
      <c r="Z2962" s="1296"/>
      <c r="AA2962" s="1295"/>
      <c r="AB2962" s="1296"/>
      <c r="AC2962" s="1295"/>
      <c r="AD2962" s="1295"/>
      <c r="AE2962" s="2556"/>
      <c r="AF2962" s="750"/>
      <c r="AG2962" s="750"/>
      <c r="AH2962" s="750"/>
      <c r="AI2962" s="750"/>
      <c r="AJ2962" s="750"/>
      <c r="AK2962" s="750"/>
      <c r="AL2962" s="750"/>
      <c r="AM2962" s="750"/>
      <c r="AN2962" s="750"/>
      <c r="AO2962" s="750"/>
      <c r="AP2962" s="750"/>
      <c r="AQ2962" s="750"/>
      <c r="AR2962" s="750"/>
      <c r="AS2962" s="750"/>
      <c r="AT2962" s="750"/>
      <c r="AU2962" s="750"/>
      <c r="AV2962" s="750"/>
      <c r="AW2962" s="750"/>
      <c r="AX2962" s="750"/>
      <c r="AY2962" s="750"/>
      <c r="AZ2962" s="750"/>
      <c r="BA2962" s="750"/>
      <c r="BB2962" s="750"/>
      <c r="BC2962" s="750"/>
      <c r="BD2962" s="750"/>
      <c r="BE2962" s="750"/>
      <c r="BF2962" s="750"/>
      <c r="BG2962" s="750"/>
      <c r="BH2962" s="750"/>
      <c r="BI2962" s="750"/>
      <c r="BJ2962" s="750"/>
      <c r="BK2962" s="750"/>
      <c r="BL2962" s="750"/>
      <c r="BM2962" s="750"/>
      <c r="BN2962" s="750"/>
      <c r="BO2962" s="750"/>
      <c r="BP2962" s="750"/>
      <c r="BQ2962" s="750"/>
    </row>
    <row r="2963" spans="3:69">
      <c r="C2963" s="853"/>
      <c r="D2963" s="853"/>
      <c r="E2963" s="853"/>
      <c r="F2963" s="853"/>
      <c r="G2963" s="853"/>
      <c r="H2963" s="853"/>
      <c r="I2963" s="848"/>
      <c r="J2963" s="848"/>
      <c r="K2963" s="1295"/>
      <c r="L2963" s="1295"/>
      <c r="M2963" s="1295"/>
      <c r="N2963" s="1295"/>
      <c r="O2963" s="1295"/>
      <c r="P2963" s="853"/>
      <c r="Q2963" s="1295"/>
      <c r="R2963" s="848"/>
      <c r="S2963" s="848"/>
      <c r="T2963" s="848"/>
      <c r="U2963" s="848"/>
      <c r="V2963" s="1296"/>
      <c r="W2963" s="848"/>
      <c r="X2963" s="848"/>
      <c r="Y2963" s="1295"/>
      <c r="Z2963" s="1296"/>
      <c r="AA2963" s="1295"/>
      <c r="AB2963" s="1296"/>
      <c r="AC2963" s="1295"/>
      <c r="AD2963" s="1295"/>
      <c r="AE2963" s="2556"/>
      <c r="AF2963" s="750"/>
      <c r="AG2963" s="750"/>
      <c r="AH2963" s="750"/>
      <c r="AI2963" s="750"/>
      <c r="AJ2963" s="750"/>
      <c r="AK2963" s="750"/>
      <c r="AL2963" s="750"/>
      <c r="AM2963" s="750"/>
      <c r="AN2963" s="750"/>
      <c r="AO2963" s="750"/>
      <c r="AP2963" s="750"/>
      <c r="AQ2963" s="750"/>
      <c r="AR2963" s="750"/>
      <c r="AS2963" s="750"/>
      <c r="AT2963" s="750"/>
      <c r="AU2963" s="750"/>
      <c r="AV2963" s="750"/>
      <c r="AW2963" s="750"/>
      <c r="AX2963" s="750"/>
      <c r="AY2963" s="750"/>
      <c r="AZ2963" s="750"/>
      <c r="BA2963" s="750"/>
      <c r="BB2963" s="750"/>
      <c r="BC2963" s="750"/>
      <c r="BD2963" s="750"/>
      <c r="BE2963" s="750"/>
      <c r="BF2963" s="750"/>
      <c r="BG2963" s="750"/>
      <c r="BH2963" s="750"/>
      <c r="BI2963" s="750"/>
      <c r="BJ2963" s="750"/>
      <c r="BK2963" s="750"/>
      <c r="BL2963" s="750"/>
      <c r="BM2963" s="750"/>
      <c r="BN2963" s="750"/>
      <c r="BO2963" s="750"/>
      <c r="BP2963" s="750"/>
      <c r="BQ2963" s="750"/>
    </row>
    <row r="2964" spans="3:69">
      <c r="C2964" s="853"/>
      <c r="D2964" s="853"/>
      <c r="E2964" s="853"/>
      <c r="F2964" s="853"/>
      <c r="G2964" s="853"/>
      <c r="H2964" s="853"/>
      <c r="I2964" s="848"/>
      <c r="J2964" s="848"/>
      <c r="K2964" s="1295"/>
      <c r="L2964" s="1295"/>
      <c r="M2964" s="1295"/>
      <c r="N2964" s="1295"/>
      <c r="O2964" s="1295"/>
      <c r="P2964" s="853"/>
      <c r="Q2964" s="1295"/>
      <c r="R2964" s="848"/>
      <c r="S2964" s="848"/>
      <c r="T2964" s="848"/>
      <c r="U2964" s="848"/>
      <c r="V2964" s="1296"/>
      <c r="W2964" s="848"/>
      <c r="X2964" s="848"/>
      <c r="Y2964" s="1295"/>
      <c r="Z2964" s="1296"/>
      <c r="AA2964" s="1295"/>
      <c r="AB2964" s="1296"/>
      <c r="AC2964" s="1295"/>
      <c r="AD2964" s="1295"/>
      <c r="AE2964" s="2556"/>
      <c r="AF2964" s="750"/>
      <c r="AG2964" s="750"/>
      <c r="AH2964" s="750"/>
      <c r="AI2964" s="750"/>
      <c r="AJ2964" s="750"/>
      <c r="AK2964" s="750"/>
      <c r="AL2964" s="750"/>
      <c r="AM2964" s="750"/>
      <c r="AN2964" s="750"/>
      <c r="AO2964" s="750"/>
      <c r="AP2964" s="750"/>
      <c r="AQ2964" s="750"/>
      <c r="AR2964" s="750"/>
      <c r="AS2964" s="750"/>
      <c r="AT2964" s="750"/>
      <c r="AU2964" s="750"/>
      <c r="AV2964" s="750"/>
      <c r="AW2964" s="750"/>
      <c r="AX2964" s="750"/>
      <c r="AY2964" s="750"/>
      <c r="AZ2964" s="750"/>
      <c r="BA2964" s="750"/>
      <c r="BB2964" s="750"/>
      <c r="BC2964" s="750"/>
      <c r="BD2964" s="750"/>
      <c r="BE2964" s="750"/>
      <c r="BF2964" s="750"/>
      <c r="BG2964" s="750"/>
      <c r="BH2964" s="750"/>
      <c r="BI2964" s="750"/>
      <c r="BJ2964" s="750"/>
      <c r="BK2964" s="750"/>
      <c r="BL2964" s="750"/>
      <c r="BM2964" s="750"/>
      <c r="BN2964" s="750"/>
      <c r="BO2964" s="750"/>
      <c r="BP2964" s="750"/>
      <c r="BQ2964" s="750"/>
    </row>
    <row r="2965" spans="3:69">
      <c r="C2965" s="853"/>
      <c r="D2965" s="853"/>
      <c r="E2965" s="853"/>
      <c r="F2965" s="853"/>
      <c r="G2965" s="853"/>
      <c r="H2965" s="853"/>
      <c r="I2965" s="848"/>
      <c r="J2965" s="848"/>
      <c r="K2965" s="1295"/>
      <c r="L2965" s="1295"/>
      <c r="M2965" s="1295"/>
      <c r="N2965" s="1295"/>
      <c r="O2965" s="1295"/>
      <c r="P2965" s="853"/>
      <c r="Q2965" s="1295"/>
      <c r="R2965" s="848"/>
      <c r="S2965" s="848"/>
      <c r="T2965" s="848"/>
      <c r="U2965" s="848"/>
      <c r="V2965" s="1296"/>
      <c r="W2965" s="848"/>
      <c r="X2965" s="848"/>
      <c r="Y2965" s="1295"/>
      <c r="Z2965" s="1296"/>
      <c r="AA2965" s="1295"/>
      <c r="AB2965" s="1296"/>
      <c r="AC2965" s="1295"/>
      <c r="AD2965" s="1295"/>
      <c r="AE2965" s="2556"/>
      <c r="AF2965" s="750"/>
      <c r="AG2965" s="750"/>
      <c r="AH2965" s="750"/>
      <c r="AI2965" s="750"/>
      <c r="AJ2965" s="750"/>
      <c r="AK2965" s="750"/>
      <c r="AL2965" s="750"/>
      <c r="AM2965" s="750"/>
      <c r="AN2965" s="750"/>
      <c r="AO2965" s="750"/>
      <c r="AP2965" s="750"/>
      <c r="AQ2965" s="750"/>
      <c r="AR2965" s="750"/>
      <c r="AS2965" s="750"/>
      <c r="AT2965" s="750"/>
      <c r="AU2965" s="750"/>
      <c r="AV2965" s="750"/>
      <c r="AW2965" s="750"/>
      <c r="AX2965" s="750"/>
      <c r="AY2965" s="750"/>
      <c r="AZ2965" s="750"/>
      <c r="BA2965" s="750"/>
      <c r="BB2965" s="750"/>
      <c r="BC2965" s="750"/>
      <c r="BD2965" s="750"/>
      <c r="BE2965" s="750"/>
      <c r="BF2965" s="750"/>
      <c r="BG2965" s="750"/>
      <c r="BH2965" s="750"/>
      <c r="BI2965" s="750"/>
      <c r="BJ2965" s="750"/>
      <c r="BK2965" s="750"/>
      <c r="BL2965" s="750"/>
      <c r="BM2965" s="750"/>
      <c r="BN2965" s="750"/>
      <c r="BO2965" s="750"/>
      <c r="BP2965" s="750"/>
      <c r="BQ2965" s="750"/>
    </row>
    <row r="2966" spans="3:69">
      <c r="C2966" s="853"/>
      <c r="D2966" s="853"/>
      <c r="E2966" s="853"/>
      <c r="F2966" s="853"/>
      <c r="G2966" s="853"/>
      <c r="H2966" s="853"/>
      <c r="I2966" s="848"/>
      <c r="J2966" s="848"/>
      <c r="K2966" s="1295"/>
      <c r="L2966" s="1295"/>
      <c r="M2966" s="1295"/>
      <c r="N2966" s="1295"/>
      <c r="O2966" s="1295"/>
      <c r="P2966" s="853"/>
      <c r="Q2966" s="1295"/>
      <c r="R2966" s="848"/>
      <c r="S2966" s="848"/>
      <c r="T2966" s="848"/>
      <c r="U2966" s="848"/>
      <c r="V2966" s="1296"/>
      <c r="W2966" s="848"/>
      <c r="X2966" s="848"/>
      <c r="Y2966" s="1295"/>
      <c r="Z2966" s="1296"/>
      <c r="AA2966" s="1295"/>
      <c r="AB2966" s="1296"/>
      <c r="AC2966" s="1295"/>
      <c r="AD2966" s="1295"/>
      <c r="AE2966" s="2556"/>
      <c r="AF2966" s="750"/>
      <c r="AG2966" s="750"/>
      <c r="AH2966" s="750"/>
      <c r="AI2966" s="750"/>
      <c r="AJ2966" s="750"/>
      <c r="AK2966" s="750"/>
      <c r="AL2966" s="750"/>
      <c r="AM2966" s="750"/>
      <c r="AN2966" s="750"/>
      <c r="AO2966" s="750"/>
      <c r="AP2966" s="750"/>
      <c r="AQ2966" s="750"/>
      <c r="AR2966" s="750"/>
      <c r="AS2966" s="750"/>
      <c r="AT2966" s="750"/>
      <c r="AU2966" s="750"/>
      <c r="AV2966" s="750"/>
      <c r="AW2966" s="750"/>
      <c r="AX2966" s="750"/>
      <c r="AY2966" s="750"/>
      <c r="AZ2966" s="750"/>
      <c r="BA2966" s="750"/>
      <c r="BB2966" s="750"/>
      <c r="BC2966" s="750"/>
      <c r="BD2966" s="750"/>
      <c r="BE2966" s="750"/>
      <c r="BF2966" s="750"/>
      <c r="BG2966" s="750"/>
      <c r="BH2966" s="750"/>
      <c r="BI2966" s="750"/>
      <c r="BJ2966" s="750"/>
      <c r="BK2966" s="750"/>
      <c r="BL2966" s="750"/>
      <c r="BM2966" s="750"/>
      <c r="BN2966" s="750"/>
      <c r="BO2966" s="750"/>
      <c r="BP2966" s="750"/>
      <c r="BQ2966" s="750"/>
    </row>
    <row r="2967" spans="3:69">
      <c r="C2967" s="853"/>
      <c r="D2967" s="853"/>
      <c r="E2967" s="853"/>
      <c r="F2967" s="853"/>
      <c r="G2967" s="853"/>
      <c r="H2967" s="853"/>
      <c r="I2967" s="848"/>
      <c r="J2967" s="848"/>
      <c r="K2967" s="1295"/>
      <c r="L2967" s="1295"/>
      <c r="M2967" s="1295"/>
      <c r="N2967" s="1295"/>
      <c r="O2967" s="1295"/>
      <c r="P2967" s="853"/>
      <c r="Q2967" s="1295"/>
      <c r="R2967" s="848"/>
      <c r="S2967" s="848"/>
      <c r="T2967" s="848"/>
      <c r="U2967" s="848"/>
      <c r="V2967" s="1296"/>
      <c r="W2967" s="848"/>
      <c r="X2967" s="848"/>
      <c r="Y2967" s="1295"/>
      <c r="Z2967" s="1296"/>
      <c r="AA2967" s="1295"/>
      <c r="AB2967" s="1296"/>
      <c r="AC2967" s="1295"/>
      <c r="AD2967" s="1295"/>
      <c r="AE2967" s="2556"/>
      <c r="AF2967" s="750"/>
      <c r="AG2967" s="750"/>
      <c r="AH2967" s="750"/>
      <c r="AI2967" s="750"/>
      <c r="AJ2967" s="750"/>
      <c r="AK2967" s="750"/>
      <c r="AL2967" s="750"/>
      <c r="AM2967" s="750"/>
      <c r="AN2967" s="750"/>
      <c r="AO2967" s="750"/>
      <c r="AP2967" s="750"/>
      <c r="AQ2967" s="750"/>
      <c r="AR2967" s="750"/>
      <c r="AS2967" s="750"/>
      <c r="AT2967" s="750"/>
      <c r="AU2967" s="750"/>
      <c r="AV2967" s="750"/>
      <c r="AW2967" s="750"/>
      <c r="AX2967" s="750"/>
      <c r="AY2967" s="750"/>
      <c r="AZ2967" s="750"/>
      <c r="BA2967" s="750"/>
      <c r="BB2967" s="750"/>
      <c r="BC2967" s="750"/>
      <c r="BD2967" s="750"/>
      <c r="BE2967" s="750"/>
      <c r="BF2967" s="750"/>
      <c r="BG2967" s="750"/>
      <c r="BH2967" s="750"/>
      <c r="BI2967" s="750"/>
      <c r="BJ2967" s="750"/>
      <c r="BK2967" s="750"/>
      <c r="BL2967" s="750"/>
      <c r="BM2967" s="750"/>
      <c r="BN2967" s="750"/>
      <c r="BO2967" s="750"/>
      <c r="BP2967" s="750"/>
      <c r="BQ2967" s="750"/>
    </row>
    <row r="2968" spans="3:69">
      <c r="C2968" s="853"/>
      <c r="D2968" s="853"/>
      <c r="E2968" s="853"/>
      <c r="F2968" s="853"/>
      <c r="G2968" s="853"/>
      <c r="H2968" s="853"/>
      <c r="I2968" s="848"/>
      <c r="J2968" s="848"/>
      <c r="K2968" s="1295"/>
      <c r="L2968" s="1295"/>
      <c r="M2968" s="1295"/>
      <c r="N2968" s="1295"/>
      <c r="O2968" s="1295"/>
      <c r="P2968" s="853"/>
      <c r="Q2968" s="1295"/>
      <c r="R2968" s="848"/>
      <c r="S2968" s="848"/>
      <c r="T2968" s="848"/>
      <c r="U2968" s="848"/>
      <c r="V2968" s="1296"/>
      <c r="W2968" s="848"/>
      <c r="X2968" s="848"/>
      <c r="Y2968" s="1295"/>
      <c r="Z2968" s="1296"/>
      <c r="AA2968" s="1295"/>
      <c r="AB2968" s="1296"/>
      <c r="AC2968" s="1295"/>
      <c r="AD2968" s="1295"/>
      <c r="AE2968" s="2556"/>
      <c r="AF2968" s="750"/>
      <c r="AG2968" s="750"/>
      <c r="AH2968" s="750"/>
      <c r="AI2968" s="750"/>
      <c r="AJ2968" s="750"/>
      <c r="AK2968" s="750"/>
      <c r="AL2968" s="750"/>
      <c r="AM2968" s="750"/>
      <c r="AN2968" s="750"/>
      <c r="AO2968" s="750"/>
      <c r="AP2968" s="750"/>
      <c r="AQ2968" s="750"/>
      <c r="AR2968" s="750"/>
      <c r="AS2968" s="750"/>
      <c r="AT2968" s="750"/>
      <c r="AU2968" s="750"/>
      <c r="AV2968" s="750"/>
      <c r="AW2968" s="750"/>
      <c r="AX2968" s="750"/>
      <c r="AY2968" s="750"/>
      <c r="AZ2968" s="750"/>
      <c r="BA2968" s="750"/>
      <c r="BB2968" s="750"/>
      <c r="BC2968" s="750"/>
      <c r="BD2968" s="750"/>
      <c r="BE2968" s="750"/>
      <c r="BF2968" s="750"/>
      <c r="BG2968" s="750"/>
      <c r="BH2968" s="750"/>
      <c r="BI2968" s="750"/>
      <c r="BJ2968" s="750"/>
      <c r="BK2968" s="750"/>
      <c r="BL2968" s="750"/>
      <c r="BM2968" s="750"/>
      <c r="BN2968" s="750"/>
      <c r="BO2968" s="750"/>
      <c r="BP2968" s="750"/>
      <c r="BQ2968" s="750"/>
    </row>
    <row r="2969" spans="3:69">
      <c r="C2969" s="853"/>
      <c r="D2969" s="853"/>
      <c r="E2969" s="853"/>
      <c r="F2969" s="853"/>
      <c r="G2969" s="853"/>
      <c r="H2969" s="853"/>
      <c r="I2969" s="848"/>
      <c r="J2969" s="848"/>
      <c r="K2969" s="1295"/>
      <c r="L2969" s="1295"/>
      <c r="M2969" s="1295"/>
      <c r="N2969" s="1295"/>
      <c r="O2969" s="1295"/>
      <c r="P2969" s="853"/>
      <c r="Q2969" s="1295"/>
      <c r="R2969" s="848"/>
      <c r="S2969" s="848"/>
      <c r="T2969" s="848"/>
      <c r="U2969" s="848"/>
      <c r="V2969" s="1296"/>
      <c r="W2969" s="848"/>
      <c r="X2969" s="848"/>
      <c r="Y2969" s="1295"/>
      <c r="Z2969" s="1296"/>
      <c r="AA2969" s="1295"/>
      <c r="AB2969" s="1296"/>
      <c r="AC2969" s="1295"/>
      <c r="AD2969" s="1295"/>
      <c r="AE2969" s="2556"/>
      <c r="AF2969" s="750"/>
      <c r="AG2969" s="750"/>
      <c r="AH2969" s="750"/>
      <c r="AI2969" s="750"/>
      <c r="AJ2969" s="750"/>
      <c r="AK2969" s="750"/>
      <c r="AL2969" s="750"/>
      <c r="AM2969" s="750"/>
      <c r="AN2969" s="750"/>
      <c r="AO2969" s="750"/>
      <c r="AP2969" s="750"/>
      <c r="AQ2969" s="750"/>
      <c r="AR2969" s="750"/>
      <c r="AS2969" s="750"/>
      <c r="AT2969" s="750"/>
      <c r="AU2969" s="750"/>
      <c r="AV2969" s="750"/>
      <c r="AW2969" s="750"/>
      <c r="AX2969" s="750"/>
      <c r="AY2969" s="750"/>
      <c r="AZ2969" s="750"/>
      <c r="BA2969" s="750"/>
      <c r="BB2969" s="750"/>
      <c r="BC2969" s="750"/>
      <c r="BD2969" s="750"/>
      <c r="BE2969" s="750"/>
      <c r="BF2969" s="750"/>
      <c r="BG2969" s="750"/>
      <c r="BH2969" s="750"/>
      <c r="BI2969" s="750"/>
      <c r="BJ2969" s="750"/>
      <c r="BK2969" s="750"/>
      <c r="BL2969" s="750"/>
      <c r="BM2969" s="750"/>
      <c r="BN2969" s="750"/>
      <c r="BO2969" s="750"/>
      <c r="BP2969" s="750"/>
      <c r="BQ2969" s="750"/>
    </row>
    <row r="2970" spans="3:69">
      <c r="C2970" s="853"/>
      <c r="D2970" s="853"/>
      <c r="E2970" s="853"/>
      <c r="F2970" s="853"/>
      <c r="G2970" s="853"/>
      <c r="H2970" s="853"/>
      <c r="I2970" s="848"/>
      <c r="J2970" s="848"/>
      <c r="K2970" s="1295"/>
      <c r="L2970" s="1295"/>
      <c r="M2970" s="1295"/>
      <c r="N2970" s="1295"/>
      <c r="O2970" s="1295"/>
      <c r="P2970" s="853"/>
      <c r="Q2970" s="1295"/>
      <c r="R2970" s="848"/>
      <c r="S2970" s="848"/>
      <c r="T2970" s="848"/>
      <c r="U2970" s="848"/>
      <c r="V2970" s="1296"/>
      <c r="W2970" s="848"/>
      <c r="X2970" s="848"/>
      <c r="Y2970" s="1295"/>
      <c r="Z2970" s="1296"/>
      <c r="AA2970" s="1295"/>
      <c r="AB2970" s="1296"/>
      <c r="AC2970" s="1295"/>
      <c r="AD2970" s="1295"/>
      <c r="AE2970" s="2556"/>
      <c r="AF2970" s="750"/>
      <c r="AG2970" s="750"/>
      <c r="AH2970" s="750"/>
      <c r="AI2970" s="750"/>
      <c r="AJ2970" s="750"/>
      <c r="AK2970" s="750"/>
      <c r="AL2970" s="750"/>
      <c r="AM2970" s="750"/>
      <c r="AN2970" s="750"/>
      <c r="AO2970" s="750"/>
      <c r="AP2970" s="750"/>
      <c r="AQ2970" s="750"/>
      <c r="AR2970" s="750"/>
      <c r="AS2970" s="750"/>
      <c r="AT2970" s="750"/>
      <c r="AU2970" s="750"/>
      <c r="AV2970" s="750"/>
      <c r="AW2970" s="750"/>
      <c r="AX2970" s="750"/>
      <c r="AY2970" s="750"/>
      <c r="AZ2970" s="750"/>
      <c r="BA2970" s="750"/>
      <c r="BB2970" s="750"/>
      <c r="BC2970" s="750"/>
      <c r="BD2970" s="750"/>
      <c r="BE2970" s="750"/>
      <c r="BF2970" s="750"/>
      <c r="BG2970" s="750"/>
      <c r="BH2970" s="750"/>
      <c r="BI2970" s="750"/>
      <c r="BJ2970" s="750"/>
      <c r="BK2970" s="750"/>
      <c r="BL2970" s="750"/>
      <c r="BM2970" s="750"/>
      <c r="BN2970" s="750"/>
      <c r="BO2970" s="750"/>
      <c r="BP2970" s="750"/>
      <c r="BQ2970" s="750"/>
    </row>
    <row r="2971" spans="3:69">
      <c r="C2971" s="853"/>
      <c r="D2971" s="853"/>
      <c r="E2971" s="853"/>
      <c r="F2971" s="853"/>
      <c r="G2971" s="853"/>
      <c r="H2971" s="853"/>
      <c r="I2971" s="848"/>
      <c r="J2971" s="848"/>
      <c r="K2971" s="1295"/>
      <c r="L2971" s="1295"/>
      <c r="M2971" s="1295"/>
      <c r="N2971" s="1295"/>
      <c r="O2971" s="1295"/>
      <c r="P2971" s="853"/>
      <c r="Q2971" s="1295"/>
      <c r="R2971" s="848"/>
      <c r="S2971" s="848"/>
      <c r="T2971" s="848"/>
      <c r="U2971" s="848"/>
      <c r="V2971" s="1296"/>
      <c r="W2971" s="848"/>
      <c r="X2971" s="848"/>
      <c r="Y2971" s="1295"/>
      <c r="Z2971" s="1296"/>
      <c r="AA2971" s="1295"/>
      <c r="AB2971" s="1296"/>
      <c r="AC2971" s="1295"/>
      <c r="AD2971" s="1295"/>
      <c r="AE2971" s="2556"/>
      <c r="AF2971" s="750"/>
      <c r="AG2971" s="750"/>
      <c r="AH2971" s="750"/>
      <c r="AI2971" s="750"/>
      <c r="AJ2971" s="750"/>
      <c r="AK2971" s="750"/>
      <c r="AL2971" s="750"/>
      <c r="AM2971" s="750"/>
      <c r="AN2971" s="750"/>
      <c r="AO2971" s="750"/>
      <c r="AP2971" s="750"/>
      <c r="AQ2971" s="750"/>
      <c r="AR2971" s="750"/>
      <c r="AS2971" s="750"/>
      <c r="AT2971" s="750"/>
      <c r="AU2971" s="750"/>
      <c r="AV2971" s="750"/>
      <c r="AW2971" s="750"/>
      <c r="AX2971" s="750"/>
      <c r="AY2971" s="750"/>
      <c r="AZ2971" s="750"/>
      <c r="BA2971" s="750"/>
      <c r="BB2971" s="750"/>
      <c r="BC2971" s="750"/>
      <c r="BD2971" s="750"/>
      <c r="BE2971" s="750"/>
      <c r="BF2971" s="750"/>
      <c r="BG2971" s="750"/>
      <c r="BH2971" s="750"/>
      <c r="BI2971" s="750"/>
      <c r="BJ2971" s="750"/>
      <c r="BK2971" s="750"/>
      <c r="BL2971" s="750"/>
      <c r="BM2971" s="750"/>
      <c r="BN2971" s="750"/>
      <c r="BO2971" s="750"/>
      <c r="BP2971" s="750"/>
      <c r="BQ2971" s="750"/>
    </row>
    <row r="2972" spans="3:69">
      <c r="C2972" s="853"/>
      <c r="D2972" s="853"/>
      <c r="E2972" s="853"/>
      <c r="F2972" s="853"/>
      <c r="G2972" s="853"/>
      <c r="H2972" s="853"/>
      <c r="I2972" s="848"/>
      <c r="J2972" s="848"/>
      <c r="K2972" s="1295"/>
      <c r="L2972" s="1295"/>
      <c r="M2972" s="1295"/>
      <c r="N2972" s="1295"/>
      <c r="O2972" s="1295"/>
      <c r="P2972" s="853"/>
      <c r="Q2972" s="1295"/>
      <c r="R2972" s="848"/>
      <c r="S2972" s="848"/>
      <c r="T2972" s="848"/>
      <c r="U2972" s="848"/>
      <c r="V2972" s="1296"/>
      <c r="W2972" s="848"/>
      <c r="X2972" s="848"/>
      <c r="Y2972" s="1295"/>
      <c r="Z2972" s="1296"/>
      <c r="AA2972" s="1295"/>
      <c r="AB2972" s="1296"/>
      <c r="AC2972" s="1295"/>
      <c r="AD2972" s="1295"/>
      <c r="AE2972" s="2556"/>
      <c r="AF2972" s="750"/>
      <c r="AG2972" s="750"/>
      <c r="AH2972" s="750"/>
      <c r="AI2972" s="750"/>
      <c r="AJ2972" s="750"/>
      <c r="AK2972" s="750"/>
      <c r="AL2972" s="750"/>
      <c r="AM2972" s="750"/>
      <c r="AN2972" s="750"/>
      <c r="AO2972" s="750"/>
      <c r="AP2972" s="750"/>
      <c r="AQ2972" s="750"/>
      <c r="AR2972" s="750"/>
      <c r="AS2972" s="750"/>
      <c r="AT2972" s="750"/>
      <c r="AU2972" s="750"/>
      <c r="AV2972" s="750"/>
      <c r="AW2972" s="750"/>
      <c r="AX2972" s="750"/>
      <c r="AY2972" s="750"/>
      <c r="AZ2972" s="750"/>
      <c r="BA2972" s="750"/>
      <c r="BB2972" s="750"/>
      <c r="BC2972" s="750"/>
      <c r="BD2972" s="750"/>
      <c r="BE2972" s="750"/>
      <c r="BF2972" s="750"/>
      <c r="BG2972" s="750"/>
      <c r="BH2972" s="750"/>
      <c r="BI2972" s="750"/>
      <c r="BJ2972" s="750"/>
      <c r="BK2972" s="750"/>
      <c r="BL2972" s="750"/>
      <c r="BM2972" s="750"/>
      <c r="BN2972" s="750"/>
      <c r="BO2972" s="750"/>
      <c r="BP2972" s="750"/>
      <c r="BQ2972" s="750"/>
    </row>
    <row r="2973" spans="3:69">
      <c r="C2973" s="853"/>
      <c r="D2973" s="853"/>
      <c r="E2973" s="853"/>
      <c r="F2973" s="853"/>
      <c r="G2973" s="853"/>
      <c r="H2973" s="853"/>
      <c r="I2973" s="848"/>
      <c r="J2973" s="848"/>
      <c r="K2973" s="1295"/>
      <c r="L2973" s="1295"/>
      <c r="M2973" s="1295"/>
      <c r="N2973" s="1295"/>
      <c r="O2973" s="1295"/>
      <c r="P2973" s="853"/>
      <c r="Q2973" s="1295"/>
      <c r="R2973" s="848"/>
      <c r="S2973" s="848"/>
      <c r="T2973" s="848"/>
      <c r="U2973" s="848"/>
      <c r="V2973" s="1296"/>
      <c r="W2973" s="848"/>
      <c r="X2973" s="848"/>
      <c r="Y2973" s="1295"/>
      <c r="Z2973" s="1296"/>
      <c r="AA2973" s="1295"/>
      <c r="AB2973" s="1296"/>
      <c r="AC2973" s="1295"/>
      <c r="AD2973" s="1295"/>
      <c r="AE2973" s="2556"/>
      <c r="AF2973" s="750"/>
      <c r="AG2973" s="750"/>
      <c r="AH2973" s="750"/>
      <c r="AI2973" s="750"/>
      <c r="AJ2973" s="750"/>
      <c r="AK2973" s="750"/>
      <c r="AL2973" s="750"/>
      <c r="AM2973" s="750"/>
      <c r="AN2973" s="750"/>
      <c r="AO2973" s="750"/>
      <c r="AP2973" s="750"/>
      <c r="AQ2973" s="750"/>
      <c r="AR2973" s="750"/>
      <c r="AS2973" s="750"/>
      <c r="AT2973" s="750"/>
      <c r="AU2973" s="750"/>
      <c r="AV2973" s="750"/>
      <c r="AW2973" s="750"/>
      <c r="AX2973" s="750"/>
      <c r="AY2973" s="750"/>
      <c r="AZ2973" s="750"/>
      <c r="BA2973" s="750"/>
      <c r="BB2973" s="750"/>
      <c r="BC2973" s="750"/>
      <c r="BD2973" s="750"/>
      <c r="BE2973" s="750"/>
      <c r="BF2973" s="750"/>
      <c r="BG2973" s="750"/>
      <c r="BH2973" s="750"/>
      <c r="BI2973" s="750"/>
      <c r="BJ2973" s="750"/>
      <c r="BK2973" s="750"/>
      <c r="BL2973" s="750"/>
      <c r="BM2973" s="750"/>
      <c r="BN2973" s="750"/>
      <c r="BO2973" s="750"/>
      <c r="BP2973" s="750"/>
      <c r="BQ2973" s="750"/>
    </row>
    <row r="2974" spans="3:69">
      <c r="C2974" s="853"/>
      <c r="D2974" s="853"/>
      <c r="E2974" s="853"/>
      <c r="F2974" s="853"/>
      <c r="G2974" s="853"/>
      <c r="H2974" s="853"/>
      <c r="I2974" s="848"/>
      <c r="J2974" s="848"/>
      <c r="K2974" s="1295"/>
      <c r="L2974" s="1295"/>
      <c r="M2974" s="1295"/>
      <c r="N2974" s="1295"/>
      <c r="O2974" s="1295"/>
      <c r="P2974" s="853"/>
      <c r="Q2974" s="1295"/>
      <c r="R2974" s="848"/>
      <c r="S2974" s="848"/>
      <c r="T2974" s="848"/>
      <c r="U2974" s="848"/>
      <c r="V2974" s="1296"/>
      <c r="W2974" s="848"/>
      <c r="X2974" s="848"/>
      <c r="Y2974" s="1295"/>
      <c r="Z2974" s="1296"/>
      <c r="AA2974" s="1295"/>
      <c r="AB2974" s="1296"/>
      <c r="AC2974" s="1295"/>
      <c r="AD2974" s="1295"/>
      <c r="AE2974" s="2556"/>
      <c r="AF2974" s="750"/>
      <c r="AG2974" s="750"/>
      <c r="AH2974" s="750"/>
      <c r="AI2974" s="750"/>
      <c r="AJ2974" s="750"/>
      <c r="AK2974" s="750"/>
      <c r="AL2974" s="750"/>
      <c r="AM2974" s="750"/>
      <c r="AN2974" s="750"/>
      <c r="AO2974" s="750"/>
      <c r="AP2974" s="750"/>
      <c r="AQ2974" s="750"/>
      <c r="AR2974" s="750"/>
      <c r="AS2974" s="750"/>
      <c r="AT2974" s="750"/>
      <c r="AU2974" s="750"/>
      <c r="AV2974" s="750"/>
      <c r="AW2974" s="750"/>
      <c r="AX2974" s="750"/>
      <c r="AY2974" s="750"/>
      <c r="AZ2974" s="750"/>
      <c r="BA2974" s="750"/>
      <c r="BB2974" s="750"/>
      <c r="BC2974" s="750"/>
      <c r="BD2974" s="750"/>
      <c r="BE2974" s="750"/>
      <c r="BF2974" s="750"/>
      <c r="BG2974" s="750"/>
      <c r="BH2974" s="750"/>
      <c r="BI2974" s="750"/>
      <c r="BJ2974" s="750"/>
      <c r="BK2974" s="750"/>
      <c r="BL2974" s="750"/>
      <c r="BM2974" s="750"/>
      <c r="BN2974" s="750"/>
      <c r="BO2974" s="750"/>
      <c r="BP2974" s="750"/>
      <c r="BQ2974" s="750"/>
    </row>
    <row r="2975" spans="3:69">
      <c r="C2975" s="853"/>
      <c r="D2975" s="853"/>
      <c r="E2975" s="853"/>
      <c r="F2975" s="853"/>
      <c r="G2975" s="853"/>
      <c r="H2975" s="853"/>
      <c r="I2975" s="848"/>
      <c r="J2975" s="848"/>
      <c r="K2975" s="1295"/>
      <c r="L2975" s="1295"/>
      <c r="M2975" s="1295"/>
      <c r="N2975" s="1295"/>
      <c r="O2975" s="1295"/>
      <c r="P2975" s="853"/>
      <c r="Q2975" s="1295"/>
      <c r="R2975" s="848"/>
      <c r="S2975" s="848"/>
      <c r="T2975" s="848"/>
      <c r="U2975" s="848"/>
      <c r="V2975" s="1296"/>
      <c r="W2975" s="848"/>
      <c r="X2975" s="848"/>
      <c r="Y2975" s="1295"/>
      <c r="Z2975" s="1296"/>
      <c r="AA2975" s="1295"/>
      <c r="AB2975" s="1296"/>
      <c r="AC2975" s="1295"/>
      <c r="AD2975" s="1295"/>
      <c r="AE2975" s="2556"/>
      <c r="AF2975" s="750"/>
      <c r="AG2975" s="750"/>
      <c r="AH2975" s="750"/>
      <c r="AI2975" s="750"/>
      <c r="AJ2975" s="750"/>
      <c r="AK2975" s="750"/>
      <c r="AL2975" s="750"/>
      <c r="AM2975" s="750"/>
      <c r="AN2975" s="750"/>
      <c r="AO2975" s="750"/>
      <c r="AP2975" s="750"/>
      <c r="AQ2975" s="750"/>
      <c r="AR2975" s="750"/>
      <c r="AS2975" s="750"/>
      <c r="AT2975" s="750"/>
      <c r="AU2975" s="750"/>
      <c r="AV2975" s="750"/>
      <c r="AW2975" s="750"/>
      <c r="AX2975" s="750"/>
      <c r="AY2975" s="750"/>
      <c r="AZ2975" s="750"/>
      <c r="BA2975" s="750"/>
      <c r="BB2975" s="750"/>
      <c r="BC2975" s="750"/>
      <c r="BD2975" s="750"/>
      <c r="BE2975" s="750"/>
      <c r="BF2975" s="750"/>
      <c r="BG2975" s="750"/>
      <c r="BH2975" s="750"/>
      <c r="BI2975" s="750"/>
      <c r="BJ2975" s="750"/>
      <c r="BK2975" s="750"/>
      <c r="BL2975" s="750"/>
      <c r="BM2975" s="750"/>
      <c r="BN2975" s="750"/>
      <c r="BO2975" s="750"/>
      <c r="BP2975" s="750"/>
      <c r="BQ2975" s="750"/>
    </row>
    <row r="2976" spans="3:69">
      <c r="C2976" s="853"/>
      <c r="D2976" s="853"/>
      <c r="E2976" s="853"/>
      <c r="F2976" s="853"/>
      <c r="G2976" s="853"/>
      <c r="H2976" s="853"/>
      <c r="I2976" s="848"/>
      <c r="J2976" s="848"/>
      <c r="K2976" s="1295"/>
      <c r="L2976" s="1295"/>
      <c r="M2976" s="1295"/>
      <c r="N2976" s="1295"/>
      <c r="O2976" s="1295"/>
      <c r="P2976" s="853"/>
      <c r="Q2976" s="1295"/>
      <c r="R2976" s="848"/>
      <c r="S2976" s="848"/>
      <c r="T2976" s="848"/>
      <c r="U2976" s="848"/>
      <c r="V2976" s="1296"/>
      <c r="W2976" s="848"/>
      <c r="X2976" s="848"/>
      <c r="Y2976" s="1295"/>
      <c r="Z2976" s="1296"/>
      <c r="AA2976" s="1295"/>
      <c r="AB2976" s="1296"/>
      <c r="AC2976" s="1295"/>
      <c r="AD2976" s="1295"/>
      <c r="AE2976" s="2556"/>
      <c r="AF2976" s="750"/>
      <c r="AG2976" s="750"/>
      <c r="AH2976" s="750"/>
      <c r="AI2976" s="750"/>
      <c r="AJ2976" s="750"/>
      <c r="AK2976" s="750"/>
      <c r="AL2976" s="750"/>
      <c r="AM2976" s="750"/>
      <c r="AN2976" s="750"/>
      <c r="AO2976" s="750"/>
      <c r="AP2976" s="750"/>
      <c r="AQ2976" s="750"/>
      <c r="AR2976" s="750"/>
      <c r="AS2976" s="750"/>
      <c r="AT2976" s="750"/>
      <c r="AU2976" s="750"/>
      <c r="AV2976" s="750"/>
      <c r="AW2976" s="750"/>
      <c r="AX2976" s="750"/>
      <c r="AY2976" s="750"/>
      <c r="AZ2976" s="750"/>
      <c r="BA2976" s="750"/>
      <c r="BB2976" s="750"/>
      <c r="BC2976" s="750"/>
      <c r="BD2976" s="750"/>
      <c r="BE2976" s="750"/>
      <c r="BF2976" s="750"/>
      <c r="BG2976" s="750"/>
      <c r="BH2976" s="750"/>
      <c r="BI2976" s="750"/>
      <c r="BJ2976" s="750"/>
      <c r="BK2976" s="750"/>
      <c r="BL2976" s="750"/>
      <c r="BM2976" s="750"/>
      <c r="BN2976" s="750"/>
      <c r="BO2976" s="750"/>
      <c r="BP2976" s="750"/>
      <c r="BQ2976" s="750"/>
    </row>
    <row r="2977" spans="3:69">
      <c r="C2977" s="853"/>
      <c r="D2977" s="853"/>
      <c r="E2977" s="853"/>
      <c r="F2977" s="853"/>
      <c r="G2977" s="853"/>
      <c r="H2977" s="853"/>
      <c r="I2977" s="848"/>
      <c r="J2977" s="848"/>
      <c r="K2977" s="1295"/>
      <c r="L2977" s="1295"/>
      <c r="M2977" s="1295"/>
      <c r="N2977" s="1295"/>
      <c r="O2977" s="1295"/>
      <c r="P2977" s="853"/>
      <c r="Q2977" s="1295"/>
      <c r="R2977" s="848"/>
      <c r="S2977" s="848"/>
      <c r="T2977" s="848"/>
      <c r="U2977" s="848"/>
      <c r="V2977" s="1296"/>
      <c r="W2977" s="848"/>
      <c r="X2977" s="848"/>
      <c r="Y2977" s="1295"/>
      <c r="Z2977" s="1296"/>
      <c r="AA2977" s="1295"/>
      <c r="AB2977" s="1296"/>
      <c r="AC2977" s="1295"/>
      <c r="AD2977" s="1295"/>
      <c r="AE2977" s="2556"/>
      <c r="AF2977" s="750"/>
      <c r="AG2977" s="750"/>
      <c r="AH2977" s="750"/>
      <c r="AI2977" s="750"/>
      <c r="AJ2977" s="750"/>
      <c r="AK2977" s="750"/>
      <c r="AL2977" s="750"/>
      <c r="AM2977" s="750"/>
      <c r="AN2977" s="750"/>
      <c r="AO2977" s="750"/>
      <c r="AP2977" s="750"/>
      <c r="AQ2977" s="750"/>
      <c r="AR2977" s="750"/>
      <c r="AS2977" s="750"/>
      <c r="AT2977" s="750"/>
      <c r="AU2977" s="750"/>
      <c r="AV2977" s="750"/>
      <c r="AW2977" s="750"/>
      <c r="AX2977" s="750"/>
      <c r="AY2977" s="750"/>
      <c r="AZ2977" s="750"/>
      <c r="BA2977" s="750"/>
      <c r="BB2977" s="750"/>
      <c r="BC2977" s="750"/>
      <c r="BD2977" s="750"/>
      <c r="BE2977" s="750"/>
      <c r="BF2977" s="750"/>
      <c r="BG2977" s="750"/>
      <c r="BH2977" s="750"/>
      <c r="BI2977" s="750"/>
      <c r="BJ2977" s="750"/>
      <c r="BK2977" s="750"/>
      <c r="BL2977" s="750"/>
      <c r="BM2977" s="750"/>
      <c r="BN2977" s="750"/>
      <c r="BO2977" s="750"/>
      <c r="BP2977" s="750"/>
      <c r="BQ2977" s="750"/>
    </row>
    <row r="2978" spans="3:69">
      <c r="C2978" s="853"/>
      <c r="D2978" s="853"/>
      <c r="E2978" s="853"/>
      <c r="F2978" s="853"/>
      <c r="G2978" s="853"/>
      <c r="H2978" s="853"/>
      <c r="I2978" s="848"/>
      <c r="J2978" s="848"/>
      <c r="K2978" s="1295"/>
      <c r="L2978" s="1295"/>
      <c r="M2978" s="1295"/>
      <c r="N2978" s="1295"/>
      <c r="O2978" s="1295"/>
      <c r="P2978" s="853"/>
      <c r="Q2978" s="1295"/>
      <c r="R2978" s="848"/>
      <c r="S2978" s="848"/>
      <c r="T2978" s="848"/>
      <c r="U2978" s="848"/>
      <c r="V2978" s="1296"/>
      <c r="W2978" s="848"/>
      <c r="X2978" s="848"/>
      <c r="Y2978" s="1295"/>
      <c r="Z2978" s="1296"/>
      <c r="AA2978" s="1295"/>
      <c r="AB2978" s="1296"/>
      <c r="AC2978" s="1295"/>
      <c r="AD2978" s="1295"/>
      <c r="AE2978" s="2556"/>
      <c r="AF2978" s="750"/>
      <c r="AG2978" s="750"/>
      <c r="AH2978" s="750"/>
      <c r="AI2978" s="750"/>
      <c r="AJ2978" s="750"/>
      <c r="AK2978" s="750"/>
      <c r="AL2978" s="750"/>
      <c r="AM2978" s="750"/>
      <c r="AN2978" s="750"/>
      <c r="AO2978" s="750"/>
      <c r="AP2978" s="750"/>
      <c r="AQ2978" s="750"/>
      <c r="AR2978" s="750"/>
      <c r="AS2978" s="750"/>
      <c r="AT2978" s="750"/>
      <c r="AU2978" s="750"/>
      <c r="AV2978" s="750"/>
      <c r="AW2978" s="750"/>
      <c r="AX2978" s="750"/>
      <c r="AY2978" s="750"/>
      <c r="AZ2978" s="750"/>
      <c r="BA2978" s="750"/>
      <c r="BB2978" s="750"/>
      <c r="BC2978" s="750"/>
      <c r="BD2978" s="750"/>
      <c r="BE2978" s="750"/>
      <c r="BF2978" s="750"/>
      <c r="BG2978" s="750"/>
      <c r="BH2978" s="750"/>
      <c r="BI2978" s="750"/>
      <c r="BJ2978" s="750"/>
      <c r="BK2978" s="750"/>
      <c r="BL2978" s="750"/>
      <c r="BM2978" s="750"/>
      <c r="BN2978" s="750"/>
      <c r="BO2978" s="750"/>
      <c r="BP2978" s="750"/>
      <c r="BQ2978" s="750"/>
    </row>
    <row r="2979" spans="3:69">
      <c r="C2979" s="853"/>
      <c r="D2979" s="853"/>
      <c r="E2979" s="853"/>
      <c r="F2979" s="853"/>
      <c r="G2979" s="853"/>
      <c r="H2979" s="853"/>
      <c r="I2979" s="848"/>
      <c r="J2979" s="848"/>
      <c r="K2979" s="1295"/>
      <c r="L2979" s="1295"/>
      <c r="M2979" s="1295"/>
      <c r="N2979" s="1295"/>
      <c r="O2979" s="1295"/>
      <c r="P2979" s="853"/>
      <c r="Q2979" s="1295"/>
      <c r="R2979" s="848"/>
      <c r="S2979" s="848"/>
      <c r="T2979" s="848"/>
      <c r="U2979" s="848"/>
      <c r="V2979" s="1296"/>
      <c r="W2979" s="848"/>
      <c r="X2979" s="848"/>
      <c r="Y2979" s="1295"/>
      <c r="Z2979" s="1296"/>
      <c r="AA2979" s="1295"/>
      <c r="AB2979" s="1296"/>
      <c r="AC2979" s="1295"/>
      <c r="AD2979" s="1295"/>
      <c r="AE2979" s="2556"/>
      <c r="AF2979" s="750"/>
      <c r="AG2979" s="750"/>
      <c r="AH2979" s="750"/>
      <c r="AI2979" s="750"/>
      <c r="AJ2979" s="750"/>
      <c r="AK2979" s="750"/>
      <c r="AL2979" s="750"/>
      <c r="AM2979" s="750"/>
      <c r="AN2979" s="750"/>
      <c r="AO2979" s="750"/>
      <c r="AP2979" s="750"/>
      <c r="AQ2979" s="750"/>
      <c r="AR2979" s="750"/>
      <c r="AS2979" s="750"/>
      <c r="AT2979" s="750"/>
      <c r="AU2979" s="750"/>
      <c r="AV2979" s="750"/>
      <c r="AW2979" s="750"/>
      <c r="AX2979" s="750"/>
      <c r="AY2979" s="750"/>
      <c r="AZ2979" s="750"/>
      <c r="BA2979" s="750"/>
      <c r="BB2979" s="750"/>
      <c r="BC2979" s="750"/>
      <c r="BD2979" s="750"/>
      <c r="BE2979" s="750"/>
      <c r="BF2979" s="750"/>
      <c r="BG2979" s="750"/>
      <c r="BH2979" s="750"/>
      <c r="BI2979" s="750"/>
      <c r="BJ2979" s="750"/>
      <c r="BK2979" s="750"/>
      <c r="BL2979" s="750"/>
      <c r="BM2979" s="750"/>
      <c r="BN2979" s="750"/>
      <c r="BO2979" s="750"/>
      <c r="BP2979" s="750"/>
      <c r="BQ2979" s="750"/>
    </row>
    <row r="2980" spans="3:69">
      <c r="C2980" s="853"/>
      <c r="D2980" s="853"/>
      <c r="E2980" s="853"/>
      <c r="F2980" s="853"/>
      <c r="G2980" s="853"/>
      <c r="H2980" s="853"/>
      <c r="I2980" s="848"/>
      <c r="J2980" s="848"/>
      <c r="K2980" s="1295"/>
      <c r="L2980" s="1295"/>
      <c r="M2980" s="1295"/>
      <c r="N2980" s="1295"/>
      <c r="O2980" s="1295"/>
      <c r="P2980" s="853"/>
      <c r="Q2980" s="1295"/>
      <c r="R2980" s="848"/>
      <c r="S2980" s="848"/>
      <c r="T2980" s="848"/>
      <c r="U2980" s="848"/>
      <c r="V2980" s="1296"/>
      <c r="W2980" s="848"/>
      <c r="X2980" s="848"/>
      <c r="Y2980" s="1295"/>
      <c r="Z2980" s="1296"/>
      <c r="AA2980" s="1295"/>
      <c r="AB2980" s="1296"/>
      <c r="AC2980" s="1295"/>
      <c r="AD2980" s="1295"/>
      <c r="AE2980" s="2556"/>
      <c r="AF2980" s="750"/>
      <c r="AG2980" s="750"/>
      <c r="AH2980" s="750"/>
      <c r="AI2980" s="750"/>
      <c r="AJ2980" s="750"/>
      <c r="AK2980" s="750"/>
      <c r="AL2980" s="750"/>
      <c r="AM2980" s="750"/>
      <c r="AN2980" s="750"/>
      <c r="AO2980" s="750"/>
      <c r="AP2980" s="750"/>
      <c r="AQ2980" s="750"/>
      <c r="AR2980" s="750"/>
      <c r="AS2980" s="750"/>
      <c r="AT2980" s="750"/>
      <c r="AU2980" s="750"/>
      <c r="AV2980" s="750"/>
      <c r="AW2980" s="750"/>
      <c r="AX2980" s="750"/>
      <c r="AY2980" s="750"/>
      <c r="AZ2980" s="750"/>
      <c r="BA2980" s="750"/>
      <c r="BB2980" s="750"/>
      <c r="BC2980" s="750"/>
      <c r="BD2980" s="750"/>
      <c r="BE2980" s="750"/>
      <c r="BF2980" s="750"/>
      <c r="BG2980" s="750"/>
      <c r="BH2980" s="750"/>
      <c r="BI2980" s="750"/>
      <c r="BJ2980" s="750"/>
      <c r="BK2980" s="750"/>
      <c r="BL2980" s="750"/>
      <c r="BM2980" s="750"/>
      <c r="BN2980" s="750"/>
      <c r="BO2980" s="750"/>
      <c r="BP2980" s="750"/>
      <c r="BQ2980" s="750"/>
    </row>
    <row r="2981" spans="3:69">
      <c r="C2981" s="853"/>
      <c r="D2981" s="853"/>
      <c r="E2981" s="853"/>
      <c r="F2981" s="853"/>
      <c r="G2981" s="853"/>
      <c r="H2981" s="853"/>
      <c r="I2981" s="848"/>
      <c r="J2981" s="848"/>
      <c r="K2981" s="1295"/>
      <c r="L2981" s="1295"/>
      <c r="M2981" s="1295"/>
      <c r="N2981" s="1295"/>
      <c r="O2981" s="1295"/>
      <c r="P2981" s="853"/>
      <c r="Q2981" s="1295"/>
      <c r="R2981" s="848"/>
      <c r="S2981" s="848"/>
      <c r="T2981" s="848"/>
      <c r="U2981" s="848"/>
      <c r="V2981" s="1296"/>
      <c r="W2981" s="848"/>
      <c r="X2981" s="848"/>
      <c r="Y2981" s="1295"/>
      <c r="Z2981" s="1296"/>
      <c r="AA2981" s="1295"/>
      <c r="AB2981" s="1296"/>
      <c r="AC2981" s="1295"/>
      <c r="AD2981" s="1295"/>
      <c r="AE2981" s="2556"/>
      <c r="AF2981" s="750"/>
      <c r="AG2981" s="750"/>
      <c r="AH2981" s="750"/>
      <c r="AI2981" s="750"/>
      <c r="AJ2981" s="750"/>
      <c r="AK2981" s="750"/>
      <c r="AL2981" s="750"/>
      <c r="AM2981" s="750"/>
      <c r="AN2981" s="750"/>
      <c r="AO2981" s="750"/>
      <c r="AP2981" s="750"/>
      <c r="AQ2981" s="750"/>
      <c r="AR2981" s="750"/>
      <c r="AS2981" s="750"/>
      <c r="AT2981" s="750"/>
      <c r="AU2981" s="750"/>
      <c r="AV2981" s="750"/>
      <c r="AW2981" s="750"/>
      <c r="AX2981" s="750"/>
      <c r="AY2981" s="750"/>
      <c r="AZ2981" s="750"/>
      <c r="BA2981" s="750"/>
      <c r="BB2981" s="750"/>
      <c r="BC2981" s="750"/>
      <c r="BD2981" s="750"/>
      <c r="BE2981" s="750"/>
      <c r="BF2981" s="750"/>
      <c r="BG2981" s="750"/>
      <c r="BH2981" s="750"/>
      <c r="BI2981" s="750"/>
      <c r="BJ2981" s="750"/>
      <c r="BK2981" s="750"/>
      <c r="BL2981" s="750"/>
      <c r="BM2981" s="750"/>
      <c r="BN2981" s="750"/>
      <c r="BO2981" s="750"/>
      <c r="BP2981" s="750"/>
      <c r="BQ2981" s="750"/>
    </row>
    <row r="2982" spans="3:69">
      <c r="C2982" s="853"/>
      <c r="D2982" s="853"/>
      <c r="E2982" s="853"/>
      <c r="F2982" s="853"/>
      <c r="G2982" s="853"/>
      <c r="H2982" s="853"/>
      <c r="I2982" s="848"/>
      <c r="J2982" s="848"/>
      <c r="K2982" s="1295"/>
      <c r="L2982" s="1295"/>
      <c r="M2982" s="1295"/>
      <c r="N2982" s="1295"/>
      <c r="O2982" s="1295"/>
      <c r="P2982" s="853"/>
      <c r="Q2982" s="1295"/>
      <c r="R2982" s="848"/>
      <c r="S2982" s="848"/>
      <c r="T2982" s="848"/>
      <c r="U2982" s="848"/>
      <c r="V2982" s="1296"/>
      <c r="W2982" s="848"/>
      <c r="X2982" s="848"/>
      <c r="Y2982" s="1295"/>
      <c r="Z2982" s="1296"/>
      <c r="AA2982" s="1295"/>
      <c r="AB2982" s="1296"/>
      <c r="AC2982" s="1295"/>
      <c r="AD2982" s="1295"/>
      <c r="AE2982" s="2556"/>
      <c r="AF2982" s="750"/>
      <c r="AG2982" s="750"/>
      <c r="AH2982" s="750"/>
      <c r="AI2982" s="750"/>
      <c r="AJ2982" s="750"/>
      <c r="AK2982" s="750"/>
      <c r="AL2982" s="750"/>
      <c r="AM2982" s="750"/>
      <c r="AN2982" s="750"/>
      <c r="AO2982" s="750"/>
      <c r="AP2982" s="750"/>
      <c r="AQ2982" s="750"/>
      <c r="AR2982" s="750"/>
      <c r="AS2982" s="750"/>
      <c r="AT2982" s="750"/>
      <c r="AU2982" s="750"/>
      <c r="AV2982" s="750"/>
      <c r="AW2982" s="750"/>
      <c r="AX2982" s="750"/>
      <c r="AY2982" s="750"/>
      <c r="AZ2982" s="750"/>
      <c r="BA2982" s="750"/>
      <c r="BB2982" s="750"/>
      <c r="BC2982" s="750"/>
      <c r="BD2982" s="750"/>
      <c r="BE2982" s="750"/>
      <c r="BF2982" s="750"/>
      <c r="BG2982" s="750"/>
      <c r="BH2982" s="750"/>
      <c r="BI2982" s="750"/>
      <c r="BJ2982" s="750"/>
      <c r="BK2982" s="750"/>
      <c r="BL2982" s="750"/>
      <c r="BM2982" s="750"/>
      <c r="BN2982" s="750"/>
      <c r="BO2982" s="750"/>
      <c r="BP2982" s="750"/>
      <c r="BQ2982" s="750"/>
    </row>
    <row r="2983" spans="3:69">
      <c r="C2983" s="853"/>
      <c r="D2983" s="853"/>
      <c r="E2983" s="853"/>
      <c r="F2983" s="853"/>
      <c r="G2983" s="853"/>
      <c r="H2983" s="853"/>
      <c r="I2983" s="848"/>
      <c r="J2983" s="848"/>
      <c r="K2983" s="1295"/>
      <c r="L2983" s="1295"/>
      <c r="M2983" s="1295"/>
      <c r="N2983" s="1295"/>
      <c r="O2983" s="1295"/>
      <c r="P2983" s="853"/>
      <c r="Q2983" s="1295"/>
      <c r="R2983" s="848"/>
      <c r="S2983" s="848"/>
      <c r="T2983" s="848"/>
      <c r="U2983" s="848"/>
      <c r="V2983" s="1296"/>
      <c r="W2983" s="848"/>
      <c r="X2983" s="848"/>
      <c r="Y2983" s="1295"/>
      <c r="Z2983" s="1296"/>
      <c r="AA2983" s="1295"/>
      <c r="AB2983" s="1296"/>
      <c r="AC2983" s="1295"/>
      <c r="AD2983" s="1295"/>
      <c r="AE2983" s="2556"/>
      <c r="AF2983" s="750"/>
      <c r="AG2983" s="750"/>
      <c r="AH2983" s="750"/>
      <c r="AI2983" s="750"/>
      <c r="AJ2983" s="750"/>
      <c r="AK2983" s="750"/>
      <c r="AL2983" s="750"/>
      <c r="AM2983" s="750"/>
      <c r="AN2983" s="750"/>
      <c r="AO2983" s="750"/>
      <c r="AP2983" s="750"/>
      <c r="AQ2983" s="750"/>
      <c r="AR2983" s="750"/>
      <c r="AS2983" s="750"/>
      <c r="AT2983" s="750"/>
      <c r="AU2983" s="750"/>
      <c r="AV2983" s="750"/>
      <c r="AW2983" s="750"/>
      <c r="AX2983" s="750"/>
      <c r="AY2983" s="750"/>
      <c r="AZ2983" s="750"/>
      <c r="BA2983" s="750"/>
      <c r="BB2983" s="750"/>
      <c r="BC2983" s="750"/>
      <c r="BD2983" s="750"/>
      <c r="BE2983" s="750"/>
      <c r="BF2983" s="750"/>
      <c r="BG2983" s="750"/>
      <c r="BH2983" s="750"/>
      <c r="BI2983" s="750"/>
      <c r="BJ2983" s="750"/>
      <c r="BK2983" s="750"/>
      <c r="BL2983" s="750"/>
      <c r="BM2983" s="750"/>
      <c r="BN2983" s="750"/>
      <c r="BO2983" s="750"/>
      <c r="BP2983" s="750"/>
      <c r="BQ2983" s="750"/>
    </row>
    <row r="2984" spans="3:69">
      <c r="C2984" s="853"/>
      <c r="D2984" s="853"/>
      <c r="E2984" s="853"/>
      <c r="F2984" s="853"/>
      <c r="G2984" s="853"/>
      <c r="H2984" s="853"/>
      <c r="I2984" s="848"/>
      <c r="J2984" s="848"/>
      <c r="K2984" s="1295"/>
      <c r="L2984" s="1295"/>
      <c r="M2984" s="1295"/>
      <c r="N2984" s="1295"/>
      <c r="O2984" s="1295"/>
      <c r="P2984" s="853"/>
      <c r="Q2984" s="1295"/>
      <c r="R2984" s="848"/>
      <c r="S2984" s="848"/>
      <c r="T2984" s="848"/>
      <c r="U2984" s="848"/>
      <c r="V2984" s="1296"/>
      <c r="W2984" s="848"/>
      <c r="X2984" s="848"/>
      <c r="Y2984" s="1295"/>
      <c r="Z2984" s="1296"/>
      <c r="AA2984" s="1295"/>
      <c r="AB2984" s="1296"/>
      <c r="AC2984" s="1295"/>
      <c r="AD2984" s="1295"/>
      <c r="AE2984" s="2556"/>
      <c r="AF2984" s="750"/>
      <c r="AG2984" s="750"/>
      <c r="AH2984" s="750"/>
      <c r="AI2984" s="750"/>
      <c r="AJ2984" s="750"/>
      <c r="AK2984" s="750"/>
      <c r="AL2984" s="750"/>
      <c r="AM2984" s="750"/>
      <c r="AN2984" s="750"/>
      <c r="AO2984" s="750"/>
      <c r="AP2984" s="750"/>
      <c r="AQ2984" s="750"/>
      <c r="AR2984" s="750"/>
      <c r="AS2984" s="750"/>
      <c r="AT2984" s="750"/>
      <c r="AU2984" s="750"/>
      <c r="AV2984" s="750"/>
      <c r="AW2984" s="750"/>
      <c r="AX2984" s="750"/>
      <c r="AY2984" s="750"/>
      <c r="AZ2984" s="750"/>
      <c r="BA2984" s="750"/>
      <c r="BB2984" s="750"/>
      <c r="BC2984" s="750"/>
      <c r="BD2984" s="750"/>
      <c r="BE2984" s="750"/>
      <c r="BF2984" s="750"/>
      <c r="BG2984" s="750"/>
      <c r="BH2984" s="750"/>
      <c r="BI2984" s="750"/>
      <c r="BJ2984" s="750"/>
      <c r="BK2984" s="750"/>
      <c r="BL2984" s="750"/>
      <c r="BM2984" s="750"/>
      <c r="BN2984" s="750"/>
      <c r="BO2984" s="750"/>
      <c r="BP2984" s="750"/>
      <c r="BQ2984" s="750"/>
    </row>
    <row r="2985" spans="3:69">
      <c r="C2985" s="853"/>
      <c r="D2985" s="853"/>
      <c r="E2985" s="853"/>
      <c r="F2985" s="853"/>
      <c r="G2985" s="853"/>
      <c r="H2985" s="853"/>
      <c r="I2985" s="848"/>
      <c r="J2985" s="848"/>
      <c r="K2985" s="1295"/>
      <c r="L2985" s="1295"/>
      <c r="M2985" s="1295"/>
      <c r="N2985" s="1295"/>
      <c r="O2985" s="1295"/>
      <c r="P2985" s="853"/>
      <c r="Q2985" s="1295"/>
      <c r="R2985" s="848"/>
      <c r="S2985" s="848"/>
      <c r="T2985" s="848"/>
      <c r="U2985" s="848"/>
      <c r="V2985" s="1296"/>
      <c r="W2985" s="848"/>
      <c r="X2985" s="848"/>
      <c r="Y2985" s="1295"/>
      <c r="Z2985" s="1296"/>
      <c r="AA2985" s="1295"/>
      <c r="AB2985" s="1296"/>
      <c r="AC2985" s="1295"/>
      <c r="AD2985" s="1295"/>
      <c r="AE2985" s="2556"/>
      <c r="AF2985" s="750"/>
      <c r="AG2985" s="750"/>
      <c r="AH2985" s="750"/>
      <c r="AI2985" s="750"/>
      <c r="AJ2985" s="750"/>
      <c r="AK2985" s="750"/>
      <c r="AL2985" s="750"/>
      <c r="AM2985" s="750"/>
      <c r="AN2985" s="750"/>
      <c r="AO2985" s="750"/>
      <c r="AP2985" s="750"/>
      <c r="AQ2985" s="750"/>
      <c r="AR2985" s="750"/>
      <c r="AS2985" s="750"/>
      <c r="AT2985" s="750"/>
      <c r="AU2985" s="750"/>
      <c r="AV2985" s="750"/>
      <c r="AW2985" s="750"/>
      <c r="AX2985" s="750"/>
      <c r="AY2985" s="750"/>
      <c r="AZ2985" s="750"/>
      <c r="BA2985" s="750"/>
      <c r="BB2985" s="750"/>
      <c r="BC2985" s="750"/>
      <c r="BD2985" s="750"/>
      <c r="BE2985" s="750"/>
      <c r="BF2985" s="750"/>
      <c r="BG2985" s="750"/>
      <c r="BH2985" s="750"/>
      <c r="BI2985" s="750"/>
      <c r="BJ2985" s="750"/>
      <c r="BK2985" s="750"/>
      <c r="BL2985" s="750"/>
      <c r="BM2985" s="750"/>
      <c r="BN2985" s="750"/>
      <c r="BO2985" s="750"/>
      <c r="BP2985" s="750"/>
      <c r="BQ2985" s="750"/>
    </row>
    <row r="2986" spans="3:69">
      <c r="C2986" s="853"/>
      <c r="D2986" s="853"/>
      <c r="E2986" s="853"/>
      <c r="F2986" s="853"/>
      <c r="G2986" s="853"/>
      <c r="H2986" s="853"/>
      <c r="I2986" s="848"/>
      <c r="J2986" s="848"/>
      <c r="K2986" s="1295"/>
      <c r="L2986" s="1295"/>
      <c r="M2986" s="1295"/>
      <c r="N2986" s="1295"/>
      <c r="O2986" s="1295"/>
      <c r="P2986" s="853"/>
      <c r="Q2986" s="1295"/>
      <c r="R2986" s="848"/>
      <c r="S2986" s="848"/>
      <c r="T2986" s="848"/>
      <c r="U2986" s="848"/>
      <c r="V2986" s="1296"/>
      <c r="W2986" s="848"/>
      <c r="X2986" s="848"/>
      <c r="Y2986" s="1295"/>
      <c r="Z2986" s="1296"/>
      <c r="AA2986" s="1295"/>
      <c r="AB2986" s="1296"/>
      <c r="AC2986" s="1295"/>
      <c r="AD2986" s="1295"/>
      <c r="AE2986" s="2556"/>
      <c r="AF2986" s="750"/>
      <c r="AG2986" s="750"/>
      <c r="AH2986" s="750"/>
      <c r="AI2986" s="750"/>
      <c r="AJ2986" s="750"/>
      <c r="AK2986" s="750"/>
      <c r="AL2986" s="750"/>
      <c r="AM2986" s="750"/>
      <c r="AN2986" s="750"/>
      <c r="AO2986" s="750"/>
      <c r="AP2986" s="750"/>
      <c r="AQ2986" s="750"/>
      <c r="AR2986" s="750"/>
      <c r="AS2986" s="750"/>
      <c r="AT2986" s="750"/>
      <c r="AU2986" s="750"/>
      <c r="AV2986" s="750"/>
      <c r="AW2986" s="750"/>
      <c r="AX2986" s="750"/>
      <c r="AY2986" s="750"/>
      <c r="AZ2986" s="750"/>
      <c r="BA2986" s="750"/>
      <c r="BB2986" s="750"/>
      <c r="BC2986" s="750"/>
      <c r="BD2986" s="750"/>
      <c r="BE2986" s="750"/>
      <c r="BF2986" s="750"/>
      <c r="BG2986" s="750"/>
      <c r="BH2986" s="750"/>
      <c r="BI2986" s="750"/>
      <c r="BJ2986" s="750"/>
      <c r="BK2986" s="750"/>
      <c r="BL2986" s="750"/>
      <c r="BM2986" s="750"/>
      <c r="BN2986" s="750"/>
      <c r="BO2986" s="750"/>
      <c r="BP2986" s="750"/>
      <c r="BQ2986" s="750"/>
    </row>
    <row r="2987" spans="3:69">
      <c r="C2987" s="853"/>
      <c r="D2987" s="853"/>
      <c r="E2987" s="853"/>
      <c r="F2987" s="853"/>
      <c r="G2987" s="853"/>
      <c r="H2987" s="853"/>
      <c r="I2987" s="848"/>
      <c r="J2987" s="848"/>
      <c r="K2987" s="1295"/>
      <c r="L2987" s="1295"/>
      <c r="M2987" s="1295"/>
      <c r="N2987" s="1295"/>
      <c r="O2987" s="1295"/>
      <c r="P2987" s="853"/>
      <c r="Q2987" s="1295"/>
      <c r="R2987" s="848"/>
      <c r="S2987" s="848"/>
      <c r="T2987" s="848"/>
      <c r="U2987" s="848"/>
      <c r="V2987" s="1296"/>
      <c r="W2987" s="848"/>
      <c r="X2987" s="848"/>
      <c r="Y2987" s="1295"/>
      <c r="Z2987" s="1296"/>
      <c r="AA2987" s="1295"/>
      <c r="AB2987" s="1296"/>
      <c r="AC2987" s="1295"/>
      <c r="AD2987" s="1295"/>
      <c r="AE2987" s="2556"/>
      <c r="AF2987" s="750"/>
      <c r="AG2987" s="750"/>
      <c r="AH2987" s="750"/>
      <c r="AI2987" s="750"/>
      <c r="AJ2987" s="750"/>
      <c r="AK2987" s="750"/>
      <c r="AL2987" s="750"/>
      <c r="AM2987" s="750"/>
      <c r="AN2987" s="750"/>
      <c r="AO2987" s="750"/>
      <c r="AP2987" s="750"/>
      <c r="AQ2987" s="750"/>
      <c r="AR2987" s="750"/>
      <c r="AS2987" s="750"/>
      <c r="AT2987" s="750"/>
      <c r="AU2987" s="750"/>
      <c r="AV2987" s="750"/>
      <c r="AW2987" s="750"/>
      <c r="AX2987" s="750"/>
      <c r="AY2987" s="750"/>
      <c r="AZ2987" s="750"/>
      <c r="BA2987" s="750"/>
      <c r="BB2987" s="750"/>
      <c r="BC2987" s="750"/>
      <c r="BD2987" s="750"/>
      <c r="BE2987" s="750"/>
      <c r="BF2987" s="750"/>
      <c r="BG2987" s="750"/>
      <c r="BH2987" s="750"/>
      <c r="BI2987" s="750"/>
      <c r="BJ2987" s="750"/>
      <c r="BK2987" s="750"/>
      <c r="BL2987" s="750"/>
      <c r="BM2987" s="750"/>
      <c r="BN2987" s="750"/>
      <c r="BO2987" s="750"/>
      <c r="BP2987" s="750"/>
      <c r="BQ2987" s="750"/>
    </row>
    <row r="2988" spans="3:69">
      <c r="C2988" s="853"/>
      <c r="D2988" s="853"/>
      <c r="E2988" s="853"/>
      <c r="F2988" s="853"/>
      <c r="G2988" s="853"/>
      <c r="H2988" s="853"/>
      <c r="I2988" s="848"/>
      <c r="J2988" s="848"/>
      <c r="K2988" s="1295"/>
      <c r="L2988" s="1295"/>
      <c r="M2988" s="1295"/>
      <c r="N2988" s="1295"/>
      <c r="O2988" s="1295"/>
      <c r="P2988" s="853"/>
      <c r="Q2988" s="1295"/>
      <c r="R2988" s="848"/>
      <c r="S2988" s="848"/>
      <c r="T2988" s="848"/>
      <c r="U2988" s="848"/>
      <c r="V2988" s="1296"/>
      <c r="W2988" s="848"/>
      <c r="X2988" s="848"/>
      <c r="Y2988" s="1295"/>
      <c r="Z2988" s="1296"/>
      <c r="AA2988" s="1295"/>
      <c r="AB2988" s="1296"/>
      <c r="AC2988" s="1295"/>
      <c r="AD2988" s="1295"/>
      <c r="AE2988" s="2556"/>
      <c r="AF2988" s="750"/>
      <c r="AG2988" s="750"/>
      <c r="AH2988" s="750"/>
      <c r="AI2988" s="750"/>
      <c r="AJ2988" s="750"/>
      <c r="AK2988" s="750"/>
      <c r="AL2988" s="750"/>
      <c r="AM2988" s="750"/>
      <c r="AN2988" s="750"/>
      <c r="AO2988" s="750"/>
      <c r="AP2988" s="750"/>
      <c r="AQ2988" s="750"/>
      <c r="AR2988" s="750"/>
      <c r="AS2988" s="750"/>
      <c r="AT2988" s="750"/>
      <c r="AU2988" s="750"/>
      <c r="AV2988" s="750"/>
      <c r="AW2988" s="750"/>
      <c r="AX2988" s="750"/>
      <c r="AY2988" s="750"/>
      <c r="AZ2988" s="750"/>
      <c r="BA2988" s="750"/>
      <c r="BB2988" s="750"/>
      <c r="BC2988" s="750"/>
      <c r="BD2988" s="750"/>
      <c r="BE2988" s="750"/>
      <c r="BF2988" s="750"/>
      <c r="BG2988" s="750"/>
      <c r="BH2988" s="750"/>
      <c r="BI2988" s="750"/>
      <c r="BJ2988" s="750"/>
      <c r="BK2988" s="750"/>
      <c r="BL2988" s="750"/>
      <c r="BM2988" s="750"/>
      <c r="BN2988" s="750"/>
      <c r="BO2988" s="750"/>
      <c r="BP2988" s="750"/>
      <c r="BQ2988" s="750"/>
    </row>
    <row r="2989" spans="3:69">
      <c r="C2989" s="853"/>
      <c r="D2989" s="853"/>
      <c r="E2989" s="853"/>
      <c r="F2989" s="853"/>
      <c r="G2989" s="853"/>
      <c r="H2989" s="853"/>
      <c r="I2989" s="848"/>
      <c r="J2989" s="848"/>
      <c r="K2989" s="1295"/>
      <c r="L2989" s="1295"/>
      <c r="M2989" s="1295"/>
      <c r="N2989" s="1295"/>
      <c r="O2989" s="1295"/>
      <c r="P2989" s="853"/>
      <c r="Q2989" s="1295"/>
      <c r="R2989" s="848"/>
      <c r="S2989" s="848"/>
      <c r="T2989" s="848"/>
      <c r="U2989" s="848"/>
      <c r="V2989" s="1296"/>
      <c r="W2989" s="848"/>
      <c r="X2989" s="848"/>
      <c r="Y2989" s="1295"/>
      <c r="Z2989" s="1296"/>
      <c r="AA2989" s="1295"/>
      <c r="AB2989" s="1296"/>
      <c r="AC2989" s="1295"/>
      <c r="AD2989" s="1295"/>
      <c r="AE2989" s="2556"/>
      <c r="AF2989" s="750"/>
      <c r="AG2989" s="750"/>
      <c r="AH2989" s="750"/>
      <c r="AI2989" s="750"/>
      <c r="AJ2989" s="750"/>
      <c r="AK2989" s="750"/>
      <c r="AL2989" s="750"/>
      <c r="AM2989" s="750"/>
      <c r="AN2989" s="750"/>
      <c r="AO2989" s="750"/>
      <c r="AP2989" s="750"/>
      <c r="AQ2989" s="750"/>
      <c r="AR2989" s="750"/>
      <c r="AS2989" s="750"/>
      <c r="AT2989" s="750"/>
      <c r="AU2989" s="750"/>
      <c r="AV2989" s="750"/>
      <c r="AW2989" s="750"/>
      <c r="AX2989" s="750"/>
      <c r="AY2989" s="750"/>
      <c r="AZ2989" s="750"/>
      <c r="BA2989" s="750"/>
      <c r="BB2989" s="750"/>
      <c r="BC2989" s="750"/>
      <c r="BD2989" s="750"/>
      <c r="BE2989" s="750"/>
      <c r="BF2989" s="750"/>
      <c r="BG2989" s="750"/>
      <c r="BH2989" s="750"/>
      <c r="BI2989" s="750"/>
      <c r="BJ2989" s="750"/>
      <c r="BK2989" s="750"/>
      <c r="BL2989" s="750"/>
      <c r="BM2989" s="750"/>
      <c r="BN2989" s="750"/>
      <c r="BO2989" s="750"/>
      <c r="BP2989" s="750"/>
      <c r="BQ2989" s="750"/>
    </row>
    <row r="2990" spans="3:69">
      <c r="C2990" s="853"/>
      <c r="D2990" s="853"/>
      <c r="E2990" s="853"/>
      <c r="F2990" s="853"/>
      <c r="G2990" s="853"/>
      <c r="H2990" s="853"/>
      <c r="I2990" s="848"/>
      <c r="J2990" s="848"/>
      <c r="K2990" s="1295"/>
      <c r="L2990" s="1295"/>
      <c r="M2990" s="1295"/>
      <c r="N2990" s="1295"/>
      <c r="O2990" s="1295"/>
      <c r="P2990" s="853"/>
      <c r="Q2990" s="1295"/>
      <c r="R2990" s="848"/>
      <c r="S2990" s="848"/>
      <c r="T2990" s="848"/>
      <c r="U2990" s="848"/>
      <c r="V2990" s="1296"/>
      <c r="W2990" s="848"/>
      <c r="X2990" s="848"/>
      <c r="Y2990" s="1295"/>
      <c r="Z2990" s="1296"/>
      <c r="AA2990" s="1295"/>
      <c r="AB2990" s="1296"/>
      <c r="AC2990" s="1295"/>
      <c r="AD2990" s="1295"/>
      <c r="AE2990" s="2556"/>
      <c r="AF2990" s="750"/>
      <c r="AG2990" s="750"/>
      <c r="AH2990" s="750"/>
      <c r="AI2990" s="750"/>
      <c r="AJ2990" s="750"/>
      <c r="AK2990" s="750"/>
      <c r="AL2990" s="750"/>
      <c r="AM2990" s="750"/>
      <c r="AN2990" s="750"/>
      <c r="AO2990" s="750"/>
      <c r="AP2990" s="750"/>
      <c r="AQ2990" s="750"/>
      <c r="AR2990" s="750"/>
      <c r="AS2990" s="750"/>
      <c r="AT2990" s="750"/>
      <c r="AU2990" s="750"/>
      <c r="AV2990" s="750"/>
      <c r="AW2990" s="750"/>
      <c r="AX2990" s="750"/>
      <c r="AY2990" s="750"/>
      <c r="AZ2990" s="750"/>
      <c r="BA2990" s="750"/>
      <c r="BB2990" s="750"/>
      <c r="BC2990" s="750"/>
      <c r="BD2990" s="750"/>
      <c r="BE2990" s="750"/>
      <c r="BF2990" s="750"/>
      <c r="BG2990" s="750"/>
      <c r="BH2990" s="750"/>
      <c r="BI2990" s="750"/>
      <c r="BJ2990" s="750"/>
      <c r="BK2990" s="750"/>
      <c r="BL2990" s="750"/>
      <c r="BM2990" s="750"/>
      <c r="BN2990" s="750"/>
      <c r="BO2990" s="750"/>
      <c r="BP2990" s="750"/>
      <c r="BQ2990" s="750"/>
    </row>
    <row r="2991" spans="3:69">
      <c r="C2991" s="853"/>
      <c r="D2991" s="853"/>
      <c r="E2991" s="853"/>
      <c r="F2991" s="853"/>
      <c r="G2991" s="853"/>
      <c r="H2991" s="853"/>
      <c r="I2991" s="848"/>
      <c r="J2991" s="848"/>
      <c r="K2991" s="1295"/>
      <c r="L2991" s="1295"/>
      <c r="M2991" s="1295"/>
      <c r="N2991" s="1295"/>
      <c r="O2991" s="1295"/>
      <c r="P2991" s="853"/>
      <c r="Q2991" s="1295"/>
      <c r="R2991" s="848"/>
      <c r="S2991" s="848"/>
      <c r="T2991" s="848"/>
      <c r="U2991" s="848"/>
      <c r="V2991" s="1296"/>
      <c r="W2991" s="848"/>
      <c r="X2991" s="848"/>
      <c r="Y2991" s="1295"/>
      <c r="Z2991" s="1296"/>
      <c r="AA2991" s="1295"/>
      <c r="AB2991" s="1296"/>
      <c r="AC2991" s="1295"/>
      <c r="AD2991" s="1295"/>
      <c r="AE2991" s="2556"/>
      <c r="AF2991" s="750"/>
      <c r="AG2991" s="750"/>
      <c r="AH2991" s="750"/>
      <c r="AI2991" s="750"/>
      <c r="AJ2991" s="750"/>
      <c r="AK2991" s="750"/>
      <c r="AL2991" s="750"/>
      <c r="AM2991" s="750"/>
      <c r="AN2991" s="750"/>
      <c r="AO2991" s="750"/>
      <c r="AP2991" s="750"/>
      <c r="AQ2991" s="750"/>
      <c r="AR2991" s="750"/>
      <c r="AS2991" s="750"/>
      <c r="AT2991" s="750"/>
      <c r="AU2991" s="750"/>
      <c r="AV2991" s="750"/>
      <c r="AW2991" s="750"/>
      <c r="AX2991" s="750"/>
      <c r="AY2991" s="750"/>
      <c r="AZ2991" s="750"/>
      <c r="BA2991" s="750"/>
      <c r="BB2991" s="750"/>
      <c r="BC2991" s="750"/>
      <c r="BD2991" s="750"/>
      <c r="BE2991" s="750"/>
      <c r="BF2991" s="750"/>
      <c r="BG2991" s="750"/>
      <c r="BH2991" s="750"/>
      <c r="BI2991" s="750"/>
      <c r="BJ2991" s="750"/>
      <c r="BK2991" s="750"/>
      <c r="BL2991" s="750"/>
      <c r="BM2991" s="750"/>
      <c r="BN2991" s="750"/>
      <c r="BO2991" s="750"/>
      <c r="BP2991" s="750"/>
      <c r="BQ2991" s="750"/>
    </row>
    <row r="2992" spans="3:69">
      <c r="C2992" s="853"/>
      <c r="D2992" s="853"/>
      <c r="E2992" s="853"/>
      <c r="F2992" s="853"/>
      <c r="G2992" s="853"/>
      <c r="H2992" s="853"/>
      <c r="I2992" s="848"/>
      <c r="J2992" s="848"/>
      <c r="K2992" s="1295"/>
      <c r="L2992" s="1295"/>
      <c r="M2992" s="1295"/>
      <c r="N2992" s="1295"/>
      <c r="O2992" s="1295"/>
      <c r="P2992" s="853"/>
      <c r="Q2992" s="1295"/>
      <c r="R2992" s="848"/>
      <c r="S2992" s="848"/>
      <c r="T2992" s="848"/>
      <c r="U2992" s="848"/>
      <c r="V2992" s="1296"/>
      <c r="W2992" s="848"/>
      <c r="X2992" s="848"/>
      <c r="Y2992" s="1295"/>
      <c r="Z2992" s="1296"/>
      <c r="AA2992" s="1295"/>
      <c r="AB2992" s="1296"/>
      <c r="AC2992" s="1295"/>
      <c r="AD2992" s="1295"/>
      <c r="AE2992" s="2556"/>
      <c r="AF2992" s="750"/>
      <c r="AG2992" s="750"/>
      <c r="AH2992" s="750"/>
      <c r="AI2992" s="750"/>
      <c r="AJ2992" s="750"/>
      <c r="AK2992" s="750"/>
      <c r="AL2992" s="750"/>
      <c r="AM2992" s="750"/>
      <c r="AN2992" s="750"/>
      <c r="AO2992" s="750"/>
      <c r="AP2992" s="750"/>
      <c r="AQ2992" s="750"/>
      <c r="AR2992" s="750"/>
      <c r="AS2992" s="750"/>
      <c r="AT2992" s="750"/>
      <c r="AU2992" s="750"/>
      <c r="AV2992" s="750"/>
      <c r="AW2992" s="750"/>
      <c r="AX2992" s="750"/>
      <c r="AY2992" s="750"/>
      <c r="AZ2992" s="750"/>
      <c r="BA2992" s="750"/>
      <c r="BB2992" s="750"/>
      <c r="BC2992" s="750"/>
      <c r="BD2992" s="750"/>
      <c r="BE2992" s="750"/>
      <c r="BF2992" s="750"/>
      <c r="BG2992" s="750"/>
      <c r="BH2992" s="750"/>
      <c r="BI2992" s="750"/>
      <c r="BJ2992" s="750"/>
      <c r="BK2992" s="750"/>
      <c r="BL2992" s="750"/>
      <c r="BM2992" s="750"/>
      <c r="BN2992" s="750"/>
      <c r="BO2992" s="750"/>
      <c r="BP2992" s="750"/>
      <c r="BQ2992" s="750"/>
    </row>
    <row r="2993" spans="3:69">
      <c r="C2993" s="853"/>
      <c r="D2993" s="853"/>
      <c r="E2993" s="853"/>
      <c r="F2993" s="853"/>
      <c r="G2993" s="853"/>
      <c r="H2993" s="853"/>
      <c r="I2993" s="848"/>
      <c r="J2993" s="848"/>
      <c r="K2993" s="1295"/>
      <c r="L2993" s="1295"/>
      <c r="M2993" s="1295"/>
      <c r="N2993" s="1295"/>
      <c r="O2993" s="1295"/>
      <c r="P2993" s="853"/>
      <c r="Q2993" s="1295"/>
      <c r="R2993" s="848"/>
      <c r="S2993" s="848"/>
      <c r="T2993" s="848"/>
      <c r="U2993" s="848"/>
      <c r="V2993" s="1296"/>
      <c r="W2993" s="848"/>
      <c r="X2993" s="848"/>
      <c r="Y2993" s="1295"/>
      <c r="Z2993" s="1296"/>
      <c r="AA2993" s="1295"/>
      <c r="AB2993" s="1296"/>
      <c r="AC2993" s="1295"/>
      <c r="AD2993" s="1295"/>
      <c r="AE2993" s="2556"/>
      <c r="AF2993" s="750"/>
      <c r="AG2993" s="750"/>
      <c r="AH2993" s="750"/>
      <c r="AI2993" s="750"/>
      <c r="AJ2993" s="750"/>
      <c r="AK2993" s="750"/>
      <c r="AL2993" s="750"/>
      <c r="AM2993" s="750"/>
      <c r="AN2993" s="750"/>
      <c r="AO2993" s="750"/>
      <c r="AP2993" s="750"/>
      <c r="AQ2993" s="750"/>
      <c r="AR2993" s="750"/>
      <c r="AS2993" s="750"/>
      <c r="AT2993" s="750"/>
      <c r="AU2993" s="750"/>
      <c r="AV2993" s="750"/>
      <c r="AW2993" s="750"/>
      <c r="AX2993" s="750"/>
      <c r="AY2993" s="750"/>
      <c r="AZ2993" s="750"/>
      <c r="BA2993" s="750"/>
      <c r="BB2993" s="750"/>
      <c r="BC2993" s="750"/>
      <c r="BD2993" s="750"/>
      <c r="BE2993" s="750"/>
      <c r="BF2993" s="750"/>
      <c r="BG2993" s="750"/>
      <c r="BH2993" s="750"/>
      <c r="BI2993" s="750"/>
      <c r="BJ2993" s="750"/>
      <c r="BK2993" s="750"/>
      <c r="BL2993" s="750"/>
      <c r="BM2993" s="750"/>
      <c r="BN2993" s="750"/>
      <c r="BO2993" s="750"/>
      <c r="BP2993" s="750"/>
      <c r="BQ2993" s="750"/>
    </row>
    <row r="2994" spans="3:69">
      <c r="C2994" s="853"/>
      <c r="D2994" s="853"/>
      <c r="E2994" s="853"/>
      <c r="F2994" s="853"/>
      <c r="G2994" s="853"/>
      <c r="H2994" s="853"/>
      <c r="I2994" s="848"/>
      <c r="J2994" s="848"/>
      <c r="K2994" s="1295"/>
      <c r="L2994" s="1295"/>
      <c r="M2994" s="1295"/>
      <c r="N2994" s="1295"/>
      <c r="O2994" s="1295"/>
      <c r="P2994" s="853"/>
      <c r="Q2994" s="1295"/>
      <c r="R2994" s="848"/>
      <c r="S2994" s="848"/>
      <c r="T2994" s="848"/>
      <c r="U2994" s="848"/>
      <c r="V2994" s="1296"/>
      <c r="W2994" s="848"/>
      <c r="X2994" s="848"/>
      <c r="Y2994" s="1295"/>
      <c r="Z2994" s="1296"/>
      <c r="AA2994" s="1295"/>
      <c r="AB2994" s="1296"/>
      <c r="AC2994" s="1295"/>
      <c r="AD2994" s="1295"/>
      <c r="AE2994" s="2556"/>
      <c r="AF2994" s="750"/>
      <c r="AG2994" s="750"/>
      <c r="AH2994" s="750"/>
      <c r="AI2994" s="750"/>
      <c r="AJ2994" s="750"/>
      <c r="AK2994" s="750"/>
      <c r="AL2994" s="750"/>
      <c r="AM2994" s="750"/>
      <c r="AN2994" s="750"/>
      <c r="AO2994" s="750"/>
      <c r="AP2994" s="750"/>
      <c r="AQ2994" s="750"/>
      <c r="AR2994" s="750"/>
      <c r="AS2994" s="750"/>
      <c r="AT2994" s="750"/>
      <c r="AU2994" s="750"/>
      <c r="AV2994" s="750"/>
      <c r="AW2994" s="750"/>
      <c r="AX2994" s="750"/>
      <c r="AY2994" s="750"/>
      <c r="AZ2994" s="750"/>
      <c r="BA2994" s="750"/>
      <c r="BB2994" s="750"/>
      <c r="BC2994" s="750"/>
      <c r="BD2994" s="750"/>
      <c r="BE2994" s="750"/>
      <c r="BF2994" s="750"/>
      <c r="BG2994" s="750"/>
      <c r="BH2994" s="750"/>
      <c r="BI2994" s="750"/>
      <c r="BJ2994" s="750"/>
      <c r="BK2994" s="750"/>
      <c r="BL2994" s="750"/>
      <c r="BM2994" s="750"/>
      <c r="BN2994" s="750"/>
      <c r="BO2994" s="750"/>
      <c r="BP2994" s="750"/>
      <c r="BQ2994" s="750"/>
    </row>
    <row r="2995" spans="3:69">
      <c r="C2995" s="853"/>
      <c r="D2995" s="853"/>
      <c r="E2995" s="853"/>
      <c r="F2995" s="853"/>
      <c r="G2995" s="853"/>
      <c r="H2995" s="853"/>
      <c r="I2995" s="848"/>
      <c r="J2995" s="848"/>
      <c r="K2995" s="1295"/>
      <c r="L2995" s="1295"/>
      <c r="M2995" s="1295"/>
      <c r="N2995" s="1295"/>
      <c r="O2995" s="1295"/>
      <c r="P2995" s="853"/>
      <c r="Q2995" s="1295"/>
      <c r="R2995" s="848"/>
      <c r="S2995" s="848"/>
      <c r="T2995" s="848"/>
      <c r="U2995" s="848"/>
      <c r="V2995" s="1296"/>
      <c r="W2995" s="848"/>
      <c r="X2995" s="848"/>
      <c r="Y2995" s="1295"/>
      <c r="Z2995" s="1296"/>
      <c r="AA2995" s="1295"/>
      <c r="AB2995" s="1296"/>
      <c r="AC2995" s="1295"/>
      <c r="AD2995" s="1295"/>
      <c r="AE2995" s="2556"/>
      <c r="AF2995" s="750"/>
      <c r="AG2995" s="750"/>
      <c r="AH2995" s="750"/>
      <c r="AI2995" s="750"/>
      <c r="AJ2995" s="750"/>
      <c r="AK2995" s="750"/>
      <c r="AL2995" s="750"/>
      <c r="AM2995" s="750"/>
      <c r="AN2995" s="750"/>
      <c r="AO2995" s="750"/>
      <c r="AP2995" s="750"/>
      <c r="AQ2995" s="750"/>
      <c r="AR2995" s="750"/>
      <c r="AS2995" s="750"/>
      <c r="AT2995" s="750"/>
      <c r="AU2995" s="750"/>
      <c r="AV2995" s="750"/>
      <c r="AW2995" s="750"/>
      <c r="AX2995" s="750"/>
      <c r="AY2995" s="750"/>
      <c r="AZ2995" s="750"/>
      <c r="BA2995" s="750"/>
      <c r="BB2995" s="750"/>
      <c r="BC2995" s="750"/>
      <c r="BD2995" s="750"/>
      <c r="BE2995" s="750"/>
      <c r="BF2995" s="750"/>
      <c r="BG2995" s="750"/>
      <c r="BH2995" s="750"/>
      <c r="BI2995" s="750"/>
      <c r="BJ2995" s="750"/>
      <c r="BK2995" s="750"/>
      <c r="BL2995" s="750"/>
      <c r="BM2995" s="750"/>
      <c r="BN2995" s="750"/>
      <c r="BO2995" s="750"/>
      <c r="BP2995" s="750"/>
      <c r="BQ2995" s="750"/>
    </row>
    <row r="2996" spans="3:69">
      <c r="C2996" s="853"/>
      <c r="D2996" s="853"/>
      <c r="E2996" s="853"/>
      <c r="F2996" s="853"/>
      <c r="G2996" s="853"/>
      <c r="H2996" s="853"/>
      <c r="I2996" s="848"/>
      <c r="J2996" s="848"/>
      <c r="K2996" s="1295"/>
      <c r="L2996" s="1295"/>
      <c r="M2996" s="1295"/>
      <c r="N2996" s="1295"/>
      <c r="O2996" s="1295"/>
      <c r="P2996" s="853"/>
      <c r="Q2996" s="1295"/>
      <c r="R2996" s="848"/>
      <c r="S2996" s="848"/>
      <c r="T2996" s="848"/>
      <c r="U2996" s="848"/>
      <c r="V2996" s="1296"/>
      <c r="W2996" s="848"/>
      <c r="X2996" s="848"/>
      <c r="Y2996" s="1295"/>
      <c r="Z2996" s="1296"/>
      <c r="AA2996" s="1295"/>
      <c r="AB2996" s="1296"/>
      <c r="AC2996" s="1295"/>
      <c r="AD2996" s="1295"/>
      <c r="AE2996" s="2556"/>
      <c r="AF2996" s="750"/>
      <c r="AG2996" s="750"/>
      <c r="AH2996" s="750"/>
      <c r="AI2996" s="750"/>
      <c r="AJ2996" s="750"/>
      <c r="AK2996" s="750"/>
      <c r="AL2996" s="750"/>
      <c r="AM2996" s="750"/>
      <c r="AN2996" s="750"/>
      <c r="AO2996" s="750"/>
      <c r="AP2996" s="750"/>
      <c r="AQ2996" s="750"/>
      <c r="AR2996" s="750"/>
      <c r="AS2996" s="750"/>
      <c r="AT2996" s="750"/>
      <c r="AU2996" s="750"/>
      <c r="AV2996" s="750"/>
      <c r="AW2996" s="750"/>
      <c r="AX2996" s="750"/>
      <c r="AY2996" s="750"/>
      <c r="AZ2996" s="750"/>
      <c r="BA2996" s="750"/>
      <c r="BB2996" s="750"/>
      <c r="BC2996" s="750"/>
      <c r="BD2996" s="750"/>
      <c r="BE2996" s="750"/>
      <c r="BF2996" s="750"/>
      <c r="BG2996" s="750"/>
      <c r="BH2996" s="750"/>
      <c r="BI2996" s="750"/>
      <c r="BJ2996" s="750"/>
      <c r="BK2996" s="750"/>
      <c r="BL2996" s="750"/>
      <c r="BM2996" s="750"/>
      <c r="BN2996" s="750"/>
      <c r="BO2996" s="750"/>
      <c r="BP2996" s="750"/>
      <c r="BQ2996" s="750"/>
    </row>
    <row r="2997" spans="3:69">
      <c r="C2997" s="853"/>
      <c r="D2997" s="853"/>
      <c r="E2997" s="853"/>
      <c r="F2997" s="853"/>
      <c r="G2997" s="853"/>
      <c r="H2997" s="853"/>
      <c r="I2997" s="848"/>
      <c r="J2997" s="848"/>
      <c r="K2997" s="1295"/>
      <c r="L2997" s="1295"/>
      <c r="M2997" s="1295"/>
      <c r="N2997" s="1295"/>
      <c r="O2997" s="1295"/>
      <c r="P2997" s="853"/>
      <c r="Q2997" s="1295"/>
      <c r="R2997" s="848"/>
      <c r="S2997" s="848"/>
      <c r="T2997" s="848"/>
      <c r="U2997" s="848"/>
      <c r="V2997" s="1296"/>
      <c r="W2997" s="848"/>
      <c r="X2997" s="848"/>
      <c r="Y2997" s="1295"/>
      <c r="Z2997" s="1296"/>
      <c r="AA2997" s="1295"/>
      <c r="AB2997" s="1296"/>
      <c r="AC2997" s="1295"/>
      <c r="AD2997" s="1295"/>
      <c r="AE2997" s="2556"/>
      <c r="AF2997" s="750"/>
      <c r="AG2997" s="750"/>
      <c r="AH2997" s="750"/>
      <c r="AI2997" s="750"/>
      <c r="AJ2997" s="750"/>
      <c r="AK2997" s="750"/>
      <c r="AL2997" s="750"/>
      <c r="AM2997" s="750"/>
      <c r="AN2997" s="750"/>
      <c r="AO2997" s="750"/>
      <c r="AP2997" s="750"/>
      <c r="AQ2997" s="750"/>
      <c r="AR2997" s="750"/>
      <c r="AS2997" s="750"/>
      <c r="AT2997" s="750"/>
      <c r="AU2997" s="750"/>
      <c r="AV2997" s="750"/>
      <c r="AW2997" s="750"/>
      <c r="AX2997" s="750"/>
      <c r="AY2997" s="750"/>
      <c r="AZ2997" s="750"/>
      <c r="BA2997" s="750"/>
      <c r="BB2997" s="750"/>
      <c r="BC2997" s="750"/>
      <c r="BD2997" s="750"/>
      <c r="BE2997" s="750"/>
      <c r="BF2997" s="750"/>
      <c r="BG2997" s="750"/>
      <c r="BH2997" s="750"/>
      <c r="BI2997" s="750"/>
      <c r="BJ2997" s="750"/>
      <c r="BK2997" s="750"/>
      <c r="BL2997" s="750"/>
      <c r="BM2997" s="750"/>
      <c r="BN2997" s="750"/>
      <c r="BO2997" s="750"/>
      <c r="BP2997" s="750"/>
      <c r="BQ2997" s="750"/>
    </row>
    <row r="2998" spans="3:69">
      <c r="C2998" s="853"/>
      <c r="D2998" s="853"/>
      <c r="E2998" s="853"/>
      <c r="F2998" s="853"/>
      <c r="G2998" s="853"/>
      <c r="H2998" s="853"/>
      <c r="I2998" s="848"/>
      <c r="J2998" s="848"/>
      <c r="K2998" s="1295"/>
      <c r="L2998" s="1295"/>
      <c r="M2998" s="1295"/>
      <c r="N2998" s="1295"/>
      <c r="O2998" s="1295"/>
      <c r="P2998" s="853"/>
      <c r="Q2998" s="1295"/>
      <c r="R2998" s="848"/>
      <c r="S2998" s="848"/>
      <c r="T2998" s="848"/>
      <c r="U2998" s="848"/>
      <c r="V2998" s="1296"/>
      <c r="W2998" s="848"/>
      <c r="X2998" s="848"/>
      <c r="Y2998" s="1295"/>
      <c r="Z2998" s="1296"/>
      <c r="AA2998" s="1295"/>
      <c r="AB2998" s="1296"/>
      <c r="AC2998" s="1295"/>
      <c r="AD2998" s="1295"/>
      <c r="AE2998" s="2556"/>
      <c r="AF2998" s="750"/>
      <c r="AG2998" s="750"/>
      <c r="AH2998" s="750"/>
      <c r="AI2998" s="750"/>
      <c r="AJ2998" s="750"/>
      <c r="AK2998" s="750"/>
      <c r="AL2998" s="750"/>
      <c r="AM2998" s="750"/>
      <c r="AN2998" s="750"/>
      <c r="AO2998" s="750"/>
      <c r="AP2998" s="750"/>
      <c r="AQ2998" s="750"/>
      <c r="AR2998" s="750"/>
      <c r="AS2998" s="750"/>
      <c r="AT2998" s="750"/>
      <c r="AU2998" s="750"/>
      <c r="AV2998" s="750"/>
      <c r="AW2998" s="750"/>
      <c r="AX2998" s="750"/>
      <c r="AY2998" s="750"/>
      <c r="AZ2998" s="750"/>
      <c r="BA2998" s="750"/>
      <c r="BB2998" s="750"/>
      <c r="BC2998" s="750"/>
      <c r="BD2998" s="750"/>
      <c r="BE2998" s="750"/>
      <c r="BF2998" s="750"/>
      <c r="BG2998" s="750"/>
      <c r="BH2998" s="750"/>
      <c r="BI2998" s="750"/>
      <c r="BJ2998" s="750"/>
      <c r="BK2998" s="750"/>
      <c r="BL2998" s="750"/>
      <c r="BM2998" s="750"/>
      <c r="BN2998" s="750"/>
      <c r="BO2998" s="750"/>
      <c r="BP2998" s="750"/>
      <c r="BQ2998" s="750"/>
    </row>
    <row r="2999" spans="3:69">
      <c r="C2999" s="853"/>
      <c r="D2999" s="853"/>
      <c r="E2999" s="853"/>
      <c r="F2999" s="853"/>
      <c r="G2999" s="853"/>
      <c r="H2999" s="853"/>
      <c r="I2999" s="848"/>
      <c r="J2999" s="848"/>
      <c r="K2999" s="1295"/>
      <c r="L2999" s="1295"/>
      <c r="M2999" s="1295"/>
      <c r="N2999" s="1295"/>
      <c r="O2999" s="1295"/>
      <c r="P2999" s="853"/>
      <c r="Q2999" s="1295"/>
      <c r="R2999" s="848"/>
      <c r="S2999" s="848"/>
      <c r="T2999" s="848"/>
      <c r="U2999" s="848"/>
      <c r="V2999" s="1296"/>
      <c r="W2999" s="848"/>
      <c r="X2999" s="848"/>
      <c r="Y2999" s="1295"/>
      <c r="Z2999" s="1296"/>
      <c r="AA2999" s="1295"/>
      <c r="AB2999" s="1296"/>
      <c r="AC2999" s="1295"/>
      <c r="AD2999" s="1295"/>
      <c r="AE2999" s="2556"/>
      <c r="AF2999" s="750"/>
      <c r="AG2999" s="750"/>
      <c r="AH2999" s="750"/>
      <c r="AI2999" s="750"/>
      <c r="AJ2999" s="750"/>
      <c r="AK2999" s="750"/>
      <c r="AL2999" s="750"/>
      <c r="AM2999" s="750"/>
      <c r="AN2999" s="750"/>
      <c r="AO2999" s="750"/>
      <c r="AP2999" s="750"/>
      <c r="AQ2999" s="750"/>
      <c r="AR2999" s="750"/>
      <c r="AS2999" s="750"/>
      <c r="AT2999" s="750"/>
      <c r="AU2999" s="750"/>
      <c r="AV2999" s="750"/>
      <c r="AW2999" s="750"/>
      <c r="AX2999" s="750"/>
      <c r="AY2999" s="750"/>
      <c r="AZ2999" s="750"/>
      <c r="BA2999" s="750"/>
      <c r="BB2999" s="750"/>
      <c r="BC2999" s="750"/>
      <c r="BD2999" s="750"/>
      <c r="BE2999" s="750"/>
      <c r="BF2999" s="750"/>
      <c r="BG2999" s="750"/>
      <c r="BH2999" s="750"/>
      <c r="BI2999" s="750"/>
      <c r="BJ2999" s="750"/>
      <c r="BK2999" s="750"/>
      <c r="BL2999" s="750"/>
      <c r="BM2999" s="750"/>
      <c r="BN2999" s="750"/>
      <c r="BO2999" s="750"/>
      <c r="BP2999" s="750"/>
      <c r="BQ2999" s="750"/>
    </row>
    <row r="3000" spans="3:69">
      <c r="C3000" s="853"/>
      <c r="D3000" s="853"/>
      <c r="E3000" s="853"/>
      <c r="F3000" s="853"/>
      <c r="G3000" s="853"/>
      <c r="H3000" s="853"/>
      <c r="I3000" s="848"/>
      <c r="J3000" s="848"/>
      <c r="K3000" s="1295"/>
      <c r="L3000" s="1295"/>
      <c r="M3000" s="1295"/>
      <c r="N3000" s="1295"/>
      <c r="O3000" s="1295"/>
      <c r="P3000" s="853"/>
      <c r="Q3000" s="1295"/>
      <c r="R3000" s="848"/>
      <c r="S3000" s="848"/>
      <c r="T3000" s="848"/>
      <c r="U3000" s="848"/>
      <c r="V3000" s="1296"/>
      <c r="W3000" s="848"/>
      <c r="X3000" s="848"/>
      <c r="Y3000" s="1295"/>
      <c r="Z3000" s="1296"/>
      <c r="AA3000" s="1295"/>
      <c r="AB3000" s="1296"/>
      <c r="AC3000" s="1295"/>
      <c r="AD3000" s="1295"/>
      <c r="AE3000" s="2556"/>
      <c r="AF3000" s="750"/>
      <c r="AG3000" s="750"/>
      <c r="AH3000" s="750"/>
      <c r="AI3000" s="750"/>
      <c r="AJ3000" s="750"/>
      <c r="AK3000" s="750"/>
      <c r="AL3000" s="750"/>
      <c r="AM3000" s="750"/>
      <c r="AN3000" s="750"/>
      <c r="AO3000" s="750"/>
      <c r="AP3000" s="750"/>
      <c r="AQ3000" s="750"/>
      <c r="AR3000" s="750"/>
      <c r="AS3000" s="750"/>
      <c r="AT3000" s="750"/>
      <c r="AU3000" s="750"/>
      <c r="AV3000" s="750"/>
      <c r="AW3000" s="750"/>
      <c r="AX3000" s="750"/>
      <c r="AY3000" s="750"/>
      <c r="AZ3000" s="750"/>
      <c r="BA3000" s="750"/>
      <c r="BB3000" s="750"/>
      <c r="BC3000" s="750"/>
      <c r="BD3000" s="750"/>
      <c r="BE3000" s="750"/>
      <c r="BF3000" s="750"/>
      <c r="BG3000" s="750"/>
      <c r="BH3000" s="750"/>
      <c r="BI3000" s="750"/>
      <c r="BJ3000" s="750"/>
      <c r="BK3000" s="750"/>
      <c r="BL3000" s="750"/>
      <c r="BM3000" s="750"/>
      <c r="BN3000" s="750"/>
      <c r="BO3000" s="750"/>
      <c r="BP3000" s="750"/>
      <c r="BQ3000" s="750"/>
    </row>
    <row r="3001" spans="3:69">
      <c r="C3001" s="853"/>
      <c r="D3001" s="853"/>
      <c r="E3001" s="853"/>
      <c r="F3001" s="853"/>
      <c r="G3001" s="853"/>
      <c r="H3001" s="853"/>
      <c r="I3001" s="848"/>
      <c r="J3001" s="848"/>
      <c r="K3001" s="1295"/>
      <c r="L3001" s="1295"/>
      <c r="M3001" s="1295"/>
      <c r="N3001" s="1295"/>
      <c r="O3001" s="1295"/>
      <c r="P3001" s="853"/>
      <c r="Q3001" s="1295"/>
      <c r="R3001" s="848"/>
      <c r="S3001" s="848"/>
      <c r="T3001" s="848"/>
      <c r="U3001" s="848"/>
      <c r="V3001" s="1296"/>
      <c r="W3001" s="848"/>
      <c r="X3001" s="848"/>
      <c r="Y3001" s="1295"/>
      <c r="Z3001" s="1296"/>
      <c r="AA3001" s="1295"/>
      <c r="AB3001" s="1296"/>
      <c r="AC3001" s="1295"/>
      <c r="AD3001" s="1295"/>
      <c r="AE3001" s="2556"/>
      <c r="AF3001" s="750"/>
      <c r="AG3001" s="750"/>
      <c r="AH3001" s="750"/>
      <c r="AI3001" s="750"/>
      <c r="AJ3001" s="750"/>
      <c r="AK3001" s="750"/>
      <c r="AL3001" s="750"/>
      <c r="AM3001" s="750"/>
      <c r="AN3001" s="750"/>
      <c r="AO3001" s="750"/>
      <c r="AP3001" s="750"/>
      <c r="AQ3001" s="750"/>
      <c r="AR3001" s="750"/>
      <c r="AS3001" s="750"/>
      <c r="AT3001" s="750"/>
      <c r="AU3001" s="750"/>
      <c r="AV3001" s="750"/>
      <c r="AW3001" s="750"/>
      <c r="AX3001" s="750"/>
      <c r="AY3001" s="750"/>
      <c r="AZ3001" s="750"/>
      <c r="BA3001" s="750"/>
      <c r="BB3001" s="750"/>
      <c r="BC3001" s="750"/>
      <c r="BD3001" s="750"/>
      <c r="BE3001" s="750"/>
      <c r="BF3001" s="750"/>
      <c r="BG3001" s="750"/>
      <c r="BH3001" s="750"/>
      <c r="BI3001" s="750"/>
      <c r="BJ3001" s="750"/>
      <c r="BK3001" s="750"/>
      <c r="BL3001" s="750"/>
      <c r="BM3001" s="750"/>
      <c r="BN3001" s="750"/>
      <c r="BO3001" s="750"/>
      <c r="BP3001" s="750"/>
      <c r="BQ3001" s="750"/>
    </row>
    <row r="3002" spans="3:69">
      <c r="C3002" s="853"/>
      <c r="D3002" s="853"/>
      <c r="E3002" s="853"/>
      <c r="F3002" s="853"/>
      <c r="G3002" s="853"/>
      <c r="H3002" s="853"/>
      <c r="I3002" s="848"/>
      <c r="J3002" s="848"/>
      <c r="K3002" s="1295"/>
      <c r="L3002" s="1295"/>
      <c r="M3002" s="1295"/>
      <c r="N3002" s="1295"/>
      <c r="O3002" s="1295"/>
      <c r="P3002" s="853"/>
      <c r="Q3002" s="1295"/>
      <c r="R3002" s="848"/>
      <c r="S3002" s="848"/>
      <c r="T3002" s="848"/>
      <c r="U3002" s="848"/>
      <c r="V3002" s="1296"/>
      <c r="W3002" s="848"/>
      <c r="X3002" s="848"/>
      <c r="Y3002" s="1295"/>
      <c r="Z3002" s="1296"/>
      <c r="AA3002" s="1295"/>
      <c r="AB3002" s="1296"/>
      <c r="AC3002" s="1295"/>
      <c r="AD3002" s="1295"/>
      <c r="AE3002" s="2556"/>
      <c r="AF3002" s="750"/>
      <c r="AG3002" s="750"/>
      <c r="AH3002" s="750"/>
      <c r="AI3002" s="750"/>
      <c r="AJ3002" s="750"/>
      <c r="AK3002" s="750"/>
      <c r="AL3002" s="750"/>
      <c r="AM3002" s="750"/>
      <c r="AN3002" s="750"/>
      <c r="AO3002" s="750"/>
      <c r="AP3002" s="750"/>
      <c r="AQ3002" s="750"/>
      <c r="AR3002" s="750"/>
      <c r="AS3002" s="750"/>
      <c r="AT3002" s="750"/>
      <c r="AU3002" s="750"/>
      <c r="AV3002" s="750"/>
      <c r="AW3002" s="750"/>
      <c r="AX3002" s="750"/>
      <c r="AY3002" s="750"/>
      <c r="AZ3002" s="750"/>
      <c r="BA3002" s="750"/>
      <c r="BB3002" s="750"/>
      <c r="BC3002" s="750"/>
      <c r="BD3002" s="750"/>
      <c r="BE3002" s="750"/>
      <c r="BF3002" s="750"/>
      <c r="BG3002" s="750"/>
      <c r="BH3002" s="750"/>
      <c r="BI3002" s="750"/>
      <c r="BJ3002" s="750"/>
      <c r="BK3002" s="750"/>
      <c r="BL3002" s="750"/>
      <c r="BM3002" s="750"/>
      <c r="BN3002" s="750"/>
      <c r="BO3002" s="750"/>
      <c r="BP3002" s="750"/>
      <c r="BQ3002" s="750"/>
    </row>
    <row r="3003" spans="3:69">
      <c r="C3003" s="853"/>
      <c r="D3003" s="853"/>
      <c r="E3003" s="853"/>
      <c r="F3003" s="853"/>
      <c r="G3003" s="853"/>
      <c r="H3003" s="853"/>
      <c r="I3003" s="848"/>
      <c r="J3003" s="848"/>
      <c r="K3003" s="1295"/>
      <c r="L3003" s="1295"/>
      <c r="M3003" s="1295"/>
      <c r="N3003" s="1295"/>
      <c r="O3003" s="1295"/>
      <c r="P3003" s="853"/>
      <c r="Q3003" s="1295"/>
      <c r="R3003" s="848"/>
      <c r="S3003" s="848"/>
      <c r="T3003" s="848"/>
      <c r="U3003" s="848"/>
      <c r="V3003" s="1296"/>
      <c r="W3003" s="848"/>
      <c r="X3003" s="848"/>
      <c r="Y3003" s="1295"/>
      <c r="Z3003" s="1296"/>
      <c r="AA3003" s="1295"/>
      <c r="AB3003" s="1296"/>
      <c r="AC3003" s="1295"/>
      <c r="AD3003" s="1295"/>
      <c r="AE3003" s="2556"/>
      <c r="AF3003" s="750"/>
      <c r="AG3003" s="750"/>
      <c r="AH3003" s="750"/>
      <c r="AI3003" s="750"/>
      <c r="AJ3003" s="750"/>
      <c r="AK3003" s="750"/>
      <c r="AL3003" s="750"/>
      <c r="AM3003" s="750"/>
      <c r="AN3003" s="750"/>
      <c r="AO3003" s="750"/>
      <c r="AP3003" s="750"/>
      <c r="AQ3003" s="750"/>
      <c r="AR3003" s="750"/>
      <c r="AS3003" s="750"/>
      <c r="AT3003" s="750"/>
      <c r="AU3003" s="750"/>
      <c r="AV3003" s="750"/>
      <c r="AW3003" s="750"/>
      <c r="AX3003" s="750"/>
      <c r="AY3003" s="750"/>
      <c r="AZ3003" s="750"/>
      <c r="BA3003" s="750"/>
      <c r="BB3003" s="750"/>
      <c r="BC3003" s="750"/>
      <c r="BD3003" s="750"/>
      <c r="BE3003" s="750"/>
      <c r="BF3003" s="750"/>
      <c r="BG3003" s="750"/>
      <c r="BH3003" s="750"/>
      <c r="BI3003" s="750"/>
      <c r="BJ3003" s="750"/>
      <c r="BK3003" s="750"/>
      <c r="BL3003" s="750"/>
      <c r="BM3003" s="750"/>
      <c r="BN3003" s="750"/>
      <c r="BO3003" s="750"/>
      <c r="BP3003" s="750"/>
      <c r="BQ3003" s="750"/>
    </row>
    <row r="3004" spans="3:69">
      <c r="C3004" s="853"/>
      <c r="D3004" s="853"/>
      <c r="E3004" s="853"/>
      <c r="F3004" s="853"/>
      <c r="G3004" s="853"/>
      <c r="H3004" s="853"/>
      <c r="I3004" s="848"/>
      <c r="J3004" s="848"/>
      <c r="K3004" s="1295"/>
      <c r="L3004" s="1295"/>
      <c r="M3004" s="1295"/>
      <c r="N3004" s="1295"/>
      <c r="O3004" s="1295"/>
      <c r="P3004" s="853"/>
      <c r="Q3004" s="1295"/>
      <c r="R3004" s="848"/>
      <c r="S3004" s="848"/>
      <c r="T3004" s="848"/>
      <c r="U3004" s="848"/>
      <c r="V3004" s="1296"/>
      <c r="W3004" s="848"/>
      <c r="X3004" s="848"/>
      <c r="Y3004" s="1295"/>
      <c r="Z3004" s="1296"/>
      <c r="AA3004" s="1295"/>
      <c r="AB3004" s="1296"/>
      <c r="AC3004" s="1295"/>
      <c r="AD3004" s="1295"/>
      <c r="AE3004" s="2556"/>
      <c r="AF3004" s="750"/>
      <c r="AG3004" s="750"/>
      <c r="AH3004" s="750"/>
      <c r="AI3004" s="750"/>
      <c r="AJ3004" s="750"/>
      <c r="AK3004" s="750"/>
      <c r="AL3004" s="750"/>
      <c r="AM3004" s="750"/>
      <c r="AN3004" s="750"/>
      <c r="AO3004" s="750"/>
      <c r="AP3004" s="750"/>
      <c r="AQ3004" s="750"/>
      <c r="AR3004" s="750"/>
      <c r="AS3004" s="750"/>
      <c r="AT3004" s="750"/>
      <c r="AU3004" s="750"/>
      <c r="AV3004" s="750"/>
      <c r="AW3004" s="750"/>
      <c r="AX3004" s="750"/>
      <c r="AY3004" s="750"/>
      <c r="AZ3004" s="750"/>
      <c r="BA3004" s="750"/>
      <c r="BB3004" s="750"/>
      <c r="BC3004" s="750"/>
      <c r="BD3004" s="750"/>
      <c r="BE3004" s="750"/>
      <c r="BF3004" s="750"/>
      <c r="BG3004" s="750"/>
      <c r="BH3004" s="750"/>
      <c r="BI3004" s="750"/>
      <c r="BJ3004" s="750"/>
      <c r="BK3004" s="750"/>
      <c r="BL3004" s="750"/>
      <c r="BM3004" s="750"/>
      <c r="BN3004" s="750"/>
      <c r="BO3004" s="750"/>
      <c r="BP3004" s="750"/>
      <c r="BQ3004" s="750"/>
    </row>
    <row r="3005" spans="3:69">
      <c r="C3005" s="853"/>
      <c r="D3005" s="853"/>
      <c r="E3005" s="853"/>
      <c r="F3005" s="853"/>
      <c r="G3005" s="853"/>
      <c r="H3005" s="853"/>
      <c r="I3005" s="848"/>
      <c r="J3005" s="848"/>
      <c r="K3005" s="1295"/>
      <c r="L3005" s="1295"/>
      <c r="M3005" s="1295"/>
      <c r="N3005" s="1295"/>
      <c r="O3005" s="1295"/>
      <c r="P3005" s="853"/>
      <c r="Q3005" s="1295"/>
      <c r="R3005" s="848"/>
      <c r="S3005" s="848"/>
      <c r="T3005" s="848"/>
      <c r="U3005" s="848"/>
      <c r="V3005" s="1296"/>
      <c r="W3005" s="848"/>
      <c r="X3005" s="848"/>
      <c r="Y3005" s="1295"/>
      <c r="Z3005" s="1296"/>
      <c r="AA3005" s="1295"/>
      <c r="AB3005" s="1296"/>
      <c r="AC3005" s="1295"/>
      <c r="AD3005" s="1295"/>
      <c r="AE3005" s="2556"/>
      <c r="AF3005" s="750"/>
      <c r="AG3005" s="750"/>
      <c r="AH3005" s="750"/>
      <c r="AI3005" s="750"/>
      <c r="AJ3005" s="750"/>
      <c r="AK3005" s="750"/>
      <c r="AL3005" s="750"/>
      <c r="AM3005" s="750"/>
      <c r="AN3005" s="750"/>
      <c r="AO3005" s="750"/>
      <c r="AP3005" s="750"/>
      <c r="AQ3005" s="750"/>
      <c r="AR3005" s="750"/>
      <c r="AS3005" s="750"/>
      <c r="AT3005" s="750"/>
      <c r="AU3005" s="750"/>
      <c r="AV3005" s="750"/>
      <c r="AW3005" s="750"/>
      <c r="AX3005" s="750"/>
      <c r="AY3005" s="750"/>
      <c r="AZ3005" s="750"/>
      <c r="BA3005" s="750"/>
      <c r="BB3005" s="750"/>
      <c r="BC3005" s="750"/>
      <c r="BD3005" s="750"/>
      <c r="BE3005" s="750"/>
      <c r="BF3005" s="750"/>
      <c r="BG3005" s="750"/>
      <c r="BH3005" s="750"/>
      <c r="BI3005" s="750"/>
      <c r="BJ3005" s="750"/>
      <c r="BK3005" s="750"/>
      <c r="BL3005" s="750"/>
      <c r="BM3005" s="750"/>
      <c r="BN3005" s="750"/>
      <c r="BO3005" s="750"/>
      <c r="BP3005" s="750"/>
      <c r="BQ3005" s="750"/>
    </row>
    <row r="3006" spans="3:69">
      <c r="C3006" s="853"/>
      <c r="D3006" s="853"/>
      <c r="E3006" s="853"/>
      <c r="F3006" s="853"/>
      <c r="G3006" s="853"/>
      <c r="H3006" s="853"/>
      <c r="I3006" s="848"/>
      <c r="J3006" s="848"/>
      <c r="K3006" s="1295"/>
      <c r="L3006" s="1295"/>
      <c r="M3006" s="1295"/>
      <c r="N3006" s="1295"/>
      <c r="O3006" s="1295"/>
      <c r="P3006" s="853"/>
      <c r="Q3006" s="1295"/>
      <c r="R3006" s="848"/>
      <c r="S3006" s="848"/>
      <c r="T3006" s="848"/>
      <c r="U3006" s="848"/>
      <c r="V3006" s="1296"/>
      <c r="W3006" s="848"/>
      <c r="X3006" s="848"/>
      <c r="Y3006" s="1295"/>
      <c r="Z3006" s="1296"/>
      <c r="AA3006" s="1295"/>
      <c r="AB3006" s="1296"/>
      <c r="AC3006" s="1295"/>
      <c r="AD3006" s="1295"/>
      <c r="AE3006" s="2556"/>
      <c r="AF3006" s="750"/>
      <c r="AG3006" s="750"/>
      <c r="AH3006" s="750"/>
      <c r="AI3006" s="750"/>
      <c r="AJ3006" s="750"/>
      <c r="AK3006" s="750"/>
      <c r="AL3006" s="750"/>
      <c r="AM3006" s="750"/>
      <c r="AN3006" s="750"/>
      <c r="AO3006" s="750"/>
      <c r="AP3006" s="750"/>
      <c r="AQ3006" s="750"/>
      <c r="AR3006" s="750"/>
      <c r="AS3006" s="750"/>
      <c r="AT3006" s="750"/>
      <c r="AU3006" s="750"/>
      <c r="AV3006" s="750"/>
      <c r="AW3006" s="750"/>
      <c r="AX3006" s="750"/>
      <c r="AY3006" s="750"/>
      <c r="AZ3006" s="750"/>
      <c r="BA3006" s="750"/>
      <c r="BB3006" s="750"/>
      <c r="BC3006" s="750"/>
      <c r="BD3006" s="750"/>
      <c r="BE3006" s="750"/>
      <c r="BF3006" s="750"/>
      <c r="BG3006" s="750"/>
      <c r="BH3006" s="750"/>
      <c r="BI3006" s="750"/>
      <c r="BJ3006" s="750"/>
      <c r="BK3006" s="750"/>
      <c r="BL3006" s="750"/>
      <c r="BM3006" s="750"/>
      <c r="BN3006" s="750"/>
      <c r="BO3006" s="750"/>
      <c r="BP3006" s="750"/>
      <c r="BQ3006" s="750"/>
    </row>
    <row r="3007" spans="3:69">
      <c r="C3007" s="853"/>
      <c r="D3007" s="853"/>
      <c r="E3007" s="853"/>
      <c r="F3007" s="853"/>
      <c r="G3007" s="853"/>
      <c r="H3007" s="853"/>
      <c r="I3007" s="848"/>
      <c r="J3007" s="848"/>
      <c r="K3007" s="1295"/>
      <c r="L3007" s="1295"/>
      <c r="M3007" s="1295"/>
      <c r="N3007" s="1295"/>
      <c r="O3007" s="1295"/>
      <c r="P3007" s="853"/>
      <c r="Q3007" s="1295"/>
      <c r="R3007" s="848"/>
      <c r="S3007" s="848"/>
      <c r="T3007" s="848"/>
      <c r="U3007" s="848"/>
      <c r="V3007" s="1296"/>
      <c r="W3007" s="848"/>
      <c r="X3007" s="848"/>
      <c r="Y3007" s="1295"/>
      <c r="Z3007" s="1296"/>
      <c r="AA3007" s="1295"/>
      <c r="AB3007" s="1296"/>
      <c r="AC3007" s="1295"/>
      <c r="AD3007" s="1295"/>
      <c r="AE3007" s="2556"/>
      <c r="AF3007" s="750"/>
      <c r="AG3007" s="750"/>
      <c r="AH3007" s="750"/>
      <c r="AI3007" s="750"/>
      <c r="AJ3007" s="750"/>
      <c r="AK3007" s="750"/>
      <c r="AL3007" s="750"/>
      <c r="AM3007" s="750"/>
      <c r="AN3007" s="750"/>
      <c r="AO3007" s="750"/>
      <c r="AP3007" s="750"/>
      <c r="AQ3007" s="750"/>
      <c r="AR3007" s="750"/>
      <c r="AS3007" s="750"/>
      <c r="AT3007" s="750"/>
      <c r="AU3007" s="750"/>
      <c r="AV3007" s="750"/>
      <c r="AW3007" s="750"/>
      <c r="AX3007" s="750"/>
      <c r="AY3007" s="750"/>
      <c r="AZ3007" s="750"/>
      <c r="BA3007" s="750"/>
      <c r="BB3007" s="750"/>
      <c r="BC3007" s="750"/>
      <c r="BD3007" s="750"/>
      <c r="BE3007" s="750"/>
      <c r="BF3007" s="750"/>
      <c r="BG3007" s="750"/>
      <c r="BH3007" s="750"/>
      <c r="BI3007" s="750"/>
      <c r="BJ3007" s="750"/>
      <c r="BK3007" s="750"/>
      <c r="BL3007" s="750"/>
      <c r="BM3007" s="750"/>
      <c r="BN3007" s="750"/>
      <c r="BO3007" s="750"/>
      <c r="BP3007" s="750"/>
      <c r="BQ3007" s="750"/>
    </row>
    <row r="3008" spans="3:69">
      <c r="C3008" s="853"/>
      <c r="D3008" s="853"/>
      <c r="E3008" s="853"/>
      <c r="F3008" s="853"/>
      <c r="G3008" s="853"/>
      <c r="H3008" s="853"/>
      <c r="I3008" s="848"/>
      <c r="J3008" s="848"/>
      <c r="K3008" s="1295"/>
      <c r="L3008" s="1295"/>
      <c r="M3008" s="1295"/>
      <c r="N3008" s="1295"/>
      <c r="O3008" s="1295"/>
      <c r="P3008" s="853"/>
      <c r="Q3008" s="1295"/>
      <c r="R3008" s="848"/>
      <c r="S3008" s="848"/>
      <c r="T3008" s="848"/>
      <c r="U3008" s="848"/>
      <c r="V3008" s="1296"/>
      <c r="W3008" s="848"/>
      <c r="X3008" s="848"/>
      <c r="Y3008" s="1295"/>
      <c r="Z3008" s="1296"/>
      <c r="AA3008" s="1295"/>
      <c r="AB3008" s="1296"/>
      <c r="AC3008" s="1295"/>
      <c r="AD3008" s="1295"/>
      <c r="AE3008" s="2556"/>
      <c r="AF3008" s="750"/>
      <c r="AG3008" s="750"/>
      <c r="AH3008" s="750"/>
      <c r="AI3008" s="750"/>
      <c r="AJ3008" s="750"/>
      <c r="AK3008" s="750"/>
      <c r="AL3008" s="750"/>
      <c r="AM3008" s="750"/>
      <c r="AN3008" s="750"/>
      <c r="AO3008" s="750"/>
      <c r="AP3008" s="750"/>
      <c r="AQ3008" s="750"/>
      <c r="AR3008" s="750"/>
      <c r="AS3008" s="750"/>
      <c r="AT3008" s="750"/>
      <c r="AU3008" s="750"/>
      <c r="AV3008" s="750"/>
      <c r="AW3008" s="750"/>
      <c r="AX3008" s="750"/>
      <c r="AY3008" s="750"/>
      <c r="AZ3008" s="750"/>
      <c r="BA3008" s="750"/>
      <c r="BB3008" s="750"/>
      <c r="BC3008" s="750"/>
      <c r="BD3008" s="750"/>
      <c r="BE3008" s="750"/>
      <c r="BF3008" s="750"/>
      <c r="BG3008" s="750"/>
      <c r="BH3008" s="750"/>
      <c r="BI3008" s="750"/>
      <c r="BJ3008" s="750"/>
      <c r="BK3008" s="750"/>
      <c r="BL3008" s="750"/>
      <c r="BM3008" s="750"/>
      <c r="BN3008" s="750"/>
      <c r="BO3008" s="750"/>
      <c r="BP3008" s="750"/>
      <c r="BQ3008" s="750"/>
    </row>
    <row r="3009" spans="3:69">
      <c r="C3009" s="853"/>
      <c r="D3009" s="853"/>
      <c r="E3009" s="853"/>
      <c r="F3009" s="853"/>
      <c r="G3009" s="853"/>
      <c r="H3009" s="853"/>
      <c r="I3009" s="848"/>
      <c r="J3009" s="848"/>
      <c r="K3009" s="1295"/>
      <c r="L3009" s="1295"/>
      <c r="M3009" s="1295"/>
      <c r="N3009" s="1295"/>
      <c r="O3009" s="1295"/>
      <c r="P3009" s="853"/>
      <c r="Q3009" s="1295"/>
      <c r="R3009" s="848"/>
      <c r="S3009" s="848"/>
      <c r="T3009" s="848"/>
      <c r="U3009" s="848"/>
      <c r="V3009" s="1296"/>
      <c r="W3009" s="848"/>
      <c r="X3009" s="848"/>
      <c r="Y3009" s="1295"/>
      <c r="Z3009" s="1296"/>
      <c r="AA3009" s="1295"/>
      <c r="AB3009" s="1296"/>
      <c r="AC3009" s="1295"/>
      <c r="AD3009" s="1295"/>
      <c r="AE3009" s="2556"/>
      <c r="AF3009" s="750"/>
      <c r="AG3009" s="750"/>
      <c r="AH3009" s="750"/>
      <c r="AI3009" s="750"/>
      <c r="AJ3009" s="750"/>
      <c r="AK3009" s="750"/>
      <c r="AL3009" s="750"/>
      <c r="AM3009" s="750"/>
      <c r="AN3009" s="750"/>
      <c r="AO3009" s="750"/>
      <c r="AP3009" s="750"/>
      <c r="AQ3009" s="750"/>
      <c r="AR3009" s="750"/>
      <c r="AS3009" s="750"/>
      <c r="AT3009" s="750"/>
      <c r="AU3009" s="750"/>
      <c r="AV3009" s="750"/>
      <c r="AW3009" s="750"/>
      <c r="AX3009" s="750"/>
      <c r="AY3009" s="750"/>
      <c r="AZ3009" s="750"/>
      <c r="BA3009" s="750"/>
      <c r="BB3009" s="750"/>
      <c r="BC3009" s="750"/>
      <c r="BD3009" s="750"/>
      <c r="BE3009" s="750"/>
      <c r="BF3009" s="750"/>
      <c r="BG3009" s="750"/>
      <c r="BH3009" s="750"/>
      <c r="BI3009" s="750"/>
      <c r="BJ3009" s="750"/>
      <c r="BK3009" s="750"/>
      <c r="BL3009" s="750"/>
      <c r="BM3009" s="750"/>
      <c r="BN3009" s="750"/>
      <c r="BO3009" s="750"/>
      <c r="BP3009" s="750"/>
      <c r="BQ3009" s="750"/>
    </row>
    <row r="3010" spans="3:69">
      <c r="C3010" s="853"/>
      <c r="D3010" s="853"/>
      <c r="E3010" s="853"/>
      <c r="F3010" s="853"/>
      <c r="G3010" s="853"/>
      <c r="H3010" s="853"/>
      <c r="I3010" s="848"/>
      <c r="J3010" s="848"/>
      <c r="K3010" s="1295"/>
      <c r="L3010" s="1295"/>
      <c r="M3010" s="1295"/>
      <c r="N3010" s="1295"/>
      <c r="O3010" s="1295"/>
      <c r="P3010" s="853"/>
      <c r="Q3010" s="1295"/>
      <c r="R3010" s="848"/>
      <c r="S3010" s="848"/>
      <c r="T3010" s="848"/>
      <c r="U3010" s="848"/>
      <c r="V3010" s="1296"/>
      <c r="W3010" s="848"/>
      <c r="X3010" s="848"/>
      <c r="Y3010" s="1295"/>
      <c r="Z3010" s="1296"/>
      <c r="AA3010" s="1295"/>
      <c r="AB3010" s="1296"/>
      <c r="AC3010" s="1295"/>
      <c r="AD3010" s="1295"/>
      <c r="AE3010" s="2556"/>
      <c r="AF3010" s="750"/>
      <c r="AG3010" s="750"/>
      <c r="AH3010" s="750"/>
      <c r="AI3010" s="750"/>
      <c r="AJ3010" s="750"/>
      <c r="AK3010" s="750"/>
      <c r="AL3010" s="750"/>
      <c r="AM3010" s="750"/>
      <c r="AN3010" s="750"/>
      <c r="AO3010" s="750"/>
      <c r="AP3010" s="750"/>
      <c r="AQ3010" s="750"/>
      <c r="AR3010" s="750"/>
      <c r="AS3010" s="750"/>
      <c r="AT3010" s="750"/>
      <c r="AU3010" s="750"/>
      <c r="AV3010" s="750"/>
      <c r="AW3010" s="750"/>
      <c r="AX3010" s="750"/>
      <c r="AY3010" s="750"/>
      <c r="AZ3010" s="750"/>
      <c r="BA3010" s="750"/>
      <c r="BB3010" s="750"/>
      <c r="BC3010" s="750"/>
      <c r="BD3010" s="750"/>
      <c r="BE3010" s="750"/>
      <c r="BF3010" s="750"/>
      <c r="BG3010" s="750"/>
      <c r="BH3010" s="750"/>
      <c r="BI3010" s="750"/>
      <c r="BJ3010" s="750"/>
      <c r="BK3010" s="750"/>
      <c r="BL3010" s="750"/>
      <c r="BM3010" s="750"/>
      <c r="BN3010" s="750"/>
      <c r="BO3010" s="750"/>
      <c r="BP3010" s="750"/>
      <c r="BQ3010" s="750"/>
    </row>
    <row r="3011" spans="3:69">
      <c r="C3011" s="853"/>
      <c r="D3011" s="853"/>
      <c r="E3011" s="853"/>
      <c r="F3011" s="853"/>
      <c r="G3011" s="853"/>
      <c r="H3011" s="853"/>
      <c r="I3011" s="848"/>
      <c r="J3011" s="848"/>
      <c r="K3011" s="1295"/>
      <c r="L3011" s="1295"/>
      <c r="M3011" s="1295"/>
      <c r="N3011" s="1295"/>
      <c r="O3011" s="1295"/>
      <c r="P3011" s="853"/>
      <c r="Q3011" s="1295"/>
      <c r="R3011" s="848"/>
      <c r="S3011" s="848"/>
      <c r="T3011" s="848"/>
      <c r="U3011" s="848"/>
      <c r="V3011" s="1296"/>
      <c r="W3011" s="848"/>
      <c r="X3011" s="848"/>
      <c r="Y3011" s="1295"/>
      <c r="Z3011" s="1296"/>
      <c r="AA3011" s="1295"/>
      <c r="AB3011" s="1296"/>
      <c r="AC3011" s="1295"/>
      <c r="AD3011" s="1295"/>
      <c r="AE3011" s="2556"/>
      <c r="AF3011" s="750"/>
      <c r="AG3011" s="750"/>
      <c r="AH3011" s="750"/>
      <c r="AI3011" s="750"/>
      <c r="AJ3011" s="750"/>
      <c r="AK3011" s="750"/>
      <c r="AL3011" s="750"/>
      <c r="AM3011" s="750"/>
      <c r="AN3011" s="750"/>
      <c r="AO3011" s="750"/>
      <c r="AP3011" s="750"/>
      <c r="AQ3011" s="750"/>
      <c r="AR3011" s="750"/>
      <c r="AS3011" s="750"/>
      <c r="AT3011" s="750"/>
      <c r="AU3011" s="750"/>
      <c r="AV3011" s="750"/>
      <c r="AW3011" s="750"/>
      <c r="AX3011" s="750"/>
      <c r="AY3011" s="750"/>
      <c r="AZ3011" s="750"/>
      <c r="BA3011" s="750"/>
      <c r="BB3011" s="750"/>
      <c r="BC3011" s="750"/>
      <c r="BD3011" s="750"/>
      <c r="BE3011" s="750"/>
      <c r="BF3011" s="750"/>
      <c r="BG3011" s="750"/>
      <c r="BH3011" s="750"/>
      <c r="BI3011" s="750"/>
      <c r="BJ3011" s="750"/>
      <c r="BK3011" s="750"/>
      <c r="BL3011" s="750"/>
      <c r="BM3011" s="750"/>
      <c r="BN3011" s="750"/>
      <c r="BO3011" s="750"/>
      <c r="BP3011" s="750"/>
      <c r="BQ3011" s="750"/>
    </row>
    <row r="3012" spans="3:69">
      <c r="C3012" s="853"/>
      <c r="D3012" s="853"/>
      <c r="E3012" s="853"/>
      <c r="F3012" s="853"/>
      <c r="G3012" s="853"/>
      <c r="H3012" s="853"/>
      <c r="I3012" s="848"/>
      <c r="J3012" s="848"/>
      <c r="K3012" s="1295"/>
      <c r="L3012" s="1295"/>
      <c r="M3012" s="1295"/>
      <c r="N3012" s="1295"/>
      <c r="O3012" s="1295"/>
      <c r="P3012" s="853"/>
      <c r="Q3012" s="1295"/>
      <c r="R3012" s="848"/>
      <c r="S3012" s="848"/>
      <c r="T3012" s="848"/>
      <c r="U3012" s="848"/>
      <c r="V3012" s="1296"/>
      <c r="W3012" s="848"/>
      <c r="X3012" s="848"/>
      <c r="Y3012" s="1295"/>
      <c r="Z3012" s="1296"/>
      <c r="AA3012" s="1295"/>
      <c r="AB3012" s="1296"/>
      <c r="AC3012" s="1295"/>
      <c r="AD3012" s="1295"/>
      <c r="AE3012" s="2556"/>
      <c r="AF3012" s="750"/>
      <c r="AG3012" s="750"/>
      <c r="AH3012" s="750"/>
      <c r="AI3012" s="750"/>
      <c r="AJ3012" s="750"/>
      <c r="AK3012" s="750"/>
      <c r="AL3012" s="750"/>
      <c r="AM3012" s="750"/>
      <c r="AN3012" s="750"/>
      <c r="AO3012" s="750"/>
      <c r="AP3012" s="750"/>
      <c r="AQ3012" s="750"/>
      <c r="AR3012" s="750"/>
      <c r="AS3012" s="750"/>
      <c r="AT3012" s="750"/>
      <c r="AU3012" s="750"/>
      <c r="AV3012" s="750"/>
      <c r="AW3012" s="750"/>
      <c r="AX3012" s="750"/>
      <c r="AY3012" s="750"/>
      <c r="AZ3012" s="750"/>
      <c r="BA3012" s="750"/>
      <c r="BB3012" s="750"/>
      <c r="BC3012" s="750"/>
      <c r="BD3012" s="750"/>
      <c r="BE3012" s="750"/>
      <c r="BF3012" s="750"/>
      <c r="BG3012" s="750"/>
      <c r="BH3012" s="750"/>
      <c r="BI3012" s="750"/>
      <c r="BJ3012" s="750"/>
      <c r="BK3012" s="750"/>
      <c r="BL3012" s="750"/>
      <c r="BM3012" s="750"/>
      <c r="BN3012" s="750"/>
      <c r="BO3012" s="750"/>
      <c r="BP3012" s="750"/>
      <c r="BQ3012" s="750"/>
    </row>
    <row r="3013" spans="3:69">
      <c r="C3013" s="853"/>
      <c r="D3013" s="853"/>
      <c r="E3013" s="853"/>
      <c r="F3013" s="853"/>
      <c r="G3013" s="853"/>
      <c r="H3013" s="853"/>
      <c r="I3013" s="848"/>
      <c r="J3013" s="848"/>
      <c r="K3013" s="1295"/>
      <c r="L3013" s="1295"/>
      <c r="M3013" s="1295"/>
      <c r="N3013" s="1295"/>
      <c r="O3013" s="1295"/>
      <c r="P3013" s="853"/>
      <c r="Q3013" s="1295"/>
      <c r="R3013" s="848"/>
      <c r="S3013" s="848"/>
      <c r="T3013" s="848"/>
      <c r="U3013" s="848"/>
      <c r="V3013" s="1296"/>
      <c r="W3013" s="848"/>
      <c r="X3013" s="848"/>
      <c r="Y3013" s="1295"/>
      <c r="Z3013" s="1296"/>
      <c r="AA3013" s="1295"/>
      <c r="AB3013" s="1296"/>
      <c r="AC3013" s="1295"/>
      <c r="AD3013" s="1295"/>
      <c r="AE3013" s="2556"/>
      <c r="AF3013" s="750"/>
      <c r="AG3013" s="750"/>
      <c r="AH3013" s="750"/>
      <c r="AI3013" s="750"/>
      <c r="AJ3013" s="750"/>
      <c r="AK3013" s="750"/>
      <c r="AL3013" s="750"/>
      <c r="AM3013" s="750"/>
      <c r="AN3013" s="750"/>
      <c r="AO3013" s="750"/>
      <c r="AP3013" s="750"/>
      <c r="AQ3013" s="750"/>
      <c r="AR3013" s="750"/>
      <c r="AS3013" s="750"/>
      <c r="AT3013" s="750"/>
      <c r="AU3013" s="750"/>
      <c r="AV3013" s="750"/>
      <c r="AW3013" s="750"/>
      <c r="AX3013" s="750"/>
      <c r="AY3013" s="750"/>
      <c r="AZ3013" s="750"/>
      <c r="BA3013" s="750"/>
      <c r="BB3013" s="750"/>
      <c r="BC3013" s="750"/>
      <c r="BD3013" s="750"/>
      <c r="BE3013" s="750"/>
      <c r="BF3013" s="750"/>
      <c r="BG3013" s="750"/>
      <c r="BH3013" s="750"/>
      <c r="BI3013" s="750"/>
      <c r="BJ3013" s="750"/>
      <c r="BK3013" s="750"/>
      <c r="BL3013" s="750"/>
      <c r="BM3013" s="750"/>
      <c r="BN3013" s="750"/>
      <c r="BO3013" s="750"/>
      <c r="BP3013" s="750"/>
      <c r="BQ3013" s="750"/>
    </row>
    <row r="3014" spans="3:69">
      <c r="C3014" s="853"/>
      <c r="D3014" s="853"/>
      <c r="E3014" s="853"/>
      <c r="F3014" s="853"/>
      <c r="G3014" s="853"/>
      <c r="H3014" s="853"/>
      <c r="I3014" s="848"/>
      <c r="J3014" s="848"/>
      <c r="K3014" s="1295"/>
      <c r="L3014" s="1295"/>
      <c r="M3014" s="1295"/>
      <c r="N3014" s="1295"/>
      <c r="O3014" s="1295"/>
      <c r="P3014" s="853"/>
      <c r="Q3014" s="1295"/>
      <c r="R3014" s="848"/>
      <c r="S3014" s="848"/>
      <c r="T3014" s="848"/>
      <c r="U3014" s="848"/>
      <c r="V3014" s="1296"/>
      <c r="W3014" s="848"/>
      <c r="X3014" s="848"/>
      <c r="Y3014" s="1295"/>
      <c r="Z3014" s="1296"/>
      <c r="AA3014" s="1295"/>
      <c r="AB3014" s="1296"/>
      <c r="AC3014" s="1295"/>
      <c r="AD3014" s="1295"/>
      <c r="AE3014" s="2556"/>
      <c r="AF3014" s="750"/>
      <c r="AG3014" s="750"/>
      <c r="AH3014" s="750"/>
      <c r="AI3014" s="750"/>
      <c r="AJ3014" s="750"/>
      <c r="AK3014" s="750"/>
      <c r="AL3014" s="750"/>
      <c r="AM3014" s="750"/>
      <c r="AN3014" s="750"/>
      <c r="AO3014" s="750"/>
      <c r="AP3014" s="750"/>
      <c r="AQ3014" s="750"/>
      <c r="AR3014" s="750"/>
      <c r="AS3014" s="750"/>
      <c r="AT3014" s="750"/>
      <c r="AU3014" s="750"/>
      <c r="AV3014" s="750"/>
      <c r="AW3014" s="750"/>
      <c r="AX3014" s="750"/>
      <c r="AY3014" s="750"/>
      <c r="AZ3014" s="750"/>
      <c r="BA3014" s="750"/>
      <c r="BB3014" s="750"/>
      <c r="BC3014" s="750"/>
      <c r="BD3014" s="750"/>
      <c r="BE3014" s="750"/>
      <c r="BF3014" s="750"/>
      <c r="BG3014" s="750"/>
      <c r="BH3014" s="750"/>
      <c r="BI3014" s="750"/>
      <c r="BJ3014" s="750"/>
      <c r="BK3014" s="750"/>
      <c r="BL3014" s="750"/>
      <c r="BM3014" s="750"/>
      <c r="BN3014" s="750"/>
      <c r="BO3014" s="750"/>
      <c r="BP3014" s="750"/>
      <c r="BQ3014" s="750"/>
    </row>
    <row r="3015" spans="3:69">
      <c r="C3015" s="853"/>
      <c r="D3015" s="853"/>
      <c r="E3015" s="853"/>
      <c r="F3015" s="853"/>
      <c r="G3015" s="853"/>
      <c r="H3015" s="853"/>
      <c r="I3015" s="848"/>
      <c r="J3015" s="848"/>
      <c r="K3015" s="1295"/>
      <c r="L3015" s="1295"/>
      <c r="M3015" s="1295"/>
      <c r="N3015" s="1295"/>
      <c r="O3015" s="1295"/>
      <c r="P3015" s="853"/>
      <c r="Q3015" s="1295"/>
      <c r="R3015" s="848"/>
      <c r="S3015" s="848"/>
      <c r="T3015" s="848"/>
      <c r="U3015" s="848"/>
      <c r="V3015" s="1296"/>
      <c r="W3015" s="848"/>
      <c r="X3015" s="848"/>
      <c r="Y3015" s="1295"/>
      <c r="Z3015" s="1296"/>
      <c r="AA3015" s="1295"/>
      <c r="AB3015" s="1296"/>
      <c r="AC3015" s="1295"/>
      <c r="AD3015" s="1295"/>
      <c r="AE3015" s="2556"/>
      <c r="AF3015" s="750"/>
      <c r="AG3015" s="750"/>
      <c r="AH3015" s="750"/>
      <c r="AI3015" s="750"/>
      <c r="AJ3015" s="750"/>
      <c r="AK3015" s="750"/>
      <c r="AL3015" s="750"/>
      <c r="AM3015" s="750"/>
      <c r="AN3015" s="750"/>
      <c r="AO3015" s="750"/>
      <c r="AP3015" s="750"/>
      <c r="AQ3015" s="750"/>
      <c r="AR3015" s="750"/>
      <c r="AS3015" s="750"/>
      <c r="AT3015" s="750"/>
      <c r="AU3015" s="750"/>
      <c r="AV3015" s="750"/>
      <c r="AW3015" s="750"/>
      <c r="AX3015" s="750"/>
      <c r="AY3015" s="750"/>
      <c r="AZ3015" s="750"/>
      <c r="BA3015" s="750"/>
      <c r="BB3015" s="750"/>
      <c r="BC3015" s="750"/>
      <c r="BD3015" s="750"/>
      <c r="BE3015" s="750"/>
      <c r="BF3015" s="750"/>
      <c r="BG3015" s="750"/>
      <c r="BH3015" s="750"/>
      <c r="BI3015" s="750"/>
      <c r="BJ3015" s="750"/>
      <c r="BK3015" s="750"/>
      <c r="BL3015" s="750"/>
      <c r="BM3015" s="750"/>
      <c r="BN3015" s="750"/>
      <c r="BO3015" s="750"/>
      <c r="BP3015" s="750"/>
      <c r="BQ3015" s="750"/>
    </row>
    <row r="3016" spans="3:69">
      <c r="C3016" s="853"/>
      <c r="D3016" s="853"/>
      <c r="E3016" s="853"/>
      <c r="F3016" s="853"/>
      <c r="G3016" s="853"/>
      <c r="H3016" s="853"/>
      <c r="I3016" s="848"/>
      <c r="J3016" s="848"/>
      <c r="K3016" s="1295"/>
      <c r="L3016" s="1295"/>
      <c r="M3016" s="1295"/>
      <c r="N3016" s="1295"/>
      <c r="O3016" s="1295"/>
      <c r="P3016" s="853"/>
      <c r="Q3016" s="1295"/>
      <c r="R3016" s="848"/>
      <c r="S3016" s="848"/>
      <c r="T3016" s="848"/>
      <c r="U3016" s="848"/>
      <c r="V3016" s="1296"/>
      <c r="W3016" s="848"/>
      <c r="X3016" s="848"/>
      <c r="Y3016" s="1295"/>
      <c r="Z3016" s="1296"/>
      <c r="AA3016" s="1295"/>
      <c r="AB3016" s="1296"/>
      <c r="AC3016" s="1295"/>
      <c r="AD3016" s="1295"/>
      <c r="AE3016" s="2556"/>
      <c r="AF3016" s="750"/>
      <c r="AG3016" s="750"/>
      <c r="AH3016" s="750"/>
      <c r="AI3016" s="750"/>
      <c r="AJ3016" s="750"/>
      <c r="AK3016" s="750"/>
      <c r="AL3016" s="750"/>
      <c r="AM3016" s="750"/>
      <c r="AN3016" s="750"/>
      <c r="AO3016" s="750"/>
      <c r="AP3016" s="750"/>
      <c r="AQ3016" s="750"/>
      <c r="AR3016" s="750"/>
      <c r="AS3016" s="750"/>
      <c r="AT3016" s="750"/>
      <c r="AU3016" s="750"/>
      <c r="AV3016" s="750"/>
      <c r="AW3016" s="750"/>
      <c r="AX3016" s="750"/>
      <c r="AY3016" s="750"/>
      <c r="AZ3016" s="750"/>
      <c r="BA3016" s="750"/>
      <c r="BB3016" s="750"/>
      <c r="BC3016" s="750"/>
      <c r="BD3016" s="750"/>
      <c r="BE3016" s="750"/>
      <c r="BF3016" s="750"/>
      <c r="BG3016" s="750"/>
      <c r="BH3016" s="750"/>
      <c r="BI3016" s="750"/>
      <c r="BJ3016" s="750"/>
      <c r="BK3016" s="750"/>
      <c r="BL3016" s="750"/>
      <c r="BM3016" s="750"/>
      <c r="BN3016" s="750"/>
      <c r="BO3016" s="750"/>
      <c r="BP3016" s="750"/>
      <c r="BQ3016" s="750"/>
    </row>
    <row r="3017" spans="3:69">
      <c r="C3017" s="853"/>
      <c r="D3017" s="853"/>
      <c r="E3017" s="853"/>
      <c r="F3017" s="853"/>
      <c r="G3017" s="853"/>
      <c r="H3017" s="853"/>
      <c r="I3017" s="848"/>
      <c r="J3017" s="848"/>
      <c r="K3017" s="1295"/>
      <c r="L3017" s="1295"/>
      <c r="M3017" s="1295"/>
      <c r="N3017" s="1295"/>
      <c r="O3017" s="1295"/>
      <c r="P3017" s="853"/>
      <c r="Q3017" s="1295"/>
      <c r="R3017" s="848"/>
      <c r="S3017" s="848"/>
      <c r="T3017" s="848"/>
      <c r="U3017" s="848"/>
      <c r="V3017" s="1296"/>
      <c r="W3017" s="848"/>
      <c r="X3017" s="848"/>
      <c r="Y3017" s="1295"/>
      <c r="Z3017" s="1296"/>
      <c r="AA3017" s="1295"/>
      <c r="AB3017" s="1296"/>
      <c r="AC3017" s="1295"/>
      <c r="AD3017" s="1295"/>
      <c r="AE3017" s="2556"/>
      <c r="AF3017" s="750"/>
      <c r="AG3017" s="750"/>
      <c r="AH3017" s="750"/>
      <c r="AI3017" s="750"/>
      <c r="AJ3017" s="750"/>
      <c r="AK3017" s="750"/>
      <c r="AL3017" s="750"/>
      <c r="AM3017" s="750"/>
      <c r="AN3017" s="750"/>
      <c r="AO3017" s="750"/>
      <c r="AP3017" s="750"/>
      <c r="AQ3017" s="750"/>
      <c r="AR3017" s="750"/>
      <c r="AS3017" s="750"/>
      <c r="AT3017" s="750"/>
      <c r="AU3017" s="750"/>
      <c r="AV3017" s="750"/>
      <c r="AW3017" s="750"/>
      <c r="AX3017" s="750"/>
      <c r="AY3017" s="750"/>
      <c r="AZ3017" s="750"/>
      <c r="BA3017" s="750"/>
      <c r="BB3017" s="750"/>
      <c r="BC3017" s="750"/>
      <c r="BD3017" s="750"/>
      <c r="BE3017" s="750"/>
      <c r="BF3017" s="750"/>
      <c r="BG3017" s="750"/>
      <c r="BH3017" s="750"/>
      <c r="BI3017" s="750"/>
      <c r="BJ3017" s="750"/>
      <c r="BK3017" s="750"/>
      <c r="BL3017" s="750"/>
      <c r="BM3017" s="750"/>
      <c r="BN3017" s="750"/>
      <c r="BO3017" s="750"/>
      <c r="BP3017" s="750"/>
      <c r="BQ3017" s="750"/>
    </row>
    <row r="3018" spans="3:69">
      <c r="C3018" s="853"/>
      <c r="D3018" s="853"/>
      <c r="E3018" s="853"/>
      <c r="F3018" s="853"/>
      <c r="G3018" s="853"/>
      <c r="H3018" s="853"/>
      <c r="I3018" s="848"/>
      <c r="J3018" s="848"/>
      <c r="K3018" s="1295"/>
      <c r="L3018" s="1295"/>
      <c r="M3018" s="1295"/>
      <c r="N3018" s="1295"/>
      <c r="O3018" s="1295"/>
      <c r="P3018" s="853"/>
      <c r="Q3018" s="1295"/>
      <c r="R3018" s="848"/>
      <c r="S3018" s="848"/>
      <c r="T3018" s="848"/>
      <c r="U3018" s="848"/>
      <c r="V3018" s="1296"/>
      <c r="W3018" s="848"/>
      <c r="X3018" s="848"/>
      <c r="Y3018" s="1295"/>
      <c r="Z3018" s="1296"/>
      <c r="AA3018" s="1295"/>
      <c r="AB3018" s="1296"/>
      <c r="AC3018" s="1295"/>
      <c r="AD3018" s="1295"/>
      <c r="AE3018" s="2556"/>
      <c r="AF3018" s="750"/>
      <c r="AG3018" s="750"/>
      <c r="AH3018" s="750"/>
      <c r="AI3018" s="750"/>
      <c r="AJ3018" s="750"/>
      <c r="AK3018" s="750"/>
      <c r="AL3018" s="750"/>
      <c r="AM3018" s="750"/>
      <c r="AN3018" s="750"/>
      <c r="AO3018" s="750"/>
      <c r="AP3018" s="750"/>
      <c r="AQ3018" s="750"/>
      <c r="AR3018" s="750"/>
      <c r="AS3018" s="750"/>
      <c r="AT3018" s="750"/>
      <c r="AU3018" s="750"/>
      <c r="AV3018" s="750"/>
      <c r="AW3018" s="750"/>
      <c r="AX3018" s="750"/>
      <c r="AY3018" s="750"/>
      <c r="AZ3018" s="750"/>
      <c r="BA3018" s="750"/>
      <c r="BB3018" s="750"/>
      <c r="BC3018" s="750"/>
      <c r="BD3018" s="750"/>
      <c r="BE3018" s="750"/>
      <c r="BF3018" s="750"/>
      <c r="BG3018" s="750"/>
      <c r="BH3018" s="750"/>
      <c r="BI3018" s="750"/>
      <c r="BJ3018" s="750"/>
      <c r="BK3018" s="750"/>
      <c r="BL3018" s="750"/>
      <c r="BM3018" s="750"/>
      <c r="BN3018" s="750"/>
      <c r="BO3018" s="750"/>
      <c r="BP3018" s="750"/>
      <c r="BQ3018" s="750"/>
    </row>
    <row r="3019" spans="3:69">
      <c r="C3019" s="853"/>
      <c r="D3019" s="853"/>
      <c r="E3019" s="853"/>
      <c r="F3019" s="853"/>
      <c r="G3019" s="853"/>
      <c r="H3019" s="853"/>
      <c r="I3019" s="848"/>
      <c r="J3019" s="848"/>
      <c r="K3019" s="1295"/>
      <c r="L3019" s="1295"/>
      <c r="M3019" s="1295"/>
      <c r="N3019" s="1295"/>
      <c r="O3019" s="1295"/>
      <c r="P3019" s="853"/>
      <c r="Q3019" s="1295"/>
      <c r="R3019" s="848"/>
      <c r="S3019" s="848"/>
      <c r="T3019" s="848"/>
      <c r="U3019" s="848"/>
      <c r="V3019" s="1296"/>
      <c r="W3019" s="848"/>
      <c r="X3019" s="848"/>
      <c r="Y3019" s="1295"/>
      <c r="Z3019" s="1296"/>
      <c r="AA3019" s="1295"/>
      <c r="AB3019" s="1296"/>
      <c r="AC3019" s="1295"/>
      <c r="AD3019" s="1295"/>
      <c r="AE3019" s="2556"/>
      <c r="AF3019" s="750"/>
      <c r="AG3019" s="750"/>
      <c r="AH3019" s="750"/>
      <c r="AI3019" s="750"/>
      <c r="AJ3019" s="750"/>
      <c r="AK3019" s="750"/>
      <c r="AL3019" s="750"/>
      <c r="AM3019" s="750"/>
      <c r="AN3019" s="750"/>
      <c r="AO3019" s="750"/>
      <c r="AP3019" s="750"/>
      <c r="AQ3019" s="750"/>
      <c r="AR3019" s="750"/>
      <c r="AS3019" s="750"/>
      <c r="AT3019" s="750"/>
      <c r="AU3019" s="750"/>
      <c r="AV3019" s="750"/>
      <c r="AW3019" s="750"/>
      <c r="AX3019" s="750"/>
      <c r="AY3019" s="750"/>
      <c r="AZ3019" s="750"/>
      <c r="BA3019" s="750"/>
      <c r="BB3019" s="750"/>
      <c r="BC3019" s="750"/>
      <c r="BD3019" s="750"/>
      <c r="BE3019" s="750"/>
      <c r="BF3019" s="750"/>
      <c r="BG3019" s="750"/>
      <c r="BH3019" s="750"/>
      <c r="BI3019" s="750"/>
      <c r="BJ3019" s="750"/>
      <c r="BK3019" s="750"/>
      <c r="BL3019" s="750"/>
      <c r="BM3019" s="750"/>
      <c r="BN3019" s="750"/>
      <c r="BO3019" s="750"/>
      <c r="BP3019" s="750"/>
      <c r="BQ3019" s="750"/>
    </row>
    <row r="3020" spans="3:69">
      <c r="C3020" s="853"/>
      <c r="D3020" s="853"/>
      <c r="E3020" s="853"/>
      <c r="F3020" s="853"/>
      <c r="G3020" s="853"/>
      <c r="H3020" s="853"/>
      <c r="I3020" s="848"/>
      <c r="J3020" s="848"/>
      <c r="K3020" s="1295"/>
      <c r="L3020" s="1295"/>
      <c r="M3020" s="1295"/>
      <c r="N3020" s="1295"/>
      <c r="O3020" s="1295"/>
      <c r="P3020" s="853"/>
      <c r="Q3020" s="1295"/>
      <c r="R3020" s="848"/>
      <c r="S3020" s="848"/>
      <c r="T3020" s="848"/>
      <c r="U3020" s="848"/>
      <c r="V3020" s="1296"/>
      <c r="W3020" s="848"/>
      <c r="X3020" s="848"/>
      <c r="Y3020" s="1295"/>
      <c r="Z3020" s="1296"/>
      <c r="AA3020" s="1295"/>
      <c r="AB3020" s="1296"/>
      <c r="AC3020" s="1295"/>
      <c r="AD3020" s="1295"/>
      <c r="AE3020" s="2556"/>
      <c r="AF3020" s="750"/>
      <c r="AG3020" s="750"/>
      <c r="AH3020" s="750"/>
      <c r="AI3020" s="750"/>
      <c r="AJ3020" s="750"/>
      <c r="AK3020" s="750"/>
      <c r="AL3020" s="750"/>
      <c r="AM3020" s="750"/>
      <c r="AN3020" s="750"/>
      <c r="AO3020" s="750"/>
      <c r="AP3020" s="750"/>
      <c r="AQ3020" s="750"/>
      <c r="AR3020" s="750"/>
      <c r="AS3020" s="750"/>
      <c r="AT3020" s="750"/>
      <c r="AU3020" s="750"/>
      <c r="AV3020" s="750"/>
      <c r="AW3020" s="750"/>
      <c r="AX3020" s="750"/>
      <c r="AY3020" s="750"/>
      <c r="AZ3020" s="750"/>
      <c r="BA3020" s="750"/>
      <c r="BB3020" s="750"/>
      <c r="BC3020" s="750"/>
      <c r="BD3020" s="750"/>
      <c r="BE3020" s="750"/>
      <c r="BF3020" s="750"/>
      <c r="BG3020" s="750"/>
      <c r="BH3020" s="750"/>
      <c r="BI3020" s="750"/>
      <c r="BJ3020" s="750"/>
      <c r="BK3020" s="750"/>
      <c r="BL3020" s="750"/>
      <c r="BM3020" s="750"/>
      <c r="BN3020" s="750"/>
      <c r="BO3020" s="750"/>
      <c r="BP3020" s="750"/>
      <c r="BQ3020" s="750"/>
    </row>
    <row r="3021" spans="3:69">
      <c r="C3021" s="853"/>
      <c r="D3021" s="853"/>
      <c r="E3021" s="853"/>
      <c r="F3021" s="853"/>
      <c r="G3021" s="853"/>
      <c r="H3021" s="853"/>
      <c r="I3021" s="848"/>
      <c r="J3021" s="848"/>
      <c r="K3021" s="1295"/>
      <c r="L3021" s="1295"/>
      <c r="M3021" s="1295"/>
      <c r="N3021" s="1295"/>
      <c r="O3021" s="1295"/>
      <c r="P3021" s="853"/>
      <c r="Q3021" s="1295"/>
      <c r="R3021" s="848"/>
      <c r="S3021" s="848"/>
      <c r="T3021" s="848"/>
      <c r="U3021" s="848"/>
      <c r="V3021" s="1296"/>
      <c r="W3021" s="848"/>
      <c r="X3021" s="848"/>
      <c r="Y3021" s="1295"/>
      <c r="Z3021" s="1296"/>
      <c r="AA3021" s="1295"/>
      <c r="AB3021" s="1296"/>
      <c r="AC3021" s="1295"/>
      <c r="AD3021" s="1295"/>
      <c r="AE3021" s="2556"/>
      <c r="AF3021" s="750"/>
      <c r="AG3021" s="750"/>
      <c r="AH3021" s="750"/>
      <c r="AI3021" s="750"/>
      <c r="AJ3021" s="750"/>
      <c r="AK3021" s="750"/>
      <c r="AL3021" s="750"/>
      <c r="AM3021" s="750"/>
      <c r="AN3021" s="750"/>
      <c r="AO3021" s="750"/>
      <c r="AP3021" s="750"/>
      <c r="AQ3021" s="750"/>
      <c r="AR3021" s="750"/>
      <c r="AS3021" s="750"/>
      <c r="AT3021" s="750"/>
      <c r="AU3021" s="750"/>
      <c r="AV3021" s="750"/>
      <c r="AW3021" s="750"/>
      <c r="AX3021" s="750"/>
      <c r="AY3021" s="750"/>
      <c r="AZ3021" s="750"/>
      <c r="BA3021" s="750"/>
      <c r="BB3021" s="750"/>
      <c r="BC3021" s="750"/>
      <c r="BD3021" s="750"/>
      <c r="BE3021" s="750"/>
      <c r="BF3021" s="750"/>
      <c r="BG3021" s="750"/>
      <c r="BH3021" s="750"/>
      <c r="BI3021" s="750"/>
      <c r="BJ3021" s="750"/>
      <c r="BK3021" s="750"/>
      <c r="BL3021" s="750"/>
      <c r="BM3021" s="750"/>
      <c r="BN3021" s="750"/>
      <c r="BO3021" s="750"/>
      <c r="BP3021" s="750"/>
      <c r="BQ3021" s="750"/>
    </row>
    <row r="3022" spans="3:69">
      <c r="C3022" s="853"/>
      <c r="D3022" s="853"/>
      <c r="E3022" s="853"/>
      <c r="F3022" s="853"/>
      <c r="G3022" s="853"/>
      <c r="H3022" s="853"/>
      <c r="I3022" s="848"/>
      <c r="J3022" s="848"/>
      <c r="K3022" s="1295"/>
      <c r="L3022" s="1295"/>
      <c r="M3022" s="1295"/>
      <c r="N3022" s="1295"/>
      <c r="O3022" s="1295"/>
      <c r="P3022" s="853"/>
      <c r="Q3022" s="1295"/>
      <c r="R3022" s="848"/>
      <c r="S3022" s="848"/>
      <c r="T3022" s="848"/>
      <c r="U3022" s="848"/>
      <c r="V3022" s="1296"/>
      <c r="W3022" s="848"/>
      <c r="X3022" s="848"/>
      <c r="Y3022" s="1295"/>
      <c r="Z3022" s="1296"/>
      <c r="AA3022" s="1295"/>
      <c r="AB3022" s="1296"/>
      <c r="AC3022" s="1295"/>
      <c r="AD3022" s="1295"/>
      <c r="AE3022" s="2556"/>
      <c r="AF3022" s="750"/>
      <c r="AG3022" s="750"/>
      <c r="AH3022" s="750"/>
      <c r="AI3022" s="750"/>
      <c r="AJ3022" s="750"/>
      <c r="AK3022" s="750"/>
      <c r="AL3022" s="750"/>
      <c r="AM3022" s="750"/>
      <c r="AN3022" s="750"/>
      <c r="AO3022" s="750"/>
      <c r="AP3022" s="750"/>
      <c r="AQ3022" s="750"/>
      <c r="AR3022" s="750"/>
      <c r="AS3022" s="750"/>
      <c r="AT3022" s="750"/>
      <c r="AU3022" s="750"/>
      <c r="AV3022" s="750"/>
      <c r="AW3022" s="750"/>
      <c r="AX3022" s="750"/>
      <c r="AY3022" s="750"/>
      <c r="AZ3022" s="750"/>
      <c r="BA3022" s="750"/>
      <c r="BB3022" s="750"/>
      <c r="BC3022" s="750"/>
      <c r="BD3022" s="750"/>
      <c r="BE3022" s="750"/>
      <c r="BF3022" s="750"/>
      <c r="BG3022" s="750"/>
      <c r="BH3022" s="750"/>
      <c r="BI3022" s="750"/>
      <c r="BJ3022" s="750"/>
      <c r="BK3022" s="750"/>
      <c r="BL3022" s="750"/>
      <c r="BM3022" s="750"/>
      <c r="BN3022" s="750"/>
      <c r="BO3022" s="750"/>
      <c r="BP3022" s="750"/>
      <c r="BQ3022" s="750"/>
    </row>
    <row r="3023" spans="3:69">
      <c r="C3023" s="853"/>
      <c r="D3023" s="853"/>
      <c r="E3023" s="853"/>
      <c r="F3023" s="853"/>
      <c r="G3023" s="853"/>
      <c r="H3023" s="853"/>
      <c r="I3023" s="848"/>
      <c r="J3023" s="848"/>
      <c r="K3023" s="1295"/>
      <c r="L3023" s="1295"/>
      <c r="M3023" s="1295"/>
      <c r="N3023" s="1295"/>
      <c r="O3023" s="1295"/>
      <c r="P3023" s="853"/>
      <c r="Q3023" s="1295"/>
      <c r="R3023" s="848"/>
      <c r="S3023" s="848"/>
      <c r="T3023" s="848"/>
      <c r="U3023" s="848"/>
      <c r="V3023" s="1296"/>
      <c r="W3023" s="848"/>
      <c r="X3023" s="848"/>
      <c r="Y3023" s="1295"/>
      <c r="Z3023" s="1296"/>
      <c r="AA3023" s="1295"/>
      <c r="AB3023" s="1296"/>
      <c r="AC3023" s="1295"/>
      <c r="AD3023" s="1295"/>
      <c r="AE3023" s="2556"/>
      <c r="AF3023" s="750"/>
      <c r="AG3023" s="750"/>
      <c r="AH3023" s="750"/>
      <c r="AI3023" s="750"/>
      <c r="AJ3023" s="750"/>
      <c r="AK3023" s="750"/>
      <c r="AL3023" s="750"/>
      <c r="AM3023" s="750"/>
      <c r="AN3023" s="750"/>
      <c r="AO3023" s="750"/>
      <c r="AP3023" s="750"/>
      <c r="AQ3023" s="750"/>
      <c r="AR3023" s="750"/>
      <c r="AS3023" s="750"/>
      <c r="AT3023" s="750"/>
      <c r="AU3023" s="750"/>
      <c r="AV3023" s="750"/>
      <c r="AW3023" s="750"/>
      <c r="AX3023" s="750"/>
      <c r="AY3023" s="750"/>
      <c r="AZ3023" s="750"/>
      <c r="BA3023" s="750"/>
      <c r="BB3023" s="750"/>
      <c r="BC3023" s="750"/>
      <c r="BD3023" s="750"/>
      <c r="BE3023" s="750"/>
      <c r="BF3023" s="750"/>
      <c r="BG3023" s="750"/>
      <c r="BH3023" s="750"/>
      <c r="BI3023" s="750"/>
      <c r="BJ3023" s="750"/>
      <c r="BK3023" s="750"/>
      <c r="BL3023" s="750"/>
      <c r="BM3023" s="750"/>
      <c r="BN3023" s="750"/>
      <c r="BO3023" s="750"/>
      <c r="BP3023" s="750"/>
      <c r="BQ3023" s="750"/>
    </row>
    <row r="3024" spans="3:69">
      <c r="C3024" s="853"/>
      <c r="D3024" s="853"/>
      <c r="E3024" s="853"/>
      <c r="F3024" s="853"/>
      <c r="G3024" s="853"/>
      <c r="H3024" s="853"/>
      <c r="I3024" s="848"/>
      <c r="J3024" s="848"/>
      <c r="K3024" s="1295"/>
      <c r="L3024" s="1295"/>
      <c r="M3024" s="1295"/>
      <c r="N3024" s="1295"/>
      <c r="O3024" s="1295"/>
      <c r="P3024" s="853"/>
      <c r="Q3024" s="1295"/>
      <c r="R3024" s="848"/>
      <c r="S3024" s="848"/>
      <c r="T3024" s="848"/>
      <c r="U3024" s="848"/>
      <c r="V3024" s="1296"/>
      <c r="W3024" s="848"/>
      <c r="X3024" s="848"/>
      <c r="Y3024" s="1295"/>
      <c r="Z3024" s="1296"/>
      <c r="AA3024" s="1295"/>
      <c r="AB3024" s="1296"/>
      <c r="AC3024" s="1295"/>
      <c r="AD3024" s="1295"/>
      <c r="AE3024" s="2556"/>
      <c r="AF3024" s="750"/>
      <c r="AG3024" s="750"/>
      <c r="AH3024" s="750"/>
      <c r="AI3024" s="750"/>
      <c r="AJ3024" s="750"/>
      <c r="AK3024" s="750"/>
      <c r="AL3024" s="750"/>
      <c r="AM3024" s="750"/>
      <c r="AN3024" s="750"/>
      <c r="AO3024" s="750"/>
      <c r="AP3024" s="750"/>
      <c r="AQ3024" s="750"/>
      <c r="AR3024" s="750"/>
      <c r="AS3024" s="750"/>
      <c r="AT3024" s="750"/>
      <c r="AU3024" s="750"/>
      <c r="AV3024" s="750"/>
      <c r="AW3024" s="750"/>
      <c r="AX3024" s="750"/>
      <c r="AY3024" s="750"/>
      <c r="AZ3024" s="750"/>
      <c r="BA3024" s="750"/>
      <c r="BB3024" s="750"/>
      <c r="BC3024" s="750"/>
      <c r="BD3024" s="750"/>
      <c r="BE3024" s="750"/>
      <c r="BF3024" s="750"/>
      <c r="BG3024" s="750"/>
      <c r="BH3024" s="750"/>
      <c r="BI3024" s="750"/>
      <c r="BJ3024" s="750"/>
      <c r="BK3024" s="750"/>
      <c r="BL3024" s="750"/>
      <c r="BM3024" s="750"/>
      <c r="BN3024" s="750"/>
      <c r="BO3024" s="750"/>
      <c r="BP3024" s="750"/>
      <c r="BQ3024" s="750"/>
    </row>
    <row r="3025" spans="3:69">
      <c r="C3025" s="853"/>
      <c r="D3025" s="853"/>
      <c r="E3025" s="853"/>
      <c r="F3025" s="853"/>
      <c r="G3025" s="853"/>
      <c r="H3025" s="853"/>
      <c r="I3025" s="848"/>
      <c r="J3025" s="848"/>
      <c r="K3025" s="1295"/>
      <c r="L3025" s="1295"/>
      <c r="M3025" s="1295"/>
      <c r="N3025" s="1295"/>
      <c r="O3025" s="1295"/>
      <c r="P3025" s="853"/>
      <c r="Q3025" s="1295"/>
      <c r="R3025" s="848"/>
      <c r="S3025" s="848"/>
      <c r="T3025" s="848"/>
      <c r="U3025" s="848"/>
      <c r="V3025" s="1296"/>
      <c r="W3025" s="848"/>
      <c r="X3025" s="848"/>
      <c r="Y3025" s="1295"/>
      <c r="Z3025" s="1296"/>
      <c r="AA3025" s="1295"/>
      <c r="AB3025" s="1296"/>
      <c r="AC3025" s="1295"/>
      <c r="AD3025" s="1295"/>
      <c r="AE3025" s="2556"/>
      <c r="AF3025" s="750"/>
      <c r="AG3025" s="750"/>
      <c r="AH3025" s="750"/>
      <c r="AI3025" s="750"/>
      <c r="AJ3025" s="750"/>
      <c r="AK3025" s="750"/>
      <c r="AL3025" s="750"/>
      <c r="AM3025" s="750"/>
      <c r="AN3025" s="750"/>
      <c r="AO3025" s="750"/>
      <c r="AP3025" s="750"/>
      <c r="AQ3025" s="750"/>
      <c r="AR3025" s="750"/>
      <c r="AS3025" s="750"/>
      <c r="AT3025" s="750"/>
      <c r="AU3025" s="750"/>
      <c r="AV3025" s="750"/>
      <c r="AW3025" s="750"/>
      <c r="AX3025" s="750"/>
      <c r="AY3025" s="750"/>
      <c r="AZ3025" s="750"/>
      <c r="BA3025" s="750"/>
      <c r="BB3025" s="750"/>
      <c r="BC3025" s="750"/>
      <c r="BD3025" s="750"/>
      <c r="BE3025" s="750"/>
      <c r="BF3025" s="750"/>
      <c r="BG3025" s="750"/>
      <c r="BH3025" s="750"/>
      <c r="BI3025" s="750"/>
      <c r="BJ3025" s="750"/>
      <c r="BK3025" s="750"/>
      <c r="BL3025" s="750"/>
      <c r="BM3025" s="750"/>
      <c r="BN3025" s="750"/>
      <c r="BO3025" s="750"/>
      <c r="BP3025" s="750"/>
      <c r="BQ3025" s="750"/>
    </row>
    <row r="3026" spans="3:69">
      <c r="C3026" s="853"/>
      <c r="D3026" s="853"/>
      <c r="E3026" s="853"/>
      <c r="F3026" s="853"/>
      <c r="G3026" s="853"/>
      <c r="H3026" s="853"/>
      <c r="I3026" s="848"/>
      <c r="J3026" s="848"/>
      <c r="K3026" s="1295"/>
      <c r="L3026" s="1295"/>
      <c r="M3026" s="1295"/>
      <c r="N3026" s="1295"/>
      <c r="O3026" s="1295"/>
      <c r="P3026" s="853"/>
      <c r="Q3026" s="1295"/>
      <c r="R3026" s="848"/>
      <c r="S3026" s="848"/>
      <c r="T3026" s="848"/>
      <c r="U3026" s="848"/>
      <c r="V3026" s="1296"/>
      <c r="W3026" s="848"/>
      <c r="X3026" s="848"/>
      <c r="Y3026" s="1295"/>
      <c r="Z3026" s="1296"/>
      <c r="AA3026" s="1295"/>
      <c r="AB3026" s="1296"/>
      <c r="AC3026" s="1295"/>
      <c r="AD3026" s="1295"/>
      <c r="AE3026" s="2556"/>
      <c r="AF3026" s="750"/>
      <c r="AG3026" s="750"/>
      <c r="AH3026" s="750"/>
      <c r="AI3026" s="750"/>
      <c r="AJ3026" s="750"/>
      <c r="AK3026" s="750"/>
      <c r="AL3026" s="750"/>
      <c r="AM3026" s="750"/>
      <c r="AN3026" s="750"/>
      <c r="AO3026" s="750"/>
      <c r="AP3026" s="750"/>
      <c r="AQ3026" s="750"/>
      <c r="AR3026" s="750"/>
      <c r="AS3026" s="750"/>
      <c r="AT3026" s="750"/>
      <c r="AU3026" s="750"/>
      <c r="AV3026" s="750"/>
      <c r="AW3026" s="750"/>
      <c r="AX3026" s="750"/>
      <c r="AY3026" s="750"/>
      <c r="AZ3026" s="750"/>
      <c r="BA3026" s="750"/>
      <c r="BB3026" s="750"/>
      <c r="BC3026" s="750"/>
      <c r="BD3026" s="750"/>
      <c r="BE3026" s="750"/>
      <c r="BF3026" s="750"/>
      <c r="BG3026" s="750"/>
      <c r="BH3026" s="750"/>
      <c r="BI3026" s="750"/>
      <c r="BJ3026" s="750"/>
      <c r="BK3026" s="750"/>
      <c r="BL3026" s="750"/>
      <c r="BM3026" s="750"/>
      <c r="BN3026" s="750"/>
      <c r="BO3026" s="750"/>
      <c r="BP3026" s="750"/>
      <c r="BQ3026" s="750"/>
    </row>
    <row r="3027" spans="3:69">
      <c r="C3027" s="853"/>
      <c r="D3027" s="853"/>
      <c r="E3027" s="853"/>
      <c r="F3027" s="853"/>
      <c r="G3027" s="853"/>
      <c r="H3027" s="853"/>
      <c r="I3027" s="848"/>
      <c r="J3027" s="848"/>
      <c r="K3027" s="1295"/>
      <c r="L3027" s="1295"/>
      <c r="M3027" s="1295"/>
      <c r="N3027" s="1295"/>
      <c r="O3027" s="1295"/>
      <c r="P3027" s="853"/>
      <c r="Q3027" s="1295"/>
      <c r="R3027" s="848"/>
      <c r="S3027" s="848"/>
      <c r="T3027" s="848"/>
      <c r="U3027" s="848"/>
      <c r="V3027" s="1296"/>
      <c r="W3027" s="848"/>
      <c r="X3027" s="848"/>
      <c r="Y3027" s="1295"/>
      <c r="Z3027" s="1296"/>
      <c r="AA3027" s="1295"/>
      <c r="AB3027" s="1296"/>
      <c r="AC3027" s="1295"/>
      <c r="AD3027" s="1295"/>
      <c r="AE3027" s="2556"/>
      <c r="AF3027" s="750"/>
      <c r="AG3027" s="750"/>
      <c r="AH3027" s="750"/>
      <c r="AI3027" s="750"/>
      <c r="AJ3027" s="750"/>
      <c r="AK3027" s="750"/>
      <c r="AL3027" s="750"/>
      <c r="AM3027" s="750"/>
      <c r="AN3027" s="750"/>
      <c r="AO3027" s="750"/>
      <c r="AP3027" s="750"/>
      <c r="AQ3027" s="750"/>
      <c r="AR3027" s="750"/>
      <c r="AS3027" s="750"/>
      <c r="AT3027" s="750"/>
      <c r="AU3027" s="750"/>
      <c r="AV3027" s="750"/>
      <c r="AW3027" s="750"/>
      <c r="AX3027" s="750"/>
      <c r="AY3027" s="750"/>
      <c r="AZ3027" s="750"/>
      <c r="BA3027" s="750"/>
      <c r="BB3027" s="750"/>
      <c r="BC3027" s="750"/>
      <c r="BD3027" s="750"/>
      <c r="BE3027" s="750"/>
      <c r="BF3027" s="750"/>
      <c r="BG3027" s="750"/>
      <c r="BH3027" s="750"/>
      <c r="BI3027" s="750"/>
      <c r="BJ3027" s="750"/>
      <c r="BK3027" s="750"/>
      <c r="BL3027" s="750"/>
      <c r="BM3027" s="750"/>
      <c r="BN3027" s="750"/>
      <c r="BO3027" s="750"/>
      <c r="BP3027" s="750"/>
      <c r="BQ3027" s="750"/>
    </row>
    <row r="3028" spans="3:69">
      <c r="C3028" s="853"/>
      <c r="D3028" s="853"/>
      <c r="E3028" s="853"/>
      <c r="F3028" s="853"/>
      <c r="G3028" s="853"/>
      <c r="H3028" s="853"/>
      <c r="I3028" s="848"/>
      <c r="J3028" s="848"/>
      <c r="K3028" s="1295"/>
      <c r="L3028" s="1295"/>
      <c r="M3028" s="1295"/>
      <c r="N3028" s="1295"/>
      <c r="O3028" s="1295"/>
      <c r="P3028" s="853"/>
      <c r="Q3028" s="1295"/>
      <c r="R3028" s="848"/>
      <c r="S3028" s="848"/>
      <c r="T3028" s="848"/>
      <c r="U3028" s="848"/>
      <c r="V3028" s="1296"/>
      <c r="W3028" s="848"/>
      <c r="X3028" s="848"/>
      <c r="Y3028" s="1295"/>
      <c r="Z3028" s="1296"/>
      <c r="AA3028" s="1295"/>
      <c r="AB3028" s="1296"/>
      <c r="AC3028" s="1295"/>
      <c r="AD3028" s="1295"/>
      <c r="AE3028" s="2556"/>
      <c r="AF3028" s="750"/>
      <c r="AG3028" s="750"/>
      <c r="AH3028" s="750"/>
      <c r="AI3028" s="750"/>
      <c r="AJ3028" s="750"/>
      <c r="AK3028" s="750"/>
      <c r="AL3028" s="750"/>
      <c r="AM3028" s="750"/>
      <c r="AN3028" s="750"/>
      <c r="AO3028" s="750"/>
      <c r="AP3028" s="750"/>
      <c r="AQ3028" s="750"/>
      <c r="AR3028" s="750"/>
      <c r="AS3028" s="750"/>
      <c r="AT3028" s="750"/>
      <c r="AU3028" s="750"/>
      <c r="AV3028" s="750"/>
      <c r="AW3028" s="750"/>
      <c r="AX3028" s="750"/>
      <c r="AY3028" s="750"/>
      <c r="AZ3028" s="750"/>
      <c r="BA3028" s="750"/>
      <c r="BB3028" s="750"/>
      <c r="BC3028" s="750"/>
      <c r="BD3028" s="750"/>
      <c r="BE3028" s="750"/>
      <c r="BF3028" s="750"/>
      <c r="BG3028" s="750"/>
      <c r="BH3028" s="750"/>
      <c r="BI3028" s="750"/>
      <c r="BJ3028" s="750"/>
      <c r="BK3028" s="750"/>
      <c r="BL3028" s="750"/>
      <c r="BM3028" s="750"/>
      <c r="BN3028" s="750"/>
      <c r="BO3028" s="750"/>
      <c r="BP3028" s="750"/>
      <c r="BQ3028" s="750"/>
    </row>
    <row r="3029" spans="3:69">
      <c r="C3029" s="853"/>
      <c r="D3029" s="853"/>
      <c r="E3029" s="853"/>
      <c r="F3029" s="853"/>
      <c r="G3029" s="853"/>
      <c r="H3029" s="853"/>
      <c r="I3029" s="848"/>
      <c r="J3029" s="848"/>
      <c r="K3029" s="1295"/>
      <c r="L3029" s="1295"/>
      <c r="M3029" s="1295"/>
      <c r="N3029" s="1295"/>
      <c r="O3029" s="1295"/>
      <c r="P3029" s="853"/>
      <c r="Q3029" s="1295"/>
      <c r="R3029" s="848"/>
      <c r="S3029" s="848"/>
      <c r="T3029" s="848"/>
      <c r="U3029" s="848"/>
      <c r="V3029" s="1296"/>
      <c r="W3029" s="848"/>
      <c r="X3029" s="848"/>
      <c r="Y3029" s="1295"/>
      <c r="Z3029" s="1296"/>
      <c r="AA3029" s="1295"/>
      <c r="AB3029" s="1296"/>
      <c r="AC3029" s="1295"/>
      <c r="AD3029" s="1295"/>
      <c r="AE3029" s="2556"/>
      <c r="AF3029" s="750"/>
      <c r="AG3029" s="750"/>
      <c r="AH3029" s="750"/>
      <c r="AI3029" s="750"/>
      <c r="AJ3029" s="750"/>
      <c r="AK3029" s="750"/>
      <c r="AL3029" s="750"/>
      <c r="AM3029" s="750"/>
      <c r="AN3029" s="750"/>
      <c r="AO3029" s="750"/>
      <c r="AP3029" s="750"/>
      <c r="AQ3029" s="750"/>
      <c r="AR3029" s="750"/>
      <c r="AS3029" s="750"/>
      <c r="AT3029" s="750"/>
      <c r="AU3029" s="750"/>
      <c r="AV3029" s="750"/>
      <c r="AW3029" s="750"/>
      <c r="AX3029" s="750"/>
      <c r="AY3029" s="750"/>
      <c r="AZ3029" s="750"/>
      <c r="BA3029" s="750"/>
      <c r="BB3029" s="750"/>
      <c r="BC3029" s="750"/>
      <c r="BD3029" s="750"/>
      <c r="BE3029" s="750"/>
      <c r="BF3029" s="750"/>
      <c r="BG3029" s="750"/>
      <c r="BH3029" s="750"/>
      <c r="BI3029" s="750"/>
      <c r="BJ3029" s="750"/>
      <c r="BK3029" s="750"/>
      <c r="BL3029" s="750"/>
      <c r="BM3029" s="750"/>
      <c r="BN3029" s="750"/>
      <c r="BO3029" s="750"/>
      <c r="BP3029" s="750"/>
      <c r="BQ3029" s="750"/>
    </row>
    <row r="3030" spans="3:69">
      <c r="C3030" s="853"/>
      <c r="D3030" s="853"/>
      <c r="E3030" s="853"/>
      <c r="F3030" s="853"/>
      <c r="G3030" s="853"/>
      <c r="H3030" s="853"/>
      <c r="I3030" s="848"/>
      <c r="J3030" s="848"/>
      <c r="K3030" s="1295"/>
      <c r="L3030" s="1295"/>
      <c r="M3030" s="1295"/>
      <c r="N3030" s="1295"/>
      <c r="O3030" s="1295"/>
      <c r="P3030" s="853"/>
      <c r="Q3030" s="1295"/>
      <c r="R3030" s="848"/>
      <c r="S3030" s="848"/>
      <c r="T3030" s="848"/>
      <c r="U3030" s="848"/>
      <c r="V3030" s="1296"/>
      <c r="W3030" s="848"/>
      <c r="X3030" s="848"/>
      <c r="Y3030" s="1295"/>
      <c r="Z3030" s="1296"/>
      <c r="AA3030" s="1295"/>
      <c r="AB3030" s="1296"/>
      <c r="AC3030" s="1295"/>
      <c r="AD3030" s="1295"/>
      <c r="AE3030" s="2556"/>
      <c r="AF3030" s="750"/>
      <c r="AG3030" s="750"/>
      <c r="AH3030" s="750"/>
      <c r="AI3030" s="750"/>
      <c r="AJ3030" s="750"/>
      <c r="AK3030" s="750"/>
      <c r="AL3030" s="750"/>
      <c r="AM3030" s="750"/>
      <c r="AN3030" s="750"/>
      <c r="AO3030" s="750"/>
      <c r="AP3030" s="750"/>
      <c r="AQ3030" s="750"/>
      <c r="AR3030" s="750"/>
      <c r="AS3030" s="750"/>
      <c r="AT3030" s="750"/>
      <c r="AU3030" s="750"/>
      <c r="AV3030" s="750"/>
      <c r="AW3030" s="750"/>
      <c r="AX3030" s="750"/>
      <c r="AY3030" s="750"/>
      <c r="AZ3030" s="750"/>
      <c r="BA3030" s="750"/>
      <c r="BB3030" s="750"/>
      <c r="BC3030" s="750"/>
      <c r="BD3030" s="750"/>
      <c r="BE3030" s="750"/>
      <c r="BF3030" s="750"/>
      <c r="BG3030" s="750"/>
      <c r="BH3030" s="750"/>
      <c r="BI3030" s="750"/>
      <c r="BJ3030" s="750"/>
      <c r="BK3030" s="750"/>
      <c r="BL3030" s="750"/>
      <c r="BM3030" s="750"/>
      <c r="BN3030" s="750"/>
      <c r="BO3030" s="750"/>
      <c r="BP3030" s="750"/>
      <c r="BQ3030" s="750"/>
    </row>
    <row r="3031" spans="3:69">
      <c r="C3031" s="853"/>
      <c r="D3031" s="853"/>
      <c r="E3031" s="853"/>
      <c r="F3031" s="853"/>
      <c r="G3031" s="853"/>
      <c r="H3031" s="853"/>
      <c r="I3031" s="848"/>
      <c r="J3031" s="848"/>
      <c r="K3031" s="1295"/>
      <c r="L3031" s="1295"/>
      <c r="M3031" s="1295"/>
      <c r="N3031" s="1295"/>
      <c r="O3031" s="1295"/>
      <c r="P3031" s="853"/>
      <c r="Q3031" s="1295"/>
      <c r="R3031" s="848"/>
      <c r="S3031" s="848"/>
      <c r="T3031" s="848"/>
      <c r="U3031" s="848"/>
      <c r="V3031" s="1296"/>
      <c r="W3031" s="848"/>
      <c r="X3031" s="848"/>
      <c r="Y3031" s="1295"/>
      <c r="Z3031" s="1296"/>
      <c r="AA3031" s="1295"/>
      <c r="AB3031" s="1296"/>
      <c r="AC3031" s="1295"/>
      <c r="AD3031" s="1295"/>
      <c r="AE3031" s="2556"/>
      <c r="AF3031" s="750"/>
      <c r="AG3031" s="750"/>
      <c r="AH3031" s="750"/>
      <c r="AI3031" s="750"/>
      <c r="AJ3031" s="750"/>
      <c r="AK3031" s="750"/>
      <c r="AL3031" s="750"/>
      <c r="AM3031" s="750"/>
      <c r="AN3031" s="750"/>
      <c r="AO3031" s="750"/>
      <c r="AP3031" s="750"/>
      <c r="AQ3031" s="750"/>
      <c r="AR3031" s="750"/>
      <c r="AS3031" s="750"/>
      <c r="AT3031" s="750"/>
      <c r="AU3031" s="750"/>
      <c r="AV3031" s="750"/>
      <c r="AW3031" s="750"/>
      <c r="AX3031" s="750"/>
      <c r="AY3031" s="750"/>
      <c r="AZ3031" s="750"/>
      <c r="BA3031" s="750"/>
      <c r="BB3031" s="750"/>
      <c r="BC3031" s="750"/>
      <c r="BD3031" s="750"/>
      <c r="BE3031" s="750"/>
      <c r="BF3031" s="750"/>
      <c r="BG3031" s="750"/>
      <c r="BH3031" s="750"/>
      <c r="BI3031" s="750"/>
      <c r="BJ3031" s="750"/>
      <c r="BK3031" s="750"/>
      <c r="BL3031" s="750"/>
      <c r="BM3031" s="750"/>
      <c r="BN3031" s="750"/>
      <c r="BO3031" s="750"/>
      <c r="BP3031" s="750"/>
      <c r="BQ3031" s="750"/>
    </row>
    <row r="3032" spans="3:69">
      <c r="C3032" s="853"/>
      <c r="D3032" s="853"/>
      <c r="E3032" s="853"/>
      <c r="F3032" s="853"/>
      <c r="G3032" s="853"/>
      <c r="H3032" s="853"/>
      <c r="I3032" s="848"/>
      <c r="J3032" s="848"/>
      <c r="K3032" s="1295"/>
      <c r="L3032" s="1295"/>
      <c r="M3032" s="1295"/>
      <c r="N3032" s="1295"/>
      <c r="O3032" s="1295"/>
      <c r="P3032" s="853"/>
      <c r="Q3032" s="1295"/>
      <c r="R3032" s="848"/>
      <c r="S3032" s="848"/>
      <c r="T3032" s="848"/>
      <c r="U3032" s="848"/>
      <c r="V3032" s="1296"/>
      <c r="W3032" s="848"/>
      <c r="X3032" s="848"/>
      <c r="Y3032" s="1295"/>
      <c r="Z3032" s="1296"/>
      <c r="AA3032" s="1295"/>
      <c r="AB3032" s="1296"/>
      <c r="AC3032" s="1295"/>
      <c r="AD3032" s="1295"/>
      <c r="AE3032" s="2556"/>
      <c r="AF3032" s="750"/>
      <c r="AG3032" s="750"/>
      <c r="AH3032" s="750"/>
      <c r="AI3032" s="750"/>
      <c r="AJ3032" s="750"/>
      <c r="AK3032" s="750"/>
      <c r="AL3032" s="750"/>
      <c r="AM3032" s="750"/>
      <c r="AN3032" s="750"/>
      <c r="AO3032" s="750"/>
      <c r="AP3032" s="750"/>
      <c r="AQ3032" s="750"/>
      <c r="AR3032" s="750"/>
      <c r="AS3032" s="750"/>
      <c r="AT3032" s="750"/>
      <c r="AU3032" s="750"/>
      <c r="AV3032" s="750"/>
      <c r="AW3032" s="750"/>
      <c r="AX3032" s="750"/>
      <c r="AY3032" s="750"/>
      <c r="AZ3032" s="750"/>
      <c r="BA3032" s="750"/>
      <c r="BB3032" s="750"/>
      <c r="BC3032" s="750"/>
      <c r="BD3032" s="750"/>
      <c r="BE3032" s="750"/>
      <c r="BF3032" s="750"/>
      <c r="BG3032" s="750"/>
      <c r="BH3032" s="750"/>
      <c r="BI3032" s="750"/>
      <c r="BJ3032" s="750"/>
      <c r="BK3032" s="750"/>
      <c r="BL3032" s="750"/>
      <c r="BM3032" s="750"/>
      <c r="BN3032" s="750"/>
      <c r="BO3032" s="750"/>
      <c r="BP3032" s="750"/>
      <c r="BQ3032" s="750"/>
    </row>
    <row r="3033" spans="3:69">
      <c r="C3033" s="853"/>
      <c r="D3033" s="853"/>
      <c r="E3033" s="853"/>
      <c r="F3033" s="853"/>
      <c r="G3033" s="853"/>
      <c r="H3033" s="853"/>
      <c r="I3033" s="848"/>
      <c r="J3033" s="848"/>
      <c r="K3033" s="1295"/>
      <c r="L3033" s="1295"/>
      <c r="M3033" s="1295"/>
      <c r="N3033" s="1295"/>
      <c r="O3033" s="1295"/>
      <c r="P3033" s="853"/>
      <c r="Q3033" s="1295"/>
      <c r="R3033" s="848"/>
      <c r="S3033" s="848"/>
      <c r="T3033" s="848"/>
      <c r="U3033" s="848"/>
      <c r="V3033" s="1296"/>
      <c r="W3033" s="848"/>
      <c r="X3033" s="848"/>
      <c r="Y3033" s="1295"/>
      <c r="Z3033" s="1296"/>
      <c r="AA3033" s="1295"/>
      <c r="AB3033" s="1296"/>
      <c r="AC3033" s="1295"/>
      <c r="AD3033" s="1295"/>
      <c r="AE3033" s="2556"/>
      <c r="AF3033" s="750"/>
      <c r="AG3033" s="750"/>
      <c r="AH3033" s="750"/>
      <c r="AI3033" s="750"/>
      <c r="AJ3033" s="750"/>
      <c r="AK3033" s="750"/>
      <c r="AL3033" s="750"/>
      <c r="AM3033" s="750"/>
      <c r="AN3033" s="750"/>
      <c r="AO3033" s="750"/>
      <c r="AP3033" s="750"/>
      <c r="AQ3033" s="750"/>
      <c r="AR3033" s="750"/>
      <c r="AS3033" s="750"/>
      <c r="AT3033" s="750"/>
      <c r="AU3033" s="750"/>
      <c r="AV3033" s="750"/>
      <c r="AW3033" s="750"/>
      <c r="AX3033" s="750"/>
      <c r="AY3033" s="750"/>
      <c r="AZ3033" s="750"/>
      <c r="BA3033" s="750"/>
      <c r="BB3033" s="750"/>
      <c r="BC3033" s="750"/>
      <c r="BD3033" s="750"/>
      <c r="BE3033" s="750"/>
      <c r="BF3033" s="750"/>
      <c r="BG3033" s="750"/>
      <c r="BH3033" s="750"/>
      <c r="BI3033" s="750"/>
      <c r="BJ3033" s="750"/>
      <c r="BK3033" s="750"/>
      <c r="BL3033" s="750"/>
      <c r="BM3033" s="750"/>
      <c r="BN3033" s="750"/>
      <c r="BO3033" s="750"/>
      <c r="BP3033" s="750"/>
      <c r="BQ3033" s="750"/>
    </row>
    <row r="3034" spans="3:69">
      <c r="C3034" s="853"/>
      <c r="D3034" s="853"/>
      <c r="E3034" s="853"/>
      <c r="F3034" s="853"/>
      <c r="G3034" s="853"/>
      <c r="H3034" s="853"/>
      <c r="I3034" s="848"/>
      <c r="J3034" s="848"/>
      <c r="K3034" s="1295"/>
      <c r="L3034" s="1295"/>
      <c r="M3034" s="1295"/>
      <c r="N3034" s="1295"/>
      <c r="O3034" s="1295"/>
      <c r="P3034" s="853"/>
      <c r="Q3034" s="1295"/>
      <c r="R3034" s="848"/>
      <c r="S3034" s="848"/>
      <c r="T3034" s="848"/>
      <c r="U3034" s="848"/>
      <c r="V3034" s="1296"/>
      <c r="W3034" s="848"/>
      <c r="X3034" s="848"/>
      <c r="Y3034" s="1295"/>
      <c r="Z3034" s="1296"/>
      <c r="AA3034" s="1295"/>
      <c r="AB3034" s="1296"/>
      <c r="AC3034" s="1295"/>
      <c r="AD3034" s="1295"/>
      <c r="AE3034" s="2556"/>
      <c r="AF3034" s="750"/>
      <c r="AG3034" s="750"/>
      <c r="AH3034" s="750"/>
      <c r="AI3034" s="750"/>
      <c r="AJ3034" s="750"/>
      <c r="AK3034" s="750"/>
      <c r="AL3034" s="750"/>
      <c r="AM3034" s="750"/>
      <c r="AN3034" s="750"/>
      <c r="AO3034" s="750"/>
      <c r="AP3034" s="750"/>
      <c r="AQ3034" s="750"/>
      <c r="AR3034" s="750"/>
      <c r="AS3034" s="750"/>
      <c r="AT3034" s="750"/>
      <c r="AU3034" s="750"/>
      <c r="AV3034" s="750"/>
      <c r="AW3034" s="750"/>
      <c r="AX3034" s="750"/>
      <c r="AY3034" s="750"/>
      <c r="AZ3034" s="750"/>
      <c r="BA3034" s="750"/>
      <c r="BB3034" s="750"/>
      <c r="BC3034" s="750"/>
      <c r="BD3034" s="750"/>
      <c r="BE3034" s="750"/>
      <c r="BF3034" s="750"/>
      <c r="BG3034" s="750"/>
      <c r="BH3034" s="750"/>
      <c r="BI3034" s="750"/>
      <c r="BJ3034" s="750"/>
      <c r="BK3034" s="750"/>
      <c r="BL3034" s="750"/>
      <c r="BM3034" s="750"/>
      <c r="BN3034" s="750"/>
      <c r="BO3034" s="750"/>
      <c r="BP3034" s="750"/>
      <c r="BQ3034" s="750"/>
    </row>
    <row r="3035" spans="3:69">
      <c r="C3035" s="853"/>
      <c r="D3035" s="853"/>
      <c r="E3035" s="853"/>
      <c r="F3035" s="853"/>
      <c r="G3035" s="853"/>
      <c r="H3035" s="853"/>
      <c r="I3035" s="848"/>
      <c r="J3035" s="848"/>
      <c r="K3035" s="1295"/>
      <c r="L3035" s="1295"/>
      <c r="M3035" s="1295"/>
      <c r="N3035" s="1295"/>
      <c r="O3035" s="1295"/>
      <c r="P3035" s="853"/>
      <c r="Q3035" s="1295"/>
      <c r="R3035" s="848"/>
      <c r="S3035" s="848"/>
      <c r="T3035" s="848"/>
      <c r="U3035" s="848"/>
      <c r="V3035" s="1296"/>
      <c r="W3035" s="848"/>
      <c r="X3035" s="848"/>
      <c r="Y3035" s="1295"/>
      <c r="Z3035" s="1296"/>
      <c r="AA3035" s="1295"/>
      <c r="AB3035" s="1296"/>
      <c r="AC3035" s="1295"/>
      <c r="AD3035" s="1295"/>
      <c r="AE3035" s="2556"/>
      <c r="AF3035" s="750"/>
      <c r="AG3035" s="750"/>
      <c r="AH3035" s="750"/>
      <c r="AI3035" s="750"/>
      <c r="AJ3035" s="750"/>
      <c r="AK3035" s="750"/>
      <c r="AL3035" s="750"/>
      <c r="AM3035" s="750"/>
      <c r="AN3035" s="750"/>
      <c r="AO3035" s="750"/>
      <c r="AP3035" s="750"/>
      <c r="AQ3035" s="750"/>
      <c r="AR3035" s="750"/>
      <c r="AS3035" s="750"/>
      <c r="AT3035" s="750"/>
      <c r="AU3035" s="750"/>
      <c r="AV3035" s="750"/>
      <c r="AW3035" s="750"/>
      <c r="AX3035" s="750"/>
      <c r="AY3035" s="750"/>
      <c r="AZ3035" s="750"/>
      <c r="BA3035" s="750"/>
      <c r="BB3035" s="750"/>
      <c r="BC3035" s="750"/>
      <c r="BD3035" s="750"/>
      <c r="BE3035" s="750"/>
      <c r="BF3035" s="750"/>
      <c r="BG3035" s="750"/>
      <c r="BH3035" s="750"/>
      <c r="BI3035" s="750"/>
      <c r="BJ3035" s="750"/>
      <c r="BK3035" s="750"/>
      <c r="BL3035" s="750"/>
      <c r="BM3035" s="750"/>
      <c r="BN3035" s="750"/>
      <c r="BO3035" s="750"/>
      <c r="BP3035" s="750"/>
      <c r="BQ3035" s="750"/>
    </row>
    <row r="3036" spans="3:69">
      <c r="C3036" s="853"/>
      <c r="D3036" s="853"/>
      <c r="E3036" s="853"/>
      <c r="F3036" s="853"/>
      <c r="G3036" s="853"/>
      <c r="H3036" s="853"/>
      <c r="I3036" s="848"/>
      <c r="J3036" s="848"/>
      <c r="K3036" s="1295"/>
      <c r="L3036" s="1295"/>
      <c r="M3036" s="1295"/>
      <c r="N3036" s="1295"/>
      <c r="O3036" s="1295"/>
      <c r="P3036" s="853"/>
      <c r="Q3036" s="1295"/>
      <c r="R3036" s="848"/>
      <c r="S3036" s="848"/>
      <c r="T3036" s="848"/>
      <c r="U3036" s="848"/>
      <c r="V3036" s="1296"/>
      <c r="W3036" s="848"/>
      <c r="X3036" s="848"/>
      <c r="Y3036" s="1295"/>
      <c r="Z3036" s="1296"/>
      <c r="AA3036" s="1295"/>
      <c r="AB3036" s="1296"/>
      <c r="AC3036" s="1295"/>
      <c r="AD3036" s="1295"/>
      <c r="AE3036" s="2556"/>
      <c r="AF3036" s="750"/>
      <c r="AG3036" s="750"/>
      <c r="AH3036" s="750"/>
      <c r="AI3036" s="750"/>
      <c r="AJ3036" s="750"/>
      <c r="AK3036" s="750"/>
      <c r="AL3036" s="750"/>
      <c r="AM3036" s="750"/>
      <c r="AN3036" s="750"/>
      <c r="AO3036" s="750"/>
      <c r="AP3036" s="750"/>
      <c r="AQ3036" s="750"/>
      <c r="AR3036" s="750"/>
      <c r="AS3036" s="750"/>
      <c r="AT3036" s="750"/>
      <c r="AU3036" s="750"/>
      <c r="AV3036" s="750"/>
      <c r="AW3036" s="750"/>
      <c r="AX3036" s="750"/>
      <c r="AY3036" s="750"/>
      <c r="AZ3036" s="750"/>
      <c r="BA3036" s="750"/>
      <c r="BB3036" s="750"/>
      <c r="BC3036" s="750"/>
      <c r="BD3036" s="750"/>
      <c r="BE3036" s="750"/>
      <c r="BF3036" s="750"/>
      <c r="BG3036" s="750"/>
      <c r="BH3036" s="750"/>
      <c r="BI3036" s="750"/>
      <c r="BJ3036" s="750"/>
      <c r="BK3036" s="750"/>
      <c r="BL3036" s="750"/>
      <c r="BM3036" s="750"/>
      <c r="BN3036" s="750"/>
      <c r="BO3036" s="750"/>
      <c r="BP3036" s="750"/>
      <c r="BQ3036" s="750"/>
    </row>
    <row r="3037" spans="3:69">
      <c r="C3037" s="853"/>
      <c r="D3037" s="853"/>
      <c r="E3037" s="853"/>
      <c r="F3037" s="853"/>
      <c r="G3037" s="853"/>
      <c r="H3037" s="853"/>
      <c r="I3037" s="848"/>
      <c r="J3037" s="848"/>
      <c r="K3037" s="1295"/>
      <c r="L3037" s="1295"/>
      <c r="M3037" s="1295"/>
      <c r="N3037" s="1295"/>
      <c r="O3037" s="1295"/>
      <c r="P3037" s="853"/>
      <c r="Q3037" s="1295"/>
      <c r="R3037" s="848"/>
      <c r="S3037" s="848"/>
      <c r="T3037" s="848"/>
      <c r="U3037" s="848"/>
      <c r="V3037" s="1296"/>
      <c r="W3037" s="848"/>
      <c r="X3037" s="848"/>
      <c r="Y3037" s="1295"/>
      <c r="Z3037" s="1296"/>
      <c r="AA3037" s="1295"/>
      <c r="AB3037" s="1296"/>
      <c r="AC3037" s="1295"/>
      <c r="AD3037" s="1295"/>
      <c r="AE3037" s="2556"/>
      <c r="AF3037" s="750"/>
      <c r="AG3037" s="750"/>
      <c r="AH3037" s="750"/>
      <c r="AI3037" s="750"/>
      <c r="AJ3037" s="750"/>
      <c r="AK3037" s="750"/>
      <c r="AL3037" s="750"/>
      <c r="AM3037" s="750"/>
      <c r="AN3037" s="750"/>
      <c r="AO3037" s="750"/>
      <c r="AP3037" s="750"/>
      <c r="AQ3037" s="750"/>
      <c r="AR3037" s="750"/>
      <c r="AS3037" s="750"/>
      <c r="AT3037" s="750"/>
      <c r="AU3037" s="750"/>
      <c r="AV3037" s="750"/>
      <c r="AW3037" s="750"/>
      <c r="AX3037" s="750"/>
      <c r="AY3037" s="750"/>
      <c r="AZ3037" s="750"/>
      <c r="BA3037" s="750"/>
      <c r="BB3037" s="750"/>
      <c r="BC3037" s="750"/>
      <c r="BD3037" s="750"/>
      <c r="BE3037" s="750"/>
      <c r="BF3037" s="750"/>
      <c r="BG3037" s="750"/>
      <c r="BH3037" s="750"/>
      <c r="BI3037" s="750"/>
      <c r="BJ3037" s="750"/>
      <c r="BK3037" s="750"/>
      <c r="BL3037" s="750"/>
      <c r="BM3037" s="750"/>
      <c r="BN3037" s="750"/>
      <c r="BO3037" s="750"/>
      <c r="BP3037" s="750"/>
      <c r="BQ3037" s="750"/>
    </row>
    <row r="3038" spans="3:69">
      <c r="C3038" s="853"/>
      <c r="D3038" s="853"/>
      <c r="E3038" s="853"/>
      <c r="F3038" s="853"/>
      <c r="G3038" s="853"/>
      <c r="H3038" s="853"/>
      <c r="I3038" s="848"/>
      <c r="J3038" s="848"/>
      <c r="K3038" s="1295"/>
      <c r="L3038" s="1295"/>
      <c r="M3038" s="1295"/>
      <c r="N3038" s="1295"/>
      <c r="O3038" s="1295"/>
      <c r="P3038" s="853"/>
      <c r="Q3038" s="1295"/>
      <c r="R3038" s="848"/>
      <c r="S3038" s="848"/>
      <c r="T3038" s="848"/>
      <c r="U3038" s="848"/>
      <c r="V3038" s="1296"/>
      <c r="W3038" s="848"/>
      <c r="X3038" s="848"/>
      <c r="Y3038" s="1295"/>
      <c r="Z3038" s="1296"/>
      <c r="AA3038" s="1295"/>
      <c r="AB3038" s="1296"/>
      <c r="AC3038" s="1295"/>
      <c r="AD3038" s="1295"/>
      <c r="AE3038" s="2556"/>
      <c r="AF3038" s="750"/>
      <c r="AG3038" s="750"/>
      <c r="AH3038" s="750"/>
      <c r="AI3038" s="750"/>
      <c r="AJ3038" s="750"/>
      <c r="AK3038" s="750"/>
      <c r="AL3038" s="750"/>
      <c r="AM3038" s="750"/>
      <c r="AN3038" s="750"/>
      <c r="AO3038" s="750"/>
      <c r="AP3038" s="750"/>
      <c r="AQ3038" s="750"/>
      <c r="AR3038" s="750"/>
      <c r="AS3038" s="750"/>
      <c r="AT3038" s="750"/>
      <c r="AU3038" s="750"/>
      <c r="AV3038" s="750"/>
      <c r="AW3038" s="750"/>
      <c r="AX3038" s="750"/>
      <c r="AY3038" s="750"/>
      <c r="AZ3038" s="750"/>
      <c r="BA3038" s="750"/>
      <c r="BB3038" s="750"/>
      <c r="BC3038" s="750"/>
      <c r="BD3038" s="750"/>
      <c r="BE3038" s="750"/>
      <c r="BF3038" s="750"/>
      <c r="BG3038" s="750"/>
      <c r="BH3038" s="750"/>
      <c r="BI3038" s="750"/>
      <c r="BJ3038" s="750"/>
      <c r="BK3038" s="750"/>
      <c r="BL3038" s="750"/>
      <c r="BM3038" s="750"/>
      <c r="BN3038" s="750"/>
      <c r="BO3038" s="750"/>
      <c r="BP3038" s="750"/>
      <c r="BQ3038" s="750"/>
    </row>
    <row r="3039" spans="3:69">
      <c r="C3039" s="853"/>
      <c r="D3039" s="853"/>
      <c r="E3039" s="853"/>
      <c r="F3039" s="853"/>
      <c r="G3039" s="853"/>
      <c r="H3039" s="853"/>
      <c r="I3039" s="848"/>
      <c r="J3039" s="848"/>
      <c r="K3039" s="1295"/>
      <c r="L3039" s="1295"/>
      <c r="M3039" s="1295"/>
      <c r="N3039" s="1295"/>
      <c r="O3039" s="1295"/>
      <c r="P3039" s="853"/>
      <c r="Q3039" s="1295"/>
      <c r="R3039" s="848"/>
      <c r="S3039" s="848"/>
      <c r="T3039" s="848"/>
      <c r="U3039" s="848"/>
      <c r="V3039" s="1296"/>
      <c r="W3039" s="848"/>
      <c r="X3039" s="848"/>
      <c r="Y3039" s="1295"/>
      <c r="Z3039" s="1296"/>
      <c r="AA3039" s="1295"/>
      <c r="AB3039" s="1296"/>
      <c r="AC3039" s="1295"/>
      <c r="AD3039" s="1295"/>
      <c r="AE3039" s="2556"/>
      <c r="AF3039" s="750"/>
      <c r="AG3039" s="750"/>
      <c r="AH3039" s="750"/>
      <c r="AI3039" s="750"/>
      <c r="AJ3039" s="750"/>
      <c r="AK3039" s="750"/>
      <c r="AL3039" s="750"/>
      <c r="AM3039" s="750"/>
      <c r="AN3039" s="750"/>
      <c r="AO3039" s="750"/>
      <c r="AP3039" s="750"/>
      <c r="AQ3039" s="750"/>
      <c r="AR3039" s="750"/>
      <c r="AS3039" s="750"/>
      <c r="AT3039" s="750"/>
      <c r="AU3039" s="750"/>
      <c r="AV3039" s="750"/>
      <c r="AW3039" s="750"/>
      <c r="AX3039" s="750"/>
      <c r="AY3039" s="750"/>
      <c r="AZ3039" s="750"/>
      <c r="BA3039" s="750"/>
      <c r="BB3039" s="750"/>
      <c r="BC3039" s="750"/>
      <c r="BD3039" s="750"/>
      <c r="BE3039" s="750"/>
      <c r="BF3039" s="750"/>
      <c r="BG3039" s="750"/>
      <c r="BH3039" s="750"/>
      <c r="BI3039" s="750"/>
      <c r="BJ3039" s="750"/>
      <c r="BK3039" s="750"/>
      <c r="BL3039" s="750"/>
      <c r="BM3039" s="750"/>
      <c r="BN3039" s="750"/>
      <c r="BO3039" s="750"/>
      <c r="BP3039" s="750"/>
      <c r="BQ3039" s="750"/>
    </row>
    <row r="3040" spans="3:69">
      <c r="C3040" s="853"/>
      <c r="D3040" s="853"/>
      <c r="E3040" s="853"/>
      <c r="F3040" s="853"/>
      <c r="G3040" s="853"/>
      <c r="H3040" s="853"/>
      <c r="I3040" s="848"/>
      <c r="J3040" s="848"/>
      <c r="K3040" s="1295"/>
      <c r="L3040" s="1295"/>
      <c r="M3040" s="1295"/>
      <c r="N3040" s="1295"/>
      <c r="O3040" s="1295"/>
      <c r="P3040" s="853"/>
      <c r="Q3040" s="1295"/>
      <c r="R3040" s="848"/>
      <c r="S3040" s="848"/>
      <c r="T3040" s="848"/>
      <c r="U3040" s="848"/>
      <c r="V3040" s="1296"/>
      <c r="W3040" s="848"/>
      <c r="X3040" s="848"/>
      <c r="Y3040" s="1295"/>
      <c r="Z3040" s="1296"/>
      <c r="AA3040" s="1295"/>
      <c r="AB3040" s="1296"/>
      <c r="AC3040" s="1295"/>
      <c r="AD3040" s="1295"/>
      <c r="AE3040" s="2556"/>
      <c r="AF3040" s="750"/>
      <c r="AG3040" s="750"/>
      <c r="AH3040" s="750"/>
      <c r="AI3040" s="750"/>
      <c r="AJ3040" s="750"/>
      <c r="AK3040" s="750"/>
      <c r="AL3040" s="750"/>
      <c r="AM3040" s="750"/>
      <c r="AN3040" s="750"/>
      <c r="AO3040" s="750"/>
      <c r="AP3040" s="750"/>
      <c r="AQ3040" s="750"/>
      <c r="AR3040" s="750"/>
      <c r="AS3040" s="750"/>
      <c r="AT3040" s="750"/>
      <c r="AU3040" s="750"/>
      <c r="AV3040" s="750"/>
      <c r="AW3040" s="750"/>
      <c r="AX3040" s="750"/>
      <c r="AY3040" s="750"/>
      <c r="AZ3040" s="750"/>
      <c r="BA3040" s="750"/>
      <c r="BB3040" s="750"/>
      <c r="BC3040" s="750"/>
      <c r="BD3040" s="750"/>
      <c r="BE3040" s="750"/>
      <c r="BF3040" s="750"/>
      <c r="BG3040" s="750"/>
      <c r="BH3040" s="750"/>
      <c r="BI3040" s="750"/>
      <c r="BJ3040" s="750"/>
      <c r="BK3040" s="750"/>
      <c r="BL3040" s="750"/>
      <c r="BM3040" s="750"/>
      <c r="BN3040" s="750"/>
      <c r="BO3040" s="750"/>
      <c r="BP3040" s="750"/>
      <c r="BQ3040" s="750"/>
    </row>
    <row r="3041" spans="3:69">
      <c r="C3041" s="853"/>
      <c r="D3041" s="853"/>
      <c r="E3041" s="853"/>
      <c r="F3041" s="853"/>
      <c r="G3041" s="853"/>
      <c r="H3041" s="853"/>
      <c r="I3041" s="848"/>
      <c r="J3041" s="848"/>
      <c r="K3041" s="1295"/>
      <c r="L3041" s="1295"/>
      <c r="M3041" s="1295"/>
      <c r="N3041" s="1295"/>
      <c r="O3041" s="1295"/>
      <c r="P3041" s="853"/>
      <c r="Q3041" s="1295"/>
      <c r="R3041" s="848"/>
      <c r="S3041" s="848"/>
      <c r="T3041" s="848"/>
      <c r="U3041" s="848"/>
      <c r="V3041" s="1296"/>
      <c r="W3041" s="848"/>
      <c r="X3041" s="848"/>
      <c r="Y3041" s="1295"/>
      <c r="Z3041" s="1296"/>
      <c r="AA3041" s="1295"/>
      <c r="AB3041" s="1296"/>
      <c r="AC3041" s="1295"/>
      <c r="AD3041" s="1295"/>
      <c r="AE3041" s="2556"/>
      <c r="AF3041" s="750"/>
      <c r="AG3041" s="750"/>
      <c r="AH3041" s="750"/>
      <c r="AI3041" s="750"/>
      <c r="AJ3041" s="750"/>
      <c r="AK3041" s="750"/>
      <c r="AL3041" s="750"/>
      <c r="AM3041" s="750"/>
      <c r="AN3041" s="750"/>
      <c r="AO3041" s="750"/>
      <c r="AP3041" s="750"/>
      <c r="AQ3041" s="750"/>
      <c r="AR3041" s="750"/>
      <c r="AS3041" s="750"/>
      <c r="AT3041" s="750"/>
      <c r="AU3041" s="750"/>
      <c r="AV3041" s="750"/>
      <c r="AW3041" s="750"/>
      <c r="AX3041" s="750"/>
      <c r="AY3041" s="750"/>
      <c r="AZ3041" s="750"/>
      <c r="BA3041" s="750"/>
      <c r="BB3041" s="750"/>
      <c r="BC3041" s="750"/>
      <c r="BD3041" s="750"/>
      <c r="BE3041" s="750"/>
      <c r="BF3041" s="750"/>
      <c r="BG3041" s="750"/>
      <c r="BH3041" s="750"/>
      <c r="BI3041" s="750"/>
      <c r="BJ3041" s="750"/>
      <c r="BK3041" s="750"/>
      <c r="BL3041" s="750"/>
      <c r="BM3041" s="750"/>
      <c r="BN3041" s="750"/>
      <c r="BO3041" s="750"/>
      <c r="BP3041" s="750"/>
      <c r="BQ3041" s="750"/>
    </row>
    <row r="3042" spans="3:69">
      <c r="C3042" s="853"/>
      <c r="D3042" s="853"/>
      <c r="E3042" s="853"/>
      <c r="F3042" s="853"/>
      <c r="G3042" s="853"/>
      <c r="H3042" s="853"/>
      <c r="I3042" s="848"/>
      <c r="J3042" s="848"/>
      <c r="K3042" s="1295"/>
      <c r="L3042" s="1295"/>
      <c r="M3042" s="1295"/>
      <c r="N3042" s="1295"/>
      <c r="O3042" s="1295"/>
      <c r="P3042" s="853"/>
      <c r="Q3042" s="1295"/>
      <c r="R3042" s="848"/>
      <c r="S3042" s="848"/>
      <c r="T3042" s="848"/>
      <c r="U3042" s="848"/>
      <c r="V3042" s="1296"/>
      <c r="W3042" s="848"/>
      <c r="X3042" s="848"/>
      <c r="Y3042" s="1295"/>
      <c r="Z3042" s="1296"/>
      <c r="AA3042" s="1295"/>
      <c r="AB3042" s="1296"/>
      <c r="AC3042" s="1295"/>
      <c r="AD3042" s="1295"/>
      <c r="AE3042" s="2556"/>
      <c r="AF3042" s="750"/>
      <c r="AG3042" s="750"/>
      <c r="AH3042" s="750"/>
      <c r="AI3042" s="750"/>
      <c r="AJ3042" s="750"/>
      <c r="AK3042" s="750"/>
      <c r="AL3042" s="750"/>
      <c r="AM3042" s="750"/>
      <c r="AN3042" s="750"/>
      <c r="AO3042" s="750"/>
      <c r="AP3042" s="750"/>
      <c r="AQ3042" s="750"/>
      <c r="AR3042" s="750"/>
      <c r="AS3042" s="750"/>
      <c r="AT3042" s="750"/>
      <c r="AU3042" s="750"/>
      <c r="AV3042" s="750"/>
      <c r="AW3042" s="750"/>
      <c r="AX3042" s="750"/>
      <c r="AY3042" s="750"/>
      <c r="AZ3042" s="750"/>
      <c r="BA3042" s="750"/>
      <c r="BB3042" s="750"/>
      <c r="BC3042" s="750"/>
      <c r="BD3042" s="750"/>
      <c r="BE3042" s="750"/>
      <c r="BF3042" s="750"/>
      <c r="BG3042" s="750"/>
      <c r="BH3042" s="750"/>
      <c r="BI3042" s="750"/>
      <c r="BJ3042" s="750"/>
      <c r="BK3042" s="750"/>
      <c r="BL3042" s="750"/>
      <c r="BM3042" s="750"/>
      <c r="BN3042" s="750"/>
      <c r="BO3042" s="750"/>
      <c r="BP3042" s="750"/>
      <c r="BQ3042" s="750"/>
    </row>
    <row r="3043" spans="3:69">
      <c r="C3043" s="853"/>
      <c r="D3043" s="853"/>
      <c r="E3043" s="853"/>
      <c r="F3043" s="853"/>
      <c r="G3043" s="853"/>
      <c r="H3043" s="853"/>
      <c r="I3043" s="848"/>
      <c r="J3043" s="848"/>
      <c r="K3043" s="1295"/>
      <c r="L3043" s="1295"/>
      <c r="M3043" s="1295"/>
      <c r="N3043" s="1295"/>
      <c r="O3043" s="1295"/>
      <c r="P3043" s="853"/>
      <c r="Q3043" s="1295"/>
      <c r="R3043" s="848"/>
      <c r="S3043" s="848"/>
      <c r="T3043" s="848"/>
      <c r="U3043" s="848"/>
      <c r="V3043" s="1296"/>
      <c r="W3043" s="848"/>
      <c r="X3043" s="848"/>
      <c r="Y3043" s="1295"/>
      <c r="Z3043" s="1296"/>
      <c r="AA3043" s="1295"/>
      <c r="AB3043" s="1296"/>
      <c r="AC3043" s="1295"/>
      <c r="AD3043" s="1295"/>
      <c r="AE3043" s="2556"/>
      <c r="AF3043" s="750"/>
      <c r="AG3043" s="750"/>
      <c r="AH3043" s="750"/>
      <c r="AI3043" s="750"/>
      <c r="AJ3043" s="750"/>
      <c r="AK3043" s="750"/>
      <c r="AL3043" s="750"/>
      <c r="AM3043" s="750"/>
      <c r="AN3043" s="750"/>
      <c r="AO3043" s="750"/>
      <c r="AP3043" s="750"/>
      <c r="AQ3043" s="750"/>
      <c r="AR3043" s="750"/>
      <c r="AS3043" s="750"/>
      <c r="AT3043" s="750"/>
      <c r="AU3043" s="750"/>
      <c r="AV3043" s="750"/>
      <c r="AW3043" s="750"/>
      <c r="AX3043" s="750"/>
      <c r="AY3043" s="750"/>
      <c r="AZ3043" s="750"/>
      <c r="BA3043" s="750"/>
      <c r="BB3043" s="750"/>
      <c r="BC3043" s="750"/>
      <c r="BD3043" s="750"/>
      <c r="BE3043" s="750"/>
      <c r="BF3043" s="750"/>
      <c r="BG3043" s="750"/>
      <c r="BH3043" s="750"/>
      <c r="BI3043" s="750"/>
      <c r="BJ3043" s="750"/>
      <c r="BK3043" s="750"/>
      <c r="BL3043" s="750"/>
      <c r="BM3043" s="750"/>
      <c r="BN3043" s="750"/>
      <c r="BO3043" s="750"/>
      <c r="BP3043" s="750"/>
      <c r="BQ3043" s="750"/>
    </row>
    <row r="3044" spans="3:69">
      <c r="C3044" s="853"/>
      <c r="D3044" s="853"/>
      <c r="E3044" s="853"/>
      <c r="F3044" s="853"/>
      <c r="G3044" s="853"/>
      <c r="H3044" s="853"/>
      <c r="I3044" s="848"/>
      <c r="J3044" s="848"/>
      <c r="K3044" s="1295"/>
      <c r="L3044" s="1295"/>
      <c r="M3044" s="1295"/>
      <c r="N3044" s="1295"/>
      <c r="O3044" s="1295"/>
      <c r="P3044" s="853"/>
      <c r="Q3044" s="1295"/>
      <c r="R3044" s="848"/>
      <c r="S3044" s="848"/>
      <c r="T3044" s="848"/>
      <c r="U3044" s="848"/>
      <c r="V3044" s="1296"/>
      <c r="W3044" s="848"/>
      <c r="X3044" s="848"/>
      <c r="Y3044" s="1295"/>
      <c r="Z3044" s="1296"/>
      <c r="AA3044" s="1295"/>
      <c r="AB3044" s="1296"/>
      <c r="AC3044" s="1295"/>
      <c r="AD3044" s="1295"/>
      <c r="AE3044" s="2556"/>
      <c r="AF3044" s="750"/>
      <c r="AG3044" s="750"/>
      <c r="AH3044" s="750"/>
      <c r="AI3044" s="750"/>
      <c r="AJ3044" s="750"/>
      <c r="AK3044" s="750"/>
      <c r="AL3044" s="750"/>
      <c r="AM3044" s="750"/>
      <c r="AN3044" s="750"/>
      <c r="AO3044" s="750"/>
      <c r="AP3044" s="750"/>
      <c r="AQ3044" s="750"/>
      <c r="AR3044" s="750"/>
      <c r="AS3044" s="750"/>
      <c r="AT3044" s="750"/>
      <c r="AU3044" s="750"/>
      <c r="AV3044" s="750"/>
      <c r="AW3044" s="750"/>
      <c r="AX3044" s="750"/>
      <c r="AY3044" s="750"/>
      <c r="AZ3044" s="750"/>
      <c r="BA3044" s="750"/>
      <c r="BB3044" s="750"/>
      <c r="BC3044" s="750"/>
      <c r="BD3044" s="750"/>
      <c r="BE3044" s="750"/>
      <c r="BF3044" s="750"/>
      <c r="BG3044" s="750"/>
      <c r="BH3044" s="750"/>
      <c r="BI3044" s="750"/>
      <c r="BJ3044" s="750"/>
      <c r="BK3044" s="750"/>
      <c r="BL3044" s="750"/>
      <c r="BM3044" s="750"/>
      <c r="BN3044" s="750"/>
      <c r="BO3044" s="750"/>
      <c r="BP3044" s="750"/>
      <c r="BQ3044" s="750"/>
    </row>
    <row r="3045" spans="3:69">
      <c r="C3045" s="853"/>
      <c r="D3045" s="853"/>
      <c r="E3045" s="853"/>
      <c r="F3045" s="853"/>
      <c r="G3045" s="853"/>
      <c r="H3045" s="853"/>
      <c r="I3045" s="848"/>
      <c r="J3045" s="848"/>
      <c r="K3045" s="1295"/>
      <c r="L3045" s="1295"/>
      <c r="M3045" s="1295"/>
      <c r="N3045" s="1295"/>
      <c r="O3045" s="1295"/>
      <c r="P3045" s="853"/>
      <c r="Q3045" s="1295"/>
      <c r="R3045" s="848"/>
      <c r="S3045" s="848"/>
      <c r="T3045" s="848"/>
      <c r="U3045" s="848"/>
      <c r="V3045" s="1296"/>
      <c r="W3045" s="848"/>
      <c r="X3045" s="848"/>
      <c r="Y3045" s="1295"/>
      <c r="Z3045" s="1296"/>
      <c r="AA3045" s="1295"/>
      <c r="AB3045" s="1296"/>
      <c r="AC3045" s="1295"/>
      <c r="AD3045" s="1295"/>
      <c r="AE3045" s="2556"/>
      <c r="AF3045" s="750"/>
      <c r="AG3045" s="750"/>
      <c r="AH3045" s="750"/>
      <c r="AI3045" s="750"/>
      <c r="AJ3045" s="750"/>
      <c r="AK3045" s="750"/>
      <c r="AL3045" s="750"/>
      <c r="AM3045" s="750"/>
      <c r="AN3045" s="750"/>
      <c r="AO3045" s="750"/>
      <c r="AP3045" s="750"/>
      <c r="AQ3045" s="750"/>
      <c r="AR3045" s="750"/>
      <c r="AS3045" s="750"/>
      <c r="AT3045" s="750"/>
      <c r="AU3045" s="750"/>
      <c r="AV3045" s="750"/>
      <c r="AW3045" s="750"/>
      <c r="AX3045" s="750"/>
      <c r="AY3045" s="750"/>
      <c r="AZ3045" s="750"/>
      <c r="BA3045" s="750"/>
      <c r="BB3045" s="750"/>
      <c r="BC3045" s="750"/>
      <c r="BD3045" s="750"/>
      <c r="BE3045" s="750"/>
      <c r="BF3045" s="750"/>
      <c r="BG3045" s="750"/>
      <c r="BH3045" s="750"/>
      <c r="BI3045" s="750"/>
      <c r="BJ3045" s="750"/>
      <c r="BK3045" s="750"/>
      <c r="BL3045" s="750"/>
      <c r="BM3045" s="750"/>
      <c r="BN3045" s="750"/>
      <c r="BO3045" s="750"/>
      <c r="BP3045" s="750"/>
      <c r="BQ3045" s="750"/>
    </row>
    <row r="3046" spans="3:69">
      <c r="C3046" s="853"/>
      <c r="D3046" s="853"/>
      <c r="E3046" s="853"/>
      <c r="F3046" s="853"/>
      <c r="G3046" s="853"/>
      <c r="H3046" s="853"/>
      <c r="I3046" s="848"/>
      <c r="J3046" s="848"/>
      <c r="K3046" s="1295"/>
      <c r="L3046" s="1295"/>
      <c r="M3046" s="1295"/>
      <c r="N3046" s="1295"/>
      <c r="O3046" s="1295"/>
      <c r="P3046" s="853"/>
      <c r="Q3046" s="1295"/>
      <c r="R3046" s="848"/>
      <c r="S3046" s="848"/>
      <c r="T3046" s="848"/>
      <c r="U3046" s="848"/>
      <c r="V3046" s="1296"/>
      <c r="W3046" s="848"/>
      <c r="X3046" s="848"/>
      <c r="Y3046" s="1295"/>
      <c r="Z3046" s="1296"/>
      <c r="AA3046" s="1295"/>
      <c r="AB3046" s="1296"/>
      <c r="AC3046" s="1295"/>
      <c r="AD3046" s="1295"/>
      <c r="AE3046" s="2556"/>
      <c r="AF3046" s="750"/>
      <c r="AG3046" s="750"/>
      <c r="AH3046" s="750"/>
      <c r="AI3046" s="750"/>
      <c r="AJ3046" s="750"/>
      <c r="AK3046" s="750"/>
      <c r="AL3046" s="750"/>
      <c r="AM3046" s="750"/>
      <c r="AN3046" s="750"/>
      <c r="AO3046" s="750"/>
      <c r="AP3046" s="750"/>
      <c r="AQ3046" s="750"/>
      <c r="AR3046" s="750"/>
      <c r="AS3046" s="750"/>
      <c r="AT3046" s="750"/>
      <c r="AU3046" s="750"/>
      <c r="AV3046" s="750"/>
      <c r="AW3046" s="750"/>
      <c r="AX3046" s="750"/>
      <c r="AY3046" s="750"/>
      <c r="AZ3046" s="750"/>
      <c r="BA3046" s="750"/>
      <c r="BB3046" s="750"/>
      <c r="BC3046" s="750"/>
      <c r="BD3046" s="750"/>
      <c r="BE3046" s="750"/>
      <c r="BF3046" s="750"/>
      <c r="BG3046" s="750"/>
      <c r="BH3046" s="750"/>
      <c r="BI3046" s="750"/>
      <c r="BJ3046" s="750"/>
      <c r="BK3046" s="750"/>
      <c r="BL3046" s="750"/>
      <c r="BM3046" s="750"/>
      <c r="BN3046" s="750"/>
      <c r="BO3046" s="750"/>
      <c r="BP3046" s="750"/>
      <c r="BQ3046" s="750"/>
    </row>
    <row r="3047" spans="3:69">
      <c r="C3047" s="853"/>
      <c r="D3047" s="853"/>
      <c r="E3047" s="853"/>
      <c r="F3047" s="853"/>
      <c r="G3047" s="853"/>
      <c r="H3047" s="853"/>
      <c r="I3047" s="848"/>
      <c r="J3047" s="848"/>
      <c r="K3047" s="1295"/>
      <c r="L3047" s="1295"/>
      <c r="M3047" s="1295"/>
      <c r="N3047" s="1295"/>
      <c r="O3047" s="1295"/>
      <c r="P3047" s="853"/>
      <c r="Q3047" s="1295"/>
      <c r="R3047" s="848"/>
      <c r="S3047" s="848"/>
      <c r="T3047" s="848"/>
      <c r="U3047" s="848"/>
      <c r="V3047" s="1296"/>
      <c r="W3047" s="848"/>
      <c r="X3047" s="848"/>
      <c r="Y3047" s="1295"/>
      <c r="Z3047" s="1296"/>
      <c r="AA3047" s="1295"/>
      <c r="AB3047" s="1296"/>
      <c r="AC3047" s="1295"/>
      <c r="AD3047" s="1295"/>
      <c r="AE3047" s="2556"/>
      <c r="AF3047" s="750"/>
      <c r="AG3047" s="750"/>
      <c r="AH3047" s="750"/>
      <c r="AI3047" s="750"/>
      <c r="AJ3047" s="750"/>
      <c r="AK3047" s="750"/>
      <c r="AL3047" s="750"/>
      <c r="AM3047" s="750"/>
      <c r="AN3047" s="750"/>
      <c r="AO3047" s="750"/>
      <c r="AP3047" s="750"/>
      <c r="AQ3047" s="750"/>
      <c r="AR3047" s="750"/>
      <c r="AS3047" s="750"/>
      <c r="AT3047" s="750"/>
      <c r="AU3047" s="750"/>
      <c r="AV3047" s="750"/>
      <c r="AW3047" s="750"/>
      <c r="AX3047" s="750"/>
      <c r="AY3047" s="750"/>
      <c r="AZ3047" s="750"/>
      <c r="BA3047" s="750"/>
      <c r="BB3047" s="750"/>
      <c r="BC3047" s="750"/>
      <c r="BD3047" s="750"/>
      <c r="BE3047" s="750"/>
      <c r="BF3047" s="750"/>
      <c r="BG3047" s="750"/>
      <c r="BH3047" s="750"/>
      <c r="BI3047" s="750"/>
      <c r="BJ3047" s="750"/>
      <c r="BK3047" s="750"/>
      <c r="BL3047" s="750"/>
      <c r="BM3047" s="750"/>
      <c r="BN3047" s="750"/>
      <c r="BO3047" s="750"/>
      <c r="BP3047" s="750"/>
      <c r="BQ3047" s="750"/>
    </row>
    <row r="3048" spans="3:69">
      <c r="C3048" s="853"/>
      <c r="D3048" s="853"/>
      <c r="E3048" s="853"/>
      <c r="F3048" s="853"/>
      <c r="G3048" s="853"/>
      <c r="H3048" s="853"/>
      <c r="I3048" s="848"/>
      <c r="J3048" s="848"/>
      <c r="K3048" s="1295"/>
      <c r="L3048" s="1295"/>
      <c r="M3048" s="1295"/>
      <c r="N3048" s="1295"/>
      <c r="O3048" s="1295"/>
      <c r="P3048" s="853"/>
      <c r="Q3048" s="1295"/>
      <c r="R3048" s="848"/>
      <c r="S3048" s="848"/>
      <c r="T3048" s="848"/>
      <c r="U3048" s="848"/>
      <c r="V3048" s="1296"/>
      <c r="W3048" s="848"/>
      <c r="X3048" s="848"/>
      <c r="Y3048" s="1295"/>
      <c r="Z3048" s="1296"/>
      <c r="AA3048" s="1295"/>
      <c r="AB3048" s="1296"/>
      <c r="AC3048" s="1295"/>
      <c r="AD3048" s="1295"/>
      <c r="AE3048" s="2556"/>
      <c r="AF3048" s="750"/>
      <c r="AG3048" s="750"/>
      <c r="AH3048" s="750"/>
      <c r="AI3048" s="750"/>
      <c r="AJ3048" s="750"/>
      <c r="AK3048" s="750"/>
      <c r="AL3048" s="750"/>
      <c r="AM3048" s="750"/>
      <c r="AN3048" s="750"/>
      <c r="AO3048" s="750"/>
      <c r="AP3048" s="750"/>
      <c r="AQ3048" s="750"/>
      <c r="AR3048" s="750"/>
      <c r="AS3048" s="750"/>
      <c r="AT3048" s="750"/>
      <c r="AU3048" s="750"/>
      <c r="AV3048" s="750"/>
      <c r="AW3048" s="750"/>
      <c r="AX3048" s="750"/>
      <c r="AY3048" s="750"/>
      <c r="AZ3048" s="750"/>
      <c r="BA3048" s="750"/>
      <c r="BB3048" s="750"/>
      <c r="BC3048" s="750"/>
      <c r="BD3048" s="750"/>
      <c r="BE3048" s="750"/>
      <c r="BF3048" s="750"/>
      <c r="BG3048" s="750"/>
      <c r="BH3048" s="750"/>
      <c r="BI3048" s="750"/>
      <c r="BJ3048" s="750"/>
      <c r="BK3048" s="750"/>
      <c r="BL3048" s="750"/>
      <c r="BM3048" s="750"/>
      <c r="BN3048" s="750"/>
      <c r="BO3048" s="750"/>
      <c r="BP3048" s="750"/>
      <c r="BQ3048" s="750"/>
    </row>
    <row r="3049" spans="3:69">
      <c r="C3049" s="853"/>
      <c r="D3049" s="853"/>
      <c r="E3049" s="853"/>
      <c r="F3049" s="853"/>
      <c r="G3049" s="853"/>
      <c r="H3049" s="853"/>
      <c r="I3049" s="848"/>
      <c r="J3049" s="848"/>
      <c r="K3049" s="1295"/>
      <c r="L3049" s="1295"/>
      <c r="M3049" s="1295"/>
      <c r="N3049" s="1295"/>
      <c r="O3049" s="1295"/>
      <c r="P3049" s="853"/>
      <c r="Q3049" s="1295"/>
      <c r="R3049" s="848"/>
      <c r="S3049" s="848"/>
      <c r="T3049" s="848"/>
      <c r="U3049" s="848"/>
      <c r="V3049" s="1296"/>
      <c r="W3049" s="848"/>
      <c r="X3049" s="848"/>
      <c r="Y3049" s="1295"/>
      <c r="Z3049" s="1296"/>
      <c r="AA3049" s="1295"/>
      <c r="AB3049" s="1296"/>
      <c r="AC3049" s="1295"/>
      <c r="AD3049" s="1295"/>
      <c r="AE3049" s="2556"/>
      <c r="AF3049" s="750"/>
      <c r="AG3049" s="750"/>
      <c r="AH3049" s="750"/>
      <c r="AI3049" s="750"/>
      <c r="AJ3049" s="750"/>
      <c r="AK3049" s="750"/>
      <c r="AL3049" s="750"/>
      <c r="AM3049" s="750"/>
      <c r="AN3049" s="750"/>
      <c r="AO3049" s="750"/>
      <c r="AP3049" s="750"/>
      <c r="AQ3049" s="750"/>
      <c r="AR3049" s="750"/>
      <c r="AS3049" s="750"/>
      <c r="AT3049" s="750"/>
      <c r="AU3049" s="750"/>
      <c r="AV3049" s="750"/>
      <c r="AW3049" s="750"/>
      <c r="AX3049" s="750"/>
      <c r="AY3049" s="750"/>
      <c r="AZ3049" s="750"/>
      <c r="BA3049" s="750"/>
      <c r="BB3049" s="750"/>
      <c r="BC3049" s="750"/>
      <c r="BD3049" s="750"/>
      <c r="BE3049" s="750"/>
      <c r="BF3049" s="750"/>
      <c r="BG3049" s="750"/>
      <c r="BH3049" s="750"/>
      <c r="BI3049" s="750"/>
      <c r="BJ3049" s="750"/>
      <c r="BK3049" s="750"/>
      <c r="BL3049" s="750"/>
      <c r="BM3049" s="750"/>
      <c r="BN3049" s="750"/>
      <c r="BO3049" s="750"/>
      <c r="BP3049" s="750"/>
      <c r="BQ3049" s="750"/>
    </row>
    <row r="3050" spans="3:69">
      <c r="C3050" s="853"/>
      <c r="D3050" s="853"/>
      <c r="E3050" s="853"/>
      <c r="F3050" s="853"/>
      <c r="G3050" s="853"/>
      <c r="H3050" s="853"/>
      <c r="I3050" s="848"/>
      <c r="J3050" s="848"/>
      <c r="K3050" s="1295"/>
      <c r="L3050" s="1295"/>
      <c r="M3050" s="1295"/>
      <c r="N3050" s="1295"/>
      <c r="O3050" s="1295"/>
      <c r="P3050" s="853"/>
      <c r="Q3050" s="1295"/>
      <c r="R3050" s="848"/>
      <c r="S3050" s="848"/>
      <c r="T3050" s="848"/>
      <c r="U3050" s="848"/>
      <c r="V3050" s="1296"/>
      <c r="W3050" s="848"/>
      <c r="X3050" s="848"/>
      <c r="Y3050" s="1295"/>
      <c r="Z3050" s="1296"/>
      <c r="AA3050" s="1295"/>
      <c r="AB3050" s="1296"/>
      <c r="AC3050" s="1295"/>
      <c r="AD3050" s="1295"/>
      <c r="AE3050" s="2556"/>
      <c r="AF3050" s="750"/>
      <c r="AG3050" s="750"/>
      <c r="AH3050" s="750"/>
      <c r="AI3050" s="750"/>
      <c r="AJ3050" s="750"/>
      <c r="AK3050" s="750"/>
      <c r="AL3050" s="750"/>
      <c r="AM3050" s="750"/>
      <c r="AN3050" s="750"/>
      <c r="AO3050" s="750"/>
      <c r="AP3050" s="750"/>
      <c r="AQ3050" s="750"/>
      <c r="AR3050" s="750"/>
      <c r="AS3050" s="750"/>
      <c r="AT3050" s="750"/>
      <c r="AU3050" s="750"/>
      <c r="AV3050" s="750"/>
      <c r="AW3050" s="750"/>
      <c r="AX3050" s="750"/>
      <c r="AY3050" s="750"/>
      <c r="AZ3050" s="750"/>
      <c r="BA3050" s="750"/>
      <c r="BB3050" s="750"/>
      <c r="BC3050" s="750"/>
      <c r="BD3050" s="750"/>
      <c r="BE3050" s="750"/>
      <c r="BF3050" s="750"/>
      <c r="BG3050" s="750"/>
      <c r="BH3050" s="750"/>
      <c r="BI3050" s="750"/>
      <c r="BJ3050" s="750"/>
      <c r="BK3050" s="750"/>
      <c r="BL3050" s="750"/>
      <c r="BM3050" s="750"/>
      <c r="BN3050" s="750"/>
      <c r="BO3050" s="750"/>
      <c r="BP3050" s="750"/>
      <c r="BQ3050" s="750"/>
    </row>
    <row r="3051" spans="3:69">
      <c r="C3051" s="853"/>
      <c r="D3051" s="853"/>
      <c r="E3051" s="853"/>
      <c r="F3051" s="853"/>
      <c r="G3051" s="853"/>
      <c r="H3051" s="853"/>
      <c r="I3051" s="848"/>
      <c r="J3051" s="848"/>
      <c r="K3051" s="1295"/>
      <c r="L3051" s="1295"/>
      <c r="M3051" s="1295"/>
      <c r="N3051" s="1295"/>
      <c r="O3051" s="1295"/>
      <c r="P3051" s="853"/>
      <c r="Q3051" s="1295"/>
      <c r="R3051" s="848"/>
      <c r="S3051" s="848"/>
      <c r="T3051" s="848"/>
      <c r="U3051" s="848"/>
      <c r="V3051" s="1296"/>
      <c r="W3051" s="848"/>
      <c r="X3051" s="848"/>
      <c r="Y3051" s="1295"/>
      <c r="Z3051" s="1296"/>
      <c r="AA3051" s="1295"/>
      <c r="AB3051" s="1296"/>
      <c r="AC3051" s="1295"/>
      <c r="AD3051" s="1295"/>
      <c r="AE3051" s="2556"/>
      <c r="AF3051" s="750"/>
      <c r="AG3051" s="750"/>
      <c r="AH3051" s="750"/>
      <c r="AI3051" s="750"/>
      <c r="AJ3051" s="750"/>
      <c r="AK3051" s="750"/>
      <c r="AL3051" s="750"/>
      <c r="AM3051" s="750"/>
      <c r="AN3051" s="750"/>
      <c r="AO3051" s="750"/>
      <c r="AP3051" s="750"/>
      <c r="AQ3051" s="750"/>
      <c r="AR3051" s="750"/>
      <c r="AS3051" s="750"/>
      <c r="AT3051" s="750"/>
      <c r="AU3051" s="750"/>
      <c r="AV3051" s="750"/>
      <c r="AW3051" s="750"/>
      <c r="AX3051" s="750"/>
      <c r="AY3051" s="750"/>
      <c r="AZ3051" s="750"/>
      <c r="BA3051" s="750"/>
      <c r="BB3051" s="750"/>
      <c r="BC3051" s="750"/>
      <c r="BD3051" s="750"/>
      <c r="BE3051" s="750"/>
      <c r="BF3051" s="750"/>
      <c r="BG3051" s="750"/>
      <c r="BH3051" s="750"/>
      <c r="BI3051" s="750"/>
      <c r="BJ3051" s="750"/>
      <c r="BK3051" s="750"/>
      <c r="BL3051" s="750"/>
      <c r="BM3051" s="750"/>
      <c r="BN3051" s="750"/>
      <c r="BO3051" s="750"/>
      <c r="BP3051" s="750"/>
      <c r="BQ3051" s="750"/>
    </row>
    <row r="3052" spans="3:69">
      <c r="C3052" s="853"/>
      <c r="D3052" s="853"/>
      <c r="E3052" s="853"/>
      <c r="F3052" s="853"/>
      <c r="G3052" s="853"/>
      <c r="H3052" s="853"/>
      <c r="I3052" s="848"/>
      <c r="J3052" s="848"/>
      <c r="K3052" s="1295"/>
      <c r="L3052" s="1295"/>
      <c r="M3052" s="1295"/>
      <c r="N3052" s="1295"/>
      <c r="O3052" s="1295"/>
      <c r="P3052" s="853"/>
      <c r="Q3052" s="1295"/>
      <c r="R3052" s="848"/>
      <c r="S3052" s="848"/>
      <c r="T3052" s="848"/>
      <c r="U3052" s="848"/>
      <c r="V3052" s="1296"/>
      <c r="W3052" s="848"/>
      <c r="X3052" s="848"/>
      <c r="Y3052" s="1295"/>
      <c r="Z3052" s="1296"/>
      <c r="AA3052" s="1295"/>
      <c r="AB3052" s="1296"/>
      <c r="AC3052" s="1295"/>
      <c r="AD3052" s="1295"/>
      <c r="AE3052" s="2556"/>
      <c r="AF3052" s="750"/>
      <c r="AG3052" s="750"/>
      <c r="AH3052" s="750"/>
      <c r="AI3052" s="750"/>
      <c r="AJ3052" s="750"/>
      <c r="AK3052" s="750"/>
      <c r="AL3052" s="750"/>
      <c r="AM3052" s="750"/>
      <c r="AN3052" s="750"/>
      <c r="AO3052" s="750"/>
      <c r="AP3052" s="750"/>
      <c r="AQ3052" s="750"/>
      <c r="AR3052" s="750"/>
      <c r="AS3052" s="750"/>
      <c r="AT3052" s="750"/>
      <c r="AU3052" s="750"/>
      <c r="AV3052" s="750"/>
      <c r="AW3052" s="750"/>
      <c r="AX3052" s="750"/>
      <c r="AY3052" s="750"/>
      <c r="AZ3052" s="750"/>
      <c r="BA3052" s="750"/>
      <c r="BB3052" s="750"/>
      <c r="BC3052" s="750"/>
      <c r="BD3052" s="750"/>
      <c r="BE3052" s="750"/>
      <c r="BF3052" s="750"/>
      <c r="BG3052" s="750"/>
      <c r="BH3052" s="750"/>
      <c r="BI3052" s="750"/>
      <c r="BJ3052" s="750"/>
      <c r="BK3052" s="750"/>
      <c r="BL3052" s="750"/>
      <c r="BM3052" s="750"/>
      <c r="BN3052" s="750"/>
      <c r="BO3052" s="750"/>
      <c r="BP3052" s="750"/>
      <c r="BQ3052" s="750"/>
    </row>
    <row r="3053" spans="3:69">
      <c r="C3053" s="853"/>
      <c r="D3053" s="853"/>
      <c r="E3053" s="853"/>
      <c r="F3053" s="853"/>
      <c r="G3053" s="853"/>
      <c r="H3053" s="853"/>
      <c r="I3053" s="848"/>
      <c r="J3053" s="848"/>
      <c r="K3053" s="1295"/>
      <c r="L3053" s="1295"/>
      <c r="M3053" s="1295"/>
      <c r="N3053" s="1295"/>
      <c r="O3053" s="1295"/>
      <c r="P3053" s="853"/>
      <c r="Q3053" s="1295"/>
      <c r="R3053" s="848"/>
      <c r="S3053" s="848"/>
      <c r="T3053" s="848"/>
      <c r="U3053" s="848"/>
      <c r="V3053" s="1296"/>
      <c r="W3053" s="848"/>
      <c r="X3053" s="848"/>
      <c r="Y3053" s="1295"/>
      <c r="Z3053" s="1296"/>
      <c r="AA3053" s="1295"/>
      <c r="AB3053" s="1296"/>
      <c r="AC3053" s="1295"/>
      <c r="AD3053" s="1295"/>
      <c r="AE3053" s="2556"/>
      <c r="AF3053" s="750"/>
      <c r="AG3053" s="750"/>
      <c r="AH3053" s="750"/>
      <c r="AI3053" s="750"/>
      <c r="AJ3053" s="750"/>
      <c r="AK3053" s="750"/>
      <c r="AL3053" s="750"/>
      <c r="AM3053" s="750"/>
      <c r="AN3053" s="750"/>
      <c r="AO3053" s="750"/>
      <c r="AP3053" s="750"/>
      <c r="AQ3053" s="750"/>
      <c r="AR3053" s="750"/>
      <c r="AS3053" s="750"/>
      <c r="AT3053" s="750"/>
      <c r="AU3053" s="750"/>
      <c r="AV3053" s="750"/>
      <c r="AW3053" s="750"/>
      <c r="AX3053" s="750"/>
      <c r="AY3053" s="750"/>
      <c r="AZ3053" s="750"/>
      <c r="BA3053" s="750"/>
      <c r="BB3053" s="750"/>
      <c r="BC3053" s="750"/>
      <c r="BD3053" s="750"/>
      <c r="BE3053" s="750"/>
      <c r="BF3053" s="750"/>
      <c r="BG3053" s="750"/>
      <c r="BH3053" s="750"/>
      <c r="BI3053" s="750"/>
      <c r="BJ3053" s="750"/>
      <c r="BK3053" s="750"/>
      <c r="BL3053" s="750"/>
      <c r="BM3053" s="750"/>
      <c r="BN3053" s="750"/>
      <c r="BO3053" s="750"/>
      <c r="BP3053" s="750"/>
      <c r="BQ3053" s="750"/>
    </row>
    <row r="3054" spans="3:69">
      <c r="C3054" s="853"/>
      <c r="D3054" s="853"/>
      <c r="E3054" s="853"/>
      <c r="F3054" s="853"/>
      <c r="G3054" s="853"/>
      <c r="H3054" s="853"/>
      <c r="I3054" s="848"/>
      <c r="J3054" s="848"/>
      <c r="K3054" s="1295"/>
      <c r="L3054" s="1295"/>
      <c r="M3054" s="1295"/>
      <c r="N3054" s="1295"/>
      <c r="O3054" s="1295"/>
      <c r="P3054" s="853"/>
      <c r="Q3054" s="1295"/>
      <c r="R3054" s="848"/>
      <c r="S3054" s="848"/>
      <c r="T3054" s="848"/>
      <c r="U3054" s="848"/>
      <c r="V3054" s="1296"/>
      <c r="W3054" s="848"/>
      <c r="X3054" s="848"/>
      <c r="Y3054" s="1295"/>
      <c r="Z3054" s="1296"/>
      <c r="AA3054" s="1295"/>
      <c r="AB3054" s="1296"/>
      <c r="AC3054" s="1295"/>
      <c r="AD3054" s="1295"/>
      <c r="AE3054" s="2556"/>
      <c r="AF3054" s="750"/>
      <c r="AG3054" s="750"/>
      <c r="AH3054" s="750"/>
      <c r="AI3054" s="750"/>
      <c r="AJ3054" s="750"/>
      <c r="AK3054" s="750"/>
      <c r="AL3054" s="750"/>
      <c r="AM3054" s="750"/>
      <c r="AN3054" s="750"/>
      <c r="AO3054" s="750"/>
      <c r="AP3054" s="750"/>
      <c r="AQ3054" s="750"/>
      <c r="AR3054" s="750"/>
      <c r="AS3054" s="750"/>
      <c r="AT3054" s="750"/>
      <c r="AU3054" s="750"/>
      <c r="AV3054" s="750"/>
      <c r="AW3054" s="750"/>
      <c r="AX3054" s="750"/>
      <c r="AY3054" s="750"/>
      <c r="AZ3054" s="750"/>
      <c r="BA3054" s="750"/>
      <c r="BB3054" s="750"/>
      <c r="BC3054" s="750"/>
      <c r="BD3054" s="750"/>
      <c r="BE3054" s="750"/>
      <c r="BF3054" s="750"/>
      <c r="BG3054" s="750"/>
      <c r="BH3054" s="750"/>
      <c r="BI3054" s="750"/>
      <c r="BJ3054" s="750"/>
      <c r="BK3054" s="750"/>
      <c r="BL3054" s="750"/>
      <c r="BM3054" s="750"/>
      <c r="BN3054" s="750"/>
      <c r="BO3054" s="750"/>
      <c r="BP3054" s="750"/>
      <c r="BQ3054" s="750"/>
    </row>
    <row r="3055" spans="3:69">
      <c r="C3055" s="853"/>
      <c r="D3055" s="853"/>
      <c r="E3055" s="853"/>
      <c r="F3055" s="853"/>
      <c r="G3055" s="853"/>
      <c r="H3055" s="853"/>
      <c r="I3055" s="848"/>
      <c r="J3055" s="848"/>
      <c r="K3055" s="1295"/>
      <c r="L3055" s="1295"/>
      <c r="M3055" s="1295"/>
      <c r="N3055" s="1295"/>
      <c r="O3055" s="1295"/>
      <c r="P3055" s="853"/>
      <c r="Q3055" s="1295"/>
      <c r="R3055" s="848"/>
      <c r="S3055" s="848"/>
      <c r="T3055" s="848"/>
      <c r="U3055" s="848"/>
      <c r="V3055" s="1296"/>
      <c r="W3055" s="848"/>
      <c r="X3055" s="848"/>
      <c r="Y3055" s="1295"/>
      <c r="Z3055" s="1296"/>
      <c r="AA3055" s="1295"/>
      <c r="AB3055" s="1296"/>
      <c r="AC3055" s="1295"/>
      <c r="AD3055" s="1295"/>
      <c r="AE3055" s="2556"/>
      <c r="AF3055" s="750"/>
      <c r="AG3055" s="750"/>
      <c r="AH3055" s="750"/>
      <c r="AI3055" s="750"/>
      <c r="AJ3055" s="750"/>
      <c r="AK3055" s="750"/>
      <c r="AL3055" s="750"/>
      <c r="AM3055" s="750"/>
      <c r="AN3055" s="750"/>
      <c r="AO3055" s="750"/>
      <c r="AP3055" s="750"/>
      <c r="AQ3055" s="750"/>
      <c r="AR3055" s="750"/>
      <c r="AS3055" s="750"/>
      <c r="AT3055" s="750"/>
      <c r="AU3055" s="750"/>
      <c r="AV3055" s="750"/>
      <c r="AW3055" s="750"/>
      <c r="AX3055" s="750"/>
      <c r="AY3055" s="750"/>
      <c r="AZ3055" s="750"/>
      <c r="BA3055" s="750"/>
      <c r="BB3055" s="750"/>
      <c r="BC3055" s="750"/>
      <c r="BD3055" s="750"/>
      <c r="BE3055" s="750"/>
      <c r="BF3055" s="750"/>
      <c r="BG3055" s="750"/>
      <c r="BH3055" s="750"/>
      <c r="BI3055" s="750"/>
      <c r="BJ3055" s="750"/>
      <c r="BK3055" s="750"/>
      <c r="BL3055" s="750"/>
      <c r="BM3055" s="750"/>
      <c r="BN3055" s="750"/>
      <c r="BO3055" s="750"/>
      <c r="BP3055" s="750"/>
      <c r="BQ3055" s="750"/>
    </row>
    <row r="3056" spans="3:69">
      <c r="C3056" s="853"/>
      <c r="D3056" s="853"/>
      <c r="E3056" s="853"/>
      <c r="F3056" s="853"/>
      <c r="G3056" s="853"/>
      <c r="H3056" s="853"/>
      <c r="I3056" s="848"/>
      <c r="J3056" s="848"/>
      <c r="K3056" s="1295"/>
      <c r="L3056" s="1295"/>
      <c r="M3056" s="1295"/>
      <c r="N3056" s="1295"/>
      <c r="O3056" s="1295"/>
      <c r="P3056" s="853"/>
      <c r="Q3056" s="1295"/>
      <c r="R3056" s="848"/>
      <c r="S3056" s="848"/>
      <c r="T3056" s="848"/>
      <c r="U3056" s="848"/>
      <c r="V3056" s="1296"/>
      <c r="W3056" s="848"/>
      <c r="X3056" s="848"/>
      <c r="Y3056" s="1295"/>
      <c r="Z3056" s="1296"/>
      <c r="AA3056" s="1295"/>
      <c r="AB3056" s="1296"/>
      <c r="AC3056" s="1295"/>
      <c r="AD3056" s="1295"/>
      <c r="AE3056" s="2556"/>
      <c r="AF3056" s="750"/>
      <c r="AG3056" s="750"/>
      <c r="AH3056" s="750"/>
      <c r="AI3056" s="750"/>
      <c r="AJ3056" s="750"/>
      <c r="AK3056" s="750"/>
      <c r="AL3056" s="750"/>
      <c r="AM3056" s="750"/>
      <c r="AN3056" s="750"/>
      <c r="AO3056" s="750"/>
      <c r="AP3056" s="750"/>
      <c r="AQ3056" s="750"/>
      <c r="AR3056" s="750"/>
      <c r="AS3056" s="750"/>
      <c r="AT3056" s="750"/>
      <c r="AU3056" s="750"/>
      <c r="AV3056" s="750"/>
      <c r="AW3056" s="750"/>
      <c r="AX3056" s="750"/>
      <c r="AY3056" s="750"/>
      <c r="AZ3056" s="750"/>
      <c r="BA3056" s="750"/>
      <c r="BB3056" s="750"/>
      <c r="BC3056" s="750"/>
      <c r="BD3056" s="750"/>
      <c r="BE3056" s="750"/>
      <c r="BF3056" s="750"/>
      <c r="BG3056" s="750"/>
      <c r="BH3056" s="750"/>
      <c r="BI3056" s="750"/>
      <c r="BJ3056" s="750"/>
      <c r="BK3056" s="750"/>
      <c r="BL3056" s="750"/>
      <c r="BM3056" s="750"/>
      <c r="BN3056" s="750"/>
      <c r="BO3056" s="750"/>
      <c r="BP3056" s="750"/>
      <c r="BQ3056" s="750"/>
    </row>
    <row r="3057" spans="3:69">
      <c r="C3057" s="853"/>
      <c r="D3057" s="853"/>
      <c r="E3057" s="853"/>
      <c r="F3057" s="853"/>
      <c r="G3057" s="853"/>
      <c r="H3057" s="853"/>
      <c r="I3057" s="848"/>
      <c r="J3057" s="848"/>
      <c r="K3057" s="1295"/>
      <c r="L3057" s="1295"/>
      <c r="M3057" s="1295"/>
      <c r="N3057" s="1295"/>
      <c r="O3057" s="1295"/>
      <c r="P3057" s="853"/>
      <c r="Q3057" s="1295"/>
      <c r="R3057" s="848"/>
      <c r="S3057" s="848"/>
      <c r="T3057" s="848"/>
      <c r="U3057" s="848"/>
      <c r="V3057" s="1296"/>
      <c r="W3057" s="848"/>
      <c r="X3057" s="848"/>
      <c r="Y3057" s="1295"/>
      <c r="Z3057" s="1296"/>
      <c r="AA3057" s="1295"/>
      <c r="AB3057" s="1296"/>
      <c r="AC3057" s="1295"/>
      <c r="AD3057" s="1295"/>
      <c r="AE3057" s="2556"/>
      <c r="AF3057" s="750"/>
      <c r="AG3057" s="750"/>
      <c r="AH3057" s="750"/>
      <c r="AI3057" s="750"/>
      <c r="AJ3057" s="750"/>
      <c r="AK3057" s="750"/>
      <c r="AL3057" s="750"/>
      <c r="AM3057" s="750"/>
      <c r="AN3057" s="750"/>
      <c r="AO3057" s="750"/>
      <c r="AP3057" s="750"/>
      <c r="AQ3057" s="750"/>
      <c r="AR3057" s="750"/>
      <c r="AS3057" s="750"/>
      <c r="AT3057" s="750"/>
      <c r="AU3057" s="750"/>
      <c r="AV3057" s="750"/>
      <c r="AW3057" s="750"/>
      <c r="AX3057" s="750"/>
      <c r="AY3057" s="750"/>
      <c r="AZ3057" s="750"/>
      <c r="BA3057" s="750"/>
      <c r="BB3057" s="750"/>
      <c r="BC3057" s="750"/>
      <c r="BD3057" s="750"/>
      <c r="BE3057" s="750"/>
      <c r="BF3057" s="750"/>
      <c r="BG3057" s="750"/>
      <c r="BH3057" s="750"/>
      <c r="BI3057" s="750"/>
      <c r="BJ3057" s="750"/>
      <c r="BK3057" s="750"/>
      <c r="BL3057" s="750"/>
      <c r="BM3057" s="750"/>
      <c r="BN3057" s="750"/>
      <c r="BO3057" s="750"/>
      <c r="BP3057" s="750"/>
      <c r="BQ3057" s="750"/>
    </row>
    <row r="3058" spans="3:69">
      <c r="C3058" s="853"/>
      <c r="D3058" s="853"/>
      <c r="E3058" s="853"/>
      <c r="F3058" s="853"/>
      <c r="G3058" s="853"/>
      <c r="H3058" s="853"/>
      <c r="I3058" s="848"/>
      <c r="J3058" s="848"/>
      <c r="K3058" s="1295"/>
      <c r="L3058" s="1295"/>
      <c r="M3058" s="1295"/>
      <c r="N3058" s="1295"/>
      <c r="O3058" s="1295"/>
      <c r="P3058" s="853"/>
      <c r="Q3058" s="1295"/>
      <c r="R3058" s="848"/>
      <c r="S3058" s="848"/>
      <c r="T3058" s="848"/>
      <c r="U3058" s="848"/>
      <c r="V3058" s="1296"/>
      <c r="W3058" s="848"/>
      <c r="X3058" s="848"/>
      <c r="Y3058" s="1295"/>
      <c r="Z3058" s="1296"/>
      <c r="AA3058" s="1295"/>
      <c r="AB3058" s="1296"/>
      <c r="AC3058" s="1295"/>
      <c r="AD3058" s="1295"/>
      <c r="AE3058" s="2556"/>
      <c r="AF3058" s="750"/>
      <c r="AG3058" s="750"/>
      <c r="AH3058" s="750"/>
      <c r="AI3058" s="750"/>
      <c r="AJ3058" s="750"/>
      <c r="AK3058" s="750"/>
      <c r="AL3058" s="750"/>
      <c r="AM3058" s="750"/>
      <c r="AN3058" s="750"/>
      <c r="AO3058" s="750"/>
      <c r="AP3058" s="750"/>
      <c r="AQ3058" s="750"/>
      <c r="AR3058" s="750"/>
      <c r="AS3058" s="750"/>
      <c r="AT3058" s="750"/>
      <c r="AU3058" s="750"/>
      <c r="AV3058" s="750"/>
      <c r="AW3058" s="750"/>
      <c r="AX3058" s="750"/>
      <c r="AY3058" s="750"/>
      <c r="AZ3058" s="750"/>
      <c r="BA3058" s="750"/>
      <c r="BB3058" s="750"/>
      <c r="BC3058" s="750"/>
      <c r="BD3058" s="750"/>
      <c r="BE3058" s="750"/>
      <c r="BF3058" s="750"/>
      <c r="BG3058" s="750"/>
      <c r="BH3058" s="750"/>
      <c r="BI3058" s="750"/>
      <c r="BJ3058" s="750"/>
      <c r="BK3058" s="750"/>
      <c r="BL3058" s="750"/>
      <c r="BM3058" s="750"/>
      <c r="BN3058" s="750"/>
      <c r="BO3058" s="750"/>
      <c r="BP3058" s="750"/>
      <c r="BQ3058" s="750"/>
    </row>
    <row r="3059" spans="3:69">
      <c r="C3059" s="853"/>
      <c r="D3059" s="853"/>
      <c r="E3059" s="853"/>
      <c r="F3059" s="853"/>
      <c r="G3059" s="853"/>
      <c r="H3059" s="853"/>
      <c r="I3059" s="848"/>
      <c r="J3059" s="848"/>
      <c r="K3059" s="1295"/>
      <c r="L3059" s="1295"/>
      <c r="M3059" s="1295"/>
      <c r="N3059" s="1295"/>
      <c r="O3059" s="1295"/>
      <c r="P3059" s="853"/>
      <c r="Q3059" s="1295"/>
      <c r="R3059" s="848"/>
      <c r="S3059" s="848"/>
      <c r="T3059" s="848"/>
      <c r="U3059" s="848"/>
      <c r="V3059" s="1296"/>
      <c r="W3059" s="848"/>
      <c r="X3059" s="848"/>
      <c r="Y3059" s="1295"/>
      <c r="Z3059" s="1296"/>
      <c r="AA3059" s="1295"/>
      <c r="AB3059" s="1296"/>
      <c r="AC3059" s="1295"/>
      <c r="AD3059" s="1295"/>
      <c r="AE3059" s="2556"/>
      <c r="AF3059" s="750"/>
      <c r="AG3059" s="750"/>
      <c r="AH3059" s="750"/>
      <c r="AI3059" s="750"/>
      <c r="AJ3059" s="750"/>
      <c r="AK3059" s="750"/>
      <c r="AL3059" s="750"/>
      <c r="AM3059" s="750"/>
      <c r="AN3059" s="750"/>
      <c r="AO3059" s="750"/>
      <c r="AP3059" s="750"/>
      <c r="AQ3059" s="750"/>
      <c r="AR3059" s="750"/>
      <c r="AS3059" s="750"/>
      <c r="AT3059" s="750"/>
      <c r="AU3059" s="750"/>
      <c r="AV3059" s="750"/>
      <c r="AW3059" s="750"/>
      <c r="AX3059" s="750"/>
      <c r="AY3059" s="750"/>
      <c r="AZ3059" s="750"/>
      <c r="BA3059" s="750"/>
      <c r="BB3059" s="750"/>
      <c r="BC3059" s="750"/>
      <c r="BD3059" s="750"/>
      <c r="BE3059" s="750"/>
      <c r="BF3059" s="750"/>
      <c r="BG3059" s="750"/>
      <c r="BH3059" s="750"/>
      <c r="BI3059" s="750"/>
      <c r="BJ3059" s="750"/>
      <c r="BK3059" s="750"/>
      <c r="BL3059" s="750"/>
      <c r="BM3059" s="750"/>
      <c r="BN3059" s="750"/>
      <c r="BO3059" s="750"/>
      <c r="BP3059" s="750"/>
      <c r="BQ3059" s="750"/>
    </row>
    <row r="3060" spans="3:69">
      <c r="C3060" s="853"/>
      <c r="D3060" s="853"/>
      <c r="E3060" s="853"/>
      <c r="F3060" s="853"/>
      <c r="G3060" s="853"/>
      <c r="H3060" s="853"/>
      <c r="I3060" s="848"/>
      <c r="J3060" s="848"/>
      <c r="K3060" s="1295"/>
      <c r="L3060" s="1295"/>
      <c r="M3060" s="1295"/>
      <c r="N3060" s="1295"/>
      <c r="O3060" s="1295"/>
      <c r="P3060" s="853"/>
      <c r="Q3060" s="1295"/>
      <c r="R3060" s="848"/>
      <c r="S3060" s="848"/>
      <c r="T3060" s="848"/>
      <c r="U3060" s="848"/>
      <c r="V3060" s="1296"/>
      <c r="W3060" s="848"/>
      <c r="X3060" s="848"/>
      <c r="Y3060" s="1295"/>
      <c r="Z3060" s="1296"/>
      <c r="AA3060" s="1295"/>
      <c r="AB3060" s="1296"/>
      <c r="AC3060" s="1295"/>
      <c r="AD3060" s="1295"/>
      <c r="AE3060" s="2556"/>
      <c r="AF3060" s="750"/>
      <c r="AG3060" s="750"/>
      <c r="AH3060" s="750"/>
      <c r="AI3060" s="750"/>
      <c r="AJ3060" s="750"/>
      <c r="AK3060" s="750"/>
      <c r="AL3060" s="750"/>
      <c r="AM3060" s="750"/>
      <c r="AN3060" s="750"/>
      <c r="AO3060" s="750"/>
      <c r="AP3060" s="750"/>
      <c r="AQ3060" s="750"/>
      <c r="AR3060" s="750"/>
      <c r="AS3060" s="750"/>
      <c r="AT3060" s="750"/>
      <c r="AU3060" s="750"/>
      <c r="AV3060" s="750"/>
      <c r="AW3060" s="750"/>
      <c r="AX3060" s="750"/>
      <c r="AY3060" s="750"/>
      <c r="AZ3060" s="750"/>
      <c r="BA3060" s="750"/>
      <c r="BB3060" s="750"/>
      <c r="BC3060" s="750"/>
      <c r="BD3060" s="750"/>
      <c r="BE3060" s="750"/>
      <c r="BF3060" s="750"/>
      <c r="BG3060" s="750"/>
      <c r="BH3060" s="750"/>
      <c r="BI3060" s="750"/>
      <c r="BJ3060" s="750"/>
      <c r="BK3060" s="750"/>
      <c r="BL3060" s="750"/>
      <c r="BM3060" s="750"/>
      <c r="BN3060" s="750"/>
      <c r="BO3060" s="750"/>
      <c r="BP3060" s="750"/>
      <c r="BQ3060" s="750"/>
    </row>
    <row r="3061" spans="3:69">
      <c r="C3061" s="853"/>
      <c r="D3061" s="853"/>
      <c r="E3061" s="853"/>
      <c r="F3061" s="853"/>
      <c r="G3061" s="853"/>
      <c r="H3061" s="853"/>
      <c r="I3061" s="848"/>
      <c r="J3061" s="848"/>
      <c r="K3061" s="1295"/>
      <c r="L3061" s="1295"/>
      <c r="M3061" s="1295"/>
      <c r="N3061" s="1295"/>
      <c r="O3061" s="1295"/>
      <c r="P3061" s="853"/>
      <c r="Q3061" s="1295"/>
      <c r="R3061" s="848"/>
      <c r="S3061" s="848"/>
      <c r="T3061" s="848"/>
      <c r="U3061" s="848"/>
      <c r="V3061" s="1296"/>
      <c r="W3061" s="848"/>
      <c r="X3061" s="848"/>
      <c r="Y3061" s="1295"/>
      <c r="Z3061" s="1296"/>
      <c r="AA3061" s="1295"/>
      <c r="AB3061" s="1296"/>
      <c r="AC3061" s="1295"/>
      <c r="AD3061" s="1295"/>
      <c r="AE3061" s="2556"/>
      <c r="AF3061" s="750"/>
      <c r="AG3061" s="750"/>
      <c r="AH3061" s="750"/>
      <c r="AI3061" s="750"/>
      <c r="AJ3061" s="750"/>
      <c r="AK3061" s="750"/>
      <c r="AL3061" s="750"/>
      <c r="AM3061" s="750"/>
      <c r="AN3061" s="750"/>
      <c r="AO3061" s="750"/>
      <c r="AP3061" s="750"/>
      <c r="AQ3061" s="750"/>
      <c r="AR3061" s="750"/>
      <c r="AS3061" s="750"/>
      <c r="AT3061" s="750"/>
      <c r="AU3061" s="750"/>
      <c r="AV3061" s="750"/>
      <c r="AW3061" s="750"/>
      <c r="AX3061" s="750"/>
      <c r="AY3061" s="750"/>
      <c r="AZ3061" s="750"/>
      <c r="BA3061" s="750"/>
      <c r="BB3061" s="750"/>
      <c r="BC3061" s="750"/>
      <c r="BD3061" s="750"/>
      <c r="BE3061" s="750"/>
      <c r="BF3061" s="750"/>
      <c r="BG3061" s="750"/>
      <c r="BH3061" s="750"/>
      <c r="BI3061" s="750"/>
      <c r="BJ3061" s="750"/>
      <c r="BK3061" s="750"/>
      <c r="BL3061" s="750"/>
      <c r="BM3061" s="750"/>
      <c r="BN3061" s="750"/>
      <c r="BO3061" s="750"/>
      <c r="BP3061" s="750"/>
      <c r="BQ3061" s="750"/>
    </row>
    <row r="3062" spans="3:69">
      <c r="C3062" s="853"/>
      <c r="D3062" s="853"/>
      <c r="E3062" s="853"/>
      <c r="F3062" s="853"/>
      <c r="G3062" s="853"/>
      <c r="H3062" s="853"/>
      <c r="I3062" s="848"/>
      <c r="J3062" s="848"/>
      <c r="K3062" s="1295"/>
      <c r="L3062" s="1295"/>
      <c r="M3062" s="1295"/>
      <c r="N3062" s="1295"/>
      <c r="O3062" s="1295"/>
      <c r="P3062" s="853"/>
      <c r="Q3062" s="1295"/>
      <c r="R3062" s="848"/>
      <c r="S3062" s="848"/>
      <c r="T3062" s="848"/>
      <c r="U3062" s="848"/>
      <c r="V3062" s="1296"/>
      <c r="W3062" s="848"/>
      <c r="X3062" s="848"/>
      <c r="Y3062" s="1295"/>
      <c r="Z3062" s="1296"/>
      <c r="AA3062" s="1295"/>
      <c r="AB3062" s="1296"/>
      <c r="AC3062" s="1295"/>
      <c r="AD3062" s="1295"/>
      <c r="AE3062" s="2556"/>
      <c r="AF3062" s="750"/>
      <c r="AG3062" s="750"/>
      <c r="AH3062" s="750"/>
      <c r="AI3062" s="750"/>
      <c r="AJ3062" s="750"/>
      <c r="AK3062" s="750"/>
      <c r="AL3062" s="750"/>
      <c r="AM3062" s="750"/>
      <c r="AN3062" s="750"/>
      <c r="AO3062" s="750"/>
      <c r="AP3062" s="750"/>
      <c r="AQ3062" s="750"/>
      <c r="AR3062" s="750"/>
      <c r="AS3062" s="750"/>
      <c r="AT3062" s="750"/>
      <c r="AU3062" s="750"/>
      <c r="AV3062" s="750"/>
      <c r="AW3062" s="750"/>
      <c r="AX3062" s="750"/>
      <c r="AY3062" s="750"/>
      <c r="AZ3062" s="750"/>
      <c r="BA3062" s="750"/>
      <c r="BB3062" s="750"/>
      <c r="BC3062" s="750"/>
      <c r="BD3062" s="750"/>
      <c r="BE3062" s="750"/>
      <c r="BF3062" s="750"/>
      <c r="BG3062" s="750"/>
      <c r="BH3062" s="750"/>
      <c r="BI3062" s="750"/>
      <c r="BJ3062" s="750"/>
      <c r="BK3062" s="750"/>
      <c r="BL3062" s="750"/>
      <c r="BM3062" s="750"/>
      <c r="BN3062" s="750"/>
      <c r="BO3062" s="750"/>
      <c r="BP3062" s="750"/>
      <c r="BQ3062" s="750"/>
    </row>
    <row r="3063" spans="3:69">
      <c r="C3063" s="853"/>
      <c r="D3063" s="853"/>
      <c r="E3063" s="853"/>
      <c r="F3063" s="853"/>
      <c r="G3063" s="853"/>
      <c r="H3063" s="853"/>
      <c r="I3063" s="848"/>
      <c r="J3063" s="848"/>
      <c r="K3063" s="1295"/>
      <c r="L3063" s="1295"/>
      <c r="M3063" s="1295"/>
      <c r="N3063" s="1295"/>
      <c r="O3063" s="1295"/>
      <c r="P3063" s="853"/>
      <c r="Q3063" s="1295"/>
      <c r="R3063" s="848"/>
      <c r="S3063" s="848"/>
      <c r="T3063" s="848"/>
      <c r="U3063" s="848"/>
      <c r="V3063" s="1296"/>
      <c r="W3063" s="848"/>
      <c r="X3063" s="848"/>
      <c r="Y3063" s="1295"/>
      <c r="Z3063" s="1296"/>
      <c r="AA3063" s="1295"/>
      <c r="AB3063" s="1296"/>
      <c r="AC3063" s="1295"/>
      <c r="AD3063" s="1295"/>
      <c r="AE3063" s="2556"/>
      <c r="AF3063" s="750"/>
      <c r="AG3063" s="750"/>
      <c r="AH3063" s="750"/>
      <c r="AI3063" s="750"/>
      <c r="AJ3063" s="750"/>
      <c r="AK3063" s="750"/>
      <c r="AL3063" s="750"/>
      <c r="AM3063" s="750"/>
      <c r="AN3063" s="750"/>
      <c r="AO3063" s="750"/>
      <c r="AP3063" s="750"/>
      <c r="AQ3063" s="750"/>
      <c r="AR3063" s="750"/>
      <c r="AS3063" s="750"/>
      <c r="AT3063" s="750"/>
      <c r="AU3063" s="750"/>
      <c r="AV3063" s="750"/>
      <c r="AW3063" s="750"/>
      <c r="AX3063" s="750"/>
      <c r="AY3063" s="750"/>
      <c r="AZ3063" s="750"/>
      <c r="BA3063" s="750"/>
      <c r="BB3063" s="750"/>
      <c r="BC3063" s="750"/>
      <c r="BD3063" s="750"/>
      <c r="BE3063" s="750"/>
      <c r="BF3063" s="750"/>
      <c r="BG3063" s="750"/>
      <c r="BH3063" s="750"/>
      <c r="BI3063" s="750"/>
      <c r="BJ3063" s="750"/>
      <c r="BK3063" s="750"/>
      <c r="BL3063" s="750"/>
      <c r="BM3063" s="750"/>
      <c r="BN3063" s="750"/>
      <c r="BO3063" s="750"/>
      <c r="BP3063" s="750"/>
      <c r="BQ3063" s="750"/>
    </row>
    <row r="3064" spans="3:69">
      <c r="C3064" s="853"/>
      <c r="D3064" s="853"/>
      <c r="E3064" s="853"/>
      <c r="F3064" s="853"/>
      <c r="G3064" s="853"/>
      <c r="H3064" s="853"/>
      <c r="I3064" s="848"/>
      <c r="J3064" s="848"/>
      <c r="K3064" s="1295"/>
      <c r="L3064" s="1295"/>
      <c r="M3064" s="1295"/>
      <c r="N3064" s="1295"/>
      <c r="O3064" s="1295"/>
      <c r="P3064" s="853"/>
      <c r="Q3064" s="1295"/>
      <c r="R3064" s="848"/>
      <c r="S3064" s="848"/>
      <c r="T3064" s="848"/>
      <c r="U3064" s="848"/>
      <c r="V3064" s="1296"/>
      <c r="W3064" s="848"/>
      <c r="X3064" s="848"/>
      <c r="Y3064" s="1295"/>
      <c r="Z3064" s="1296"/>
      <c r="AA3064" s="1295"/>
      <c r="AB3064" s="1296"/>
      <c r="AC3064" s="1295"/>
      <c r="AD3064" s="1295"/>
      <c r="AE3064" s="2556"/>
      <c r="AF3064" s="750"/>
      <c r="AG3064" s="750"/>
      <c r="AH3064" s="750"/>
      <c r="AI3064" s="750"/>
      <c r="AJ3064" s="750"/>
      <c r="AK3064" s="750"/>
      <c r="AL3064" s="750"/>
      <c r="AM3064" s="750"/>
      <c r="AN3064" s="750"/>
      <c r="AO3064" s="750"/>
      <c r="AP3064" s="750"/>
      <c r="AQ3064" s="750"/>
      <c r="AR3064" s="750"/>
      <c r="AS3064" s="750"/>
      <c r="AT3064" s="750"/>
      <c r="AU3064" s="750"/>
      <c r="AV3064" s="750"/>
      <c r="AW3064" s="750"/>
      <c r="AX3064" s="750"/>
      <c r="AY3064" s="750"/>
      <c r="AZ3064" s="750"/>
      <c r="BA3064" s="750"/>
      <c r="BB3064" s="750"/>
      <c r="BC3064" s="750"/>
      <c r="BD3064" s="750"/>
      <c r="BE3064" s="750"/>
      <c r="BF3064" s="750"/>
      <c r="BG3064" s="750"/>
      <c r="BH3064" s="750"/>
      <c r="BI3064" s="750"/>
      <c r="BJ3064" s="750"/>
      <c r="BK3064" s="750"/>
      <c r="BL3064" s="750"/>
      <c r="BM3064" s="750"/>
      <c r="BN3064" s="750"/>
      <c r="BO3064" s="750"/>
      <c r="BP3064" s="750"/>
      <c r="BQ3064" s="750"/>
    </row>
    <row r="3065" spans="3:69">
      <c r="C3065" s="853"/>
      <c r="D3065" s="853"/>
      <c r="E3065" s="853"/>
      <c r="F3065" s="853"/>
      <c r="G3065" s="853"/>
      <c r="H3065" s="853"/>
      <c r="I3065" s="848"/>
      <c r="J3065" s="848"/>
      <c r="K3065" s="1295"/>
      <c r="L3065" s="1295"/>
      <c r="M3065" s="1295"/>
      <c r="N3065" s="1295"/>
      <c r="O3065" s="1295"/>
      <c r="P3065" s="853"/>
      <c r="Q3065" s="1295"/>
      <c r="R3065" s="848"/>
      <c r="S3065" s="848"/>
      <c r="T3065" s="848"/>
      <c r="U3065" s="848"/>
      <c r="V3065" s="1296"/>
      <c r="W3065" s="848"/>
      <c r="X3065" s="848"/>
      <c r="Y3065" s="1295"/>
      <c r="Z3065" s="1296"/>
      <c r="AA3065" s="1295"/>
      <c r="AB3065" s="1296"/>
      <c r="AC3065" s="1295"/>
      <c r="AD3065" s="1295"/>
      <c r="AE3065" s="2556"/>
      <c r="AF3065" s="750"/>
      <c r="AG3065" s="750"/>
      <c r="AH3065" s="750"/>
      <c r="AI3065" s="750"/>
      <c r="AJ3065" s="750"/>
      <c r="AK3065" s="750"/>
      <c r="AL3065" s="750"/>
      <c r="AM3065" s="750"/>
      <c r="AN3065" s="750"/>
      <c r="AO3065" s="750"/>
      <c r="AP3065" s="750"/>
      <c r="AQ3065" s="750"/>
      <c r="AR3065" s="750"/>
      <c r="AS3065" s="750"/>
      <c r="AT3065" s="750"/>
      <c r="AU3065" s="750"/>
      <c r="AV3065" s="750"/>
      <c r="AW3065" s="750"/>
      <c r="AX3065" s="750"/>
      <c r="AY3065" s="750"/>
      <c r="AZ3065" s="750"/>
      <c r="BA3065" s="750"/>
      <c r="BB3065" s="750"/>
      <c r="BC3065" s="750"/>
      <c r="BD3065" s="750"/>
      <c r="BE3065" s="750"/>
      <c r="BF3065" s="750"/>
      <c r="BG3065" s="750"/>
      <c r="BH3065" s="750"/>
      <c r="BI3065" s="750"/>
      <c r="BJ3065" s="750"/>
      <c r="BK3065" s="750"/>
      <c r="BL3065" s="750"/>
      <c r="BM3065" s="750"/>
      <c r="BN3065" s="750"/>
      <c r="BO3065" s="750"/>
      <c r="BP3065" s="750"/>
      <c r="BQ3065" s="750"/>
    </row>
    <row r="3066" spans="3:69">
      <c r="C3066" s="853"/>
      <c r="D3066" s="853"/>
      <c r="E3066" s="853"/>
      <c r="F3066" s="853"/>
      <c r="G3066" s="853"/>
      <c r="H3066" s="853"/>
      <c r="I3066" s="848"/>
      <c r="J3066" s="848"/>
      <c r="K3066" s="1295"/>
      <c r="L3066" s="1295"/>
      <c r="M3066" s="1295"/>
      <c r="N3066" s="1295"/>
      <c r="O3066" s="1295"/>
      <c r="P3066" s="853"/>
      <c r="Q3066" s="1295"/>
      <c r="R3066" s="848"/>
      <c r="S3066" s="848"/>
      <c r="T3066" s="848"/>
      <c r="U3066" s="848"/>
      <c r="V3066" s="1296"/>
      <c r="W3066" s="848"/>
      <c r="X3066" s="848"/>
      <c r="Y3066" s="1295"/>
      <c r="Z3066" s="1296"/>
      <c r="AA3066" s="1295"/>
      <c r="AB3066" s="1296"/>
      <c r="AC3066" s="1295"/>
      <c r="AD3066" s="1295"/>
      <c r="AE3066" s="2556"/>
      <c r="AF3066" s="750"/>
      <c r="AG3066" s="750"/>
      <c r="AH3066" s="750"/>
      <c r="AI3066" s="750"/>
      <c r="AJ3066" s="750"/>
      <c r="AK3066" s="750"/>
      <c r="AL3066" s="750"/>
      <c r="AM3066" s="750"/>
      <c r="AN3066" s="750"/>
      <c r="AO3066" s="750"/>
      <c r="AP3066" s="750"/>
      <c r="AQ3066" s="750"/>
      <c r="AR3066" s="750"/>
      <c r="AS3066" s="750"/>
      <c r="AT3066" s="750"/>
      <c r="AU3066" s="750"/>
      <c r="AV3066" s="750"/>
      <c r="AW3066" s="750"/>
      <c r="AX3066" s="750"/>
      <c r="AY3066" s="750"/>
      <c r="AZ3066" s="750"/>
      <c r="BA3066" s="750"/>
      <c r="BB3066" s="750"/>
      <c r="BC3066" s="750"/>
      <c r="BD3066" s="750"/>
      <c r="BE3066" s="750"/>
      <c r="BF3066" s="750"/>
      <c r="BG3066" s="750"/>
      <c r="BH3066" s="750"/>
      <c r="BI3066" s="750"/>
      <c r="BJ3066" s="750"/>
      <c r="BK3066" s="750"/>
      <c r="BL3066" s="750"/>
      <c r="BM3066" s="750"/>
      <c r="BN3066" s="750"/>
      <c r="BO3066" s="750"/>
      <c r="BP3066" s="750"/>
      <c r="BQ3066" s="750"/>
    </row>
    <row r="3067" spans="3:69">
      <c r="C3067" s="853"/>
      <c r="D3067" s="853"/>
      <c r="E3067" s="853"/>
      <c r="F3067" s="853"/>
      <c r="G3067" s="853"/>
      <c r="H3067" s="853"/>
      <c r="I3067" s="848"/>
      <c r="J3067" s="848"/>
      <c r="K3067" s="1295"/>
      <c r="L3067" s="1295"/>
      <c r="M3067" s="1295"/>
      <c r="N3067" s="1295"/>
      <c r="O3067" s="1295"/>
      <c r="P3067" s="853"/>
      <c r="Q3067" s="1295"/>
      <c r="R3067" s="848"/>
      <c r="S3067" s="848"/>
      <c r="T3067" s="848"/>
      <c r="U3067" s="848"/>
      <c r="V3067" s="1296"/>
      <c r="W3067" s="848"/>
      <c r="X3067" s="848"/>
      <c r="Y3067" s="1295"/>
      <c r="Z3067" s="1296"/>
      <c r="AA3067" s="1295"/>
      <c r="AB3067" s="1296"/>
      <c r="AC3067" s="1295"/>
      <c r="AD3067" s="1295"/>
      <c r="AE3067" s="2556"/>
      <c r="AF3067" s="750"/>
      <c r="AG3067" s="750"/>
      <c r="AH3067" s="750"/>
      <c r="AI3067" s="750"/>
      <c r="AJ3067" s="750"/>
      <c r="AK3067" s="750"/>
      <c r="AL3067" s="750"/>
      <c r="AM3067" s="750"/>
      <c r="AN3067" s="750"/>
      <c r="AO3067" s="750"/>
      <c r="AP3067" s="750"/>
      <c r="AQ3067" s="750"/>
      <c r="AR3067" s="750"/>
      <c r="AS3067" s="750"/>
      <c r="AT3067" s="750"/>
      <c r="AU3067" s="750"/>
      <c r="AV3067" s="750"/>
      <c r="AW3067" s="750"/>
      <c r="AX3067" s="750"/>
      <c r="AY3067" s="750"/>
      <c r="AZ3067" s="750"/>
      <c r="BA3067" s="750"/>
      <c r="BB3067" s="750"/>
      <c r="BC3067" s="750"/>
      <c r="BD3067" s="750"/>
      <c r="BE3067" s="750"/>
      <c r="BF3067" s="750"/>
      <c r="BG3067" s="750"/>
      <c r="BH3067" s="750"/>
      <c r="BI3067" s="750"/>
      <c r="BJ3067" s="750"/>
      <c r="BK3067" s="750"/>
      <c r="BL3067" s="750"/>
      <c r="BM3067" s="750"/>
      <c r="BN3067" s="750"/>
      <c r="BO3067" s="750"/>
      <c r="BP3067" s="750"/>
      <c r="BQ3067" s="750"/>
    </row>
    <row r="3068" spans="3:69">
      <c r="C3068" s="853"/>
      <c r="D3068" s="853"/>
      <c r="E3068" s="853"/>
      <c r="F3068" s="853"/>
      <c r="G3068" s="853"/>
      <c r="H3068" s="853"/>
      <c r="I3068" s="848"/>
      <c r="J3068" s="848"/>
      <c r="K3068" s="1295"/>
      <c r="L3068" s="1295"/>
      <c r="M3068" s="1295"/>
      <c r="N3068" s="1295"/>
      <c r="O3068" s="1295"/>
      <c r="P3068" s="853"/>
      <c r="Q3068" s="1295"/>
      <c r="R3068" s="848"/>
      <c r="S3068" s="848"/>
      <c r="T3068" s="848"/>
      <c r="U3068" s="848"/>
      <c r="V3068" s="1296"/>
      <c r="W3068" s="848"/>
      <c r="X3068" s="848"/>
      <c r="Y3068" s="1295"/>
      <c r="Z3068" s="1296"/>
      <c r="AA3068" s="1295"/>
      <c r="AB3068" s="1296"/>
      <c r="AC3068" s="1295"/>
      <c r="AD3068" s="1295"/>
      <c r="AE3068" s="2556"/>
      <c r="AF3068" s="750"/>
      <c r="AG3068" s="750"/>
      <c r="AH3068" s="750"/>
      <c r="AI3068" s="750"/>
      <c r="AJ3068" s="750"/>
      <c r="AK3068" s="750"/>
      <c r="AL3068" s="750"/>
      <c r="AM3068" s="750"/>
      <c r="AN3068" s="750"/>
      <c r="AO3068" s="750"/>
      <c r="AP3068" s="750"/>
      <c r="AQ3068" s="750"/>
      <c r="AR3068" s="750"/>
      <c r="AS3068" s="750"/>
      <c r="AT3068" s="750"/>
      <c r="AU3068" s="750"/>
      <c r="AV3068" s="750"/>
      <c r="AW3068" s="750"/>
      <c r="AX3068" s="750"/>
      <c r="AY3068" s="750"/>
      <c r="AZ3068" s="750"/>
      <c r="BA3068" s="750"/>
      <c r="BB3068" s="750"/>
      <c r="BC3068" s="750"/>
      <c r="BD3068" s="750"/>
      <c r="BE3068" s="750"/>
      <c r="BF3068" s="750"/>
      <c r="BG3068" s="750"/>
      <c r="BH3068" s="750"/>
      <c r="BI3068" s="750"/>
      <c r="BJ3068" s="750"/>
      <c r="BK3068" s="750"/>
      <c r="BL3068" s="750"/>
      <c r="BM3068" s="750"/>
      <c r="BN3068" s="750"/>
      <c r="BO3068" s="750"/>
      <c r="BP3068" s="750"/>
      <c r="BQ3068" s="750"/>
    </row>
    <row r="3069" spans="3:69">
      <c r="C3069" s="853"/>
      <c r="D3069" s="853"/>
      <c r="E3069" s="853"/>
      <c r="F3069" s="853"/>
      <c r="G3069" s="853"/>
      <c r="H3069" s="853"/>
      <c r="I3069" s="848"/>
      <c r="J3069" s="848"/>
      <c r="K3069" s="1295"/>
      <c r="L3069" s="1295"/>
      <c r="M3069" s="1295"/>
      <c r="N3069" s="1295"/>
      <c r="O3069" s="1295"/>
      <c r="P3069" s="853"/>
      <c r="Q3069" s="1295"/>
      <c r="R3069" s="848"/>
      <c r="S3069" s="848"/>
      <c r="T3069" s="848"/>
      <c r="U3069" s="848"/>
      <c r="V3069" s="1296"/>
      <c r="W3069" s="848"/>
      <c r="X3069" s="848"/>
      <c r="Y3069" s="1295"/>
      <c r="Z3069" s="1296"/>
      <c r="AA3069" s="1295"/>
      <c r="AB3069" s="1296"/>
      <c r="AC3069" s="1295"/>
      <c r="AD3069" s="1295"/>
      <c r="AE3069" s="2556"/>
      <c r="AF3069" s="750"/>
      <c r="AG3069" s="750"/>
      <c r="AH3069" s="750"/>
      <c r="AI3069" s="750"/>
      <c r="AJ3069" s="750"/>
      <c r="AK3069" s="750"/>
      <c r="AL3069" s="750"/>
      <c r="AM3069" s="750"/>
      <c r="AN3069" s="750"/>
      <c r="AO3069" s="750"/>
      <c r="AP3069" s="750"/>
      <c r="AQ3069" s="750"/>
      <c r="AR3069" s="750"/>
      <c r="AS3069" s="750"/>
      <c r="AT3069" s="750"/>
      <c r="AU3069" s="750"/>
      <c r="AV3069" s="750"/>
      <c r="AW3069" s="750"/>
      <c r="AX3069" s="750"/>
      <c r="AY3069" s="750"/>
      <c r="AZ3069" s="750"/>
      <c r="BA3069" s="750"/>
      <c r="BB3069" s="750"/>
      <c r="BC3069" s="750"/>
      <c r="BD3069" s="750"/>
      <c r="BE3069" s="750"/>
      <c r="BF3069" s="750"/>
      <c r="BG3069" s="750"/>
      <c r="BH3069" s="750"/>
      <c r="BI3069" s="750"/>
      <c r="BJ3069" s="750"/>
      <c r="BK3069" s="750"/>
      <c r="BL3069" s="750"/>
      <c r="BM3069" s="750"/>
      <c r="BN3069" s="750"/>
      <c r="BO3069" s="750"/>
      <c r="BP3069" s="750"/>
      <c r="BQ3069" s="750"/>
    </row>
    <row r="3070" spans="3:69">
      <c r="C3070" s="853"/>
      <c r="D3070" s="853"/>
      <c r="E3070" s="853"/>
      <c r="F3070" s="853"/>
      <c r="G3070" s="853"/>
      <c r="H3070" s="853"/>
      <c r="I3070" s="848"/>
      <c r="J3070" s="848"/>
      <c r="K3070" s="1295"/>
      <c r="L3070" s="1295"/>
      <c r="M3070" s="1295"/>
      <c r="N3070" s="1295"/>
      <c r="O3070" s="1295"/>
      <c r="P3070" s="853"/>
      <c r="Q3070" s="1295"/>
      <c r="R3070" s="848"/>
      <c r="S3070" s="848"/>
      <c r="T3070" s="848"/>
      <c r="U3070" s="848"/>
      <c r="V3070" s="1296"/>
      <c r="W3070" s="848"/>
      <c r="X3070" s="848"/>
      <c r="Y3070" s="1295"/>
      <c r="Z3070" s="1296"/>
      <c r="AA3070" s="1295"/>
      <c r="AB3070" s="1296"/>
      <c r="AC3070" s="1295"/>
      <c r="AD3070" s="1295"/>
      <c r="AE3070" s="2556"/>
      <c r="AF3070" s="750"/>
      <c r="AG3070" s="750"/>
      <c r="AH3070" s="750"/>
      <c r="AI3070" s="750"/>
      <c r="AJ3070" s="750"/>
      <c r="AK3070" s="750"/>
      <c r="AL3070" s="750"/>
      <c r="AM3070" s="750"/>
      <c r="AN3070" s="750"/>
      <c r="AO3070" s="750"/>
      <c r="AP3070" s="750"/>
      <c r="AQ3070" s="750"/>
      <c r="AR3070" s="750"/>
      <c r="AS3070" s="750"/>
      <c r="AT3070" s="750"/>
      <c r="AU3070" s="750"/>
      <c r="AV3070" s="750"/>
      <c r="AW3070" s="750"/>
      <c r="AX3070" s="750"/>
      <c r="AY3070" s="750"/>
      <c r="AZ3070" s="750"/>
      <c r="BA3070" s="750"/>
      <c r="BB3070" s="750"/>
      <c r="BC3070" s="750"/>
      <c r="BD3070" s="750"/>
      <c r="BE3070" s="750"/>
      <c r="BF3070" s="750"/>
      <c r="BG3070" s="750"/>
      <c r="BH3070" s="750"/>
      <c r="BI3070" s="750"/>
      <c r="BJ3070" s="750"/>
      <c r="BK3070" s="750"/>
      <c r="BL3070" s="750"/>
      <c r="BM3070" s="750"/>
      <c r="BN3070" s="750"/>
      <c r="BO3070" s="750"/>
      <c r="BP3070" s="750"/>
      <c r="BQ3070" s="750"/>
    </row>
    <row r="3071" spans="3:69">
      <c r="C3071" s="853"/>
      <c r="D3071" s="853"/>
      <c r="E3071" s="853"/>
      <c r="F3071" s="853"/>
      <c r="G3071" s="853"/>
      <c r="H3071" s="853"/>
      <c r="I3071" s="848"/>
      <c r="J3071" s="848"/>
      <c r="K3071" s="1295"/>
      <c r="L3071" s="1295"/>
      <c r="M3071" s="1295"/>
      <c r="N3071" s="1295"/>
      <c r="O3071" s="1295"/>
      <c r="P3071" s="853"/>
      <c r="Q3071" s="1295"/>
      <c r="R3071" s="848"/>
      <c r="S3071" s="848"/>
      <c r="T3071" s="848"/>
      <c r="U3071" s="848"/>
      <c r="V3071" s="1296"/>
      <c r="W3071" s="848"/>
      <c r="X3071" s="848"/>
      <c r="Y3071" s="1295"/>
      <c r="Z3071" s="1296"/>
      <c r="AA3071" s="1295"/>
      <c r="AB3071" s="1296"/>
      <c r="AC3071" s="1295"/>
      <c r="AD3071" s="1295"/>
      <c r="AE3071" s="2556"/>
      <c r="AF3071" s="750"/>
      <c r="AG3071" s="750"/>
      <c r="AH3071" s="750"/>
      <c r="AI3071" s="750"/>
      <c r="AJ3071" s="750"/>
      <c r="AK3071" s="750"/>
      <c r="AL3071" s="750"/>
      <c r="AM3071" s="750"/>
      <c r="AN3071" s="750"/>
      <c r="AO3071" s="750"/>
      <c r="AP3071" s="750"/>
      <c r="AQ3071" s="750"/>
      <c r="AR3071" s="750"/>
      <c r="AS3071" s="750"/>
      <c r="AT3071" s="750"/>
      <c r="AU3071" s="750"/>
      <c r="AV3071" s="750"/>
      <c r="AW3071" s="750"/>
      <c r="AX3071" s="750"/>
      <c r="AY3071" s="750"/>
      <c r="AZ3071" s="750"/>
      <c r="BA3071" s="750"/>
      <c r="BB3071" s="750"/>
      <c r="BC3071" s="750"/>
      <c r="BD3071" s="750"/>
      <c r="BE3071" s="750"/>
      <c r="BF3071" s="750"/>
      <c r="BG3071" s="750"/>
      <c r="BH3071" s="750"/>
      <c r="BI3071" s="750"/>
      <c r="BJ3071" s="750"/>
      <c r="BK3071" s="750"/>
      <c r="BL3071" s="750"/>
      <c r="BM3071" s="750"/>
      <c r="BN3071" s="750"/>
      <c r="BO3071" s="750"/>
      <c r="BP3071" s="750"/>
      <c r="BQ3071" s="750"/>
    </row>
    <row r="3072" spans="3:69">
      <c r="C3072" s="853"/>
      <c r="D3072" s="853"/>
      <c r="E3072" s="853"/>
      <c r="F3072" s="853"/>
      <c r="G3072" s="853"/>
      <c r="H3072" s="853"/>
      <c r="I3072" s="848"/>
      <c r="J3072" s="848"/>
      <c r="K3072" s="1295"/>
      <c r="L3072" s="1295"/>
      <c r="M3072" s="1295"/>
      <c r="N3072" s="1295"/>
      <c r="O3072" s="1295"/>
      <c r="P3072" s="853"/>
      <c r="Q3072" s="1295"/>
      <c r="R3072" s="848"/>
      <c r="S3072" s="848"/>
      <c r="T3072" s="848"/>
      <c r="U3072" s="848"/>
      <c r="V3072" s="1296"/>
      <c r="W3072" s="848"/>
      <c r="X3072" s="848"/>
      <c r="Y3072" s="1295"/>
      <c r="Z3072" s="1296"/>
      <c r="AA3072" s="1295"/>
      <c r="AB3072" s="1296"/>
      <c r="AC3072" s="1295"/>
      <c r="AD3072" s="1295"/>
      <c r="AE3072" s="2556"/>
      <c r="AF3072" s="750"/>
      <c r="AG3072" s="750"/>
      <c r="AH3072" s="750"/>
      <c r="AI3072" s="750"/>
      <c r="AJ3072" s="750"/>
      <c r="AK3072" s="750"/>
      <c r="AL3072" s="750"/>
      <c r="AM3072" s="750"/>
      <c r="AN3072" s="750"/>
      <c r="AO3072" s="750"/>
      <c r="AP3072" s="750"/>
      <c r="AQ3072" s="750"/>
      <c r="AR3072" s="750"/>
      <c r="AS3072" s="750"/>
      <c r="AT3072" s="750"/>
      <c r="AU3072" s="750"/>
      <c r="AV3072" s="750"/>
      <c r="AW3072" s="750"/>
      <c r="AX3072" s="750"/>
      <c r="AY3072" s="750"/>
      <c r="AZ3072" s="750"/>
      <c r="BA3072" s="750"/>
      <c r="BB3072" s="750"/>
      <c r="BC3072" s="750"/>
      <c r="BD3072" s="750"/>
      <c r="BE3072" s="750"/>
      <c r="BF3072" s="750"/>
      <c r="BG3072" s="750"/>
      <c r="BH3072" s="750"/>
      <c r="BI3072" s="750"/>
      <c r="BJ3072" s="750"/>
      <c r="BK3072" s="750"/>
      <c r="BL3072" s="750"/>
      <c r="BM3072" s="750"/>
      <c r="BN3072" s="750"/>
      <c r="BO3072" s="750"/>
      <c r="BP3072" s="750"/>
      <c r="BQ3072" s="750"/>
    </row>
    <row r="3073" spans="3:69">
      <c r="C3073" s="853"/>
      <c r="D3073" s="853"/>
      <c r="E3073" s="853"/>
      <c r="F3073" s="853"/>
      <c r="G3073" s="853"/>
      <c r="H3073" s="853"/>
      <c r="I3073" s="848"/>
      <c r="J3073" s="848"/>
      <c r="K3073" s="1295"/>
      <c r="L3073" s="1295"/>
      <c r="M3073" s="1295"/>
      <c r="N3073" s="1295"/>
      <c r="O3073" s="1295"/>
      <c r="P3073" s="853"/>
      <c r="Q3073" s="1295"/>
      <c r="R3073" s="848"/>
      <c r="S3073" s="848"/>
      <c r="T3073" s="848"/>
      <c r="U3073" s="848"/>
      <c r="V3073" s="1296"/>
      <c r="W3073" s="848"/>
      <c r="X3073" s="848"/>
      <c r="Y3073" s="1295"/>
      <c r="Z3073" s="1296"/>
      <c r="AA3073" s="1295"/>
      <c r="AB3073" s="1296"/>
      <c r="AC3073" s="1295"/>
      <c r="AD3073" s="1295"/>
      <c r="AE3073" s="2556"/>
      <c r="AF3073" s="750"/>
      <c r="AG3073" s="750"/>
      <c r="AH3073" s="750"/>
      <c r="AI3073" s="750"/>
      <c r="AJ3073" s="750"/>
      <c r="AK3073" s="750"/>
      <c r="AL3073" s="750"/>
      <c r="AM3073" s="750"/>
      <c r="AN3073" s="750"/>
      <c r="AO3073" s="750"/>
      <c r="AP3073" s="750"/>
      <c r="AQ3073" s="750"/>
      <c r="AR3073" s="750"/>
      <c r="AS3073" s="750"/>
      <c r="AT3073" s="750"/>
      <c r="AU3073" s="750"/>
      <c r="AV3073" s="750"/>
      <c r="AW3073" s="750"/>
      <c r="AX3073" s="750"/>
      <c r="AY3073" s="750"/>
      <c r="AZ3073" s="750"/>
      <c r="BA3073" s="750"/>
      <c r="BB3073" s="750"/>
      <c r="BC3073" s="750"/>
      <c r="BD3073" s="750"/>
      <c r="BE3073" s="750"/>
      <c r="BF3073" s="750"/>
      <c r="BG3073" s="750"/>
      <c r="BH3073" s="750"/>
      <c r="BI3073" s="750"/>
      <c r="BJ3073" s="750"/>
      <c r="BK3073" s="750"/>
      <c r="BL3073" s="750"/>
      <c r="BM3073" s="750"/>
      <c r="BN3073" s="750"/>
      <c r="BO3073" s="750"/>
      <c r="BP3073" s="750"/>
      <c r="BQ3073" s="750"/>
    </row>
    <row r="3074" spans="3:69">
      <c r="C3074" s="853"/>
      <c r="D3074" s="853"/>
      <c r="E3074" s="853"/>
      <c r="F3074" s="853"/>
      <c r="G3074" s="853"/>
      <c r="H3074" s="853"/>
      <c r="I3074" s="848"/>
      <c r="J3074" s="848"/>
      <c r="K3074" s="1295"/>
      <c r="L3074" s="1295"/>
      <c r="M3074" s="1295"/>
      <c r="N3074" s="1295"/>
      <c r="O3074" s="1295"/>
      <c r="P3074" s="853"/>
      <c r="Q3074" s="1295"/>
      <c r="R3074" s="848"/>
      <c r="S3074" s="848"/>
      <c r="T3074" s="848"/>
      <c r="U3074" s="848"/>
      <c r="V3074" s="1296"/>
      <c r="W3074" s="848"/>
      <c r="X3074" s="848"/>
      <c r="Y3074" s="1295"/>
      <c r="Z3074" s="1296"/>
      <c r="AA3074" s="1295"/>
      <c r="AB3074" s="1296"/>
      <c r="AC3074" s="1295"/>
      <c r="AD3074" s="1295"/>
      <c r="AE3074" s="2556"/>
      <c r="AF3074" s="750"/>
      <c r="AG3074" s="750"/>
      <c r="AH3074" s="750"/>
      <c r="AI3074" s="750"/>
      <c r="AJ3074" s="750"/>
      <c r="AK3074" s="750"/>
      <c r="AL3074" s="750"/>
      <c r="AM3074" s="750"/>
      <c r="AN3074" s="750"/>
      <c r="AO3074" s="750"/>
      <c r="AP3074" s="750"/>
      <c r="AQ3074" s="750"/>
      <c r="AR3074" s="750"/>
      <c r="AS3074" s="750"/>
      <c r="AT3074" s="750"/>
      <c r="AU3074" s="750"/>
      <c r="AV3074" s="750"/>
      <c r="AW3074" s="750"/>
      <c r="AX3074" s="750"/>
      <c r="AY3074" s="750"/>
      <c r="AZ3074" s="750"/>
      <c r="BA3074" s="750"/>
      <c r="BB3074" s="750"/>
      <c r="BC3074" s="750"/>
      <c r="BD3074" s="750"/>
      <c r="BE3074" s="750"/>
      <c r="BF3074" s="750"/>
      <c r="BG3074" s="750"/>
      <c r="BH3074" s="750"/>
      <c r="BI3074" s="750"/>
      <c r="BJ3074" s="750"/>
      <c r="BK3074" s="750"/>
      <c r="BL3074" s="750"/>
      <c r="BM3074" s="750"/>
      <c r="BN3074" s="750"/>
      <c r="BO3074" s="750"/>
      <c r="BP3074" s="750"/>
      <c r="BQ3074" s="750"/>
    </row>
    <row r="3075" spans="3:69">
      <c r="C3075" s="853"/>
      <c r="D3075" s="853"/>
      <c r="E3075" s="853"/>
      <c r="F3075" s="853"/>
      <c r="G3075" s="853"/>
      <c r="H3075" s="853"/>
      <c r="I3075" s="848"/>
      <c r="J3075" s="848"/>
      <c r="K3075" s="1295"/>
      <c r="L3075" s="1295"/>
      <c r="M3075" s="1295"/>
      <c r="N3075" s="1295"/>
      <c r="O3075" s="1295"/>
      <c r="P3075" s="853"/>
      <c r="Q3075" s="1295"/>
      <c r="R3075" s="848"/>
      <c r="S3075" s="848"/>
      <c r="T3075" s="848"/>
      <c r="U3075" s="848"/>
      <c r="V3075" s="1296"/>
      <c r="W3075" s="848"/>
      <c r="X3075" s="848"/>
      <c r="Y3075" s="1295"/>
      <c r="Z3075" s="1296"/>
      <c r="AA3075" s="1295"/>
      <c r="AB3075" s="1296"/>
      <c r="AC3075" s="1295"/>
      <c r="AD3075" s="1295"/>
      <c r="AE3075" s="2556"/>
      <c r="AF3075" s="750"/>
      <c r="AG3075" s="750"/>
      <c r="AH3075" s="750"/>
      <c r="AI3075" s="750"/>
      <c r="AJ3075" s="750"/>
      <c r="AK3075" s="750"/>
      <c r="AL3075" s="750"/>
      <c r="AM3075" s="750"/>
      <c r="AN3075" s="750"/>
      <c r="AO3075" s="750"/>
      <c r="AP3075" s="750"/>
      <c r="AQ3075" s="750"/>
      <c r="AR3075" s="750"/>
      <c r="AS3075" s="750"/>
      <c r="AT3075" s="750"/>
      <c r="AU3075" s="750"/>
      <c r="AV3075" s="750"/>
      <c r="AW3075" s="750"/>
      <c r="AX3075" s="750"/>
      <c r="AY3075" s="750"/>
      <c r="AZ3075" s="750"/>
      <c r="BA3075" s="750"/>
      <c r="BB3075" s="750"/>
      <c r="BC3075" s="750"/>
      <c r="BD3075" s="750"/>
      <c r="BE3075" s="750"/>
      <c r="BF3075" s="750"/>
      <c r="BG3075" s="750"/>
      <c r="BH3075" s="750"/>
      <c r="BI3075" s="750"/>
      <c r="BJ3075" s="750"/>
      <c r="BK3075" s="750"/>
      <c r="BL3075" s="750"/>
      <c r="BM3075" s="750"/>
      <c r="BN3075" s="750"/>
      <c r="BO3075" s="750"/>
      <c r="BP3075" s="750"/>
      <c r="BQ3075" s="750"/>
    </row>
    <row r="3076" spans="3:69">
      <c r="C3076" s="853"/>
      <c r="D3076" s="853"/>
      <c r="E3076" s="853"/>
      <c r="F3076" s="853"/>
      <c r="G3076" s="853"/>
      <c r="H3076" s="853"/>
      <c r="I3076" s="848"/>
      <c r="J3076" s="848"/>
      <c r="K3076" s="1295"/>
      <c r="L3076" s="1295"/>
      <c r="M3076" s="1295"/>
      <c r="N3076" s="1295"/>
      <c r="O3076" s="1295"/>
      <c r="P3076" s="853"/>
      <c r="Q3076" s="1295"/>
      <c r="R3076" s="848"/>
      <c r="S3076" s="848"/>
      <c r="T3076" s="848"/>
      <c r="U3076" s="848"/>
      <c r="V3076" s="1296"/>
      <c r="W3076" s="848"/>
      <c r="X3076" s="848"/>
      <c r="Y3076" s="1295"/>
      <c r="Z3076" s="1296"/>
      <c r="AA3076" s="1295"/>
      <c r="AB3076" s="1296"/>
      <c r="AC3076" s="1295"/>
      <c r="AD3076" s="1295"/>
      <c r="AE3076" s="2556"/>
      <c r="AF3076" s="750"/>
      <c r="AG3076" s="750"/>
      <c r="AH3076" s="750"/>
      <c r="AI3076" s="750"/>
      <c r="AJ3076" s="750"/>
      <c r="AK3076" s="750"/>
      <c r="AL3076" s="750"/>
      <c r="AM3076" s="750"/>
      <c r="AN3076" s="750"/>
      <c r="AO3076" s="750"/>
      <c r="AP3076" s="750"/>
      <c r="AQ3076" s="750"/>
      <c r="AR3076" s="750"/>
      <c r="AS3076" s="750"/>
      <c r="AT3076" s="750"/>
      <c r="AU3076" s="750"/>
      <c r="AV3076" s="750"/>
      <c r="AW3076" s="750"/>
      <c r="AX3076" s="750"/>
      <c r="AY3076" s="750"/>
      <c r="AZ3076" s="750"/>
      <c r="BA3076" s="750"/>
      <c r="BB3076" s="750"/>
      <c r="BC3076" s="750"/>
      <c r="BD3076" s="750"/>
      <c r="BE3076" s="750"/>
      <c r="BF3076" s="750"/>
      <c r="BG3076" s="750"/>
      <c r="BH3076" s="750"/>
      <c r="BI3076" s="750"/>
      <c r="BJ3076" s="750"/>
      <c r="BK3076" s="750"/>
      <c r="BL3076" s="750"/>
      <c r="BM3076" s="750"/>
      <c r="BN3076" s="750"/>
      <c r="BO3076" s="750"/>
      <c r="BP3076" s="750"/>
      <c r="BQ3076" s="750"/>
    </row>
    <row r="3077" spans="3:69">
      <c r="C3077" s="853"/>
      <c r="D3077" s="853"/>
      <c r="E3077" s="853"/>
      <c r="F3077" s="853"/>
      <c r="G3077" s="853"/>
      <c r="H3077" s="853"/>
      <c r="I3077" s="848"/>
      <c r="J3077" s="848"/>
      <c r="K3077" s="1295"/>
      <c r="L3077" s="1295"/>
      <c r="M3077" s="1295"/>
      <c r="N3077" s="1295"/>
      <c r="O3077" s="1295"/>
      <c r="P3077" s="853"/>
      <c r="Q3077" s="1295"/>
      <c r="R3077" s="848"/>
      <c r="S3077" s="848"/>
      <c r="T3077" s="848"/>
      <c r="U3077" s="848"/>
      <c r="V3077" s="1296"/>
      <c r="W3077" s="848"/>
      <c r="X3077" s="848"/>
      <c r="Y3077" s="1295"/>
      <c r="Z3077" s="1296"/>
      <c r="AA3077" s="1295"/>
      <c r="AB3077" s="1296"/>
      <c r="AC3077" s="1295"/>
      <c r="AD3077" s="1295"/>
      <c r="AE3077" s="2556"/>
      <c r="AF3077" s="750"/>
      <c r="AG3077" s="750"/>
      <c r="AH3077" s="750"/>
      <c r="AI3077" s="750"/>
      <c r="AJ3077" s="750"/>
      <c r="AK3077" s="750"/>
      <c r="AL3077" s="750"/>
      <c r="AM3077" s="750"/>
      <c r="AN3077" s="750"/>
      <c r="AO3077" s="750"/>
      <c r="AP3077" s="750"/>
      <c r="AQ3077" s="750"/>
      <c r="AR3077" s="750"/>
      <c r="AS3077" s="750"/>
      <c r="AT3077" s="750"/>
      <c r="AU3077" s="750"/>
      <c r="AV3077" s="750"/>
      <c r="AW3077" s="750"/>
      <c r="AX3077" s="750"/>
      <c r="AY3077" s="750"/>
      <c r="AZ3077" s="750"/>
      <c r="BA3077" s="750"/>
      <c r="BB3077" s="750"/>
      <c r="BC3077" s="750"/>
      <c r="BD3077" s="750"/>
      <c r="BE3077" s="750"/>
      <c r="BF3077" s="750"/>
      <c r="BG3077" s="750"/>
      <c r="BH3077" s="750"/>
      <c r="BI3077" s="750"/>
      <c r="BJ3077" s="750"/>
      <c r="BK3077" s="750"/>
      <c r="BL3077" s="750"/>
      <c r="BM3077" s="750"/>
      <c r="BN3077" s="750"/>
      <c r="BO3077" s="750"/>
      <c r="BP3077" s="750"/>
      <c r="BQ3077" s="750"/>
    </row>
    <row r="3078" spans="3:69">
      <c r="C3078" s="853"/>
      <c r="D3078" s="853"/>
      <c r="E3078" s="853"/>
      <c r="F3078" s="853"/>
      <c r="G3078" s="853"/>
      <c r="H3078" s="853"/>
      <c r="I3078" s="848"/>
      <c r="J3078" s="848"/>
      <c r="K3078" s="1295"/>
      <c r="L3078" s="1295"/>
      <c r="M3078" s="1295"/>
      <c r="N3078" s="1295"/>
      <c r="O3078" s="1295"/>
      <c r="P3078" s="853"/>
      <c r="Q3078" s="1295"/>
      <c r="R3078" s="848"/>
      <c r="S3078" s="848"/>
      <c r="T3078" s="848"/>
      <c r="U3078" s="848"/>
      <c r="V3078" s="1296"/>
      <c r="W3078" s="848"/>
      <c r="X3078" s="848"/>
      <c r="Y3078" s="1295"/>
      <c r="Z3078" s="1296"/>
      <c r="AA3078" s="1295"/>
      <c r="AB3078" s="1296"/>
      <c r="AC3078" s="1295"/>
      <c r="AD3078" s="1295"/>
      <c r="AE3078" s="2556"/>
      <c r="AF3078" s="750"/>
      <c r="AG3078" s="750"/>
      <c r="AH3078" s="750"/>
      <c r="AI3078" s="750"/>
      <c r="AJ3078" s="750"/>
      <c r="AK3078" s="750"/>
      <c r="AL3078" s="750"/>
      <c r="AM3078" s="750"/>
      <c r="AN3078" s="750"/>
      <c r="AO3078" s="750"/>
      <c r="AP3078" s="750"/>
      <c r="AQ3078" s="750"/>
      <c r="AR3078" s="750"/>
      <c r="AS3078" s="750"/>
      <c r="AT3078" s="750"/>
      <c r="AU3078" s="750"/>
      <c r="AV3078" s="750"/>
      <c r="AW3078" s="750"/>
      <c r="AX3078" s="750"/>
      <c r="AY3078" s="750"/>
      <c r="AZ3078" s="750"/>
      <c r="BA3078" s="750"/>
      <c r="BB3078" s="750"/>
      <c r="BC3078" s="750"/>
      <c r="BD3078" s="750"/>
      <c r="BE3078" s="750"/>
      <c r="BF3078" s="750"/>
      <c r="BG3078" s="750"/>
      <c r="BH3078" s="750"/>
      <c r="BI3078" s="750"/>
      <c r="BJ3078" s="750"/>
      <c r="BK3078" s="750"/>
      <c r="BL3078" s="750"/>
      <c r="BM3078" s="750"/>
      <c r="BN3078" s="750"/>
      <c r="BO3078" s="750"/>
      <c r="BP3078" s="750"/>
      <c r="BQ3078" s="750"/>
    </row>
    <row r="3079" spans="3:69">
      <c r="C3079" s="853"/>
      <c r="D3079" s="853"/>
      <c r="E3079" s="853"/>
      <c r="F3079" s="853"/>
      <c r="G3079" s="853"/>
      <c r="H3079" s="853"/>
      <c r="I3079" s="848"/>
      <c r="J3079" s="848"/>
      <c r="K3079" s="1295"/>
      <c r="L3079" s="1295"/>
      <c r="M3079" s="1295"/>
      <c r="N3079" s="1295"/>
      <c r="O3079" s="1295"/>
      <c r="P3079" s="853"/>
      <c r="Q3079" s="1295"/>
      <c r="R3079" s="848"/>
      <c r="S3079" s="848"/>
      <c r="T3079" s="848"/>
      <c r="U3079" s="848"/>
      <c r="V3079" s="1296"/>
      <c r="W3079" s="848"/>
      <c r="X3079" s="848"/>
      <c r="Y3079" s="1295"/>
      <c r="Z3079" s="1296"/>
      <c r="AA3079" s="1295"/>
      <c r="AB3079" s="1296"/>
      <c r="AC3079" s="1295"/>
      <c r="AD3079" s="1295"/>
      <c r="AE3079" s="2556"/>
      <c r="AF3079" s="750"/>
      <c r="AG3079" s="750"/>
      <c r="AH3079" s="750"/>
      <c r="AI3079" s="750"/>
      <c r="AJ3079" s="750"/>
      <c r="AK3079" s="750"/>
      <c r="AL3079" s="750"/>
      <c r="AM3079" s="750"/>
      <c r="AN3079" s="750"/>
      <c r="AO3079" s="750"/>
      <c r="AP3079" s="750"/>
      <c r="AQ3079" s="750"/>
      <c r="AR3079" s="750"/>
      <c r="AS3079" s="750"/>
      <c r="AT3079" s="750"/>
      <c r="AU3079" s="750"/>
      <c r="AV3079" s="750"/>
      <c r="AW3079" s="750"/>
      <c r="AX3079" s="750"/>
      <c r="AY3079" s="750"/>
      <c r="AZ3079" s="750"/>
      <c r="BA3079" s="750"/>
      <c r="BB3079" s="750"/>
      <c r="BC3079" s="750"/>
      <c r="BD3079" s="750"/>
      <c r="BE3079" s="750"/>
      <c r="BF3079" s="750"/>
      <c r="BG3079" s="750"/>
      <c r="BH3079" s="750"/>
      <c r="BI3079" s="750"/>
      <c r="BJ3079" s="750"/>
      <c r="BK3079" s="750"/>
      <c r="BL3079" s="750"/>
      <c r="BM3079" s="750"/>
      <c r="BN3079" s="750"/>
      <c r="BO3079" s="750"/>
      <c r="BP3079" s="750"/>
      <c r="BQ3079" s="750"/>
    </row>
    <row r="3080" spans="3:69">
      <c r="C3080" s="853"/>
      <c r="D3080" s="853"/>
      <c r="E3080" s="853"/>
      <c r="F3080" s="853"/>
      <c r="G3080" s="853"/>
      <c r="H3080" s="853"/>
      <c r="I3080" s="848"/>
      <c r="J3080" s="848"/>
      <c r="K3080" s="1295"/>
      <c r="L3080" s="1295"/>
      <c r="M3080" s="1295"/>
      <c r="N3080" s="1295"/>
      <c r="O3080" s="1295"/>
      <c r="P3080" s="853"/>
      <c r="Q3080" s="1295"/>
      <c r="R3080" s="848"/>
      <c r="S3080" s="848"/>
      <c r="T3080" s="848"/>
      <c r="U3080" s="848"/>
      <c r="V3080" s="1296"/>
      <c r="W3080" s="848"/>
      <c r="X3080" s="848"/>
      <c r="Y3080" s="1295"/>
      <c r="Z3080" s="1296"/>
      <c r="AA3080" s="1295"/>
      <c r="AB3080" s="1296"/>
      <c r="AC3080" s="1295"/>
      <c r="AD3080" s="1295"/>
      <c r="AE3080" s="2556"/>
      <c r="AF3080" s="750"/>
      <c r="AG3080" s="750"/>
      <c r="AH3080" s="750"/>
      <c r="AI3080" s="750"/>
      <c r="AJ3080" s="750"/>
      <c r="AK3080" s="750"/>
      <c r="AL3080" s="750"/>
      <c r="AM3080" s="750"/>
      <c r="AN3080" s="750"/>
      <c r="AO3080" s="750"/>
      <c r="AP3080" s="750"/>
      <c r="AQ3080" s="750"/>
      <c r="AR3080" s="750"/>
      <c r="AS3080" s="750"/>
      <c r="AT3080" s="750"/>
      <c r="AU3080" s="750"/>
      <c r="AV3080" s="750"/>
      <c r="AW3080" s="750"/>
      <c r="AX3080" s="750"/>
      <c r="AY3080" s="750"/>
      <c r="AZ3080" s="750"/>
      <c r="BA3080" s="750"/>
      <c r="BB3080" s="750"/>
      <c r="BC3080" s="750"/>
      <c r="BD3080" s="750"/>
      <c r="BE3080" s="750"/>
      <c r="BF3080" s="750"/>
      <c r="BG3080" s="750"/>
      <c r="BH3080" s="750"/>
      <c r="BI3080" s="750"/>
      <c r="BJ3080" s="750"/>
      <c r="BK3080" s="750"/>
      <c r="BL3080" s="750"/>
      <c r="BM3080" s="750"/>
      <c r="BN3080" s="750"/>
      <c r="BO3080" s="750"/>
      <c r="BP3080" s="750"/>
      <c r="BQ3080" s="750"/>
    </row>
    <row r="3081" spans="3:69">
      <c r="C3081" s="853"/>
      <c r="D3081" s="853"/>
      <c r="E3081" s="853"/>
      <c r="F3081" s="853"/>
      <c r="G3081" s="853"/>
      <c r="H3081" s="853"/>
      <c r="I3081" s="848"/>
      <c r="J3081" s="848"/>
      <c r="K3081" s="1295"/>
      <c r="L3081" s="1295"/>
      <c r="M3081" s="1295"/>
      <c r="N3081" s="1295"/>
      <c r="O3081" s="1295"/>
      <c r="P3081" s="853"/>
      <c r="Q3081" s="1295"/>
      <c r="R3081" s="848"/>
      <c r="S3081" s="848"/>
      <c r="T3081" s="848"/>
      <c r="U3081" s="848"/>
      <c r="V3081" s="1296"/>
      <c r="W3081" s="848"/>
      <c r="X3081" s="848"/>
      <c r="Y3081" s="1295"/>
      <c r="Z3081" s="1296"/>
      <c r="AA3081" s="1295"/>
      <c r="AB3081" s="1296"/>
      <c r="AC3081" s="1295"/>
      <c r="AD3081" s="1295"/>
      <c r="AE3081" s="2556"/>
      <c r="AF3081" s="750"/>
      <c r="AG3081" s="750"/>
      <c r="AH3081" s="750"/>
      <c r="AI3081" s="750"/>
      <c r="AJ3081" s="750"/>
      <c r="AK3081" s="750"/>
      <c r="AL3081" s="750"/>
      <c r="AM3081" s="750"/>
      <c r="AN3081" s="750"/>
      <c r="AO3081" s="750"/>
      <c r="AP3081" s="750"/>
      <c r="AQ3081" s="750"/>
      <c r="AR3081" s="750"/>
      <c r="AS3081" s="750"/>
      <c r="AT3081" s="750"/>
      <c r="AU3081" s="750"/>
      <c r="AV3081" s="750"/>
      <c r="AW3081" s="750"/>
      <c r="AX3081" s="750"/>
      <c r="AY3081" s="750"/>
      <c r="AZ3081" s="750"/>
      <c r="BA3081" s="750"/>
      <c r="BB3081" s="750"/>
      <c r="BC3081" s="750"/>
      <c r="BD3081" s="750"/>
      <c r="BE3081" s="750"/>
      <c r="BF3081" s="750"/>
      <c r="BG3081" s="750"/>
      <c r="BH3081" s="750"/>
      <c r="BI3081" s="750"/>
      <c r="BJ3081" s="750"/>
      <c r="BK3081" s="750"/>
      <c r="BL3081" s="750"/>
      <c r="BM3081" s="750"/>
      <c r="BN3081" s="750"/>
      <c r="BO3081" s="750"/>
      <c r="BP3081" s="750"/>
      <c r="BQ3081" s="750"/>
    </row>
    <row r="3082" spans="3:69">
      <c r="C3082" s="853"/>
      <c r="D3082" s="853"/>
      <c r="E3082" s="853"/>
      <c r="F3082" s="853"/>
      <c r="G3082" s="853"/>
      <c r="H3082" s="853"/>
      <c r="I3082" s="848"/>
      <c r="J3082" s="848"/>
      <c r="K3082" s="1295"/>
      <c r="L3082" s="1295"/>
      <c r="M3082" s="1295"/>
      <c r="N3082" s="1295"/>
      <c r="O3082" s="1295"/>
      <c r="P3082" s="853"/>
      <c r="Q3082" s="1295"/>
      <c r="R3082" s="848"/>
      <c r="S3082" s="848"/>
      <c r="T3082" s="848"/>
      <c r="U3082" s="848"/>
      <c r="V3082" s="1296"/>
      <c r="W3082" s="848"/>
      <c r="X3082" s="848"/>
      <c r="Y3082" s="1295"/>
      <c r="Z3082" s="1296"/>
      <c r="AA3082" s="1295"/>
      <c r="AB3082" s="1296"/>
      <c r="AC3082" s="1295"/>
      <c r="AD3082" s="1295"/>
      <c r="AE3082" s="2556"/>
      <c r="AF3082" s="750"/>
      <c r="AG3082" s="750"/>
      <c r="AH3082" s="750"/>
      <c r="AI3082" s="750"/>
      <c r="AJ3082" s="750"/>
      <c r="AK3082" s="750"/>
      <c r="AL3082" s="750"/>
      <c r="AM3082" s="750"/>
      <c r="AN3082" s="750"/>
      <c r="AO3082" s="750"/>
      <c r="AP3082" s="750"/>
      <c r="AQ3082" s="750"/>
      <c r="AR3082" s="750"/>
      <c r="AS3082" s="750"/>
      <c r="AT3082" s="750"/>
      <c r="AU3082" s="750"/>
      <c r="AV3082" s="750"/>
      <c r="AW3082" s="750"/>
      <c r="AX3082" s="750"/>
      <c r="AY3082" s="750"/>
      <c r="AZ3082" s="750"/>
      <c r="BA3082" s="750"/>
      <c r="BB3082" s="750"/>
      <c r="BC3082" s="750"/>
      <c r="BD3082" s="750"/>
      <c r="BE3082" s="750"/>
      <c r="BF3082" s="750"/>
      <c r="BG3082" s="750"/>
      <c r="BH3082" s="750"/>
      <c r="BI3082" s="750"/>
      <c r="BJ3082" s="750"/>
      <c r="BK3082" s="750"/>
      <c r="BL3082" s="750"/>
      <c r="BM3082" s="750"/>
      <c r="BN3082" s="750"/>
      <c r="BO3082" s="750"/>
      <c r="BP3082" s="750"/>
      <c r="BQ3082" s="750"/>
    </row>
    <row r="3083" spans="3:69">
      <c r="C3083" s="853"/>
      <c r="D3083" s="853"/>
      <c r="E3083" s="853"/>
      <c r="F3083" s="853"/>
      <c r="G3083" s="853"/>
      <c r="H3083" s="853"/>
      <c r="I3083" s="848"/>
      <c r="J3083" s="848"/>
      <c r="K3083" s="1295"/>
      <c r="L3083" s="1295"/>
      <c r="M3083" s="1295"/>
      <c r="N3083" s="1295"/>
      <c r="O3083" s="1295"/>
      <c r="P3083" s="853"/>
      <c r="Q3083" s="1295"/>
      <c r="R3083" s="848"/>
      <c r="S3083" s="848"/>
      <c r="T3083" s="848"/>
      <c r="U3083" s="848"/>
      <c r="V3083" s="1296"/>
      <c r="W3083" s="848"/>
      <c r="X3083" s="848"/>
      <c r="Y3083" s="1295"/>
      <c r="Z3083" s="1296"/>
      <c r="AA3083" s="1295"/>
      <c r="AB3083" s="1296"/>
      <c r="AC3083" s="1295"/>
      <c r="AD3083" s="1295"/>
      <c r="AE3083" s="2556"/>
      <c r="AF3083" s="750"/>
      <c r="AG3083" s="750"/>
      <c r="AH3083" s="750"/>
      <c r="AI3083" s="750"/>
      <c r="AJ3083" s="750"/>
      <c r="AK3083" s="750"/>
      <c r="AL3083" s="750"/>
      <c r="AM3083" s="750"/>
      <c r="AN3083" s="750"/>
      <c r="AO3083" s="750"/>
      <c r="AP3083" s="750"/>
      <c r="AQ3083" s="750"/>
      <c r="AR3083" s="750"/>
      <c r="AS3083" s="750"/>
      <c r="AT3083" s="750"/>
      <c r="AU3083" s="750"/>
      <c r="AV3083" s="750"/>
      <c r="AW3083" s="750"/>
      <c r="AX3083" s="750"/>
      <c r="AY3083" s="750"/>
      <c r="AZ3083" s="750"/>
      <c r="BA3083" s="750"/>
      <c r="BB3083" s="750"/>
      <c r="BC3083" s="750"/>
      <c r="BD3083" s="750"/>
      <c r="BE3083" s="750"/>
      <c r="BF3083" s="750"/>
      <c r="BG3083" s="750"/>
      <c r="BH3083" s="750"/>
      <c r="BI3083" s="750"/>
      <c r="BJ3083" s="750"/>
      <c r="BK3083" s="750"/>
      <c r="BL3083" s="750"/>
      <c r="BM3083" s="750"/>
      <c r="BN3083" s="750"/>
      <c r="BO3083" s="750"/>
      <c r="BP3083" s="750"/>
      <c r="BQ3083" s="750"/>
    </row>
    <row r="3084" spans="3:69">
      <c r="C3084" s="853"/>
      <c r="D3084" s="853"/>
      <c r="E3084" s="853"/>
      <c r="F3084" s="853"/>
      <c r="G3084" s="853"/>
      <c r="H3084" s="853"/>
      <c r="I3084" s="848"/>
      <c r="J3084" s="848"/>
      <c r="K3084" s="1295"/>
      <c r="L3084" s="1295"/>
      <c r="M3084" s="1295"/>
      <c r="N3084" s="1295"/>
      <c r="O3084" s="1295"/>
      <c r="P3084" s="853"/>
      <c r="Q3084" s="1295"/>
      <c r="R3084" s="848"/>
      <c r="S3084" s="848"/>
      <c r="T3084" s="848"/>
      <c r="U3084" s="848"/>
      <c r="V3084" s="1296"/>
      <c r="W3084" s="848"/>
      <c r="X3084" s="848"/>
      <c r="Y3084" s="1295"/>
      <c r="Z3084" s="1296"/>
      <c r="AA3084" s="1295"/>
      <c r="AB3084" s="1296"/>
      <c r="AC3084" s="1295"/>
      <c r="AD3084" s="1295"/>
      <c r="AE3084" s="2556"/>
      <c r="AF3084" s="750"/>
      <c r="AG3084" s="750"/>
      <c r="AH3084" s="750"/>
      <c r="AI3084" s="750"/>
      <c r="AJ3084" s="750"/>
      <c r="AK3084" s="750"/>
      <c r="AL3084" s="750"/>
      <c r="AM3084" s="750"/>
      <c r="AN3084" s="750"/>
      <c r="AO3084" s="750"/>
      <c r="AP3084" s="750"/>
      <c r="AQ3084" s="750"/>
      <c r="AR3084" s="750"/>
      <c r="AS3084" s="750"/>
      <c r="AT3084" s="750"/>
      <c r="AU3084" s="750"/>
      <c r="AV3084" s="750"/>
      <c r="AW3084" s="750"/>
      <c r="AX3084" s="750"/>
      <c r="AY3084" s="750"/>
      <c r="AZ3084" s="750"/>
      <c r="BA3084" s="750"/>
      <c r="BB3084" s="750"/>
      <c r="BC3084" s="750"/>
      <c r="BD3084" s="750"/>
      <c r="BE3084" s="750"/>
      <c r="BF3084" s="750"/>
      <c r="BG3084" s="750"/>
      <c r="BH3084" s="750"/>
      <c r="BI3084" s="750"/>
      <c r="BJ3084" s="750"/>
      <c r="BK3084" s="750"/>
      <c r="BL3084" s="750"/>
      <c r="BM3084" s="750"/>
      <c r="BN3084" s="750"/>
      <c r="BO3084" s="750"/>
      <c r="BP3084" s="750"/>
      <c r="BQ3084" s="750"/>
    </row>
    <row r="3085" spans="3:69">
      <c r="C3085" s="853"/>
      <c r="D3085" s="853"/>
      <c r="E3085" s="853"/>
      <c r="F3085" s="853"/>
      <c r="G3085" s="853"/>
      <c r="H3085" s="853"/>
      <c r="I3085" s="848"/>
      <c r="J3085" s="848"/>
      <c r="K3085" s="1295"/>
      <c r="L3085" s="1295"/>
      <c r="M3085" s="1295"/>
      <c r="N3085" s="1295"/>
      <c r="O3085" s="1295"/>
      <c r="P3085" s="853"/>
      <c r="Q3085" s="1295"/>
      <c r="R3085" s="848"/>
      <c r="S3085" s="848"/>
      <c r="T3085" s="848"/>
      <c r="U3085" s="848"/>
      <c r="V3085" s="1296"/>
      <c r="W3085" s="848"/>
      <c r="X3085" s="848"/>
      <c r="Y3085" s="1295"/>
      <c r="Z3085" s="1296"/>
      <c r="AA3085" s="1295"/>
      <c r="AB3085" s="1296"/>
      <c r="AC3085" s="1295"/>
      <c r="AD3085" s="1295"/>
      <c r="AE3085" s="2556"/>
      <c r="AF3085" s="750"/>
      <c r="AG3085" s="750"/>
      <c r="AH3085" s="750"/>
      <c r="AI3085" s="750"/>
      <c r="AJ3085" s="750"/>
      <c r="AK3085" s="750"/>
      <c r="AL3085" s="750"/>
      <c r="AM3085" s="750"/>
      <c r="AN3085" s="750"/>
      <c r="AO3085" s="750"/>
      <c r="AP3085" s="750"/>
      <c r="AQ3085" s="750"/>
      <c r="AR3085" s="750"/>
      <c r="AS3085" s="750"/>
      <c r="AT3085" s="750"/>
      <c r="AU3085" s="750"/>
      <c r="AV3085" s="750"/>
      <c r="AW3085" s="750"/>
      <c r="AX3085" s="750"/>
      <c r="AY3085" s="750"/>
      <c r="AZ3085" s="750"/>
      <c r="BA3085" s="750"/>
      <c r="BB3085" s="750"/>
      <c r="BC3085" s="750"/>
      <c r="BD3085" s="750"/>
      <c r="BE3085" s="750"/>
      <c r="BF3085" s="750"/>
      <c r="BG3085" s="750"/>
      <c r="BH3085" s="750"/>
      <c r="BI3085" s="750"/>
      <c r="BJ3085" s="750"/>
      <c r="BK3085" s="750"/>
      <c r="BL3085" s="750"/>
      <c r="BM3085" s="750"/>
      <c r="BN3085" s="750"/>
      <c r="BO3085" s="750"/>
      <c r="BP3085" s="750"/>
      <c r="BQ3085" s="750"/>
    </row>
    <row r="3086" spans="3:69">
      <c r="C3086" s="853"/>
      <c r="D3086" s="853"/>
      <c r="E3086" s="853"/>
      <c r="F3086" s="853"/>
      <c r="G3086" s="853"/>
      <c r="H3086" s="853"/>
      <c r="I3086" s="848"/>
      <c r="J3086" s="848"/>
      <c r="K3086" s="1295"/>
      <c r="L3086" s="1295"/>
      <c r="M3086" s="1295"/>
      <c r="N3086" s="1295"/>
      <c r="O3086" s="1295"/>
      <c r="P3086" s="853"/>
      <c r="Q3086" s="1295"/>
      <c r="R3086" s="848"/>
      <c r="S3086" s="848"/>
      <c r="T3086" s="848"/>
      <c r="U3086" s="848"/>
      <c r="V3086" s="1296"/>
      <c r="W3086" s="848"/>
      <c r="X3086" s="848"/>
      <c r="Y3086" s="1295"/>
      <c r="Z3086" s="1296"/>
      <c r="AA3086" s="1295"/>
      <c r="AB3086" s="1296"/>
      <c r="AC3086" s="1295"/>
      <c r="AD3086" s="1295"/>
      <c r="AE3086" s="2556"/>
      <c r="AF3086" s="750"/>
      <c r="AG3086" s="750"/>
      <c r="AH3086" s="750"/>
      <c r="AI3086" s="750"/>
      <c r="AJ3086" s="750"/>
      <c r="AK3086" s="750"/>
      <c r="AL3086" s="750"/>
      <c r="AM3086" s="750"/>
      <c r="AN3086" s="750"/>
      <c r="AO3086" s="750"/>
      <c r="AP3086" s="750"/>
      <c r="AQ3086" s="750"/>
      <c r="AR3086" s="750"/>
      <c r="AS3086" s="750"/>
      <c r="AT3086" s="750"/>
      <c r="AU3086" s="750"/>
      <c r="AV3086" s="750"/>
      <c r="AW3086" s="750"/>
      <c r="AX3086" s="750"/>
      <c r="AY3086" s="750"/>
      <c r="AZ3086" s="750"/>
      <c r="BA3086" s="750"/>
      <c r="BB3086" s="750"/>
      <c r="BC3086" s="750"/>
      <c r="BD3086" s="750"/>
      <c r="BE3086" s="750"/>
      <c r="BF3086" s="750"/>
      <c r="BG3086" s="750"/>
      <c r="BH3086" s="750"/>
      <c r="BI3086" s="750"/>
      <c r="BJ3086" s="750"/>
      <c r="BK3086" s="750"/>
      <c r="BL3086" s="750"/>
      <c r="BM3086" s="750"/>
      <c r="BN3086" s="750"/>
      <c r="BO3086" s="750"/>
      <c r="BP3086" s="750"/>
      <c r="BQ3086" s="750"/>
    </row>
    <row r="3087" spans="3:69">
      <c r="C3087" s="853"/>
      <c r="D3087" s="853"/>
      <c r="E3087" s="853"/>
      <c r="F3087" s="853"/>
      <c r="G3087" s="853"/>
      <c r="H3087" s="853"/>
      <c r="I3087" s="848"/>
      <c r="J3087" s="848"/>
      <c r="K3087" s="1295"/>
      <c r="L3087" s="1295"/>
      <c r="M3087" s="1295"/>
      <c r="N3087" s="1295"/>
      <c r="O3087" s="1295"/>
      <c r="P3087" s="853"/>
      <c r="Q3087" s="1295"/>
      <c r="R3087" s="848"/>
      <c r="S3087" s="848"/>
      <c r="T3087" s="848"/>
      <c r="U3087" s="848"/>
      <c r="V3087" s="1296"/>
      <c r="W3087" s="848"/>
      <c r="X3087" s="848"/>
      <c r="Y3087" s="1295"/>
      <c r="Z3087" s="1296"/>
      <c r="AA3087" s="1295"/>
      <c r="AB3087" s="1296"/>
      <c r="AC3087" s="1295"/>
      <c r="AD3087" s="1295"/>
      <c r="AE3087" s="2556"/>
      <c r="AF3087" s="750"/>
      <c r="AG3087" s="750"/>
      <c r="AH3087" s="750"/>
      <c r="AI3087" s="750"/>
      <c r="AJ3087" s="750"/>
      <c r="AK3087" s="750"/>
      <c r="AL3087" s="750"/>
      <c r="AM3087" s="750"/>
      <c r="AN3087" s="750"/>
      <c r="AO3087" s="750"/>
      <c r="AP3087" s="750"/>
      <c r="AQ3087" s="750"/>
      <c r="AR3087" s="750"/>
      <c r="AS3087" s="750"/>
      <c r="AT3087" s="750"/>
      <c r="AU3087" s="750"/>
      <c r="AV3087" s="750"/>
      <c r="AW3087" s="750"/>
      <c r="AX3087" s="750"/>
      <c r="AY3087" s="750"/>
      <c r="AZ3087" s="750"/>
      <c r="BA3087" s="750"/>
      <c r="BB3087" s="750"/>
      <c r="BC3087" s="750"/>
      <c r="BD3087" s="750"/>
      <c r="BE3087" s="750"/>
      <c r="BF3087" s="750"/>
      <c r="BG3087" s="750"/>
      <c r="BH3087" s="750"/>
      <c r="BI3087" s="750"/>
      <c r="BJ3087" s="750"/>
      <c r="BK3087" s="750"/>
      <c r="BL3087" s="750"/>
      <c r="BM3087" s="750"/>
      <c r="BN3087" s="750"/>
      <c r="BO3087" s="750"/>
      <c r="BP3087" s="750"/>
      <c r="BQ3087" s="750"/>
    </row>
    <row r="3088" spans="3:69">
      <c r="C3088" s="853"/>
      <c r="D3088" s="853"/>
      <c r="E3088" s="853"/>
      <c r="F3088" s="853"/>
      <c r="G3088" s="853"/>
      <c r="H3088" s="853"/>
      <c r="I3088" s="848"/>
      <c r="J3088" s="848"/>
      <c r="K3088" s="1295"/>
      <c r="L3088" s="1295"/>
      <c r="M3088" s="1295"/>
      <c r="N3088" s="1295"/>
      <c r="O3088" s="1295"/>
      <c r="P3088" s="853"/>
      <c r="Q3088" s="1295"/>
      <c r="R3088" s="848"/>
      <c r="S3088" s="848"/>
      <c r="T3088" s="848"/>
      <c r="U3088" s="848"/>
      <c r="V3088" s="1296"/>
      <c r="W3088" s="848"/>
      <c r="X3088" s="848"/>
      <c r="Y3088" s="1295"/>
      <c r="Z3088" s="1296"/>
      <c r="AA3088" s="1295"/>
      <c r="AB3088" s="1296"/>
      <c r="AC3088" s="1295"/>
      <c r="AD3088" s="1295"/>
      <c r="AE3088" s="2556"/>
      <c r="AF3088" s="750"/>
      <c r="AG3088" s="750"/>
      <c r="AH3088" s="750"/>
      <c r="AI3088" s="750"/>
      <c r="AJ3088" s="750"/>
      <c r="AK3088" s="750"/>
      <c r="AL3088" s="750"/>
      <c r="AM3088" s="750"/>
      <c r="AN3088" s="750"/>
      <c r="AO3088" s="750"/>
      <c r="AP3088" s="750"/>
      <c r="AQ3088" s="750"/>
      <c r="AR3088" s="750"/>
      <c r="AS3088" s="750"/>
      <c r="AT3088" s="750"/>
      <c r="AU3088" s="750"/>
      <c r="AV3088" s="750"/>
      <c r="AW3088" s="750"/>
      <c r="AX3088" s="750"/>
      <c r="AY3088" s="750"/>
      <c r="AZ3088" s="750"/>
      <c r="BA3088" s="750"/>
      <c r="BB3088" s="750"/>
      <c r="BC3088" s="750"/>
      <c r="BD3088" s="750"/>
      <c r="BE3088" s="750"/>
      <c r="BF3088" s="750"/>
      <c r="BG3088" s="750"/>
      <c r="BH3088" s="750"/>
      <c r="BI3088" s="750"/>
      <c r="BJ3088" s="750"/>
      <c r="BK3088" s="750"/>
      <c r="BL3088" s="750"/>
      <c r="BM3088" s="750"/>
      <c r="BN3088" s="750"/>
      <c r="BO3088" s="750"/>
      <c r="BP3088" s="750"/>
      <c r="BQ3088" s="750"/>
    </row>
    <row r="3089" spans="3:69">
      <c r="C3089" s="853"/>
      <c r="D3089" s="853"/>
      <c r="E3089" s="853"/>
      <c r="F3089" s="853"/>
      <c r="G3089" s="853"/>
      <c r="H3089" s="853"/>
      <c r="I3089" s="848"/>
      <c r="J3089" s="848"/>
      <c r="K3089" s="1295"/>
      <c r="L3089" s="1295"/>
      <c r="M3089" s="1295"/>
      <c r="N3089" s="1295"/>
      <c r="O3089" s="1295"/>
      <c r="P3089" s="853"/>
      <c r="Q3089" s="1295"/>
      <c r="R3089" s="848"/>
      <c r="S3089" s="848"/>
      <c r="T3089" s="848"/>
      <c r="U3089" s="848"/>
      <c r="V3089" s="1296"/>
      <c r="W3089" s="848"/>
      <c r="X3089" s="848"/>
      <c r="Y3089" s="1295"/>
      <c r="Z3089" s="1296"/>
      <c r="AA3089" s="1295"/>
      <c r="AB3089" s="1296"/>
      <c r="AC3089" s="1295"/>
      <c r="AD3089" s="1295"/>
      <c r="AE3089" s="2556"/>
      <c r="AF3089" s="750"/>
      <c r="AG3089" s="750"/>
      <c r="AH3089" s="750"/>
      <c r="AI3089" s="750"/>
      <c r="AJ3089" s="750"/>
      <c r="AK3089" s="750"/>
      <c r="AL3089" s="750"/>
      <c r="AM3089" s="750"/>
      <c r="AN3089" s="750"/>
      <c r="AO3089" s="750"/>
      <c r="AP3089" s="750"/>
      <c r="AQ3089" s="750"/>
      <c r="AR3089" s="750"/>
      <c r="AS3089" s="750"/>
      <c r="AT3089" s="750"/>
      <c r="AU3089" s="750"/>
      <c r="AV3089" s="750"/>
      <c r="AW3089" s="750"/>
      <c r="AX3089" s="750"/>
      <c r="AY3089" s="750"/>
      <c r="AZ3089" s="750"/>
      <c r="BA3089" s="750"/>
      <c r="BB3089" s="750"/>
      <c r="BC3089" s="750"/>
      <c r="BD3089" s="750"/>
      <c r="BE3089" s="750"/>
      <c r="BF3089" s="750"/>
      <c r="BG3089" s="750"/>
      <c r="BH3089" s="750"/>
      <c r="BI3089" s="750"/>
      <c r="BJ3089" s="750"/>
      <c r="BK3089" s="750"/>
      <c r="BL3089" s="750"/>
      <c r="BM3089" s="750"/>
      <c r="BN3089" s="750"/>
      <c r="BO3089" s="750"/>
      <c r="BP3089" s="750"/>
      <c r="BQ3089" s="750"/>
    </row>
    <row r="3090" spans="3:69">
      <c r="C3090" s="853"/>
      <c r="D3090" s="853"/>
      <c r="E3090" s="853"/>
      <c r="F3090" s="853"/>
      <c r="G3090" s="853"/>
      <c r="H3090" s="853"/>
      <c r="I3090" s="848"/>
      <c r="J3090" s="848"/>
      <c r="K3090" s="1295"/>
      <c r="L3090" s="1295"/>
      <c r="M3090" s="1295"/>
      <c r="N3090" s="1295"/>
      <c r="O3090" s="1295"/>
      <c r="P3090" s="853"/>
      <c r="Q3090" s="1295"/>
      <c r="R3090" s="848"/>
      <c r="S3090" s="848"/>
      <c r="T3090" s="848"/>
      <c r="U3090" s="848"/>
      <c r="V3090" s="1296"/>
      <c r="W3090" s="848"/>
      <c r="X3090" s="848"/>
      <c r="Y3090" s="1295"/>
      <c r="Z3090" s="1296"/>
      <c r="AA3090" s="1295"/>
      <c r="AB3090" s="1296"/>
      <c r="AC3090" s="1295"/>
      <c r="AD3090" s="1295"/>
      <c r="AE3090" s="2556"/>
      <c r="AF3090" s="750"/>
      <c r="AG3090" s="750"/>
      <c r="AH3090" s="750"/>
      <c r="AI3090" s="750"/>
      <c r="AJ3090" s="750"/>
      <c r="AK3090" s="750"/>
      <c r="AL3090" s="750"/>
      <c r="AM3090" s="750"/>
      <c r="AN3090" s="750"/>
      <c r="AO3090" s="750"/>
      <c r="AP3090" s="750"/>
      <c r="AQ3090" s="750"/>
      <c r="AR3090" s="750"/>
      <c r="AS3090" s="750"/>
      <c r="AT3090" s="750"/>
      <c r="AU3090" s="750"/>
      <c r="AV3090" s="750"/>
      <c r="AW3090" s="750"/>
      <c r="AX3090" s="750"/>
      <c r="AY3090" s="750"/>
      <c r="AZ3090" s="750"/>
      <c r="BA3090" s="750"/>
      <c r="BB3090" s="750"/>
      <c r="BC3090" s="750"/>
      <c r="BD3090" s="750"/>
      <c r="BE3090" s="750"/>
      <c r="BF3090" s="750"/>
      <c r="BG3090" s="750"/>
      <c r="BH3090" s="750"/>
      <c r="BI3090" s="750"/>
      <c r="BJ3090" s="750"/>
      <c r="BK3090" s="750"/>
      <c r="BL3090" s="750"/>
      <c r="BM3090" s="750"/>
      <c r="BN3090" s="750"/>
      <c r="BO3090" s="750"/>
      <c r="BP3090" s="750"/>
      <c r="BQ3090" s="750"/>
    </row>
    <row r="3091" spans="3:69">
      <c r="C3091" s="853"/>
      <c r="D3091" s="853"/>
      <c r="E3091" s="853"/>
      <c r="F3091" s="853"/>
      <c r="G3091" s="853"/>
      <c r="H3091" s="853"/>
      <c r="I3091" s="848"/>
      <c r="J3091" s="848"/>
      <c r="K3091" s="1295"/>
      <c r="L3091" s="1295"/>
      <c r="M3091" s="1295"/>
      <c r="N3091" s="1295"/>
      <c r="O3091" s="1295"/>
      <c r="P3091" s="853"/>
      <c r="Q3091" s="1295"/>
      <c r="R3091" s="848"/>
      <c r="S3091" s="848"/>
      <c r="T3091" s="848"/>
      <c r="U3091" s="848"/>
      <c r="V3091" s="1296"/>
      <c r="W3091" s="848"/>
      <c r="X3091" s="848"/>
      <c r="Y3091" s="1295"/>
      <c r="Z3091" s="1296"/>
      <c r="AA3091" s="1295"/>
      <c r="AB3091" s="1296"/>
      <c r="AC3091" s="1295"/>
      <c r="AD3091" s="1295"/>
      <c r="AE3091" s="2556"/>
      <c r="AF3091" s="750"/>
      <c r="AG3091" s="750"/>
      <c r="AH3091" s="750"/>
      <c r="AI3091" s="750"/>
      <c r="AJ3091" s="750"/>
      <c r="AK3091" s="750"/>
      <c r="AL3091" s="750"/>
      <c r="AM3091" s="750"/>
      <c r="AN3091" s="750"/>
      <c r="AO3091" s="750"/>
      <c r="AP3091" s="750"/>
      <c r="AQ3091" s="750"/>
      <c r="AR3091" s="750"/>
      <c r="AS3091" s="750"/>
      <c r="AT3091" s="750"/>
      <c r="AU3091" s="750"/>
      <c r="AV3091" s="750"/>
      <c r="AW3091" s="750"/>
      <c r="AX3091" s="750"/>
      <c r="AY3091" s="750"/>
      <c r="AZ3091" s="750"/>
      <c r="BA3091" s="750"/>
      <c r="BB3091" s="750"/>
      <c r="BC3091" s="750"/>
      <c r="BD3091" s="750"/>
      <c r="BE3091" s="750"/>
      <c r="BF3091" s="750"/>
      <c r="BG3091" s="750"/>
      <c r="BH3091" s="750"/>
      <c r="BI3091" s="750"/>
      <c r="BJ3091" s="750"/>
      <c r="BK3091" s="750"/>
      <c r="BL3091" s="750"/>
      <c r="BM3091" s="750"/>
      <c r="BN3091" s="750"/>
      <c r="BO3091" s="750"/>
      <c r="BP3091" s="750"/>
      <c r="BQ3091" s="750"/>
    </row>
    <row r="3092" spans="3:69">
      <c r="C3092" s="853"/>
      <c r="D3092" s="853"/>
      <c r="E3092" s="853"/>
      <c r="F3092" s="853"/>
      <c r="G3092" s="853"/>
      <c r="H3092" s="853"/>
      <c r="I3092" s="848"/>
      <c r="J3092" s="848"/>
      <c r="K3092" s="1295"/>
      <c r="L3092" s="1295"/>
      <c r="M3092" s="1295"/>
      <c r="N3092" s="1295"/>
      <c r="O3092" s="1295"/>
      <c r="P3092" s="853"/>
      <c r="Q3092" s="1295"/>
      <c r="R3092" s="848"/>
      <c r="S3092" s="848"/>
      <c r="T3092" s="848"/>
      <c r="U3092" s="848"/>
      <c r="V3092" s="1296"/>
      <c r="W3092" s="848"/>
      <c r="X3092" s="848"/>
      <c r="Y3092" s="1295"/>
      <c r="Z3092" s="1296"/>
      <c r="AA3092" s="1295"/>
      <c r="AB3092" s="1296"/>
      <c r="AC3092" s="1295"/>
      <c r="AD3092" s="1295"/>
      <c r="AE3092" s="2556"/>
      <c r="AF3092" s="750"/>
      <c r="AG3092" s="750"/>
      <c r="AH3092" s="750"/>
      <c r="AI3092" s="750"/>
      <c r="AJ3092" s="750"/>
      <c r="AK3092" s="750"/>
      <c r="AL3092" s="750"/>
      <c r="AM3092" s="750"/>
      <c r="AN3092" s="750"/>
      <c r="AO3092" s="750"/>
      <c r="AP3092" s="750"/>
      <c r="AQ3092" s="750"/>
      <c r="AR3092" s="750"/>
      <c r="AS3092" s="750"/>
      <c r="AT3092" s="750"/>
      <c r="AU3092" s="750"/>
      <c r="AV3092" s="750"/>
      <c r="AW3092" s="750"/>
      <c r="AX3092" s="750"/>
      <c r="AY3092" s="750"/>
      <c r="AZ3092" s="750"/>
      <c r="BA3092" s="750"/>
      <c r="BB3092" s="750"/>
      <c r="BC3092" s="750"/>
      <c r="BD3092" s="750"/>
      <c r="BE3092" s="750"/>
      <c r="BF3092" s="750"/>
      <c r="BG3092" s="750"/>
      <c r="BH3092" s="750"/>
      <c r="BI3092" s="750"/>
      <c r="BJ3092" s="750"/>
      <c r="BK3092" s="750"/>
      <c r="BL3092" s="750"/>
      <c r="BM3092" s="750"/>
      <c r="BN3092" s="750"/>
      <c r="BO3092" s="750"/>
      <c r="BP3092" s="750"/>
      <c r="BQ3092" s="750"/>
    </row>
    <row r="3093" spans="3:69">
      <c r="C3093" s="853"/>
      <c r="D3093" s="853"/>
      <c r="E3093" s="853"/>
      <c r="F3093" s="853"/>
      <c r="G3093" s="853"/>
      <c r="H3093" s="853"/>
      <c r="I3093" s="848"/>
      <c r="J3093" s="848"/>
      <c r="K3093" s="1295"/>
      <c r="L3093" s="1295"/>
      <c r="M3093" s="1295"/>
      <c r="N3093" s="1295"/>
      <c r="O3093" s="1295"/>
      <c r="P3093" s="853"/>
      <c r="Q3093" s="1295"/>
      <c r="R3093" s="848"/>
      <c r="S3093" s="848"/>
      <c r="T3093" s="848"/>
      <c r="U3093" s="848"/>
      <c r="V3093" s="1296"/>
      <c r="W3093" s="848"/>
      <c r="X3093" s="848"/>
      <c r="Y3093" s="1295"/>
      <c r="Z3093" s="1296"/>
      <c r="AA3093" s="1295"/>
      <c r="AB3093" s="1296"/>
      <c r="AC3093" s="1295"/>
      <c r="AD3093" s="1295"/>
      <c r="AE3093" s="2556"/>
      <c r="AF3093" s="750"/>
      <c r="AG3093" s="750"/>
      <c r="AH3093" s="750"/>
      <c r="AI3093" s="750"/>
      <c r="AJ3093" s="750"/>
      <c r="AK3093" s="750"/>
      <c r="AL3093" s="750"/>
      <c r="AM3093" s="750"/>
      <c r="AN3093" s="750"/>
      <c r="AO3093" s="750"/>
      <c r="AP3093" s="750"/>
      <c r="AQ3093" s="750"/>
      <c r="AR3093" s="750"/>
      <c r="AS3093" s="750"/>
      <c r="AT3093" s="750"/>
      <c r="AU3093" s="750"/>
      <c r="AV3093" s="750"/>
      <c r="AW3093" s="750"/>
      <c r="AX3093" s="750"/>
      <c r="AY3093" s="750"/>
      <c r="AZ3093" s="750"/>
      <c r="BA3093" s="750"/>
      <c r="BB3093" s="750"/>
      <c r="BC3093" s="750"/>
      <c r="BD3093" s="750"/>
      <c r="BE3093" s="750"/>
      <c r="BF3093" s="750"/>
      <c r="BG3093" s="750"/>
      <c r="BH3093" s="750"/>
      <c r="BI3093" s="750"/>
      <c r="BJ3093" s="750"/>
      <c r="BK3093" s="750"/>
      <c r="BL3093" s="750"/>
      <c r="BM3093" s="750"/>
      <c r="BN3093" s="750"/>
      <c r="BO3093" s="750"/>
      <c r="BP3093" s="750"/>
      <c r="BQ3093" s="750"/>
    </row>
    <row r="3094" spans="3:69">
      <c r="C3094" s="853"/>
      <c r="D3094" s="853"/>
      <c r="E3094" s="853"/>
      <c r="F3094" s="853"/>
      <c r="G3094" s="853"/>
      <c r="H3094" s="853"/>
      <c r="I3094" s="848"/>
      <c r="J3094" s="848"/>
      <c r="K3094" s="1295"/>
      <c r="L3094" s="1295"/>
      <c r="M3094" s="1295"/>
      <c r="N3094" s="1295"/>
      <c r="O3094" s="1295"/>
      <c r="P3094" s="853"/>
      <c r="Q3094" s="1295"/>
      <c r="R3094" s="848"/>
      <c r="S3094" s="848"/>
      <c r="T3094" s="848"/>
      <c r="U3094" s="848"/>
      <c r="V3094" s="1296"/>
      <c r="W3094" s="848"/>
      <c r="X3094" s="848"/>
      <c r="Y3094" s="1295"/>
      <c r="Z3094" s="1296"/>
      <c r="AA3094" s="1295"/>
      <c r="AB3094" s="1296"/>
      <c r="AC3094" s="1295"/>
      <c r="AD3094" s="1295"/>
      <c r="AE3094" s="2556"/>
      <c r="AF3094" s="750"/>
      <c r="AG3094" s="750"/>
      <c r="AH3094" s="750"/>
      <c r="AI3094" s="750"/>
      <c r="AJ3094" s="750"/>
      <c r="AK3094" s="750"/>
      <c r="AL3094" s="750"/>
      <c r="AM3094" s="750"/>
      <c r="AN3094" s="750"/>
      <c r="AO3094" s="750"/>
      <c r="AP3094" s="750"/>
      <c r="AQ3094" s="750"/>
      <c r="AR3094" s="750"/>
      <c r="AS3094" s="750"/>
      <c r="AT3094" s="750"/>
      <c r="AU3094" s="750"/>
      <c r="AV3094" s="750"/>
      <c r="AW3094" s="750"/>
      <c r="AX3094" s="750"/>
      <c r="AY3094" s="750"/>
      <c r="AZ3094" s="750"/>
      <c r="BA3094" s="750"/>
      <c r="BB3094" s="750"/>
      <c r="BC3094" s="750"/>
      <c r="BD3094" s="750"/>
      <c r="BE3094" s="750"/>
      <c r="BF3094" s="750"/>
      <c r="BG3094" s="750"/>
      <c r="BH3094" s="750"/>
      <c r="BI3094" s="750"/>
      <c r="BJ3094" s="750"/>
      <c r="BK3094" s="750"/>
      <c r="BL3094" s="750"/>
      <c r="BM3094" s="750"/>
      <c r="BN3094" s="750"/>
      <c r="BO3094" s="750"/>
      <c r="BP3094" s="750"/>
      <c r="BQ3094" s="750"/>
    </row>
    <row r="3095" spans="3:69">
      <c r="C3095" s="853"/>
      <c r="D3095" s="853"/>
      <c r="E3095" s="853"/>
      <c r="F3095" s="853"/>
      <c r="G3095" s="853"/>
      <c r="H3095" s="853"/>
      <c r="I3095" s="848"/>
      <c r="J3095" s="848"/>
      <c r="K3095" s="1295"/>
      <c r="L3095" s="1295"/>
      <c r="M3095" s="1295"/>
      <c r="N3095" s="1295"/>
      <c r="O3095" s="1295"/>
      <c r="P3095" s="853"/>
      <c r="Q3095" s="1295"/>
      <c r="R3095" s="848"/>
      <c r="S3095" s="848"/>
      <c r="T3095" s="848"/>
      <c r="U3095" s="848"/>
      <c r="V3095" s="1296"/>
      <c r="W3095" s="848"/>
      <c r="X3095" s="848"/>
      <c r="Y3095" s="1295"/>
      <c r="Z3095" s="1296"/>
      <c r="AA3095" s="1295"/>
      <c r="AB3095" s="1296"/>
      <c r="AC3095" s="1295"/>
      <c r="AD3095" s="1295"/>
      <c r="AE3095" s="2556"/>
      <c r="AF3095" s="750"/>
      <c r="AG3095" s="750"/>
      <c r="AH3095" s="750"/>
      <c r="AI3095" s="750"/>
      <c r="AJ3095" s="750"/>
      <c r="AK3095" s="750"/>
      <c r="AL3095" s="750"/>
      <c r="AM3095" s="750"/>
      <c r="AN3095" s="750"/>
      <c r="AO3095" s="750"/>
      <c r="AP3095" s="750"/>
      <c r="AQ3095" s="750"/>
      <c r="AR3095" s="750"/>
      <c r="AS3095" s="750"/>
      <c r="AT3095" s="750"/>
      <c r="AU3095" s="750"/>
      <c r="AV3095" s="750"/>
      <c r="AW3095" s="750"/>
      <c r="AX3095" s="750"/>
      <c r="AY3095" s="750"/>
      <c r="AZ3095" s="750"/>
      <c r="BA3095" s="750"/>
      <c r="BB3095" s="750"/>
      <c r="BC3095" s="750"/>
      <c r="BD3095" s="750"/>
      <c r="BE3095" s="750"/>
      <c r="BF3095" s="750"/>
      <c r="BG3095" s="750"/>
      <c r="BH3095" s="750"/>
      <c r="BI3095" s="750"/>
      <c r="BJ3095" s="750"/>
      <c r="BK3095" s="750"/>
      <c r="BL3095" s="750"/>
      <c r="BM3095" s="750"/>
      <c r="BN3095" s="750"/>
      <c r="BO3095" s="750"/>
      <c r="BP3095" s="750"/>
      <c r="BQ3095" s="750"/>
    </row>
    <row r="3096" spans="3:69">
      <c r="C3096" s="853"/>
      <c r="D3096" s="853"/>
      <c r="E3096" s="853"/>
      <c r="F3096" s="853"/>
      <c r="G3096" s="853"/>
      <c r="H3096" s="853"/>
      <c r="I3096" s="848"/>
      <c r="J3096" s="848"/>
      <c r="K3096" s="1295"/>
      <c r="L3096" s="1295"/>
      <c r="M3096" s="1295"/>
      <c r="N3096" s="1295"/>
      <c r="O3096" s="1295"/>
      <c r="P3096" s="853"/>
      <c r="Q3096" s="1295"/>
      <c r="R3096" s="848"/>
      <c r="S3096" s="848"/>
      <c r="T3096" s="848"/>
      <c r="U3096" s="848"/>
      <c r="V3096" s="1296"/>
      <c r="W3096" s="848"/>
      <c r="X3096" s="848"/>
      <c r="Y3096" s="1295"/>
      <c r="Z3096" s="1296"/>
      <c r="AA3096" s="1295"/>
      <c r="AB3096" s="1296"/>
      <c r="AC3096" s="1295"/>
      <c r="AD3096" s="1295"/>
      <c r="AE3096" s="2556"/>
      <c r="AF3096" s="750"/>
      <c r="AG3096" s="750"/>
      <c r="AH3096" s="750"/>
      <c r="AI3096" s="750"/>
      <c r="AJ3096" s="750"/>
      <c r="AK3096" s="750"/>
      <c r="AL3096" s="750"/>
      <c r="AM3096" s="750"/>
      <c r="AN3096" s="750"/>
      <c r="AO3096" s="750"/>
      <c r="AP3096" s="750"/>
      <c r="AQ3096" s="750"/>
      <c r="AR3096" s="750"/>
      <c r="AS3096" s="750"/>
      <c r="AT3096" s="750"/>
      <c r="AU3096" s="750"/>
      <c r="AV3096" s="750"/>
      <c r="AW3096" s="750"/>
      <c r="AX3096" s="750"/>
      <c r="AY3096" s="750"/>
      <c r="AZ3096" s="750"/>
      <c r="BA3096" s="750"/>
      <c r="BB3096" s="750"/>
      <c r="BC3096" s="750"/>
      <c r="BD3096" s="750"/>
      <c r="BE3096" s="750"/>
      <c r="BF3096" s="750"/>
      <c r="BG3096" s="750"/>
      <c r="BH3096" s="750"/>
      <c r="BI3096" s="750"/>
      <c r="BJ3096" s="750"/>
      <c r="BK3096" s="750"/>
      <c r="BL3096" s="750"/>
      <c r="BM3096" s="750"/>
      <c r="BN3096" s="750"/>
      <c r="BO3096" s="750"/>
      <c r="BP3096" s="750"/>
      <c r="BQ3096" s="750"/>
    </row>
    <row r="3097" spans="3:69">
      <c r="C3097" s="853"/>
      <c r="D3097" s="853"/>
      <c r="E3097" s="853"/>
      <c r="F3097" s="853"/>
      <c r="G3097" s="853"/>
      <c r="H3097" s="853"/>
      <c r="I3097" s="848"/>
      <c r="J3097" s="848"/>
      <c r="K3097" s="1295"/>
      <c r="L3097" s="1295"/>
      <c r="M3097" s="1295"/>
      <c r="N3097" s="1295"/>
      <c r="O3097" s="1295"/>
      <c r="P3097" s="853"/>
      <c r="Q3097" s="1295"/>
      <c r="R3097" s="848"/>
      <c r="S3097" s="848"/>
      <c r="T3097" s="848"/>
      <c r="U3097" s="848"/>
      <c r="V3097" s="1296"/>
      <c r="W3097" s="848"/>
      <c r="X3097" s="848"/>
      <c r="Y3097" s="1295"/>
      <c r="Z3097" s="1296"/>
      <c r="AA3097" s="1295"/>
      <c r="AB3097" s="1296"/>
      <c r="AC3097" s="1295"/>
      <c r="AD3097" s="1295"/>
      <c r="AE3097" s="2556"/>
      <c r="AF3097" s="750"/>
      <c r="AG3097" s="750"/>
      <c r="AH3097" s="750"/>
      <c r="AI3097" s="750"/>
      <c r="AJ3097" s="750"/>
      <c r="AK3097" s="750"/>
      <c r="AL3097" s="750"/>
      <c r="AM3097" s="750"/>
      <c r="AN3097" s="750"/>
      <c r="AO3097" s="750"/>
      <c r="AP3097" s="750"/>
      <c r="AQ3097" s="750"/>
      <c r="AR3097" s="750"/>
      <c r="AS3097" s="750"/>
      <c r="AT3097" s="750"/>
      <c r="AU3097" s="750"/>
      <c r="AV3097" s="750"/>
      <c r="AW3097" s="750"/>
      <c r="AX3097" s="750"/>
      <c r="AY3097" s="750"/>
      <c r="AZ3097" s="750"/>
      <c r="BA3097" s="750"/>
      <c r="BB3097" s="750"/>
      <c r="BC3097" s="750"/>
      <c r="BD3097" s="750"/>
      <c r="BE3097" s="750"/>
      <c r="BF3097" s="750"/>
      <c r="BG3097" s="750"/>
      <c r="BH3097" s="750"/>
      <c r="BI3097" s="750"/>
      <c r="BJ3097" s="750"/>
      <c r="BK3097" s="750"/>
      <c r="BL3097" s="750"/>
      <c r="BM3097" s="750"/>
      <c r="BN3097" s="750"/>
      <c r="BO3097" s="750"/>
      <c r="BP3097" s="750"/>
      <c r="BQ3097" s="750"/>
    </row>
    <row r="3098" spans="3:69">
      <c r="C3098" s="853"/>
      <c r="D3098" s="853"/>
      <c r="E3098" s="853"/>
      <c r="F3098" s="853"/>
      <c r="G3098" s="853"/>
      <c r="H3098" s="853"/>
      <c r="I3098" s="848"/>
      <c r="J3098" s="848"/>
      <c r="K3098" s="1295"/>
      <c r="L3098" s="1295"/>
      <c r="M3098" s="1295"/>
      <c r="N3098" s="1295"/>
      <c r="O3098" s="1295"/>
      <c r="P3098" s="853"/>
      <c r="Q3098" s="1295"/>
      <c r="R3098" s="848"/>
      <c r="S3098" s="848"/>
      <c r="T3098" s="848"/>
      <c r="U3098" s="848"/>
      <c r="V3098" s="1296"/>
      <c r="W3098" s="848"/>
      <c r="X3098" s="848"/>
      <c r="Y3098" s="1295"/>
      <c r="Z3098" s="1296"/>
      <c r="AA3098" s="1295"/>
      <c r="AB3098" s="1296"/>
      <c r="AC3098" s="1295"/>
      <c r="AD3098" s="1295"/>
      <c r="AE3098" s="2556"/>
      <c r="AF3098" s="750"/>
      <c r="AG3098" s="750"/>
      <c r="AH3098" s="750"/>
      <c r="AI3098" s="750"/>
      <c r="AJ3098" s="750"/>
      <c r="AK3098" s="750"/>
      <c r="AL3098" s="750"/>
      <c r="AM3098" s="750"/>
      <c r="AN3098" s="750"/>
      <c r="AO3098" s="750"/>
      <c r="AP3098" s="750"/>
      <c r="AQ3098" s="750"/>
      <c r="AR3098" s="750"/>
      <c r="AS3098" s="750"/>
      <c r="AT3098" s="750"/>
      <c r="AU3098" s="750"/>
      <c r="AV3098" s="750"/>
      <c r="AW3098" s="750"/>
      <c r="AX3098" s="750"/>
      <c r="AY3098" s="750"/>
      <c r="AZ3098" s="750"/>
      <c r="BA3098" s="750"/>
      <c r="BB3098" s="750"/>
      <c r="BC3098" s="750"/>
      <c r="BD3098" s="750"/>
      <c r="BE3098" s="750"/>
      <c r="BF3098" s="750"/>
      <c r="BG3098" s="750"/>
      <c r="BH3098" s="750"/>
      <c r="BI3098" s="750"/>
      <c r="BJ3098" s="750"/>
      <c r="BK3098" s="750"/>
      <c r="BL3098" s="750"/>
      <c r="BM3098" s="750"/>
      <c r="BN3098" s="750"/>
      <c r="BO3098" s="750"/>
      <c r="BP3098" s="750"/>
      <c r="BQ3098" s="750"/>
    </row>
    <row r="3099" spans="3:69">
      <c r="C3099" s="853"/>
      <c r="D3099" s="853"/>
      <c r="E3099" s="853"/>
      <c r="F3099" s="853"/>
      <c r="G3099" s="853"/>
      <c r="H3099" s="853"/>
      <c r="I3099" s="848"/>
      <c r="J3099" s="848"/>
      <c r="K3099" s="1295"/>
      <c r="L3099" s="1295"/>
      <c r="M3099" s="1295"/>
      <c r="N3099" s="1295"/>
      <c r="O3099" s="1295"/>
      <c r="P3099" s="853"/>
      <c r="Q3099" s="1295"/>
      <c r="R3099" s="848"/>
      <c r="S3099" s="848"/>
      <c r="T3099" s="848"/>
      <c r="U3099" s="848"/>
      <c r="V3099" s="1296"/>
      <c r="W3099" s="848"/>
      <c r="X3099" s="848"/>
      <c r="Y3099" s="1295"/>
      <c r="Z3099" s="1296"/>
      <c r="AA3099" s="1295"/>
      <c r="AB3099" s="1296"/>
      <c r="AC3099" s="1295"/>
      <c r="AD3099" s="1295"/>
      <c r="AE3099" s="2556"/>
      <c r="AF3099" s="750"/>
      <c r="AG3099" s="750"/>
      <c r="AH3099" s="750"/>
      <c r="AI3099" s="750"/>
      <c r="AJ3099" s="750"/>
      <c r="AK3099" s="750"/>
      <c r="AL3099" s="750"/>
      <c r="AM3099" s="750"/>
      <c r="AN3099" s="750"/>
      <c r="AO3099" s="750"/>
      <c r="AP3099" s="750"/>
      <c r="AQ3099" s="750"/>
      <c r="AR3099" s="750"/>
      <c r="AS3099" s="750"/>
      <c r="AT3099" s="750"/>
      <c r="AU3099" s="750"/>
      <c r="AV3099" s="750"/>
      <c r="AW3099" s="750"/>
      <c r="AX3099" s="750"/>
      <c r="AY3099" s="750"/>
      <c r="AZ3099" s="750"/>
      <c r="BA3099" s="750"/>
      <c r="BB3099" s="750"/>
      <c r="BC3099" s="750"/>
      <c r="BD3099" s="750"/>
      <c r="BE3099" s="750"/>
      <c r="BF3099" s="750"/>
      <c r="BG3099" s="750"/>
      <c r="BH3099" s="750"/>
      <c r="BI3099" s="750"/>
      <c r="BJ3099" s="750"/>
      <c r="BK3099" s="750"/>
      <c r="BL3099" s="750"/>
      <c r="BM3099" s="750"/>
      <c r="BN3099" s="750"/>
      <c r="BO3099" s="750"/>
      <c r="BP3099" s="750"/>
      <c r="BQ3099" s="750"/>
    </row>
    <row r="3100" spans="3:69">
      <c r="C3100" s="853"/>
      <c r="D3100" s="853"/>
      <c r="E3100" s="853"/>
      <c r="F3100" s="853"/>
      <c r="G3100" s="853"/>
      <c r="H3100" s="853"/>
      <c r="I3100" s="848"/>
      <c r="J3100" s="848"/>
      <c r="K3100" s="1295"/>
      <c r="L3100" s="1295"/>
      <c r="M3100" s="1295"/>
      <c r="N3100" s="1295"/>
      <c r="O3100" s="1295"/>
      <c r="P3100" s="853"/>
      <c r="Q3100" s="1295"/>
      <c r="R3100" s="848"/>
      <c r="S3100" s="848"/>
      <c r="T3100" s="848"/>
      <c r="U3100" s="848"/>
      <c r="V3100" s="1296"/>
      <c r="W3100" s="848"/>
      <c r="X3100" s="848"/>
      <c r="Y3100" s="1295"/>
      <c r="Z3100" s="1296"/>
      <c r="AA3100" s="1295"/>
      <c r="AB3100" s="1296"/>
      <c r="AC3100" s="1295"/>
      <c r="AD3100" s="1295"/>
      <c r="AE3100" s="2556"/>
      <c r="AF3100" s="750"/>
      <c r="AG3100" s="750"/>
      <c r="AH3100" s="750"/>
      <c r="AI3100" s="750"/>
      <c r="AJ3100" s="750"/>
      <c r="AK3100" s="750"/>
      <c r="AL3100" s="750"/>
      <c r="AM3100" s="750"/>
      <c r="AN3100" s="750"/>
      <c r="AO3100" s="750"/>
      <c r="AP3100" s="750"/>
      <c r="AQ3100" s="750"/>
      <c r="AR3100" s="750"/>
      <c r="AS3100" s="750"/>
      <c r="AT3100" s="750"/>
      <c r="AU3100" s="750"/>
      <c r="AV3100" s="750"/>
      <c r="AW3100" s="750"/>
      <c r="AX3100" s="750"/>
      <c r="AY3100" s="750"/>
      <c r="AZ3100" s="750"/>
      <c r="BA3100" s="750"/>
      <c r="BB3100" s="750"/>
      <c r="BC3100" s="750"/>
      <c r="BD3100" s="750"/>
      <c r="BE3100" s="750"/>
      <c r="BF3100" s="750"/>
      <c r="BG3100" s="750"/>
      <c r="BH3100" s="750"/>
      <c r="BI3100" s="750"/>
      <c r="BJ3100" s="750"/>
      <c r="BK3100" s="750"/>
      <c r="BL3100" s="750"/>
      <c r="BM3100" s="750"/>
      <c r="BN3100" s="750"/>
      <c r="BO3100" s="750"/>
      <c r="BP3100" s="750"/>
      <c r="BQ3100" s="750"/>
    </row>
    <row r="3101" spans="3:69">
      <c r="C3101" s="853"/>
      <c r="D3101" s="853"/>
      <c r="E3101" s="853"/>
      <c r="F3101" s="853"/>
      <c r="G3101" s="853"/>
      <c r="H3101" s="853"/>
      <c r="I3101" s="848"/>
      <c r="J3101" s="848"/>
      <c r="K3101" s="1295"/>
      <c r="L3101" s="1295"/>
      <c r="M3101" s="1295"/>
      <c r="N3101" s="1295"/>
      <c r="O3101" s="1295"/>
      <c r="P3101" s="853"/>
      <c r="Q3101" s="1295"/>
      <c r="R3101" s="848"/>
      <c r="S3101" s="848"/>
      <c r="T3101" s="848"/>
      <c r="U3101" s="848"/>
      <c r="V3101" s="1296"/>
      <c r="W3101" s="848"/>
      <c r="X3101" s="848"/>
      <c r="Y3101" s="1295"/>
      <c r="Z3101" s="1296"/>
      <c r="AA3101" s="1295"/>
      <c r="AB3101" s="1296"/>
      <c r="AC3101" s="1295"/>
      <c r="AD3101" s="1295"/>
      <c r="AE3101" s="2556"/>
      <c r="AF3101" s="750"/>
      <c r="AG3101" s="750"/>
      <c r="AH3101" s="750"/>
      <c r="AI3101" s="750"/>
      <c r="AJ3101" s="750"/>
      <c r="AK3101" s="750"/>
      <c r="AL3101" s="750"/>
      <c r="AM3101" s="750"/>
      <c r="AN3101" s="750"/>
      <c r="AO3101" s="750"/>
      <c r="AP3101" s="750"/>
      <c r="AQ3101" s="750"/>
      <c r="AR3101" s="750"/>
      <c r="AS3101" s="750"/>
      <c r="AT3101" s="750"/>
      <c r="AU3101" s="750"/>
      <c r="AV3101" s="750"/>
      <c r="AW3101" s="750"/>
      <c r="AX3101" s="750"/>
      <c r="AY3101" s="750"/>
      <c r="AZ3101" s="750"/>
      <c r="BA3101" s="750"/>
      <c r="BB3101" s="750"/>
      <c r="BC3101" s="750"/>
      <c r="BD3101" s="750"/>
      <c r="BE3101" s="750"/>
      <c r="BF3101" s="750"/>
      <c r="BG3101" s="750"/>
      <c r="BH3101" s="750"/>
      <c r="BI3101" s="750"/>
      <c r="BJ3101" s="750"/>
      <c r="BK3101" s="750"/>
      <c r="BL3101" s="750"/>
      <c r="BM3101" s="750"/>
      <c r="BN3101" s="750"/>
      <c r="BO3101" s="750"/>
      <c r="BP3101" s="750"/>
      <c r="BQ3101" s="750"/>
    </row>
    <row r="3102" spans="3:69">
      <c r="C3102" s="853"/>
      <c r="D3102" s="853"/>
      <c r="E3102" s="853"/>
      <c r="F3102" s="853"/>
      <c r="G3102" s="853"/>
      <c r="H3102" s="853"/>
      <c r="I3102" s="848"/>
      <c r="J3102" s="848"/>
      <c r="K3102" s="1295"/>
      <c r="L3102" s="1295"/>
      <c r="M3102" s="1295"/>
      <c r="N3102" s="1295"/>
      <c r="O3102" s="1295"/>
      <c r="P3102" s="853"/>
      <c r="Q3102" s="1295"/>
      <c r="R3102" s="848"/>
      <c r="S3102" s="848"/>
      <c r="T3102" s="848"/>
      <c r="U3102" s="848"/>
      <c r="V3102" s="1296"/>
      <c r="W3102" s="848"/>
      <c r="X3102" s="848"/>
      <c r="Y3102" s="1295"/>
      <c r="Z3102" s="1296"/>
      <c r="AA3102" s="1295"/>
      <c r="AB3102" s="1296"/>
      <c r="AC3102" s="1295"/>
      <c r="AD3102" s="1295"/>
      <c r="AE3102" s="2556"/>
      <c r="AF3102" s="750"/>
      <c r="AG3102" s="750"/>
      <c r="AH3102" s="750"/>
      <c r="AI3102" s="750"/>
      <c r="AJ3102" s="750"/>
      <c r="AK3102" s="750"/>
      <c r="AL3102" s="750"/>
      <c r="AM3102" s="750"/>
      <c r="AN3102" s="750"/>
      <c r="AO3102" s="750"/>
      <c r="AP3102" s="750"/>
      <c r="AQ3102" s="750"/>
      <c r="AR3102" s="750"/>
      <c r="AS3102" s="750"/>
      <c r="AT3102" s="750"/>
      <c r="AU3102" s="750"/>
      <c r="AV3102" s="750"/>
      <c r="AW3102" s="750"/>
      <c r="AX3102" s="750"/>
      <c r="AY3102" s="750"/>
      <c r="AZ3102" s="750"/>
      <c r="BA3102" s="750"/>
      <c r="BB3102" s="750"/>
      <c r="BC3102" s="750"/>
      <c r="BD3102" s="750"/>
      <c r="BE3102" s="750"/>
      <c r="BF3102" s="750"/>
      <c r="BG3102" s="750"/>
      <c r="BH3102" s="750"/>
      <c r="BI3102" s="750"/>
      <c r="BJ3102" s="750"/>
      <c r="BK3102" s="750"/>
      <c r="BL3102" s="750"/>
      <c r="BM3102" s="750"/>
      <c r="BN3102" s="750"/>
      <c r="BO3102" s="750"/>
      <c r="BP3102" s="750"/>
      <c r="BQ3102" s="750"/>
    </row>
    <row r="3103" spans="3:69">
      <c r="C3103" s="853"/>
      <c r="D3103" s="853"/>
      <c r="E3103" s="853"/>
      <c r="F3103" s="853"/>
      <c r="G3103" s="853"/>
      <c r="H3103" s="853"/>
      <c r="I3103" s="848"/>
      <c r="J3103" s="848"/>
      <c r="K3103" s="1295"/>
      <c r="L3103" s="1295"/>
      <c r="M3103" s="1295"/>
      <c r="N3103" s="1295"/>
      <c r="O3103" s="1295"/>
      <c r="P3103" s="853"/>
      <c r="Q3103" s="1295"/>
      <c r="R3103" s="848"/>
      <c r="S3103" s="848"/>
      <c r="T3103" s="848"/>
      <c r="U3103" s="848"/>
      <c r="V3103" s="1296"/>
      <c r="W3103" s="848"/>
      <c r="X3103" s="848"/>
      <c r="Y3103" s="1295"/>
      <c r="Z3103" s="1296"/>
      <c r="AA3103" s="1295"/>
      <c r="AB3103" s="1296"/>
      <c r="AC3103" s="1295"/>
      <c r="AD3103" s="1295"/>
      <c r="AE3103" s="2556"/>
      <c r="AF3103" s="750"/>
      <c r="AG3103" s="750"/>
      <c r="AH3103" s="750"/>
      <c r="AI3103" s="750"/>
      <c r="AJ3103" s="750"/>
      <c r="AK3103" s="750"/>
      <c r="AL3103" s="750"/>
      <c r="AM3103" s="750"/>
      <c r="AN3103" s="750"/>
      <c r="AO3103" s="750"/>
      <c r="AP3103" s="750"/>
      <c r="AQ3103" s="750"/>
      <c r="AR3103" s="750"/>
      <c r="AS3103" s="750"/>
      <c r="AT3103" s="750"/>
      <c r="AU3103" s="750"/>
      <c r="AV3103" s="750"/>
      <c r="AW3103" s="750"/>
      <c r="AX3103" s="750"/>
      <c r="AY3103" s="750"/>
      <c r="AZ3103" s="750"/>
      <c r="BA3103" s="750"/>
      <c r="BB3103" s="750"/>
      <c r="BC3103" s="750"/>
      <c r="BD3103" s="750"/>
      <c r="BE3103" s="750"/>
      <c r="BF3103" s="750"/>
      <c r="BG3103" s="750"/>
      <c r="BH3103" s="750"/>
      <c r="BI3103" s="750"/>
      <c r="BJ3103" s="750"/>
      <c r="BK3103" s="750"/>
      <c r="BL3103" s="750"/>
      <c r="BM3103" s="750"/>
      <c r="BN3103" s="750"/>
      <c r="BO3103" s="750"/>
      <c r="BP3103" s="750"/>
      <c r="BQ3103" s="750"/>
    </row>
    <row r="3104" spans="3:69">
      <c r="C3104" s="853"/>
      <c r="D3104" s="853"/>
      <c r="E3104" s="853"/>
      <c r="F3104" s="853"/>
      <c r="G3104" s="853"/>
      <c r="H3104" s="853"/>
      <c r="I3104" s="848"/>
      <c r="J3104" s="848"/>
      <c r="K3104" s="1295"/>
      <c r="L3104" s="1295"/>
      <c r="M3104" s="1295"/>
      <c r="N3104" s="1295"/>
      <c r="O3104" s="1295"/>
      <c r="P3104" s="853"/>
      <c r="Q3104" s="1295"/>
      <c r="R3104" s="848"/>
      <c r="S3104" s="848"/>
      <c r="T3104" s="848"/>
      <c r="U3104" s="848"/>
      <c r="V3104" s="1296"/>
      <c r="W3104" s="848"/>
      <c r="X3104" s="848"/>
      <c r="Y3104" s="1295"/>
      <c r="Z3104" s="1296"/>
      <c r="AA3104" s="1295"/>
      <c r="AB3104" s="1296"/>
      <c r="AC3104" s="1295"/>
      <c r="AD3104" s="1295"/>
      <c r="AE3104" s="2556"/>
      <c r="AF3104" s="750"/>
      <c r="AG3104" s="750"/>
      <c r="AH3104" s="750"/>
      <c r="AI3104" s="750"/>
      <c r="AJ3104" s="750"/>
      <c r="AK3104" s="750"/>
      <c r="AL3104" s="750"/>
      <c r="AM3104" s="750"/>
      <c r="AN3104" s="750"/>
      <c r="AO3104" s="750"/>
      <c r="AP3104" s="750"/>
      <c r="AQ3104" s="750"/>
      <c r="AR3104" s="750"/>
      <c r="AS3104" s="750"/>
      <c r="AT3104" s="750"/>
      <c r="AU3104" s="750"/>
      <c r="AV3104" s="750"/>
      <c r="AW3104" s="750"/>
      <c r="AX3104" s="750"/>
      <c r="AY3104" s="750"/>
      <c r="AZ3104" s="750"/>
      <c r="BA3104" s="750"/>
      <c r="BB3104" s="750"/>
      <c r="BC3104" s="750"/>
      <c r="BD3104" s="750"/>
      <c r="BE3104" s="750"/>
      <c r="BF3104" s="750"/>
      <c r="BG3104" s="750"/>
      <c r="BH3104" s="750"/>
      <c r="BI3104" s="750"/>
      <c r="BJ3104" s="750"/>
      <c r="BK3104" s="750"/>
      <c r="BL3104" s="750"/>
      <c r="BM3104" s="750"/>
      <c r="BN3104" s="750"/>
      <c r="BO3104" s="750"/>
      <c r="BP3104" s="750"/>
      <c r="BQ3104" s="750"/>
    </row>
    <row r="3105" spans="3:69">
      <c r="C3105" s="853"/>
      <c r="D3105" s="853"/>
      <c r="E3105" s="853"/>
      <c r="F3105" s="853"/>
      <c r="G3105" s="853"/>
      <c r="H3105" s="853"/>
      <c r="I3105" s="848"/>
      <c r="J3105" s="848"/>
      <c r="K3105" s="1295"/>
      <c r="L3105" s="1295"/>
      <c r="M3105" s="1295"/>
      <c r="N3105" s="1295"/>
      <c r="O3105" s="1295"/>
      <c r="P3105" s="853"/>
      <c r="Q3105" s="1295"/>
      <c r="R3105" s="848"/>
      <c r="S3105" s="848"/>
      <c r="T3105" s="848"/>
      <c r="U3105" s="848"/>
      <c r="V3105" s="1296"/>
      <c r="W3105" s="848"/>
      <c r="X3105" s="848"/>
      <c r="Y3105" s="1295"/>
      <c r="Z3105" s="1296"/>
      <c r="AA3105" s="1295"/>
      <c r="AB3105" s="1296"/>
      <c r="AC3105" s="1295"/>
      <c r="AD3105" s="1295"/>
      <c r="AE3105" s="2556"/>
      <c r="AF3105" s="750"/>
      <c r="AG3105" s="750"/>
      <c r="AH3105" s="750"/>
      <c r="AI3105" s="750"/>
      <c r="AJ3105" s="750"/>
      <c r="AK3105" s="750"/>
      <c r="AL3105" s="750"/>
      <c r="AM3105" s="750"/>
      <c r="AN3105" s="750"/>
      <c r="AO3105" s="750"/>
      <c r="AP3105" s="750"/>
      <c r="AQ3105" s="750"/>
      <c r="AR3105" s="750"/>
      <c r="AS3105" s="750"/>
      <c r="AT3105" s="750"/>
      <c r="AU3105" s="750"/>
      <c r="AV3105" s="750"/>
      <c r="AW3105" s="750"/>
      <c r="AX3105" s="750"/>
      <c r="AY3105" s="750"/>
      <c r="AZ3105" s="750"/>
      <c r="BA3105" s="750"/>
      <c r="BB3105" s="750"/>
      <c r="BC3105" s="750"/>
      <c r="BD3105" s="750"/>
      <c r="BE3105" s="750"/>
      <c r="BF3105" s="750"/>
      <c r="BG3105" s="750"/>
      <c r="BH3105" s="750"/>
      <c r="BI3105" s="750"/>
      <c r="BJ3105" s="750"/>
      <c r="BK3105" s="750"/>
      <c r="BL3105" s="750"/>
      <c r="BM3105" s="750"/>
      <c r="BN3105" s="750"/>
      <c r="BO3105" s="750"/>
      <c r="BP3105" s="750"/>
      <c r="BQ3105" s="750"/>
    </row>
    <row r="3106" spans="3:69">
      <c r="C3106" s="853"/>
      <c r="D3106" s="853"/>
      <c r="E3106" s="853"/>
      <c r="F3106" s="853"/>
      <c r="G3106" s="853"/>
      <c r="H3106" s="853"/>
      <c r="I3106" s="848"/>
      <c r="J3106" s="848"/>
      <c r="K3106" s="1295"/>
      <c r="L3106" s="1295"/>
      <c r="M3106" s="1295"/>
      <c r="N3106" s="1295"/>
      <c r="O3106" s="1295"/>
      <c r="P3106" s="853"/>
      <c r="Q3106" s="1295"/>
      <c r="R3106" s="848"/>
      <c r="S3106" s="848"/>
      <c r="T3106" s="848"/>
      <c r="U3106" s="848"/>
      <c r="V3106" s="1296"/>
      <c r="W3106" s="848"/>
      <c r="X3106" s="848"/>
      <c r="Y3106" s="1295"/>
      <c r="Z3106" s="1296"/>
      <c r="AA3106" s="1295"/>
      <c r="AB3106" s="1296"/>
      <c r="AC3106" s="1295"/>
      <c r="AD3106" s="1295"/>
      <c r="AE3106" s="2556"/>
      <c r="AF3106" s="750"/>
      <c r="AG3106" s="750"/>
      <c r="AH3106" s="750"/>
      <c r="AI3106" s="750"/>
      <c r="AJ3106" s="750"/>
      <c r="AK3106" s="750"/>
      <c r="AL3106" s="750"/>
      <c r="AM3106" s="750"/>
      <c r="AN3106" s="750"/>
      <c r="AO3106" s="750"/>
      <c r="AP3106" s="750"/>
      <c r="AQ3106" s="750"/>
      <c r="AR3106" s="750"/>
      <c r="AS3106" s="750"/>
      <c r="AT3106" s="750"/>
      <c r="AU3106" s="750"/>
      <c r="AV3106" s="750"/>
      <c r="AW3106" s="750"/>
      <c r="AX3106" s="750"/>
      <c r="AY3106" s="750"/>
      <c r="AZ3106" s="750"/>
      <c r="BA3106" s="750"/>
      <c r="BB3106" s="750"/>
      <c r="BC3106" s="750"/>
      <c r="BD3106" s="750"/>
      <c r="BE3106" s="750"/>
      <c r="BF3106" s="750"/>
      <c r="BG3106" s="750"/>
      <c r="BH3106" s="750"/>
      <c r="BI3106" s="750"/>
      <c r="BJ3106" s="750"/>
      <c r="BK3106" s="750"/>
      <c r="BL3106" s="750"/>
      <c r="BM3106" s="750"/>
      <c r="BN3106" s="750"/>
      <c r="BO3106" s="750"/>
      <c r="BP3106" s="750"/>
      <c r="BQ3106" s="750"/>
    </row>
    <row r="3107" spans="3:69">
      <c r="C3107" s="853"/>
      <c r="D3107" s="853"/>
      <c r="E3107" s="853"/>
      <c r="F3107" s="853"/>
      <c r="G3107" s="853"/>
      <c r="H3107" s="853"/>
      <c r="I3107" s="848"/>
      <c r="J3107" s="848"/>
      <c r="K3107" s="1295"/>
      <c r="L3107" s="1295"/>
      <c r="M3107" s="1295"/>
      <c r="N3107" s="1295"/>
      <c r="O3107" s="1295"/>
      <c r="P3107" s="853"/>
      <c r="Q3107" s="1295"/>
      <c r="R3107" s="848"/>
      <c r="S3107" s="848"/>
      <c r="T3107" s="848"/>
      <c r="U3107" s="848"/>
      <c r="V3107" s="1296"/>
      <c r="W3107" s="848"/>
      <c r="X3107" s="848"/>
      <c r="Y3107" s="1295"/>
      <c r="Z3107" s="1296"/>
      <c r="AA3107" s="1295"/>
      <c r="AB3107" s="1296"/>
      <c r="AC3107" s="1295"/>
      <c r="AD3107" s="1295"/>
      <c r="AE3107" s="2556"/>
      <c r="AF3107" s="750"/>
      <c r="AG3107" s="750"/>
      <c r="AH3107" s="750"/>
      <c r="AI3107" s="750"/>
      <c r="AJ3107" s="750"/>
      <c r="AK3107" s="750"/>
      <c r="AL3107" s="750"/>
      <c r="AM3107" s="750"/>
      <c r="AN3107" s="750"/>
      <c r="AO3107" s="750"/>
      <c r="AP3107" s="750"/>
      <c r="AQ3107" s="750"/>
      <c r="AR3107" s="750"/>
      <c r="AS3107" s="750"/>
      <c r="AT3107" s="750"/>
      <c r="AU3107" s="750"/>
      <c r="AV3107" s="750"/>
      <c r="AW3107" s="750"/>
      <c r="AX3107" s="750"/>
      <c r="AY3107" s="750"/>
      <c r="AZ3107" s="750"/>
      <c r="BA3107" s="750"/>
      <c r="BB3107" s="750"/>
      <c r="BC3107" s="750"/>
      <c r="BD3107" s="750"/>
      <c r="BE3107" s="750"/>
      <c r="BF3107" s="750"/>
      <c r="BG3107" s="750"/>
      <c r="BH3107" s="750"/>
      <c r="BI3107" s="750"/>
      <c r="BJ3107" s="750"/>
      <c r="BK3107" s="750"/>
      <c r="BL3107" s="750"/>
      <c r="BM3107" s="750"/>
      <c r="BN3107" s="750"/>
      <c r="BO3107" s="750"/>
      <c r="BP3107" s="750"/>
      <c r="BQ3107" s="750"/>
    </row>
    <row r="3108" spans="3:69">
      <c r="C3108" s="853"/>
      <c r="D3108" s="853"/>
      <c r="E3108" s="853"/>
      <c r="F3108" s="853"/>
      <c r="G3108" s="853"/>
      <c r="H3108" s="853"/>
      <c r="I3108" s="848"/>
      <c r="J3108" s="848"/>
      <c r="K3108" s="1295"/>
      <c r="L3108" s="1295"/>
      <c r="M3108" s="1295"/>
      <c r="N3108" s="1295"/>
      <c r="O3108" s="1295"/>
      <c r="P3108" s="853"/>
      <c r="Q3108" s="1295"/>
      <c r="R3108" s="848"/>
      <c r="S3108" s="848"/>
      <c r="T3108" s="848"/>
      <c r="U3108" s="848"/>
      <c r="V3108" s="1296"/>
      <c r="W3108" s="848"/>
      <c r="X3108" s="848"/>
      <c r="Y3108" s="1295"/>
      <c r="Z3108" s="1296"/>
      <c r="AA3108" s="1295"/>
      <c r="AB3108" s="1296"/>
      <c r="AC3108" s="1295"/>
      <c r="AD3108" s="1295"/>
      <c r="AE3108" s="2556"/>
      <c r="AF3108" s="750"/>
      <c r="AG3108" s="750"/>
      <c r="AH3108" s="750"/>
      <c r="AI3108" s="750"/>
      <c r="AJ3108" s="750"/>
      <c r="AK3108" s="750"/>
      <c r="AL3108" s="750"/>
      <c r="AM3108" s="750"/>
      <c r="AN3108" s="750"/>
      <c r="AO3108" s="750"/>
      <c r="AP3108" s="750"/>
      <c r="AQ3108" s="750"/>
      <c r="AR3108" s="750"/>
      <c r="AS3108" s="750"/>
      <c r="AT3108" s="750"/>
      <c r="AU3108" s="750"/>
      <c r="AV3108" s="750"/>
      <c r="AW3108" s="750"/>
      <c r="AX3108" s="750"/>
      <c r="AY3108" s="750"/>
      <c r="AZ3108" s="750"/>
      <c r="BA3108" s="750"/>
      <c r="BB3108" s="750"/>
      <c r="BC3108" s="750"/>
      <c r="BD3108" s="750"/>
      <c r="BE3108" s="750"/>
      <c r="BF3108" s="750"/>
      <c r="BG3108" s="750"/>
      <c r="BH3108" s="750"/>
      <c r="BI3108" s="750"/>
      <c r="BJ3108" s="750"/>
      <c r="BK3108" s="750"/>
      <c r="BL3108" s="750"/>
      <c r="BM3108" s="750"/>
      <c r="BN3108" s="750"/>
      <c r="BO3108" s="750"/>
      <c r="BP3108" s="750"/>
      <c r="BQ3108" s="750"/>
    </row>
    <row r="3109" spans="3:69">
      <c r="C3109" s="853"/>
      <c r="D3109" s="853"/>
      <c r="E3109" s="853"/>
      <c r="F3109" s="853"/>
      <c r="G3109" s="853"/>
      <c r="H3109" s="853"/>
      <c r="I3109" s="848"/>
      <c r="J3109" s="848"/>
      <c r="K3109" s="1295"/>
      <c r="L3109" s="1295"/>
      <c r="M3109" s="1295"/>
      <c r="N3109" s="1295"/>
      <c r="O3109" s="1295"/>
      <c r="P3109" s="853"/>
      <c r="Q3109" s="1295"/>
      <c r="R3109" s="848"/>
      <c r="S3109" s="848"/>
      <c r="T3109" s="848"/>
      <c r="U3109" s="848"/>
      <c r="V3109" s="1296"/>
      <c r="W3109" s="848"/>
      <c r="X3109" s="848"/>
      <c r="Y3109" s="1295"/>
      <c r="Z3109" s="1296"/>
      <c r="AA3109" s="1295"/>
      <c r="AB3109" s="1296"/>
      <c r="AC3109" s="1295"/>
      <c r="AD3109" s="1295"/>
      <c r="AE3109" s="2556"/>
      <c r="AF3109" s="750"/>
      <c r="AG3109" s="750"/>
      <c r="AH3109" s="750"/>
      <c r="AI3109" s="750"/>
      <c r="AJ3109" s="750"/>
      <c r="AK3109" s="750"/>
      <c r="AL3109" s="750"/>
      <c r="AM3109" s="750"/>
      <c r="AN3109" s="750"/>
      <c r="AO3109" s="750"/>
      <c r="AP3109" s="750"/>
      <c r="AQ3109" s="750"/>
      <c r="AR3109" s="750"/>
      <c r="AS3109" s="750"/>
      <c r="AT3109" s="750"/>
      <c r="AU3109" s="750"/>
      <c r="AV3109" s="750"/>
      <c r="AW3109" s="750"/>
      <c r="AX3109" s="750"/>
      <c r="AY3109" s="750"/>
      <c r="AZ3109" s="750"/>
      <c r="BA3109" s="750"/>
      <c r="BB3109" s="750"/>
      <c r="BC3109" s="750"/>
      <c r="BD3109" s="750"/>
      <c r="BE3109" s="750"/>
      <c r="BF3109" s="750"/>
      <c r="BG3109" s="750"/>
      <c r="BH3109" s="750"/>
      <c r="BI3109" s="750"/>
      <c r="BJ3109" s="750"/>
      <c r="BK3109" s="750"/>
      <c r="BL3109" s="750"/>
      <c r="BM3109" s="750"/>
      <c r="BN3109" s="750"/>
      <c r="BO3109" s="750"/>
      <c r="BP3109" s="750"/>
      <c r="BQ3109" s="750"/>
    </row>
    <row r="3110" spans="3:69">
      <c r="C3110" s="853"/>
      <c r="D3110" s="853"/>
      <c r="E3110" s="853"/>
      <c r="F3110" s="853"/>
      <c r="G3110" s="853"/>
      <c r="H3110" s="853"/>
      <c r="I3110" s="848"/>
      <c r="J3110" s="848"/>
      <c r="K3110" s="1295"/>
      <c r="L3110" s="1295"/>
      <c r="M3110" s="1295"/>
      <c r="N3110" s="1295"/>
      <c r="O3110" s="1295"/>
      <c r="P3110" s="853"/>
      <c r="Q3110" s="1295"/>
      <c r="R3110" s="848"/>
      <c r="S3110" s="848"/>
      <c r="T3110" s="848"/>
      <c r="U3110" s="848"/>
      <c r="V3110" s="1296"/>
      <c r="W3110" s="848"/>
      <c r="X3110" s="848"/>
      <c r="Y3110" s="1295"/>
      <c r="Z3110" s="1296"/>
      <c r="AA3110" s="1295"/>
      <c r="AB3110" s="1296"/>
      <c r="AC3110" s="1295"/>
      <c r="AD3110" s="1295"/>
      <c r="AE3110" s="2556"/>
      <c r="AF3110" s="750"/>
      <c r="AG3110" s="750"/>
      <c r="AH3110" s="750"/>
      <c r="AI3110" s="750"/>
      <c r="AJ3110" s="750"/>
      <c r="AK3110" s="750"/>
      <c r="AL3110" s="750"/>
      <c r="AM3110" s="750"/>
      <c r="AN3110" s="750"/>
      <c r="AO3110" s="750"/>
      <c r="AP3110" s="750"/>
      <c r="AQ3110" s="750"/>
      <c r="AR3110" s="750"/>
      <c r="AS3110" s="750"/>
      <c r="AT3110" s="750"/>
      <c r="AU3110" s="750"/>
      <c r="AV3110" s="750"/>
      <c r="AW3110" s="750"/>
      <c r="AX3110" s="750"/>
      <c r="AY3110" s="750"/>
      <c r="AZ3110" s="750"/>
      <c r="BA3110" s="750"/>
      <c r="BB3110" s="750"/>
      <c r="BC3110" s="750"/>
      <c r="BD3110" s="750"/>
      <c r="BE3110" s="750"/>
      <c r="BF3110" s="750"/>
      <c r="BG3110" s="750"/>
      <c r="BH3110" s="750"/>
      <c r="BI3110" s="750"/>
      <c r="BJ3110" s="750"/>
      <c r="BK3110" s="750"/>
      <c r="BL3110" s="750"/>
      <c r="BM3110" s="750"/>
      <c r="BN3110" s="750"/>
      <c r="BO3110" s="750"/>
      <c r="BP3110" s="750"/>
      <c r="BQ3110" s="750"/>
    </row>
    <row r="3111" spans="3:69">
      <c r="C3111" s="853"/>
      <c r="D3111" s="853"/>
      <c r="E3111" s="853"/>
      <c r="F3111" s="853"/>
      <c r="G3111" s="853"/>
      <c r="H3111" s="853"/>
      <c r="I3111" s="848"/>
      <c r="J3111" s="848"/>
      <c r="K3111" s="1295"/>
      <c r="L3111" s="1295"/>
      <c r="M3111" s="1295"/>
      <c r="N3111" s="1295"/>
      <c r="O3111" s="1295"/>
      <c r="P3111" s="853"/>
      <c r="Q3111" s="1295"/>
      <c r="R3111" s="848"/>
      <c r="S3111" s="848"/>
      <c r="T3111" s="848"/>
      <c r="U3111" s="848"/>
      <c r="V3111" s="1296"/>
      <c r="W3111" s="848"/>
      <c r="X3111" s="848"/>
      <c r="Y3111" s="1295"/>
      <c r="Z3111" s="1296"/>
      <c r="AA3111" s="1295"/>
      <c r="AB3111" s="1296"/>
      <c r="AC3111" s="1295"/>
      <c r="AD3111" s="1295"/>
      <c r="AE3111" s="2556"/>
      <c r="AF3111" s="750"/>
      <c r="AG3111" s="750"/>
      <c r="AH3111" s="750"/>
      <c r="AI3111" s="750"/>
      <c r="AJ3111" s="750"/>
      <c r="AK3111" s="750"/>
      <c r="AL3111" s="750"/>
      <c r="AM3111" s="750"/>
      <c r="AN3111" s="750"/>
      <c r="AO3111" s="750"/>
      <c r="AP3111" s="750"/>
      <c r="AQ3111" s="750"/>
      <c r="AR3111" s="750"/>
      <c r="AS3111" s="750"/>
      <c r="AT3111" s="750"/>
      <c r="AU3111" s="750"/>
      <c r="AV3111" s="750"/>
      <c r="AW3111" s="750"/>
      <c r="AX3111" s="750"/>
      <c r="AY3111" s="750"/>
      <c r="AZ3111" s="750"/>
      <c r="BA3111" s="750"/>
      <c r="BB3111" s="750"/>
      <c r="BC3111" s="750"/>
      <c r="BD3111" s="750"/>
      <c r="BE3111" s="750"/>
      <c r="BF3111" s="750"/>
      <c r="BG3111" s="750"/>
      <c r="BH3111" s="750"/>
      <c r="BI3111" s="750"/>
      <c r="BJ3111" s="750"/>
      <c r="BK3111" s="750"/>
      <c r="BL3111" s="750"/>
      <c r="BM3111" s="750"/>
      <c r="BN3111" s="750"/>
      <c r="BO3111" s="750"/>
      <c r="BP3111" s="750"/>
      <c r="BQ3111" s="750"/>
    </row>
    <row r="3112" spans="3:69">
      <c r="C3112" s="853"/>
      <c r="D3112" s="853"/>
      <c r="E3112" s="853"/>
      <c r="F3112" s="853"/>
      <c r="G3112" s="853"/>
      <c r="H3112" s="853"/>
      <c r="I3112" s="848"/>
      <c r="J3112" s="848"/>
      <c r="K3112" s="1295"/>
      <c r="L3112" s="1295"/>
      <c r="M3112" s="1295"/>
      <c r="N3112" s="1295"/>
      <c r="O3112" s="1295"/>
      <c r="P3112" s="853"/>
      <c r="Q3112" s="1295"/>
      <c r="R3112" s="848"/>
      <c r="S3112" s="848"/>
      <c r="T3112" s="848"/>
      <c r="U3112" s="848"/>
      <c r="V3112" s="1296"/>
      <c r="W3112" s="848"/>
      <c r="X3112" s="848"/>
      <c r="Y3112" s="1295"/>
      <c r="Z3112" s="1296"/>
      <c r="AA3112" s="1295"/>
      <c r="AB3112" s="1296"/>
      <c r="AC3112" s="1295"/>
      <c r="AD3112" s="1295"/>
      <c r="AE3112" s="2556"/>
      <c r="AF3112" s="750"/>
      <c r="AG3112" s="750"/>
      <c r="AH3112" s="750"/>
      <c r="AI3112" s="750"/>
      <c r="AJ3112" s="750"/>
      <c r="AK3112" s="750"/>
      <c r="AL3112" s="750"/>
      <c r="AM3112" s="750"/>
      <c r="AN3112" s="750"/>
      <c r="AO3112" s="750"/>
      <c r="AP3112" s="750"/>
      <c r="AQ3112" s="750"/>
      <c r="AR3112" s="750"/>
      <c r="AS3112" s="750"/>
      <c r="AT3112" s="750"/>
      <c r="AU3112" s="750"/>
      <c r="AV3112" s="750"/>
      <c r="AW3112" s="750"/>
      <c r="AX3112" s="750"/>
      <c r="AY3112" s="750"/>
      <c r="AZ3112" s="750"/>
      <c r="BA3112" s="750"/>
      <c r="BB3112" s="750"/>
      <c r="BC3112" s="750"/>
      <c r="BD3112" s="750"/>
      <c r="BE3112" s="750"/>
      <c r="BF3112" s="750"/>
      <c r="BG3112" s="750"/>
      <c r="BH3112" s="750"/>
      <c r="BI3112" s="750"/>
      <c r="BJ3112" s="750"/>
      <c r="BK3112" s="750"/>
      <c r="BL3112" s="750"/>
      <c r="BM3112" s="750"/>
      <c r="BN3112" s="750"/>
      <c r="BO3112" s="750"/>
      <c r="BP3112" s="750"/>
      <c r="BQ3112" s="750"/>
    </row>
    <row r="3113" spans="3:69">
      <c r="C3113" s="853"/>
      <c r="D3113" s="853"/>
      <c r="E3113" s="853"/>
      <c r="F3113" s="853"/>
      <c r="G3113" s="853"/>
      <c r="H3113" s="853"/>
      <c r="I3113" s="848"/>
      <c r="J3113" s="848"/>
      <c r="K3113" s="1295"/>
      <c r="L3113" s="1295"/>
      <c r="M3113" s="1295"/>
      <c r="N3113" s="1295"/>
      <c r="O3113" s="1295"/>
      <c r="P3113" s="853"/>
      <c r="Q3113" s="1295"/>
      <c r="R3113" s="848"/>
      <c r="S3113" s="848"/>
      <c r="T3113" s="848"/>
      <c r="U3113" s="848"/>
      <c r="V3113" s="1296"/>
      <c r="W3113" s="848"/>
      <c r="X3113" s="848"/>
      <c r="Y3113" s="1295"/>
      <c r="Z3113" s="1296"/>
      <c r="AA3113" s="1295"/>
      <c r="AB3113" s="1296"/>
      <c r="AC3113" s="1295"/>
      <c r="AD3113" s="1295"/>
      <c r="AE3113" s="2556"/>
      <c r="AF3113" s="750"/>
      <c r="AG3113" s="750"/>
      <c r="AH3113" s="750"/>
      <c r="AI3113" s="750"/>
      <c r="AJ3113" s="750"/>
      <c r="AK3113" s="750"/>
      <c r="AL3113" s="750"/>
      <c r="AM3113" s="750"/>
      <c r="AN3113" s="750"/>
      <c r="AO3113" s="750"/>
      <c r="AP3113" s="750"/>
      <c r="AQ3113" s="750"/>
      <c r="AR3113" s="750"/>
      <c r="AS3113" s="750"/>
      <c r="AT3113" s="750"/>
      <c r="AU3113" s="750"/>
      <c r="AV3113" s="750"/>
      <c r="AW3113" s="750"/>
      <c r="AX3113" s="750"/>
      <c r="AY3113" s="750"/>
      <c r="AZ3113" s="750"/>
      <c r="BA3113" s="750"/>
      <c r="BB3113" s="750"/>
      <c r="BC3113" s="750"/>
      <c r="BD3113" s="750"/>
      <c r="BE3113" s="750"/>
      <c r="BF3113" s="750"/>
      <c r="BG3113" s="750"/>
      <c r="BH3113" s="750"/>
      <c r="BI3113" s="750"/>
      <c r="BJ3113" s="750"/>
      <c r="BK3113" s="750"/>
      <c r="BL3113" s="750"/>
      <c r="BM3113" s="750"/>
      <c r="BN3113" s="750"/>
      <c r="BO3113" s="750"/>
      <c r="BP3113" s="750"/>
      <c r="BQ3113" s="750"/>
    </row>
    <row r="3114" spans="3:69">
      <c r="C3114" s="853"/>
      <c r="D3114" s="853"/>
      <c r="E3114" s="853"/>
      <c r="F3114" s="853"/>
      <c r="G3114" s="853"/>
      <c r="H3114" s="853"/>
      <c r="I3114" s="848"/>
      <c r="J3114" s="848"/>
      <c r="K3114" s="1295"/>
      <c r="L3114" s="1295"/>
      <c r="M3114" s="1295"/>
      <c r="N3114" s="1295"/>
      <c r="O3114" s="1295"/>
      <c r="P3114" s="853"/>
      <c r="Q3114" s="1295"/>
      <c r="R3114" s="848"/>
      <c r="S3114" s="848"/>
      <c r="T3114" s="848"/>
      <c r="U3114" s="848"/>
      <c r="V3114" s="1296"/>
      <c r="W3114" s="848"/>
      <c r="X3114" s="848"/>
      <c r="Y3114" s="1295"/>
      <c r="Z3114" s="1296"/>
      <c r="AA3114" s="1295"/>
      <c r="AB3114" s="1296"/>
      <c r="AC3114" s="1295"/>
      <c r="AD3114" s="1295"/>
      <c r="AE3114" s="2556"/>
      <c r="AF3114" s="750"/>
      <c r="AG3114" s="750"/>
      <c r="AH3114" s="750"/>
      <c r="AI3114" s="750"/>
      <c r="AJ3114" s="750"/>
      <c r="AK3114" s="750"/>
      <c r="AL3114" s="750"/>
      <c r="AM3114" s="750"/>
      <c r="AN3114" s="750"/>
      <c r="AO3114" s="750"/>
      <c r="AP3114" s="750"/>
      <c r="AQ3114" s="750"/>
      <c r="AR3114" s="750"/>
      <c r="AS3114" s="750"/>
      <c r="AT3114" s="750"/>
      <c r="AU3114" s="750"/>
      <c r="AV3114" s="750"/>
      <c r="AW3114" s="750"/>
      <c r="AX3114" s="750"/>
      <c r="AY3114" s="750"/>
      <c r="AZ3114" s="750"/>
      <c r="BA3114" s="750"/>
      <c r="BB3114" s="750"/>
      <c r="BC3114" s="750"/>
      <c r="BD3114" s="750"/>
      <c r="BE3114" s="750"/>
      <c r="BF3114" s="750"/>
      <c r="BG3114" s="750"/>
      <c r="BH3114" s="750"/>
      <c r="BI3114" s="750"/>
      <c r="BJ3114" s="750"/>
      <c r="BK3114" s="750"/>
      <c r="BL3114" s="750"/>
      <c r="BM3114" s="750"/>
      <c r="BN3114" s="750"/>
      <c r="BO3114" s="750"/>
      <c r="BP3114" s="750"/>
      <c r="BQ3114" s="750"/>
    </row>
    <row r="3115" spans="3:69">
      <c r="C3115" s="853"/>
      <c r="D3115" s="853"/>
      <c r="E3115" s="853"/>
      <c r="F3115" s="853"/>
      <c r="G3115" s="853"/>
      <c r="H3115" s="853"/>
      <c r="I3115" s="848"/>
      <c r="J3115" s="848"/>
      <c r="K3115" s="1295"/>
      <c r="L3115" s="1295"/>
      <c r="M3115" s="1295"/>
      <c r="N3115" s="1295"/>
      <c r="O3115" s="1295"/>
      <c r="P3115" s="853"/>
      <c r="Q3115" s="1295"/>
      <c r="R3115" s="848"/>
      <c r="S3115" s="848"/>
      <c r="T3115" s="848"/>
      <c r="U3115" s="848"/>
      <c r="V3115" s="1296"/>
      <c r="W3115" s="848"/>
      <c r="X3115" s="848"/>
      <c r="Y3115" s="1295"/>
      <c r="Z3115" s="1296"/>
      <c r="AA3115" s="1295"/>
      <c r="AB3115" s="1296"/>
      <c r="AC3115" s="1295"/>
      <c r="AD3115" s="1295"/>
      <c r="AE3115" s="2556"/>
      <c r="AF3115" s="750"/>
      <c r="AG3115" s="750"/>
      <c r="AH3115" s="750"/>
      <c r="AI3115" s="750"/>
      <c r="AJ3115" s="750"/>
      <c r="AK3115" s="750"/>
      <c r="AL3115" s="750"/>
      <c r="AM3115" s="750"/>
      <c r="AN3115" s="750"/>
      <c r="AO3115" s="750"/>
      <c r="AP3115" s="750"/>
      <c r="AQ3115" s="750"/>
      <c r="AR3115" s="750"/>
      <c r="AS3115" s="750"/>
      <c r="AT3115" s="750"/>
      <c r="AU3115" s="750"/>
      <c r="AV3115" s="750"/>
      <c r="AW3115" s="750"/>
      <c r="AX3115" s="750"/>
      <c r="AY3115" s="750"/>
      <c r="AZ3115" s="750"/>
      <c r="BA3115" s="750"/>
      <c r="BB3115" s="750"/>
      <c r="BC3115" s="750"/>
      <c r="BD3115" s="750"/>
      <c r="BE3115" s="750"/>
      <c r="BF3115" s="750"/>
      <c r="BG3115" s="750"/>
      <c r="BH3115" s="750"/>
      <c r="BI3115" s="750"/>
      <c r="BJ3115" s="750"/>
      <c r="BK3115" s="750"/>
      <c r="BL3115" s="750"/>
      <c r="BM3115" s="750"/>
      <c r="BN3115" s="750"/>
      <c r="BO3115" s="750"/>
      <c r="BP3115" s="750"/>
      <c r="BQ3115" s="750"/>
    </row>
    <row r="3116" spans="3:69">
      <c r="C3116" s="853"/>
      <c r="D3116" s="853"/>
      <c r="E3116" s="853"/>
      <c r="F3116" s="853"/>
      <c r="G3116" s="853"/>
      <c r="H3116" s="853"/>
      <c r="I3116" s="848"/>
      <c r="J3116" s="848"/>
      <c r="K3116" s="1295"/>
      <c r="L3116" s="1295"/>
      <c r="M3116" s="1295"/>
      <c r="N3116" s="1295"/>
      <c r="O3116" s="1295"/>
      <c r="P3116" s="853"/>
      <c r="Q3116" s="1295"/>
      <c r="R3116" s="848"/>
      <c r="S3116" s="848"/>
      <c r="T3116" s="848"/>
      <c r="U3116" s="848"/>
      <c r="V3116" s="1296"/>
      <c r="W3116" s="848"/>
      <c r="X3116" s="848"/>
      <c r="Y3116" s="1295"/>
      <c r="Z3116" s="1296"/>
      <c r="AA3116" s="1295"/>
      <c r="AB3116" s="1296"/>
      <c r="AC3116" s="1295"/>
      <c r="AD3116" s="1295"/>
      <c r="AE3116" s="2556"/>
      <c r="AF3116" s="750"/>
      <c r="AG3116" s="750"/>
      <c r="AH3116" s="750"/>
      <c r="AI3116" s="750"/>
      <c r="AJ3116" s="750"/>
      <c r="AK3116" s="750"/>
      <c r="AL3116" s="750"/>
      <c r="AM3116" s="750"/>
      <c r="AN3116" s="750"/>
      <c r="AO3116" s="750"/>
      <c r="AP3116" s="750"/>
      <c r="AQ3116" s="750"/>
      <c r="AR3116" s="750"/>
      <c r="AS3116" s="750"/>
      <c r="AT3116" s="750"/>
      <c r="AU3116" s="750"/>
      <c r="AV3116" s="750"/>
      <c r="AW3116" s="750"/>
      <c r="AX3116" s="750"/>
      <c r="AY3116" s="750"/>
      <c r="AZ3116" s="750"/>
      <c r="BA3116" s="750"/>
      <c r="BB3116" s="750"/>
      <c r="BC3116" s="750"/>
      <c r="BD3116" s="750"/>
      <c r="BE3116" s="750"/>
      <c r="BF3116" s="750"/>
      <c r="BG3116" s="750"/>
      <c r="BH3116" s="750"/>
      <c r="BI3116" s="750"/>
      <c r="BJ3116" s="750"/>
      <c r="BK3116" s="750"/>
      <c r="BL3116" s="750"/>
      <c r="BM3116" s="750"/>
      <c r="BN3116" s="750"/>
      <c r="BO3116" s="750"/>
      <c r="BP3116" s="750"/>
      <c r="BQ3116" s="750"/>
    </row>
    <row r="3117" spans="3:69">
      <c r="C3117" s="853"/>
      <c r="D3117" s="853"/>
      <c r="E3117" s="853"/>
      <c r="F3117" s="853"/>
      <c r="G3117" s="853"/>
      <c r="H3117" s="853"/>
      <c r="I3117" s="848"/>
      <c r="J3117" s="848"/>
      <c r="K3117" s="1295"/>
      <c r="L3117" s="1295"/>
      <c r="M3117" s="1295"/>
      <c r="N3117" s="1295"/>
      <c r="O3117" s="1295"/>
      <c r="P3117" s="853"/>
      <c r="Q3117" s="1295"/>
      <c r="R3117" s="848"/>
      <c r="S3117" s="848"/>
      <c r="T3117" s="848"/>
      <c r="U3117" s="848"/>
      <c r="V3117" s="1296"/>
      <c r="W3117" s="848"/>
      <c r="X3117" s="848"/>
      <c r="Y3117" s="1295"/>
      <c r="Z3117" s="1296"/>
      <c r="AA3117" s="1295"/>
      <c r="AB3117" s="1296"/>
      <c r="AC3117" s="1295"/>
      <c r="AD3117" s="1295"/>
      <c r="AE3117" s="2556"/>
      <c r="AF3117" s="750"/>
      <c r="AG3117" s="750"/>
      <c r="AH3117" s="750"/>
      <c r="AI3117" s="750"/>
      <c r="AJ3117" s="750"/>
      <c r="AK3117" s="750"/>
      <c r="AL3117" s="750"/>
      <c r="AM3117" s="750"/>
      <c r="AN3117" s="750"/>
      <c r="AO3117" s="750"/>
      <c r="AP3117" s="750"/>
      <c r="AQ3117" s="750"/>
      <c r="AR3117" s="750"/>
      <c r="AS3117" s="750"/>
      <c r="AT3117" s="750"/>
      <c r="AU3117" s="750"/>
      <c r="AV3117" s="750"/>
      <c r="AW3117" s="750"/>
      <c r="AX3117" s="750"/>
      <c r="AY3117" s="750"/>
      <c r="AZ3117" s="750"/>
      <c r="BA3117" s="750"/>
      <c r="BB3117" s="750"/>
      <c r="BC3117" s="750"/>
      <c r="BD3117" s="750"/>
      <c r="BE3117" s="750"/>
      <c r="BF3117" s="750"/>
      <c r="BG3117" s="750"/>
      <c r="BH3117" s="750"/>
      <c r="BI3117" s="750"/>
      <c r="BJ3117" s="750"/>
      <c r="BK3117" s="750"/>
      <c r="BL3117" s="750"/>
      <c r="BM3117" s="750"/>
      <c r="BN3117" s="750"/>
      <c r="BO3117" s="750"/>
      <c r="BP3117" s="750"/>
      <c r="BQ3117" s="750"/>
    </row>
    <row r="3118" spans="3:69">
      <c r="C3118" s="853"/>
      <c r="D3118" s="853"/>
      <c r="E3118" s="853"/>
      <c r="F3118" s="853"/>
      <c r="G3118" s="853"/>
      <c r="H3118" s="853"/>
      <c r="I3118" s="848"/>
      <c r="J3118" s="848"/>
      <c r="K3118" s="1295"/>
      <c r="L3118" s="1295"/>
      <c r="M3118" s="1295"/>
      <c r="N3118" s="1295"/>
      <c r="O3118" s="1295"/>
      <c r="P3118" s="853"/>
      <c r="Q3118" s="1295"/>
      <c r="R3118" s="848"/>
      <c r="S3118" s="848"/>
      <c r="T3118" s="848"/>
      <c r="U3118" s="848"/>
      <c r="V3118" s="1296"/>
      <c r="W3118" s="848"/>
      <c r="X3118" s="848"/>
      <c r="Y3118" s="1295"/>
      <c r="Z3118" s="1296"/>
      <c r="AA3118" s="1295"/>
      <c r="AB3118" s="1296"/>
      <c r="AC3118" s="1295"/>
      <c r="AD3118" s="1295"/>
      <c r="AE3118" s="2556"/>
      <c r="AF3118" s="750"/>
      <c r="AG3118" s="750"/>
      <c r="AH3118" s="750"/>
      <c r="AI3118" s="750"/>
      <c r="AJ3118" s="750"/>
      <c r="AK3118" s="750"/>
      <c r="AL3118" s="750"/>
      <c r="AM3118" s="750"/>
      <c r="AN3118" s="750"/>
      <c r="AO3118" s="750"/>
      <c r="AP3118" s="750"/>
      <c r="AQ3118" s="750"/>
      <c r="AR3118" s="750"/>
      <c r="AS3118" s="750"/>
      <c r="AT3118" s="750"/>
      <c r="AU3118" s="750"/>
      <c r="AV3118" s="750"/>
      <c r="AW3118" s="750"/>
      <c r="AX3118" s="750"/>
      <c r="AY3118" s="750"/>
      <c r="AZ3118" s="750"/>
      <c r="BA3118" s="750"/>
      <c r="BB3118" s="750"/>
      <c r="BC3118" s="750"/>
      <c r="BD3118" s="750"/>
      <c r="BE3118" s="750"/>
      <c r="BF3118" s="750"/>
      <c r="BG3118" s="750"/>
      <c r="BH3118" s="750"/>
      <c r="BI3118" s="750"/>
      <c r="BJ3118" s="750"/>
      <c r="BK3118" s="750"/>
      <c r="BL3118" s="750"/>
      <c r="BM3118" s="750"/>
      <c r="BN3118" s="750"/>
      <c r="BO3118" s="750"/>
      <c r="BP3118" s="750"/>
      <c r="BQ3118" s="750"/>
    </row>
    <row r="3119" spans="3:69">
      <c r="C3119" s="853"/>
      <c r="D3119" s="853"/>
      <c r="E3119" s="853"/>
      <c r="F3119" s="853"/>
      <c r="G3119" s="853"/>
      <c r="H3119" s="853"/>
      <c r="I3119" s="848"/>
      <c r="J3119" s="848"/>
      <c r="K3119" s="1295"/>
      <c r="L3119" s="1295"/>
      <c r="M3119" s="1295"/>
      <c r="N3119" s="1295"/>
      <c r="O3119" s="1295"/>
      <c r="P3119" s="853"/>
      <c r="Q3119" s="1295"/>
      <c r="R3119" s="848"/>
      <c r="S3119" s="848"/>
      <c r="T3119" s="848"/>
      <c r="U3119" s="848"/>
      <c r="V3119" s="1296"/>
      <c r="W3119" s="848"/>
      <c r="X3119" s="848"/>
      <c r="Y3119" s="1295"/>
      <c r="Z3119" s="1296"/>
      <c r="AA3119" s="1295"/>
      <c r="AB3119" s="1296"/>
      <c r="AC3119" s="1295"/>
      <c r="AD3119" s="1295"/>
      <c r="AE3119" s="2556"/>
      <c r="AF3119" s="750"/>
      <c r="AG3119" s="750"/>
      <c r="AH3119" s="750"/>
      <c r="AI3119" s="750"/>
      <c r="AJ3119" s="750"/>
      <c r="AK3119" s="750"/>
      <c r="AL3119" s="750"/>
      <c r="AM3119" s="750"/>
      <c r="AN3119" s="750"/>
      <c r="AO3119" s="750"/>
      <c r="AP3119" s="750"/>
      <c r="AQ3119" s="750"/>
      <c r="AR3119" s="750"/>
      <c r="AS3119" s="750"/>
      <c r="AT3119" s="750"/>
      <c r="AU3119" s="750"/>
      <c r="AV3119" s="750"/>
      <c r="AW3119" s="750"/>
      <c r="AX3119" s="750"/>
      <c r="AY3119" s="750"/>
      <c r="AZ3119" s="750"/>
      <c r="BA3119" s="750"/>
      <c r="BB3119" s="750"/>
      <c r="BC3119" s="750"/>
      <c r="BD3119" s="750"/>
      <c r="BE3119" s="750"/>
      <c r="BF3119" s="750"/>
      <c r="BG3119" s="750"/>
      <c r="BH3119" s="750"/>
      <c r="BI3119" s="750"/>
      <c r="BJ3119" s="750"/>
      <c r="BK3119" s="750"/>
      <c r="BL3119" s="750"/>
      <c r="BM3119" s="750"/>
      <c r="BN3119" s="750"/>
      <c r="BO3119" s="750"/>
      <c r="BP3119" s="750"/>
      <c r="BQ3119" s="750"/>
    </row>
    <row r="3120" spans="3:69">
      <c r="C3120" s="853"/>
      <c r="D3120" s="853"/>
      <c r="E3120" s="853"/>
      <c r="F3120" s="853"/>
      <c r="G3120" s="853"/>
      <c r="H3120" s="853"/>
      <c r="I3120" s="848"/>
      <c r="J3120" s="848"/>
      <c r="K3120" s="1295"/>
      <c r="L3120" s="1295"/>
      <c r="M3120" s="1295"/>
      <c r="N3120" s="1295"/>
      <c r="O3120" s="1295"/>
      <c r="P3120" s="853"/>
      <c r="Q3120" s="1295"/>
      <c r="R3120" s="848"/>
      <c r="S3120" s="848"/>
      <c r="T3120" s="848"/>
      <c r="U3120" s="848"/>
      <c r="V3120" s="1296"/>
      <c r="W3120" s="848"/>
      <c r="X3120" s="848"/>
      <c r="Y3120" s="1295"/>
      <c r="Z3120" s="1296"/>
      <c r="AA3120" s="1295"/>
      <c r="AB3120" s="1296"/>
      <c r="AC3120" s="1295"/>
      <c r="AD3120" s="1295"/>
      <c r="AE3120" s="2556"/>
      <c r="AF3120" s="750"/>
      <c r="AG3120" s="750"/>
      <c r="AH3120" s="750"/>
      <c r="AI3120" s="750"/>
      <c r="AJ3120" s="750"/>
      <c r="AK3120" s="750"/>
      <c r="AL3120" s="750"/>
      <c r="AM3120" s="750"/>
      <c r="AN3120" s="750"/>
      <c r="AO3120" s="750"/>
      <c r="AP3120" s="750"/>
      <c r="AQ3120" s="750"/>
      <c r="AR3120" s="750"/>
      <c r="AS3120" s="750"/>
      <c r="AT3120" s="750"/>
      <c r="AU3120" s="750"/>
      <c r="AV3120" s="750"/>
      <c r="AW3120" s="750"/>
      <c r="AX3120" s="750"/>
      <c r="AY3120" s="750"/>
      <c r="AZ3120" s="750"/>
      <c r="BA3120" s="750"/>
      <c r="BB3120" s="750"/>
      <c r="BC3120" s="750"/>
      <c r="BD3120" s="750"/>
      <c r="BE3120" s="750"/>
      <c r="BF3120" s="750"/>
      <c r="BG3120" s="750"/>
      <c r="BH3120" s="750"/>
      <c r="BI3120" s="750"/>
      <c r="BJ3120" s="750"/>
      <c r="BK3120" s="750"/>
      <c r="BL3120" s="750"/>
      <c r="BM3120" s="750"/>
      <c r="BN3120" s="750"/>
      <c r="BO3120" s="750"/>
      <c r="BP3120" s="750"/>
      <c r="BQ3120" s="750"/>
    </row>
    <row r="3121" spans="3:69">
      <c r="C3121" s="853"/>
      <c r="D3121" s="853"/>
      <c r="E3121" s="853"/>
      <c r="F3121" s="853"/>
      <c r="G3121" s="853"/>
      <c r="H3121" s="853"/>
      <c r="I3121" s="848"/>
      <c r="J3121" s="848"/>
      <c r="K3121" s="1295"/>
      <c r="L3121" s="1295"/>
      <c r="M3121" s="1295"/>
      <c r="N3121" s="1295"/>
      <c r="O3121" s="1295"/>
      <c r="P3121" s="853"/>
      <c r="Q3121" s="1295"/>
      <c r="R3121" s="848"/>
      <c r="S3121" s="848"/>
      <c r="T3121" s="848"/>
      <c r="U3121" s="848"/>
      <c r="V3121" s="1296"/>
      <c r="W3121" s="848"/>
      <c r="X3121" s="848"/>
      <c r="Y3121" s="1295"/>
      <c r="Z3121" s="1296"/>
      <c r="AA3121" s="1295"/>
      <c r="AB3121" s="1296"/>
      <c r="AC3121" s="1295"/>
      <c r="AD3121" s="1295"/>
      <c r="AE3121" s="2556"/>
      <c r="AF3121" s="750"/>
      <c r="AG3121" s="750"/>
      <c r="AH3121" s="750"/>
      <c r="AI3121" s="750"/>
      <c r="AJ3121" s="750"/>
      <c r="AK3121" s="750"/>
      <c r="AL3121" s="750"/>
      <c r="AM3121" s="750"/>
      <c r="AN3121" s="750"/>
      <c r="AO3121" s="750"/>
      <c r="AP3121" s="750"/>
      <c r="AQ3121" s="750"/>
      <c r="AR3121" s="750"/>
      <c r="AS3121" s="750"/>
      <c r="AT3121" s="750"/>
      <c r="AU3121" s="750"/>
      <c r="AV3121" s="750"/>
      <c r="AW3121" s="750"/>
      <c r="AX3121" s="750"/>
      <c r="AY3121" s="750"/>
      <c r="AZ3121" s="750"/>
      <c r="BA3121" s="750"/>
      <c r="BB3121" s="750"/>
      <c r="BC3121" s="750"/>
      <c r="BD3121" s="750"/>
      <c r="BE3121" s="750"/>
      <c r="BF3121" s="750"/>
      <c r="BG3121" s="750"/>
      <c r="BH3121" s="750"/>
      <c r="BI3121" s="750"/>
      <c r="BJ3121" s="750"/>
      <c r="BK3121" s="750"/>
      <c r="BL3121" s="750"/>
      <c r="BM3121" s="750"/>
      <c r="BN3121" s="750"/>
      <c r="BO3121" s="750"/>
      <c r="BP3121" s="750"/>
      <c r="BQ3121" s="750"/>
    </row>
    <row r="3122" spans="3:69">
      <c r="C3122" s="853"/>
      <c r="D3122" s="853"/>
      <c r="E3122" s="853"/>
      <c r="F3122" s="853"/>
      <c r="G3122" s="853"/>
      <c r="H3122" s="853"/>
      <c r="I3122" s="848"/>
      <c r="J3122" s="848"/>
      <c r="K3122" s="1295"/>
      <c r="L3122" s="1295"/>
      <c r="M3122" s="1295"/>
      <c r="N3122" s="1295"/>
      <c r="O3122" s="1295"/>
      <c r="P3122" s="853"/>
      <c r="Q3122" s="1295"/>
      <c r="R3122" s="848"/>
      <c r="S3122" s="848"/>
      <c r="T3122" s="848"/>
      <c r="U3122" s="848"/>
      <c r="V3122" s="1296"/>
      <c r="W3122" s="848"/>
      <c r="X3122" s="848"/>
      <c r="Y3122" s="1295"/>
      <c r="Z3122" s="1296"/>
      <c r="AA3122" s="1295"/>
      <c r="AB3122" s="1296"/>
      <c r="AC3122" s="1295"/>
      <c r="AD3122" s="1295"/>
      <c r="AE3122" s="2556"/>
      <c r="AF3122" s="750"/>
      <c r="AG3122" s="750"/>
      <c r="AH3122" s="750"/>
      <c r="AI3122" s="750"/>
      <c r="AJ3122" s="750"/>
      <c r="AK3122" s="750"/>
      <c r="AL3122" s="750"/>
      <c r="AM3122" s="750"/>
      <c r="AN3122" s="750"/>
      <c r="AO3122" s="750"/>
      <c r="AP3122" s="750"/>
      <c r="AQ3122" s="750"/>
      <c r="AR3122" s="750"/>
      <c r="AS3122" s="750"/>
      <c r="AT3122" s="750"/>
      <c r="AU3122" s="750"/>
      <c r="AV3122" s="750"/>
      <c r="AW3122" s="750"/>
      <c r="AX3122" s="750"/>
      <c r="AY3122" s="750"/>
      <c r="AZ3122" s="750"/>
      <c r="BA3122" s="750"/>
      <c r="BB3122" s="750"/>
      <c r="BC3122" s="750"/>
      <c r="BD3122" s="750"/>
      <c r="BE3122" s="750"/>
      <c r="BF3122" s="750"/>
      <c r="BG3122" s="750"/>
      <c r="BH3122" s="750"/>
      <c r="BI3122" s="750"/>
      <c r="BJ3122" s="750"/>
      <c r="BK3122" s="750"/>
      <c r="BL3122" s="750"/>
      <c r="BM3122" s="750"/>
      <c r="BN3122" s="750"/>
      <c r="BO3122" s="750"/>
      <c r="BP3122" s="750"/>
      <c r="BQ3122" s="750"/>
    </row>
    <row r="3123" spans="3:69">
      <c r="C3123" s="853"/>
      <c r="D3123" s="853"/>
      <c r="E3123" s="853"/>
      <c r="F3123" s="853"/>
      <c r="G3123" s="853"/>
      <c r="H3123" s="853"/>
      <c r="I3123" s="848"/>
      <c r="J3123" s="848"/>
      <c r="K3123" s="1295"/>
      <c r="L3123" s="1295"/>
      <c r="M3123" s="1295"/>
      <c r="N3123" s="1295"/>
      <c r="O3123" s="1295"/>
      <c r="P3123" s="853"/>
      <c r="Q3123" s="1295"/>
      <c r="R3123" s="848"/>
      <c r="S3123" s="848"/>
      <c r="T3123" s="848"/>
      <c r="U3123" s="848"/>
      <c r="V3123" s="1296"/>
      <c r="W3123" s="848"/>
      <c r="X3123" s="848"/>
      <c r="Y3123" s="1295"/>
      <c r="Z3123" s="1296"/>
      <c r="AA3123" s="1295"/>
      <c r="AB3123" s="1296"/>
      <c r="AC3123" s="1295"/>
      <c r="AD3123" s="1295"/>
      <c r="AE3123" s="2556"/>
      <c r="AF3123" s="750"/>
      <c r="AG3123" s="750"/>
      <c r="AH3123" s="750"/>
      <c r="AI3123" s="750"/>
      <c r="AJ3123" s="750"/>
      <c r="AK3123" s="750"/>
      <c r="AL3123" s="750"/>
      <c r="AM3123" s="750"/>
      <c r="AN3123" s="750"/>
      <c r="AO3123" s="750"/>
      <c r="AP3123" s="750"/>
      <c r="AQ3123" s="750"/>
      <c r="AR3123" s="750"/>
      <c r="AS3123" s="750"/>
      <c r="AT3123" s="750"/>
      <c r="AU3123" s="750"/>
      <c r="AV3123" s="750"/>
      <c r="AW3123" s="750"/>
      <c r="AX3123" s="750"/>
      <c r="AY3123" s="750"/>
      <c r="AZ3123" s="750"/>
      <c r="BA3123" s="750"/>
      <c r="BB3123" s="750"/>
      <c r="BC3123" s="750"/>
      <c r="BD3123" s="750"/>
      <c r="BE3123" s="750"/>
      <c r="BF3123" s="750"/>
      <c r="BG3123" s="750"/>
      <c r="BH3123" s="750"/>
      <c r="BI3123" s="750"/>
      <c r="BJ3123" s="750"/>
      <c r="BK3123" s="750"/>
      <c r="BL3123" s="750"/>
      <c r="BM3123" s="750"/>
      <c r="BN3123" s="750"/>
      <c r="BO3123" s="750"/>
      <c r="BP3123" s="750"/>
      <c r="BQ3123" s="750"/>
    </row>
    <row r="3124" spans="3:69">
      <c r="C3124" s="853"/>
      <c r="D3124" s="853"/>
      <c r="E3124" s="853"/>
      <c r="F3124" s="853"/>
      <c r="G3124" s="853"/>
      <c r="H3124" s="853"/>
      <c r="I3124" s="848"/>
      <c r="J3124" s="848"/>
      <c r="K3124" s="1295"/>
      <c r="L3124" s="1295"/>
      <c r="M3124" s="1295"/>
      <c r="N3124" s="1295"/>
      <c r="O3124" s="1295"/>
      <c r="P3124" s="853"/>
      <c r="Q3124" s="1295"/>
      <c r="R3124" s="848"/>
      <c r="S3124" s="848"/>
      <c r="T3124" s="848"/>
      <c r="U3124" s="848"/>
      <c r="V3124" s="1296"/>
      <c r="W3124" s="848"/>
      <c r="X3124" s="848"/>
      <c r="Y3124" s="1295"/>
      <c r="Z3124" s="1296"/>
      <c r="AA3124" s="1295"/>
      <c r="AB3124" s="1296"/>
      <c r="AC3124" s="1295"/>
      <c r="AD3124" s="1295"/>
      <c r="AE3124" s="2556"/>
      <c r="AF3124" s="750"/>
      <c r="AG3124" s="750"/>
      <c r="AH3124" s="750"/>
      <c r="AI3124" s="750"/>
      <c r="AJ3124" s="750"/>
      <c r="AK3124" s="750"/>
      <c r="AL3124" s="750"/>
      <c r="AM3124" s="750"/>
      <c r="AN3124" s="750"/>
      <c r="AO3124" s="750"/>
      <c r="AP3124" s="750"/>
      <c r="AQ3124" s="750"/>
      <c r="AR3124" s="750"/>
      <c r="AS3124" s="750"/>
      <c r="AT3124" s="750"/>
      <c r="AU3124" s="750"/>
      <c r="AV3124" s="750"/>
      <c r="AW3124" s="750"/>
      <c r="AX3124" s="750"/>
      <c r="AY3124" s="750"/>
      <c r="AZ3124" s="750"/>
      <c r="BA3124" s="750"/>
      <c r="BB3124" s="750"/>
      <c r="BC3124" s="750"/>
      <c r="BD3124" s="750"/>
      <c r="BE3124" s="750"/>
      <c r="BF3124" s="750"/>
      <c r="BG3124" s="750"/>
      <c r="BH3124" s="750"/>
      <c r="BI3124" s="750"/>
      <c r="BJ3124" s="750"/>
      <c r="BK3124" s="750"/>
      <c r="BL3124" s="750"/>
      <c r="BM3124" s="750"/>
      <c r="BN3124" s="750"/>
      <c r="BO3124" s="750"/>
      <c r="BP3124" s="750"/>
      <c r="BQ3124" s="750"/>
    </row>
    <row r="3125" spans="3:69">
      <c r="C3125" s="853"/>
      <c r="D3125" s="853"/>
      <c r="E3125" s="853"/>
      <c r="F3125" s="853"/>
      <c r="G3125" s="853"/>
      <c r="H3125" s="853"/>
      <c r="I3125" s="848"/>
      <c r="J3125" s="848"/>
      <c r="K3125" s="1295"/>
      <c r="L3125" s="1295"/>
      <c r="M3125" s="1295"/>
      <c r="N3125" s="1295"/>
      <c r="O3125" s="1295"/>
      <c r="P3125" s="853"/>
      <c r="Q3125" s="1295"/>
      <c r="R3125" s="848"/>
      <c r="S3125" s="848"/>
      <c r="T3125" s="848"/>
      <c r="U3125" s="848"/>
      <c r="V3125" s="1296"/>
      <c r="W3125" s="848"/>
      <c r="X3125" s="848"/>
      <c r="Y3125" s="1295"/>
      <c r="Z3125" s="1296"/>
      <c r="AA3125" s="1295"/>
      <c r="AB3125" s="1296"/>
      <c r="AC3125" s="1295"/>
      <c r="AD3125" s="1295"/>
      <c r="AE3125" s="2556"/>
      <c r="AF3125" s="750"/>
      <c r="AG3125" s="750"/>
      <c r="AH3125" s="750"/>
      <c r="AI3125" s="750"/>
      <c r="AJ3125" s="750"/>
      <c r="AK3125" s="750"/>
      <c r="AL3125" s="750"/>
      <c r="AM3125" s="750"/>
      <c r="AN3125" s="750"/>
      <c r="AO3125" s="750"/>
      <c r="AP3125" s="750"/>
      <c r="AQ3125" s="750"/>
      <c r="AR3125" s="750"/>
      <c r="AS3125" s="750"/>
      <c r="AT3125" s="750"/>
      <c r="AU3125" s="750"/>
      <c r="AV3125" s="750"/>
      <c r="AW3125" s="750"/>
      <c r="AX3125" s="750"/>
      <c r="AY3125" s="750"/>
      <c r="AZ3125" s="750"/>
      <c r="BA3125" s="750"/>
      <c r="BB3125" s="750"/>
      <c r="BC3125" s="750"/>
      <c r="BD3125" s="750"/>
      <c r="BE3125" s="750"/>
      <c r="BF3125" s="750"/>
      <c r="BG3125" s="750"/>
      <c r="BH3125" s="750"/>
      <c r="BI3125" s="750"/>
      <c r="BJ3125" s="750"/>
      <c r="BK3125" s="750"/>
      <c r="BL3125" s="750"/>
      <c r="BM3125" s="750"/>
      <c r="BN3125" s="750"/>
      <c r="BO3125" s="750"/>
      <c r="BP3125" s="750"/>
      <c r="BQ3125" s="750"/>
    </row>
    <row r="3126" spans="3:69">
      <c r="C3126" s="853"/>
      <c r="D3126" s="853"/>
      <c r="E3126" s="853"/>
      <c r="F3126" s="853"/>
      <c r="G3126" s="853"/>
      <c r="H3126" s="853"/>
      <c r="I3126" s="848"/>
      <c r="J3126" s="848"/>
      <c r="K3126" s="1295"/>
      <c r="L3126" s="1295"/>
      <c r="M3126" s="1295"/>
      <c r="N3126" s="1295"/>
      <c r="O3126" s="1295"/>
      <c r="P3126" s="853"/>
      <c r="Q3126" s="1295"/>
      <c r="R3126" s="848"/>
      <c r="S3126" s="848"/>
      <c r="T3126" s="848"/>
      <c r="U3126" s="848"/>
      <c r="V3126" s="1296"/>
      <c r="W3126" s="848"/>
      <c r="X3126" s="848"/>
      <c r="Y3126" s="1295"/>
      <c r="Z3126" s="1296"/>
      <c r="AA3126" s="1295"/>
      <c r="AB3126" s="1296"/>
      <c r="AC3126" s="1295"/>
      <c r="AD3126" s="1295"/>
      <c r="AE3126" s="2556"/>
      <c r="AF3126" s="750"/>
      <c r="AG3126" s="750"/>
      <c r="AH3126" s="750"/>
      <c r="AI3126" s="750"/>
      <c r="AJ3126" s="750"/>
      <c r="AK3126" s="750"/>
      <c r="AL3126" s="750"/>
      <c r="AM3126" s="750"/>
      <c r="AN3126" s="750"/>
      <c r="AO3126" s="750"/>
      <c r="AP3126" s="750"/>
      <c r="AQ3126" s="750"/>
      <c r="AR3126" s="750"/>
      <c r="AS3126" s="750"/>
      <c r="AT3126" s="750"/>
      <c r="AU3126" s="750"/>
      <c r="AV3126" s="750"/>
      <c r="AW3126" s="750"/>
      <c r="AX3126" s="750"/>
      <c r="AY3126" s="750"/>
      <c r="AZ3126" s="750"/>
      <c r="BA3126" s="750"/>
      <c r="BB3126" s="750"/>
      <c r="BC3126" s="750"/>
      <c r="BD3126" s="750"/>
      <c r="BE3126" s="750"/>
      <c r="BF3126" s="750"/>
      <c r="BG3126" s="750"/>
      <c r="BH3126" s="750"/>
      <c r="BI3126" s="750"/>
      <c r="BJ3126" s="750"/>
      <c r="BK3126" s="750"/>
      <c r="BL3126" s="750"/>
      <c r="BM3126" s="750"/>
      <c r="BN3126" s="750"/>
      <c r="BO3126" s="750"/>
      <c r="BP3126" s="750"/>
      <c r="BQ3126" s="750"/>
    </row>
    <row r="3127" spans="3:69">
      <c r="C3127" s="853"/>
      <c r="D3127" s="853"/>
      <c r="E3127" s="853"/>
      <c r="F3127" s="853"/>
      <c r="G3127" s="853"/>
      <c r="H3127" s="853"/>
      <c r="I3127" s="848"/>
      <c r="J3127" s="848"/>
      <c r="K3127" s="1295"/>
      <c r="L3127" s="1295"/>
      <c r="M3127" s="1295"/>
      <c r="N3127" s="1295"/>
      <c r="O3127" s="1295"/>
      <c r="P3127" s="853"/>
      <c r="Q3127" s="1295"/>
      <c r="R3127" s="848"/>
      <c r="S3127" s="848"/>
      <c r="T3127" s="848"/>
      <c r="U3127" s="848"/>
      <c r="V3127" s="1296"/>
      <c r="W3127" s="848"/>
      <c r="X3127" s="848"/>
      <c r="Y3127" s="1295"/>
      <c r="Z3127" s="1296"/>
      <c r="AA3127" s="1295"/>
      <c r="AB3127" s="1296"/>
      <c r="AC3127" s="1295"/>
      <c r="AD3127" s="1295"/>
      <c r="AE3127" s="2556"/>
      <c r="AF3127" s="750"/>
      <c r="AG3127" s="750"/>
      <c r="AH3127" s="750"/>
      <c r="AI3127" s="750"/>
      <c r="AJ3127" s="750"/>
      <c r="AK3127" s="750"/>
      <c r="AL3127" s="750"/>
      <c r="AM3127" s="750"/>
      <c r="AN3127" s="750"/>
      <c r="AO3127" s="750"/>
      <c r="AP3127" s="750"/>
      <c r="AQ3127" s="750"/>
      <c r="AR3127" s="750"/>
      <c r="AS3127" s="750"/>
      <c r="AT3127" s="750"/>
      <c r="AU3127" s="750"/>
      <c r="AV3127" s="750"/>
      <c r="AW3127" s="750"/>
      <c r="AX3127" s="750"/>
      <c r="AY3127" s="750"/>
      <c r="AZ3127" s="750"/>
      <c r="BA3127" s="750"/>
      <c r="BB3127" s="750"/>
      <c r="BC3127" s="750"/>
      <c r="BD3127" s="750"/>
      <c r="BE3127" s="750"/>
      <c r="BF3127" s="750"/>
      <c r="BG3127" s="750"/>
      <c r="BH3127" s="750"/>
      <c r="BI3127" s="750"/>
      <c r="BJ3127" s="750"/>
      <c r="BK3127" s="750"/>
      <c r="BL3127" s="750"/>
      <c r="BM3127" s="750"/>
      <c r="BN3127" s="750"/>
      <c r="BO3127" s="750"/>
      <c r="BP3127" s="750"/>
      <c r="BQ3127" s="750"/>
    </row>
    <row r="3128" spans="3:69">
      <c r="C3128" s="853"/>
      <c r="D3128" s="853"/>
      <c r="E3128" s="853"/>
      <c r="F3128" s="853"/>
      <c r="G3128" s="853"/>
      <c r="H3128" s="853"/>
      <c r="I3128" s="848"/>
      <c r="J3128" s="848"/>
      <c r="K3128" s="1295"/>
      <c r="L3128" s="1295"/>
      <c r="M3128" s="1295"/>
      <c r="N3128" s="1295"/>
      <c r="O3128" s="1295"/>
      <c r="P3128" s="853"/>
      <c r="Q3128" s="1295"/>
      <c r="R3128" s="848"/>
      <c r="S3128" s="848"/>
      <c r="T3128" s="848"/>
      <c r="U3128" s="848"/>
      <c r="V3128" s="1296"/>
      <c r="W3128" s="848"/>
      <c r="X3128" s="848"/>
      <c r="Y3128" s="1295"/>
      <c r="Z3128" s="1296"/>
      <c r="AA3128" s="1295"/>
      <c r="AB3128" s="1296"/>
      <c r="AC3128" s="1295"/>
      <c r="AD3128" s="1295"/>
      <c r="AE3128" s="2556"/>
      <c r="AF3128" s="750"/>
      <c r="AG3128" s="750"/>
      <c r="AH3128" s="750"/>
      <c r="AI3128" s="750"/>
      <c r="AJ3128" s="750"/>
      <c r="AK3128" s="750"/>
      <c r="AL3128" s="750"/>
      <c r="AM3128" s="750"/>
      <c r="AN3128" s="750"/>
      <c r="AO3128" s="750"/>
      <c r="AP3128" s="750"/>
      <c r="AQ3128" s="750"/>
      <c r="AR3128" s="750"/>
      <c r="AS3128" s="750"/>
      <c r="AT3128" s="750"/>
      <c r="AU3128" s="750"/>
      <c r="AV3128" s="750"/>
      <c r="AW3128" s="750"/>
      <c r="AX3128" s="750"/>
      <c r="AY3128" s="750"/>
      <c r="AZ3128" s="750"/>
      <c r="BA3128" s="750"/>
      <c r="BB3128" s="750"/>
      <c r="BC3128" s="750"/>
      <c r="BD3128" s="750"/>
      <c r="BE3128" s="750"/>
      <c r="BF3128" s="750"/>
      <c r="BG3128" s="750"/>
      <c r="BH3128" s="750"/>
      <c r="BI3128" s="750"/>
      <c r="BJ3128" s="750"/>
      <c r="BK3128" s="750"/>
      <c r="BL3128" s="750"/>
      <c r="BM3128" s="750"/>
      <c r="BN3128" s="750"/>
      <c r="BO3128" s="750"/>
      <c r="BP3128" s="750"/>
      <c r="BQ3128" s="750"/>
    </row>
    <row r="3129" spans="3:69">
      <c r="C3129" s="853"/>
      <c r="D3129" s="853"/>
      <c r="E3129" s="853"/>
      <c r="F3129" s="853"/>
      <c r="G3129" s="853"/>
      <c r="H3129" s="853"/>
      <c r="I3129" s="848"/>
      <c r="J3129" s="848"/>
      <c r="K3129" s="1295"/>
      <c r="L3129" s="1295"/>
      <c r="M3129" s="1295"/>
      <c r="N3129" s="1295"/>
      <c r="O3129" s="1295"/>
      <c r="P3129" s="853"/>
      <c r="Q3129" s="1295"/>
      <c r="R3129" s="848"/>
      <c r="S3129" s="848"/>
      <c r="T3129" s="848"/>
      <c r="U3129" s="848"/>
      <c r="V3129" s="1296"/>
      <c r="W3129" s="848"/>
      <c r="X3129" s="848"/>
      <c r="Y3129" s="1295"/>
      <c r="Z3129" s="1296"/>
      <c r="AA3129" s="1295"/>
      <c r="AB3129" s="1296"/>
      <c r="AC3129" s="1295"/>
      <c r="AD3129" s="1295"/>
      <c r="AE3129" s="2556"/>
      <c r="AF3129" s="750"/>
      <c r="AG3129" s="750"/>
      <c r="AH3129" s="750"/>
      <c r="AI3129" s="750"/>
      <c r="AJ3129" s="750"/>
      <c r="AK3129" s="750"/>
      <c r="AL3129" s="750"/>
      <c r="AM3129" s="750"/>
      <c r="AN3129" s="750"/>
      <c r="AO3129" s="750"/>
      <c r="AP3129" s="750"/>
      <c r="AQ3129" s="750"/>
      <c r="AR3129" s="750"/>
      <c r="AS3129" s="750"/>
      <c r="AT3129" s="750"/>
      <c r="AU3129" s="750"/>
      <c r="AV3129" s="750"/>
      <c r="AW3129" s="750"/>
      <c r="AX3129" s="750"/>
      <c r="AY3129" s="750"/>
      <c r="AZ3129" s="750"/>
      <c r="BA3129" s="750"/>
      <c r="BB3129" s="750"/>
      <c r="BC3129" s="750"/>
      <c r="BD3129" s="750"/>
      <c r="BE3129" s="750"/>
      <c r="BF3129" s="750"/>
      <c r="BG3129" s="750"/>
      <c r="BH3129" s="750"/>
      <c r="BI3129" s="750"/>
      <c r="BJ3129" s="750"/>
      <c r="BK3129" s="750"/>
      <c r="BL3129" s="750"/>
      <c r="BM3129" s="750"/>
      <c r="BN3129" s="750"/>
      <c r="BO3129" s="750"/>
      <c r="BP3129" s="750"/>
      <c r="BQ3129" s="750"/>
    </row>
    <row r="3130" spans="3:69">
      <c r="C3130" s="853"/>
      <c r="D3130" s="853"/>
      <c r="E3130" s="853"/>
      <c r="F3130" s="853"/>
      <c r="G3130" s="853"/>
      <c r="H3130" s="853"/>
      <c r="I3130" s="848"/>
      <c r="J3130" s="848"/>
      <c r="K3130" s="1295"/>
      <c r="L3130" s="1295"/>
      <c r="M3130" s="1295"/>
      <c r="N3130" s="1295"/>
      <c r="O3130" s="1295"/>
      <c r="P3130" s="853"/>
      <c r="Q3130" s="1295"/>
      <c r="R3130" s="848"/>
      <c r="S3130" s="848"/>
      <c r="T3130" s="848"/>
      <c r="U3130" s="848"/>
      <c r="V3130" s="1296"/>
      <c r="W3130" s="848"/>
      <c r="X3130" s="848"/>
      <c r="Y3130" s="1295"/>
      <c r="Z3130" s="1296"/>
      <c r="AA3130" s="1295"/>
      <c r="AB3130" s="1296"/>
      <c r="AC3130" s="1295"/>
      <c r="AD3130" s="1295"/>
      <c r="AE3130" s="2556"/>
      <c r="AF3130" s="750"/>
      <c r="AG3130" s="750"/>
      <c r="AH3130" s="750"/>
      <c r="AI3130" s="750"/>
      <c r="AJ3130" s="750"/>
      <c r="AK3130" s="750"/>
      <c r="AL3130" s="750"/>
      <c r="AM3130" s="750"/>
      <c r="AN3130" s="750"/>
      <c r="AO3130" s="750"/>
      <c r="AP3130" s="750"/>
      <c r="AQ3130" s="750"/>
      <c r="AR3130" s="750"/>
      <c r="AS3130" s="750"/>
      <c r="AT3130" s="750"/>
      <c r="AU3130" s="750"/>
      <c r="AV3130" s="750"/>
      <c r="AW3130" s="750"/>
      <c r="AX3130" s="750"/>
      <c r="AY3130" s="750"/>
      <c r="AZ3130" s="750"/>
      <c r="BA3130" s="750"/>
      <c r="BB3130" s="750"/>
      <c r="BC3130" s="750"/>
      <c r="BD3130" s="750"/>
      <c r="BE3130" s="750"/>
      <c r="BF3130" s="750"/>
      <c r="BG3130" s="750"/>
      <c r="BH3130" s="750"/>
      <c r="BI3130" s="750"/>
      <c r="BJ3130" s="750"/>
      <c r="BK3130" s="750"/>
      <c r="BL3130" s="750"/>
      <c r="BM3130" s="750"/>
      <c r="BN3130" s="750"/>
      <c r="BO3130" s="750"/>
      <c r="BP3130" s="750"/>
      <c r="BQ3130" s="750"/>
    </row>
    <row r="3131" spans="3:69">
      <c r="C3131" s="853"/>
      <c r="D3131" s="853"/>
      <c r="E3131" s="853"/>
      <c r="F3131" s="853"/>
      <c r="G3131" s="853"/>
      <c r="H3131" s="853"/>
      <c r="I3131" s="848"/>
      <c r="J3131" s="848"/>
      <c r="K3131" s="1295"/>
      <c r="L3131" s="1295"/>
      <c r="M3131" s="1295"/>
      <c r="N3131" s="1295"/>
      <c r="O3131" s="1295"/>
      <c r="P3131" s="853"/>
      <c r="Q3131" s="1295"/>
      <c r="R3131" s="848"/>
      <c r="S3131" s="848"/>
      <c r="T3131" s="848"/>
      <c r="U3131" s="848"/>
      <c r="V3131" s="1296"/>
      <c r="W3131" s="848"/>
      <c r="X3131" s="848"/>
      <c r="Y3131" s="1295"/>
      <c r="Z3131" s="1296"/>
      <c r="AA3131" s="1295"/>
      <c r="AB3131" s="1296"/>
      <c r="AC3131" s="1295"/>
      <c r="AD3131" s="1295"/>
      <c r="AE3131" s="2556"/>
      <c r="AF3131" s="750"/>
      <c r="AG3131" s="750"/>
      <c r="AH3131" s="750"/>
      <c r="AI3131" s="750"/>
      <c r="AJ3131" s="750"/>
      <c r="AK3131" s="750"/>
      <c r="AL3131" s="750"/>
      <c r="AM3131" s="750"/>
      <c r="AN3131" s="750"/>
      <c r="AO3131" s="750"/>
      <c r="AP3131" s="750"/>
      <c r="AQ3131" s="750"/>
      <c r="AR3131" s="750"/>
      <c r="AS3131" s="750"/>
      <c r="AT3131" s="750"/>
      <c r="AU3131" s="750"/>
      <c r="AV3131" s="750"/>
      <c r="AW3131" s="750"/>
      <c r="AX3131" s="750"/>
      <c r="AY3131" s="750"/>
      <c r="AZ3131" s="750"/>
      <c r="BA3131" s="750"/>
      <c r="BB3131" s="750"/>
      <c r="BC3131" s="750"/>
      <c r="BD3131" s="750"/>
      <c r="BE3131" s="750"/>
      <c r="BF3131" s="750"/>
      <c r="BG3131" s="750"/>
      <c r="BH3131" s="750"/>
      <c r="BI3131" s="750"/>
      <c r="BJ3131" s="750"/>
      <c r="BK3131" s="750"/>
      <c r="BL3131" s="750"/>
      <c r="BM3131" s="750"/>
      <c r="BN3131" s="750"/>
      <c r="BO3131" s="750"/>
      <c r="BP3131" s="750"/>
      <c r="BQ3131" s="750"/>
    </row>
    <row r="3132" spans="3:69">
      <c r="C3132" s="853"/>
      <c r="D3132" s="853"/>
      <c r="E3132" s="853"/>
      <c r="F3132" s="853"/>
      <c r="G3132" s="853"/>
      <c r="H3132" s="853"/>
      <c r="I3132" s="848"/>
      <c r="J3132" s="848"/>
      <c r="K3132" s="1295"/>
      <c r="L3132" s="1295"/>
      <c r="M3132" s="1295"/>
      <c r="N3132" s="1295"/>
      <c r="O3132" s="1295"/>
      <c r="P3132" s="853"/>
      <c r="Q3132" s="1295"/>
      <c r="R3132" s="848"/>
      <c r="S3132" s="848"/>
      <c r="T3132" s="848"/>
      <c r="U3132" s="848"/>
      <c r="V3132" s="1296"/>
      <c r="W3132" s="848"/>
      <c r="X3132" s="848"/>
      <c r="Y3132" s="1295"/>
      <c r="Z3132" s="1296"/>
      <c r="AA3132" s="1295"/>
      <c r="AB3132" s="1296"/>
      <c r="AC3132" s="1295"/>
      <c r="AD3132" s="1295"/>
      <c r="AE3132" s="2556"/>
      <c r="AF3132" s="750"/>
      <c r="AG3132" s="750"/>
      <c r="AH3132" s="750"/>
      <c r="AI3132" s="750"/>
      <c r="AJ3132" s="750"/>
      <c r="AK3132" s="750"/>
      <c r="AL3132" s="750"/>
      <c r="AM3132" s="750"/>
      <c r="AN3132" s="750"/>
      <c r="AO3132" s="750"/>
      <c r="AP3132" s="750"/>
      <c r="AQ3132" s="750"/>
      <c r="AR3132" s="750"/>
      <c r="AS3132" s="750"/>
      <c r="AT3132" s="750"/>
      <c r="AU3132" s="750"/>
      <c r="AV3132" s="750"/>
      <c r="AW3132" s="750"/>
      <c r="AX3132" s="750"/>
      <c r="AY3132" s="750"/>
      <c r="AZ3132" s="750"/>
      <c r="BA3132" s="750"/>
      <c r="BB3132" s="750"/>
      <c r="BC3132" s="750"/>
      <c r="BD3132" s="750"/>
      <c r="BE3132" s="750"/>
      <c r="BF3132" s="750"/>
      <c r="BG3132" s="750"/>
      <c r="BH3132" s="750"/>
      <c r="BI3132" s="750"/>
      <c r="BJ3132" s="750"/>
      <c r="BK3132" s="750"/>
      <c r="BL3132" s="750"/>
      <c r="BM3132" s="750"/>
      <c r="BN3132" s="750"/>
      <c r="BO3132" s="750"/>
      <c r="BP3132" s="750"/>
      <c r="BQ3132" s="750"/>
    </row>
    <row r="3133" spans="3:69">
      <c r="C3133" s="853"/>
      <c r="D3133" s="853"/>
      <c r="E3133" s="853"/>
      <c r="F3133" s="853"/>
      <c r="G3133" s="853"/>
      <c r="H3133" s="853"/>
      <c r="I3133" s="848"/>
      <c r="J3133" s="848"/>
      <c r="K3133" s="1295"/>
      <c r="L3133" s="1295"/>
      <c r="M3133" s="1295"/>
      <c r="N3133" s="1295"/>
      <c r="O3133" s="1295"/>
      <c r="P3133" s="853"/>
      <c r="Q3133" s="1295"/>
      <c r="R3133" s="848"/>
      <c r="S3133" s="848"/>
      <c r="T3133" s="848"/>
      <c r="U3133" s="848"/>
      <c r="V3133" s="1296"/>
      <c r="W3133" s="848"/>
      <c r="X3133" s="848"/>
      <c r="Y3133" s="1295"/>
      <c r="Z3133" s="1296"/>
      <c r="AA3133" s="1295"/>
      <c r="AB3133" s="1296"/>
      <c r="AC3133" s="1295"/>
      <c r="AD3133" s="1295"/>
      <c r="AE3133" s="2556"/>
      <c r="AF3133" s="750"/>
      <c r="AG3133" s="750"/>
      <c r="AH3133" s="750"/>
      <c r="AI3133" s="750"/>
      <c r="AJ3133" s="750"/>
      <c r="AK3133" s="750"/>
      <c r="AL3133" s="750"/>
      <c r="AM3133" s="750"/>
      <c r="AN3133" s="750"/>
      <c r="AO3133" s="750"/>
      <c r="AP3133" s="750"/>
      <c r="AQ3133" s="750"/>
      <c r="AR3133" s="750"/>
      <c r="AS3133" s="750"/>
      <c r="AT3133" s="750"/>
      <c r="AU3133" s="750"/>
      <c r="AV3133" s="750"/>
      <c r="AW3133" s="750"/>
      <c r="AX3133" s="750"/>
      <c r="AY3133" s="750"/>
      <c r="AZ3133" s="750"/>
      <c r="BA3133" s="750"/>
      <c r="BB3133" s="750"/>
      <c r="BC3133" s="750"/>
      <c r="BD3133" s="750"/>
      <c r="BE3133" s="750"/>
      <c r="BF3133" s="750"/>
      <c r="BG3133" s="750"/>
      <c r="BH3133" s="750"/>
      <c r="BI3133" s="750"/>
      <c r="BJ3133" s="750"/>
      <c r="BK3133" s="750"/>
      <c r="BL3133" s="750"/>
      <c r="BM3133" s="750"/>
      <c r="BN3133" s="750"/>
      <c r="BO3133" s="750"/>
      <c r="BP3133" s="750"/>
      <c r="BQ3133" s="750"/>
    </row>
    <row r="3134" spans="3:69">
      <c r="C3134" s="853"/>
      <c r="D3134" s="853"/>
      <c r="E3134" s="853"/>
      <c r="F3134" s="853"/>
      <c r="G3134" s="853"/>
      <c r="H3134" s="853"/>
      <c r="I3134" s="848"/>
      <c r="J3134" s="848"/>
      <c r="K3134" s="1295"/>
      <c r="L3134" s="1295"/>
      <c r="M3134" s="1295"/>
      <c r="N3134" s="1295"/>
      <c r="O3134" s="1295"/>
      <c r="P3134" s="853"/>
      <c r="Q3134" s="1295"/>
      <c r="R3134" s="848"/>
      <c r="S3134" s="848"/>
      <c r="T3134" s="848"/>
      <c r="U3134" s="848"/>
      <c r="V3134" s="1296"/>
      <c r="W3134" s="848"/>
      <c r="X3134" s="848"/>
      <c r="Y3134" s="1295"/>
      <c r="Z3134" s="1296"/>
      <c r="AA3134" s="1295"/>
      <c r="AB3134" s="1296"/>
      <c r="AC3134" s="1295"/>
      <c r="AD3134" s="1295"/>
      <c r="AE3134" s="2556"/>
      <c r="AF3134" s="750"/>
      <c r="AG3134" s="750"/>
      <c r="AH3134" s="750"/>
      <c r="AI3134" s="750"/>
      <c r="AJ3134" s="750"/>
      <c r="AK3134" s="750"/>
      <c r="AL3134" s="750"/>
      <c r="AM3134" s="750"/>
      <c r="AN3134" s="750"/>
      <c r="AO3134" s="750"/>
      <c r="AP3134" s="750"/>
      <c r="AQ3134" s="750"/>
      <c r="AR3134" s="750"/>
      <c r="AS3134" s="750"/>
      <c r="AT3134" s="750"/>
      <c r="AU3134" s="750"/>
      <c r="AV3134" s="750"/>
      <c r="AW3134" s="750"/>
      <c r="AX3134" s="750"/>
      <c r="AY3134" s="750"/>
      <c r="AZ3134" s="750"/>
      <c r="BA3134" s="750"/>
      <c r="BB3134" s="750"/>
      <c r="BC3134" s="750"/>
      <c r="BD3134" s="750"/>
      <c r="BE3134" s="750"/>
      <c r="BF3134" s="750"/>
      <c r="BG3134" s="750"/>
      <c r="BH3134" s="750"/>
      <c r="BI3134" s="750"/>
      <c r="BJ3134" s="750"/>
      <c r="BK3134" s="750"/>
      <c r="BL3134" s="750"/>
      <c r="BM3134" s="750"/>
      <c r="BN3134" s="750"/>
      <c r="BO3134" s="750"/>
      <c r="BP3134" s="750"/>
      <c r="BQ3134" s="750"/>
    </row>
    <row r="3135" spans="3:69">
      <c r="C3135" s="853"/>
      <c r="D3135" s="853"/>
      <c r="E3135" s="853"/>
      <c r="F3135" s="853"/>
      <c r="G3135" s="853"/>
      <c r="H3135" s="853"/>
      <c r="I3135" s="848"/>
      <c r="J3135" s="848"/>
      <c r="K3135" s="1295"/>
      <c r="L3135" s="1295"/>
      <c r="M3135" s="1295"/>
      <c r="N3135" s="1295"/>
      <c r="O3135" s="1295"/>
      <c r="P3135" s="853"/>
      <c r="Q3135" s="1295"/>
      <c r="R3135" s="848"/>
      <c r="S3135" s="848"/>
      <c r="T3135" s="848"/>
      <c r="U3135" s="848"/>
      <c r="V3135" s="1296"/>
      <c r="W3135" s="848"/>
      <c r="X3135" s="848"/>
      <c r="Y3135" s="1295"/>
      <c r="Z3135" s="1296"/>
      <c r="AA3135" s="1295"/>
      <c r="AB3135" s="1296"/>
      <c r="AC3135" s="1295"/>
      <c r="AD3135" s="1295"/>
      <c r="AE3135" s="2556"/>
      <c r="AF3135" s="750"/>
      <c r="AG3135" s="750"/>
      <c r="AH3135" s="750"/>
      <c r="AI3135" s="750"/>
      <c r="AJ3135" s="750"/>
      <c r="AK3135" s="750"/>
      <c r="AL3135" s="750"/>
      <c r="AM3135" s="750"/>
      <c r="AN3135" s="750"/>
      <c r="AO3135" s="750"/>
      <c r="AP3135" s="750"/>
      <c r="AQ3135" s="750"/>
      <c r="AR3135" s="750"/>
      <c r="AS3135" s="750"/>
      <c r="AT3135" s="750"/>
      <c r="AU3135" s="750"/>
      <c r="AV3135" s="750"/>
      <c r="AW3135" s="750"/>
      <c r="AX3135" s="750"/>
      <c r="AY3135" s="750"/>
      <c r="AZ3135" s="750"/>
      <c r="BA3135" s="750"/>
      <c r="BB3135" s="750"/>
      <c r="BC3135" s="750"/>
      <c r="BD3135" s="750"/>
      <c r="BE3135" s="750"/>
      <c r="BF3135" s="750"/>
      <c r="BG3135" s="750"/>
      <c r="BH3135" s="750"/>
      <c r="BI3135" s="750"/>
      <c r="BJ3135" s="750"/>
      <c r="BK3135" s="750"/>
      <c r="BL3135" s="750"/>
      <c r="BM3135" s="750"/>
      <c r="BN3135" s="750"/>
      <c r="BO3135" s="750"/>
      <c r="BP3135" s="750"/>
      <c r="BQ3135" s="750"/>
    </row>
    <row r="3136" spans="3:69">
      <c r="C3136" s="853"/>
      <c r="D3136" s="853"/>
      <c r="E3136" s="853"/>
      <c r="F3136" s="853"/>
      <c r="G3136" s="853"/>
      <c r="H3136" s="853"/>
      <c r="I3136" s="848"/>
      <c r="J3136" s="848"/>
      <c r="K3136" s="1295"/>
      <c r="L3136" s="1295"/>
      <c r="M3136" s="1295"/>
      <c r="N3136" s="1295"/>
      <c r="O3136" s="1295"/>
      <c r="P3136" s="853"/>
      <c r="Q3136" s="1295"/>
      <c r="R3136" s="848"/>
      <c r="S3136" s="848"/>
      <c r="T3136" s="848"/>
      <c r="U3136" s="848"/>
      <c r="V3136" s="1296"/>
      <c r="W3136" s="848"/>
      <c r="X3136" s="848"/>
      <c r="Y3136" s="1295"/>
      <c r="Z3136" s="1296"/>
      <c r="AA3136" s="1295"/>
      <c r="AB3136" s="1296"/>
      <c r="AC3136" s="1295"/>
      <c r="AD3136" s="1295"/>
      <c r="AE3136" s="2556"/>
      <c r="AF3136" s="750"/>
      <c r="AG3136" s="750"/>
      <c r="AH3136" s="750"/>
      <c r="AI3136" s="750"/>
      <c r="AJ3136" s="750"/>
      <c r="AK3136" s="750"/>
      <c r="AL3136" s="750"/>
      <c r="AM3136" s="750"/>
      <c r="AN3136" s="750"/>
      <c r="AO3136" s="750"/>
      <c r="AP3136" s="750"/>
      <c r="AQ3136" s="750"/>
      <c r="AR3136" s="750"/>
      <c r="AS3136" s="750"/>
      <c r="AT3136" s="750"/>
      <c r="AU3136" s="750"/>
      <c r="AV3136" s="750"/>
      <c r="AW3136" s="750"/>
      <c r="AX3136" s="750"/>
      <c r="AY3136" s="750"/>
      <c r="AZ3136" s="750"/>
      <c r="BA3136" s="750"/>
      <c r="BB3136" s="750"/>
      <c r="BC3136" s="750"/>
      <c r="BD3136" s="750"/>
      <c r="BE3136" s="750"/>
      <c r="BF3136" s="750"/>
      <c r="BG3136" s="750"/>
      <c r="BH3136" s="750"/>
      <c r="BI3136" s="750"/>
      <c r="BJ3136" s="750"/>
      <c r="BK3136" s="750"/>
      <c r="BL3136" s="750"/>
      <c r="BM3136" s="750"/>
      <c r="BN3136" s="750"/>
      <c r="BO3136" s="750"/>
      <c r="BP3136" s="750"/>
      <c r="BQ3136" s="750"/>
    </row>
    <row r="3137" spans="3:69">
      <c r="C3137" s="853"/>
      <c r="D3137" s="853"/>
      <c r="E3137" s="853"/>
      <c r="F3137" s="853"/>
      <c r="G3137" s="853"/>
      <c r="H3137" s="853"/>
      <c r="I3137" s="848"/>
      <c r="J3137" s="848"/>
      <c r="K3137" s="1295"/>
      <c r="L3137" s="1295"/>
      <c r="M3137" s="1295"/>
      <c r="N3137" s="1295"/>
      <c r="O3137" s="1295"/>
      <c r="P3137" s="853"/>
      <c r="Q3137" s="1295"/>
      <c r="R3137" s="848"/>
      <c r="S3137" s="848"/>
      <c r="T3137" s="848"/>
      <c r="U3137" s="848"/>
      <c r="V3137" s="1296"/>
      <c r="W3137" s="848"/>
      <c r="X3137" s="848"/>
      <c r="Y3137" s="1295"/>
      <c r="Z3137" s="1296"/>
      <c r="AA3137" s="1295"/>
      <c r="AB3137" s="1296"/>
      <c r="AC3137" s="1295"/>
      <c r="AD3137" s="1295"/>
      <c r="AE3137" s="2556"/>
      <c r="AF3137" s="750"/>
      <c r="AG3137" s="750"/>
      <c r="AH3137" s="750"/>
      <c r="AI3137" s="750"/>
      <c r="AJ3137" s="750"/>
      <c r="AK3137" s="750"/>
      <c r="AL3137" s="750"/>
      <c r="AM3137" s="750"/>
      <c r="AN3137" s="750"/>
      <c r="AO3137" s="750"/>
      <c r="AP3137" s="750"/>
      <c r="AQ3137" s="750"/>
      <c r="AR3137" s="750"/>
      <c r="AS3137" s="750"/>
      <c r="AT3137" s="750"/>
      <c r="AU3137" s="750"/>
      <c r="AV3137" s="750"/>
      <c r="AW3137" s="750"/>
      <c r="AX3137" s="750"/>
      <c r="AY3137" s="750"/>
      <c r="AZ3137" s="750"/>
      <c r="BA3137" s="750"/>
      <c r="BB3137" s="750"/>
      <c r="BC3137" s="750"/>
      <c r="BD3137" s="750"/>
      <c r="BE3137" s="750"/>
      <c r="BF3137" s="750"/>
      <c r="BG3137" s="750"/>
      <c r="BH3137" s="750"/>
      <c r="BI3137" s="750"/>
      <c r="BJ3137" s="750"/>
      <c r="BK3137" s="750"/>
      <c r="BL3137" s="750"/>
      <c r="BM3137" s="750"/>
      <c r="BN3137" s="750"/>
      <c r="BO3137" s="750"/>
      <c r="BP3137" s="750"/>
      <c r="BQ3137" s="750"/>
    </row>
    <row r="3138" spans="3:69">
      <c r="C3138" s="853"/>
      <c r="D3138" s="853"/>
      <c r="E3138" s="853"/>
      <c r="F3138" s="853"/>
      <c r="G3138" s="853"/>
      <c r="H3138" s="853"/>
      <c r="I3138" s="848"/>
      <c r="J3138" s="848"/>
      <c r="K3138" s="1295"/>
      <c r="L3138" s="1295"/>
      <c r="M3138" s="1295"/>
      <c r="N3138" s="1295"/>
      <c r="O3138" s="1295"/>
      <c r="P3138" s="853"/>
      <c r="Q3138" s="1295"/>
      <c r="R3138" s="848"/>
      <c r="S3138" s="848"/>
      <c r="T3138" s="848"/>
      <c r="U3138" s="848"/>
      <c r="V3138" s="1296"/>
      <c r="W3138" s="848"/>
      <c r="X3138" s="848"/>
      <c r="Y3138" s="1295"/>
      <c r="Z3138" s="1296"/>
      <c r="AA3138" s="1295"/>
      <c r="AB3138" s="1296"/>
      <c r="AC3138" s="1295"/>
      <c r="AD3138" s="1295"/>
      <c r="AE3138" s="2556"/>
      <c r="AF3138" s="750"/>
      <c r="AG3138" s="750"/>
      <c r="AH3138" s="750"/>
      <c r="AI3138" s="750"/>
      <c r="AJ3138" s="750"/>
      <c r="AK3138" s="750"/>
      <c r="AL3138" s="750"/>
      <c r="AM3138" s="750"/>
      <c r="AN3138" s="750"/>
      <c r="AO3138" s="750"/>
      <c r="AP3138" s="750"/>
      <c r="AQ3138" s="750"/>
      <c r="AR3138" s="750"/>
      <c r="AS3138" s="750"/>
      <c r="AT3138" s="750"/>
      <c r="AU3138" s="750"/>
      <c r="AV3138" s="750"/>
      <c r="AW3138" s="750"/>
      <c r="AX3138" s="750"/>
      <c r="AY3138" s="750"/>
      <c r="AZ3138" s="750"/>
      <c r="BA3138" s="750"/>
      <c r="BB3138" s="750"/>
      <c r="BC3138" s="750"/>
      <c r="BD3138" s="750"/>
      <c r="BE3138" s="750"/>
      <c r="BF3138" s="750"/>
      <c r="BG3138" s="750"/>
      <c r="BH3138" s="750"/>
      <c r="BI3138" s="750"/>
      <c r="BJ3138" s="750"/>
      <c r="BK3138" s="750"/>
      <c r="BL3138" s="750"/>
      <c r="BM3138" s="750"/>
      <c r="BN3138" s="750"/>
      <c r="BO3138" s="750"/>
      <c r="BP3138" s="750"/>
      <c r="BQ3138" s="750"/>
    </row>
    <row r="3139" spans="3:69">
      <c r="C3139" s="853"/>
      <c r="D3139" s="853"/>
      <c r="E3139" s="853"/>
      <c r="F3139" s="853"/>
      <c r="G3139" s="853"/>
      <c r="H3139" s="853"/>
      <c r="I3139" s="848"/>
      <c r="J3139" s="848"/>
      <c r="K3139" s="1295"/>
      <c r="L3139" s="1295"/>
      <c r="M3139" s="1295"/>
      <c r="N3139" s="1295"/>
      <c r="O3139" s="1295"/>
      <c r="P3139" s="853"/>
      <c r="Q3139" s="1295"/>
      <c r="R3139" s="848"/>
      <c r="S3139" s="848"/>
      <c r="T3139" s="848"/>
      <c r="U3139" s="848"/>
      <c r="V3139" s="1296"/>
      <c r="W3139" s="848"/>
      <c r="X3139" s="848"/>
      <c r="Y3139" s="1295"/>
      <c r="Z3139" s="1296"/>
      <c r="AA3139" s="1295"/>
      <c r="AB3139" s="1296"/>
      <c r="AC3139" s="1295"/>
      <c r="AD3139" s="1295"/>
      <c r="AE3139" s="2556"/>
      <c r="AF3139" s="750"/>
      <c r="AG3139" s="750"/>
      <c r="AH3139" s="750"/>
      <c r="AI3139" s="750"/>
      <c r="AJ3139" s="750"/>
      <c r="AK3139" s="750"/>
      <c r="AL3139" s="750"/>
      <c r="AM3139" s="750"/>
      <c r="AN3139" s="750"/>
      <c r="AO3139" s="750"/>
      <c r="AP3139" s="750"/>
      <c r="AQ3139" s="750"/>
      <c r="AR3139" s="750"/>
      <c r="AS3139" s="750"/>
      <c r="AT3139" s="750"/>
      <c r="AU3139" s="750"/>
      <c r="AV3139" s="750"/>
      <c r="AW3139" s="750"/>
      <c r="AX3139" s="750"/>
      <c r="AY3139" s="750"/>
      <c r="AZ3139" s="750"/>
      <c r="BA3139" s="750"/>
      <c r="BB3139" s="750"/>
      <c r="BC3139" s="750"/>
      <c r="BD3139" s="750"/>
      <c r="BE3139" s="750"/>
      <c r="BF3139" s="750"/>
      <c r="BG3139" s="750"/>
      <c r="BH3139" s="750"/>
      <c r="BI3139" s="750"/>
      <c r="BJ3139" s="750"/>
      <c r="BK3139" s="750"/>
      <c r="BL3139" s="750"/>
      <c r="BM3139" s="750"/>
      <c r="BN3139" s="750"/>
      <c r="BO3139" s="750"/>
      <c r="BP3139" s="750"/>
      <c r="BQ3139" s="750"/>
    </row>
    <row r="3140" spans="3:69">
      <c r="C3140" s="853"/>
      <c r="D3140" s="853"/>
      <c r="E3140" s="853"/>
      <c r="F3140" s="853"/>
      <c r="G3140" s="853"/>
      <c r="H3140" s="853"/>
      <c r="I3140" s="848"/>
      <c r="J3140" s="848"/>
      <c r="K3140" s="1295"/>
      <c r="L3140" s="1295"/>
      <c r="M3140" s="1295"/>
      <c r="N3140" s="1295"/>
      <c r="O3140" s="1295"/>
      <c r="P3140" s="853"/>
      <c r="Q3140" s="1295"/>
      <c r="R3140" s="848"/>
      <c r="S3140" s="848"/>
      <c r="T3140" s="848"/>
      <c r="U3140" s="848"/>
      <c r="V3140" s="1296"/>
      <c r="W3140" s="848"/>
      <c r="X3140" s="848"/>
      <c r="Y3140" s="1295"/>
      <c r="Z3140" s="1296"/>
      <c r="AA3140" s="1295"/>
      <c r="AB3140" s="1296"/>
      <c r="AC3140" s="1295"/>
      <c r="AD3140" s="1295"/>
      <c r="AE3140" s="2556"/>
      <c r="AF3140" s="750"/>
      <c r="AG3140" s="750"/>
      <c r="AH3140" s="750"/>
      <c r="AI3140" s="750"/>
      <c r="AJ3140" s="750"/>
      <c r="AK3140" s="750"/>
      <c r="AL3140" s="750"/>
      <c r="AM3140" s="750"/>
      <c r="AN3140" s="750"/>
      <c r="AO3140" s="750"/>
      <c r="AP3140" s="750"/>
      <c r="AQ3140" s="750"/>
      <c r="AR3140" s="750"/>
      <c r="AS3140" s="750"/>
      <c r="AT3140" s="750"/>
      <c r="AU3140" s="750"/>
      <c r="AV3140" s="750"/>
      <c r="AW3140" s="750"/>
      <c r="AX3140" s="750"/>
      <c r="AY3140" s="750"/>
      <c r="AZ3140" s="750"/>
      <c r="BA3140" s="750"/>
      <c r="BB3140" s="750"/>
      <c r="BC3140" s="750"/>
      <c r="BD3140" s="750"/>
      <c r="BE3140" s="750"/>
      <c r="BF3140" s="750"/>
      <c r="BG3140" s="750"/>
      <c r="BH3140" s="750"/>
      <c r="BI3140" s="750"/>
      <c r="BJ3140" s="750"/>
      <c r="BK3140" s="750"/>
      <c r="BL3140" s="750"/>
      <c r="BM3140" s="750"/>
      <c r="BN3140" s="750"/>
      <c r="BO3140" s="750"/>
      <c r="BP3140" s="750"/>
      <c r="BQ3140" s="750"/>
    </row>
    <row r="3141" spans="3:69">
      <c r="C3141" s="853"/>
      <c r="D3141" s="853"/>
      <c r="E3141" s="853"/>
      <c r="F3141" s="853"/>
      <c r="G3141" s="853"/>
      <c r="H3141" s="853"/>
      <c r="I3141" s="848"/>
      <c r="J3141" s="848"/>
      <c r="K3141" s="1295"/>
      <c r="L3141" s="1295"/>
      <c r="M3141" s="1295"/>
      <c r="N3141" s="1295"/>
      <c r="O3141" s="1295"/>
      <c r="P3141" s="853"/>
      <c r="Q3141" s="1295"/>
      <c r="R3141" s="848"/>
      <c r="S3141" s="848"/>
      <c r="T3141" s="848"/>
      <c r="U3141" s="848"/>
      <c r="V3141" s="1296"/>
      <c r="W3141" s="848"/>
      <c r="X3141" s="848"/>
      <c r="Y3141" s="1295"/>
      <c r="Z3141" s="1296"/>
      <c r="AA3141" s="1295"/>
      <c r="AB3141" s="1296"/>
      <c r="AC3141" s="1295"/>
      <c r="AD3141" s="1295"/>
      <c r="AE3141" s="2556"/>
      <c r="AF3141" s="750"/>
      <c r="AG3141" s="750"/>
      <c r="AH3141" s="750"/>
      <c r="AI3141" s="750"/>
      <c r="AJ3141" s="750"/>
      <c r="AK3141" s="750"/>
      <c r="AL3141" s="750"/>
      <c r="AM3141" s="750"/>
      <c r="AN3141" s="750"/>
      <c r="AO3141" s="750"/>
      <c r="AP3141" s="750"/>
      <c r="AQ3141" s="750"/>
      <c r="AR3141" s="750"/>
      <c r="AS3141" s="750"/>
      <c r="AT3141" s="750"/>
      <c r="AU3141" s="750"/>
      <c r="AV3141" s="750"/>
      <c r="AW3141" s="750"/>
      <c r="AX3141" s="750"/>
      <c r="AY3141" s="750"/>
      <c r="AZ3141" s="750"/>
      <c r="BA3141" s="750"/>
      <c r="BB3141" s="750"/>
      <c r="BC3141" s="750"/>
      <c r="BD3141" s="750"/>
      <c r="BE3141" s="750"/>
      <c r="BF3141" s="750"/>
      <c r="BG3141" s="750"/>
      <c r="BH3141" s="750"/>
      <c r="BI3141" s="750"/>
      <c r="BJ3141" s="750"/>
      <c r="BK3141" s="750"/>
      <c r="BL3141" s="750"/>
      <c r="BM3141" s="750"/>
      <c r="BN3141" s="750"/>
      <c r="BO3141" s="750"/>
      <c r="BP3141" s="750"/>
      <c r="BQ3141" s="750"/>
    </row>
    <row r="3142" spans="3:69">
      <c r="C3142" s="853"/>
      <c r="D3142" s="853"/>
      <c r="E3142" s="853"/>
      <c r="F3142" s="853"/>
      <c r="G3142" s="853"/>
      <c r="H3142" s="853"/>
      <c r="I3142" s="848"/>
      <c r="J3142" s="848"/>
      <c r="K3142" s="1295"/>
      <c r="L3142" s="1295"/>
      <c r="M3142" s="1295"/>
      <c r="N3142" s="1295"/>
      <c r="O3142" s="1295"/>
      <c r="P3142" s="853"/>
      <c r="Q3142" s="1295"/>
      <c r="R3142" s="848"/>
      <c r="S3142" s="848"/>
      <c r="T3142" s="848"/>
      <c r="U3142" s="848"/>
      <c r="V3142" s="1296"/>
      <c r="W3142" s="848"/>
      <c r="X3142" s="848"/>
      <c r="Y3142" s="1295"/>
      <c r="Z3142" s="1296"/>
      <c r="AA3142" s="1295"/>
      <c r="AB3142" s="1296"/>
      <c r="AC3142" s="1295"/>
      <c r="AD3142" s="1295"/>
      <c r="AE3142" s="2556"/>
      <c r="AF3142" s="750"/>
      <c r="AG3142" s="750"/>
      <c r="AH3142" s="750"/>
      <c r="AI3142" s="750"/>
      <c r="AJ3142" s="750"/>
      <c r="AK3142" s="750"/>
      <c r="AL3142" s="750"/>
      <c r="AM3142" s="750"/>
      <c r="AN3142" s="750"/>
      <c r="AO3142" s="750"/>
      <c r="AP3142" s="750"/>
      <c r="AQ3142" s="750"/>
      <c r="AR3142" s="750"/>
      <c r="AS3142" s="750"/>
      <c r="AT3142" s="750"/>
      <c r="AU3142" s="750"/>
      <c r="AV3142" s="750"/>
      <c r="AW3142" s="750"/>
      <c r="AX3142" s="750"/>
      <c r="AY3142" s="750"/>
      <c r="AZ3142" s="750"/>
      <c r="BA3142" s="750"/>
      <c r="BB3142" s="750"/>
      <c r="BC3142" s="750"/>
      <c r="BD3142" s="750"/>
      <c r="BE3142" s="750"/>
      <c r="BF3142" s="750"/>
      <c r="BG3142" s="750"/>
      <c r="BH3142" s="750"/>
      <c r="BI3142" s="750"/>
      <c r="BJ3142" s="750"/>
      <c r="BK3142" s="750"/>
      <c r="BL3142" s="750"/>
      <c r="BM3142" s="750"/>
      <c r="BN3142" s="750"/>
      <c r="BO3142" s="750"/>
      <c r="BP3142" s="750"/>
      <c r="BQ3142" s="750"/>
    </row>
    <row r="3143" spans="3:69">
      <c r="C3143" s="853"/>
      <c r="D3143" s="853"/>
      <c r="E3143" s="853"/>
      <c r="F3143" s="853"/>
      <c r="G3143" s="853"/>
      <c r="H3143" s="853"/>
      <c r="I3143" s="848"/>
      <c r="J3143" s="848"/>
      <c r="K3143" s="1295"/>
      <c r="L3143" s="1295"/>
      <c r="M3143" s="1295"/>
      <c r="N3143" s="1295"/>
      <c r="O3143" s="1295"/>
      <c r="P3143" s="853"/>
      <c r="Q3143" s="1295"/>
      <c r="R3143" s="848"/>
      <c r="S3143" s="848"/>
      <c r="T3143" s="848"/>
      <c r="U3143" s="848"/>
      <c r="V3143" s="1296"/>
      <c r="W3143" s="848"/>
      <c r="X3143" s="848"/>
      <c r="Y3143" s="1295"/>
      <c r="Z3143" s="1296"/>
      <c r="AA3143" s="1295"/>
      <c r="AB3143" s="1296"/>
      <c r="AC3143" s="1295"/>
      <c r="AD3143" s="1295"/>
      <c r="AE3143" s="2556"/>
      <c r="AF3143" s="750"/>
      <c r="AG3143" s="750"/>
      <c r="AH3143" s="750"/>
      <c r="AI3143" s="750"/>
      <c r="AJ3143" s="750"/>
      <c r="AK3143" s="750"/>
      <c r="AL3143" s="750"/>
      <c r="AM3143" s="750"/>
      <c r="AN3143" s="750"/>
      <c r="AO3143" s="750"/>
      <c r="AP3143" s="750"/>
      <c r="AQ3143" s="750"/>
      <c r="AR3143" s="750"/>
      <c r="AS3143" s="750"/>
      <c r="AT3143" s="750"/>
      <c r="AU3143" s="750"/>
      <c r="AV3143" s="750"/>
      <c r="AW3143" s="750"/>
      <c r="AX3143" s="750"/>
      <c r="AY3143" s="750"/>
      <c r="AZ3143" s="750"/>
      <c r="BA3143" s="750"/>
      <c r="BB3143" s="750"/>
      <c r="BC3143" s="750"/>
      <c r="BD3143" s="750"/>
      <c r="BE3143" s="750"/>
      <c r="BF3143" s="750"/>
      <c r="BG3143" s="750"/>
      <c r="BH3143" s="750"/>
      <c r="BI3143" s="750"/>
      <c r="BJ3143" s="750"/>
      <c r="BK3143" s="750"/>
      <c r="BL3143" s="750"/>
      <c r="BM3143" s="750"/>
      <c r="BN3143" s="750"/>
      <c r="BO3143" s="750"/>
      <c r="BP3143" s="750"/>
      <c r="BQ3143" s="750"/>
    </row>
    <row r="3144" spans="3:69">
      <c r="C3144" s="853"/>
      <c r="D3144" s="853"/>
      <c r="E3144" s="853"/>
      <c r="F3144" s="853"/>
      <c r="G3144" s="853"/>
      <c r="H3144" s="853"/>
      <c r="I3144" s="848"/>
      <c r="J3144" s="848"/>
      <c r="K3144" s="1295"/>
      <c r="L3144" s="1295"/>
      <c r="M3144" s="1295"/>
      <c r="N3144" s="1295"/>
      <c r="O3144" s="1295"/>
      <c r="P3144" s="853"/>
      <c r="Q3144" s="1295"/>
      <c r="R3144" s="848"/>
      <c r="S3144" s="848"/>
      <c r="T3144" s="848"/>
      <c r="U3144" s="848"/>
      <c r="V3144" s="1296"/>
      <c r="W3144" s="848"/>
      <c r="X3144" s="848"/>
      <c r="Y3144" s="1295"/>
      <c r="Z3144" s="1296"/>
      <c r="AA3144" s="1295"/>
      <c r="AB3144" s="1296"/>
      <c r="AC3144" s="1295"/>
      <c r="AD3144" s="1295"/>
      <c r="AE3144" s="2556"/>
      <c r="AF3144" s="750"/>
      <c r="AG3144" s="750"/>
      <c r="AH3144" s="750"/>
      <c r="AI3144" s="750"/>
      <c r="AJ3144" s="750"/>
      <c r="AK3144" s="750"/>
      <c r="AL3144" s="750"/>
      <c r="AM3144" s="750"/>
      <c r="AN3144" s="750"/>
      <c r="AO3144" s="750"/>
      <c r="AP3144" s="750"/>
      <c r="AQ3144" s="750"/>
      <c r="AR3144" s="750"/>
      <c r="AS3144" s="750"/>
      <c r="AT3144" s="750"/>
      <c r="AU3144" s="750"/>
      <c r="AV3144" s="750"/>
      <c r="AW3144" s="750"/>
      <c r="AX3144" s="750"/>
      <c r="AY3144" s="750"/>
      <c r="AZ3144" s="750"/>
      <c r="BA3144" s="750"/>
      <c r="BB3144" s="750"/>
      <c r="BC3144" s="750"/>
      <c r="BD3144" s="750"/>
      <c r="BE3144" s="750"/>
      <c r="BF3144" s="750"/>
      <c r="BG3144" s="750"/>
      <c r="BH3144" s="750"/>
      <c r="BI3144" s="750"/>
      <c r="BJ3144" s="750"/>
      <c r="BK3144" s="750"/>
      <c r="BL3144" s="750"/>
      <c r="BM3144" s="750"/>
      <c r="BN3144" s="750"/>
      <c r="BO3144" s="750"/>
      <c r="BP3144" s="750"/>
      <c r="BQ3144" s="750"/>
    </row>
    <row r="3145" spans="3:69">
      <c r="C3145" s="853"/>
      <c r="D3145" s="853"/>
      <c r="E3145" s="853"/>
      <c r="F3145" s="853"/>
      <c r="G3145" s="853"/>
      <c r="H3145" s="853"/>
      <c r="I3145" s="848"/>
      <c r="J3145" s="848"/>
      <c r="K3145" s="1295"/>
      <c r="L3145" s="1295"/>
      <c r="M3145" s="1295"/>
      <c r="N3145" s="1295"/>
      <c r="O3145" s="1295"/>
      <c r="P3145" s="853"/>
      <c r="Q3145" s="1295"/>
      <c r="R3145" s="848"/>
      <c r="S3145" s="848"/>
      <c r="T3145" s="848"/>
      <c r="U3145" s="848"/>
      <c r="V3145" s="1296"/>
      <c r="W3145" s="848"/>
      <c r="X3145" s="848"/>
      <c r="Y3145" s="1295"/>
      <c r="Z3145" s="1296"/>
      <c r="AA3145" s="1295"/>
      <c r="AB3145" s="1296"/>
      <c r="AC3145" s="1295"/>
      <c r="AD3145" s="1295"/>
      <c r="AE3145" s="2556"/>
      <c r="AF3145" s="750"/>
      <c r="AG3145" s="750"/>
      <c r="AH3145" s="750"/>
      <c r="AI3145" s="750"/>
      <c r="AJ3145" s="750"/>
      <c r="AK3145" s="750"/>
      <c r="AL3145" s="750"/>
      <c r="AM3145" s="750"/>
      <c r="AN3145" s="750"/>
      <c r="AO3145" s="750"/>
      <c r="AP3145" s="750"/>
      <c r="AQ3145" s="750"/>
      <c r="AR3145" s="750"/>
      <c r="AS3145" s="750"/>
      <c r="AT3145" s="750"/>
      <c r="AU3145" s="750"/>
      <c r="AV3145" s="750"/>
      <c r="AW3145" s="750"/>
      <c r="AX3145" s="750"/>
      <c r="AY3145" s="750"/>
      <c r="AZ3145" s="750"/>
      <c r="BA3145" s="750"/>
      <c r="BB3145" s="750"/>
      <c r="BC3145" s="750"/>
      <c r="BD3145" s="750"/>
      <c r="BE3145" s="750"/>
      <c r="BF3145" s="750"/>
      <c r="BG3145" s="750"/>
      <c r="BH3145" s="750"/>
      <c r="BI3145" s="750"/>
      <c r="BJ3145" s="750"/>
      <c r="BK3145" s="750"/>
      <c r="BL3145" s="750"/>
      <c r="BM3145" s="750"/>
      <c r="BN3145" s="750"/>
      <c r="BO3145" s="750"/>
      <c r="BP3145" s="750"/>
      <c r="BQ3145" s="750"/>
    </row>
    <row r="3146" spans="3:69">
      <c r="C3146" s="853"/>
      <c r="D3146" s="853"/>
      <c r="E3146" s="853"/>
      <c r="F3146" s="853"/>
      <c r="G3146" s="853"/>
      <c r="H3146" s="853"/>
      <c r="I3146" s="848"/>
      <c r="J3146" s="848"/>
      <c r="K3146" s="1295"/>
      <c r="L3146" s="1295"/>
      <c r="M3146" s="1295"/>
      <c r="N3146" s="1295"/>
      <c r="O3146" s="1295"/>
      <c r="P3146" s="853"/>
      <c r="Q3146" s="1295"/>
      <c r="R3146" s="848"/>
      <c r="S3146" s="848"/>
      <c r="T3146" s="848"/>
      <c r="U3146" s="848"/>
      <c r="V3146" s="1296"/>
      <c r="W3146" s="848"/>
      <c r="X3146" s="848"/>
      <c r="Y3146" s="1295"/>
      <c r="Z3146" s="1296"/>
      <c r="AA3146" s="1295"/>
      <c r="AB3146" s="1296"/>
      <c r="AC3146" s="1295"/>
      <c r="AD3146" s="1295"/>
      <c r="AE3146" s="2556"/>
      <c r="AF3146" s="750"/>
      <c r="AG3146" s="750"/>
      <c r="AH3146" s="750"/>
      <c r="AI3146" s="750"/>
      <c r="AJ3146" s="750"/>
      <c r="AK3146" s="750"/>
      <c r="AL3146" s="750"/>
      <c r="AM3146" s="750"/>
      <c r="AN3146" s="750"/>
      <c r="AO3146" s="750"/>
      <c r="AP3146" s="750"/>
      <c r="AQ3146" s="750"/>
      <c r="AR3146" s="750"/>
      <c r="AS3146" s="750"/>
      <c r="AT3146" s="750"/>
      <c r="AU3146" s="750"/>
      <c r="AV3146" s="750"/>
      <c r="AW3146" s="750"/>
      <c r="AX3146" s="750"/>
      <c r="AY3146" s="750"/>
      <c r="AZ3146" s="750"/>
      <c r="BA3146" s="750"/>
      <c r="BB3146" s="750"/>
      <c r="BC3146" s="750"/>
      <c r="BD3146" s="750"/>
      <c r="BE3146" s="750"/>
      <c r="BF3146" s="750"/>
      <c r="BG3146" s="750"/>
      <c r="BH3146" s="750"/>
      <c r="BI3146" s="750"/>
      <c r="BJ3146" s="750"/>
      <c r="BK3146" s="750"/>
      <c r="BL3146" s="750"/>
      <c r="BM3146" s="750"/>
      <c r="BN3146" s="750"/>
      <c r="BO3146" s="750"/>
      <c r="BP3146" s="750"/>
      <c r="BQ3146" s="750"/>
    </row>
    <row r="3147" spans="3:69">
      <c r="C3147" s="853"/>
      <c r="D3147" s="853"/>
      <c r="E3147" s="853"/>
      <c r="F3147" s="853"/>
      <c r="G3147" s="853"/>
      <c r="H3147" s="853"/>
      <c r="I3147" s="848"/>
      <c r="J3147" s="848"/>
      <c r="K3147" s="1295"/>
      <c r="L3147" s="1295"/>
      <c r="M3147" s="1295"/>
      <c r="N3147" s="1295"/>
      <c r="O3147" s="1295"/>
      <c r="P3147" s="853"/>
      <c r="Q3147" s="1295"/>
      <c r="R3147" s="848"/>
      <c r="S3147" s="848"/>
      <c r="T3147" s="848"/>
      <c r="U3147" s="848"/>
      <c r="V3147" s="1296"/>
      <c r="W3147" s="848"/>
      <c r="X3147" s="848"/>
      <c r="Y3147" s="1295"/>
      <c r="Z3147" s="1296"/>
      <c r="AA3147" s="1295"/>
      <c r="AB3147" s="1296"/>
      <c r="AC3147" s="1295"/>
      <c r="AD3147" s="1295"/>
      <c r="AE3147" s="2556"/>
      <c r="AF3147" s="750"/>
      <c r="AG3147" s="750"/>
      <c r="AH3147" s="750"/>
      <c r="AI3147" s="750"/>
      <c r="AJ3147" s="750"/>
      <c r="AK3147" s="750"/>
      <c r="AL3147" s="750"/>
      <c r="AM3147" s="750"/>
      <c r="AN3147" s="750"/>
      <c r="AO3147" s="750"/>
      <c r="AP3147" s="750"/>
      <c r="AQ3147" s="750"/>
      <c r="AR3147" s="750"/>
      <c r="AS3147" s="750"/>
      <c r="AT3147" s="750"/>
      <c r="AU3147" s="750"/>
      <c r="AV3147" s="750"/>
      <c r="AW3147" s="750"/>
      <c r="AX3147" s="750"/>
      <c r="AY3147" s="750"/>
      <c r="AZ3147" s="750"/>
      <c r="BA3147" s="750"/>
      <c r="BB3147" s="750"/>
      <c r="BC3147" s="750"/>
      <c r="BD3147" s="750"/>
      <c r="BE3147" s="750"/>
      <c r="BF3147" s="750"/>
      <c r="BG3147" s="750"/>
      <c r="BH3147" s="750"/>
      <c r="BI3147" s="750"/>
      <c r="BJ3147" s="750"/>
      <c r="BK3147" s="750"/>
      <c r="BL3147" s="750"/>
      <c r="BM3147" s="750"/>
      <c r="BN3147" s="750"/>
      <c r="BO3147" s="750"/>
      <c r="BP3147" s="750"/>
      <c r="BQ3147" s="750"/>
    </row>
    <row r="3148" spans="3:69">
      <c r="C3148" s="853"/>
      <c r="D3148" s="853"/>
      <c r="E3148" s="853"/>
      <c r="F3148" s="853"/>
      <c r="G3148" s="853"/>
      <c r="H3148" s="853"/>
      <c r="I3148" s="848"/>
      <c r="J3148" s="848"/>
      <c r="K3148" s="1295"/>
      <c r="L3148" s="1295"/>
      <c r="M3148" s="1295"/>
      <c r="N3148" s="1295"/>
      <c r="O3148" s="1295"/>
      <c r="P3148" s="853"/>
      <c r="Q3148" s="1295"/>
      <c r="R3148" s="848"/>
      <c r="S3148" s="848"/>
      <c r="T3148" s="848"/>
      <c r="U3148" s="848"/>
      <c r="V3148" s="1296"/>
      <c r="W3148" s="848"/>
      <c r="X3148" s="848"/>
      <c r="Y3148" s="1295"/>
      <c r="Z3148" s="1296"/>
      <c r="AA3148" s="1295"/>
      <c r="AB3148" s="1296"/>
      <c r="AC3148" s="1295"/>
      <c r="AD3148" s="1295"/>
      <c r="AE3148" s="2556"/>
      <c r="AF3148" s="750"/>
      <c r="AG3148" s="750"/>
      <c r="AH3148" s="750"/>
      <c r="AI3148" s="750"/>
      <c r="AJ3148" s="750"/>
      <c r="AK3148" s="750"/>
      <c r="AL3148" s="750"/>
      <c r="AM3148" s="750"/>
      <c r="AN3148" s="750"/>
      <c r="AO3148" s="750"/>
      <c r="AP3148" s="750"/>
      <c r="AQ3148" s="750"/>
      <c r="AR3148" s="750"/>
      <c r="AS3148" s="750"/>
      <c r="AT3148" s="750"/>
      <c r="AU3148" s="750"/>
      <c r="AV3148" s="750"/>
      <c r="AW3148" s="750"/>
      <c r="AX3148" s="750"/>
      <c r="AY3148" s="750"/>
      <c r="AZ3148" s="750"/>
      <c r="BA3148" s="750"/>
      <c r="BB3148" s="750"/>
      <c r="BC3148" s="750"/>
      <c r="BD3148" s="750"/>
      <c r="BE3148" s="750"/>
      <c r="BF3148" s="750"/>
      <c r="BG3148" s="750"/>
      <c r="BH3148" s="750"/>
      <c r="BI3148" s="750"/>
      <c r="BJ3148" s="750"/>
      <c r="BK3148" s="750"/>
      <c r="BL3148" s="750"/>
      <c r="BM3148" s="750"/>
      <c r="BN3148" s="750"/>
      <c r="BO3148" s="750"/>
      <c r="BP3148" s="750"/>
      <c r="BQ3148" s="750"/>
    </row>
    <row r="3149" spans="3:69">
      <c r="C3149" s="853"/>
      <c r="D3149" s="853"/>
      <c r="E3149" s="853"/>
      <c r="F3149" s="853"/>
      <c r="G3149" s="853"/>
      <c r="H3149" s="853"/>
      <c r="I3149" s="848"/>
      <c r="J3149" s="848"/>
      <c r="K3149" s="1295"/>
      <c r="L3149" s="1295"/>
      <c r="M3149" s="1295"/>
      <c r="N3149" s="1295"/>
      <c r="O3149" s="1295"/>
      <c r="P3149" s="853"/>
      <c r="Q3149" s="1295"/>
      <c r="R3149" s="848"/>
      <c r="S3149" s="848"/>
      <c r="T3149" s="848"/>
      <c r="U3149" s="848"/>
      <c r="V3149" s="1296"/>
      <c r="W3149" s="848"/>
      <c r="X3149" s="848"/>
      <c r="Y3149" s="1295"/>
      <c r="Z3149" s="1296"/>
      <c r="AA3149" s="1295"/>
      <c r="AB3149" s="1296"/>
      <c r="AC3149" s="1295"/>
      <c r="AD3149" s="1295"/>
      <c r="AE3149" s="2556"/>
      <c r="AF3149" s="750"/>
      <c r="AG3149" s="750"/>
      <c r="AH3149" s="750"/>
      <c r="AI3149" s="750"/>
      <c r="AJ3149" s="750"/>
      <c r="AK3149" s="750"/>
      <c r="AL3149" s="750"/>
      <c r="AM3149" s="750"/>
      <c r="AN3149" s="750"/>
      <c r="AO3149" s="750"/>
      <c r="AP3149" s="750"/>
      <c r="AQ3149" s="750"/>
      <c r="AR3149" s="750"/>
      <c r="AS3149" s="750"/>
      <c r="AT3149" s="750"/>
      <c r="AU3149" s="750"/>
      <c r="AV3149" s="750"/>
      <c r="AW3149" s="750"/>
      <c r="AX3149" s="750"/>
      <c r="AY3149" s="750"/>
      <c r="AZ3149" s="750"/>
      <c r="BA3149" s="750"/>
      <c r="BB3149" s="750"/>
      <c r="BC3149" s="750"/>
      <c r="BD3149" s="750"/>
      <c r="BE3149" s="750"/>
      <c r="BF3149" s="750"/>
      <c r="BG3149" s="750"/>
      <c r="BH3149" s="750"/>
      <c r="BI3149" s="750"/>
      <c r="BJ3149" s="750"/>
      <c r="BK3149" s="750"/>
      <c r="BL3149" s="750"/>
      <c r="BM3149" s="750"/>
      <c r="BN3149" s="750"/>
      <c r="BO3149" s="750"/>
      <c r="BP3149" s="750"/>
      <c r="BQ3149" s="750"/>
    </row>
    <row r="3150" spans="3:69">
      <c r="C3150" s="853"/>
      <c r="D3150" s="853"/>
      <c r="E3150" s="853"/>
      <c r="F3150" s="853"/>
      <c r="G3150" s="853"/>
      <c r="H3150" s="853"/>
      <c r="I3150" s="848"/>
      <c r="J3150" s="848"/>
      <c r="K3150" s="1295"/>
      <c r="L3150" s="1295"/>
      <c r="M3150" s="1295"/>
      <c r="N3150" s="1295"/>
      <c r="O3150" s="1295"/>
      <c r="P3150" s="853"/>
      <c r="Q3150" s="1295"/>
      <c r="R3150" s="848"/>
      <c r="S3150" s="848"/>
      <c r="T3150" s="848"/>
      <c r="U3150" s="848"/>
      <c r="V3150" s="1296"/>
      <c r="W3150" s="848"/>
      <c r="X3150" s="848"/>
      <c r="Y3150" s="1295"/>
      <c r="Z3150" s="1296"/>
      <c r="AA3150" s="1295"/>
      <c r="AB3150" s="1296"/>
      <c r="AC3150" s="1295"/>
      <c r="AD3150" s="1295"/>
      <c r="AE3150" s="2556"/>
      <c r="AF3150" s="750"/>
      <c r="AG3150" s="750"/>
      <c r="AH3150" s="750"/>
      <c r="AI3150" s="750"/>
      <c r="AJ3150" s="750"/>
      <c r="AK3150" s="750"/>
      <c r="AL3150" s="750"/>
      <c r="AM3150" s="750"/>
      <c r="AN3150" s="750"/>
      <c r="AO3150" s="750"/>
      <c r="AP3150" s="750"/>
      <c r="AQ3150" s="750"/>
      <c r="AR3150" s="750"/>
      <c r="AS3150" s="750"/>
      <c r="AT3150" s="750"/>
      <c r="AU3150" s="750"/>
      <c r="AV3150" s="750"/>
      <c r="AW3150" s="750"/>
      <c r="AX3150" s="750"/>
      <c r="AY3150" s="750"/>
      <c r="AZ3150" s="750"/>
      <c r="BA3150" s="750"/>
      <c r="BB3150" s="750"/>
      <c r="BC3150" s="750"/>
      <c r="BD3150" s="750"/>
      <c r="BE3150" s="750"/>
      <c r="BF3150" s="750"/>
      <c r="BG3150" s="750"/>
      <c r="BH3150" s="750"/>
      <c r="BI3150" s="750"/>
      <c r="BJ3150" s="750"/>
      <c r="BK3150" s="750"/>
      <c r="BL3150" s="750"/>
      <c r="BM3150" s="750"/>
      <c r="BN3150" s="750"/>
      <c r="BO3150" s="750"/>
      <c r="BP3150" s="750"/>
      <c r="BQ3150" s="750"/>
    </row>
    <row r="3151" spans="3:69">
      <c r="C3151" s="853"/>
      <c r="D3151" s="853"/>
      <c r="E3151" s="853"/>
      <c r="F3151" s="853"/>
      <c r="G3151" s="853"/>
      <c r="H3151" s="853"/>
      <c r="I3151" s="848"/>
      <c r="J3151" s="848"/>
      <c r="K3151" s="1295"/>
      <c r="L3151" s="1295"/>
      <c r="M3151" s="1295"/>
      <c r="N3151" s="1295"/>
      <c r="O3151" s="1295"/>
      <c r="P3151" s="853"/>
      <c r="Q3151" s="1295"/>
      <c r="R3151" s="848"/>
      <c r="S3151" s="848"/>
      <c r="T3151" s="848"/>
      <c r="U3151" s="848"/>
      <c r="V3151" s="1296"/>
      <c r="W3151" s="848"/>
      <c r="X3151" s="848"/>
      <c r="Y3151" s="1295"/>
      <c r="Z3151" s="1296"/>
      <c r="AA3151" s="1295"/>
      <c r="AB3151" s="1296"/>
      <c r="AC3151" s="1295"/>
      <c r="AD3151" s="1295"/>
      <c r="AE3151" s="2556"/>
      <c r="AF3151" s="750"/>
      <c r="AG3151" s="750"/>
      <c r="AH3151" s="750"/>
      <c r="AI3151" s="750"/>
      <c r="AJ3151" s="750"/>
      <c r="AK3151" s="750"/>
      <c r="AL3151" s="750"/>
      <c r="AM3151" s="750"/>
      <c r="AN3151" s="750"/>
      <c r="AO3151" s="750"/>
      <c r="AP3151" s="750"/>
      <c r="AQ3151" s="750"/>
      <c r="AR3151" s="750"/>
      <c r="AS3151" s="750"/>
      <c r="AT3151" s="750"/>
      <c r="AU3151" s="750"/>
      <c r="AV3151" s="750"/>
      <c r="AW3151" s="750"/>
      <c r="AX3151" s="750"/>
      <c r="AY3151" s="750"/>
      <c r="AZ3151" s="750"/>
      <c r="BA3151" s="750"/>
      <c r="BB3151" s="750"/>
      <c r="BC3151" s="750"/>
      <c r="BD3151" s="750"/>
      <c r="BE3151" s="750"/>
      <c r="BF3151" s="750"/>
      <c r="BG3151" s="750"/>
      <c r="BH3151" s="750"/>
      <c r="BI3151" s="750"/>
      <c r="BJ3151" s="750"/>
      <c r="BK3151" s="750"/>
      <c r="BL3151" s="750"/>
      <c r="BM3151" s="750"/>
      <c r="BN3151" s="750"/>
      <c r="BO3151" s="750"/>
      <c r="BP3151" s="750"/>
      <c r="BQ3151" s="750"/>
    </row>
    <row r="3152" spans="3:69">
      <c r="C3152" s="853"/>
      <c r="D3152" s="853"/>
      <c r="E3152" s="853"/>
      <c r="F3152" s="853"/>
      <c r="G3152" s="853"/>
      <c r="H3152" s="853"/>
      <c r="I3152" s="848"/>
      <c r="J3152" s="848"/>
      <c r="K3152" s="1295"/>
      <c r="L3152" s="1295"/>
      <c r="M3152" s="1295"/>
      <c r="N3152" s="1295"/>
      <c r="O3152" s="1295"/>
      <c r="P3152" s="853"/>
      <c r="Q3152" s="1295"/>
      <c r="R3152" s="848"/>
      <c r="S3152" s="848"/>
      <c r="T3152" s="848"/>
      <c r="U3152" s="848"/>
      <c r="V3152" s="1296"/>
      <c r="W3152" s="848"/>
      <c r="X3152" s="848"/>
      <c r="Y3152" s="1295"/>
      <c r="Z3152" s="1296"/>
      <c r="AA3152" s="1295"/>
      <c r="AB3152" s="1296"/>
      <c r="AC3152" s="1295"/>
      <c r="AD3152" s="1295"/>
      <c r="AE3152" s="2556"/>
      <c r="AF3152" s="750"/>
      <c r="AG3152" s="750"/>
      <c r="AH3152" s="750"/>
      <c r="AI3152" s="750"/>
      <c r="AJ3152" s="750"/>
      <c r="AK3152" s="750"/>
      <c r="AL3152" s="750"/>
      <c r="AM3152" s="750"/>
      <c r="AN3152" s="750"/>
      <c r="AO3152" s="750"/>
      <c r="AP3152" s="750"/>
      <c r="AQ3152" s="750"/>
      <c r="AR3152" s="750"/>
      <c r="AS3152" s="750"/>
      <c r="AT3152" s="750"/>
      <c r="AU3152" s="750"/>
      <c r="AV3152" s="750"/>
      <c r="AW3152" s="750"/>
      <c r="AX3152" s="750"/>
      <c r="AY3152" s="750"/>
      <c r="AZ3152" s="750"/>
      <c r="BA3152" s="750"/>
      <c r="BB3152" s="750"/>
      <c r="BC3152" s="750"/>
      <c r="BD3152" s="750"/>
      <c r="BE3152" s="750"/>
      <c r="BF3152" s="750"/>
      <c r="BG3152" s="750"/>
      <c r="BH3152" s="750"/>
      <c r="BI3152" s="750"/>
      <c r="BJ3152" s="750"/>
      <c r="BK3152" s="750"/>
      <c r="BL3152" s="750"/>
      <c r="BM3152" s="750"/>
      <c r="BN3152" s="750"/>
      <c r="BO3152" s="750"/>
      <c r="BP3152" s="750"/>
      <c r="BQ3152" s="750"/>
    </row>
    <row r="3153" spans="3:69">
      <c r="C3153" s="853"/>
      <c r="D3153" s="853"/>
      <c r="E3153" s="853"/>
      <c r="F3153" s="853"/>
      <c r="G3153" s="853"/>
      <c r="H3153" s="853"/>
      <c r="I3153" s="848"/>
      <c r="J3153" s="848"/>
      <c r="K3153" s="1295"/>
      <c r="L3153" s="1295"/>
      <c r="M3153" s="1295"/>
      <c r="N3153" s="1295"/>
      <c r="O3153" s="1295"/>
      <c r="P3153" s="853"/>
      <c r="Q3153" s="1295"/>
      <c r="R3153" s="848"/>
      <c r="S3153" s="848"/>
      <c r="T3153" s="848"/>
      <c r="U3153" s="848"/>
      <c r="V3153" s="1296"/>
      <c r="W3153" s="848"/>
      <c r="X3153" s="848"/>
      <c r="Y3153" s="1295"/>
      <c r="Z3153" s="1296"/>
      <c r="AA3153" s="1295"/>
      <c r="AB3153" s="1296"/>
      <c r="AC3153" s="1295"/>
      <c r="AD3153" s="1295"/>
      <c r="AE3153" s="2556"/>
      <c r="AF3153" s="750"/>
      <c r="AG3153" s="750"/>
      <c r="AH3153" s="750"/>
      <c r="AI3153" s="750"/>
      <c r="AJ3153" s="750"/>
      <c r="AK3153" s="750"/>
      <c r="AL3153" s="750"/>
      <c r="AM3153" s="750"/>
      <c r="AN3153" s="750"/>
      <c r="AO3153" s="750"/>
      <c r="AP3153" s="750"/>
      <c r="AQ3153" s="750"/>
      <c r="AR3153" s="750"/>
      <c r="AS3153" s="750"/>
      <c r="AT3153" s="750"/>
      <c r="AU3153" s="750"/>
      <c r="AV3153" s="750"/>
      <c r="AW3153" s="750"/>
      <c r="AX3153" s="750"/>
      <c r="AY3153" s="750"/>
      <c r="AZ3153" s="750"/>
      <c r="BA3153" s="750"/>
      <c r="BB3153" s="750"/>
      <c r="BC3153" s="750"/>
      <c r="BD3153" s="750"/>
      <c r="BE3153" s="750"/>
      <c r="BF3153" s="750"/>
      <c r="BG3153" s="750"/>
      <c r="BH3153" s="750"/>
      <c r="BI3153" s="750"/>
      <c r="BJ3153" s="750"/>
      <c r="BK3153" s="750"/>
      <c r="BL3153" s="750"/>
      <c r="BM3153" s="750"/>
      <c r="BN3153" s="750"/>
      <c r="BO3153" s="750"/>
      <c r="BP3153" s="750"/>
      <c r="BQ3153" s="750"/>
    </row>
    <row r="3154" spans="3:69">
      <c r="C3154" s="853"/>
      <c r="D3154" s="853"/>
      <c r="E3154" s="853"/>
      <c r="F3154" s="853"/>
      <c r="G3154" s="853"/>
      <c r="H3154" s="853"/>
      <c r="I3154" s="848"/>
      <c r="J3154" s="848"/>
      <c r="K3154" s="1295"/>
      <c r="L3154" s="1295"/>
      <c r="M3154" s="1295"/>
      <c r="N3154" s="1295"/>
      <c r="O3154" s="1295"/>
      <c r="P3154" s="853"/>
      <c r="Q3154" s="1295"/>
      <c r="R3154" s="848"/>
      <c r="S3154" s="848"/>
      <c r="T3154" s="848"/>
      <c r="U3154" s="848"/>
      <c r="V3154" s="1296"/>
      <c r="W3154" s="848"/>
      <c r="X3154" s="848"/>
      <c r="Y3154" s="1295"/>
      <c r="Z3154" s="1296"/>
      <c r="AA3154" s="1295"/>
      <c r="AB3154" s="1296"/>
      <c r="AC3154" s="1295"/>
      <c r="AD3154" s="1295"/>
      <c r="AE3154" s="2556"/>
      <c r="AF3154" s="750"/>
      <c r="AG3154" s="750"/>
      <c r="AH3154" s="750"/>
      <c r="AI3154" s="750"/>
      <c r="AJ3154" s="750"/>
      <c r="AK3154" s="750"/>
      <c r="AL3154" s="750"/>
      <c r="AM3154" s="750"/>
      <c r="AN3154" s="750"/>
      <c r="AO3154" s="750"/>
      <c r="AP3154" s="750"/>
      <c r="AQ3154" s="750"/>
      <c r="AR3154" s="750"/>
      <c r="AS3154" s="750"/>
      <c r="AT3154" s="750"/>
      <c r="AU3154" s="750"/>
      <c r="AV3154" s="750"/>
      <c r="AW3154" s="750"/>
      <c r="AX3154" s="750"/>
      <c r="AY3154" s="750"/>
      <c r="AZ3154" s="750"/>
      <c r="BA3154" s="750"/>
      <c r="BB3154" s="750"/>
      <c r="BC3154" s="750"/>
      <c r="BD3154" s="750"/>
      <c r="BE3154" s="750"/>
      <c r="BF3154" s="750"/>
      <c r="BG3154" s="750"/>
      <c r="BH3154" s="750"/>
      <c r="BI3154" s="750"/>
      <c r="BJ3154" s="750"/>
      <c r="BK3154" s="750"/>
      <c r="BL3154" s="750"/>
      <c r="BM3154" s="750"/>
      <c r="BN3154" s="750"/>
      <c r="BO3154" s="750"/>
      <c r="BP3154" s="750"/>
      <c r="BQ3154" s="750"/>
    </row>
    <row r="3155" spans="3:69">
      <c r="C3155" s="853"/>
      <c r="D3155" s="853"/>
      <c r="E3155" s="853"/>
      <c r="F3155" s="853"/>
      <c r="G3155" s="853"/>
      <c r="H3155" s="853"/>
      <c r="I3155" s="848"/>
      <c r="J3155" s="848"/>
      <c r="K3155" s="1295"/>
      <c r="L3155" s="1295"/>
      <c r="M3155" s="1295"/>
      <c r="N3155" s="1295"/>
      <c r="O3155" s="1295"/>
      <c r="P3155" s="853"/>
      <c r="Q3155" s="1295"/>
      <c r="R3155" s="848"/>
      <c r="S3155" s="848"/>
      <c r="T3155" s="848"/>
      <c r="U3155" s="848"/>
      <c r="V3155" s="1296"/>
      <c r="W3155" s="848"/>
      <c r="X3155" s="848"/>
      <c r="Y3155" s="1295"/>
      <c r="Z3155" s="1296"/>
      <c r="AA3155" s="1295"/>
      <c r="AB3155" s="1296"/>
      <c r="AC3155" s="1295"/>
      <c r="AD3155" s="1295"/>
      <c r="AE3155" s="2556"/>
      <c r="AF3155" s="750"/>
      <c r="AG3155" s="750"/>
      <c r="AH3155" s="750"/>
      <c r="AI3155" s="750"/>
      <c r="AJ3155" s="750"/>
      <c r="AK3155" s="750"/>
      <c r="AL3155" s="750"/>
      <c r="AM3155" s="750"/>
      <c r="AN3155" s="750"/>
      <c r="AO3155" s="750"/>
      <c r="AP3155" s="750"/>
      <c r="AQ3155" s="750"/>
      <c r="AR3155" s="750"/>
      <c r="AS3155" s="750"/>
      <c r="AT3155" s="750"/>
      <c r="AU3155" s="750"/>
      <c r="AV3155" s="750"/>
      <c r="AW3155" s="750"/>
      <c r="AX3155" s="750"/>
      <c r="AY3155" s="750"/>
      <c r="AZ3155" s="750"/>
      <c r="BA3155" s="750"/>
      <c r="BB3155" s="750"/>
      <c r="BC3155" s="750"/>
      <c r="BD3155" s="750"/>
      <c r="BE3155" s="750"/>
      <c r="BF3155" s="750"/>
      <c r="BG3155" s="750"/>
      <c r="BH3155" s="750"/>
      <c r="BI3155" s="750"/>
      <c r="BJ3155" s="750"/>
      <c r="BK3155" s="750"/>
      <c r="BL3155" s="750"/>
      <c r="BM3155" s="750"/>
      <c r="BN3155" s="750"/>
      <c r="BO3155" s="750"/>
      <c r="BP3155" s="750"/>
      <c r="BQ3155" s="750"/>
    </row>
    <row r="3156" spans="3:69">
      <c r="C3156" s="853"/>
      <c r="D3156" s="853"/>
      <c r="E3156" s="853"/>
      <c r="F3156" s="853"/>
      <c r="G3156" s="853"/>
      <c r="H3156" s="853"/>
      <c r="I3156" s="848"/>
      <c r="J3156" s="848"/>
      <c r="K3156" s="1295"/>
      <c r="L3156" s="1295"/>
      <c r="M3156" s="1295"/>
      <c r="N3156" s="1295"/>
      <c r="O3156" s="1295"/>
      <c r="P3156" s="853"/>
      <c r="Q3156" s="1295"/>
      <c r="R3156" s="848"/>
      <c r="S3156" s="848"/>
      <c r="T3156" s="848"/>
      <c r="U3156" s="848"/>
      <c r="V3156" s="1296"/>
      <c r="W3156" s="848"/>
      <c r="X3156" s="848"/>
      <c r="Y3156" s="1295"/>
      <c r="Z3156" s="1296"/>
      <c r="AA3156" s="1295"/>
      <c r="AB3156" s="1296"/>
      <c r="AC3156" s="1295"/>
      <c r="AD3156" s="1295"/>
      <c r="AE3156" s="2556"/>
      <c r="AF3156" s="750"/>
      <c r="AG3156" s="750"/>
      <c r="AH3156" s="750"/>
      <c r="AI3156" s="750"/>
      <c r="AJ3156" s="750"/>
      <c r="AK3156" s="750"/>
      <c r="AL3156" s="750"/>
      <c r="AM3156" s="750"/>
      <c r="AN3156" s="750"/>
      <c r="AO3156" s="750"/>
      <c r="AP3156" s="750"/>
      <c r="AQ3156" s="750"/>
      <c r="AR3156" s="750"/>
      <c r="AS3156" s="750"/>
      <c r="AT3156" s="750"/>
      <c r="AU3156" s="750"/>
      <c r="AV3156" s="750"/>
      <c r="AW3156" s="750"/>
      <c r="AX3156" s="750"/>
      <c r="AY3156" s="750"/>
      <c r="AZ3156" s="750"/>
      <c r="BA3156" s="750"/>
      <c r="BB3156" s="750"/>
      <c r="BC3156" s="750"/>
      <c r="BD3156" s="750"/>
      <c r="BE3156" s="750"/>
      <c r="BF3156" s="750"/>
      <c r="BG3156" s="750"/>
      <c r="BH3156" s="750"/>
      <c r="BI3156" s="750"/>
      <c r="BJ3156" s="750"/>
      <c r="BK3156" s="750"/>
      <c r="BL3156" s="750"/>
      <c r="BM3156" s="750"/>
      <c r="BN3156" s="750"/>
      <c r="BO3156" s="750"/>
      <c r="BP3156" s="750"/>
      <c r="BQ3156" s="750"/>
    </row>
    <row r="3157" spans="3:69">
      <c r="C3157" s="853"/>
      <c r="D3157" s="853"/>
      <c r="E3157" s="853"/>
      <c r="F3157" s="853"/>
      <c r="G3157" s="853"/>
      <c r="H3157" s="853"/>
      <c r="I3157" s="848"/>
      <c r="J3157" s="848"/>
      <c r="K3157" s="1295"/>
      <c r="L3157" s="1295"/>
      <c r="M3157" s="1295"/>
      <c r="N3157" s="1295"/>
      <c r="O3157" s="1295"/>
      <c r="P3157" s="853"/>
      <c r="Q3157" s="1295"/>
      <c r="R3157" s="848"/>
      <c r="S3157" s="848"/>
      <c r="T3157" s="848"/>
      <c r="U3157" s="848"/>
      <c r="V3157" s="1296"/>
      <c r="W3157" s="848"/>
      <c r="X3157" s="848"/>
      <c r="Y3157" s="1295"/>
      <c r="Z3157" s="1296"/>
      <c r="AA3157" s="1295"/>
      <c r="AB3157" s="1296"/>
      <c r="AC3157" s="1295"/>
      <c r="AD3157" s="1295"/>
      <c r="AE3157" s="2556"/>
      <c r="AF3157" s="750"/>
      <c r="AG3157" s="750"/>
      <c r="AH3157" s="750"/>
      <c r="AI3157" s="750"/>
      <c r="AJ3157" s="750"/>
      <c r="AK3157" s="750"/>
      <c r="AL3157" s="750"/>
      <c r="AM3157" s="750"/>
      <c r="AN3157" s="750"/>
      <c r="AO3157" s="750"/>
      <c r="AP3157" s="750"/>
      <c r="AQ3157" s="750"/>
      <c r="AR3157" s="750"/>
      <c r="AS3157" s="750"/>
      <c r="AT3157" s="750"/>
      <c r="AU3157" s="750"/>
      <c r="AV3157" s="750"/>
      <c r="AW3157" s="750"/>
      <c r="AX3157" s="750"/>
      <c r="AY3157" s="750"/>
      <c r="AZ3157" s="750"/>
      <c r="BA3157" s="750"/>
      <c r="BB3157" s="750"/>
      <c r="BC3157" s="750"/>
      <c r="BD3157" s="750"/>
      <c r="BE3157" s="750"/>
      <c r="BF3157" s="750"/>
      <c r="BG3157" s="750"/>
      <c r="BH3157" s="750"/>
      <c r="BI3157" s="750"/>
      <c r="BJ3157" s="750"/>
      <c r="BK3157" s="750"/>
      <c r="BL3157" s="750"/>
      <c r="BM3157" s="750"/>
      <c r="BN3157" s="750"/>
      <c r="BO3157" s="750"/>
      <c r="BP3157" s="750"/>
      <c r="BQ3157" s="750"/>
    </row>
    <row r="3158" spans="3:69">
      <c r="C3158" s="853"/>
      <c r="D3158" s="853"/>
      <c r="E3158" s="853"/>
      <c r="F3158" s="853"/>
      <c r="G3158" s="853"/>
      <c r="H3158" s="853"/>
      <c r="I3158" s="848"/>
      <c r="J3158" s="848"/>
      <c r="K3158" s="1295"/>
      <c r="L3158" s="1295"/>
      <c r="M3158" s="1295"/>
      <c r="N3158" s="1295"/>
      <c r="O3158" s="1295"/>
      <c r="P3158" s="853"/>
      <c r="Q3158" s="1295"/>
      <c r="R3158" s="848"/>
      <c r="S3158" s="848"/>
      <c r="T3158" s="848"/>
      <c r="U3158" s="848"/>
      <c r="V3158" s="1296"/>
      <c r="W3158" s="848"/>
      <c r="X3158" s="848"/>
      <c r="Y3158" s="1295"/>
      <c r="Z3158" s="1296"/>
      <c r="AA3158" s="1295"/>
      <c r="AB3158" s="1296"/>
      <c r="AC3158" s="1295"/>
      <c r="AD3158" s="1295"/>
      <c r="AE3158" s="2556"/>
      <c r="AF3158" s="750"/>
      <c r="AG3158" s="750"/>
      <c r="AH3158" s="750"/>
      <c r="AI3158" s="750"/>
      <c r="AJ3158" s="750"/>
      <c r="AK3158" s="750"/>
      <c r="AL3158" s="750"/>
      <c r="AM3158" s="750"/>
      <c r="AN3158" s="750"/>
      <c r="AO3158" s="750"/>
      <c r="AP3158" s="750"/>
      <c r="AQ3158" s="750"/>
      <c r="AR3158" s="750"/>
      <c r="AS3158" s="750"/>
      <c r="AT3158" s="750"/>
      <c r="AU3158" s="750"/>
      <c r="AV3158" s="750"/>
      <c r="AW3158" s="750"/>
      <c r="AX3158" s="750"/>
      <c r="AY3158" s="750"/>
      <c r="AZ3158" s="750"/>
      <c r="BA3158" s="750"/>
      <c r="BB3158" s="750"/>
      <c r="BC3158" s="750"/>
      <c r="BD3158" s="750"/>
      <c r="BE3158" s="750"/>
      <c r="BF3158" s="750"/>
      <c r="BG3158" s="750"/>
      <c r="BH3158" s="750"/>
      <c r="BI3158" s="750"/>
      <c r="BJ3158" s="750"/>
      <c r="BK3158" s="750"/>
      <c r="BL3158" s="750"/>
      <c r="BM3158" s="750"/>
      <c r="BN3158" s="750"/>
      <c r="BO3158" s="750"/>
      <c r="BP3158" s="750"/>
      <c r="BQ3158" s="750"/>
    </row>
    <row r="3159" spans="3:69">
      <c r="C3159" s="853"/>
      <c r="D3159" s="853"/>
      <c r="E3159" s="853"/>
      <c r="F3159" s="853"/>
      <c r="G3159" s="853"/>
      <c r="H3159" s="853"/>
      <c r="I3159" s="848"/>
      <c r="J3159" s="848"/>
      <c r="K3159" s="1295"/>
      <c r="L3159" s="1295"/>
      <c r="M3159" s="1295"/>
      <c r="N3159" s="1295"/>
      <c r="O3159" s="1295"/>
      <c r="P3159" s="853"/>
      <c r="Q3159" s="1295"/>
      <c r="R3159" s="848"/>
      <c r="S3159" s="848"/>
      <c r="T3159" s="848"/>
      <c r="U3159" s="848"/>
      <c r="V3159" s="1296"/>
      <c r="W3159" s="848"/>
      <c r="X3159" s="848"/>
      <c r="Y3159" s="1295"/>
      <c r="Z3159" s="1296"/>
      <c r="AA3159" s="1295"/>
      <c r="AB3159" s="1296"/>
      <c r="AC3159" s="1295"/>
      <c r="AD3159" s="1295"/>
      <c r="AE3159" s="2556"/>
      <c r="AF3159" s="750"/>
      <c r="AG3159" s="750"/>
      <c r="AH3159" s="750"/>
      <c r="AI3159" s="750"/>
      <c r="AJ3159" s="750"/>
      <c r="AK3159" s="750"/>
      <c r="AL3159" s="750"/>
      <c r="AM3159" s="750"/>
      <c r="AN3159" s="750"/>
      <c r="AO3159" s="750"/>
      <c r="AP3159" s="750"/>
      <c r="AQ3159" s="750"/>
      <c r="AR3159" s="750"/>
      <c r="AS3159" s="750"/>
      <c r="AT3159" s="750"/>
      <c r="AU3159" s="750"/>
      <c r="AV3159" s="750"/>
      <c r="AW3159" s="750"/>
      <c r="AX3159" s="750"/>
      <c r="AY3159" s="750"/>
      <c r="AZ3159" s="750"/>
      <c r="BA3159" s="750"/>
      <c r="BB3159" s="750"/>
      <c r="BC3159" s="750"/>
      <c r="BD3159" s="750"/>
      <c r="BE3159" s="750"/>
      <c r="BF3159" s="750"/>
      <c r="BG3159" s="750"/>
      <c r="BH3159" s="750"/>
      <c r="BI3159" s="750"/>
      <c r="BJ3159" s="750"/>
      <c r="BK3159" s="750"/>
      <c r="BL3159" s="750"/>
      <c r="BM3159" s="750"/>
      <c r="BN3159" s="750"/>
      <c r="BO3159" s="750"/>
      <c r="BP3159" s="750"/>
      <c r="BQ3159" s="750"/>
    </row>
    <row r="3160" spans="3:69">
      <c r="C3160" s="853"/>
      <c r="D3160" s="853"/>
      <c r="E3160" s="853"/>
      <c r="F3160" s="853"/>
      <c r="G3160" s="853"/>
      <c r="H3160" s="853"/>
      <c r="I3160" s="848"/>
      <c r="J3160" s="848"/>
      <c r="K3160" s="1295"/>
      <c r="L3160" s="1295"/>
      <c r="M3160" s="1295"/>
      <c r="N3160" s="1295"/>
      <c r="O3160" s="1295"/>
      <c r="P3160" s="853"/>
      <c r="Q3160" s="1295"/>
      <c r="R3160" s="848"/>
      <c r="S3160" s="848"/>
      <c r="T3160" s="848"/>
      <c r="U3160" s="848"/>
      <c r="V3160" s="1296"/>
      <c r="W3160" s="848"/>
      <c r="X3160" s="848"/>
      <c r="Y3160" s="1295"/>
      <c r="Z3160" s="1296"/>
      <c r="AA3160" s="1295"/>
      <c r="AB3160" s="1296"/>
      <c r="AC3160" s="1295"/>
      <c r="AD3160" s="1295"/>
      <c r="AE3160" s="2556"/>
      <c r="AF3160" s="750"/>
      <c r="AG3160" s="750"/>
      <c r="AH3160" s="750"/>
      <c r="AI3160" s="750"/>
      <c r="AJ3160" s="750"/>
      <c r="AK3160" s="750"/>
      <c r="AL3160" s="750"/>
      <c r="AM3160" s="750"/>
      <c r="AN3160" s="750"/>
      <c r="AO3160" s="750"/>
      <c r="AP3160" s="750"/>
      <c r="AQ3160" s="750"/>
      <c r="AR3160" s="750"/>
      <c r="AS3160" s="750"/>
      <c r="AT3160" s="750"/>
      <c r="AU3160" s="750"/>
      <c r="AV3160" s="750"/>
      <c r="AW3160" s="750"/>
      <c r="AX3160" s="750"/>
      <c r="AY3160" s="750"/>
      <c r="AZ3160" s="750"/>
      <c r="BA3160" s="750"/>
      <c r="BB3160" s="750"/>
      <c r="BC3160" s="750"/>
      <c r="BD3160" s="750"/>
      <c r="BE3160" s="750"/>
      <c r="BF3160" s="750"/>
      <c r="BG3160" s="750"/>
      <c r="BH3160" s="750"/>
      <c r="BI3160" s="750"/>
      <c r="BJ3160" s="750"/>
      <c r="BK3160" s="750"/>
      <c r="BL3160" s="750"/>
      <c r="BM3160" s="750"/>
      <c r="BN3160" s="750"/>
      <c r="BO3160" s="750"/>
      <c r="BP3160" s="750"/>
      <c r="BQ3160" s="750"/>
    </row>
    <row r="3161" spans="3:69">
      <c r="C3161" s="853"/>
      <c r="D3161" s="853"/>
      <c r="E3161" s="853"/>
      <c r="F3161" s="853"/>
      <c r="G3161" s="853"/>
      <c r="H3161" s="853"/>
      <c r="I3161" s="848"/>
      <c r="J3161" s="848"/>
      <c r="K3161" s="1295"/>
      <c r="L3161" s="1295"/>
      <c r="M3161" s="1295"/>
      <c r="N3161" s="1295"/>
      <c r="O3161" s="1295"/>
      <c r="P3161" s="853"/>
      <c r="Q3161" s="1295"/>
      <c r="R3161" s="848"/>
      <c r="S3161" s="848"/>
      <c r="T3161" s="848"/>
      <c r="U3161" s="848"/>
      <c r="V3161" s="1296"/>
      <c r="W3161" s="848"/>
      <c r="X3161" s="848"/>
      <c r="Y3161" s="1295"/>
      <c r="Z3161" s="1296"/>
      <c r="AA3161" s="1295"/>
      <c r="AB3161" s="1296"/>
      <c r="AC3161" s="1295"/>
      <c r="AD3161" s="1295"/>
      <c r="AE3161" s="2556"/>
      <c r="AF3161" s="750"/>
      <c r="AG3161" s="750"/>
      <c r="AH3161" s="750"/>
      <c r="AI3161" s="750"/>
      <c r="AJ3161" s="750"/>
      <c r="AK3161" s="750"/>
      <c r="AL3161" s="750"/>
      <c r="AM3161" s="750"/>
      <c r="AN3161" s="750"/>
      <c r="AO3161" s="750"/>
      <c r="AP3161" s="750"/>
      <c r="AQ3161" s="750"/>
      <c r="AR3161" s="750"/>
      <c r="AS3161" s="750"/>
      <c r="AT3161" s="750"/>
      <c r="AU3161" s="750"/>
      <c r="AV3161" s="750"/>
      <c r="AW3161" s="750"/>
      <c r="AX3161" s="750"/>
      <c r="AY3161" s="750"/>
      <c r="AZ3161" s="750"/>
      <c r="BA3161" s="750"/>
      <c r="BB3161" s="750"/>
      <c r="BC3161" s="750"/>
      <c r="BD3161" s="750"/>
      <c r="BE3161" s="750"/>
      <c r="BF3161" s="750"/>
      <c r="BG3161" s="750"/>
      <c r="BH3161" s="750"/>
      <c r="BI3161" s="750"/>
      <c r="BJ3161" s="750"/>
      <c r="BK3161" s="750"/>
      <c r="BL3161" s="750"/>
      <c r="BM3161" s="750"/>
      <c r="BN3161" s="750"/>
      <c r="BO3161" s="750"/>
      <c r="BP3161" s="750"/>
      <c r="BQ3161" s="750"/>
    </row>
    <row r="3162" spans="3:69">
      <c r="C3162" s="853"/>
      <c r="D3162" s="853"/>
      <c r="E3162" s="853"/>
      <c r="F3162" s="853"/>
      <c r="G3162" s="853"/>
      <c r="H3162" s="853"/>
      <c r="I3162" s="848"/>
      <c r="J3162" s="848"/>
      <c r="K3162" s="1295"/>
      <c r="L3162" s="1295"/>
      <c r="M3162" s="1295"/>
      <c r="N3162" s="1295"/>
      <c r="O3162" s="1295"/>
      <c r="P3162" s="853"/>
      <c r="Q3162" s="1295"/>
      <c r="R3162" s="848"/>
      <c r="S3162" s="848"/>
      <c r="T3162" s="848"/>
      <c r="U3162" s="848"/>
      <c r="V3162" s="1296"/>
      <c r="W3162" s="848"/>
      <c r="X3162" s="848"/>
      <c r="Y3162" s="1295"/>
      <c r="Z3162" s="1296"/>
      <c r="AA3162" s="1295"/>
      <c r="AB3162" s="1296"/>
      <c r="AC3162" s="1295"/>
      <c r="AD3162" s="1295"/>
      <c r="AE3162" s="2556"/>
      <c r="AF3162" s="750"/>
      <c r="AG3162" s="750"/>
      <c r="AH3162" s="750"/>
      <c r="AI3162" s="750"/>
      <c r="AJ3162" s="750"/>
      <c r="AK3162" s="750"/>
      <c r="AL3162" s="750"/>
      <c r="AM3162" s="750"/>
      <c r="AN3162" s="750"/>
      <c r="AO3162" s="750"/>
      <c r="AP3162" s="750"/>
      <c r="AQ3162" s="750"/>
      <c r="AR3162" s="750"/>
      <c r="AS3162" s="750"/>
      <c r="AT3162" s="750"/>
      <c r="AU3162" s="750"/>
      <c r="AV3162" s="750"/>
      <c r="AW3162" s="750"/>
      <c r="AX3162" s="750"/>
      <c r="AY3162" s="750"/>
      <c r="AZ3162" s="750"/>
      <c r="BA3162" s="750"/>
      <c r="BB3162" s="750"/>
      <c r="BC3162" s="750"/>
      <c r="BD3162" s="750"/>
      <c r="BE3162" s="750"/>
      <c r="BF3162" s="750"/>
      <c r="BG3162" s="750"/>
      <c r="BH3162" s="750"/>
      <c r="BI3162" s="750"/>
      <c r="BJ3162" s="750"/>
      <c r="BK3162" s="750"/>
      <c r="BL3162" s="750"/>
      <c r="BM3162" s="750"/>
      <c r="BN3162" s="750"/>
      <c r="BO3162" s="750"/>
      <c r="BP3162" s="750"/>
      <c r="BQ3162" s="750"/>
    </row>
    <row r="3163" spans="3:69">
      <c r="C3163" s="853"/>
      <c r="D3163" s="853"/>
      <c r="E3163" s="853"/>
      <c r="F3163" s="853"/>
      <c r="G3163" s="853"/>
      <c r="H3163" s="853"/>
      <c r="I3163" s="848"/>
      <c r="J3163" s="848"/>
      <c r="K3163" s="1295"/>
      <c r="L3163" s="1295"/>
      <c r="M3163" s="1295"/>
      <c r="N3163" s="1295"/>
      <c r="O3163" s="1295"/>
      <c r="P3163" s="853"/>
      <c r="Q3163" s="1295"/>
      <c r="R3163" s="848"/>
      <c r="S3163" s="848"/>
      <c r="T3163" s="848"/>
      <c r="U3163" s="848"/>
      <c r="V3163" s="1296"/>
      <c r="W3163" s="848"/>
      <c r="X3163" s="848"/>
      <c r="Y3163" s="1295"/>
      <c r="Z3163" s="1296"/>
      <c r="AA3163" s="1295"/>
      <c r="AB3163" s="1296"/>
      <c r="AC3163" s="1295"/>
      <c r="AD3163" s="1295"/>
      <c r="AE3163" s="2556"/>
      <c r="AF3163" s="750"/>
      <c r="AG3163" s="750"/>
      <c r="AH3163" s="750"/>
      <c r="AI3163" s="750"/>
      <c r="AJ3163" s="750"/>
      <c r="AK3163" s="750"/>
      <c r="AL3163" s="750"/>
      <c r="AM3163" s="750"/>
      <c r="AN3163" s="750"/>
      <c r="AO3163" s="750"/>
      <c r="AP3163" s="750"/>
      <c r="AQ3163" s="750"/>
      <c r="AR3163" s="750"/>
      <c r="AS3163" s="750"/>
      <c r="AT3163" s="750"/>
      <c r="AU3163" s="750"/>
      <c r="AV3163" s="750"/>
      <c r="AW3163" s="750"/>
      <c r="AX3163" s="750"/>
      <c r="AY3163" s="750"/>
      <c r="AZ3163" s="750"/>
      <c r="BA3163" s="750"/>
      <c r="BB3163" s="750"/>
      <c r="BC3163" s="750"/>
      <c r="BD3163" s="750"/>
      <c r="BE3163" s="750"/>
      <c r="BF3163" s="750"/>
      <c r="BG3163" s="750"/>
      <c r="BH3163" s="750"/>
      <c r="BI3163" s="750"/>
      <c r="BJ3163" s="750"/>
      <c r="BK3163" s="750"/>
      <c r="BL3163" s="750"/>
      <c r="BM3163" s="750"/>
      <c r="BN3163" s="750"/>
      <c r="BO3163" s="750"/>
      <c r="BP3163" s="750"/>
      <c r="BQ3163" s="750"/>
    </row>
    <row r="3164" spans="3:69">
      <c r="C3164" s="853"/>
      <c r="D3164" s="853"/>
      <c r="E3164" s="853"/>
      <c r="F3164" s="853"/>
      <c r="G3164" s="853"/>
      <c r="H3164" s="853"/>
      <c r="I3164" s="848"/>
      <c r="J3164" s="848"/>
      <c r="K3164" s="1295"/>
      <c r="L3164" s="1295"/>
      <c r="M3164" s="1295"/>
      <c r="N3164" s="1295"/>
      <c r="O3164" s="1295"/>
      <c r="P3164" s="853"/>
      <c r="Q3164" s="1295"/>
      <c r="R3164" s="848"/>
      <c r="S3164" s="848"/>
      <c r="T3164" s="848"/>
      <c r="U3164" s="848"/>
      <c r="V3164" s="1296"/>
      <c r="W3164" s="848"/>
      <c r="X3164" s="848"/>
      <c r="Y3164" s="1295"/>
      <c r="Z3164" s="1296"/>
      <c r="AA3164" s="1295"/>
      <c r="AB3164" s="1296"/>
      <c r="AC3164" s="1295"/>
      <c r="AD3164" s="1295"/>
      <c r="AE3164" s="2556"/>
      <c r="AF3164" s="750"/>
      <c r="AG3164" s="750"/>
      <c r="AH3164" s="750"/>
      <c r="AI3164" s="750"/>
      <c r="AJ3164" s="750"/>
      <c r="AK3164" s="750"/>
      <c r="AL3164" s="750"/>
      <c r="AM3164" s="750"/>
      <c r="AN3164" s="750"/>
      <c r="AO3164" s="750"/>
      <c r="AP3164" s="750"/>
      <c r="AQ3164" s="750"/>
      <c r="AR3164" s="750"/>
      <c r="AS3164" s="750"/>
      <c r="AT3164" s="750"/>
      <c r="AU3164" s="750"/>
      <c r="AV3164" s="750"/>
      <c r="AW3164" s="750"/>
      <c r="AX3164" s="750"/>
      <c r="AY3164" s="750"/>
      <c r="AZ3164" s="750"/>
      <c r="BA3164" s="750"/>
      <c r="BB3164" s="750"/>
      <c r="BC3164" s="750"/>
      <c r="BD3164" s="750"/>
      <c r="BE3164" s="750"/>
      <c r="BF3164" s="750"/>
      <c r="BG3164" s="750"/>
      <c r="BH3164" s="750"/>
      <c r="BI3164" s="750"/>
      <c r="BJ3164" s="750"/>
      <c r="BK3164" s="750"/>
      <c r="BL3164" s="750"/>
      <c r="BM3164" s="750"/>
      <c r="BN3164" s="750"/>
      <c r="BO3164" s="750"/>
      <c r="BP3164" s="750"/>
      <c r="BQ3164" s="750"/>
    </row>
    <row r="3165" spans="3:69">
      <c r="C3165" s="853"/>
      <c r="D3165" s="853"/>
      <c r="E3165" s="853"/>
      <c r="F3165" s="853"/>
      <c r="G3165" s="853"/>
      <c r="H3165" s="853"/>
      <c r="I3165" s="848"/>
      <c r="J3165" s="848"/>
      <c r="K3165" s="1295"/>
      <c r="L3165" s="1295"/>
      <c r="M3165" s="1295"/>
      <c r="N3165" s="1295"/>
      <c r="O3165" s="1295"/>
      <c r="P3165" s="853"/>
      <c r="Q3165" s="1295"/>
      <c r="R3165" s="848"/>
      <c r="S3165" s="848"/>
      <c r="T3165" s="848"/>
      <c r="U3165" s="848"/>
      <c r="V3165" s="1296"/>
      <c r="W3165" s="848"/>
      <c r="X3165" s="848"/>
      <c r="Y3165" s="1295"/>
      <c r="Z3165" s="1296"/>
      <c r="AA3165" s="1295"/>
      <c r="AB3165" s="1296"/>
      <c r="AC3165" s="1295"/>
      <c r="AD3165" s="1295"/>
      <c r="AE3165" s="2556"/>
      <c r="AF3165" s="750"/>
      <c r="AG3165" s="750"/>
      <c r="AH3165" s="750"/>
      <c r="AI3165" s="750"/>
      <c r="AJ3165" s="750"/>
      <c r="AK3165" s="750"/>
      <c r="AL3165" s="750"/>
      <c r="AM3165" s="750"/>
      <c r="AN3165" s="750"/>
      <c r="AO3165" s="750"/>
      <c r="AP3165" s="750"/>
      <c r="AQ3165" s="750"/>
      <c r="AR3165" s="750"/>
      <c r="AS3165" s="750"/>
      <c r="AT3165" s="750"/>
      <c r="AU3165" s="750"/>
      <c r="AV3165" s="750"/>
      <c r="AW3165" s="750"/>
      <c r="AX3165" s="750"/>
      <c r="AY3165" s="750"/>
      <c r="AZ3165" s="750"/>
      <c r="BA3165" s="750"/>
      <c r="BB3165" s="750"/>
      <c r="BC3165" s="750"/>
      <c r="BD3165" s="750"/>
      <c r="BE3165" s="750"/>
      <c r="BF3165" s="750"/>
      <c r="BG3165" s="750"/>
      <c r="BH3165" s="750"/>
      <c r="BI3165" s="750"/>
      <c r="BJ3165" s="750"/>
      <c r="BK3165" s="750"/>
      <c r="BL3165" s="750"/>
      <c r="BM3165" s="750"/>
      <c r="BN3165" s="750"/>
      <c r="BO3165" s="750"/>
      <c r="BP3165" s="750"/>
      <c r="BQ3165" s="750"/>
    </row>
    <row r="3166" spans="3:69">
      <c r="C3166" s="853"/>
      <c r="D3166" s="853"/>
      <c r="E3166" s="853"/>
      <c r="F3166" s="853"/>
      <c r="G3166" s="853"/>
      <c r="H3166" s="853"/>
      <c r="I3166" s="848"/>
      <c r="J3166" s="848"/>
      <c r="K3166" s="1295"/>
      <c r="L3166" s="1295"/>
      <c r="M3166" s="1295"/>
      <c r="N3166" s="1295"/>
      <c r="O3166" s="1295"/>
      <c r="P3166" s="853"/>
      <c r="Q3166" s="1295"/>
      <c r="R3166" s="848"/>
      <c r="S3166" s="848"/>
      <c r="T3166" s="848"/>
      <c r="U3166" s="848"/>
      <c r="V3166" s="1296"/>
      <c r="W3166" s="848"/>
      <c r="X3166" s="848"/>
      <c r="Y3166" s="1295"/>
      <c r="Z3166" s="1296"/>
      <c r="AA3166" s="1295"/>
      <c r="AB3166" s="1296"/>
      <c r="AC3166" s="1295"/>
      <c r="AD3166" s="1295"/>
      <c r="AE3166" s="2556"/>
      <c r="AF3166" s="750"/>
      <c r="AG3166" s="750"/>
      <c r="AH3166" s="750"/>
      <c r="AI3166" s="750"/>
      <c r="AJ3166" s="750"/>
      <c r="AK3166" s="750"/>
      <c r="AL3166" s="750"/>
      <c r="AM3166" s="750"/>
      <c r="AN3166" s="750"/>
      <c r="AO3166" s="750"/>
      <c r="AP3166" s="750"/>
      <c r="AQ3166" s="750"/>
      <c r="AR3166" s="750"/>
      <c r="AS3166" s="750"/>
      <c r="AT3166" s="750"/>
      <c r="AU3166" s="750"/>
      <c r="AV3166" s="750"/>
      <c r="AW3166" s="750"/>
      <c r="AX3166" s="750"/>
      <c r="AY3166" s="750"/>
      <c r="AZ3166" s="750"/>
      <c r="BA3166" s="750"/>
      <c r="BB3166" s="750"/>
      <c r="BC3166" s="750"/>
      <c r="BD3166" s="750"/>
      <c r="BE3166" s="750"/>
      <c r="BF3166" s="750"/>
      <c r="BG3166" s="750"/>
      <c r="BH3166" s="750"/>
      <c r="BI3166" s="750"/>
      <c r="BJ3166" s="750"/>
      <c r="BK3166" s="750"/>
      <c r="BL3166" s="750"/>
      <c r="BM3166" s="750"/>
      <c r="BN3166" s="750"/>
      <c r="BO3166" s="750"/>
      <c r="BP3166" s="750"/>
      <c r="BQ3166" s="750"/>
    </row>
    <row r="3167" spans="3:69">
      <c r="C3167" s="853"/>
      <c r="D3167" s="853"/>
      <c r="E3167" s="853"/>
      <c r="F3167" s="853"/>
      <c r="G3167" s="853"/>
      <c r="H3167" s="853"/>
      <c r="I3167" s="848"/>
      <c r="J3167" s="848"/>
      <c r="K3167" s="1295"/>
      <c r="L3167" s="1295"/>
      <c r="M3167" s="1295"/>
      <c r="N3167" s="1295"/>
      <c r="O3167" s="1295"/>
      <c r="P3167" s="853"/>
      <c r="Q3167" s="1295"/>
      <c r="R3167" s="848"/>
      <c r="S3167" s="848"/>
      <c r="T3167" s="848"/>
      <c r="U3167" s="848"/>
      <c r="V3167" s="1296"/>
      <c r="W3167" s="848"/>
      <c r="X3167" s="848"/>
      <c r="Y3167" s="1295"/>
      <c r="Z3167" s="1296"/>
      <c r="AA3167" s="1295"/>
      <c r="AB3167" s="1296"/>
      <c r="AC3167" s="1295"/>
      <c r="AD3167" s="1295"/>
      <c r="AE3167" s="2556"/>
      <c r="AF3167" s="750"/>
      <c r="AG3167" s="750"/>
      <c r="AH3167" s="750"/>
      <c r="AI3167" s="750"/>
      <c r="AJ3167" s="750"/>
      <c r="AK3167" s="750"/>
      <c r="AL3167" s="750"/>
      <c r="AM3167" s="750"/>
      <c r="AN3167" s="750"/>
      <c r="AO3167" s="750"/>
      <c r="AP3167" s="750"/>
      <c r="AQ3167" s="750"/>
      <c r="AR3167" s="750"/>
      <c r="AS3167" s="750"/>
      <c r="AT3167" s="750"/>
      <c r="AU3167" s="750"/>
      <c r="AV3167" s="750"/>
      <c r="AW3167" s="750"/>
      <c r="AX3167" s="750"/>
      <c r="AY3167" s="750"/>
      <c r="AZ3167" s="750"/>
      <c r="BA3167" s="750"/>
      <c r="BB3167" s="750"/>
      <c r="BC3167" s="750"/>
      <c r="BD3167" s="750"/>
      <c r="BE3167" s="750"/>
      <c r="BF3167" s="750"/>
      <c r="BG3167" s="750"/>
      <c r="BH3167" s="750"/>
      <c r="BI3167" s="750"/>
      <c r="BJ3167" s="750"/>
      <c r="BK3167" s="750"/>
      <c r="BL3167" s="750"/>
      <c r="BM3167" s="750"/>
      <c r="BN3167" s="750"/>
      <c r="BO3167" s="750"/>
      <c r="BP3167" s="750"/>
      <c r="BQ3167" s="750"/>
    </row>
    <row r="3168" spans="3:69">
      <c r="C3168" s="853"/>
      <c r="D3168" s="853"/>
      <c r="E3168" s="853"/>
      <c r="F3168" s="853"/>
      <c r="G3168" s="853"/>
      <c r="H3168" s="853"/>
      <c r="I3168" s="848"/>
      <c r="J3168" s="848"/>
      <c r="K3168" s="1295"/>
      <c r="L3168" s="1295"/>
      <c r="M3168" s="1295"/>
      <c r="N3168" s="1295"/>
      <c r="O3168" s="1295"/>
      <c r="P3168" s="853"/>
      <c r="Q3168" s="1295"/>
      <c r="R3168" s="848"/>
      <c r="S3168" s="848"/>
      <c r="T3168" s="848"/>
      <c r="U3168" s="848"/>
      <c r="V3168" s="1296"/>
      <c r="W3168" s="848"/>
      <c r="X3168" s="848"/>
      <c r="Y3168" s="1295"/>
      <c r="Z3168" s="1296"/>
      <c r="AA3168" s="1295"/>
      <c r="AB3168" s="1296"/>
      <c r="AC3168" s="1295"/>
      <c r="AD3168" s="1295"/>
      <c r="AE3168" s="2556"/>
      <c r="AF3168" s="750"/>
      <c r="AG3168" s="750"/>
      <c r="AH3168" s="750"/>
      <c r="AI3168" s="750"/>
      <c r="AJ3168" s="750"/>
      <c r="AK3168" s="750"/>
      <c r="AL3168" s="750"/>
      <c r="AM3168" s="750"/>
      <c r="AN3168" s="750"/>
      <c r="AO3168" s="750"/>
      <c r="AP3168" s="750"/>
      <c r="AQ3168" s="750"/>
      <c r="AR3168" s="750"/>
      <c r="AS3168" s="750"/>
      <c r="AT3168" s="750"/>
      <c r="AU3168" s="750"/>
      <c r="AV3168" s="750"/>
      <c r="AW3168" s="750"/>
      <c r="AX3168" s="750"/>
      <c r="AY3168" s="750"/>
      <c r="AZ3168" s="750"/>
      <c r="BA3168" s="750"/>
      <c r="BB3168" s="750"/>
      <c r="BC3168" s="750"/>
      <c r="BD3168" s="750"/>
      <c r="BE3168" s="750"/>
      <c r="BF3168" s="750"/>
      <c r="BG3168" s="750"/>
      <c r="BH3168" s="750"/>
      <c r="BI3168" s="750"/>
      <c r="BJ3168" s="750"/>
      <c r="BK3168" s="750"/>
      <c r="BL3168" s="750"/>
      <c r="BM3168" s="750"/>
      <c r="BN3168" s="750"/>
      <c r="BO3168" s="750"/>
      <c r="BP3168" s="750"/>
      <c r="BQ3168" s="750"/>
    </row>
    <row r="3169" spans="3:69">
      <c r="C3169" s="853"/>
      <c r="D3169" s="853"/>
      <c r="E3169" s="853"/>
      <c r="F3169" s="853"/>
      <c r="G3169" s="853"/>
      <c r="H3169" s="853"/>
      <c r="I3169" s="848"/>
      <c r="J3169" s="848"/>
      <c r="K3169" s="1295"/>
      <c r="L3169" s="1295"/>
      <c r="M3169" s="1295"/>
      <c r="N3169" s="1295"/>
      <c r="O3169" s="1295"/>
      <c r="P3169" s="853"/>
      <c r="Q3169" s="1295"/>
      <c r="R3169" s="848"/>
      <c r="S3169" s="848"/>
      <c r="T3169" s="848"/>
      <c r="U3169" s="848"/>
      <c r="V3169" s="1296"/>
      <c r="W3169" s="848"/>
      <c r="X3169" s="848"/>
      <c r="Y3169" s="1295"/>
      <c r="Z3169" s="1296"/>
      <c r="AA3169" s="1295"/>
      <c r="AB3169" s="1296"/>
      <c r="AC3169" s="1295"/>
      <c r="AD3169" s="1295"/>
      <c r="AE3169" s="2556"/>
      <c r="AF3169" s="750"/>
      <c r="AG3169" s="750"/>
      <c r="AH3169" s="750"/>
      <c r="AI3169" s="750"/>
      <c r="AJ3169" s="750"/>
      <c r="AK3169" s="750"/>
      <c r="AL3169" s="750"/>
      <c r="AM3169" s="750"/>
      <c r="AN3169" s="750"/>
      <c r="AO3169" s="750"/>
      <c r="AP3169" s="750"/>
      <c r="AQ3169" s="750"/>
      <c r="AR3169" s="750"/>
      <c r="AS3169" s="750"/>
      <c r="AT3169" s="750"/>
      <c r="AU3169" s="750"/>
      <c r="AV3169" s="750"/>
      <c r="AW3169" s="750"/>
      <c r="AX3169" s="750"/>
      <c r="AY3169" s="750"/>
      <c r="AZ3169" s="750"/>
      <c r="BA3169" s="750"/>
      <c r="BB3169" s="750"/>
      <c r="BC3169" s="750"/>
      <c r="BD3169" s="750"/>
      <c r="BE3169" s="750"/>
      <c r="BF3169" s="750"/>
      <c r="BG3169" s="750"/>
      <c r="BH3169" s="750"/>
      <c r="BI3169" s="750"/>
      <c r="BJ3169" s="750"/>
      <c r="BK3169" s="750"/>
      <c r="BL3169" s="750"/>
      <c r="BM3169" s="750"/>
      <c r="BN3169" s="750"/>
      <c r="BO3169" s="750"/>
      <c r="BP3169" s="750"/>
      <c r="BQ3169" s="750"/>
    </row>
    <row r="3170" spans="3:69">
      <c r="C3170" s="853"/>
      <c r="D3170" s="853"/>
      <c r="E3170" s="853"/>
      <c r="F3170" s="853"/>
      <c r="G3170" s="853"/>
      <c r="H3170" s="853"/>
      <c r="I3170" s="848"/>
      <c r="J3170" s="848"/>
      <c r="K3170" s="1295"/>
      <c r="L3170" s="1295"/>
      <c r="M3170" s="1295"/>
      <c r="N3170" s="1295"/>
      <c r="O3170" s="1295"/>
      <c r="P3170" s="853"/>
      <c r="Q3170" s="1295"/>
      <c r="R3170" s="848"/>
      <c r="S3170" s="848"/>
      <c r="T3170" s="848"/>
      <c r="U3170" s="848"/>
      <c r="V3170" s="1296"/>
      <c r="W3170" s="848"/>
      <c r="X3170" s="848"/>
      <c r="Y3170" s="1295"/>
      <c r="Z3170" s="1296"/>
      <c r="AA3170" s="1295"/>
      <c r="AB3170" s="1296"/>
      <c r="AC3170" s="1295"/>
      <c r="AD3170" s="1295"/>
      <c r="AE3170" s="2556"/>
      <c r="AF3170" s="750"/>
      <c r="AG3170" s="750"/>
      <c r="AH3170" s="750"/>
      <c r="AI3170" s="750"/>
      <c r="AJ3170" s="750"/>
      <c r="AK3170" s="750"/>
      <c r="AL3170" s="750"/>
      <c r="AM3170" s="750"/>
      <c r="AN3170" s="750"/>
      <c r="AO3170" s="750"/>
      <c r="AP3170" s="750"/>
      <c r="AQ3170" s="750"/>
      <c r="AR3170" s="750"/>
      <c r="AS3170" s="750"/>
      <c r="AT3170" s="750"/>
      <c r="AU3170" s="750"/>
      <c r="AV3170" s="750"/>
      <c r="AW3170" s="750"/>
      <c r="AX3170" s="750"/>
      <c r="AY3170" s="750"/>
      <c r="AZ3170" s="750"/>
      <c r="BA3170" s="750"/>
      <c r="BB3170" s="750"/>
      <c r="BC3170" s="750"/>
      <c r="BD3170" s="750"/>
      <c r="BE3170" s="750"/>
      <c r="BF3170" s="750"/>
      <c r="BG3170" s="750"/>
      <c r="BH3170" s="750"/>
      <c r="BI3170" s="750"/>
      <c r="BJ3170" s="750"/>
      <c r="BK3170" s="750"/>
      <c r="BL3170" s="750"/>
      <c r="BM3170" s="750"/>
      <c r="BN3170" s="750"/>
      <c r="BO3170" s="750"/>
      <c r="BP3170" s="750"/>
      <c r="BQ3170" s="750"/>
    </row>
    <row r="3171" spans="3:69">
      <c r="C3171" s="853"/>
      <c r="D3171" s="853"/>
      <c r="E3171" s="853"/>
      <c r="F3171" s="853"/>
      <c r="G3171" s="853"/>
      <c r="H3171" s="853"/>
      <c r="I3171" s="848"/>
      <c r="J3171" s="848"/>
      <c r="K3171" s="1295"/>
      <c r="L3171" s="1295"/>
      <c r="M3171" s="1295"/>
      <c r="N3171" s="1295"/>
      <c r="O3171" s="1295"/>
      <c r="P3171" s="853"/>
      <c r="Q3171" s="1295"/>
      <c r="R3171" s="848"/>
      <c r="S3171" s="848"/>
      <c r="T3171" s="848"/>
      <c r="U3171" s="848"/>
      <c r="V3171" s="1296"/>
      <c r="W3171" s="848"/>
      <c r="X3171" s="848"/>
      <c r="Y3171" s="1295"/>
      <c r="Z3171" s="1296"/>
      <c r="AA3171" s="1295"/>
      <c r="AB3171" s="1296"/>
      <c r="AC3171" s="1295"/>
      <c r="AD3171" s="1295"/>
      <c r="AE3171" s="2556"/>
      <c r="AF3171" s="750"/>
      <c r="AG3171" s="750"/>
      <c r="AH3171" s="750"/>
      <c r="AI3171" s="750"/>
      <c r="AJ3171" s="750"/>
      <c r="AK3171" s="750"/>
      <c r="AL3171" s="750"/>
      <c r="AM3171" s="750"/>
      <c r="AN3171" s="750"/>
      <c r="AO3171" s="750"/>
      <c r="AP3171" s="750"/>
      <c r="AQ3171" s="750"/>
      <c r="AR3171" s="750"/>
      <c r="AS3171" s="750"/>
      <c r="AT3171" s="750"/>
      <c r="AU3171" s="750"/>
      <c r="AV3171" s="750"/>
      <c r="AW3171" s="750"/>
      <c r="AX3171" s="750"/>
      <c r="AY3171" s="750"/>
      <c r="AZ3171" s="750"/>
      <c r="BA3171" s="750"/>
      <c r="BB3171" s="750"/>
      <c r="BC3171" s="750"/>
      <c r="BD3171" s="750"/>
      <c r="BE3171" s="750"/>
      <c r="BF3171" s="750"/>
      <c r="BG3171" s="750"/>
      <c r="BH3171" s="750"/>
      <c r="BI3171" s="750"/>
      <c r="BJ3171" s="750"/>
      <c r="BK3171" s="750"/>
      <c r="BL3171" s="750"/>
      <c r="BM3171" s="750"/>
      <c r="BN3171" s="750"/>
      <c r="BO3171" s="750"/>
      <c r="BP3171" s="750"/>
      <c r="BQ3171" s="750"/>
    </row>
    <row r="3172" spans="3:69">
      <c r="C3172" s="853"/>
      <c r="D3172" s="853"/>
      <c r="E3172" s="853"/>
      <c r="F3172" s="853"/>
      <c r="G3172" s="853"/>
      <c r="H3172" s="853"/>
      <c r="I3172" s="848"/>
      <c r="J3172" s="848"/>
      <c r="K3172" s="1295"/>
      <c r="L3172" s="1295"/>
      <c r="M3172" s="1295"/>
      <c r="N3172" s="1295"/>
      <c r="O3172" s="1295"/>
      <c r="P3172" s="853"/>
      <c r="Q3172" s="1295"/>
      <c r="R3172" s="848"/>
      <c r="S3172" s="848"/>
      <c r="T3172" s="848"/>
      <c r="U3172" s="848"/>
      <c r="V3172" s="1296"/>
      <c r="W3172" s="848"/>
      <c r="X3172" s="848"/>
      <c r="Y3172" s="1295"/>
      <c r="Z3172" s="1296"/>
      <c r="AA3172" s="1295"/>
      <c r="AB3172" s="1296"/>
      <c r="AC3172" s="1295"/>
      <c r="AD3172" s="1295"/>
      <c r="AE3172" s="2556"/>
      <c r="AF3172" s="750"/>
      <c r="AG3172" s="750"/>
      <c r="AH3172" s="750"/>
      <c r="AI3172" s="750"/>
      <c r="AJ3172" s="750"/>
      <c r="AK3172" s="750"/>
      <c r="AL3172" s="750"/>
      <c r="AM3172" s="750"/>
      <c r="AN3172" s="750"/>
      <c r="AO3172" s="750"/>
      <c r="AP3172" s="750"/>
      <c r="AQ3172" s="750"/>
      <c r="AR3172" s="750"/>
      <c r="AS3172" s="750"/>
      <c r="AT3172" s="750"/>
      <c r="AU3172" s="750"/>
      <c r="AV3172" s="750"/>
      <c r="AW3172" s="750"/>
      <c r="AX3172" s="750"/>
      <c r="AY3172" s="750"/>
      <c r="AZ3172" s="750"/>
      <c r="BA3172" s="750"/>
      <c r="BB3172" s="750"/>
      <c r="BC3172" s="750"/>
      <c r="BD3172" s="750"/>
      <c r="BE3172" s="750"/>
      <c r="BF3172" s="750"/>
      <c r="BG3172" s="750"/>
      <c r="BH3172" s="750"/>
      <c r="BI3172" s="750"/>
      <c r="BJ3172" s="750"/>
      <c r="BK3172" s="750"/>
      <c r="BL3172" s="750"/>
      <c r="BM3172" s="750"/>
      <c r="BN3172" s="750"/>
      <c r="BO3172" s="750"/>
      <c r="BP3172" s="750"/>
      <c r="BQ3172" s="750"/>
    </row>
    <row r="3173" spans="3:69">
      <c r="C3173" s="853"/>
      <c r="D3173" s="853"/>
      <c r="E3173" s="853"/>
      <c r="F3173" s="853"/>
      <c r="G3173" s="853"/>
      <c r="H3173" s="853"/>
      <c r="I3173" s="848"/>
      <c r="J3173" s="848"/>
      <c r="K3173" s="1295"/>
      <c r="L3173" s="1295"/>
      <c r="M3173" s="1295"/>
      <c r="N3173" s="1295"/>
      <c r="O3173" s="1295"/>
      <c r="P3173" s="853"/>
      <c r="Q3173" s="1295"/>
      <c r="R3173" s="848"/>
      <c r="S3173" s="848"/>
      <c r="T3173" s="848"/>
      <c r="U3173" s="848"/>
      <c r="V3173" s="1296"/>
      <c r="W3173" s="848"/>
      <c r="X3173" s="848"/>
      <c r="Y3173" s="1295"/>
      <c r="Z3173" s="1296"/>
      <c r="AA3173" s="1295"/>
      <c r="AB3173" s="1296"/>
      <c r="AC3173" s="1295"/>
      <c r="AD3173" s="1295"/>
      <c r="AE3173" s="2556"/>
      <c r="AF3173" s="750"/>
      <c r="AG3173" s="750"/>
      <c r="AH3173" s="750"/>
      <c r="AI3173" s="750"/>
      <c r="AJ3173" s="750"/>
      <c r="AK3173" s="750"/>
      <c r="AL3173" s="750"/>
      <c r="AM3173" s="750"/>
      <c r="AN3173" s="750"/>
      <c r="AO3173" s="750"/>
      <c r="AP3173" s="750"/>
      <c r="AQ3173" s="750"/>
      <c r="AR3173" s="750"/>
      <c r="AS3173" s="750"/>
      <c r="AT3173" s="750"/>
      <c r="AU3173" s="750"/>
      <c r="AV3173" s="750"/>
      <c r="AW3173" s="750"/>
      <c r="AX3173" s="750"/>
      <c r="AY3173" s="750"/>
      <c r="AZ3173" s="750"/>
      <c r="BA3173" s="750"/>
      <c r="BB3173" s="750"/>
      <c r="BC3173" s="750"/>
      <c r="BD3173" s="750"/>
      <c r="BE3173" s="750"/>
      <c r="BF3173" s="750"/>
      <c r="BG3173" s="750"/>
      <c r="BH3173" s="750"/>
      <c r="BI3173" s="750"/>
      <c r="BJ3173" s="750"/>
      <c r="BK3173" s="750"/>
      <c r="BL3173" s="750"/>
      <c r="BM3173" s="750"/>
      <c r="BN3173" s="750"/>
      <c r="BO3173" s="750"/>
      <c r="BP3173" s="750"/>
      <c r="BQ3173" s="750"/>
    </row>
    <row r="3174" spans="3:69">
      <c r="C3174" s="853"/>
      <c r="D3174" s="853"/>
      <c r="E3174" s="853"/>
      <c r="F3174" s="853"/>
      <c r="G3174" s="853"/>
      <c r="H3174" s="853"/>
      <c r="I3174" s="848"/>
      <c r="J3174" s="848"/>
      <c r="K3174" s="1295"/>
      <c r="L3174" s="1295"/>
      <c r="M3174" s="1295"/>
      <c r="N3174" s="1295"/>
      <c r="O3174" s="1295"/>
      <c r="P3174" s="853"/>
      <c r="Q3174" s="1295"/>
      <c r="R3174" s="848"/>
      <c r="S3174" s="848"/>
      <c r="T3174" s="848"/>
      <c r="U3174" s="848"/>
      <c r="V3174" s="1296"/>
      <c r="W3174" s="848"/>
      <c r="X3174" s="848"/>
      <c r="Y3174" s="1295"/>
      <c r="Z3174" s="1296"/>
      <c r="AA3174" s="1295"/>
      <c r="AB3174" s="1296"/>
      <c r="AC3174" s="1295"/>
      <c r="AD3174" s="1295"/>
      <c r="AE3174" s="2556"/>
      <c r="AF3174" s="750"/>
      <c r="AG3174" s="750"/>
      <c r="AH3174" s="750"/>
      <c r="AI3174" s="750"/>
      <c r="AJ3174" s="750"/>
      <c r="AK3174" s="750"/>
      <c r="AL3174" s="750"/>
      <c r="AM3174" s="750"/>
      <c r="AN3174" s="750"/>
      <c r="AO3174" s="750"/>
      <c r="AP3174" s="750"/>
      <c r="AQ3174" s="750"/>
      <c r="AR3174" s="750"/>
      <c r="AS3174" s="750"/>
      <c r="AT3174" s="750"/>
      <c r="AU3174" s="750"/>
      <c r="AV3174" s="750"/>
      <c r="AW3174" s="750"/>
      <c r="AX3174" s="750"/>
      <c r="AY3174" s="750"/>
      <c r="AZ3174" s="750"/>
      <c r="BA3174" s="750"/>
      <c r="BB3174" s="750"/>
      <c r="BC3174" s="750"/>
      <c r="BD3174" s="750"/>
      <c r="BE3174" s="750"/>
      <c r="BF3174" s="750"/>
      <c r="BG3174" s="750"/>
      <c r="BH3174" s="750"/>
      <c r="BI3174" s="750"/>
      <c r="BJ3174" s="750"/>
      <c r="BK3174" s="750"/>
      <c r="BL3174" s="750"/>
      <c r="BM3174" s="750"/>
      <c r="BN3174" s="750"/>
      <c r="BO3174" s="750"/>
      <c r="BP3174" s="750"/>
      <c r="BQ3174" s="750"/>
    </row>
    <row r="3175" spans="3:69">
      <c r="C3175" s="853"/>
      <c r="D3175" s="853"/>
      <c r="E3175" s="853"/>
      <c r="F3175" s="853"/>
      <c r="G3175" s="853"/>
      <c r="H3175" s="853"/>
      <c r="I3175" s="848"/>
      <c r="J3175" s="848"/>
      <c r="K3175" s="1295"/>
      <c r="L3175" s="1295"/>
      <c r="M3175" s="1295"/>
      <c r="N3175" s="1295"/>
      <c r="O3175" s="1295"/>
      <c r="P3175" s="853"/>
      <c r="Q3175" s="1295"/>
      <c r="R3175" s="848"/>
      <c r="S3175" s="848"/>
      <c r="T3175" s="848"/>
      <c r="U3175" s="848"/>
      <c r="V3175" s="1296"/>
      <c r="W3175" s="848"/>
      <c r="X3175" s="848"/>
      <c r="Y3175" s="1295"/>
      <c r="Z3175" s="1296"/>
      <c r="AA3175" s="1295"/>
      <c r="AB3175" s="1296"/>
      <c r="AC3175" s="1295"/>
      <c r="AD3175" s="1295"/>
      <c r="AE3175" s="2556"/>
      <c r="AF3175" s="750"/>
      <c r="AG3175" s="750"/>
      <c r="AH3175" s="750"/>
      <c r="AI3175" s="750"/>
      <c r="AJ3175" s="750"/>
      <c r="AK3175" s="750"/>
      <c r="AL3175" s="750"/>
      <c r="AM3175" s="750"/>
      <c r="AN3175" s="750"/>
      <c r="AO3175" s="750"/>
      <c r="AP3175" s="750"/>
      <c r="AQ3175" s="750"/>
      <c r="AR3175" s="750"/>
      <c r="AS3175" s="750"/>
      <c r="AT3175" s="750"/>
      <c r="AU3175" s="750"/>
      <c r="AV3175" s="750"/>
      <c r="AW3175" s="750"/>
      <c r="AX3175" s="750"/>
      <c r="AY3175" s="750"/>
      <c r="AZ3175" s="750"/>
      <c r="BA3175" s="750"/>
      <c r="BB3175" s="750"/>
      <c r="BC3175" s="750"/>
      <c r="BD3175" s="750"/>
      <c r="BE3175" s="750"/>
      <c r="BF3175" s="750"/>
      <c r="BG3175" s="750"/>
      <c r="BH3175" s="750"/>
      <c r="BI3175" s="750"/>
      <c r="BJ3175" s="750"/>
      <c r="BK3175" s="750"/>
      <c r="BL3175" s="750"/>
      <c r="BM3175" s="750"/>
      <c r="BN3175" s="750"/>
      <c r="BO3175" s="750"/>
      <c r="BP3175" s="750"/>
      <c r="BQ3175" s="750"/>
    </row>
    <row r="3176" spans="3:69">
      <c r="C3176" s="853"/>
      <c r="D3176" s="853"/>
      <c r="E3176" s="853"/>
      <c r="F3176" s="853"/>
      <c r="G3176" s="853"/>
      <c r="H3176" s="853"/>
      <c r="I3176" s="848"/>
      <c r="J3176" s="848"/>
      <c r="K3176" s="1295"/>
      <c r="L3176" s="1295"/>
      <c r="M3176" s="1295"/>
      <c r="N3176" s="1295"/>
      <c r="O3176" s="1295"/>
      <c r="P3176" s="853"/>
      <c r="Q3176" s="1295"/>
      <c r="R3176" s="848"/>
      <c r="S3176" s="848"/>
      <c r="T3176" s="848"/>
      <c r="U3176" s="848"/>
      <c r="V3176" s="1296"/>
      <c r="W3176" s="848"/>
      <c r="X3176" s="848"/>
      <c r="Y3176" s="1295"/>
      <c r="Z3176" s="1296"/>
      <c r="AA3176" s="1295"/>
      <c r="AB3176" s="1296"/>
      <c r="AC3176" s="1295"/>
      <c r="AD3176" s="1295"/>
      <c r="AE3176" s="2556"/>
      <c r="AF3176" s="750"/>
      <c r="AG3176" s="750"/>
      <c r="AH3176" s="750"/>
      <c r="AI3176" s="750"/>
      <c r="AJ3176" s="750"/>
      <c r="AK3176" s="750"/>
      <c r="AL3176" s="750"/>
      <c r="AM3176" s="750"/>
      <c r="AN3176" s="750"/>
      <c r="AO3176" s="750"/>
      <c r="AP3176" s="750"/>
      <c r="AQ3176" s="750"/>
      <c r="AR3176" s="750"/>
      <c r="AS3176" s="750"/>
      <c r="AT3176" s="750"/>
      <c r="AU3176" s="750"/>
      <c r="AV3176" s="750"/>
      <c r="AW3176" s="750"/>
      <c r="AX3176" s="750"/>
      <c r="AY3176" s="750"/>
      <c r="AZ3176" s="750"/>
      <c r="BA3176" s="750"/>
      <c r="BB3176" s="750"/>
      <c r="BC3176" s="750"/>
      <c r="BD3176" s="750"/>
      <c r="BE3176" s="750"/>
      <c r="BF3176" s="750"/>
      <c r="BG3176" s="750"/>
      <c r="BH3176" s="750"/>
      <c r="BI3176" s="750"/>
      <c r="BJ3176" s="750"/>
      <c r="BK3176" s="750"/>
      <c r="BL3176" s="750"/>
      <c r="BM3176" s="750"/>
      <c r="BN3176" s="750"/>
      <c r="BO3176" s="750"/>
      <c r="BP3176" s="750"/>
      <c r="BQ3176" s="750"/>
    </row>
    <row r="3177" spans="3:69">
      <c r="C3177" s="853"/>
      <c r="D3177" s="853"/>
      <c r="E3177" s="853"/>
      <c r="F3177" s="853"/>
      <c r="G3177" s="853"/>
      <c r="H3177" s="853"/>
      <c r="I3177" s="848"/>
      <c r="J3177" s="848"/>
      <c r="K3177" s="1295"/>
      <c r="L3177" s="1295"/>
      <c r="M3177" s="1295"/>
      <c r="N3177" s="1295"/>
      <c r="O3177" s="1295"/>
      <c r="P3177" s="853"/>
      <c r="Q3177" s="1295"/>
      <c r="R3177" s="848"/>
      <c r="S3177" s="848"/>
      <c r="T3177" s="848"/>
      <c r="U3177" s="848"/>
      <c r="V3177" s="1296"/>
      <c r="W3177" s="848"/>
      <c r="X3177" s="848"/>
      <c r="Y3177" s="1295"/>
      <c r="Z3177" s="1296"/>
      <c r="AA3177" s="1295"/>
      <c r="AB3177" s="1296"/>
      <c r="AC3177" s="1295"/>
      <c r="AD3177" s="1295"/>
      <c r="AE3177" s="2556"/>
      <c r="AF3177" s="750"/>
      <c r="AG3177" s="750"/>
      <c r="AH3177" s="750"/>
      <c r="AI3177" s="750"/>
      <c r="AJ3177" s="750"/>
      <c r="AK3177" s="750"/>
      <c r="AL3177" s="750"/>
      <c r="AM3177" s="750"/>
      <c r="AN3177" s="750"/>
      <c r="AO3177" s="750"/>
      <c r="AP3177" s="750"/>
      <c r="AQ3177" s="750"/>
      <c r="AR3177" s="750"/>
      <c r="AS3177" s="750"/>
      <c r="AT3177" s="750"/>
      <c r="AU3177" s="750"/>
      <c r="AV3177" s="750"/>
      <c r="AW3177" s="750"/>
      <c r="AX3177" s="750"/>
      <c r="AY3177" s="750"/>
      <c r="AZ3177" s="750"/>
      <c r="BA3177" s="750"/>
      <c r="BB3177" s="750"/>
      <c r="BC3177" s="750"/>
      <c r="BD3177" s="750"/>
      <c r="BE3177" s="750"/>
      <c r="BF3177" s="750"/>
      <c r="BG3177" s="750"/>
      <c r="BH3177" s="750"/>
      <c r="BI3177" s="750"/>
      <c r="BJ3177" s="750"/>
      <c r="BK3177" s="750"/>
      <c r="BL3177" s="750"/>
      <c r="BM3177" s="750"/>
      <c r="BN3177" s="750"/>
      <c r="BO3177" s="750"/>
      <c r="BP3177" s="750"/>
      <c r="BQ3177" s="750"/>
    </row>
    <row r="3178" spans="3:69">
      <c r="C3178" s="853"/>
      <c r="D3178" s="853"/>
      <c r="E3178" s="853"/>
      <c r="F3178" s="853"/>
      <c r="G3178" s="853"/>
      <c r="H3178" s="853"/>
      <c r="I3178" s="848"/>
      <c r="J3178" s="848"/>
      <c r="K3178" s="1295"/>
      <c r="L3178" s="1295"/>
      <c r="M3178" s="1295"/>
      <c r="N3178" s="1295"/>
      <c r="O3178" s="1295"/>
      <c r="P3178" s="853"/>
      <c r="Q3178" s="1295"/>
      <c r="R3178" s="848"/>
      <c r="S3178" s="848"/>
      <c r="T3178" s="848"/>
      <c r="U3178" s="848"/>
      <c r="V3178" s="1296"/>
      <c r="W3178" s="848"/>
      <c r="X3178" s="848"/>
      <c r="Y3178" s="1295"/>
      <c r="Z3178" s="1296"/>
      <c r="AA3178" s="1295"/>
      <c r="AB3178" s="1296"/>
      <c r="AC3178" s="1295"/>
      <c r="AD3178" s="1295"/>
      <c r="AE3178" s="2556"/>
      <c r="AF3178" s="750"/>
      <c r="AG3178" s="750"/>
      <c r="AH3178" s="750"/>
      <c r="AI3178" s="750"/>
      <c r="AJ3178" s="750"/>
      <c r="AK3178" s="750"/>
      <c r="AL3178" s="750"/>
      <c r="AM3178" s="750"/>
      <c r="AN3178" s="750"/>
      <c r="AO3178" s="750"/>
      <c r="AP3178" s="750"/>
      <c r="AQ3178" s="750"/>
      <c r="AR3178" s="750"/>
      <c r="AS3178" s="750"/>
      <c r="AT3178" s="750"/>
      <c r="AU3178" s="750"/>
      <c r="AV3178" s="750"/>
      <c r="AW3178" s="750"/>
      <c r="AX3178" s="750"/>
      <c r="AY3178" s="750"/>
      <c r="AZ3178" s="750"/>
      <c r="BA3178" s="750"/>
      <c r="BB3178" s="750"/>
      <c r="BC3178" s="750"/>
      <c r="BD3178" s="750"/>
      <c r="BE3178" s="750"/>
      <c r="BF3178" s="750"/>
      <c r="BG3178" s="750"/>
      <c r="BH3178" s="750"/>
      <c r="BI3178" s="750"/>
      <c r="BJ3178" s="750"/>
      <c r="BK3178" s="750"/>
      <c r="BL3178" s="750"/>
      <c r="BM3178" s="750"/>
      <c r="BN3178" s="750"/>
      <c r="BO3178" s="750"/>
      <c r="BP3178" s="750"/>
      <c r="BQ3178" s="750"/>
    </row>
    <row r="3179" spans="3:69">
      <c r="C3179" s="853"/>
      <c r="D3179" s="853"/>
      <c r="E3179" s="853"/>
      <c r="F3179" s="853"/>
      <c r="G3179" s="853"/>
      <c r="H3179" s="853"/>
      <c r="I3179" s="848"/>
      <c r="J3179" s="848"/>
      <c r="K3179" s="1295"/>
      <c r="L3179" s="1295"/>
      <c r="M3179" s="1295"/>
      <c r="N3179" s="1295"/>
      <c r="O3179" s="1295"/>
      <c r="P3179" s="853"/>
      <c r="Q3179" s="1295"/>
      <c r="R3179" s="848"/>
      <c r="S3179" s="848"/>
      <c r="T3179" s="848"/>
      <c r="U3179" s="848"/>
      <c r="V3179" s="1296"/>
      <c r="W3179" s="848"/>
      <c r="X3179" s="848"/>
      <c r="Y3179" s="1295"/>
      <c r="Z3179" s="1296"/>
      <c r="AA3179" s="1295"/>
      <c r="AB3179" s="1296"/>
      <c r="AC3179" s="1295"/>
      <c r="AD3179" s="1295"/>
      <c r="AE3179" s="2556"/>
      <c r="AF3179" s="750"/>
      <c r="AG3179" s="750"/>
      <c r="AH3179" s="750"/>
      <c r="AI3179" s="750"/>
      <c r="AJ3179" s="750"/>
      <c r="AK3179" s="750"/>
      <c r="AL3179" s="750"/>
      <c r="AM3179" s="750"/>
      <c r="AN3179" s="750"/>
      <c r="AO3179" s="750"/>
      <c r="AP3179" s="750"/>
      <c r="AQ3179" s="750"/>
      <c r="AR3179" s="750"/>
      <c r="AS3179" s="750"/>
      <c r="AT3179" s="750"/>
      <c r="AU3179" s="750"/>
      <c r="AV3179" s="750"/>
      <c r="AW3179" s="750"/>
      <c r="AX3179" s="750"/>
      <c r="AY3179" s="750"/>
      <c r="AZ3179" s="750"/>
      <c r="BA3179" s="750"/>
      <c r="BB3179" s="750"/>
      <c r="BC3179" s="750"/>
      <c r="BD3179" s="750"/>
      <c r="BE3179" s="750"/>
      <c r="BF3179" s="750"/>
      <c r="BG3179" s="750"/>
      <c r="BH3179" s="750"/>
      <c r="BI3179" s="750"/>
      <c r="BJ3179" s="750"/>
      <c r="BK3179" s="750"/>
      <c r="BL3179" s="750"/>
      <c r="BM3179" s="750"/>
      <c r="BN3179" s="750"/>
      <c r="BO3179" s="750"/>
      <c r="BP3179" s="750"/>
      <c r="BQ3179" s="750"/>
    </row>
    <row r="3180" spans="3:69">
      <c r="C3180" s="853"/>
      <c r="D3180" s="853"/>
      <c r="E3180" s="853"/>
      <c r="F3180" s="853"/>
      <c r="G3180" s="853"/>
      <c r="H3180" s="853"/>
      <c r="I3180" s="848"/>
      <c r="J3180" s="848"/>
      <c r="K3180" s="1295"/>
      <c r="L3180" s="1295"/>
      <c r="M3180" s="1295"/>
      <c r="N3180" s="1295"/>
      <c r="O3180" s="1295"/>
      <c r="P3180" s="853"/>
      <c r="Q3180" s="1295"/>
      <c r="R3180" s="848"/>
      <c r="S3180" s="848"/>
      <c r="T3180" s="848"/>
      <c r="U3180" s="848"/>
      <c r="V3180" s="1296"/>
      <c r="W3180" s="848"/>
      <c r="X3180" s="848"/>
      <c r="Y3180" s="1295"/>
      <c r="Z3180" s="1296"/>
      <c r="AA3180" s="1295"/>
      <c r="AB3180" s="1296"/>
      <c r="AC3180" s="1295"/>
      <c r="AD3180" s="1295"/>
      <c r="AE3180" s="2556"/>
      <c r="AF3180" s="750"/>
      <c r="AG3180" s="750"/>
      <c r="AH3180" s="750"/>
      <c r="AI3180" s="750"/>
      <c r="AJ3180" s="750"/>
      <c r="AK3180" s="750"/>
      <c r="AL3180" s="750"/>
      <c r="AM3180" s="750"/>
      <c r="AN3180" s="750"/>
      <c r="AO3180" s="750"/>
      <c r="AP3180" s="750"/>
      <c r="AQ3180" s="750"/>
      <c r="AR3180" s="750"/>
      <c r="AS3180" s="750"/>
      <c r="AT3180" s="750"/>
      <c r="AU3180" s="750"/>
      <c r="AV3180" s="750"/>
      <c r="AW3180" s="750"/>
      <c r="AX3180" s="750"/>
      <c r="AY3180" s="750"/>
      <c r="AZ3180" s="750"/>
      <c r="BA3180" s="750"/>
      <c r="BB3180" s="750"/>
      <c r="BC3180" s="750"/>
      <c r="BD3180" s="750"/>
      <c r="BE3180" s="750"/>
      <c r="BF3180" s="750"/>
      <c r="BG3180" s="750"/>
      <c r="BH3180" s="750"/>
      <c r="BI3180" s="750"/>
      <c r="BJ3180" s="750"/>
      <c r="BK3180" s="750"/>
      <c r="BL3180" s="750"/>
      <c r="BM3180" s="750"/>
      <c r="BN3180" s="750"/>
      <c r="BO3180" s="750"/>
      <c r="BP3180" s="750"/>
      <c r="BQ3180" s="750"/>
    </row>
    <row r="3181" spans="3:69">
      <c r="C3181" s="853"/>
      <c r="D3181" s="853"/>
      <c r="E3181" s="853"/>
      <c r="F3181" s="853"/>
      <c r="G3181" s="853"/>
      <c r="H3181" s="853"/>
      <c r="I3181" s="848"/>
      <c r="J3181" s="848"/>
      <c r="K3181" s="1295"/>
      <c r="L3181" s="1295"/>
      <c r="M3181" s="1295"/>
      <c r="N3181" s="1295"/>
      <c r="O3181" s="1295"/>
      <c r="P3181" s="853"/>
      <c r="Q3181" s="1295"/>
      <c r="R3181" s="848"/>
      <c r="S3181" s="848"/>
      <c r="T3181" s="848"/>
      <c r="U3181" s="848"/>
      <c r="V3181" s="1296"/>
      <c r="W3181" s="848"/>
      <c r="X3181" s="848"/>
      <c r="Y3181" s="1295"/>
      <c r="Z3181" s="1296"/>
      <c r="AA3181" s="1295"/>
      <c r="AB3181" s="1296"/>
      <c r="AC3181" s="1295"/>
      <c r="AD3181" s="1295"/>
      <c r="AE3181" s="2556"/>
      <c r="AF3181" s="750"/>
      <c r="AG3181" s="750"/>
      <c r="AH3181" s="750"/>
      <c r="AI3181" s="750"/>
      <c r="AJ3181" s="750"/>
      <c r="AK3181" s="750"/>
      <c r="AL3181" s="750"/>
      <c r="AM3181" s="750"/>
      <c r="AN3181" s="750"/>
      <c r="AO3181" s="750"/>
      <c r="AP3181" s="750"/>
      <c r="AQ3181" s="750"/>
      <c r="AR3181" s="750"/>
      <c r="AS3181" s="750"/>
      <c r="AT3181" s="750"/>
      <c r="AU3181" s="750"/>
      <c r="AV3181" s="750"/>
      <c r="AW3181" s="750"/>
      <c r="AX3181" s="750"/>
      <c r="AY3181" s="750"/>
      <c r="AZ3181" s="750"/>
      <c r="BA3181" s="750"/>
      <c r="BB3181" s="750"/>
      <c r="BC3181" s="750"/>
      <c r="BD3181" s="750"/>
      <c r="BE3181" s="750"/>
      <c r="BF3181" s="750"/>
      <c r="BG3181" s="750"/>
      <c r="BH3181" s="750"/>
      <c r="BI3181" s="750"/>
      <c r="BJ3181" s="750"/>
      <c r="BK3181" s="750"/>
      <c r="BL3181" s="750"/>
      <c r="BM3181" s="750"/>
      <c r="BN3181" s="750"/>
      <c r="BO3181" s="750"/>
      <c r="BP3181" s="750"/>
      <c r="BQ3181" s="750"/>
    </row>
    <row r="3182" spans="3:69">
      <c r="C3182" s="853"/>
      <c r="D3182" s="853"/>
      <c r="E3182" s="853"/>
      <c r="F3182" s="853"/>
      <c r="G3182" s="853"/>
      <c r="H3182" s="853"/>
      <c r="I3182" s="848"/>
      <c r="J3182" s="848"/>
      <c r="K3182" s="1295"/>
      <c r="L3182" s="1295"/>
      <c r="M3182" s="1295"/>
      <c r="N3182" s="1295"/>
      <c r="O3182" s="1295"/>
      <c r="P3182" s="853"/>
      <c r="Q3182" s="1295"/>
      <c r="R3182" s="848"/>
      <c r="S3182" s="848"/>
      <c r="T3182" s="848"/>
      <c r="U3182" s="848"/>
      <c r="V3182" s="1296"/>
      <c r="W3182" s="848"/>
      <c r="X3182" s="848"/>
      <c r="Y3182" s="1295"/>
      <c r="Z3182" s="1296"/>
      <c r="AA3182" s="1295"/>
      <c r="AB3182" s="1296"/>
      <c r="AC3182" s="1295"/>
      <c r="AD3182" s="1295"/>
      <c r="AE3182" s="2556"/>
      <c r="AF3182" s="750"/>
      <c r="AG3182" s="750"/>
      <c r="AH3182" s="750"/>
      <c r="AI3182" s="750"/>
      <c r="AJ3182" s="750"/>
      <c r="AK3182" s="750"/>
      <c r="AL3182" s="750"/>
      <c r="AM3182" s="750"/>
      <c r="AN3182" s="750"/>
      <c r="AO3182" s="750"/>
      <c r="AP3182" s="750"/>
      <c r="AQ3182" s="750"/>
      <c r="AR3182" s="750"/>
      <c r="AS3182" s="750"/>
      <c r="AT3182" s="750"/>
      <c r="AU3182" s="750"/>
      <c r="AV3182" s="750"/>
      <c r="AW3182" s="750"/>
      <c r="AX3182" s="750"/>
      <c r="AY3182" s="750"/>
      <c r="AZ3182" s="750"/>
      <c r="BA3182" s="750"/>
      <c r="BB3182" s="750"/>
      <c r="BC3182" s="750"/>
      <c r="BD3182" s="750"/>
      <c r="BE3182" s="750"/>
      <c r="BF3182" s="750"/>
      <c r="BG3182" s="750"/>
      <c r="BH3182" s="750"/>
      <c r="BI3182" s="750"/>
      <c r="BJ3182" s="750"/>
      <c r="BK3182" s="750"/>
      <c r="BL3182" s="750"/>
      <c r="BM3182" s="750"/>
      <c r="BN3182" s="750"/>
      <c r="BO3182" s="750"/>
      <c r="BP3182" s="750"/>
      <c r="BQ3182" s="750"/>
    </row>
    <row r="3183" spans="3:69">
      <c r="C3183" s="853"/>
      <c r="D3183" s="853"/>
      <c r="E3183" s="853"/>
      <c r="F3183" s="853"/>
      <c r="G3183" s="853"/>
      <c r="H3183" s="853"/>
      <c r="I3183" s="848"/>
      <c r="J3183" s="848"/>
      <c r="K3183" s="1295"/>
      <c r="L3183" s="1295"/>
      <c r="M3183" s="1295"/>
      <c r="N3183" s="1295"/>
      <c r="O3183" s="1295"/>
      <c r="P3183" s="853"/>
      <c r="Q3183" s="1295"/>
      <c r="R3183" s="848"/>
      <c r="S3183" s="848"/>
      <c r="T3183" s="848"/>
      <c r="U3183" s="848"/>
      <c r="V3183" s="1296"/>
      <c r="W3183" s="848"/>
      <c r="X3183" s="848"/>
      <c r="Y3183" s="1295"/>
      <c r="Z3183" s="1296"/>
      <c r="AA3183" s="1295"/>
      <c r="AB3183" s="1296"/>
      <c r="AC3183" s="1295"/>
      <c r="AD3183" s="1295"/>
      <c r="AE3183" s="2556"/>
      <c r="AF3183" s="750"/>
      <c r="AG3183" s="750"/>
      <c r="AH3183" s="750"/>
      <c r="AI3183" s="750"/>
      <c r="AJ3183" s="750"/>
      <c r="AK3183" s="750"/>
      <c r="AL3183" s="750"/>
      <c r="AM3183" s="750"/>
      <c r="AN3183" s="750"/>
      <c r="AO3183" s="750"/>
      <c r="AP3183" s="750"/>
      <c r="AQ3183" s="750"/>
      <c r="AR3183" s="750"/>
      <c r="AS3183" s="750"/>
      <c r="AT3183" s="750"/>
      <c r="AU3183" s="750"/>
      <c r="AV3183" s="750"/>
      <c r="AW3183" s="750"/>
      <c r="AX3183" s="750"/>
      <c r="AY3183" s="750"/>
      <c r="AZ3183" s="750"/>
      <c r="BA3183" s="750"/>
      <c r="BB3183" s="750"/>
      <c r="BC3183" s="750"/>
      <c r="BD3183" s="750"/>
      <c r="BE3183" s="750"/>
      <c r="BF3183" s="750"/>
      <c r="BG3183" s="750"/>
      <c r="BH3183" s="750"/>
      <c r="BI3183" s="750"/>
      <c r="BJ3183" s="750"/>
      <c r="BK3183" s="750"/>
      <c r="BL3183" s="750"/>
      <c r="BM3183" s="750"/>
      <c r="BN3183" s="750"/>
      <c r="BO3183" s="750"/>
      <c r="BP3183" s="750"/>
      <c r="BQ3183" s="750"/>
    </row>
    <row r="3184" spans="3:69">
      <c r="C3184" s="853"/>
      <c r="D3184" s="853"/>
      <c r="E3184" s="853"/>
      <c r="F3184" s="853"/>
      <c r="G3184" s="853"/>
      <c r="H3184" s="853"/>
      <c r="I3184" s="848"/>
      <c r="J3184" s="848"/>
      <c r="K3184" s="1295"/>
      <c r="L3184" s="1295"/>
      <c r="M3184" s="1295"/>
      <c r="N3184" s="1295"/>
      <c r="O3184" s="1295"/>
      <c r="P3184" s="853"/>
      <c r="Q3184" s="1295"/>
      <c r="R3184" s="848"/>
      <c r="S3184" s="848"/>
      <c r="T3184" s="848"/>
      <c r="U3184" s="848"/>
      <c r="V3184" s="1296"/>
      <c r="W3184" s="848"/>
      <c r="X3184" s="848"/>
      <c r="Y3184" s="1295"/>
      <c r="Z3184" s="1296"/>
      <c r="AA3184" s="1295"/>
      <c r="AB3184" s="1296"/>
      <c r="AC3184" s="1295"/>
      <c r="AD3184" s="1295"/>
      <c r="AE3184" s="2556"/>
      <c r="AF3184" s="750"/>
      <c r="AG3184" s="750"/>
      <c r="AH3184" s="750"/>
      <c r="AI3184" s="750"/>
      <c r="AJ3184" s="750"/>
      <c r="AK3184" s="750"/>
      <c r="AL3184" s="750"/>
      <c r="AM3184" s="750"/>
      <c r="AN3184" s="750"/>
      <c r="AO3184" s="750"/>
      <c r="AP3184" s="750"/>
      <c r="AQ3184" s="750"/>
      <c r="AR3184" s="750"/>
      <c r="AS3184" s="750"/>
      <c r="AT3184" s="750"/>
      <c r="AU3184" s="750"/>
      <c r="AV3184" s="750"/>
      <c r="AW3184" s="750"/>
      <c r="AX3184" s="750"/>
      <c r="AY3184" s="750"/>
      <c r="AZ3184" s="750"/>
      <c r="BA3184" s="750"/>
      <c r="BB3184" s="750"/>
      <c r="BC3184" s="750"/>
      <c r="BD3184" s="750"/>
      <c r="BE3184" s="750"/>
      <c r="BF3184" s="750"/>
      <c r="BG3184" s="750"/>
      <c r="BH3184" s="750"/>
      <c r="BI3184" s="750"/>
      <c r="BJ3184" s="750"/>
      <c r="BK3184" s="750"/>
      <c r="BL3184" s="750"/>
      <c r="BM3184" s="750"/>
      <c r="BN3184" s="750"/>
      <c r="BO3184" s="750"/>
      <c r="BP3184" s="750"/>
      <c r="BQ3184" s="750"/>
    </row>
    <row r="3185" spans="3:69">
      <c r="C3185" s="853"/>
      <c r="D3185" s="853"/>
      <c r="E3185" s="853"/>
      <c r="F3185" s="853"/>
      <c r="G3185" s="853"/>
      <c r="H3185" s="853"/>
      <c r="I3185" s="848"/>
      <c r="J3185" s="848"/>
      <c r="K3185" s="1295"/>
      <c r="L3185" s="1295"/>
      <c r="M3185" s="1295"/>
      <c r="N3185" s="1295"/>
      <c r="O3185" s="1295"/>
      <c r="P3185" s="853"/>
      <c r="Q3185" s="1295"/>
      <c r="R3185" s="848"/>
      <c r="S3185" s="848"/>
      <c r="T3185" s="848"/>
      <c r="U3185" s="848"/>
      <c r="V3185" s="1296"/>
      <c r="W3185" s="848"/>
      <c r="X3185" s="848"/>
      <c r="Y3185" s="1295"/>
      <c r="Z3185" s="1296"/>
      <c r="AA3185" s="1295"/>
      <c r="AB3185" s="1296"/>
      <c r="AC3185" s="1295"/>
      <c r="AD3185" s="1295"/>
      <c r="AE3185" s="2556"/>
      <c r="AF3185" s="750"/>
      <c r="AG3185" s="750"/>
      <c r="AH3185" s="750"/>
      <c r="AI3185" s="750"/>
      <c r="AJ3185" s="750"/>
      <c r="AK3185" s="750"/>
      <c r="AL3185" s="750"/>
      <c r="AM3185" s="750"/>
      <c r="AN3185" s="750"/>
      <c r="AO3185" s="750"/>
      <c r="AP3185" s="750"/>
      <c r="AQ3185" s="750"/>
      <c r="AR3185" s="750"/>
      <c r="AS3185" s="750"/>
      <c r="AT3185" s="750"/>
      <c r="AU3185" s="750"/>
      <c r="AV3185" s="750"/>
      <c r="AW3185" s="750"/>
      <c r="AX3185" s="750"/>
      <c r="AY3185" s="750"/>
      <c r="AZ3185" s="750"/>
      <c r="BA3185" s="750"/>
      <c r="BB3185" s="750"/>
      <c r="BC3185" s="750"/>
      <c r="BD3185" s="750"/>
      <c r="BE3185" s="750"/>
      <c r="BF3185" s="750"/>
      <c r="BG3185" s="750"/>
      <c r="BH3185" s="750"/>
      <c r="BI3185" s="750"/>
      <c r="BJ3185" s="750"/>
      <c r="BK3185" s="750"/>
      <c r="BL3185" s="750"/>
      <c r="BM3185" s="750"/>
      <c r="BN3185" s="750"/>
      <c r="BO3185" s="750"/>
      <c r="BP3185" s="750"/>
      <c r="BQ3185" s="750"/>
    </row>
    <row r="3186" spans="3:69">
      <c r="C3186" s="853"/>
      <c r="D3186" s="853"/>
      <c r="E3186" s="853"/>
      <c r="F3186" s="853"/>
      <c r="G3186" s="853"/>
      <c r="H3186" s="853"/>
      <c r="I3186" s="848"/>
      <c r="J3186" s="848"/>
      <c r="K3186" s="1295"/>
      <c r="L3186" s="1295"/>
      <c r="M3186" s="1295"/>
      <c r="N3186" s="1295"/>
      <c r="O3186" s="1295"/>
      <c r="P3186" s="853"/>
      <c r="Q3186" s="1295"/>
      <c r="R3186" s="848"/>
      <c r="S3186" s="848"/>
      <c r="T3186" s="848"/>
      <c r="U3186" s="848"/>
      <c r="V3186" s="1296"/>
      <c r="W3186" s="848"/>
      <c r="X3186" s="848"/>
      <c r="Y3186" s="1295"/>
      <c r="Z3186" s="1296"/>
      <c r="AA3186" s="1295"/>
      <c r="AB3186" s="1296"/>
      <c r="AC3186" s="1295"/>
      <c r="AD3186" s="1295"/>
      <c r="AE3186" s="2556"/>
      <c r="AF3186" s="750"/>
      <c r="AG3186" s="750"/>
      <c r="AH3186" s="750"/>
      <c r="AI3186" s="750"/>
      <c r="AJ3186" s="750"/>
      <c r="AK3186" s="750"/>
      <c r="AL3186" s="750"/>
      <c r="AM3186" s="750"/>
      <c r="AN3186" s="750"/>
      <c r="AO3186" s="750"/>
      <c r="AP3186" s="750"/>
      <c r="AQ3186" s="750"/>
      <c r="AR3186" s="750"/>
      <c r="AS3186" s="750"/>
      <c r="AT3186" s="750"/>
      <c r="AU3186" s="750"/>
      <c r="AV3186" s="750"/>
      <c r="AW3186" s="750"/>
      <c r="AX3186" s="750"/>
      <c r="AY3186" s="750"/>
      <c r="AZ3186" s="750"/>
      <c r="BA3186" s="750"/>
      <c r="BB3186" s="750"/>
      <c r="BC3186" s="750"/>
      <c r="BD3186" s="750"/>
      <c r="BE3186" s="750"/>
      <c r="BF3186" s="750"/>
      <c r="BG3186" s="750"/>
      <c r="BH3186" s="750"/>
      <c r="BI3186" s="750"/>
      <c r="BJ3186" s="750"/>
      <c r="BK3186" s="750"/>
      <c r="BL3186" s="750"/>
      <c r="BM3186" s="750"/>
      <c r="BN3186" s="750"/>
      <c r="BO3186" s="750"/>
      <c r="BP3186" s="750"/>
      <c r="BQ3186" s="750"/>
    </row>
    <row r="3187" spans="3:69">
      <c r="C3187" s="853"/>
      <c r="D3187" s="853"/>
      <c r="E3187" s="853"/>
      <c r="F3187" s="853"/>
      <c r="G3187" s="853"/>
      <c r="H3187" s="853"/>
      <c r="I3187" s="848"/>
      <c r="J3187" s="848"/>
      <c r="K3187" s="1295"/>
      <c r="L3187" s="1295"/>
      <c r="M3187" s="1295"/>
      <c r="N3187" s="1295"/>
      <c r="O3187" s="1295"/>
      <c r="P3187" s="853"/>
      <c r="Q3187" s="1295"/>
      <c r="R3187" s="848"/>
      <c r="S3187" s="848"/>
      <c r="T3187" s="848"/>
      <c r="U3187" s="848"/>
      <c r="V3187" s="1296"/>
      <c r="W3187" s="848"/>
      <c r="X3187" s="848"/>
      <c r="Y3187" s="1295"/>
      <c r="Z3187" s="1296"/>
      <c r="AA3187" s="1295"/>
      <c r="AB3187" s="1296"/>
      <c r="AC3187" s="1295"/>
      <c r="AD3187" s="1295"/>
      <c r="AE3187" s="2556"/>
      <c r="AF3187" s="750"/>
      <c r="AG3187" s="750"/>
      <c r="AH3187" s="750"/>
      <c r="AI3187" s="750"/>
      <c r="AJ3187" s="750"/>
      <c r="AK3187" s="750"/>
      <c r="AL3187" s="750"/>
      <c r="AM3187" s="750"/>
      <c r="AN3187" s="750"/>
      <c r="AO3187" s="750"/>
      <c r="AP3187" s="750"/>
      <c r="AQ3187" s="750"/>
      <c r="AR3187" s="750"/>
      <c r="AS3187" s="750"/>
      <c r="AT3187" s="750"/>
      <c r="AU3187" s="750"/>
      <c r="AV3187" s="750"/>
      <c r="AW3187" s="750"/>
      <c r="AX3187" s="750"/>
      <c r="AY3187" s="750"/>
      <c r="AZ3187" s="750"/>
      <c r="BA3187" s="750"/>
      <c r="BB3187" s="750"/>
      <c r="BC3187" s="750"/>
      <c r="BD3187" s="750"/>
      <c r="BE3187" s="750"/>
      <c r="BF3187" s="750"/>
      <c r="BG3187" s="750"/>
      <c r="BH3187" s="750"/>
      <c r="BI3187" s="750"/>
      <c r="BJ3187" s="750"/>
      <c r="BK3187" s="750"/>
      <c r="BL3187" s="750"/>
      <c r="BM3187" s="750"/>
      <c r="BN3187" s="750"/>
      <c r="BO3187" s="750"/>
      <c r="BP3187" s="750"/>
      <c r="BQ3187" s="750"/>
    </row>
    <row r="3188" spans="3:69">
      <c r="C3188" s="853"/>
      <c r="D3188" s="853"/>
      <c r="E3188" s="853"/>
      <c r="F3188" s="853"/>
      <c r="G3188" s="853"/>
      <c r="H3188" s="853"/>
      <c r="I3188" s="848"/>
      <c r="J3188" s="848"/>
      <c r="K3188" s="1295"/>
      <c r="L3188" s="1295"/>
      <c r="M3188" s="1295"/>
      <c r="N3188" s="1295"/>
      <c r="O3188" s="1295"/>
      <c r="P3188" s="853"/>
      <c r="Q3188" s="1295"/>
      <c r="R3188" s="848"/>
      <c r="S3188" s="848"/>
      <c r="T3188" s="848"/>
      <c r="U3188" s="848"/>
      <c r="V3188" s="1296"/>
      <c r="W3188" s="848"/>
      <c r="X3188" s="848"/>
      <c r="Y3188" s="1295"/>
      <c r="Z3188" s="1296"/>
      <c r="AA3188" s="1295"/>
      <c r="AB3188" s="1296"/>
      <c r="AC3188" s="1295"/>
      <c r="AD3188" s="1295"/>
      <c r="AE3188" s="2556"/>
      <c r="AF3188" s="750"/>
      <c r="AG3188" s="750"/>
      <c r="AH3188" s="750"/>
      <c r="AI3188" s="750"/>
      <c r="AJ3188" s="750"/>
      <c r="AK3188" s="750"/>
      <c r="AL3188" s="750"/>
      <c r="AM3188" s="750"/>
      <c r="AN3188" s="750"/>
      <c r="AO3188" s="750"/>
      <c r="AP3188" s="750"/>
      <c r="AQ3188" s="750"/>
      <c r="AR3188" s="750"/>
      <c r="AS3188" s="750"/>
      <c r="AT3188" s="750"/>
      <c r="AU3188" s="750"/>
      <c r="AV3188" s="750"/>
      <c r="AW3188" s="750"/>
      <c r="AX3188" s="750"/>
      <c r="AY3188" s="750"/>
      <c r="AZ3188" s="750"/>
      <c r="BA3188" s="750"/>
      <c r="BB3188" s="750"/>
      <c r="BC3188" s="750"/>
      <c r="BD3188" s="750"/>
      <c r="BE3188" s="750"/>
      <c r="BF3188" s="750"/>
      <c r="BG3188" s="750"/>
      <c r="BH3188" s="750"/>
      <c r="BI3188" s="750"/>
      <c r="BJ3188" s="750"/>
      <c r="BK3188" s="750"/>
      <c r="BL3188" s="750"/>
      <c r="BM3188" s="750"/>
      <c r="BN3188" s="750"/>
      <c r="BO3188" s="750"/>
      <c r="BP3188" s="750"/>
      <c r="BQ3188" s="750"/>
    </row>
    <row r="3189" spans="3:69">
      <c r="C3189" s="853"/>
      <c r="D3189" s="853"/>
      <c r="E3189" s="853"/>
      <c r="F3189" s="853"/>
      <c r="G3189" s="853"/>
      <c r="H3189" s="853"/>
      <c r="I3189" s="848"/>
      <c r="J3189" s="848"/>
      <c r="K3189" s="1295"/>
      <c r="L3189" s="1295"/>
      <c r="M3189" s="1295"/>
      <c r="N3189" s="1295"/>
      <c r="O3189" s="1295"/>
      <c r="P3189" s="853"/>
      <c r="Q3189" s="1295"/>
      <c r="R3189" s="848"/>
      <c r="S3189" s="848"/>
      <c r="T3189" s="848"/>
      <c r="U3189" s="848"/>
      <c r="V3189" s="1296"/>
      <c r="W3189" s="848"/>
      <c r="X3189" s="848"/>
      <c r="Y3189" s="1295"/>
      <c r="Z3189" s="1296"/>
      <c r="AA3189" s="1295"/>
      <c r="AB3189" s="1296"/>
      <c r="AC3189" s="1295"/>
      <c r="AD3189" s="1295"/>
      <c r="AE3189" s="2556"/>
      <c r="AF3189" s="750"/>
      <c r="AG3189" s="750"/>
      <c r="AH3189" s="750"/>
      <c r="AI3189" s="750"/>
      <c r="AJ3189" s="750"/>
      <c r="AK3189" s="750"/>
      <c r="AL3189" s="750"/>
      <c r="AM3189" s="750"/>
      <c r="AN3189" s="750"/>
      <c r="AO3189" s="750"/>
      <c r="AP3189" s="750"/>
      <c r="AQ3189" s="750"/>
      <c r="AR3189" s="750"/>
      <c r="AS3189" s="750"/>
      <c r="AT3189" s="750"/>
      <c r="AU3189" s="750"/>
      <c r="AV3189" s="750"/>
      <c r="AW3189" s="750"/>
      <c r="AX3189" s="750"/>
      <c r="AY3189" s="750"/>
      <c r="AZ3189" s="750"/>
      <c r="BA3189" s="750"/>
      <c r="BB3189" s="750"/>
      <c r="BC3189" s="750"/>
      <c r="BD3189" s="750"/>
      <c r="BE3189" s="750"/>
      <c r="BF3189" s="750"/>
      <c r="BG3189" s="750"/>
      <c r="BH3189" s="750"/>
      <c r="BI3189" s="750"/>
      <c r="BJ3189" s="750"/>
      <c r="BK3189" s="750"/>
      <c r="BL3189" s="750"/>
      <c r="BM3189" s="750"/>
      <c r="BN3189" s="750"/>
      <c r="BO3189" s="750"/>
      <c r="BP3189" s="750"/>
      <c r="BQ3189" s="750"/>
    </row>
    <row r="3190" spans="3:69">
      <c r="C3190" s="853"/>
      <c r="D3190" s="853"/>
      <c r="E3190" s="853"/>
      <c r="F3190" s="853"/>
      <c r="G3190" s="853"/>
      <c r="H3190" s="853"/>
      <c r="I3190" s="848"/>
      <c r="J3190" s="848"/>
      <c r="K3190" s="1295"/>
      <c r="L3190" s="1295"/>
      <c r="M3190" s="1295"/>
      <c r="N3190" s="1295"/>
      <c r="O3190" s="1295"/>
      <c r="P3190" s="853"/>
      <c r="Q3190" s="1295"/>
      <c r="R3190" s="848"/>
      <c r="S3190" s="848"/>
      <c r="T3190" s="848"/>
      <c r="U3190" s="848"/>
      <c r="V3190" s="1296"/>
      <c r="W3190" s="848"/>
      <c r="X3190" s="848"/>
      <c r="Y3190" s="1295"/>
      <c r="Z3190" s="1296"/>
      <c r="AA3190" s="1295"/>
      <c r="AB3190" s="1296"/>
      <c r="AC3190" s="1295"/>
      <c r="AD3190" s="1295"/>
      <c r="AE3190" s="2556"/>
      <c r="AF3190" s="750"/>
      <c r="AG3190" s="750"/>
      <c r="AH3190" s="750"/>
      <c r="AI3190" s="750"/>
      <c r="AJ3190" s="750"/>
      <c r="AK3190" s="750"/>
      <c r="AL3190" s="750"/>
      <c r="AM3190" s="750"/>
      <c r="AN3190" s="750"/>
      <c r="AO3190" s="750"/>
      <c r="AP3190" s="750"/>
      <c r="AQ3190" s="750"/>
      <c r="AR3190" s="750"/>
      <c r="AS3190" s="750"/>
      <c r="AT3190" s="750"/>
      <c r="AU3190" s="750"/>
      <c r="AV3190" s="750"/>
      <c r="AW3190" s="750"/>
      <c r="AX3190" s="750"/>
      <c r="AY3190" s="750"/>
      <c r="AZ3190" s="750"/>
      <c r="BA3190" s="750"/>
      <c r="BB3190" s="750"/>
      <c r="BC3190" s="750"/>
      <c r="BD3190" s="750"/>
      <c r="BE3190" s="750"/>
      <c r="BF3190" s="750"/>
      <c r="BG3190" s="750"/>
      <c r="BH3190" s="750"/>
      <c r="BI3190" s="750"/>
      <c r="BJ3190" s="750"/>
      <c r="BK3190" s="750"/>
      <c r="BL3190" s="750"/>
      <c r="BM3190" s="750"/>
      <c r="BN3190" s="750"/>
      <c r="BO3190" s="750"/>
      <c r="BP3190" s="750"/>
      <c r="BQ3190" s="750"/>
    </row>
    <row r="3191" spans="3:69">
      <c r="C3191" s="853"/>
      <c r="D3191" s="853"/>
      <c r="E3191" s="853"/>
      <c r="F3191" s="853"/>
      <c r="G3191" s="853"/>
      <c r="H3191" s="853"/>
      <c r="I3191" s="848"/>
      <c r="J3191" s="848"/>
      <c r="K3191" s="1295"/>
      <c r="L3191" s="1295"/>
      <c r="M3191" s="1295"/>
      <c r="N3191" s="1295"/>
      <c r="O3191" s="1295"/>
      <c r="P3191" s="853"/>
      <c r="Q3191" s="1295"/>
      <c r="R3191" s="848"/>
      <c r="S3191" s="848"/>
      <c r="T3191" s="848"/>
      <c r="U3191" s="848"/>
      <c r="V3191" s="1296"/>
      <c r="W3191" s="848"/>
      <c r="X3191" s="848"/>
      <c r="Y3191" s="1295"/>
      <c r="Z3191" s="1296"/>
      <c r="AA3191" s="1295"/>
      <c r="AB3191" s="1296"/>
      <c r="AC3191" s="1295"/>
      <c r="AD3191" s="1295"/>
      <c r="AE3191" s="2556"/>
      <c r="AF3191" s="750"/>
      <c r="AG3191" s="750"/>
      <c r="AH3191" s="750"/>
      <c r="AI3191" s="750"/>
      <c r="AJ3191" s="750"/>
      <c r="AK3191" s="750"/>
      <c r="AL3191" s="750"/>
      <c r="AM3191" s="750"/>
      <c r="AN3191" s="750"/>
      <c r="AO3191" s="750"/>
      <c r="AP3191" s="750"/>
      <c r="AQ3191" s="750"/>
      <c r="AR3191" s="750"/>
      <c r="AS3191" s="750"/>
      <c r="AT3191" s="750"/>
      <c r="AU3191" s="750"/>
      <c r="AV3191" s="750"/>
      <c r="AW3191" s="750"/>
      <c r="AX3191" s="750"/>
      <c r="AY3191" s="750"/>
      <c r="AZ3191" s="750"/>
      <c r="BA3191" s="750"/>
      <c r="BB3191" s="750"/>
      <c r="BC3191" s="750"/>
      <c r="BD3191" s="750"/>
      <c r="BE3191" s="750"/>
      <c r="BF3191" s="750"/>
      <c r="BG3191" s="750"/>
      <c r="BH3191" s="750"/>
      <c r="BI3191" s="750"/>
      <c r="BJ3191" s="750"/>
      <c r="BK3191" s="750"/>
      <c r="BL3191" s="750"/>
      <c r="BM3191" s="750"/>
      <c r="BN3191" s="750"/>
      <c r="BO3191" s="750"/>
      <c r="BP3191" s="750"/>
      <c r="BQ3191" s="750"/>
    </row>
    <row r="3192" spans="3:69">
      <c r="C3192" s="853"/>
      <c r="D3192" s="853"/>
      <c r="E3192" s="853"/>
      <c r="F3192" s="853"/>
      <c r="G3192" s="853"/>
      <c r="H3192" s="853"/>
      <c r="I3192" s="848"/>
      <c r="J3192" s="848"/>
      <c r="K3192" s="1295"/>
      <c r="L3192" s="1295"/>
      <c r="M3192" s="1295"/>
      <c r="N3192" s="1295"/>
      <c r="O3192" s="1295"/>
      <c r="P3192" s="853"/>
      <c r="Q3192" s="1295"/>
      <c r="R3192" s="848"/>
      <c r="S3192" s="848"/>
      <c r="T3192" s="848"/>
      <c r="U3192" s="848"/>
      <c r="V3192" s="1296"/>
      <c r="W3192" s="848"/>
      <c r="X3192" s="848"/>
      <c r="Y3192" s="1295"/>
      <c r="Z3192" s="1296"/>
      <c r="AA3192" s="1295"/>
      <c r="AB3192" s="1296"/>
      <c r="AC3192" s="1295"/>
      <c r="AD3192" s="1295"/>
      <c r="AE3192" s="2556"/>
      <c r="AF3192" s="750"/>
      <c r="AG3192" s="750"/>
      <c r="AH3192" s="750"/>
      <c r="AI3192" s="750"/>
      <c r="AJ3192" s="750"/>
      <c r="AK3192" s="750"/>
      <c r="AL3192" s="750"/>
      <c r="AM3192" s="750"/>
      <c r="AN3192" s="750"/>
      <c r="AO3192" s="750"/>
      <c r="AP3192" s="750"/>
      <c r="AQ3192" s="750"/>
      <c r="AR3192" s="750"/>
      <c r="AS3192" s="750"/>
      <c r="AT3192" s="750"/>
      <c r="AU3192" s="750"/>
      <c r="AV3192" s="750"/>
      <c r="AW3192" s="750"/>
      <c r="AX3192" s="750"/>
      <c r="AY3192" s="750"/>
      <c r="AZ3192" s="750"/>
      <c r="BA3192" s="750"/>
      <c r="BB3192" s="750"/>
      <c r="BC3192" s="750"/>
      <c r="BD3192" s="750"/>
      <c r="BE3192" s="750"/>
      <c r="BF3192" s="750"/>
      <c r="BG3192" s="750"/>
      <c r="BH3192" s="750"/>
      <c r="BI3192" s="750"/>
      <c r="BJ3192" s="750"/>
      <c r="BK3192" s="750"/>
      <c r="BL3192" s="750"/>
      <c r="BM3192" s="750"/>
      <c r="BN3192" s="750"/>
      <c r="BO3192" s="750"/>
      <c r="BP3192" s="750"/>
      <c r="BQ3192" s="750"/>
    </row>
    <row r="3193" spans="3:69">
      <c r="C3193" s="853"/>
      <c r="D3193" s="853"/>
      <c r="E3193" s="853"/>
      <c r="F3193" s="853"/>
      <c r="G3193" s="853"/>
      <c r="H3193" s="853"/>
      <c r="I3193" s="848"/>
      <c r="J3193" s="848"/>
      <c r="K3193" s="1295"/>
      <c r="L3193" s="1295"/>
      <c r="M3193" s="1295"/>
      <c r="N3193" s="1295"/>
      <c r="O3193" s="1295"/>
      <c r="P3193" s="853"/>
      <c r="Q3193" s="1295"/>
      <c r="R3193" s="848"/>
      <c r="S3193" s="848"/>
      <c r="T3193" s="848"/>
      <c r="U3193" s="848"/>
      <c r="V3193" s="1296"/>
      <c r="W3193" s="848"/>
      <c r="X3193" s="848"/>
      <c r="Y3193" s="1295"/>
      <c r="Z3193" s="1296"/>
      <c r="AA3193" s="1295"/>
      <c r="AB3193" s="1296"/>
      <c r="AC3193" s="1295"/>
      <c r="AD3193" s="1295"/>
      <c r="AE3193" s="2556"/>
      <c r="AF3193" s="750"/>
      <c r="AG3193" s="750"/>
      <c r="AH3193" s="750"/>
      <c r="AI3193" s="750"/>
      <c r="AJ3193" s="750"/>
      <c r="AK3193" s="750"/>
      <c r="AL3193" s="750"/>
      <c r="AM3193" s="750"/>
      <c r="AN3193" s="750"/>
      <c r="AO3193" s="750"/>
      <c r="AP3193" s="750"/>
      <c r="AQ3193" s="750"/>
      <c r="AR3193" s="750"/>
      <c r="AS3193" s="750"/>
      <c r="AT3193" s="750"/>
      <c r="AU3193" s="750"/>
      <c r="AV3193" s="750"/>
      <c r="AW3193" s="750"/>
      <c r="AX3193" s="750"/>
      <c r="AY3193" s="750"/>
      <c r="AZ3193" s="750"/>
      <c r="BA3193" s="750"/>
      <c r="BB3193" s="750"/>
      <c r="BC3193" s="750"/>
      <c r="BD3193" s="750"/>
      <c r="BE3193" s="750"/>
      <c r="BF3193" s="750"/>
      <c r="BG3193" s="750"/>
      <c r="BH3193" s="750"/>
      <c r="BI3193" s="750"/>
      <c r="BJ3193" s="750"/>
      <c r="BK3193" s="750"/>
      <c r="BL3193" s="750"/>
      <c r="BM3193" s="750"/>
      <c r="BN3193" s="750"/>
      <c r="BO3193" s="750"/>
      <c r="BP3193" s="750"/>
      <c r="BQ3193" s="750"/>
    </row>
    <row r="3194" spans="3:69">
      <c r="C3194" s="853"/>
      <c r="D3194" s="853"/>
      <c r="E3194" s="853"/>
      <c r="F3194" s="853"/>
      <c r="G3194" s="853"/>
      <c r="H3194" s="853"/>
      <c r="I3194" s="848"/>
      <c r="J3194" s="848"/>
      <c r="K3194" s="1295"/>
      <c r="L3194" s="1295"/>
      <c r="M3194" s="1295"/>
      <c r="N3194" s="1295"/>
      <c r="O3194" s="1295"/>
      <c r="P3194" s="853"/>
      <c r="Q3194" s="1295"/>
      <c r="R3194" s="848"/>
      <c r="S3194" s="848"/>
      <c r="T3194" s="848"/>
      <c r="U3194" s="848"/>
      <c r="V3194" s="1296"/>
      <c r="W3194" s="848"/>
      <c r="X3194" s="848"/>
      <c r="Y3194" s="1295"/>
      <c r="Z3194" s="1296"/>
      <c r="AA3194" s="1295"/>
      <c r="AB3194" s="1296"/>
      <c r="AC3194" s="1295"/>
      <c r="AD3194" s="1295"/>
      <c r="AE3194" s="2556"/>
      <c r="AF3194" s="750"/>
      <c r="AG3194" s="750"/>
      <c r="AH3194" s="750"/>
      <c r="AI3194" s="750"/>
      <c r="AJ3194" s="750"/>
      <c r="AK3194" s="750"/>
      <c r="AL3194" s="750"/>
      <c r="AM3194" s="750"/>
      <c r="AN3194" s="750"/>
      <c r="AO3194" s="750"/>
      <c r="AP3194" s="750"/>
      <c r="AQ3194" s="750"/>
      <c r="AR3194" s="750"/>
      <c r="AS3194" s="750"/>
      <c r="AT3194" s="750"/>
      <c r="AU3194" s="750"/>
      <c r="AV3194" s="750"/>
      <c r="AW3194" s="750"/>
      <c r="AX3194" s="750"/>
      <c r="AY3194" s="750"/>
      <c r="AZ3194" s="750"/>
      <c r="BA3194" s="750"/>
      <c r="BB3194" s="750"/>
      <c r="BC3194" s="750"/>
      <c r="BD3194" s="750"/>
      <c r="BE3194" s="750"/>
      <c r="BF3194" s="750"/>
      <c r="BG3194" s="750"/>
      <c r="BH3194" s="750"/>
      <c r="BI3194" s="750"/>
      <c r="BJ3194" s="750"/>
      <c r="BK3194" s="750"/>
      <c r="BL3194" s="750"/>
      <c r="BM3194" s="750"/>
      <c r="BN3194" s="750"/>
      <c r="BO3194" s="750"/>
      <c r="BP3194" s="750"/>
      <c r="BQ3194" s="750"/>
    </row>
    <row r="3195" spans="3:69">
      <c r="C3195" s="853"/>
      <c r="D3195" s="853"/>
      <c r="E3195" s="853"/>
      <c r="F3195" s="853"/>
      <c r="G3195" s="853"/>
      <c r="H3195" s="853"/>
      <c r="I3195" s="848"/>
      <c r="J3195" s="848"/>
      <c r="K3195" s="1295"/>
      <c r="L3195" s="1295"/>
      <c r="M3195" s="1295"/>
      <c r="N3195" s="1295"/>
      <c r="O3195" s="1295"/>
      <c r="P3195" s="853"/>
      <c r="Q3195" s="1295"/>
      <c r="R3195" s="848"/>
      <c r="S3195" s="848"/>
      <c r="T3195" s="848"/>
      <c r="U3195" s="848"/>
      <c r="V3195" s="1296"/>
      <c r="W3195" s="848"/>
      <c r="X3195" s="848"/>
      <c r="Y3195" s="1295"/>
      <c r="Z3195" s="1296"/>
      <c r="AA3195" s="1295"/>
      <c r="AB3195" s="1296"/>
      <c r="AC3195" s="1295"/>
      <c r="AD3195" s="1295"/>
      <c r="AE3195" s="2556"/>
      <c r="AF3195" s="750"/>
      <c r="AG3195" s="750"/>
      <c r="AH3195" s="750"/>
      <c r="AI3195" s="750"/>
      <c r="AJ3195" s="750"/>
      <c r="AK3195" s="750"/>
      <c r="AL3195" s="750"/>
      <c r="AM3195" s="750"/>
      <c r="AN3195" s="750"/>
      <c r="AO3195" s="750"/>
      <c r="AP3195" s="750"/>
      <c r="AQ3195" s="750"/>
      <c r="AR3195" s="750"/>
      <c r="AS3195" s="750"/>
      <c r="AT3195" s="750"/>
      <c r="AU3195" s="750"/>
      <c r="AV3195" s="750"/>
      <c r="AW3195" s="750"/>
      <c r="AX3195" s="750"/>
      <c r="AY3195" s="750"/>
      <c r="AZ3195" s="750"/>
      <c r="BA3195" s="750"/>
      <c r="BB3195" s="750"/>
      <c r="BC3195" s="750"/>
      <c r="BD3195" s="750"/>
      <c r="BE3195" s="750"/>
      <c r="BF3195" s="750"/>
      <c r="BG3195" s="750"/>
      <c r="BH3195" s="750"/>
      <c r="BI3195" s="750"/>
      <c r="BJ3195" s="750"/>
      <c r="BK3195" s="750"/>
      <c r="BL3195" s="750"/>
      <c r="BM3195" s="750"/>
      <c r="BN3195" s="750"/>
      <c r="BO3195" s="750"/>
      <c r="BP3195" s="750"/>
      <c r="BQ3195" s="750"/>
    </row>
    <row r="3196" spans="3:69">
      <c r="C3196" s="853"/>
      <c r="D3196" s="853"/>
      <c r="E3196" s="853"/>
      <c r="F3196" s="853"/>
      <c r="G3196" s="853"/>
      <c r="H3196" s="853"/>
      <c r="I3196" s="848"/>
      <c r="J3196" s="848"/>
      <c r="K3196" s="1295"/>
      <c r="L3196" s="1295"/>
      <c r="M3196" s="1295"/>
      <c r="N3196" s="1295"/>
      <c r="O3196" s="1295"/>
      <c r="P3196" s="853"/>
      <c r="Q3196" s="1295"/>
      <c r="R3196" s="848"/>
      <c r="S3196" s="848"/>
      <c r="T3196" s="848"/>
      <c r="U3196" s="848"/>
      <c r="V3196" s="1296"/>
      <c r="W3196" s="848"/>
      <c r="X3196" s="848"/>
      <c r="Y3196" s="1295"/>
      <c r="Z3196" s="1296"/>
      <c r="AA3196" s="1295"/>
      <c r="AB3196" s="1296"/>
      <c r="AC3196" s="1295"/>
      <c r="AD3196" s="1295"/>
      <c r="AE3196" s="2556"/>
      <c r="AF3196" s="750"/>
      <c r="AG3196" s="750"/>
      <c r="AH3196" s="750"/>
      <c r="AI3196" s="750"/>
      <c r="AJ3196" s="750"/>
      <c r="AK3196" s="750"/>
      <c r="AL3196" s="750"/>
      <c r="AM3196" s="750"/>
      <c r="AN3196" s="750"/>
      <c r="AO3196" s="750"/>
      <c r="AP3196" s="750"/>
      <c r="AQ3196" s="750"/>
      <c r="AR3196" s="750"/>
      <c r="AS3196" s="750"/>
      <c r="AT3196" s="750"/>
      <c r="AU3196" s="750"/>
      <c r="AV3196" s="750"/>
      <c r="AW3196" s="750"/>
      <c r="AX3196" s="750"/>
      <c r="AY3196" s="750"/>
      <c r="AZ3196" s="750"/>
      <c r="BA3196" s="750"/>
      <c r="BB3196" s="750"/>
      <c r="BC3196" s="750"/>
      <c r="BD3196" s="750"/>
      <c r="BE3196" s="750"/>
      <c r="BF3196" s="750"/>
      <c r="BG3196" s="750"/>
      <c r="BH3196" s="750"/>
      <c r="BI3196" s="750"/>
      <c r="BJ3196" s="750"/>
      <c r="BK3196" s="750"/>
      <c r="BL3196" s="750"/>
      <c r="BM3196" s="750"/>
      <c r="BN3196" s="750"/>
      <c r="BO3196" s="750"/>
      <c r="BP3196" s="750"/>
      <c r="BQ3196" s="750"/>
    </row>
    <row r="3197" spans="3:69">
      <c r="C3197" s="853"/>
      <c r="D3197" s="853"/>
      <c r="E3197" s="853"/>
      <c r="F3197" s="853"/>
      <c r="G3197" s="853"/>
      <c r="H3197" s="853"/>
      <c r="I3197" s="848"/>
      <c r="J3197" s="848"/>
      <c r="K3197" s="1295"/>
      <c r="L3197" s="1295"/>
      <c r="M3197" s="1295"/>
      <c r="N3197" s="1295"/>
      <c r="O3197" s="1295"/>
      <c r="P3197" s="853"/>
      <c r="Q3197" s="1295"/>
      <c r="R3197" s="848"/>
      <c r="S3197" s="848"/>
      <c r="T3197" s="848"/>
      <c r="U3197" s="848"/>
      <c r="V3197" s="1296"/>
      <c r="W3197" s="848"/>
      <c r="X3197" s="848"/>
      <c r="Y3197" s="1295"/>
      <c r="Z3197" s="1296"/>
      <c r="AA3197" s="1295"/>
      <c r="AB3197" s="1296"/>
      <c r="AC3197" s="1295"/>
      <c r="AD3197" s="1295"/>
      <c r="AE3197" s="2556"/>
      <c r="AF3197" s="750"/>
      <c r="AG3197" s="750"/>
      <c r="AH3197" s="750"/>
      <c r="AI3197" s="750"/>
      <c r="AJ3197" s="750"/>
      <c r="AK3197" s="750"/>
      <c r="AL3197" s="750"/>
      <c r="AM3197" s="750"/>
      <c r="AN3197" s="750"/>
      <c r="AO3197" s="750"/>
      <c r="AP3197" s="750"/>
      <c r="AQ3197" s="750"/>
      <c r="AR3197" s="750"/>
      <c r="AS3197" s="750"/>
      <c r="AT3197" s="750"/>
      <c r="AU3197" s="750"/>
      <c r="AV3197" s="750"/>
      <c r="AW3197" s="750"/>
      <c r="AX3197" s="750"/>
      <c r="AY3197" s="750"/>
      <c r="AZ3197" s="750"/>
      <c r="BA3197" s="750"/>
      <c r="BB3197" s="750"/>
      <c r="BC3197" s="750"/>
      <c r="BD3197" s="750"/>
      <c r="BE3197" s="750"/>
      <c r="BF3197" s="750"/>
      <c r="BG3197" s="750"/>
      <c r="BH3197" s="750"/>
      <c r="BI3197" s="750"/>
      <c r="BJ3197" s="750"/>
      <c r="BK3197" s="750"/>
      <c r="BL3197" s="750"/>
      <c r="BM3197" s="750"/>
      <c r="BN3197" s="750"/>
      <c r="BO3197" s="750"/>
      <c r="BP3197" s="750"/>
      <c r="BQ3197" s="750"/>
    </row>
    <row r="3198" spans="3:69">
      <c r="C3198" s="853"/>
      <c r="D3198" s="853"/>
      <c r="E3198" s="853"/>
      <c r="F3198" s="853"/>
      <c r="G3198" s="853"/>
      <c r="H3198" s="853"/>
      <c r="I3198" s="848"/>
      <c r="J3198" s="848"/>
      <c r="K3198" s="1295"/>
      <c r="L3198" s="1295"/>
      <c r="M3198" s="1295"/>
      <c r="N3198" s="1295"/>
      <c r="O3198" s="1295"/>
      <c r="P3198" s="853"/>
      <c r="Q3198" s="1295"/>
      <c r="R3198" s="848"/>
      <c r="S3198" s="848"/>
      <c r="T3198" s="848"/>
      <c r="U3198" s="848"/>
      <c r="V3198" s="1296"/>
      <c r="W3198" s="848"/>
      <c r="X3198" s="848"/>
      <c r="Y3198" s="1295"/>
      <c r="Z3198" s="1296"/>
      <c r="AA3198" s="1295"/>
      <c r="AB3198" s="1296"/>
      <c r="AC3198" s="1295"/>
      <c r="AD3198" s="1295"/>
      <c r="AE3198" s="2556"/>
      <c r="AF3198" s="750"/>
      <c r="AG3198" s="750"/>
      <c r="AH3198" s="750"/>
      <c r="AI3198" s="750"/>
      <c r="AJ3198" s="750"/>
      <c r="AK3198" s="750"/>
      <c r="AL3198" s="750"/>
      <c r="AM3198" s="750"/>
      <c r="AN3198" s="750"/>
      <c r="AO3198" s="750"/>
      <c r="AP3198" s="750"/>
      <c r="AQ3198" s="750"/>
      <c r="AR3198" s="750"/>
      <c r="AS3198" s="750"/>
      <c r="AT3198" s="750"/>
      <c r="AU3198" s="750"/>
      <c r="AV3198" s="750"/>
      <c r="AW3198" s="750"/>
      <c r="AX3198" s="750"/>
      <c r="AY3198" s="750"/>
      <c r="AZ3198" s="750"/>
      <c r="BA3198" s="750"/>
      <c r="BB3198" s="750"/>
      <c r="BC3198" s="750"/>
      <c r="BD3198" s="750"/>
      <c r="BE3198" s="750"/>
      <c r="BF3198" s="750"/>
      <c r="BG3198" s="750"/>
      <c r="BH3198" s="750"/>
      <c r="BI3198" s="750"/>
      <c r="BJ3198" s="750"/>
      <c r="BK3198" s="750"/>
      <c r="BL3198" s="750"/>
      <c r="BM3198" s="750"/>
      <c r="BN3198" s="750"/>
      <c r="BO3198" s="750"/>
      <c r="BP3198" s="750"/>
      <c r="BQ3198" s="750"/>
    </row>
    <row r="3199" spans="3:69">
      <c r="C3199" s="853"/>
      <c r="D3199" s="853"/>
      <c r="E3199" s="853"/>
      <c r="F3199" s="853"/>
      <c r="G3199" s="853"/>
      <c r="H3199" s="853"/>
      <c r="I3199" s="848"/>
      <c r="J3199" s="848"/>
      <c r="K3199" s="1295"/>
      <c r="L3199" s="1295"/>
      <c r="M3199" s="1295"/>
      <c r="N3199" s="1295"/>
      <c r="O3199" s="1295"/>
      <c r="P3199" s="853"/>
      <c r="Q3199" s="1295"/>
      <c r="R3199" s="848"/>
      <c r="S3199" s="848"/>
      <c r="T3199" s="848"/>
      <c r="U3199" s="848"/>
      <c r="V3199" s="1296"/>
      <c r="W3199" s="848"/>
      <c r="X3199" s="848"/>
      <c r="Y3199" s="1295"/>
      <c r="Z3199" s="1296"/>
      <c r="AA3199" s="1295"/>
      <c r="AB3199" s="1296"/>
      <c r="AC3199" s="1295"/>
      <c r="AD3199" s="1295"/>
      <c r="AE3199" s="2556"/>
      <c r="AF3199" s="750"/>
      <c r="AG3199" s="750"/>
      <c r="AH3199" s="750"/>
      <c r="AI3199" s="750"/>
      <c r="AJ3199" s="750"/>
      <c r="AK3199" s="750"/>
      <c r="AL3199" s="750"/>
      <c r="AM3199" s="750"/>
      <c r="AN3199" s="750"/>
      <c r="AO3199" s="750"/>
      <c r="AP3199" s="750"/>
      <c r="AQ3199" s="750"/>
      <c r="AR3199" s="750"/>
      <c r="AS3199" s="750"/>
      <c r="AT3199" s="750"/>
      <c r="AU3199" s="750"/>
      <c r="AV3199" s="750"/>
      <c r="AW3199" s="750"/>
      <c r="AX3199" s="750"/>
      <c r="AY3199" s="750"/>
      <c r="AZ3199" s="750"/>
      <c r="BA3199" s="750"/>
      <c r="BB3199" s="750"/>
      <c r="BC3199" s="750"/>
      <c r="BD3199" s="750"/>
      <c r="BE3199" s="750"/>
      <c r="BF3199" s="750"/>
      <c r="BG3199" s="750"/>
      <c r="BH3199" s="750"/>
      <c r="BI3199" s="750"/>
      <c r="BJ3199" s="750"/>
      <c r="BK3199" s="750"/>
      <c r="BL3199" s="750"/>
      <c r="BM3199" s="750"/>
      <c r="BN3199" s="750"/>
      <c r="BO3199" s="750"/>
      <c r="BP3199" s="750"/>
      <c r="BQ3199" s="750"/>
    </row>
    <row r="3200" spans="3:69">
      <c r="C3200" s="853"/>
      <c r="D3200" s="853"/>
      <c r="E3200" s="853"/>
      <c r="F3200" s="853"/>
      <c r="G3200" s="853"/>
      <c r="H3200" s="853"/>
      <c r="I3200" s="848"/>
      <c r="J3200" s="848"/>
      <c r="K3200" s="1295"/>
      <c r="L3200" s="1295"/>
      <c r="M3200" s="1295"/>
      <c r="N3200" s="1295"/>
      <c r="O3200" s="1295"/>
      <c r="P3200" s="853"/>
      <c r="Q3200" s="1295"/>
      <c r="R3200" s="848"/>
      <c r="S3200" s="848"/>
      <c r="T3200" s="848"/>
      <c r="U3200" s="848"/>
      <c r="V3200" s="1296"/>
      <c r="W3200" s="848"/>
      <c r="X3200" s="848"/>
      <c r="Y3200" s="1295"/>
      <c r="Z3200" s="1296"/>
      <c r="AA3200" s="1295"/>
      <c r="AB3200" s="1296"/>
      <c r="AC3200" s="1295"/>
      <c r="AD3200" s="1295"/>
      <c r="AE3200" s="2556"/>
      <c r="AF3200" s="750"/>
      <c r="AG3200" s="750"/>
      <c r="AH3200" s="750"/>
      <c r="AI3200" s="750"/>
      <c r="AJ3200" s="750"/>
      <c r="AK3200" s="750"/>
      <c r="AL3200" s="750"/>
      <c r="AM3200" s="750"/>
      <c r="AN3200" s="750"/>
      <c r="AO3200" s="750"/>
      <c r="AP3200" s="750"/>
      <c r="AQ3200" s="750"/>
      <c r="AR3200" s="750"/>
      <c r="AS3200" s="750"/>
      <c r="AT3200" s="750"/>
      <c r="AU3200" s="750"/>
      <c r="AV3200" s="750"/>
      <c r="AW3200" s="750"/>
      <c r="AX3200" s="750"/>
      <c r="AY3200" s="750"/>
      <c r="AZ3200" s="750"/>
      <c r="BA3200" s="750"/>
      <c r="BB3200" s="750"/>
      <c r="BC3200" s="750"/>
      <c r="BD3200" s="750"/>
      <c r="BE3200" s="750"/>
      <c r="BF3200" s="750"/>
      <c r="BG3200" s="750"/>
      <c r="BH3200" s="750"/>
      <c r="BI3200" s="750"/>
      <c r="BJ3200" s="750"/>
      <c r="BK3200" s="750"/>
      <c r="BL3200" s="750"/>
      <c r="BM3200" s="750"/>
      <c r="BN3200" s="750"/>
      <c r="BO3200" s="750"/>
      <c r="BP3200" s="750"/>
      <c r="BQ3200" s="750"/>
    </row>
    <row r="3201" spans="3:69">
      <c r="C3201" s="853"/>
      <c r="D3201" s="853"/>
      <c r="E3201" s="853"/>
      <c r="F3201" s="853"/>
      <c r="G3201" s="853"/>
      <c r="H3201" s="853"/>
      <c r="I3201" s="848"/>
      <c r="J3201" s="848"/>
      <c r="K3201" s="1295"/>
      <c r="L3201" s="1295"/>
      <c r="M3201" s="1295"/>
      <c r="N3201" s="1295"/>
      <c r="O3201" s="1295"/>
      <c r="P3201" s="853"/>
      <c r="Q3201" s="1295"/>
      <c r="R3201" s="848"/>
      <c r="S3201" s="848"/>
      <c r="T3201" s="848"/>
      <c r="U3201" s="848"/>
      <c r="V3201" s="1296"/>
      <c r="W3201" s="848"/>
      <c r="X3201" s="848"/>
      <c r="Y3201" s="1295"/>
      <c r="Z3201" s="1296"/>
      <c r="AA3201" s="1295"/>
      <c r="AB3201" s="1296"/>
      <c r="AC3201" s="1295"/>
      <c r="AD3201" s="1295"/>
      <c r="AE3201" s="2556"/>
      <c r="AF3201" s="750"/>
      <c r="AG3201" s="750"/>
      <c r="AH3201" s="750"/>
      <c r="AI3201" s="750"/>
      <c r="AJ3201" s="750"/>
      <c r="AK3201" s="750"/>
      <c r="AL3201" s="750"/>
      <c r="AM3201" s="750"/>
      <c r="AN3201" s="750"/>
      <c r="AO3201" s="750"/>
      <c r="AP3201" s="750"/>
      <c r="AQ3201" s="750"/>
      <c r="AR3201" s="750"/>
      <c r="AS3201" s="750"/>
      <c r="AT3201" s="750"/>
      <c r="AU3201" s="750"/>
      <c r="AV3201" s="750"/>
      <c r="AW3201" s="750"/>
      <c r="AX3201" s="750"/>
      <c r="AY3201" s="750"/>
      <c r="AZ3201" s="750"/>
      <c r="BA3201" s="750"/>
      <c r="BB3201" s="750"/>
      <c r="BC3201" s="750"/>
      <c r="BD3201" s="750"/>
      <c r="BE3201" s="750"/>
      <c r="BF3201" s="750"/>
      <c r="BG3201" s="750"/>
      <c r="BH3201" s="750"/>
      <c r="BI3201" s="750"/>
      <c r="BJ3201" s="750"/>
      <c r="BK3201" s="750"/>
      <c r="BL3201" s="750"/>
      <c r="BM3201" s="750"/>
      <c r="BN3201" s="750"/>
      <c r="BO3201" s="750"/>
      <c r="BP3201" s="750"/>
      <c r="BQ3201" s="750"/>
    </row>
    <row r="3202" spans="3:69">
      <c r="C3202" s="853"/>
      <c r="D3202" s="853"/>
      <c r="E3202" s="853"/>
      <c r="F3202" s="853"/>
      <c r="G3202" s="853"/>
      <c r="H3202" s="853"/>
      <c r="I3202" s="848"/>
      <c r="J3202" s="848"/>
      <c r="K3202" s="1295"/>
      <c r="L3202" s="1295"/>
      <c r="M3202" s="1295"/>
      <c r="N3202" s="1295"/>
      <c r="O3202" s="1295"/>
      <c r="P3202" s="853"/>
      <c r="Q3202" s="1295"/>
      <c r="R3202" s="848"/>
      <c r="S3202" s="848"/>
      <c r="T3202" s="848"/>
      <c r="U3202" s="848"/>
      <c r="V3202" s="1296"/>
      <c r="W3202" s="848"/>
      <c r="X3202" s="848"/>
      <c r="Y3202" s="1295"/>
      <c r="Z3202" s="1296"/>
      <c r="AA3202" s="1295"/>
      <c r="AB3202" s="1296"/>
      <c r="AC3202" s="1295"/>
      <c r="AD3202" s="1295"/>
      <c r="AE3202" s="2556"/>
      <c r="AF3202" s="750"/>
      <c r="AG3202" s="750"/>
      <c r="AH3202" s="750"/>
      <c r="AI3202" s="750"/>
      <c r="AJ3202" s="750"/>
      <c r="AK3202" s="750"/>
      <c r="AL3202" s="750"/>
      <c r="AM3202" s="750"/>
      <c r="AN3202" s="750"/>
      <c r="AO3202" s="750"/>
      <c r="AP3202" s="750"/>
      <c r="AQ3202" s="750"/>
      <c r="AR3202" s="750"/>
      <c r="AS3202" s="750"/>
      <c r="AT3202" s="750"/>
      <c r="AU3202" s="750"/>
      <c r="AV3202" s="750"/>
      <c r="AW3202" s="750"/>
      <c r="AX3202" s="750"/>
      <c r="AY3202" s="750"/>
      <c r="AZ3202" s="750"/>
      <c r="BA3202" s="750"/>
      <c r="BB3202" s="750"/>
      <c r="BC3202" s="750"/>
      <c r="BD3202" s="750"/>
      <c r="BE3202" s="750"/>
      <c r="BF3202" s="750"/>
      <c r="BG3202" s="750"/>
      <c r="BH3202" s="750"/>
      <c r="BI3202" s="750"/>
      <c r="BJ3202" s="750"/>
      <c r="BK3202" s="750"/>
      <c r="BL3202" s="750"/>
      <c r="BM3202" s="750"/>
      <c r="BN3202" s="750"/>
      <c r="BO3202" s="750"/>
      <c r="BP3202" s="750"/>
      <c r="BQ3202" s="750"/>
    </row>
    <row r="3203" spans="3:69">
      <c r="C3203" s="853"/>
      <c r="D3203" s="853"/>
      <c r="E3203" s="853"/>
      <c r="F3203" s="853"/>
      <c r="G3203" s="853"/>
      <c r="H3203" s="853"/>
      <c r="I3203" s="848"/>
      <c r="J3203" s="848"/>
      <c r="K3203" s="1295"/>
      <c r="L3203" s="1295"/>
      <c r="M3203" s="1295"/>
      <c r="N3203" s="1295"/>
      <c r="O3203" s="1295"/>
      <c r="P3203" s="853"/>
      <c r="Q3203" s="1295"/>
      <c r="R3203" s="848"/>
      <c r="S3203" s="848"/>
      <c r="T3203" s="848"/>
      <c r="U3203" s="848"/>
      <c r="V3203" s="1296"/>
      <c r="W3203" s="848"/>
      <c r="X3203" s="848"/>
      <c r="Y3203" s="1295"/>
      <c r="Z3203" s="1296"/>
      <c r="AA3203" s="1295"/>
      <c r="AB3203" s="1296"/>
      <c r="AC3203" s="1295"/>
      <c r="AD3203" s="1295"/>
      <c r="AE3203" s="2556"/>
      <c r="AF3203" s="750"/>
      <c r="AG3203" s="750"/>
      <c r="AH3203" s="750"/>
      <c r="AI3203" s="750"/>
      <c r="AJ3203" s="750"/>
      <c r="AK3203" s="750"/>
      <c r="AL3203" s="750"/>
      <c r="AM3203" s="750"/>
      <c r="AN3203" s="750"/>
      <c r="AO3203" s="750"/>
      <c r="AP3203" s="750"/>
      <c r="AQ3203" s="750"/>
      <c r="AR3203" s="750"/>
      <c r="AS3203" s="750"/>
      <c r="AT3203" s="750"/>
      <c r="AU3203" s="750"/>
      <c r="AV3203" s="750"/>
      <c r="AW3203" s="750"/>
      <c r="AX3203" s="750"/>
      <c r="AY3203" s="750"/>
      <c r="AZ3203" s="750"/>
      <c r="BA3203" s="750"/>
      <c r="BB3203" s="750"/>
      <c r="BC3203" s="750"/>
      <c r="BD3203" s="750"/>
      <c r="BE3203" s="750"/>
      <c r="BF3203" s="750"/>
      <c r="BG3203" s="750"/>
      <c r="BH3203" s="750"/>
      <c r="BI3203" s="750"/>
      <c r="BJ3203" s="750"/>
      <c r="BK3203" s="750"/>
      <c r="BL3203" s="750"/>
      <c r="BM3203" s="750"/>
      <c r="BN3203" s="750"/>
      <c r="BO3203" s="750"/>
      <c r="BP3203" s="750"/>
      <c r="BQ3203" s="750"/>
    </row>
    <row r="3204" spans="3:69">
      <c r="C3204" s="853"/>
      <c r="D3204" s="853"/>
      <c r="E3204" s="853"/>
      <c r="F3204" s="853"/>
      <c r="G3204" s="853"/>
      <c r="H3204" s="853"/>
      <c r="I3204" s="848"/>
      <c r="J3204" s="848"/>
      <c r="K3204" s="1295"/>
      <c r="L3204" s="1295"/>
      <c r="M3204" s="1295"/>
      <c r="N3204" s="1295"/>
      <c r="O3204" s="1295"/>
      <c r="P3204" s="853"/>
      <c r="Q3204" s="1295"/>
      <c r="R3204" s="848"/>
      <c r="S3204" s="848"/>
      <c r="T3204" s="848"/>
      <c r="U3204" s="848"/>
      <c r="V3204" s="1296"/>
      <c r="W3204" s="848"/>
      <c r="X3204" s="848"/>
      <c r="Y3204" s="1295"/>
      <c r="Z3204" s="1296"/>
      <c r="AA3204" s="1295"/>
      <c r="AB3204" s="1296"/>
      <c r="AC3204" s="1295"/>
      <c r="AD3204" s="1295"/>
      <c r="AE3204" s="2556"/>
      <c r="AF3204" s="750"/>
      <c r="AG3204" s="750"/>
      <c r="AH3204" s="750"/>
      <c r="AI3204" s="750"/>
      <c r="AJ3204" s="750"/>
      <c r="AK3204" s="750"/>
      <c r="AL3204" s="750"/>
      <c r="AM3204" s="750"/>
      <c r="AN3204" s="750"/>
      <c r="AO3204" s="750"/>
      <c r="AP3204" s="750"/>
      <c r="AQ3204" s="750"/>
      <c r="AR3204" s="750"/>
      <c r="AS3204" s="750"/>
      <c r="AT3204" s="750"/>
      <c r="AU3204" s="750"/>
      <c r="AV3204" s="750"/>
      <c r="AW3204" s="750"/>
      <c r="AX3204" s="750"/>
      <c r="AY3204" s="750"/>
      <c r="AZ3204" s="750"/>
      <c r="BA3204" s="750"/>
      <c r="BB3204" s="750"/>
      <c r="BC3204" s="750"/>
      <c r="BD3204" s="750"/>
      <c r="BE3204" s="750"/>
      <c r="BF3204" s="750"/>
      <c r="BG3204" s="750"/>
      <c r="BH3204" s="750"/>
      <c r="BI3204" s="750"/>
      <c r="BJ3204" s="750"/>
      <c r="BK3204" s="750"/>
      <c r="BL3204" s="750"/>
      <c r="BM3204" s="750"/>
      <c r="BN3204" s="750"/>
      <c r="BO3204" s="750"/>
      <c r="BP3204" s="750"/>
      <c r="BQ3204" s="750"/>
    </row>
    <row r="3205" spans="3:69">
      <c r="C3205" s="853"/>
      <c r="D3205" s="853"/>
      <c r="E3205" s="853"/>
      <c r="F3205" s="853"/>
      <c r="G3205" s="853"/>
      <c r="H3205" s="853"/>
      <c r="I3205" s="848"/>
      <c r="J3205" s="848"/>
      <c r="K3205" s="1295"/>
      <c r="L3205" s="1295"/>
      <c r="M3205" s="1295"/>
      <c r="N3205" s="1295"/>
      <c r="O3205" s="1295"/>
      <c r="P3205" s="853"/>
      <c r="Q3205" s="1295"/>
      <c r="R3205" s="848"/>
      <c r="S3205" s="848"/>
      <c r="T3205" s="848"/>
      <c r="U3205" s="848"/>
      <c r="V3205" s="1296"/>
      <c r="W3205" s="848"/>
      <c r="X3205" s="848"/>
      <c r="Y3205" s="1295"/>
      <c r="Z3205" s="1296"/>
      <c r="AA3205" s="1295"/>
      <c r="AB3205" s="1296"/>
      <c r="AC3205" s="1295"/>
      <c r="AD3205" s="1295"/>
      <c r="AE3205" s="2556"/>
      <c r="AF3205" s="750"/>
      <c r="AG3205" s="750"/>
      <c r="AH3205" s="750"/>
      <c r="AI3205" s="750"/>
      <c r="AJ3205" s="750"/>
      <c r="AK3205" s="750"/>
      <c r="AL3205" s="750"/>
      <c r="AM3205" s="750"/>
      <c r="AN3205" s="750"/>
      <c r="AO3205" s="750"/>
      <c r="AP3205" s="750"/>
      <c r="AQ3205" s="750"/>
      <c r="AR3205" s="750"/>
      <c r="AS3205" s="750"/>
      <c r="AT3205" s="750"/>
      <c r="AU3205" s="750"/>
      <c r="AV3205" s="750"/>
      <c r="AW3205" s="750"/>
      <c r="AX3205" s="750"/>
      <c r="AY3205" s="750"/>
      <c r="AZ3205" s="750"/>
      <c r="BA3205" s="750"/>
      <c r="BB3205" s="750"/>
      <c r="BC3205" s="750"/>
      <c r="BD3205" s="750"/>
      <c r="BE3205" s="750"/>
      <c r="BF3205" s="750"/>
      <c r="BG3205" s="750"/>
      <c r="BH3205" s="750"/>
      <c r="BI3205" s="750"/>
      <c r="BJ3205" s="750"/>
      <c r="BK3205" s="750"/>
      <c r="BL3205" s="750"/>
      <c r="BM3205" s="750"/>
      <c r="BN3205" s="750"/>
      <c r="BO3205" s="750"/>
      <c r="BP3205" s="750"/>
      <c r="BQ3205" s="750"/>
    </row>
    <row r="3206" spans="3:69">
      <c r="C3206" s="853"/>
      <c r="D3206" s="853"/>
      <c r="E3206" s="853"/>
      <c r="F3206" s="853"/>
      <c r="G3206" s="853"/>
      <c r="H3206" s="853"/>
      <c r="I3206" s="848"/>
      <c r="J3206" s="848"/>
      <c r="K3206" s="1295"/>
      <c r="L3206" s="1295"/>
      <c r="M3206" s="1295"/>
      <c r="N3206" s="1295"/>
      <c r="O3206" s="1295"/>
      <c r="P3206" s="853"/>
      <c r="Q3206" s="1295"/>
      <c r="R3206" s="848"/>
      <c r="S3206" s="848"/>
      <c r="T3206" s="848"/>
      <c r="U3206" s="848"/>
      <c r="V3206" s="1296"/>
      <c r="W3206" s="848"/>
      <c r="X3206" s="848"/>
      <c r="Y3206" s="1295"/>
      <c r="Z3206" s="1296"/>
      <c r="AA3206" s="1295"/>
      <c r="AB3206" s="1296"/>
      <c r="AC3206" s="1295"/>
      <c r="AD3206" s="1295"/>
      <c r="AE3206" s="2556"/>
      <c r="AF3206" s="750"/>
      <c r="AG3206" s="750"/>
      <c r="AH3206" s="750"/>
      <c r="AI3206" s="750"/>
      <c r="AJ3206" s="750"/>
      <c r="AK3206" s="750"/>
      <c r="AL3206" s="750"/>
      <c r="AM3206" s="750"/>
      <c r="AN3206" s="750"/>
      <c r="AO3206" s="750"/>
      <c r="AP3206" s="750"/>
      <c r="AQ3206" s="750"/>
      <c r="AR3206" s="750"/>
      <c r="AS3206" s="750"/>
      <c r="AT3206" s="750"/>
      <c r="AU3206" s="750"/>
      <c r="AV3206" s="750"/>
      <c r="AW3206" s="750"/>
      <c r="AX3206" s="750"/>
      <c r="AY3206" s="750"/>
      <c r="AZ3206" s="750"/>
      <c r="BA3206" s="750"/>
      <c r="BB3206" s="750"/>
      <c r="BC3206" s="750"/>
      <c r="BD3206" s="750"/>
      <c r="BE3206" s="750"/>
      <c r="BF3206" s="750"/>
      <c r="BG3206" s="750"/>
      <c r="BH3206" s="750"/>
      <c r="BI3206" s="750"/>
      <c r="BJ3206" s="750"/>
      <c r="BK3206" s="750"/>
      <c r="BL3206" s="750"/>
      <c r="BM3206" s="750"/>
      <c r="BN3206" s="750"/>
      <c r="BO3206" s="750"/>
      <c r="BP3206" s="750"/>
      <c r="BQ3206" s="750"/>
    </row>
    <row r="3207" spans="3:69">
      <c r="C3207" s="853"/>
      <c r="D3207" s="853"/>
      <c r="E3207" s="853"/>
      <c r="F3207" s="853"/>
      <c r="G3207" s="853"/>
      <c r="H3207" s="853"/>
      <c r="I3207" s="848"/>
      <c r="J3207" s="848"/>
      <c r="K3207" s="1295"/>
      <c r="L3207" s="1295"/>
      <c r="M3207" s="1295"/>
      <c r="N3207" s="1295"/>
      <c r="O3207" s="1295"/>
      <c r="P3207" s="853"/>
      <c r="Q3207" s="1295"/>
      <c r="R3207" s="848"/>
      <c r="S3207" s="848"/>
      <c r="T3207" s="848"/>
      <c r="U3207" s="848"/>
      <c r="V3207" s="1296"/>
      <c r="W3207" s="848"/>
      <c r="X3207" s="848"/>
      <c r="Y3207" s="1295"/>
      <c r="Z3207" s="1296"/>
      <c r="AA3207" s="1295"/>
      <c r="AB3207" s="1296"/>
      <c r="AC3207" s="1295"/>
      <c r="AD3207" s="1295"/>
      <c r="AE3207" s="2556"/>
      <c r="AF3207" s="750"/>
      <c r="AG3207" s="750"/>
      <c r="AH3207" s="750"/>
      <c r="AI3207" s="750"/>
      <c r="AJ3207" s="750"/>
      <c r="AK3207" s="750"/>
      <c r="AL3207" s="750"/>
      <c r="AM3207" s="750"/>
      <c r="AN3207" s="750"/>
      <c r="AO3207" s="750"/>
      <c r="AP3207" s="750"/>
      <c r="AQ3207" s="750"/>
      <c r="AR3207" s="750"/>
      <c r="AS3207" s="750"/>
      <c r="AT3207" s="750"/>
      <c r="AU3207" s="750"/>
      <c r="AV3207" s="750"/>
      <c r="AW3207" s="750"/>
      <c r="AX3207" s="750"/>
      <c r="AY3207" s="750"/>
      <c r="AZ3207" s="750"/>
      <c r="BA3207" s="750"/>
      <c r="BB3207" s="750"/>
      <c r="BC3207" s="750"/>
      <c r="BD3207" s="750"/>
      <c r="BE3207" s="750"/>
      <c r="BF3207" s="750"/>
      <c r="BG3207" s="750"/>
      <c r="BH3207" s="750"/>
      <c r="BI3207" s="750"/>
      <c r="BJ3207" s="750"/>
      <c r="BK3207" s="750"/>
      <c r="BL3207" s="750"/>
      <c r="BM3207" s="750"/>
      <c r="BN3207" s="750"/>
      <c r="BO3207" s="750"/>
      <c r="BP3207" s="750"/>
      <c r="BQ3207" s="750"/>
    </row>
    <row r="3208" spans="3:69">
      <c r="C3208" s="853"/>
      <c r="D3208" s="853"/>
      <c r="E3208" s="853"/>
      <c r="F3208" s="853"/>
      <c r="G3208" s="853"/>
      <c r="H3208" s="853"/>
      <c r="I3208" s="848"/>
      <c r="J3208" s="848"/>
      <c r="K3208" s="1295"/>
      <c r="L3208" s="1295"/>
      <c r="M3208" s="1295"/>
      <c r="N3208" s="1295"/>
      <c r="O3208" s="1295"/>
      <c r="P3208" s="853"/>
      <c r="Q3208" s="1295"/>
      <c r="R3208" s="848"/>
      <c r="S3208" s="848"/>
      <c r="T3208" s="848"/>
      <c r="U3208" s="848"/>
      <c r="V3208" s="1296"/>
      <c r="W3208" s="848"/>
      <c r="X3208" s="848"/>
      <c r="Y3208" s="1295"/>
      <c r="Z3208" s="1296"/>
      <c r="AA3208" s="1295"/>
      <c r="AB3208" s="1296"/>
      <c r="AC3208" s="1295"/>
      <c r="AD3208" s="1295"/>
      <c r="AE3208" s="2556"/>
      <c r="AF3208" s="750"/>
      <c r="AG3208" s="750"/>
      <c r="AH3208" s="750"/>
      <c r="AI3208" s="750"/>
      <c r="AJ3208" s="750"/>
      <c r="AK3208" s="750"/>
      <c r="AL3208" s="750"/>
      <c r="AM3208" s="750"/>
      <c r="AN3208" s="750"/>
      <c r="AO3208" s="750"/>
      <c r="AP3208" s="750"/>
      <c r="AQ3208" s="750"/>
      <c r="AR3208" s="750"/>
      <c r="AS3208" s="750"/>
      <c r="AT3208" s="750"/>
      <c r="AU3208" s="750"/>
      <c r="AV3208" s="750"/>
      <c r="AW3208" s="750"/>
      <c r="AX3208" s="750"/>
      <c r="AY3208" s="750"/>
      <c r="AZ3208" s="750"/>
      <c r="BA3208" s="750"/>
      <c r="BB3208" s="750"/>
      <c r="BC3208" s="750"/>
      <c r="BD3208" s="750"/>
      <c r="BE3208" s="750"/>
      <c r="BF3208" s="750"/>
      <c r="BG3208" s="750"/>
      <c r="BH3208" s="750"/>
      <c r="BI3208" s="750"/>
      <c r="BJ3208" s="750"/>
      <c r="BK3208" s="750"/>
      <c r="BL3208" s="750"/>
      <c r="BM3208" s="750"/>
      <c r="BN3208" s="750"/>
      <c r="BO3208" s="750"/>
      <c r="BP3208" s="750"/>
      <c r="BQ3208" s="750"/>
    </row>
    <row r="3209" spans="3:69">
      <c r="C3209" s="853"/>
      <c r="D3209" s="853"/>
      <c r="E3209" s="853"/>
      <c r="F3209" s="853"/>
      <c r="G3209" s="853"/>
      <c r="H3209" s="853"/>
      <c r="I3209" s="848"/>
      <c r="J3209" s="848"/>
      <c r="K3209" s="1295"/>
      <c r="L3209" s="1295"/>
      <c r="M3209" s="1295"/>
      <c r="N3209" s="1295"/>
      <c r="O3209" s="1295"/>
      <c r="P3209" s="853"/>
      <c r="Q3209" s="1295"/>
      <c r="R3209" s="848"/>
      <c r="S3209" s="848"/>
      <c r="T3209" s="848"/>
      <c r="U3209" s="848"/>
      <c r="V3209" s="1296"/>
      <c r="W3209" s="848"/>
      <c r="X3209" s="848"/>
      <c r="Y3209" s="1295"/>
      <c r="Z3209" s="1296"/>
      <c r="AA3209" s="1295"/>
      <c r="AB3209" s="1296"/>
      <c r="AC3209" s="1295"/>
      <c r="AD3209" s="1295"/>
      <c r="AE3209" s="2556"/>
      <c r="AF3209" s="750"/>
      <c r="AG3209" s="750"/>
      <c r="AH3209" s="750"/>
      <c r="AI3209" s="750"/>
      <c r="AJ3209" s="750"/>
      <c r="AK3209" s="750"/>
      <c r="AL3209" s="750"/>
      <c r="AM3209" s="750"/>
      <c r="AN3209" s="750"/>
      <c r="AO3209" s="750"/>
      <c r="AP3209" s="750"/>
      <c r="AQ3209" s="750"/>
      <c r="AR3209" s="750"/>
      <c r="AS3209" s="750"/>
      <c r="AT3209" s="750"/>
      <c r="AU3209" s="750"/>
      <c r="AV3209" s="750"/>
      <c r="AW3209" s="750"/>
      <c r="AX3209" s="750"/>
      <c r="AY3209" s="750"/>
      <c r="AZ3209" s="750"/>
      <c r="BA3209" s="750"/>
      <c r="BB3209" s="750"/>
      <c r="BC3209" s="750"/>
      <c r="BD3209" s="750"/>
      <c r="BE3209" s="750"/>
      <c r="BF3209" s="750"/>
      <c r="BG3209" s="750"/>
      <c r="BH3209" s="750"/>
      <c r="BI3209" s="750"/>
      <c r="BJ3209" s="750"/>
      <c r="BK3209" s="750"/>
      <c r="BL3209" s="750"/>
      <c r="BM3209" s="750"/>
      <c r="BN3209" s="750"/>
      <c r="BO3209" s="750"/>
      <c r="BP3209" s="750"/>
      <c r="BQ3209" s="750"/>
    </row>
    <row r="3210" spans="3:69">
      <c r="C3210" s="853"/>
      <c r="D3210" s="853"/>
      <c r="E3210" s="853"/>
      <c r="F3210" s="853"/>
      <c r="G3210" s="853"/>
      <c r="H3210" s="853"/>
      <c r="I3210" s="848"/>
      <c r="J3210" s="848"/>
      <c r="K3210" s="1295"/>
      <c r="L3210" s="1295"/>
      <c r="M3210" s="1295"/>
      <c r="N3210" s="1295"/>
      <c r="O3210" s="1295"/>
      <c r="P3210" s="853"/>
      <c r="Q3210" s="1295"/>
      <c r="R3210" s="848"/>
      <c r="S3210" s="848"/>
      <c r="T3210" s="848"/>
      <c r="U3210" s="848"/>
      <c r="V3210" s="1296"/>
      <c r="W3210" s="848"/>
      <c r="X3210" s="848"/>
      <c r="Y3210" s="1295"/>
      <c r="Z3210" s="1296"/>
      <c r="AA3210" s="1295"/>
      <c r="AB3210" s="1296"/>
      <c r="AC3210" s="1295"/>
      <c r="AD3210" s="1295"/>
      <c r="AE3210" s="2556"/>
      <c r="AF3210" s="750"/>
      <c r="AG3210" s="750"/>
      <c r="AH3210" s="750"/>
      <c r="AI3210" s="750"/>
      <c r="AJ3210" s="750"/>
      <c r="AK3210" s="750"/>
      <c r="AL3210" s="750"/>
      <c r="AM3210" s="750"/>
      <c r="AN3210" s="750"/>
      <c r="AO3210" s="750"/>
      <c r="AP3210" s="750"/>
      <c r="AQ3210" s="750"/>
      <c r="AR3210" s="750"/>
      <c r="AS3210" s="750"/>
      <c r="AT3210" s="750"/>
      <c r="AU3210" s="750"/>
      <c r="AV3210" s="750"/>
      <c r="AW3210" s="750"/>
      <c r="AX3210" s="750"/>
      <c r="AY3210" s="750"/>
      <c r="AZ3210" s="750"/>
      <c r="BA3210" s="750"/>
      <c r="BB3210" s="750"/>
      <c r="BC3210" s="750"/>
      <c r="BD3210" s="750"/>
      <c r="BE3210" s="750"/>
      <c r="BF3210" s="750"/>
      <c r="BG3210" s="750"/>
      <c r="BH3210" s="750"/>
      <c r="BI3210" s="750"/>
      <c r="BJ3210" s="750"/>
      <c r="BK3210" s="750"/>
      <c r="BL3210" s="750"/>
      <c r="BM3210" s="750"/>
      <c r="BN3210" s="750"/>
      <c r="BO3210" s="750"/>
      <c r="BP3210" s="750"/>
      <c r="BQ3210" s="750"/>
    </row>
    <row r="3211" spans="3:69">
      <c r="C3211" s="853"/>
      <c r="D3211" s="853"/>
      <c r="E3211" s="853"/>
      <c r="F3211" s="853"/>
      <c r="G3211" s="853"/>
      <c r="H3211" s="853"/>
      <c r="I3211" s="848"/>
      <c r="J3211" s="848"/>
      <c r="K3211" s="1295"/>
      <c r="L3211" s="1295"/>
      <c r="M3211" s="1295"/>
      <c r="N3211" s="1295"/>
      <c r="O3211" s="1295"/>
      <c r="P3211" s="853"/>
      <c r="Q3211" s="1295"/>
      <c r="R3211" s="848"/>
      <c r="S3211" s="848"/>
      <c r="T3211" s="848"/>
      <c r="U3211" s="848"/>
      <c r="V3211" s="1296"/>
      <c r="W3211" s="848"/>
      <c r="X3211" s="848"/>
      <c r="Y3211" s="1295"/>
      <c r="Z3211" s="1296"/>
      <c r="AA3211" s="1295"/>
      <c r="AB3211" s="1296"/>
      <c r="AC3211" s="1295"/>
      <c r="AD3211" s="1295"/>
      <c r="AE3211" s="2556"/>
      <c r="AF3211" s="750"/>
      <c r="AG3211" s="750"/>
      <c r="AH3211" s="750"/>
      <c r="AI3211" s="750"/>
      <c r="AJ3211" s="750"/>
      <c r="AK3211" s="750"/>
      <c r="AL3211" s="750"/>
      <c r="AM3211" s="750"/>
      <c r="AN3211" s="750"/>
      <c r="AO3211" s="750"/>
      <c r="AP3211" s="750"/>
      <c r="AQ3211" s="750"/>
      <c r="AR3211" s="750"/>
      <c r="AS3211" s="750"/>
      <c r="AT3211" s="750"/>
      <c r="AU3211" s="750"/>
      <c r="AV3211" s="750"/>
      <c r="AW3211" s="750"/>
      <c r="AX3211" s="750"/>
      <c r="AY3211" s="750"/>
      <c r="AZ3211" s="750"/>
      <c r="BA3211" s="750"/>
      <c r="BB3211" s="750"/>
      <c r="BC3211" s="750"/>
      <c r="BD3211" s="750"/>
      <c r="BE3211" s="750"/>
      <c r="BF3211" s="750"/>
      <c r="BG3211" s="750"/>
      <c r="BH3211" s="750"/>
      <c r="BI3211" s="750"/>
      <c r="BJ3211" s="750"/>
      <c r="BK3211" s="750"/>
      <c r="BL3211" s="750"/>
      <c r="BM3211" s="750"/>
      <c r="BN3211" s="750"/>
      <c r="BO3211" s="750"/>
      <c r="BP3211" s="750"/>
      <c r="BQ3211" s="750"/>
    </row>
    <row r="3212" spans="3:69">
      <c r="C3212" s="853"/>
      <c r="D3212" s="853"/>
      <c r="E3212" s="853"/>
      <c r="F3212" s="853"/>
      <c r="G3212" s="853"/>
      <c r="H3212" s="853"/>
      <c r="I3212" s="848"/>
      <c r="J3212" s="848"/>
      <c r="K3212" s="1295"/>
      <c r="L3212" s="1295"/>
      <c r="M3212" s="1295"/>
      <c r="N3212" s="1295"/>
      <c r="O3212" s="1295"/>
      <c r="P3212" s="853"/>
      <c r="Q3212" s="1295"/>
      <c r="R3212" s="848"/>
      <c r="S3212" s="848"/>
      <c r="T3212" s="848"/>
      <c r="U3212" s="848"/>
      <c r="V3212" s="1296"/>
      <c r="W3212" s="848"/>
      <c r="X3212" s="848"/>
      <c r="Y3212" s="1295"/>
      <c r="Z3212" s="1296"/>
      <c r="AA3212" s="1295"/>
      <c r="AB3212" s="1296"/>
      <c r="AC3212" s="1295"/>
      <c r="AD3212" s="1295"/>
      <c r="AE3212" s="2556"/>
      <c r="AF3212" s="750"/>
      <c r="AG3212" s="750"/>
      <c r="AH3212" s="750"/>
      <c r="AI3212" s="750"/>
      <c r="AJ3212" s="750"/>
      <c r="AK3212" s="750"/>
      <c r="AL3212" s="750"/>
      <c r="AM3212" s="750"/>
      <c r="AN3212" s="750"/>
      <c r="AO3212" s="750"/>
      <c r="AP3212" s="750"/>
      <c r="AQ3212" s="750"/>
      <c r="AR3212" s="750"/>
      <c r="AS3212" s="750"/>
      <c r="AT3212" s="750"/>
      <c r="AU3212" s="750"/>
      <c r="AV3212" s="750"/>
      <c r="AW3212" s="750"/>
      <c r="AX3212" s="750"/>
      <c r="AY3212" s="750"/>
      <c r="AZ3212" s="750"/>
      <c r="BA3212" s="750"/>
      <c r="BB3212" s="750"/>
      <c r="BC3212" s="750"/>
      <c r="BD3212" s="750"/>
      <c r="BE3212" s="750"/>
      <c r="BF3212" s="750"/>
      <c r="BG3212" s="750"/>
      <c r="BH3212" s="750"/>
      <c r="BI3212" s="750"/>
      <c r="BJ3212" s="750"/>
      <c r="BK3212" s="750"/>
      <c r="BL3212" s="750"/>
      <c r="BM3212" s="750"/>
      <c r="BN3212" s="750"/>
      <c r="BO3212" s="750"/>
      <c r="BP3212" s="750"/>
      <c r="BQ3212" s="750"/>
    </row>
    <row r="3213" spans="3:69">
      <c r="C3213" s="853"/>
      <c r="D3213" s="853"/>
      <c r="E3213" s="853"/>
      <c r="F3213" s="853"/>
      <c r="G3213" s="853"/>
      <c r="H3213" s="853"/>
      <c r="I3213" s="848"/>
      <c r="J3213" s="848"/>
      <c r="K3213" s="1295"/>
      <c r="L3213" s="1295"/>
      <c r="M3213" s="1295"/>
      <c r="N3213" s="1295"/>
      <c r="O3213" s="1295"/>
      <c r="P3213" s="853"/>
      <c r="Q3213" s="1295"/>
      <c r="R3213" s="848"/>
      <c r="S3213" s="848"/>
      <c r="T3213" s="848"/>
      <c r="U3213" s="848"/>
      <c r="V3213" s="1296"/>
      <c r="W3213" s="848"/>
      <c r="X3213" s="848"/>
      <c r="Y3213" s="1295"/>
      <c r="Z3213" s="1296"/>
      <c r="AA3213" s="1295"/>
      <c r="AB3213" s="1296"/>
      <c r="AC3213" s="1295"/>
      <c r="AD3213" s="1295"/>
      <c r="AE3213" s="2556"/>
      <c r="AF3213" s="750"/>
      <c r="AG3213" s="750"/>
      <c r="AH3213" s="750"/>
      <c r="AI3213" s="750"/>
      <c r="AJ3213" s="750"/>
      <c r="AK3213" s="750"/>
      <c r="AL3213" s="750"/>
      <c r="AM3213" s="750"/>
      <c r="AN3213" s="750"/>
      <c r="AO3213" s="750"/>
      <c r="AP3213" s="750"/>
      <c r="AQ3213" s="750"/>
      <c r="AR3213" s="750"/>
      <c r="AS3213" s="750"/>
      <c r="AT3213" s="750"/>
      <c r="AU3213" s="750"/>
      <c r="AV3213" s="750"/>
      <c r="AW3213" s="750"/>
      <c r="AX3213" s="750"/>
      <c r="AY3213" s="750"/>
      <c r="AZ3213" s="750"/>
      <c r="BA3213" s="750"/>
      <c r="BB3213" s="750"/>
      <c r="BC3213" s="750"/>
      <c r="BD3213" s="750"/>
      <c r="BE3213" s="750"/>
      <c r="BF3213" s="750"/>
      <c r="BG3213" s="750"/>
      <c r="BH3213" s="750"/>
      <c r="BI3213" s="750"/>
      <c r="BJ3213" s="750"/>
      <c r="BK3213" s="750"/>
      <c r="BL3213" s="750"/>
      <c r="BM3213" s="750"/>
      <c r="BN3213" s="750"/>
      <c r="BO3213" s="750"/>
      <c r="BP3213" s="750"/>
      <c r="BQ3213" s="750"/>
    </row>
    <row r="3214" spans="3:69">
      <c r="C3214" s="853"/>
      <c r="D3214" s="853"/>
      <c r="E3214" s="853"/>
      <c r="F3214" s="853"/>
      <c r="G3214" s="853"/>
      <c r="H3214" s="853"/>
      <c r="I3214" s="848"/>
      <c r="J3214" s="848"/>
      <c r="K3214" s="1295"/>
      <c r="L3214" s="1295"/>
      <c r="M3214" s="1295"/>
      <c r="N3214" s="1295"/>
      <c r="O3214" s="1295"/>
      <c r="P3214" s="853"/>
      <c r="Q3214" s="1295"/>
      <c r="R3214" s="848"/>
      <c r="S3214" s="848"/>
      <c r="T3214" s="848"/>
      <c r="U3214" s="848"/>
      <c r="V3214" s="1296"/>
      <c r="W3214" s="848"/>
      <c r="X3214" s="848"/>
      <c r="Y3214" s="1295"/>
      <c r="Z3214" s="1296"/>
      <c r="AA3214" s="1295"/>
      <c r="AB3214" s="1296"/>
      <c r="AC3214" s="1295"/>
      <c r="AD3214" s="1295"/>
      <c r="AE3214" s="2556"/>
      <c r="AF3214" s="750"/>
      <c r="AG3214" s="750"/>
      <c r="AH3214" s="750"/>
      <c r="AI3214" s="750"/>
      <c r="AJ3214" s="750"/>
      <c r="AK3214" s="750"/>
      <c r="AL3214" s="750"/>
      <c r="AM3214" s="750"/>
      <c r="AN3214" s="750"/>
      <c r="AO3214" s="750"/>
      <c r="AP3214" s="750"/>
      <c r="AQ3214" s="750"/>
      <c r="AR3214" s="750"/>
      <c r="AS3214" s="750"/>
      <c r="AT3214" s="750"/>
      <c r="AU3214" s="750"/>
      <c r="AV3214" s="750"/>
      <c r="AW3214" s="750"/>
      <c r="AX3214" s="750"/>
      <c r="AY3214" s="750"/>
      <c r="AZ3214" s="750"/>
      <c r="BA3214" s="750"/>
      <c r="BB3214" s="750"/>
      <c r="BC3214" s="750"/>
      <c r="BD3214" s="750"/>
      <c r="BE3214" s="750"/>
      <c r="BF3214" s="750"/>
      <c r="BG3214" s="750"/>
      <c r="BH3214" s="750"/>
      <c r="BI3214" s="750"/>
      <c r="BJ3214" s="750"/>
      <c r="BK3214" s="750"/>
      <c r="BL3214" s="750"/>
      <c r="BM3214" s="750"/>
      <c r="BN3214" s="750"/>
      <c r="BO3214" s="750"/>
      <c r="BP3214" s="750"/>
      <c r="BQ3214" s="750"/>
    </row>
    <row r="3215" spans="3:69">
      <c r="C3215" s="853"/>
      <c r="D3215" s="853"/>
      <c r="E3215" s="853"/>
      <c r="F3215" s="853"/>
      <c r="G3215" s="853"/>
      <c r="H3215" s="853"/>
      <c r="I3215" s="848"/>
      <c r="J3215" s="848"/>
      <c r="K3215" s="1295"/>
      <c r="L3215" s="1295"/>
      <c r="M3215" s="1295"/>
      <c r="N3215" s="1295"/>
      <c r="O3215" s="1295"/>
      <c r="P3215" s="853"/>
      <c r="Q3215" s="1295"/>
      <c r="R3215" s="848"/>
      <c r="S3215" s="848"/>
      <c r="T3215" s="848"/>
      <c r="U3215" s="848"/>
      <c r="V3215" s="1296"/>
      <c r="W3215" s="848"/>
      <c r="X3215" s="848"/>
      <c r="Y3215" s="1295"/>
      <c r="Z3215" s="1296"/>
      <c r="AA3215" s="1295"/>
      <c r="AB3215" s="1296"/>
      <c r="AC3215" s="1295"/>
      <c r="AD3215" s="1295"/>
      <c r="AE3215" s="2556"/>
      <c r="AF3215" s="750"/>
      <c r="AG3215" s="750"/>
      <c r="AH3215" s="750"/>
      <c r="AI3215" s="750"/>
      <c r="AJ3215" s="750"/>
      <c r="AK3215" s="750"/>
      <c r="AL3215" s="750"/>
      <c r="AM3215" s="750"/>
      <c r="AN3215" s="750"/>
      <c r="AO3215" s="750"/>
      <c r="AP3215" s="750"/>
      <c r="AQ3215" s="750"/>
      <c r="AR3215" s="750"/>
      <c r="AS3215" s="750"/>
      <c r="AT3215" s="750"/>
      <c r="AU3215" s="750"/>
      <c r="AV3215" s="750"/>
      <c r="AW3215" s="750"/>
      <c r="AX3215" s="750"/>
      <c r="AY3215" s="750"/>
      <c r="AZ3215" s="750"/>
      <c r="BA3215" s="750"/>
      <c r="BB3215" s="750"/>
      <c r="BC3215" s="750"/>
      <c r="BD3215" s="750"/>
      <c r="BE3215" s="750"/>
      <c r="BF3215" s="750"/>
      <c r="BG3215" s="750"/>
      <c r="BH3215" s="750"/>
      <c r="BI3215" s="750"/>
      <c r="BJ3215" s="750"/>
      <c r="BK3215" s="750"/>
      <c r="BL3215" s="750"/>
      <c r="BM3215" s="750"/>
      <c r="BN3215" s="750"/>
      <c r="BO3215" s="750"/>
      <c r="BP3215" s="750"/>
      <c r="BQ3215" s="750"/>
    </row>
    <row r="3216" spans="3:69">
      <c r="C3216" s="853"/>
      <c r="D3216" s="853"/>
      <c r="E3216" s="853"/>
      <c r="F3216" s="853"/>
      <c r="G3216" s="853"/>
      <c r="H3216" s="853"/>
      <c r="I3216" s="848"/>
      <c r="J3216" s="848"/>
      <c r="K3216" s="1295"/>
      <c r="L3216" s="1295"/>
      <c r="M3216" s="1295"/>
      <c r="N3216" s="1295"/>
      <c r="O3216" s="1295"/>
      <c r="P3216" s="853"/>
      <c r="Q3216" s="1295"/>
      <c r="R3216" s="848"/>
      <c r="S3216" s="848"/>
      <c r="T3216" s="848"/>
      <c r="U3216" s="848"/>
      <c r="V3216" s="1296"/>
      <c r="W3216" s="848"/>
      <c r="X3216" s="848"/>
      <c r="Y3216" s="1295"/>
      <c r="Z3216" s="1296"/>
      <c r="AA3216" s="1295"/>
      <c r="AB3216" s="1296"/>
      <c r="AC3216" s="1295"/>
      <c r="AD3216" s="1295"/>
      <c r="AE3216" s="2556"/>
      <c r="AF3216" s="750"/>
      <c r="AG3216" s="750"/>
      <c r="AH3216" s="750"/>
      <c r="AI3216" s="750"/>
      <c r="AJ3216" s="750"/>
      <c r="AK3216" s="750"/>
      <c r="AL3216" s="750"/>
      <c r="AM3216" s="750"/>
      <c r="AN3216" s="750"/>
      <c r="AO3216" s="750"/>
      <c r="AP3216" s="750"/>
      <c r="AQ3216" s="750"/>
      <c r="AR3216" s="750"/>
      <c r="AS3216" s="750"/>
      <c r="AT3216" s="750"/>
      <c r="AU3216" s="750"/>
      <c r="AV3216" s="750"/>
      <c r="AW3216" s="750"/>
      <c r="AX3216" s="750"/>
      <c r="AY3216" s="750"/>
      <c r="AZ3216" s="750"/>
      <c r="BA3216" s="750"/>
      <c r="BB3216" s="750"/>
      <c r="BC3216" s="750"/>
      <c r="BD3216" s="750"/>
      <c r="BE3216" s="750"/>
      <c r="BF3216" s="750"/>
      <c r="BG3216" s="750"/>
      <c r="BH3216" s="750"/>
      <c r="BI3216" s="750"/>
      <c r="BJ3216" s="750"/>
      <c r="BK3216" s="750"/>
      <c r="BL3216" s="750"/>
      <c r="BM3216" s="750"/>
      <c r="BN3216" s="750"/>
      <c r="BO3216" s="750"/>
      <c r="BP3216" s="750"/>
      <c r="BQ3216" s="750"/>
    </row>
    <row r="3217" spans="3:69">
      <c r="C3217" s="853"/>
      <c r="D3217" s="853"/>
      <c r="E3217" s="853"/>
      <c r="F3217" s="853"/>
      <c r="G3217" s="853"/>
      <c r="H3217" s="853"/>
      <c r="I3217" s="848"/>
      <c r="J3217" s="848"/>
      <c r="K3217" s="1295"/>
      <c r="L3217" s="1295"/>
      <c r="M3217" s="1295"/>
      <c r="N3217" s="1295"/>
      <c r="O3217" s="1295"/>
      <c r="P3217" s="853"/>
      <c r="Q3217" s="1295"/>
      <c r="R3217" s="848"/>
      <c r="S3217" s="848"/>
      <c r="T3217" s="848"/>
      <c r="U3217" s="848"/>
      <c r="V3217" s="1296"/>
      <c r="W3217" s="848"/>
      <c r="X3217" s="848"/>
      <c r="Y3217" s="1295"/>
      <c r="Z3217" s="1296"/>
      <c r="AA3217" s="1295"/>
      <c r="AB3217" s="1296"/>
      <c r="AC3217" s="1295"/>
      <c r="AD3217" s="1295"/>
      <c r="AE3217" s="2556"/>
      <c r="AF3217" s="750"/>
      <c r="AG3217" s="750"/>
      <c r="AH3217" s="750"/>
      <c r="AI3217" s="750"/>
      <c r="AJ3217" s="750"/>
      <c r="AK3217" s="750"/>
      <c r="AL3217" s="750"/>
      <c r="AM3217" s="750"/>
      <c r="AN3217" s="750"/>
      <c r="AO3217" s="750"/>
      <c r="AP3217" s="750"/>
      <c r="AQ3217" s="750"/>
      <c r="AR3217" s="750"/>
      <c r="AS3217" s="750"/>
      <c r="AT3217" s="750"/>
      <c r="AU3217" s="750"/>
      <c r="AV3217" s="750"/>
      <c r="AW3217" s="750"/>
      <c r="AX3217" s="750"/>
      <c r="AY3217" s="750"/>
      <c r="AZ3217" s="750"/>
      <c r="BA3217" s="750"/>
      <c r="BB3217" s="750"/>
      <c r="BC3217" s="750"/>
      <c r="BD3217" s="750"/>
      <c r="BE3217" s="750"/>
      <c r="BF3217" s="750"/>
      <c r="BG3217" s="750"/>
      <c r="BH3217" s="750"/>
      <c r="BI3217" s="750"/>
      <c r="BJ3217" s="750"/>
      <c r="BK3217" s="750"/>
      <c r="BL3217" s="750"/>
      <c r="BM3217" s="750"/>
      <c r="BN3217" s="750"/>
      <c r="BO3217" s="750"/>
      <c r="BP3217" s="750"/>
      <c r="BQ3217" s="750"/>
    </row>
    <row r="3218" spans="3:69">
      <c r="C3218" s="853"/>
      <c r="D3218" s="853"/>
      <c r="E3218" s="853"/>
      <c r="F3218" s="853"/>
      <c r="G3218" s="853"/>
      <c r="H3218" s="853"/>
      <c r="I3218" s="848"/>
      <c r="J3218" s="848"/>
      <c r="K3218" s="1295"/>
      <c r="L3218" s="1295"/>
      <c r="M3218" s="1295"/>
      <c r="N3218" s="1295"/>
      <c r="O3218" s="1295"/>
      <c r="P3218" s="853"/>
      <c r="Q3218" s="1295"/>
      <c r="R3218" s="848"/>
      <c r="S3218" s="848"/>
      <c r="T3218" s="848"/>
      <c r="U3218" s="848"/>
      <c r="V3218" s="1296"/>
      <c r="W3218" s="848"/>
      <c r="X3218" s="848"/>
      <c r="Y3218" s="1295"/>
      <c r="Z3218" s="1296"/>
      <c r="AA3218" s="1295"/>
      <c r="AB3218" s="1296"/>
      <c r="AC3218" s="1295"/>
      <c r="AD3218" s="1295"/>
      <c r="AE3218" s="2556"/>
      <c r="AF3218" s="750"/>
      <c r="AG3218" s="750"/>
      <c r="AH3218" s="750"/>
      <c r="AI3218" s="750"/>
      <c r="AJ3218" s="750"/>
      <c r="AK3218" s="750"/>
      <c r="AL3218" s="750"/>
      <c r="AM3218" s="750"/>
      <c r="AN3218" s="750"/>
      <c r="AO3218" s="750"/>
      <c r="AP3218" s="750"/>
      <c r="AQ3218" s="750"/>
      <c r="AR3218" s="750"/>
      <c r="AS3218" s="750"/>
      <c r="AT3218" s="750"/>
      <c r="AU3218" s="750"/>
      <c r="AV3218" s="750"/>
      <c r="AW3218" s="750"/>
      <c r="AX3218" s="750"/>
      <c r="AY3218" s="750"/>
      <c r="AZ3218" s="750"/>
      <c r="BA3218" s="750"/>
      <c r="BB3218" s="750"/>
      <c r="BC3218" s="750"/>
      <c r="BD3218" s="750"/>
      <c r="BE3218" s="750"/>
      <c r="BF3218" s="750"/>
      <c r="BG3218" s="750"/>
      <c r="BH3218" s="750"/>
      <c r="BI3218" s="750"/>
      <c r="BJ3218" s="750"/>
      <c r="BK3218" s="750"/>
      <c r="BL3218" s="750"/>
      <c r="BM3218" s="750"/>
      <c r="BN3218" s="750"/>
      <c r="BO3218" s="750"/>
      <c r="BP3218" s="750"/>
      <c r="BQ3218" s="750"/>
    </row>
    <row r="3219" spans="3:69">
      <c r="C3219" s="853"/>
      <c r="D3219" s="853"/>
      <c r="E3219" s="853"/>
      <c r="F3219" s="853"/>
      <c r="G3219" s="853"/>
      <c r="H3219" s="853"/>
      <c r="I3219" s="848"/>
      <c r="J3219" s="848"/>
      <c r="K3219" s="1295"/>
      <c r="L3219" s="1295"/>
      <c r="M3219" s="1295"/>
      <c r="N3219" s="1295"/>
      <c r="O3219" s="1295"/>
      <c r="P3219" s="853"/>
      <c r="Q3219" s="1295"/>
      <c r="R3219" s="848"/>
      <c r="S3219" s="848"/>
      <c r="T3219" s="848"/>
      <c r="U3219" s="848"/>
      <c r="V3219" s="1296"/>
      <c r="W3219" s="848"/>
      <c r="X3219" s="848"/>
      <c r="Y3219" s="1295"/>
      <c r="Z3219" s="1296"/>
      <c r="AA3219" s="1295"/>
      <c r="AB3219" s="1296"/>
      <c r="AC3219" s="1295"/>
      <c r="AD3219" s="1295"/>
      <c r="AE3219" s="2556"/>
      <c r="AF3219" s="750"/>
      <c r="AG3219" s="750"/>
      <c r="AH3219" s="750"/>
      <c r="AI3219" s="750"/>
      <c r="AJ3219" s="750"/>
      <c r="AK3219" s="750"/>
      <c r="AL3219" s="750"/>
      <c r="AM3219" s="750"/>
      <c r="AN3219" s="750"/>
      <c r="AO3219" s="750"/>
      <c r="AP3219" s="750"/>
      <c r="AQ3219" s="750"/>
      <c r="AR3219" s="750"/>
      <c r="AS3219" s="750"/>
      <c r="AT3219" s="750"/>
      <c r="AU3219" s="750"/>
      <c r="AV3219" s="750"/>
      <c r="AW3219" s="750"/>
      <c r="AX3219" s="750"/>
      <c r="AY3219" s="750"/>
      <c r="AZ3219" s="750"/>
      <c r="BA3219" s="750"/>
      <c r="BB3219" s="750"/>
      <c r="BC3219" s="750"/>
      <c r="BD3219" s="750"/>
      <c r="BE3219" s="750"/>
      <c r="BF3219" s="750"/>
      <c r="BG3219" s="750"/>
      <c r="BH3219" s="750"/>
      <c r="BI3219" s="750"/>
      <c r="BJ3219" s="750"/>
      <c r="BK3219" s="750"/>
      <c r="BL3219" s="750"/>
      <c r="BM3219" s="750"/>
      <c r="BN3219" s="750"/>
      <c r="BO3219" s="750"/>
      <c r="BP3219" s="750"/>
      <c r="BQ3219" s="750"/>
    </row>
    <row r="3220" spans="3:69">
      <c r="C3220" s="853"/>
      <c r="D3220" s="853"/>
      <c r="E3220" s="853"/>
      <c r="F3220" s="853"/>
      <c r="G3220" s="853"/>
      <c r="H3220" s="853"/>
      <c r="I3220" s="848"/>
      <c r="J3220" s="848"/>
      <c r="K3220" s="1295"/>
      <c r="L3220" s="1295"/>
      <c r="M3220" s="1295"/>
      <c r="N3220" s="1295"/>
      <c r="O3220" s="1295"/>
      <c r="P3220" s="853"/>
      <c r="Q3220" s="1295"/>
      <c r="R3220" s="848"/>
      <c r="S3220" s="848"/>
      <c r="T3220" s="848"/>
      <c r="U3220" s="848"/>
      <c r="V3220" s="1296"/>
      <c r="W3220" s="848"/>
      <c r="X3220" s="848"/>
      <c r="Y3220" s="1295"/>
      <c r="Z3220" s="1296"/>
      <c r="AA3220" s="1295"/>
      <c r="AB3220" s="1296"/>
      <c r="AC3220" s="1295"/>
      <c r="AD3220" s="1295"/>
      <c r="AE3220" s="2556"/>
      <c r="AF3220" s="750"/>
      <c r="AG3220" s="750"/>
      <c r="AH3220" s="750"/>
      <c r="AI3220" s="750"/>
      <c r="AJ3220" s="750"/>
      <c r="AK3220" s="750"/>
      <c r="AL3220" s="750"/>
      <c r="AM3220" s="750"/>
      <c r="AN3220" s="750"/>
      <c r="AO3220" s="750"/>
      <c r="AP3220" s="750"/>
      <c r="AQ3220" s="750"/>
      <c r="AR3220" s="750"/>
      <c r="AS3220" s="750"/>
      <c r="AT3220" s="750"/>
      <c r="AU3220" s="750"/>
      <c r="AV3220" s="750"/>
      <c r="AW3220" s="750"/>
      <c r="AX3220" s="750"/>
      <c r="AY3220" s="750"/>
      <c r="AZ3220" s="750"/>
      <c r="BA3220" s="750"/>
      <c r="BB3220" s="750"/>
      <c r="BC3220" s="750"/>
      <c r="BD3220" s="750"/>
      <c r="BE3220" s="750"/>
      <c r="BF3220" s="750"/>
      <c r="BG3220" s="750"/>
      <c r="BH3220" s="750"/>
      <c r="BI3220" s="750"/>
      <c r="BJ3220" s="750"/>
      <c r="BK3220" s="750"/>
      <c r="BL3220" s="750"/>
      <c r="BM3220" s="750"/>
      <c r="BN3220" s="750"/>
      <c r="BO3220" s="750"/>
      <c r="BP3220" s="750"/>
      <c r="BQ3220" s="750"/>
    </row>
    <row r="3221" spans="3:69">
      <c r="C3221" s="853"/>
      <c r="D3221" s="853"/>
      <c r="E3221" s="853"/>
      <c r="F3221" s="853"/>
      <c r="G3221" s="853"/>
      <c r="H3221" s="853"/>
      <c r="I3221" s="848"/>
      <c r="J3221" s="848"/>
      <c r="K3221" s="1295"/>
      <c r="L3221" s="1295"/>
      <c r="M3221" s="1295"/>
      <c r="N3221" s="1295"/>
      <c r="O3221" s="1295"/>
      <c r="P3221" s="853"/>
      <c r="Q3221" s="1295"/>
      <c r="R3221" s="848"/>
      <c r="S3221" s="848"/>
      <c r="T3221" s="848"/>
      <c r="U3221" s="848"/>
      <c r="V3221" s="1296"/>
      <c r="W3221" s="848"/>
      <c r="X3221" s="848"/>
      <c r="Y3221" s="1295"/>
      <c r="Z3221" s="1296"/>
      <c r="AA3221" s="1295"/>
      <c r="AB3221" s="1296"/>
      <c r="AC3221" s="1295"/>
      <c r="AD3221" s="1295"/>
      <c r="AE3221" s="2556"/>
      <c r="AF3221" s="750"/>
      <c r="AG3221" s="750"/>
      <c r="AH3221" s="750"/>
      <c r="AI3221" s="750"/>
      <c r="AJ3221" s="750"/>
      <c r="AK3221" s="750"/>
      <c r="AL3221" s="750"/>
      <c r="AM3221" s="750"/>
      <c r="AN3221" s="750"/>
      <c r="AO3221" s="750"/>
      <c r="AP3221" s="750"/>
      <c r="AQ3221" s="750"/>
      <c r="AR3221" s="750"/>
      <c r="AS3221" s="750"/>
      <c r="AT3221" s="750"/>
      <c r="AU3221" s="750"/>
      <c r="AV3221" s="750"/>
      <c r="AW3221" s="750"/>
      <c r="AX3221" s="750"/>
      <c r="AY3221" s="750"/>
      <c r="AZ3221" s="750"/>
      <c r="BA3221" s="750"/>
      <c r="BB3221" s="750"/>
      <c r="BC3221" s="750"/>
      <c r="BD3221" s="750"/>
      <c r="BE3221" s="750"/>
      <c r="BF3221" s="750"/>
      <c r="BG3221" s="750"/>
      <c r="BH3221" s="750"/>
      <c r="BI3221" s="750"/>
      <c r="BJ3221" s="750"/>
      <c r="BK3221" s="750"/>
      <c r="BL3221" s="750"/>
      <c r="BM3221" s="750"/>
      <c r="BN3221" s="750"/>
      <c r="BO3221" s="750"/>
      <c r="BP3221" s="750"/>
      <c r="BQ3221" s="750"/>
    </row>
    <row r="3222" spans="3:69">
      <c r="C3222" s="853"/>
      <c r="D3222" s="853"/>
      <c r="E3222" s="853"/>
      <c r="F3222" s="853"/>
      <c r="G3222" s="853"/>
      <c r="H3222" s="853"/>
      <c r="I3222" s="848"/>
      <c r="J3222" s="848"/>
      <c r="K3222" s="1295"/>
      <c r="L3222" s="1295"/>
      <c r="M3222" s="1295"/>
      <c r="N3222" s="1295"/>
      <c r="O3222" s="1295"/>
      <c r="P3222" s="853"/>
      <c r="Q3222" s="1295"/>
      <c r="R3222" s="848"/>
      <c r="S3222" s="848"/>
      <c r="T3222" s="848"/>
      <c r="U3222" s="848"/>
      <c r="V3222" s="1296"/>
      <c r="W3222" s="848"/>
      <c r="X3222" s="848"/>
      <c r="Y3222" s="1295"/>
      <c r="Z3222" s="1296"/>
      <c r="AA3222" s="1295"/>
      <c r="AB3222" s="1296"/>
      <c r="AC3222" s="1295"/>
      <c r="AD3222" s="1295"/>
      <c r="AE3222" s="2556"/>
      <c r="AF3222" s="750"/>
      <c r="AG3222" s="750"/>
      <c r="AH3222" s="750"/>
      <c r="AI3222" s="750"/>
      <c r="AJ3222" s="750"/>
      <c r="AK3222" s="750"/>
      <c r="AL3222" s="750"/>
      <c r="AM3222" s="750"/>
      <c r="AN3222" s="750"/>
      <c r="AO3222" s="750"/>
      <c r="AP3222" s="750"/>
      <c r="AQ3222" s="750"/>
      <c r="AR3222" s="750"/>
      <c r="AS3222" s="750"/>
      <c r="AT3222" s="750"/>
      <c r="AU3222" s="750"/>
      <c r="AV3222" s="750"/>
      <c r="AW3222" s="750"/>
      <c r="AX3222" s="750"/>
      <c r="AY3222" s="750"/>
      <c r="AZ3222" s="750"/>
      <c r="BA3222" s="750"/>
      <c r="BB3222" s="750"/>
      <c r="BC3222" s="750"/>
      <c r="BD3222" s="750"/>
      <c r="BE3222" s="750"/>
      <c r="BF3222" s="750"/>
      <c r="BG3222" s="750"/>
      <c r="BH3222" s="750"/>
      <c r="BI3222" s="750"/>
      <c r="BJ3222" s="750"/>
      <c r="BK3222" s="750"/>
      <c r="BL3222" s="750"/>
      <c r="BM3222" s="750"/>
      <c r="BN3222" s="750"/>
      <c r="BO3222" s="750"/>
      <c r="BP3222" s="750"/>
      <c r="BQ3222" s="750"/>
    </row>
    <row r="3223" spans="3:69">
      <c r="C3223" s="853"/>
      <c r="D3223" s="853"/>
      <c r="E3223" s="853"/>
      <c r="F3223" s="853"/>
      <c r="G3223" s="853"/>
      <c r="H3223" s="853"/>
      <c r="I3223" s="848"/>
      <c r="J3223" s="848"/>
      <c r="K3223" s="1295"/>
      <c r="L3223" s="1295"/>
      <c r="M3223" s="1295"/>
      <c r="N3223" s="1295"/>
      <c r="O3223" s="1295"/>
      <c r="P3223" s="853"/>
      <c r="Q3223" s="1295"/>
      <c r="R3223" s="848"/>
      <c r="S3223" s="848"/>
      <c r="T3223" s="848"/>
      <c r="U3223" s="848"/>
      <c r="V3223" s="1296"/>
      <c r="W3223" s="848"/>
      <c r="X3223" s="848"/>
      <c r="Y3223" s="1295"/>
      <c r="Z3223" s="1296"/>
      <c r="AA3223" s="1295"/>
      <c r="AB3223" s="1296"/>
      <c r="AC3223" s="1295"/>
      <c r="AD3223" s="1295"/>
      <c r="AE3223" s="2556"/>
      <c r="AF3223" s="750"/>
      <c r="AG3223" s="750"/>
      <c r="AH3223" s="750"/>
      <c r="AI3223" s="750"/>
      <c r="AJ3223" s="750"/>
      <c r="AK3223" s="750"/>
      <c r="AL3223" s="750"/>
      <c r="AM3223" s="750"/>
      <c r="AN3223" s="750"/>
      <c r="AO3223" s="750"/>
      <c r="AP3223" s="750"/>
      <c r="AQ3223" s="750"/>
      <c r="AR3223" s="750"/>
      <c r="AS3223" s="750"/>
      <c r="AT3223" s="750"/>
      <c r="AU3223" s="750"/>
      <c r="AV3223" s="750"/>
      <c r="AW3223" s="750"/>
      <c r="AX3223" s="750"/>
      <c r="AY3223" s="750"/>
      <c r="AZ3223" s="750"/>
      <c r="BA3223" s="750"/>
      <c r="BB3223" s="750"/>
      <c r="BC3223" s="750"/>
      <c r="BD3223" s="750"/>
      <c r="BE3223" s="750"/>
      <c r="BF3223" s="750"/>
      <c r="BG3223" s="750"/>
      <c r="BH3223" s="750"/>
      <c r="BI3223" s="750"/>
      <c r="BJ3223" s="750"/>
      <c r="BK3223" s="750"/>
      <c r="BL3223" s="750"/>
      <c r="BM3223" s="750"/>
      <c r="BN3223" s="750"/>
      <c r="BO3223" s="750"/>
      <c r="BP3223" s="750"/>
      <c r="BQ3223" s="750"/>
    </row>
    <row r="3224" spans="3:69">
      <c r="C3224" s="853"/>
      <c r="D3224" s="853"/>
      <c r="E3224" s="853"/>
      <c r="F3224" s="853"/>
      <c r="G3224" s="853"/>
      <c r="H3224" s="853"/>
      <c r="I3224" s="848"/>
      <c r="J3224" s="848"/>
      <c r="K3224" s="1295"/>
      <c r="L3224" s="1295"/>
      <c r="M3224" s="1295"/>
      <c r="N3224" s="1295"/>
      <c r="O3224" s="1295"/>
      <c r="P3224" s="853"/>
      <c r="Q3224" s="1295"/>
      <c r="R3224" s="848"/>
      <c r="S3224" s="848"/>
      <c r="T3224" s="848"/>
      <c r="U3224" s="848"/>
      <c r="V3224" s="1296"/>
      <c r="W3224" s="848"/>
      <c r="X3224" s="848"/>
      <c r="Y3224" s="1295"/>
      <c r="Z3224" s="1296"/>
      <c r="AA3224" s="1295"/>
      <c r="AB3224" s="1296"/>
      <c r="AC3224" s="1295"/>
      <c r="AD3224" s="1295"/>
      <c r="AE3224" s="2556"/>
      <c r="AF3224" s="750"/>
      <c r="AG3224" s="750"/>
      <c r="AH3224" s="750"/>
      <c r="AI3224" s="750"/>
      <c r="AJ3224" s="750"/>
      <c r="AK3224" s="750"/>
      <c r="AL3224" s="750"/>
      <c r="AM3224" s="750"/>
      <c r="AN3224" s="750"/>
      <c r="AO3224" s="750"/>
      <c r="AP3224" s="750"/>
      <c r="AQ3224" s="750"/>
      <c r="AR3224" s="750"/>
      <c r="AS3224" s="750"/>
      <c r="AT3224" s="750"/>
      <c r="AU3224" s="750"/>
      <c r="AV3224" s="750"/>
      <c r="AW3224" s="750"/>
      <c r="AX3224" s="750"/>
      <c r="AY3224" s="750"/>
      <c r="AZ3224" s="750"/>
      <c r="BA3224" s="750"/>
      <c r="BB3224" s="750"/>
      <c r="BC3224" s="750"/>
      <c r="BD3224" s="750"/>
      <c r="BE3224" s="750"/>
      <c r="BF3224" s="750"/>
      <c r="BG3224" s="750"/>
      <c r="BH3224" s="750"/>
      <c r="BI3224" s="750"/>
      <c r="BJ3224" s="750"/>
      <c r="BK3224" s="750"/>
      <c r="BL3224" s="750"/>
      <c r="BM3224" s="750"/>
      <c r="BN3224" s="750"/>
      <c r="BO3224" s="750"/>
      <c r="BP3224" s="750"/>
      <c r="BQ3224" s="750"/>
    </row>
    <row r="3225" spans="3:69">
      <c r="C3225" s="853"/>
      <c r="D3225" s="853"/>
      <c r="E3225" s="853"/>
      <c r="F3225" s="853"/>
      <c r="G3225" s="853"/>
      <c r="H3225" s="853"/>
      <c r="I3225" s="848"/>
      <c r="J3225" s="848"/>
      <c r="K3225" s="1295"/>
      <c r="L3225" s="1295"/>
      <c r="M3225" s="1295"/>
      <c r="N3225" s="1295"/>
      <c r="O3225" s="1295"/>
      <c r="P3225" s="853"/>
      <c r="Q3225" s="1295"/>
      <c r="R3225" s="848"/>
      <c r="S3225" s="848"/>
      <c r="T3225" s="848"/>
      <c r="U3225" s="848"/>
      <c r="V3225" s="1296"/>
      <c r="W3225" s="848"/>
      <c r="X3225" s="848"/>
      <c r="Y3225" s="1295"/>
      <c r="Z3225" s="1296"/>
      <c r="AA3225" s="1295"/>
      <c r="AB3225" s="1296"/>
      <c r="AC3225" s="1295"/>
      <c r="AD3225" s="1295"/>
      <c r="AE3225" s="2556"/>
      <c r="AF3225" s="750"/>
      <c r="AG3225" s="750"/>
      <c r="AH3225" s="750"/>
      <c r="AI3225" s="750"/>
      <c r="AJ3225" s="750"/>
      <c r="AK3225" s="750"/>
      <c r="AL3225" s="750"/>
      <c r="AM3225" s="750"/>
      <c r="AN3225" s="750"/>
      <c r="AO3225" s="750"/>
      <c r="AP3225" s="750"/>
      <c r="AQ3225" s="750"/>
      <c r="AR3225" s="750"/>
      <c r="AS3225" s="750"/>
      <c r="AT3225" s="750"/>
      <c r="AU3225" s="750"/>
      <c r="AV3225" s="750"/>
      <c r="AW3225" s="750"/>
      <c r="AX3225" s="750"/>
      <c r="AY3225" s="750"/>
      <c r="AZ3225" s="750"/>
      <c r="BA3225" s="750"/>
      <c r="BB3225" s="750"/>
      <c r="BC3225" s="750"/>
      <c r="BD3225" s="750"/>
      <c r="BE3225" s="750"/>
      <c r="BF3225" s="750"/>
      <c r="BG3225" s="750"/>
      <c r="BH3225" s="750"/>
      <c r="BI3225" s="750"/>
      <c r="BJ3225" s="750"/>
      <c r="BK3225" s="750"/>
      <c r="BL3225" s="750"/>
      <c r="BM3225" s="750"/>
      <c r="BN3225" s="750"/>
      <c r="BO3225" s="750"/>
      <c r="BP3225" s="750"/>
      <c r="BQ3225" s="750"/>
    </row>
    <row r="3226" spans="3:69">
      <c r="C3226" s="853"/>
      <c r="D3226" s="853"/>
      <c r="E3226" s="853"/>
      <c r="F3226" s="853"/>
      <c r="G3226" s="853"/>
      <c r="H3226" s="853"/>
      <c r="I3226" s="848"/>
      <c r="J3226" s="848"/>
      <c r="K3226" s="1295"/>
      <c r="L3226" s="1295"/>
      <c r="M3226" s="1295"/>
      <c r="N3226" s="1295"/>
      <c r="O3226" s="1295"/>
      <c r="P3226" s="853"/>
      <c r="Q3226" s="1295"/>
      <c r="R3226" s="848"/>
      <c r="S3226" s="848"/>
      <c r="T3226" s="848"/>
      <c r="U3226" s="848"/>
      <c r="V3226" s="1296"/>
      <c r="W3226" s="848"/>
      <c r="X3226" s="848"/>
      <c r="Y3226" s="1295"/>
      <c r="Z3226" s="1296"/>
      <c r="AA3226" s="1295"/>
      <c r="AB3226" s="1296"/>
      <c r="AC3226" s="1295"/>
      <c r="AD3226" s="1295"/>
      <c r="AE3226" s="2556"/>
      <c r="AF3226" s="750"/>
      <c r="AG3226" s="750"/>
      <c r="AH3226" s="750"/>
      <c r="AI3226" s="750"/>
      <c r="AJ3226" s="750"/>
      <c r="AK3226" s="750"/>
      <c r="AL3226" s="750"/>
      <c r="AM3226" s="750"/>
      <c r="AN3226" s="750"/>
      <c r="AO3226" s="750"/>
      <c r="AP3226" s="750"/>
      <c r="AQ3226" s="750"/>
      <c r="AR3226" s="750"/>
      <c r="AS3226" s="750"/>
      <c r="AT3226" s="750"/>
      <c r="AU3226" s="750"/>
      <c r="AV3226" s="750"/>
      <c r="AW3226" s="750"/>
      <c r="AX3226" s="750"/>
      <c r="AY3226" s="750"/>
      <c r="AZ3226" s="750"/>
      <c r="BA3226" s="750"/>
      <c r="BB3226" s="750"/>
      <c r="BC3226" s="750"/>
      <c r="BD3226" s="750"/>
      <c r="BE3226" s="750"/>
      <c r="BF3226" s="750"/>
      <c r="BG3226" s="750"/>
      <c r="BH3226" s="750"/>
      <c r="BI3226" s="750"/>
      <c r="BJ3226" s="750"/>
      <c r="BK3226" s="750"/>
      <c r="BL3226" s="750"/>
      <c r="BM3226" s="750"/>
      <c r="BN3226" s="750"/>
      <c r="BO3226" s="750"/>
      <c r="BP3226" s="750"/>
      <c r="BQ3226" s="750"/>
    </row>
    <row r="3227" spans="3:69">
      <c r="C3227" s="853"/>
      <c r="D3227" s="853"/>
      <c r="E3227" s="853"/>
      <c r="F3227" s="853"/>
      <c r="G3227" s="853"/>
      <c r="H3227" s="853"/>
      <c r="I3227" s="848"/>
      <c r="J3227" s="848"/>
      <c r="K3227" s="1295"/>
      <c r="L3227" s="1295"/>
      <c r="M3227" s="1295"/>
      <c r="N3227" s="1295"/>
      <c r="O3227" s="1295"/>
      <c r="P3227" s="853"/>
      <c r="Q3227" s="1295"/>
      <c r="R3227" s="848"/>
      <c r="S3227" s="848"/>
      <c r="T3227" s="848"/>
      <c r="U3227" s="848"/>
      <c r="V3227" s="1296"/>
      <c r="W3227" s="848"/>
      <c r="X3227" s="848"/>
      <c r="Y3227" s="1295"/>
      <c r="Z3227" s="1296"/>
      <c r="AA3227" s="1295"/>
      <c r="AB3227" s="1296"/>
      <c r="AC3227" s="1295"/>
      <c r="AD3227" s="1295"/>
      <c r="AE3227" s="2556"/>
      <c r="AF3227" s="750"/>
      <c r="AG3227" s="750"/>
      <c r="AH3227" s="750"/>
      <c r="AI3227" s="750"/>
      <c r="AJ3227" s="750"/>
      <c r="AK3227" s="750"/>
      <c r="AL3227" s="750"/>
      <c r="AM3227" s="750"/>
      <c r="AN3227" s="750"/>
      <c r="AO3227" s="750"/>
      <c r="AP3227" s="750"/>
      <c r="AQ3227" s="750"/>
      <c r="AR3227" s="750"/>
      <c r="AS3227" s="750"/>
      <c r="AT3227" s="750"/>
      <c r="AU3227" s="750"/>
      <c r="AV3227" s="750"/>
      <c r="AW3227" s="750"/>
      <c r="AX3227" s="750"/>
      <c r="AY3227" s="750"/>
      <c r="AZ3227" s="750"/>
      <c r="BA3227" s="750"/>
      <c r="BB3227" s="750"/>
      <c r="BC3227" s="750"/>
      <c r="BD3227" s="750"/>
      <c r="BE3227" s="750"/>
      <c r="BF3227" s="750"/>
      <c r="BG3227" s="750"/>
      <c r="BH3227" s="750"/>
      <c r="BI3227" s="750"/>
      <c r="BJ3227" s="750"/>
      <c r="BK3227" s="750"/>
      <c r="BL3227" s="750"/>
      <c r="BM3227" s="750"/>
      <c r="BN3227" s="750"/>
      <c r="BO3227" s="750"/>
      <c r="BP3227" s="750"/>
      <c r="BQ3227" s="750"/>
    </row>
    <row r="3228" spans="3:69">
      <c r="C3228" s="853"/>
      <c r="D3228" s="853"/>
      <c r="E3228" s="853"/>
      <c r="F3228" s="853"/>
      <c r="G3228" s="853"/>
      <c r="H3228" s="853"/>
      <c r="I3228" s="848"/>
      <c r="J3228" s="848"/>
      <c r="K3228" s="1295"/>
      <c r="L3228" s="1295"/>
      <c r="M3228" s="1295"/>
      <c r="N3228" s="1295"/>
      <c r="O3228" s="1295"/>
      <c r="P3228" s="853"/>
      <c r="Q3228" s="1295"/>
      <c r="R3228" s="848"/>
      <c r="S3228" s="848"/>
      <c r="T3228" s="848"/>
      <c r="U3228" s="848"/>
      <c r="V3228" s="1296"/>
      <c r="W3228" s="848"/>
      <c r="X3228" s="848"/>
      <c r="Y3228" s="1295"/>
      <c r="Z3228" s="1296"/>
      <c r="AA3228" s="1295"/>
      <c r="AB3228" s="1296"/>
      <c r="AC3228" s="1295"/>
      <c r="AD3228" s="1295"/>
      <c r="AE3228" s="2556"/>
      <c r="AF3228" s="750"/>
      <c r="AG3228" s="750"/>
      <c r="AH3228" s="750"/>
      <c r="AI3228" s="750"/>
      <c r="AJ3228" s="750"/>
      <c r="AK3228" s="750"/>
      <c r="AL3228" s="750"/>
      <c r="AM3228" s="750"/>
      <c r="AN3228" s="750"/>
      <c r="AO3228" s="750"/>
      <c r="AP3228" s="750"/>
      <c r="AQ3228" s="750"/>
      <c r="AR3228" s="750"/>
      <c r="AS3228" s="750"/>
      <c r="AT3228" s="750"/>
      <c r="AU3228" s="750"/>
      <c r="AV3228" s="750"/>
      <c r="AW3228" s="750"/>
      <c r="AX3228" s="750"/>
      <c r="AY3228" s="750"/>
      <c r="AZ3228" s="750"/>
      <c r="BA3228" s="750"/>
      <c r="BB3228" s="750"/>
      <c r="BC3228" s="750"/>
      <c r="BD3228" s="750"/>
      <c r="BE3228" s="750"/>
      <c r="BF3228" s="750"/>
      <c r="BG3228" s="750"/>
      <c r="BH3228" s="750"/>
      <c r="BI3228" s="750"/>
      <c r="BJ3228" s="750"/>
      <c r="BK3228" s="750"/>
      <c r="BL3228" s="750"/>
      <c r="BM3228" s="750"/>
      <c r="BN3228" s="750"/>
      <c r="BO3228" s="750"/>
      <c r="BP3228" s="750"/>
      <c r="BQ3228" s="750"/>
    </row>
    <row r="3229" spans="3:69">
      <c r="C3229" s="853"/>
      <c r="D3229" s="853"/>
      <c r="E3229" s="853"/>
      <c r="F3229" s="853"/>
      <c r="G3229" s="853"/>
      <c r="H3229" s="853"/>
      <c r="I3229" s="848"/>
      <c r="J3229" s="848"/>
      <c r="K3229" s="1295"/>
      <c r="L3229" s="1295"/>
      <c r="M3229" s="1295"/>
      <c r="N3229" s="1295"/>
      <c r="O3229" s="1295"/>
      <c r="P3229" s="853"/>
      <c r="Q3229" s="1295"/>
      <c r="R3229" s="848"/>
      <c r="S3229" s="848"/>
      <c r="T3229" s="848"/>
      <c r="U3229" s="848"/>
      <c r="V3229" s="1296"/>
      <c r="W3229" s="848"/>
      <c r="X3229" s="848"/>
      <c r="Y3229" s="1295"/>
      <c r="Z3229" s="1296"/>
      <c r="AA3229" s="1295"/>
      <c r="AB3229" s="1296"/>
      <c r="AC3229" s="1295"/>
      <c r="AD3229" s="1295"/>
      <c r="AE3229" s="2556"/>
      <c r="AF3229" s="750"/>
      <c r="AG3229" s="750"/>
      <c r="AH3229" s="750"/>
      <c r="AI3229" s="750"/>
      <c r="AJ3229" s="750"/>
      <c r="AK3229" s="750"/>
      <c r="AL3229" s="750"/>
      <c r="AM3229" s="750"/>
      <c r="AN3229" s="750"/>
      <c r="AO3229" s="750"/>
      <c r="AP3229" s="750"/>
      <c r="AQ3229" s="750"/>
      <c r="AR3229" s="750"/>
      <c r="AS3229" s="750"/>
      <c r="AT3229" s="750"/>
      <c r="AU3229" s="750"/>
      <c r="AV3229" s="750"/>
      <c r="AW3229" s="750"/>
      <c r="AX3229" s="750"/>
      <c r="AY3229" s="750"/>
      <c r="AZ3229" s="750"/>
      <c r="BA3229" s="750"/>
      <c r="BB3229" s="750"/>
      <c r="BC3229" s="750"/>
      <c r="BD3229" s="750"/>
      <c r="BE3229" s="750"/>
      <c r="BF3229" s="750"/>
      <c r="BG3229" s="750"/>
      <c r="BH3229" s="750"/>
      <c r="BI3229" s="750"/>
      <c r="BJ3229" s="750"/>
      <c r="BK3229" s="750"/>
      <c r="BL3229" s="750"/>
      <c r="BM3229" s="750"/>
      <c r="BN3229" s="750"/>
      <c r="BO3229" s="750"/>
      <c r="BP3229" s="750"/>
      <c r="BQ3229" s="750"/>
    </row>
    <row r="3230" spans="3:69">
      <c r="C3230" s="853"/>
      <c r="D3230" s="853"/>
      <c r="E3230" s="853"/>
      <c r="F3230" s="853"/>
      <c r="G3230" s="853"/>
      <c r="H3230" s="853"/>
      <c r="I3230" s="848"/>
      <c r="J3230" s="848"/>
      <c r="K3230" s="1295"/>
      <c r="L3230" s="1295"/>
      <c r="M3230" s="1295"/>
      <c r="N3230" s="1295"/>
      <c r="O3230" s="1295"/>
      <c r="P3230" s="853"/>
      <c r="Q3230" s="1295"/>
      <c r="R3230" s="848"/>
      <c r="S3230" s="848"/>
      <c r="T3230" s="848"/>
      <c r="U3230" s="848"/>
      <c r="V3230" s="1296"/>
      <c r="W3230" s="848"/>
      <c r="X3230" s="848"/>
      <c r="Y3230" s="1295"/>
      <c r="Z3230" s="1296"/>
      <c r="AA3230" s="1295"/>
      <c r="AB3230" s="1296"/>
      <c r="AC3230" s="1295"/>
      <c r="AD3230" s="1295"/>
      <c r="AE3230" s="2556"/>
      <c r="AF3230" s="750"/>
      <c r="AG3230" s="750"/>
      <c r="AH3230" s="750"/>
      <c r="AI3230" s="750"/>
      <c r="AJ3230" s="750"/>
      <c r="AK3230" s="750"/>
      <c r="AL3230" s="750"/>
      <c r="AM3230" s="750"/>
      <c r="AN3230" s="750"/>
      <c r="AO3230" s="750"/>
      <c r="AP3230" s="750"/>
      <c r="AQ3230" s="750"/>
      <c r="AR3230" s="750"/>
      <c r="AS3230" s="750"/>
      <c r="AT3230" s="750"/>
      <c r="AU3230" s="750"/>
      <c r="AV3230" s="750"/>
      <c r="AW3230" s="750"/>
      <c r="AX3230" s="750"/>
      <c r="AY3230" s="750"/>
      <c r="AZ3230" s="750"/>
      <c r="BA3230" s="750"/>
      <c r="BB3230" s="750"/>
      <c r="BC3230" s="750"/>
      <c r="BD3230" s="750"/>
      <c r="BE3230" s="750"/>
      <c r="BF3230" s="750"/>
      <c r="BG3230" s="750"/>
      <c r="BH3230" s="750"/>
      <c r="BI3230" s="750"/>
      <c r="BJ3230" s="750"/>
      <c r="BK3230" s="750"/>
      <c r="BL3230" s="750"/>
      <c r="BM3230" s="750"/>
      <c r="BN3230" s="750"/>
      <c r="BO3230" s="750"/>
      <c r="BP3230" s="750"/>
      <c r="BQ3230" s="750"/>
    </row>
    <row r="3231" spans="3:69">
      <c r="C3231" s="853"/>
      <c r="D3231" s="853"/>
      <c r="E3231" s="853"/>
      <c r="F3231" s="853"/>
      <c r="G3231" s="853"/>
      <c r="H3231" s="853"/>
      <c r="I3231" s="848"/>
      <c r="J3231" s="848"/>
      <c r="K3231" s="1295"/>
      <c r="L3231" s="1295"/>
      <c r="M3231" s="1295"/>
      <c r="N3231" s="1295"/>
      <c r="O3231" s="1295"/>
      <c r="P3231" s="853"/>
      <c r="Q3231" s="1295"/>
      <c r="R3231" s="848"/>
      <c r="S3231" s="848"/>
      <c r="T3231" s="848"/>
      <c r="U3231" s="848"/>
      <c r="V3231" s="1296"/>
      <c r="W3231" s="848"/>
      <c r="X3231" s="848"/>
      <c r="Y3231" s="1295"/>
      <c r="Z3231" s="1296"/>
      <c r="AA3231" s="1295"/>
      <c r="AB3231" s="1296"/>
      <c r="AC3231" s="1295"/>
      <c r="AD3231" s="1295"/>
      <c r="AE3231" s="2556"/>
      <c r="AF3231" s="750"/>
      <c r="AG3231" s="750"/>
      <c r="AH3231" s="750"/>
      <c r="AI3231" s="750"/>
      <c r="AJ3231" s="750"/>
      <c r="AK3231" s="750"/>
      <c r="AL3231" s="750"/>
      <c r="AM3231" s="750"/>
      <c r="AN3231" s="750"/>
      <c r="AO3231" s="750"/>
      <c r="AP3231" s="750"/>
      <c r="AQ3231" s="750"/>
      <c r="AR3231" s="750"/>
      <c r="AS3231" s="750"/>
      <c r="AT3231" s="750"/>
      <c r="AU3231" s="750"/>
      <c r="AV3231" s="750"/>
      <c r="AW3231" s="750"/>
      <c r="AX3231" s="750"/>
      <c r="AY3231" s="750"/>
      <c r="AZ3231" s="750"/>
      <c r="BA3231" s="750"/>
      <c r="BB3231" s="750"/>
      <c r="BC3231" s="750"/>
      <c r="BD3231" s="750"/>
      <c r="BE3231" s="750"/>
      <c r="BF3231" s="750"/>
      <c r="BG3231" s="750"/>
      <c r="BH3231" s="750"/>
      <c r="BI3231" s="750"/>
      <c r="BJ3231" s="750"/>
      <c r="BK3231" s="750"/>
      <c r="BL3231" s="750"/>
      <c r="BM3231" s="750"/>
      <c r="BN3231" s="750"/>
      <c r="BO3231" s="750"/>
      <c r="BP3231" s="750"/>
      <c r="BQ3231" s="750"/>
    </row>
    <row r="3232" spans="3:69">
      <c r="C3232" s="853"/>
      <c r="D3232" s="853"/>
      <c r="E3232" s="853"/>
      <c r="F3232" s="853"/>
      <c r="G3232" s="853"/>
      <c r="H3232" s="853"/>
      <c r="I3232" s="848"/>
      <c r="J3232" s="848"/>
      <c r="K3232" s="1295"/>
      <c r="L3232" s="1295"/>
      <c r="M3232" s="1295"/>
      <c r="N3232" s="1295"/>
      <c r="O3232" s="1295"/>
      <c r="P3232" s="853"/>
      <c r="Q3232" s="1295"/>
      <c r="R3232" s="848"/>
      <c r="S3232" s="848"/>
      <c r="T3232" s="848"/>
      <c r="U3232" s="848"/>
      <c r="V3232" s="1296"/>
      <c r="W3232" s="848"/>
      <c r="X3232" s="848"/>
      <c r="Y3232" s="1295"/>
      <c r="Z3232" s="1296"/>
      <c r="AA3232" s="1295"/>
      <c r="AB3232" s="1296"/>
      <c r="AC3232" s="1295"/>
      <c r="AD3232" s="1295"/>
      <c r="AE3232" s="2556"/>
      <c r="AF3232" s="750"/>
      <c r="AG3232" s="750"/>
      <c r="AH3232" s="750"/>
      <c r="AI3232" s="750"/>
      <c r="AJ3232" s="750"/>
      <c r="AK3232" s="750"/>
      <c r="AL3232" s="750"/>
      <c r="AM3232" s="750"/>
      <c r="AN3232" s="750"/>
      <c r="AO3232" s="750"/>
      <c r="AP3232" s="750"/>
      <c r="AQ3232" s="750"/>
      <c r="AR3232" s="750"/>
      <c r="AS3232" s="750"/>
      <c r="AT3232" s="750"/>
      <c r="AU3232" s="750"/>
      <c r="AV3232" s="750"/>
      <c r="AW3232" s="750"/>
      <c r="AX3232" s="750"/>
      <c r="AY3232" s="750"/>
      <c r="AZ3232" s="750"/>
      <c r="BA3232" s="750"/>
      <c r="BB3232" s="750"/>
      <c r="BC3232" s="750"/>
      <c r="BD3232" s="750"/>
      <c r="BE3232" s="750"/>
      <c r="BF3232" s="750"/>
      <c r="BG3232" s="750"/>
      <c r="BH3232" s="750"/>
      <c r="BI3232" s="750"/>
      <c r="BJ3232" s="750"/>
      <c r="BK3232" s="750"/>
      <c r="BL3232" s="750"/>
      <c r="BM3232" s="750"/>
      <c r="BN3232" s="750"/>
      <c r="BO3232" s="750"/>
      <c r="BP3232" s="750"/>
      <c r="BQ3232" s="750"/>
    </row>
    <row r="3233" spans="3:69">
      <c r="C3233" s="853"/>
      <c r="D3233" s="853"/>
      <c r="E3233" s="853"/>
      <c r="F3233" s="853"/>
      <c r="G3233" s="853"/>
      <c r="H3233" s="853"/>
      <c r="I3233" s="848"/>
      <c r="J3233" s="848"/>
      <c r="K3233" s="1295"/>
      <c r="L3233" s="1295"/>
      <c r="M3233" s="1295"/>
      <c r="N3233" s="1295"/>
      <c r="O3233" s="1295"/>
      <c r="P3233" s="853"/>
      <c r="Q3233" s="1295"/>
      <c r="R3233" s="848"/>
      <c r="S3233" s="848"/>
      <c r="T3233" s="848"/>
      <c r="U3233" s="848"/>
      <c r="V3233" s="1296"/>
      <c r="W3233" s="848"/>
      <c r="X3233" s="848"/>
      <c r="Y3233" s="1295"/>
      <c r="Z3233" s="1296"/>
      <c r="AA3233" s="1295"/>
      <c r="AB3233" s="1296"/>
      <c r="AC3233" s="1295"/>
      <c r="AD3233" s="1295"/>
      <c r="AE3233" s="2556"/>
      <c r="AF3233" s="750"/>
      <c r="AG3233" s="750"/>
      <c r="AH3233" s="750"/>
      <c r="AI3233" s="750"/>
      <c r="AJ3233" s="750"/>
      <c r="AK3233" s="750"/>
      <c r="AL3233" s="750"/>
      <c r="AM3233" s="750"/>
      <c r="AN3233" s="750"/>
      <c r="AO3233" s="750"/>
      <c r="AP3233" s="750"/>
      <c r="AQ3233" s="750"/>
      <c r="AR3233" s="750"/>
      <c r="AS3233" s="750"/>
      <c r="AT3233" s="750"/>
      <c r="AU3233" s="750"/>
      <c r="AV3233" s="750"/>
      <c r="AW3233" s="750"/>
      <c r="AX3233" s="750"/>
      <c r="AY3233" s="750"/>
      <c r="AZ3233" s="750"/>
      <c r="BA3233" s="750"/>
      <c r="BB3233" s="750"/>
      <c r="BC3233" s="750"/>
      <c r="BD3233" s="750"/>
      <c r="BE3233" s="750"/>
      <c r="BF3233" s="750"/>
      <c r="BG3233" s="750"/>
      <c r="BH3233" s="750"/>
      <c r="BI3233" s="750"/>
      <c r="BJ3233" s="750"/>
      <c r="BK3233" s="750"/>
      <c r="BL3233" s="750"/>
      <c r="BM3233" s="750"/>
      <c r="BN3233" s="750"/>
      <c r="BO3233" s="750"/>
      <c r="BP3233" s="750"/>
      <c r="BQ3233" s="750"/>
    </row>
    <row r="3234" spans="3:69">
      <c r="C3234" s="853"/>
      <c r="D3234" s="853"/>
      <c r="E3234" s="853"/>
      <c r="F3234" s="853"/>
      <c r="G3234" s="853"/>
      <c r="H3234" s="853"/>
      <c r="I3234" s="848"/>
      <c r="J3234" s="848"/>
      <c r="K3234" s="1295"/>
      <c r="L3234" s="1295"/>
      <c r="M3234" s="1295"/>
      <c r="N3234" s="1295"/>
      <c r="O3234" s="1295"/>
      <c r="P3234" s="853"/>
      <c r="Q3234" s="1295"/>
      <c r="R3234" s="848"/>
      <c r="S3234" s="848"/>
      <c r="T3234" s="848"/>
      <c r="U3234" s="848"/>
      <c r="V3234" s="1296"/>
      <c r="W3234" s="848"/>
      <c r="X3234" s="848"/>
      <c r="Y3234" s="1295"/>
      <c r="Z3234" s="1296"/>
      <c r="AA3234" s="1295"/>
      <c r="AB3234" s="1296"/>
      <c r="AC3234" s="1295"/>
      <c r="AD3234" s="1295"/>
      <c r="AE3234" s="2556"/>
      <c r="AF3234" s="750"/>
      <c r="AG3234" s="750"/>
      <c r="AH3234" s="750"/>
      <c r="AI3234" s="750"/>
      <c r="AJ3234" s="750"/>
      <c r="AK3234" s="750"/>
      <c r="AL3234" s="750"/>
      <c r="AM3234" s="750"/>
      <c r="AN3234" s="750"/>
      <c r="AO3234" s="750"/>
      <c r="AP3234" s="750"/>
      <c r="AQ3234" s="750"/>
      <c r="AR3234" s="750"/>
      <c r="AS3234" s="750"/>
      <c r="AT3234" s="750"/>
      <c r="AU3234" s="750"/>
      <c r="AV3234" s="750"/>
      <c r="AW3234" s="750"/>
      <c r="AX3234" s="750"/>
      <c r="AY3234" s="750"/>
      <c r="AZ3234" s="750"/>
      <c r="BA3234" s="750"/>
      <c r="BB3234" s="750"/>
      <c r="BC3234" s="750"/>
      <c r="BD3234" s="750"/>
      <c r="BE3234" s="750"/>
      <c r="BF3234" s="750"/>
      <c r="BG3234" s="750"/>
      <c r="BH3234" s="750"/>
      <c r="BI3234" s="750"/>
      <c r="BJ3234" s="750"/>
      <c r="BK3234" s="750"/>
      <c r="BL3234" s="750"/>
      <c r="BM3234" s="750"/>
      <c r="BN3234" s="750"/>
      <c r="BO3234" s="750"/>
      <c r="BP3234" s="750"/>
      <c r="BQ3234" s="750"/>
    </row>
    <row r="3235" spans="3:69">
      <c r="C3235" s="853"/>
      <c r="D3235" s="853"/>
      <c r="E3235" s="853"/>
      <c r="F3235" s="853"/>
      <c r="G3235" s="853"/>
      <c r="H3235" s="853"/>
      <c r="I3235" s="848"/>
      <c r="J3235" s="848"/>
      <c r="K3235" s="1295"/>
      <c r="L3235" s="1295"/>
      <c r="M3235" s="1295"/>
      <c r="N3235" s="1295"/>
      <c r="O3235" s="1295"/>
      <c r="P3235" s="853"/>
      <c r="Q3235" s="1295"/>
      <c r="R3235" s="848"/>
      <c r="S3235" s="848"/>
      <c r="T3235" s="848"/>
      <c r="U3235" s="848"/>
      <c r="V3235" s="1296"/>
      <c r="W3235" s="848"/>
      <c r="X3235" s="848"/>
      <c r="Y3235" s="1295"/>
      <c r="Z3235" s="1296"/>
      <c r="AA3235" s="1295"/>
      <c r="AB3235" s="1296"/>
      <c r="AC3235" s="1295"/>
      <c r="AD3235" s="1295"/>
      <c r="AE3235" s="2556"/>
      <c r="AF3235" s="750"/>
      <c r="AG3235" s="750"/>
      <c r="AH3235" s="750"/>
      <c r="AI3235" s="750"/>
      <c r="AJ3235" s="750"/>
      <c r="AK3235" s="750"/>
      <c r="AL3235" s="750"/>
      <c r="AM3235" s="750"/>
      <c r="AN3235" s="750"/>
      <c r="AO3235" s="750"/>
      <c r="AP3235" s="750"/>
      <c r="AQ3235" s="750"/>
      <c r="AR3235" s="750"/>
      <c r="AS3235" s="750"/>
      <c r="AT3235" s="750"/>
      <c r="AU3235" s="750"/>
      <c r="AV3235" s="750"/>
      <c r="AW3235" s="750"/>
      <c r="AX3235" s="750"/>
      <c r="AY3235" s="750"/>
      <c r="AZ3235" s="750"/>
      <c r="BA3235" s="750"/>
      <c r="BB3235" s="750"/>
      <c r="BC3235" s="750"/>
      <c r="BD3235" s="750"/>
      <c r="BE3235" s="750"/>
      <c r="BF3235" s="750"/>
      <c r="BG3235" s="750"/>
      <c r="BH3235" s="750"/>
      <c r="BI3235" s="750"/>
      <c r="BJ3235" s="750"/>
      <c r="BK3235" s="750"/>
      <c r="BL3235" s="750"/>
      <c r="BM3235" s="750"/>
      <c r="BN3235" s="750"/>
      <c r="BO3235" s="750"/>
      <c r="BP3235" s="750"/>
      <c r="BQ3235" s="750"/>
    </row>
    <row r="3236" spans="3:69">
      <c r="C3236" s="853"/>
      <c r="D3236" s="853"/>
      <c r="E3236" s="853"/>
      <c r="F3236" s="853"/>
      <c r="G3236" s="853"/>
      <c r="H3236" s="853"/>
      <c r="I3236" s="848"/>
      <c r="J3236" s="848"/>
      <c r="K3236" s="1295"/>
      <c r="L3236" s="1295"/>
      <c r="M3236" s="1295"/>
      <c r="N3236" s="1295"/>
      <c r="O3236" s="1295"/>
      <c r="P3236" s="853"/>
      <c r="Q3236" s="1295"/>
      <c r="R3236" s="848"/>
      <c r="S3236" s="848"/>
      <c r="T3236" s="848"/>
      <c r="U3236" s="848"/>
      <c r="V3236" s="1296"/>
      <c r="W3236" s="848"/>
      <c r="X3236" s="848"/>
      <c r="Y3236" s="1295"/>
      <c r="Z3236" s="1296"/>
      <c r="AA3236" s="1295"/>
      <c r="AB3236" s="1296"/>
      <c r="AC3236" s="1295"/>
      <c r="AD3236" s="1295"/>
      <c r="AE3236" s="2556"/>
      <c r="AF3236" s="750"/>
      <c r="AG3236" s="750"/>
      <c r="AH3236" s="750"/>
      <c r="AI3236" s="750"/>
      <c r="AJ3236" s="750"/>
      <c r="AK3236" s="750"/>
      <c r="AL3236" s="750"/>
      <c r="AM3236" s="750"/>
      <c r="AN3236" s="750"/>
      <c r="AO3236" s="750"/>
      <c r="AP3236" s="750"/>
      <c r="AQ3236" s="750"/>
      <c r="AR3236" s="750"/>
      <c r="AS3236" s="750"/>
      <c r="AT3236" s="750"/>
      <c r="AU3236" s="750"/>
      <c r="AV3236" s="750"/>
      <c r="AW3236" s="750"/>
      <c r="AX3236" s="750"/>
      <c r="AY3236" s="750"/>
      <c r="AZ3236" s="750"/>
      <c r="BA3236" s="750"/>
      <c r="BB3236" s="750"/>
      <c r="BC3236" s="750"/>
      <c r="BD3236" s="750"/>
      <c r="BE3236" s="750"/>
      <c r="BF3236" s="750"/>
      <c r="BG3236" s="750"/>
      <c r="BH3236" s="750"/>
      <c r="BI3236" s="750"/>
      <c r="BJ3236" s="750"/>
      <c r="BK3236" s="750"/>
      <c r="BL3236" s="750"/>
      <c r="BM3236" s="750"/>
      <c r="BN3236" s="750"/>
      <c r="BO3236" s="750"/>
      <c r="BP3236" s="750"/>
      <c r="BQ3236" s="750"/>
    </row>
    <row r="3237" spans="3:69">
      <c r="C3237" s="853"/>
      <c r="D3237" s="853"/>
      <c r="E3237" s="853"/>
      <c r="F3237" s="853"/>
      <c r="G3237" s="853"/>
      <c r="H3237" s="853"/>
      <c r="I3237" s="848"/>
      <c r="J3237" s="848"/>
      <c r="K3237" s="1295"/>
      <c r="L3237" s="1295"/>
      <c r="M3237" s="1295"/>
      <c r="N3237" s="1295"/>
      <c r="O3237" s="1295"/>
      <c r="P3237" s="853"/>
      <c r="Q3237" s="1295"/>
      <c r="R3237" s="848"/>
      <c r="S3237" s="848"/>
      <c r="T3237" s="848"/>
      <c r="U3237" s="848"/>
      <c r="V3237" s="1296"/>
      <c r="W3237" s="848"/>
      <c r="X3237" s="848"/>
      <c r="Y3237" s="1295"/>
      <c r="Z3237" s="1296"/>
      <c r="AA3237" s="1295"/>
      <c r="AB3237" s="1296"/>
      <c r="AC3237" s="1295"/>
      <c r="AD3237" s="1295"/>
      <c r="AE3237" s="2556"/>
      <c r="AF3237" s="750"/>
      <c r="AG3237" s="750"/>
      <c r="AH3237" s="750"/>
      <c r="AI3237" s="750"/>
      <c r="AJ3237" s="750"/>
      <c r="AK3237" s="750"/>
      <c r="AL3237" s="750"/>
      <c r="AM3237" s="750"/>
      <c r="AN3237" s="750"/>
      <c r="AO3237" s="750"/>
      <c r="AP3237" s="750"/>
      <c r="AQ3237" s="750"/>
      <c r="AR3237" s="750"/>
      <c r="AS3237" s="750"/>
      <c r="AT3237" s="750"/>
      <c r="AU3237" s="750"/>
      <c r="AV3237" s="750"/>
      <c r="AW3237" s="750"/>
      <c r="AX3237" s="750"/>
      <c r="AY3237" s="750"/>
      <c r="AZ3237" s="750"/>
      <c r="BA3237" s="750"/>
      <c r="BB3237" s="750"/>
      <c r="BC3237" s="750"/>
      <c r="BD3237" s="750"/>
      <c r="BE3237" s="750"/>
      <c r="BF3237" s="750"/>
      <c r="BG3237" s="750"/>
      <c r="BH3237" s="750"/>
      <c r="BI3237" s="750"/>
      <c r="BJ3237" s="750"/>
      <c r="BK3237" s="750"/>
      <c r="BL3237" s="750"/>
      <c r="BM3237" s="750"/>
      <c r="BN3237" s="750"/>
      <c r="BO3237" s="750"/>
      <c r="BP3237" s="750"/>
      <c r="BQ3237" s="750"/>
    </row>
    <row r="3238" spans="3:69">
      <c r="C3238" s="853"/>
      <c r="D3238" s="853"/>
      <c r="E3238" s="853"/>
      <c r="F3238" s="853"/>
      <c r="G3238" s="853"/>
      <c r="H3238" s="853"/>
      <c r="I3238" s="848"/>
      <c r="J3238" s="848"/>
      <c r="K3238" s="1295"/>
      <c r="L3238" s="1295"/>
      <c r="M3238" s="1295"/>
      <c r="N3238" s="1295"/>
      <c r="O3238" s="1295"/>
      <c r="P3238" s="853"/>
      <c r="Q3238" s="1295"/>
      <c r="R3238" s="848"/>
      <c r="S3238" s="848"/>
      <c r="T3238" s="848"/>
      <c r="U3238" s="848"/>
      <c r="V3238" s="1296"/>
      <c r="W3238" s="848"/>
      <c r="X3238" s="848"/>
      <c r="Y3238" s="1295"/>
      <c r="Z3238" s="1296"/>
      <c r="AA3238" s="1295"/>
      <c r="AB3238" s="1296"/>
      <c r="AC3238" s="1295"/>
      <c r="AD3238" s="1295"/>
      <c r="AE3238" s="2556"/>
      <c r="AF3238" s="750"/>
      <c r="AG3238" s="750"/>
      <c r="AH3238" s="750"/>
      <c r="AI3238" s="750"/>
      <c r="AJ3238" s="750"/>
      <c r="AK3238" s="750"/>
      <c r="AL3238" s="750"/>
      <c r="AM3238" s="750"/>
      <c r="AN3238" s="750"/>
      <c r="AO3238" s="750"/>
      <c r="AP3238" s="750"/>
      <c r="AQ3238" s="750"/>
      <c r="AR3238" s="750"/>
      <c r="AS3238" s="750"/>
      <c r="AT3238" s="750"/>
      <c r="AU3238" s="750"/>
      <c r="AV3238" s="750"/>
      <c r="AW3238" s="750"/>
      <c r="AX3238" s="750"/>
      <c r="AY3238" s="750"/>
      <c r="AZ3238" s="750"/>
      <c r="BA3238" s="750"/>
      <c r="BB3238" s="750"/>
      <c r="BC3238" s="750"/>
      <c r="BD3238" s="750"/>
      <c r="BE3238" s="750"/>
      <c r="BF3238" s="750"/>
      <c r="BG3238" s="750"/>
      <c r="BH3238" s="750"/>
      <c r="BI3238" s="750"/>
      <c r="BJ3238" s="750"/>
      <c r="BK3238" s="750"/>
      <c r="BL3238" s="750"/>
      <c r="BM3238" s="750"/>
      <c r="BN3238" s="750"/>
      <c r="BO3238" s="750"/>
      <c r="BP3238" s="750"/>
      <c r="BQ3238" s="750"/>
    </row>
    <row r="3239" spans="3:69">
      <c r="C3239" s="853"/>
      <c r="D3239" s="853"/>
      <c r="E3239" s="853"/>
      <c r="F3239" s="853"/>
      <c r="G3239" s="853"/>
      <c r="H3239" s="853"/>
      <c r="I3239" s="848"/>
      <c r="J3239" s="848"/>
      <c r="K3239" s="1295"/>
      <c r="L3239" s="1295"/>
      <c r="M3239" s="1295"/>
      <c r="N3239" s="1295"/>
      <c r="O3239" s="1295"/>
      <c r="P3239" s="853"/>
      <c r="Q3239" s="1295"/>
      <c r="R3239" s="848"/>
      <c r="S3239" s="848"/>
      <c r="T3239" s="848"/>
      <c r="U3239" s="848"/>
      <c r="V3239" s="1296"/>
      <c r="W3239" s="848"/>
      <c r="X3239" s="848"/>
      <c r="Y3239" s="1295"/>
      <c r="Z3239" s="1296"/>
      <c r="AA3239" s="1295"/>
      <c r="AB3239" s="1296"/>
      <c r="AC3239" s="1295"/>
      <c r="AD3239" s="1295"/>
      <c r="AE3239" s="2556"/>
      <c r="AF3239" s="750"/>
      <c r="AG3239" s="750"/>
      <c r="AH3239" s="750"/>
      <c r="AI3239" s="750"/>
      <c r="AJ3239" s="750"/>
      <c r="AK3239" s="750"/>
      <c r="AL3239" s="750"/>
      <c r="AM3239" s="750"/>
      <c r="AN3239" s="750"/>
      <c r="AO3239" s="750"/>
      <c r="AP3239" s="750"/>
      <c r="AQ3239" s="750"/>
      <c r="AR3239" s="750"/>
      <c r="AS3239" s="750"/>
      <c r="AT3239" s="750"/>
      <c r="AU3239" s="750"/>
      <c r="AV3239" s="750"/>
      <c r="AW3239" s="750"/>
      <c r="AX3239" s="750"/>
      <c r="AY3239" s="750"/>
      <c r="AZ3239" s="750"/>
      <c r="BA3239" s="750"/>
      <c r="BB3239" s="750"/>
      <c r="BC3239" s="750"/>
      <c r="BD3239" s="750"/>
      <c r="BE3239" s="750"/>
      <c r="BF3239" s="750"/>
      <c r="BG3239" s="750"/>
      <c r="BH3239" s="750"/>
      <c r="BI3239" s="750"/>
      <c r="BJ3239" s="750"/>
      <c r="BK3239" s="750"/>
      <c r="BL3239" s="750"/>
      <c r="BM3239" s="750"/>
      <c r="BN3239" s="750"/>
      <c r="BO3239" s="750"/>
      <c r="BP3239" s="750"/>
      <c r="BQ3239" s="750"/>
    </row>
    <row r="3240" spans="3:69">
      <c r="C3240" s="853"/>
      <c r="D3240" s="853"/>
      <c r="E3240" s="853"/>
      <c r="F3240" s="853"/>
      <c r="G3240" s="853"/>
      <c r="H3240" s="853"/>
      <c r="I3240" s="848"/>
      <c r="J3240" s="848"/>
      <c r="K3240" s="1295"/>
      <c r="L3240" s="1295"/>
      <c r="M3240" s="1295"/>
      <c r="N3240" s="1295"/>
      <c r="O3240" s="1295"/>
      <c r="P3240" s="853"/>
      <c r="Q3240" s="1295"/>
      <c r="R3240" s="848"/>
      <c r="S3240" s="848"/>
      <c r="T3240" s="848"/>
      <c r="U3240" s="848"/>
      <c r="V3240" s="1296"/>
      <c r="W3240" s="848"/>
      <c r="X3240" s="848"/>
      <c r="Y3240" s="1295"/>
      <c r="Z3240" s="1296"/>
      <c r="AA3240" s="1295"/>
      <c r="AB3240" s="1296"/>
      <c r="AC3240" s="1295"/>
      <c r="AD3240" s="1295"/>
      <c r="AE3240" s="2556"/>
      <c r="AF3240" s="750"/>
      <c r="AG3240" s="750"/>
      <c r="AH3240" s="750"/>
      <c r="AI3240" s="750"/>
      <c r="AJ3240" s="750"/>
      <c r="AK3240" s="750"/>
      <c r="AL3240" s="750"/>
      <c r="AM3240" s="750"/>
      <c r="AN3240" s="750"/>
      <c r="AO3240" s="750"/>
      <c r="AP3240" s="750"/>
      <c r="AQ3240" s="750"/>
      <c r="AR3240" s="750"/>
      <c r="AS3240" s="750"/>
      <c r="AT3240" s="750"/>
      <c r="AU3240" s="750"/>
      <c r="AV3240" s="750"/>
      <c r="AW3240" s="750"/>
      <c r="AX3240" s="750"/>
      <c r="AY3240" s="750"/>
      <c r="AZ3240" s="750"/>
      <c r="BA3240" s="750"/>
      <c r="BB3240" s="750"/>
      <c r="BC3240" s="750"/>
      <c r="BD3240" s="750"/>
      <c r="BE3240" s="750"/>
      <c r="BF3240" s="750"/>
      <c r="BG3240" s="750"/>
      <c r="BH3240" s="750"/>
      <c r="BI3240" s="750"/>
      <c r="BJ3240" s="750"/>
      <c r="BK3240" s="750"/>
      <c r="BL3240" s="750"/>
      <c r="BM3240" s="750"/>
      <c r="BN3240" s="750"/>
      <c r="BO3240" s="750"/>
      <c r="BP3240" s="750"/>
      <c r="BQ3240" s="750"/>
    </row>
    <row r="3241" spans="3:69">
      <c r="C3241" s="853"/>
      <c r="D3241" s="853"/>
      <c r="E3241" s="853"/>
      <c r="F3241" s="853"/>
      <c r="G3241" s="853"/>
      <c r="H3241" s="853"/>
      <c r="I3241" s="848"/>
      <c r="J3241" s="848"/>
      <c r="K3241" s="1295"/>
      <c r="L3241" s="1295"/>
      <c r="M3241" s="1295"/>
      <c r="N3241" s="1295"/>
      <c r="O3241" s="1295"/>
      <c r="P3241" s="853"/>
      <c r="Q3241" s="1295"/>
      <c r="R3241" s="848"/>
      <c r="S3241" s="848"/>
      <c r="T3241" s="848"/>
      <c r="U3241" s="848"/>
      <c r="V3241" s="1296"/>
      <c r="W3241" s="848"/>
      <c r="X3241" s="848"/>
      <c r="Y3241" s="1295"/>
      <c r="Z3241" s="1296"/>
      <c r="AA3241" s="1295"/>
      <c r="AB3241" s="1296"/>
      <c r="AC3241" s="1295"/>
      <c r="AD3241" s="1295"/>
      <c r="AE3241" s="2556"/>
      <c r="AF3241" s="750"/>
      <c r="AG3241" s="750"/>
      <c r="AH3241" s="750"/>
      <c r="AI3241" s="750"/>
      <c r="AJ3241" s="750"/>
      <c r="AK3241" s="750"/>
      <c r="AL3241" s="750"/>
      <c r="AM3241" s="750"/>
      <c r="AN3241" s="750"/>
      <c r="AO3241" s="750"/>
      <c r="AP3241" s="750"/>
      <c r="AQ3241" s="750"/>
      <c r="AR3241" s="750"/>
      <c r="AS3241" s="750"/>
      <c r="AT3241" s="750"/>
      <c r="AU3241" s="750"/>
      <c r="AV3241" s="750"/>
      <c r="AW3241" s="750"/>
      <c r="AX3241" s="750"/>
      <c r="AY3241" s="750"/>
      <c r="AZ3241" s="750"/>
      <c r="BA3241" s="750"/>
      <c r="BB3241" s="750"/>
      <c r="BC3241" s="750"/>
      <c r="BD3241" s="750"/>
      <c r="BE3241" s="750"/>
      <c r="BF3241" s="750"/>
      <c r="BG3241" s="750"/>
      <c r="BH3241" s="750"/>
      <c r="BI3241" s="750"/>
      <c r="BJ3241" s="750"/>
      <c r="BK3241" s="750"/>
      <c r="BL3241" s="750"/>
      <c r="BM3241" s="750"/>
      <c r="BN3241" s="750"/>
      <c r="BO3241" s="750"/>
      <c r="BP3241" s="750"/>
      <c r="BQ3241" s="750"/>
    </row>
    <row r="3242" spans="3:69">
      <c r="C3242" s="853"/>
      <c r="D3242" s="853"/>
      <c r="E3242" s="853"/>
      <c r="F3242" s="853"/>
      <c r="G3242" s="853"/>
      <c r="H3242" s="853"/>
      <c r="I3242" s="848"/>
      <c r="J3242" s="848"/>
      <c r="K3242" s="1295"/>
      <c r="L3242" s="1295"/>
      <c r="M3242" s="1295"/>
      <c r="N3242" s="1295"/>
      <c r="O3242" s="1295"/>
      <c r="P3242" s="853"/>
      <c r="Q3242" s="1295"/>
      <c r="R3242" s="848"/>
      <c r="S3242" s="848"/>
      <c r="T3242" s="848"/>
      <c r="U3242" s="848"/>
      <c r="V3242" s="1296"/>
      <c r="W3242" s="848"/>
      <c r="X3242" s="848"/>
      <c r="Y3242" s="1295"/>
      <c r="Z3242" s="1296"/>
      <c r="AA3242" s="1295"/>
      <c r="AB3242" s="1296"/>
      <c r="AC3242" s="1295"/>
      <c r="AD3242" s="1295"/>
      <c r="AE3242" s="2556"/>
      <c r="AF3242" s="750"/>
      <c r="AG3242" s="750"/>
      <c r="AH3242" s="750"/>
      <c r="AI3242" s="750"/>
      <c r="AJ3242" s="750"/>
      <c r="AK3242" s="750"/>
      <c r="AL3242" s="750"/>
      <c r="AM3242" s="750"/>
      <c r="AN3242" s="750"/>
      <c r="AO3242" s="750"/>
      <c r="AP3242" s="750"/>
      <c r="AQ3242" s="750"/>
      <c r="AR3242" s="750"/>
      <c r="AS3242" s="750"/>
      <c r="AT3242" s="750"/>
      <c r="AU3242" s="750"/>
      <c r="AV3242" s="750"/>
      <c r="AW3242" s="750"/>
      <c r="AX3242" s="750"/>
      <c r="AY3242" s="750"/>
      <c r="AZ3242" s="750"/>
      <c r="BA3242" s="750"/>
      <c r="BB3242" s="750"/>
      <c r="BC3242" s="750"/>
      <c r="BD3242" s="750"/>
      <c r="BE3242" s="750"/>
      <c r="BF3242" s="750"/>
      <c r="BG3242" s="750"/>
      <c r="BH3242" s="750"/>
      <c r="BI3242" s="750"/>
      <c r="BJ3242" s="750"/>
      <c r="BK3242" s="750"/>
      <c r="BL3242" s="750"/>
      <c r="BM3242" s="750"/>
      <c r="BN3242" s="750"/>
      <c r="BO3242" s="750"/>
      <c r="BP3242" s="750"/>
      <c r="BQ3242" s="750"/>
    </row>
    <row r="3243" spans="3:69">
      <c r="C3243" s="853"/>
      <c r="D3243" s="853"/>
      <c r="E3243" s="853"/>
      <c r="F3243" s="853"/>
      <c r="G3243" s="853"/>
      <c r="H3243" s="853"/>
      <c r="I3243" s="848"/>
      <c r="J3243" s="848"/>
      <c r="K3243" s="1295"/>
      <c r="L3243" s="1295"/>
      <c r="M3243" s="1295"/>
      <c r="N3243" s="1295"/>
      <c r="O3243" s="1295"/>
      <c r="P3243" s="853"/>
      <c r="Q3243" s="1295"/>
      <c r="R3243" s="848"/>
      <c r="S3243" s="848"/>
      <c r="T3243" s="848"/>
      <c r="U3243" s="848"/>
      <c r="V3243" s="1296"/>
      <c r="W3243" s="848"/>
      <c r="X3243" s="848"/>
      <c r="Y3243" s="1295"/>
      <c r="Z3243" s="1296"/>
      <c r="AA3243" s="1295"/>
      <c r="AB3243" s="1296"/>
      <c r="AC3243" s="1295"/>
      <c r="AD3243" s="1295"/>
      <c r="AE3243" s="2556"/>
      <c r="AF3243" s="750"/>
      <c r="AG3243" s="750"/>
      <c r="AH3243" s="750"/>
      <c r="AI3243" s="750"/>
      <c r="AJ3243" s="750"/>
      <c r="AK3243" s="750"/>
      <c r="AL3243" s="750"/>
      <c r="AM3243" s="750"/>
      <c r="AN3243" s="750"/>
      <c r="AO3243" s="750"/>
      <c r="AP3243" s="750"/>
      <c r="AQ3243" s="750"/>
      <c r="AR3243" s="750"/>
      <c r="AS3243" s="750"/>
      <c r="AT3243" s="750"/>
      <c r="AU3243" s="750"/>
      <c r="AV3243" s="750"/>
      <c r="AW3243" s="750"/>
      <c r="AX3243" s="750"/>
      <c r="AY3243" s="750"/>
      <c r="AZ3243" s="750"/>
      <c r="BA3243" s="750"/>
      <c r="BB3243" s="750"/>
      <c r="BC3243" s="750"/>
      <c r="BD3243" s="750"/>
      <c r="BE3243" s="750"/>
      <c r="BF3243" s="750"/>
      <c r="BG3243" s="750"/>
      <c r="BH3243" s="750"/>
      <c r="BI3243" s="750"/>
      <c r="BJ3243" s="750"/>
      <c r="BK3243" s="750"/>
      <c r="BL3243" s="750"/>
      <c r="BM3243" s="750"/>
      <c r="BN3243" s="750"/>
      <c r="BO3243" s="750"/>
      <c r="BP3243" s="750"/>
      <c r="BQ3243" s="750"/>
    </row>
    <row r="3244" spans="3:69">
      <c r="C3244" s="853"/>
      <c r="D3244" s="853"/>
      <c r="E3244" s="853"/>
      <c r="F3244" s="853"/>
      <c r="G3244" s="853"/>
      <c r="H3244" s="853"/>
      <c r="I3244" s="848"/>
      <c r="J3244" s="848"/>
      <c r="K3244" s="1295"/>
      <c r="L3244" s="1295"/>
      <c r="M3244" s="1295"/>
      <c r="N3244" s="1295"/>
      <c r="O3244" s="1295"/>
      <c r="P3244" s="853"/>
      <c r="Q3244" s="1295"/>
      <c r="R3244" s="848"/>
      <c r="S3244" s="848"/>
      <c r="T3244" s="848"/>
      <c r="U3244" s="848"/>
      <c r="V3244" s="1296"/>
      <c r="W3244" s="848"/>
      <c r="X3244" s="848"/>
      <c r="Y3244" s="1295"/>
      <c r="Z3244" s="1296"/>
      <c r="AA3244" s="1295"/>
      <c r="AB3244" s="1296"/>
      <c r="AC3244" s="1295"/>
      <c r="AD3244" s="1295"/>
      <c r="AE3244" s="2556"/>
      <c r="AF3244" s="750"/>
      <c r="AG3244" s="750"/>
      <c r="AH3244" s="750"/>
      <c r="AI3244" s="750"/>
      <c r="AJ3244" s="750"/>
      <c r="AK3244" s="750"/>
      <c r="AL3244" s="750"/>
      <c r="AM3244" s="750"/>
      <c r="AN3244" s="750"/>
      <c r="AO3244" s="750"/>
      <c r="AP3244" s="750"/>
      <c r="AQ3244" s="750"/>
      <c r="AR3244" s="750"/>
      <c r="AS3244" s="750"/>
      <c r="AT3244" s="750"/>
      <c r="AU3244" s="750"/>
      <c r="AV3244" s="750"/>
      <c r="AW3244" s="750"/>
      <c r="AX3244" s="750"/>
      <c r="AY3244" s="750"/>
      <c r="AZ3244" s="750"/>
      <c r="BA3244" s="750"/>
      <c r="BB3244" s="750"/>
      <c r="BC3244" s="750"/>
      <c r="BD3244" s="750"/>
      <c r="BE3244" s="750"/>
      <c r="BF3244" s="750"/>
      <c r="BG3244" s="750"/>
      <c r="BH3244" s="750"/>
      <c r="BI3244" s="750"/>
      <c r="BJ3244" s="750"/>
      <c r="BK3244" s="750"/>
      <c r="BL3244" s="750"/>
      <c r="BM3244" s="750"/>
      <c r="BN3244" s="750"/>
      <c r="BO3244" s="750"/>
      <c r="BP3244" s="750"/>
      <c r="BQ3244" s="750"/>
    </row>
    <row r="3245" spans="3:69">
      <c r="C3245" s="853"/>
      <c r="D3245" s="853"/>
      <c r="E3245" s="853"/>
      <c r="F3245" s="853"/>
      <c r="G3245" s="853"/>
      <c r="H3245" s="853"/>
      <c r="I3245" s="848"/>
      <c r="J3245" s="848"/>
      <c r="K3245" s="1295"/>
      <c r="L3245" s="1295"/>
      <c r="M3245" s="1295"/>
      <c r="N3245" s="1295"/>
      <c r="O3245" s="1295"/>
      <c r="P3245" s="853"/>
      <c r="Q3245" s="1295"/>
      <c r="R3245" s="848"/>
      <c r="S3245" s="848"/>
      <c r="T3245" s="848"/>
      <c r="U3245" s="848"/>
      <c r="V3245" s="1296"/>
      <c r="W3245" s="848"/>
      <c r="X3245" s="848"/>
      <c r="Y3245" s="1295"/>
      <c r="Z3245" s="1296"/>
      <c r="AA3245" s="1295"/>
      <c r="AB3245" s="1296"/>
      <c r="AC3245" s="1295"/>
      <c r="AD3245" s="1295"/>
      <c r="AE3245" s="2556"/>
      <c r="AF3245" s="750"/>
      <c r="AG3245" s="750"/>
      <c r="AH3245" s="750"/>
      <c r="AI3245" s="750"/>
      <c r="AJ3245" s="750"/>
      <c r="AK3245" s="750"/>
      <c r="AL3245" s="750"/>
      <c r="AM3245" s="750"/>
      <c r="AN3245" s="750"/>
      <c r="AO3245" s="750"/>
      <c r="AP3245" s="750"/>
      <c r="AQ3245" s="750"/>
      <c r="AR3245" s="750"/>
      <c r="AS3245" s="750"/>
      <c r="AT3245" s="750"/>
      <c r="AU3245" s="750"/>
      <c r="AV3245" s="750"/>
      <c r="AW3245" s="750"/>
      <c r="AX3245" s="750"/>
      <c r="AY3245" s="750"/>
      <c r="AZ3245" s="750"/>
      <c r="BA3245" s="750"/>
      <c r="BB3245" s="750"/>
      <c r="BC3245" s="750"/>
      <c r="BD3245" s="750"/>
      <c r="BE3245" s="750"/>
      <c r="BF3245" s="750"/>
      <c r="BG3245" s="750"/>
      <c r="BH3245" s="750"/>
      <c r="BI3245" s="750"/>
      <c r="BJ3245" s="750"/>
      <c r="BK3245" s="750"/>
      <c r="BL3245" s="750"/>
      <c r="BM3245" s="750"/>
      <c r="BN3245" s="750"/>
      <c r="BO3245" s="750"/>
      <c r="BP3245" s="750"/>
      <c r="BQ3245" s="750"/>
    </row>
    <row r="3246" spans="3:69">
      <c r="C3246" s="853"/>
      <c r="D3246" s="853"/>
      <c r="E3246" s="853"/>
      <c r="F3246" s="853"/>
      <c r="G3246" s="853"/>
      <c r="H3246" s="853"/>
      <c r="I3246" s="848"/>
      <c r="J3246" s="848"/>
      <c r="K3246" s="1295"/>
      <c r="L3246" s="1295"/>
      <c r="M3246" s="1295"/>
      <c r="N3246" s="1295"/>
      <c r="O3246" s="1295"/>
      <c r="P3246" s="853"/>
      <c r="Q3246" s="1295"/>
      <c r="R3246" s="848"/>
      <c r="S3246" s="848"/>
      <c r="T3246" s="848"/>
      <c r="U3246" s="848"/>
      <c r="V3246" s="1296"/>
      <c r="W3246" s="848"/>
      <c r="X3246" s="848"/>
      <c r="Y3246" s="1295"/>
      <c r="Z3246" s="1296"/>
      <c r="AA3246" s="1295"/>
      <c r="AB3246" s="1296"/>
      <c r="AC3246" s="1295"/>
      <c r="AD3246" s="1295"/>
      <c r="AE3246" s="2556"/>
      <c r="AF3246" s="750"/>
      <c r="AG3246" s="750"/>
      <c r="AH3246" s="750"/>
      <c r="AI3246" s="750"/>
      <c r="AJ3246" s="750"/>
      <c r="AK3246" s="750"/>
      <c r="AL3246" s="750"/>
      <c r="AM3246" s="750"/>
      <c r="AN3246" s="750"/>
      <c r="AO3246" s="750"/>
      <c r="AP3246" s="750"/>
      <c r="AQ3246" s="750"/>
      <c r="AR3246" s="750"/>
      <c r="AS3246" s="750"/>
      <c r="AT3246" s="750"/>
      <c r="AU3246" s="750"/>
      <c r="AV3246" s="750"/>
      <c r="AW3246" s="750"/>
      <c r="AX3246" s="750"/>
      <c r="AY3246" s="750"/>
      <c r="AZ3246" s="750"/>
      <c r="BA3246" s="750"/>
      <c r="BB3246" s="750"/>
      <c r="BC3246" s="750"/>
      <c r="BD3246" s="750"/>
      <c r="BE3246" s="750"/>
      <c r="BF3246" s="750"/>
      <c r="BG3246" s="750"/>
      <c r="BH3246" s="750"/>
      <c r="BI3246" s="750"/>
      <c r="BJ3246" s="750"/>
      <c r="BK3246" s="750"/>
      <c r="BL3246" s="750"/>
      <c r="BM3246" s="750"/>
      <c r="BN3246" s="750"/>
      <c r="BO3246" s="750"/>
      <c r="BP3246" s="750"/>
      <c r="BQ3246" s="750"/>
    </row>
    <row r="3247" spans="3:69">
      <c r="C3247" s="853"/>
      <c r="D3247" s="853"/>
      <c r="E3247" s="853"/>
      <c r="F3247" s="853"/>
      <c r="G3247" s="853"/>
      <c r="H3247" s="853"/>
      <c r="I3247" s="848"/>
      <c r="J3247" s="848"/>
      <c r="K3247" s="1295"/>
      <c r="L3247" s="1295"/>
      <c r="M3247" s="1295"/>
      <c r="N3247" s="1295"/>
      <c r="O3247" s="1295"/>
      <c r="P3247" s="853"/>
      <c r="Q3247" s="1295"/>
      <c r="R3247" s="848"/>
      <c r="S3247" s="848"/>
      <c r="T3247" s="848"/>
      <c r="U3247" s="848"/>
      <c r="V3247" s="1296"/>
      <c r="W3247" s="848"/>
      <c r="X3247" s="848"/>
      <c r="Y3247" s="1295"/>
      <c r="Z3247" s="1296"/>
      <c r="AA3247" s="1295"/>
      <c r="AB3247" s="1296"/>
      <c r="AC3247" s="1295"/>
      <c r="AD3247" s="1295"/>
      <c r="AE3247" s="2556"/>
      <c r="AF3247" s="750"/>
      <c r="AG3247" s="750"/>
      <c r="AH3247" s="750"/>
      <c r="AI3247" s="750"/>
      <c r="AJ3247" s="750"/>
      <c r="AK3247" s="750"/>
      <c r="AL3247" s="750"/>
      <c r="AM3247" s="750"/>
      <c r="AN3247" s="750"/>
      <c r="AO3247" s="750"/>
      <c r="AP3247" s="750"/>
      <c r="AQ3247" s="750"/>
      <c r="AR3247" s="750"/>
      <c r="AS3247" s="750"/>
      <c r="AT3247" s="750"/>
      <c r="AU3247" s="750"/>
      <c r="AV3247" s="750"/>
      <c r="AW3247" s="750"/>
      <c r="AX3247" s="750"/>
      <c r="AY3247" s="750"/>
      <c r="AZ3247" s="750"/>
      <c r="BA3247" s="750"/>
      <c r="BB3247" s="750"/>
      <c r="BC3247" s="750"/>
      <c r="BD3247" s="750"/>
      <c r="BE3247" s="750"/>
      <c r="BF3247" s="750"/>
      <c r="BG3247" s="750"/>
      <c r="BH3247" s="750"/>
      <c r="BI3247" s="750"/>
      <c r="BJ3247" s="750"/>
      <c r="BK3247" s="750"/>
      <c r="BL3247" s="750"/>
      <c r="BM3247" s="750"/>
      <c r="BN3247" s="750"/>
      <c r="BO3247" s="750"/>
      <c r="BP3247" s="750"/>
      <c r="BQ3247" s="750"/>
    </row>
    <row r="3248" spans="3:69">
      <c r="C3248" s="853"/>
      <c r="D3248" s="853"/>
      <c r="E3248" s="853"/>
      <c r="F3248" s="853"/>
      <c r="G3248" s="853"/>
      <c r="H3248" s="853"/>
      <c r="I3248" s="848"/>
      <c r="J3248" s="848"/>
      <c r="K3248" s="1295"/>
      <c r="L3248" s="1295"/>
      <c r="M3248" s="1295"/>
      <c r="N3248" s="1295"/>
      <c r="O3248" s="1295"/>
      <c r="P3248" s="853"/>
      <c r="Q3248" s="1295"/>
      <c r="R3248" s="848"/>
      <c r="S3248" s="848"/>
      <c r="T3248" s="848"/>
      <c r="U3248" s="848"/>
      <c r="V3248" s="1296"/>
      <c r="W3248" s="848"/>
      <c r="X3248" s="848"/>
      <c r="Y3248" s="1295"/>
      <c r="Z3248" s="1296"/>
      <c r="AA3248" s="1295"/>
      <c r="AB3248" s="1296"/>
      <c r="AC3248" s="1295"/>
      <c r="AD3248" s="1295"/>
      <c r="AE3248" s="2556"/>
      <c r="AF3248" s="750"/>
      <c r="AG3248" s="750"/>
      <c r="AH3248" s="750"/>
      <c r="AI3248" s="750"/>
      <c r="AJ3248" s="750"/>
      <c r="AK3248" s="750"/>
      <c r="AL3248" s="750"/>
      <c r="AM3248" s="750"/>
      <c r="AN3248" s="750"/>
      <c r="AO3248" s="750"/>
      <c r="AP3248" s="750"/>
      <c r="AQ3248" s="750"/>
      <c r="AR3248" s="750"/>
      <c r="AS3248" s="750"/>
      <c r="AT3248" s="750"/>
      <c r="AU3248" s="750"/>
      <c r="AV3248" s="750"/>
      <c r="AW3248" s="750"/>
      <c r="AX3248" s="750"/>
      <c r="AY3248" s="750"/>
      <c r="AZ3248" s="750"/>
      <c r="BA3248" s="750"/>
      <c r="BB3248" s="750"/>
      <c r="BC3248" s="750"/>
      <c r="BD3248" s="750"/>
      <c r="BE3248" s="750"/>
      <c r="BF3248" s="750"/>
      <c r="BG3248" s="750"/>
      <c r="BH3248" s="750"/>
      <c r="BI3248" s="750"/>
      <c r="BJ3248" s="750"/>
      <c r="BK3248" s="750"/>
      <c r="BL3248" s="750"/>
      <c r="BM3248" s="750"/>
      <c r="BN3248" s="750"/>
      <c r="BO3248" s="750"/>
      <c r="BP3248" s="750"/>
      <c r="BQ3248" s="750"/>
    </row>
    <row r="3249" spans="3:69">
      <c r="C3249" s="853"/>
      <c r="D3249" s="853"/>
      <c r="E3249" s="853"/>
      <c r="F3249" s="853"/>
      <c r="G3249" s="853"/>
      <c r="H3249" s="853"/>
      <c r="I3249" s="848"/>
      <c r="J3249" s="848"/>
      <c r="K3249" s="1295"/>
      <c r="L3249" s="1295"/>
      <c r="M3249" s="1295"/>
      <c r="N3249" s="1295"/>
      <c r="O3249" s="1295"/>
      <c r="P3249" s="853"/>
      <c r="Q3249" s="1295"/>
      <c r="R3249" s="848"/>
      <c r="S3249" s="848"/>
      <c r="T3249" s="848"/>
      <c r="U3249" s="848"/>
      <c r="V3249" s="1296"/>
      <c r="W3249" s="848"/>
      <c r="X3249" s="848"/>
      <c r="Y3249" s="1295"/>
      <c r="Z3249" s="1296"/>
      <c r="AA3249" s="1295"/>
      <c r="AB3249" s="1296"/>
      <c r="AC3249" s="1295"/>
      <c r="AD3249" s="1295"/>
      <c r="AE3249" s="2556"/>
      <c r="AF3249" s="750"/>
      <c r="AG3249" s="750"/>
      <c r="AH3249" s="750"/>
      <c r="AI3249" s="750"/>
      <c r="AJ3249" s="750"/>
      <c r="AK3249" s="750"/>
      <c r="AL3249" s="750"/>
      <c r="AM3249" s="750"/>
      <c r="AN3249" s="750"/>
      <c r="AO3249" s="750"/>
      <c r="AP3249" s="750"/>
      <c r="AQ3249" s="750"/>
      <c r="AR3249" s="750"/>
      <c r="AS3249" s="750"/>
      <c r="AT3249" s="750"/>
      <c r="AU3249" s="750"/>
      <c r="AV3249" s="750"/>
      <c r="AW3249" s="750"/>
      <c r="AX3249" s="750"/>
      <c r="AY3249" s="750"/>
      <c r="AZ3249" s="750"/>
      <c r="BA3249" s="750"/>
      <c r="BB3249" s="750"/>
      <c r="BC3249" s="750"/>
      <c r="BD3249" s="750"/>
      <c r="BE3249" s="750"/>
      <c r="BF3249" s="750"/>
      <c r="BG3249" s="750"/>
      <c r="BH3249" s="750"/>
      <c r="BI3249" s="750"/>
      <c r="BJ3249" s="750"/>
      <c r="BK3249" s="750"/>
      <c r="BL3249" s="750"/>
      <c r="BM3249" s="750"/>
      <c r="BN3249" s="750"/>
      <c r="BO3249" s="750"/>
      <c r="BP3249" s="750"/>
      <c r="BQ3249" s="750"/>
    </row>
    <row r="3250" spans="3:69">
      <c r="C3250" s="853"/>
      <c r="D3250" s="853"/>
      <c r="E3250" s="853"/>
      <c r="F3250" s="853"/>
      <c r="G3250" s="853"/>
      <c r="H3250" s="853"/>
      <c r="I3250" s="848"/>
      <c r="J3250" s="848"/>
      <c r="K3250" s="1295"/>
      <c r="L3250" s="1295"/>
      <c r="M3250" s="1295"/>
      <c r="N3250" s="1295"/>
      <c r="O3250" s="1295"/>
      <c r="P3250" s="853"/>
      <c r="Q3250" s="1295"/>
      <c r="R3250" s="848"/>
      <c r="S3250" s="848"/>
      <c r="T3250" s="848"/>
      <c r="U3250" s="848"/>
      <c r="V3250" s="1296"/>
      <c r="W3250" s="848"/>
      <c r="X3250" s="848"/>
      <c r="Y3250" s="1295"/>
      <c r="Z3250" s="1296"/>
      <c r="AA3250" s="1295"/>
      <c r="AB3250" s="1296"/>
      <c r="AC3250" s="1295"/>
      <c r="AD3250" s="1295"/>
      <c r="AE3250" s="2556"/>
      <c r="AF3250" s="750"/>
      <c r="AG3250" s="750"/>
      <c r="AH3250" s="750"/>
      <c r="AI3250" s="750"/>
      <c r="AJ3250" s="750"/>
      <c r="AK3250" s="750"/>
      <c r="AL3250" s="750"/>
      <c r="AM3250" s="750"/>
      <c r="AN3250" s="750"/>
      <c r="AO3250" s="750"/>
      <c r="AP3250" s="750"/>
      <c r="AQ3250" s="750"/>
      <c r="AR3250" s="750"/>
      <c r="AS3250" s="750"/>
      <c r="AT3250" s="750"/>
      <c r="AU3250" s="750"/>
      <c r="AV3250" s="750"/>
      <c r="AW3250" s="750"/>
      <c r="AX3250" s="750"/>
      <c r="AY3250" s="750"/>
      <c r="AZ3250" s="750"/>
      <c r="BA3250" s="750"/>
      <c r="BB3250" s="750"/>
      <c r="BC3250" s="750"/>
      <c r="BD3250" s="750"/>
      <c r="BE3250" s="750"/>
      <c r="BF3250" s="750"/>
      <c r="BG3250" s="750"/>
      <c r="BH3250" s="750"/>
      <c r="BI3250" s="750"/>
      <c r="BJ3250" s="750"/>
      <c r="BK3250" s="750"/>
      <c r="BL3250" s="750"/>
      <c r="BM3250" s="750"/>
      <c r="BN3250" s="750"/>
      <c r="BO3250" s="750"/>
      <c r="BP3250" s="750"/>
      <c r="BQ3250" s="750"/>
    </row>
    <row r="3251" spans="3:69">
      <c r="C3251" s="853"/>
      <c r="D3251" s="853"/>
      <c r="E3251" s="853"/>
      <c r="F3251" s="853"/>
      <c r="G3251" s="853"/>
      <c r="H3251" s="853"/>
      <c r="I3251" s="848"/>
      <c r="J3251" s="848"/>
      <c r="K3251" s="1295"/>
      <c r="L3251" s="1295"/>
      <c r="M3251" s="1295"/>
      <c r="N3251" s="1295"/>
      <c r="O3251" s="1295"/>
      <c r="P3251" s="853"/>
      <c r="Q3251" s="1295"/>
      <c r="R3251" s="848"/>
      <c r="S3251" s="848"/>
      <c r="T3251" s="848"/>
      <c r="U3251" s="848"/>
      <c r="V3251" s="1296"/>
      <c r="W3251" s="848"/>
      <c r="X3251" s="848"/>
      <c r="Y3251" s="1295"/>
      <c r="Z3251" s="1296"/>
      <c r="AA3251" s="1295"/>
      <c r="AB3251" s="1296"/>
      <c r="AC3251" s="1295"/>
      <c r="AD3251" s="1295"/>
      <c r="AE3251" s="2556"/>
      <c r="AF3251" s="750"/>
      <c r="AG3251" s="750"/>
      <c r="AH3251" s="750"/>
      <c r="AI3251" s="750"/>
      <c r="AJ3251" s="750"/>
      <c r="AK3251" s="750"/>
      <c r="AL3251" s="750"/>
      <c r="AM3251" s="750"/>
      <c r="AN3251" s="750"/>
      <c r="AO3251" s="750"/>
      <c r="AP3251" s="750"/>
      <c r="AQ3251" s="750"/>
      <c r="AR3251" s="750"/>
      <c r="AS3251" s="750"/>
      <c r="AT3251" s="750"/>
      <c r="AU3251" s="750"/>
      <c r="AV3251" s="750"/>
      <c r="AW3251" s="750"/>
      <c r="AX3251" s="750"/>
      <c r="AY3251" s="750"/>
      <c r="AZ3251" s="750"/>
      <c r="BA3251" s="750"/>
      <c r="BB3251" s="750"/>
      <c r="BC3251" s="750"/>
      <c r="BD3251" s="750"/>
      <c r="BE3251" s="750"/>
      <c r="BF3251" s="750"/>
      <c r="BG3251" s="750"/>
      <c r="BH3251" s="750"/>
      <c r="BI3251" s="750"/>
      <c r="BJ3251" s="750"/>
      <c r="BK3251" s="750"/>
      <c r="BL3251" s="750"/>
      <c r="BM3251" s="750"/>
      <c r="BN3251" s="750"/>
      <c r="BO3251" s="750"/>
      <c r="BP3251" s="750"/>
      <c r="BQ3251" s="750"/>
    </row>
    <row r="3252" spans="3:69">
      <c r="C3252" s="853"/>
      <c r="D3252" s="853"/>
      <c r="E3252" s="853"/>
      <c r="F3252" s="853"/>
      <c r="G3252" s="853"/>
      <c r="H3252" s="853"/>
      <c r="I3252" s="848"/>
      <c r="J3252" s="848"/>
      <c r="K3252" s="1295"/>
      <c r="L3252" s="1295"/>
      <c r="M3252" s="1295"/>
      <c r="N3252" s="1295"/>
      <c r="O3252" s="1295"/>
      <c r="P3252" s="853"/>
      <c r="Q3252" s="1295"/>
      <c r="R3252" s="848"/>
      <c r="S3252" s="848"/>
      <c r="T3252" s="848"/>
      <c r="U3252" s="848"/>
      <c r="V3252" s="1296"/>
      <c r="W3252" s="848"/>
      <c r="X3252" s="848"/>
      <c r="Y3252" s="1295"/>
      <c r="Z3252" s="1296"/>
      <c r="AA3252" s="1295"/>
      <c r="AB3252" s="1296"/>
      <c r="AC3252" s="1295"/>
      <c r="AD3252" s="1295"/>
      <c r="AE3252" s="2556"/>
      <c r="AF3252" s="750"/>
      <c r="AG3252" s="750"/>
      <c r="AH3252" s="750"/>
      <c r="AI3252" s="750"/>
      <c r="AJ3252" s="750"/>
      <c r="AK3252" s="750"/>
      <c r="AL3252" s="750"/>
      <c r="AM3252" s="750"/>
      <c r="AN3252" s="750"/>
      <c r="AO3252" s="750"/>
      <c r="AP3252" s="750"/>
      <c r="AQ3252" s="750"/>
      <c r="AR3252" s="750"/>
      <c r="AS3252" s="750"/>
      <c r="AT3252" s="750"/>
      <c r="AU3252" s="750"/>
      <c r="AV3252" s="750"/>
      <c r="AW3252" s="750"/>
      <c r="AX3252" s="750"/>
      <c r="AY3252" s="750"/>
      <c r="AZ3252" s="750"/>
      <c r="BA3252" s="750"/>
      <c r="BB3252" s="750"/>
      <c r="BC3252" s="750"/>
      <c r="BD3252" s="750"/>
      <c r="BE3252" s="750"/>
      <c r="BF3252" s="750"/>
      <c r="BG3252" s="750"/>
      <c r="BH3252" s="750"/>
      <c r="BI3252" s="750"/>
      <c r="BJ3252" s="750"/>
      <c r="BK3252" s="750"/>
      <c r="BL3252" s="750"/>
      <c r="BM3252" s="750"/>
      <c r="BN3252" s="750"/>
      <c r="BO3252" s="750"/>
      <c r="BP3252" s="750"/>
      <c r="BQ3252" s="750"/>
    </row>
    <row r="3253" spans="3:69">
      <c r="C3253" s="853"/>
      <c r="D3253" s="853"/>
      <c r="E3253" s="853"/>
      <c r="F3253" s="853"/>
      <c r="G3253" s="853"/>
      <c r="H3253" s="853"/>
      <c r="I3253" s="848"/>
      <c r="J3253" s="848"/>
      <c r="K3253" s="1295"/>
      <c r="L3253" s="1295"/>
      <c r="M3253" s="1295"/>
      <c r="N3253" s="1295"/>
      <c r="O3253" s="1295"/>
      <c r="P3253" s="853"/>
      <c r="Q3253" s="1295"/>
      <c r="R3253" s="848"/>
      <c r="S3253" s="848"/>
      <c r="T3253" s="848"/>
      <c r="U3253" s="848"/>
      <c r="V3253" s="1296"/>
      <c r="W3253" s="848"/>
      <c r="X3253" s="848"/>
      <c r="Y3253" s="1295"/>
      <c r="Z3253" s="1296"/>
      <c r="AA3253" s="1295"/>
      <c r="AB3253" s="1296"/>
      <c r="AC3253" s="1295"/>
      <c r="AD3253" s="1295"/>
      <c r="AE3253" s="2556"/>
      <c r="AF3253" s="750"/>
      <c r="AG3253" s="750"/>
      <c r="AH3253" s="750"/>
      <c r="AI3253" s="750"/>
      <c r="AJ3253" s="750"/>
      <c r="AK3253" s="750"/>
      <c r="AL3253" s="750"/>
      <c r="AM3253" s="750"/>
      <c r="AN3253" s="750"/>
      <c r="AO3253" s="750"/>
      <c r="AP3253" s="750"/>
      <c r="AQ3253" s="750"/>
      <c r="AR3253" s="750"/>
      <c r="AS3253" s="750"/>
      <c r="AT3253" s="750"/>
      <c r="AU3253" s="750"/>
      <c r="AV3253" s="750"/>
      <c r="AW3253" s="750"/>
      <c r="AX3253" s="750"/>
      <c r="AY3253" s="750"/>
      <c r="AZ3253" s="750"/>
      <c r="BA3253" s="750"/>
      <c r="BB3253" s="750"/>
      <c r="BC3253" s="750"/>
      <c r="BD3253" s="750"/>
      <c r="BE3253" s="750"/>
      <c r="BF3253" s="750"/>
      <c r="BG3253" s="750"/>
      <c r="BH3253" s="750"/>
      <c r="BI3253" s="750"/>
      <c r="BJ3253" s="750"/>
      <c r="BK3253" s="750"/>
      <c r="BL3253" s="750"/>
      <c r="BM3253" s="750"/>
      <c r="BN3253" s="750"/>
      <c r="BO3253" s="750"/>
      <c r="BP3253" s="750"/>
      <c r="BQ3253" s="750"/>
    </row>
    <row r="3254" spans="3:69">
      <c r="C3254" s="853"/>
      <c r="D3254" s="853"/>
      <c r="E3254" s="853"/>
      <c r="F3254" s="853"/>
      <c r="G3254" s="853"/>
      <c r="H3254" s="853"/>
      <c r="I3254" s="848"/>
      <c r="J3254" s="848"/>
      <c r="K3254" s="1295"/>
      <c r="L3254" s="1295"/>
      <c r="M3254" s="1295"/>
      <c r="N3254" s="1295"/>
      <c r="O3254" s="1295"/>
      <c r="P3254" s="853"/>
      <c r="Q3254" s="1295"/>
      <c r="R3254" s="848"/>
      <c r="S3254" s="848"/>
      <c r="T3254" s="848"/>
      <c r="U3254" s="848"/>
      <c r="V3254" s="1296"/>
      <c r="W3254" s="848"/>
      <c r="X3254" s="848"/>
      <c r="Y3254" s="1295"/>
      <c r="Z3254" s="1296"/>
      <c r="AA3254" s="1295"/>
      <c r="AB3254" s="1296"/>
      <c r="AC3254" s="1295"/>
      <c r="AD3254" s="1295"/>
      <c r="AE3254" s="2556"/>
      <c r="AF3254" s="750"/>
      <c r="AG3254" s="750"/>
      <c r="AH3254" s="750"/>
      <c r="AI3254" s="750"/>
      <c r="AJ3254" s="750"/>
      <c r="AK3254" s="750"/>
      <c r="AL3254" s="750"/>
      <c r="AM3254" s="750"/>
      <c r="AN3254" s="750"/>
      <c r="AO3254" s="750"/>
      <c r="AP3254" s="750"/>
      <c r="AQ3254" s="750"/>
      <c r="AR3254" s="750"/>
      <c r="AS3254" s="750"/>
      <c r="AT3254" s="750"/>
      <c r="AU3254" s="750"/>
      <c r="AV3254" s="750"/>
      <c r="AW3254" s="750"/>
      <c r="AX3254" s="750"/>
      <c r="AY3254" s="750"/>
      <c r="AZ3254" s="750"/>
      <c r="BA3254" s="750"/>
      <c r="BB3254" s="750"/>
      <c r="BC3254" s="750"/>
      <c r="BD3254" s="750"/>
      <c r="BE3254" s="750"/>
      <c r="BF3254" s="750"/>
      <c r="BG3254" s="750"/>
      <c r="BH3254" s="750"/>
      <c r="BI3254" s="750"/>
      <c r="BJ3254" s="750"/>
      <c r="BK3254" s="750"/>
      <c r="BL3254" s="750"/>
      <c r="BM3254" s="750"/>
      <c r="BN3254" s="750"/>
      <c r="BO3254" s="750"/>
      <c r="BP3254" s="750"/>
      <c r="BQ3254" s="750"/>
    </row>
    <row r="3255" spans="3:69">
      <c r="C3255" s="853"/>
      <c r="D3255" s="853"/>
      <c r="E3255" s="853"/>
      <c r="F3255" s="853"/>
      <c r="G3255" s="853"/>
      <c r="H3255" s="853"/>
      <c r="I3255" s="848"/>
      <c r="J3255" s="848"/>
      <c r="K3255" s="1295"/>
      <c r="L3255" s="1295"/>
      <c r="M3255" s="1295"/>
      <c r="N3255" s="1295"/>
      <c r="O3255" s="1295"/>
      <c r="P3255" s="853"/>
      <c r="Q3255" s="1295"/>
      <c r="R3255" s="848"/>
      <c r="S3255" s="848"/>
      <c r="T3255" s="848"/>
      <c r="U3255" s="848"/>
      <c r="V3255" s="1296"/>
      <c r="W3255" s="848"/>
      <c r="X3255" s="848"/>
      <c r="Y3255" s="1295"/>
      <c r="Z3255" s="1296"/>
      <c r="AA3255" s="1295"/>
      <c r="AB3255" s="1296"/>
      <c r="AC3255" s="1295"/>
      <c r="AD3255" s="1295"/>
      <c r="AE3255" s="2556"/>
      <c r="AF3255" s="750"/>
      <c r="AG3255" s="750"/>
      <c r="AH3255" s="750"/>
      <c r="AI3255" s="750"/>
      <c r="AJ3255" s="750"/>
      <c r="AK3255" s="750"/>
      <c r="AL3255" s="750"/>
      <c r="AM3255" s="750"/>
      <c r="AN3255" s="750"/>
      <c r="AO3255" s="750"/>
      <c r="AP3255" s="750"/>
      <c r="AQ3255" s="750"/>
      <c r="AR3255" s="750"/>
      <c r="AS3255" s="750"/>
      <c r="AT3255" s="750"/>
      <c r="AU3255" s="750"/>
      <c r="AV3255" s="750"/>
      <c r="AW3255" s="750"/>
      <c r="AX3255" s="750"/>
      <c r="AY3255" s="750"/>
      <c r="AZ3255" s="750"/>
      <c r="BA3255" s="750"/>
      <c r="BB3255" s="750"/>
      <c r="BC3255" s="750"/>
      <c r="BD3255" s="750"/>
      <c r="BE3255" s="750"/>
      <c r="BF3255" s="750"/>
      <c r="BG3255" s="750"/>
      <c r="BH3255" s="750"/>
      <c r="BI3255" s="750"/>
      <c r="BJ3255" s="750"/>
      <c r="BK3255" s="750"/>
      <c r="BL3255" s="750"/>
      <c r="BM3255" s="750"/>
      <c r="BN3255" s="750"/>
      <c r="BO3255" s="750"/>
      <c r="BP3255" s="750"/>
      <c r="BQ3255" s="750"/>
    </row>
    <row r="3256" spans="3:69">
      <c r="C3256" s="853"/>
      <c r="D3256" s="853"/>
      <c r="E3256" s="853"/>
      <c r="F3256" s="853"/>
      <c r="G3256" s="853"/>
      <c r="H3256" s="853"/>
      <c r="I3256" s="848"/>
      <c r="J3256" s="848"/>
      <c r="K3256" s="1295"/>
      <c r="L3256" s="1295"/>
      <c r="M3256" s="1295"/>
      <c r="N3256" s="1295"/>
      <c r="O3256" s="1295"/>
      <c r="P3256" s="853"/>
      <c r="Q3256" s="1295"/>
      <c r="R3256" s="848"/>
      <c r="S3256" s="848"/>
      <c r="T3256" s="848"/>
      <c r="U3256" s="848"/>
      <c r="V3256" s="1296"/>
      <c r="W3256" s="848"/>
      <c r="X3256" s="848"/>
      <c r="Y3256" s="1295"/>
      <c r="Z3256" s="1296"/>
      <c r="AA3256" s="1295"/>
      <c r="AB3256" s="1296"/>
      <c r="AC3256" s="1295"/>
      <c r="AD3256" s="1295"/>
      <c r="AE3256" s="2556"/>
      <c r="AF3256" s="750"/>
      <c r="AG3256" s="750"/>
      <c r="AH3256" s="750"/>
      <c r="AI3256" s="750"/>
      <c r="AJ3256" s="750"/>
      <c r="AK3256" s="750"/>
      <c r="AL3256" s="750"/>
      <c r="AM3256" s="750"/>
      <c r="AN3256" s="750"/>
      <c r="AO3256" s="750"/>
      <c r="AP3256" s="750"/>
      <c r="AQ3256" s="750"/>
      <c r="AR3256" s="750"/>
      <c r="AS3256" s="750"/>
      <c r="AT3256" s="750"/>
      <c r="AU3256" s="750"/>
      <c r="AV3256" s="750"/>
      <c r="AW3256" s="750"/>
      <c r="AX3256" s="750"/>
      <c r="AY3256" s="750"/>
      <c r="AZ3256" s="750"/>
      <c r="BA3256" s="750"/>
      <c r="BB3256" s="750"/>
      <c r="BC3256" s="750"/>
      <c r="BD3256" s="750"/>
      <c r="BE3256" s="750"/>
      <c r="BF3256" s="750"/>
      <c r="BG3256" s="750"/>
      <c r="BH3256" s="750"/>
      <c r="BI3256" s="750"/>
      <c r="BJ3256" s="750"/>
      <c r="BK3256" s="750"/>
      <c r="BL3256" s="750"/>
      <c r="BM3256" s="750"/>
      <c r="BN3256" s="750"/>
      <c r="BO3256" s="750"/>
      <c r="BP3256" s="750"/>
      <c r="BQ3256" s="750"/>
    </row>
    <row r="3257" spans="3:69">
      <c r="C3257" s="853"/>
      <c r="D3257" s="853"/>
      <c r="E3257" s="853"/>
      <c r="F3257" s="853"/>
      <c r="G3257" s="853"/>
      <c r="H3257" s="853"/>
      <c r="I3257" s="848"/>
      <c r="J3257" s="848"/>
      <c r="K3257" s="1295"/>
      <c r="L3257" s="1295"/>
      <c r="M3257" s="1295"/>
      <c r="N3257" s="1295"/>
      <c r="O3257" s="1295"/>
      <c r="P3257" s="853"/>
      <c r="Q3257" s="1295"/>
      <c r="R3257" s="848"/>
      <c r="S3257" s="848"/>
      <c r="T3257" s="848"/>
      <c r="U3257" s="848"/>
      <c r="V3257" s="1296"/>
      <c r="W3257" s="848"/>
      <c r="X3257" s="848"/>
      <c r="Y3257" s="1295"/>
      <c r="Z3257" s="1296"/>
      <c r="AA3257" s="1295"/>
      <c r="AB3257" s="1296"/>
      <c r="AC3257" s="1295"/>
      <c r="AD3257" s="1295"/>
      <c r="AE3257" s="2556"/>
      <c r="AF3257" s="750"/>
      <c r="AG3257" s="750"/>
      <c r="AH3257" s="750"/>
      <c r="AI3257" s="750"/>
      <c r="AJ3257" s="750"/>
      <c r="AK3257" s="750"/>
      <c r="AL3257" s="750"/>
      <c r="AM3257" s="750"/>
      <c r="AN3257" s="750"/>
      <c r="AO3257" s="750"/>
      <c r="AP3257" s="750"/>
      <c r="AQ3257" s="750"/>
      <c r="AR3257" s="750"/>
      <c r="AS3257" s="750"/>
      <c r="AT3257" s="750"/>
      <c r="AU3257" s="750"/>
      <c r="AV3257" s="750"/>
      <c r="AW3257" s="750"/>
      <c r="AX3257" s="750"/>
      <c r="AY3257" s="750"/>
      <c r="AZ3257" s="750"/>
      <c r="BA3257" s="750"/>
      <c r="BB3257" s="750"/>
      <c r="BC3257" s="750"/>
      <c r="BD3257" s="750"/>
      <c r="BE3257" s="750"/>
      <c r="BF3257" s="750"/>
      <c r="BG3257" s="750"/>
      <c r="BH3257" s="750"/>
      <c r="BI3257" s="750"/>
      <c r="BJ3257" s="750"/>
      <c r="BK3257" s="750"/>
      <c r="BL3257" s="750"/>
      <c r="BM3257" s="750"/>
      <c r="BN3257" s="750"/>
      <c r="BO3257" s="750"/>
      <c r="BP3257" s="750"/>
      <c r="BQ3257" s="750"/>
    </row>
    <row r="3258" spans="3:69">
      <c r="C3258" s="853"/>
      <c r="D3258" s="853"/>
      <c r="E3258" s="853"/>
      <c r="F3258" s="853"/>
      <c r="G3258" s="853"/>
      <c r="H3258" s="853"/>
      <c r="I3258" s="848"/>
      <c r="J3258" s="848"/>
      <c r="K3258" s="1295"/>
      <c r="L3258" s="1295"/>
      <c r="M3258" s="1295"/>
      <c r="N3258" s="1295"/>
      <c r="O3258" s="1295"/>
      <c r="P3258" s="853"/>
      <c r="Q3258" s="1295"/>
      <c r="R3258" s="848"/>
      <c r="S3258" s="848"/>
      <c r="T3258" s="848"/>
      <c r="U3258" s="848"/>
      <c r="V3258" s="1296"/>
      <c r="W3258" s="848"/>
      <c r="X3258" s="848"/>
      <c r="Y3258" s="1295"/>
      <c r="Z3258" s="1296"/>
      <c r="AA3258" s="1295"/>
      <c r="AB3258" s="1296"/>
      <c r="AC3258" s="1295"/>
      <c r="AD3258" s="1295"/>
      <c r="AE3258" s="2556"/>
      <c r="AF3258" s="750"/>
      <c r="AG3258" s="750"/>
      <c r="AH3258" s="750"/>
      <c r="AI3258" s="750"/>
      <c r="AJ3258" s="750"/>
      <c r="AK3258" s="750"/>
      <c r="AL3258" s="750"/>
      <c r="AM3258" s="750"/>
      <c r="AN3258" s="750"/>
      <c r="AO3258" s="750"/>
      <c r="AP3258" s="750"/>
      <c r="AQ3258" s="750"/>
      <c r="AR3258" s="750"/>
      <c r="AS3258" s="750"/>
      <c r="AT3258" s="750"/>
      <c r="AU3258" s="750"/>
      <c r="AV3258" s="750"/>
      <c r="AW3258" s="750"/>
      <c r="AX3258" s="750"/>
      <c r="AY3258" s="750"/>
      <c r="AZ3258" s="750"/>
      <c r="BA3258" s="750"/>
      <c r="BB3258" s="750"/>
      <c r="BC3258" s="750"/>
      <c r="BD3258" s="750"/>
      <c r="BE3258" s="750"/>
      <c r="BF3258" s="750"/>
      <c r="BG3258" s="750"/>
      <c r="BH3258" s="750"/>
      <c r="BI3258" s="750"/>
      <c r="BJ3258" s="750"/>
      <c r="BK3258" s="750"/>
      <c r="BL3258" s="750"/>
      <c r="BM3258" s="750"/>
      <c r="BN3258" s="750"/>
      <c r="BO3258" s="750"/>
      <c r="BP3258" s="750"/>
      <c r="BQ3258" s="750"/>
    </row>
    <row r="3259" spans="3:69">
      <c r="C3259" s="853"/>
      <c r="D3259" s="853"/>
      <c r="E3259" s="853"/>
      <c r="F3259" s="853"/>
      <c r="G3259" s="853"/>
      <c r="H3259" s="853"/>
      <c r="I3259" s="848"/>
      <c r="J3259" s="848"/>
      <c r="K3259" s="1295"/>
      <c r="L3259" s="1295"/>
      <c r="M3259" s="1295"/>
      <c r="N3259" s="1295"/>
      <c r="O3259" s="1295"/>
      <c r="P3259" s="853"/>
      <c r="Q3259" s="1295"/>
      <c r="R3259" s="848"/>
      <c r="S3259" s="848"/>
      <c r="T3259" s="848"/>
      <c r="U3259" s="848"/>
      <c r="V3259" s="1296"/>
      <c r="W3259" s="848"/>
      <c r="X3259" s="848"/>
      <c r="Y3259" s="1295"/>
      <c r="Z3259" s="1296"/>
      <c r="AA3259" s="1295"/>
      <c r="AB3259" s="1296"/>
      <c r="AC3259" s="1295"/>
      <c r="AD3259" s="1295"/>
      <c r="AE3259" s="2556"/>
      <c r="AF3259" s="750"/>
      <c r="AG3259" s="750"/>
      <c r="AH3259" s="750"/>
      <c r="AI3259" s="750"/>
      <c r="AJ3259" s="750"/>
      <c r="AK3259" s="750"/>
      <c r="AL3259" s="750"/>
      <c r="AM3259" s="750"/>
      <c r="AN3259" s="750"/>
      <c r="AO3259" s="750"/>
      <c r="AP3259" s="750"/>
      <c r="AQ3259" s="750"/>
      <c r="AR3259" s="750"/>
      <c r="AS3259" s="750"/>
      <c r="AT3259" s="750"/>
      <c r="AU3259" s="750"/>
      <c r="AV3259" s="750"/>
      <c r="AW3259" s="750"/>
      <c r="AX3259" s="750"/>
      <c r="AY3259" s="750"/>
      <c r="AZ3259" s="750"/>
      <c r="BA3259" s="750"/>
      <c r="BB3259" s="750"/>
      <c r="BC3259" s="750"/>
      <c r="BD3259" s="750"/>
      <c r="BE3259" s="750"/>
      <c r="BF3259" s="750"/>
      <c r="BG3259" s="750"/>
      <c r="BH3259" s="750"/>
      <c r="BI3259" s="750"/>
      <c r="BJ3259" s="750"/>
      <c r="BK3259" s="750"/>
      <c r="BL3259" s="750"/>
      <c r="BM3259" s="750"/>
      <c r="BN3259" s="750"/>
      <c r="BO3259" s="750"/>
      <c r="BP3259" s="750"/>
      <c r="BQ3259" s="750"/>
    </row>
    <row r="3260" spans="3:69">
      <c r="C3260" s="853"/>
      <c r="D3260" s="853"/>
      <c r="E3260" s="853"/>
      <c r="F3260" s="853"/>
      <c r="G3260" s="853"/>
      <c r="H3260" s="853"/>
      <c r="I3260" s="848"/>
      <c r="J3260" s="848"/>
      <c r="K3260" s="1295"/>
      <c r="L3260" s="1295"/>
      <c r="M3260" s="1295"/>
      <c r="N3260" s="1295"/>
      <c r="O3260" s="1295"/>
      <c r="P3260" s="853"/>
      <c r="Q3260" s="1295"/>
      <c r="R3260" s="848"/>
      <c r="S3260" s="848"/>
      <c r="T3260" s="848"/>
      <c r="U3260" s="848"/>
      <c r="V3260" s="1296"/>
      <c r="W3260" s="848"/>
      <c r="X3260" s="848"/>
      <c r="Y3260" s="1295"/>
      <c r="Z3260" s="1296"/>
      <c r="AA3260" s="1295"/>
      <c r="AB3260" s="1296"/>
      <c r="AC3260" s="1295"/>
      <c r="AD3260" s="1295"/>
      <c r="AE3260" s="2556"/>
      <c r="AF3260" s="750"/>
      <c r="AG3260" s="750"/>
      <c r="AH3260" s="750"/>
      <c r="AI3260" s="750"/>
      <c r="AJ3260" s="750"/>
      <c r="AK3260" s="750"/>
      <c r="AL3260" s="750"/>
      <c r="AM3260" s="750"/>
      <c r="AN3260" s="750"/>
      <c r="AO3260" s="750"/>
      <c r="AP3260" s="750"/>
      <c r="AQ3260" s="750"/>
      <c r="AR3260" s="750"/>
      <c r="AS3260" s="750"/>
      <c r="AT3260" s="750"/>
      <c r="AU3260" s="750"/>
      <c r="AV3260" s="750"/>
      <c r="AW3260" s="750"/>
      <c r="AX3260" s="750"/>
      <c r="AY3260" s="750"/>
      <c r="AZ3260" s="750"/>
      <c r="BA3260" s="750"/>
      <c r="BB3260" s="750"/>
      <c r="BC3260" s="750"/>
      <c r="BD3260" s="750"/>
      <c r="BE3260" s="750"/>
      <c r="BF3260" s="750"/>
      <c r="BG3260" s="750"/>
      <c r="BH3260" s="750"/>
      <c r="BI3260" s="750"/>
      <c r="BJ3260" s="750"/>
      <c r="BK3260" s="750"/>
      <c r="BL3260" s="750"/>
      <c r="BM3260" s="750"/>
      <c r="BN3260" s="750"/>
      <c r="BO3260" s="750"/>
      <c r="BP3260" s="750"/>
      <c r="BQ3260" s="750"/>
    </row>
    <row r="3261" spans="3:69">
      <c r="C3261" s="853"/>
      <c r="D3261" s="853"/>
      <c r="E3261" s="853"/>
      <c r="F3261" s="853"/>
      <c r="G3261" s="853"/>
      <c r="H3261" s="853"/>
      <c r="I3261" s="848"/>
      <c r="J3261" s="848"/>
      <c r="K3261" s="1295"/>
      <c r="L3261" s="1295"/>
      <c r="M3261" s="1295"/>
      <c r="N3261" s="1295"/>
      <c r="O3261" s="1295"/>
      <c r="P3261" s="853"/>
      <c r="Q3261" s="1295"/>
      <c r="R3261" s="848"/>
      <c r="S3261" s="848"/>
      <c r="T3261" s="848"/>
      <c r="U3261" s="848"/>
      <c r="V3261" s="1296"/>
      <c r="W3261" s="848"/>
      <c r="X3261" s="848"/>
      <c r="Y3261" s="1295"/>
      <c r="Z3261" s="1296"/>
      <c r="AA3261" s="1295"/>
      <c r="AB3261" s="1296"/>
      <c r="AC3261" s="1295"/>
      <c r="AD3261" s="1295"/>
      <c r="AE3261" s="2556"/>
      <c r="AF3261" s="750"/>
      <c r="AG3261" s="750"/>
      <c r="AH3261" s="750"/>
      <c r="AI3261" s="750"/>
      <c r="AJ3261" s="750"/>
      <c r="AK3261" s="750"/>
      <c r="AL3261" s="750"/>
      <c r="AM3261" s="750"/>
      <c r="AN3261" s="750"/>
      <c r="AO3261" s="750"/>
      <c r="AP3261" s="750"/>
      <c r="AQ3261" s="750"/>
      <c r="AR3261" s="750"/>
      <c r="AS3261" s="750"/>
      <c r="AT3261" s="750"/>
      <c r="AU3261" s="750"/>
      <c r="AV3261" s="750"/>
      <c r="AW3261" s="750"/>
      <c r="AX3261" s="750"/>
      <c r="AY3261" s="750"/>
      <c r="AZ3261" s="750"/>
      <c r="BA3261" s="750"/>
      <c r="BB3261" s="750"/>
      <c r="BC3261" s="750"/>
      <c r="BD3261" s="750"/>
      <c r="BE3261" s="750"/>
      <c r="BF3261" s="750"/>
      <c r="BG3261" s="750"/>
      <c r="BH3261" s="750"/>
      <c r="BI3261" s="750"/>
      <c r="BJ3261" s="750"/>
      <c r="BK3261" s="750"/>
      <c r="BL3261" s="750"/>
      <c r="BM3261" s="750"/>
      <c r="BN3261" s="750"/>
      <c r="BO3261" s="750"/>
      <c r="BP3261" s="750"/>
      <c r="BQ3261" s="750"/>
    </row>
    <row r="3262" spans="3:69">
      <c r="C3262" s="853"/>
      <c r="D3262" s="853"/>
      <c r="E3262" s="853"/>
      <c r="F3262" s="853"/>
      <c r="G3262" s="853"/>
      <c r="H3262" s="853"/>
      <c r="I3262" s="848"/>
      <c r="J3262" s="848"/>
      <c r="K3262" s="1295"/>
      <c r="L3262" s="1295"/>
      <c r="M3262" s="1295"/>
      <c r="N3262" s="1295"/>
      <c r="O3262" s="1295"/>
      <c r="P3262" s="853"/>
      <c r="Q3262" s="1295"/>
      <c r="R3262" s="848"/>
      <c r="S3262" s="848"/>
      <c r="T3262" s="848"/>
      <c r="U3262" s="848"/>
      <c r="V3262" s="1296"/>
      <c r="W3262" s="848"/>
      <c r="X3262" s="848"/>
      <c r="Y3262" s="1295"/>
      <c r="Z3262" s="1296"/>
      <c r="AA3262" s="1295"/>
      <c r="AB3262" s="1296"/>
      <c r="AC3262" s="1295"/>
      <c r="AD3262" s="1295"/>
      <c r="AE3262" s="2556"/>
      <c r="AF3262" s="750"/>
      <c r="AG3262" s="750"/>
      <c r="AH3262" s="750"/>
      <c r="AI3262" s="750"/>
      <c r="AJ3262" s="750"/>
      <c r="AK3262" s="750"/>
      <c r="AL3262" s="750"/>
      <c r="AM3262" s="750"/>
      <c r="AN3262" s="750"/>
      <c r="AO3262" s="750"/>
      <c r="AP3262" s="750"/>
      <c r="AQ3262" s="750"/>
      <c r="AR3262" s="750"/>
      <c r="AS3262" s="750"/>
      <c r="AT3262" s="750"/>
      <c r="AU3262" s="750"/>
      <c r="AV3262" s="750"/>
      <c r="AW3262" s="750"/>
      <c r="AX3262" s="750"/>
      <c r="AY3262" s="750"/>
      <c r="AZ3262" s="750"/>
      <c r="BA3262" s="750"/>
      <c r="BB3262" s="750"/>
      <c r="BC3262" s="750"/>
      <c r="BD3262" s="750"/>
      <c r="BE3262" s="750"/>
      <c r="BF3262" s="750"/>
      <c r="BG3262" s="750"/>
      <c r="BH3262" s="750"/>
      <c r="BI3262" s="750"/>
      <c r="BJ3262" s="750"/>
      <c r="BK3262" s="750"/>
      <c r="BL3262" s="750"/>
      <c r="BM3262" s="750"/>
      <c r="BN3262" s="750"/>
      <c r="BO3262" s="750"/>
      <c r="BP3262" s="750"/>
      <c r="BQ3262" s="750"/>
    </row>
    <row r="3263" spans="3:69">
      <c r="C3263" s="853"/>
      <c r="D3263" s="853"/>
      <c r="E3263" s="853"/>
      <c r="F3263" s="853"/>
      <c r="G3263" s="853"/>
      <c r="H3263" s="853"/>
      <c r="I3263" s="848"/>
      <c r="J3263" s="848"/>
      <c r="K3263" s="1295"/>
      <c r="L3263" s="1295"/>
      <c r="M3263" s="1295"/>
      <c r="N3263" s="1295"/>
      <c r="O3263" s="1295"/>
      <c r="P3263" s="853"/>
      <c r="Q3263" s="1295"/>
      <c r="R3263" s="848"/>
      <c r="S3263" s="848"/>
      <c r="T3263" s="848"/>
      <c r="U3263" s="848"/>
      <c r="V3263" s="1296"/>
      <c r="W3263" s="848"/>
      <c r="X3263" s="848"/>
      <c r="Y3263" s="1295"/>
      <c r="Z3263" s="1296"/>
      <c r="AA3263" s="1295"/>
      <c r="AB3263" s="1296"/>
      <c r="AC3263" s="1295"/>
      <c r="AD3263" s="1295"/>
      <c r="AE3263" s="2556"/>
      <c r="AF3263" s="750"/>
      <c r="AG3263" s="750"/>
      <c r="AH3263" s="750"/>
      <c r="AI3263" s="750"/>
      <c r="AJ3263" s="750"/>
      <c r="AK3263" s="750"/>
      <c r="AL3263" s="750"/>
      <c r="AM3263" s="750"/>
      <c r="AN3263" s="750"/>
      <c r="AO3263" s="750"/>
      <c r="AP3263" s="750"/>
      <c r="AQ3263" s="750"/>
      <c r="AR3263" s="750"/>
      <c r="AS3263" s="750"/>
      <c r="AT3263" s="750"/>
      <c r="AU3263" s="750"/>
      <c r="AV3263" s="750"/>
      <c r="AW3263" s="750"/>
      <c r="AX3263" s="750"/>
      <c r="AY3263" s="750"/>
      <c r="AZ3263" s="750"/>
      <c r="BA3263" s="750"/>
      <c r="BB3263" s="750"/>
      <c r="BC3263" s="750"/>
      <c r="BD3263" s="750"/>
      <c r="BE3263" s="750"/>
      <c r="BF3263" s="750"/>
      <c r="BG3263" s="750"/>
      <c r="BH3263" s="750"/>
      <c r="BI3263" s="750"/>
      <c r="BJ3263" s="750"/>
      <c r="BK3263" s="750"/>
      <c r="BL3263" s="750"/>
      <c r="BM3263" s="750"/>
      <c r="BN3263" s="750"/>
      <c r="BO3263" s="750"/>
      <c r="BP3263" s="750"/>
      <c r="BQ3263" s="750"/>
    </row>
    <row r="3264" spans="3:69">
      <c r="C3264" s="853"/>
      <c r="D3264" s="853"/>
      <c r="E3264" s="853"/>
      <c r="F3264" s="853"/>
      <c r="G3264" s="853"/>
      <c r="H3264" s="853"/>
      <c r="I3264" s="848"/>
      <c r="J3264" s="848"/>
      <c r="K3264" s="1295"/>
      <c r="L3264" s="1295"/>
      <c r="M3264" s="1295"/>
      <c r="N3264" s="1295"/>
      <c r="O3264" s="1295"/>
      <c r="P3264" s="853"/>
      <c r="Q3264" s="1295"/>
      <c r="R3264" s="848"/>
      <c r="S3264" s="848"/>
      <c r="T3264" s="848"/>
      <c r="U3264" s="848"/>
      <c r="V3264" s="1296"/>
      <c r="W3264" s="848"/>
      <c r="X3264" s="848"/>
      <c r="Y3264" s="1295"/>
      <c r="Z3264" s="1296"/>
      <c r="AA3264" s="1295"/>
      <c r="AB3264" s="1296"/>
      <c r="AC3264" s="1295"/>
      <c r="AD3264" s="1295"/>
      <c r="AE3264" s="2556"/>
      <c r="AF3264" s="750"/>
      <c r="AG3264" s="750"/>
      <c r="AH3264" s="750"/>
      <c r="AI3264" s="750"/>
      <c r="AJ3264" s="750"/>
      <c r="AK3264" s="750"/>
      <c r="AL3264" s="750"/>
      <c r="AM3264" s="750"/>
      <c r="AN3264" s="750"/>
      <c r="AO3264" s="750"/>
      <c r="AP3264" s="750"/>
      <c r="AQ3264" s="750"/>
      <c r="AR3264" s="750"/>
      <c r="AS3264" s="750"/>
      <c r="AT3264" s="750"/>
      <c r="AU3264" s="750"/>
      <c r="AV3264" s="750"/>
      <c r="AW3264" s="750"/>
      <c r="AX3264" s="750"/>
      <c r="AY3264" s="750"/>
      <c r="AZ3264" s="750"/>
      <c r="BA3264" s="750"/>
      <c r="BB3264" s="750"/>
      <c r="BC3264" s="750"/>
      <c r="BD3264" s="750"/>
      <c r="BE3264" s="750"/>
      <c r="BF3264" s="750"/>
      <c r="BG3264" s="750"/>
      <c r="BH3264" s="750"/>
      <c r="BI3264" s="750"/>
      <c r="BJ3264" s="750"/>
      <c r="BK3264" s="750"/>
      <c r="BL3264" s="750"/>
      <c r="BM3264" s="750"/>
      <c r="BN3264" s="750"/>
      <c r="BO3264" s="750"/>
      <c r="BP3264" s="750"/>
      <c r="BQ3264" s="750"/>
    </row>
    <row r="3265" spans="3:69">
      <c r="C3265" s="853"/>
      <c r="D3265" s="853"/>
      <c r="E3265" s="853"/>
      <c r="F3265" s="853"/>
      <c r="G3265" s="853"/>
      <c r="H3265" s="853"/>
      <c r="I3265" s="848"/>
      <c r="J3265" s="848"/>
      <c r="K3265" s="1295"/>
      <c r="L3265" s="1295"/>
      <c r="M3265" s="1295"/>
      <c r="N3265" s="1295"/>
      <c r="O3265" s="1295"/>
      <c r="P3265" s="853"/>
      <c r="Q3265" s="1295"/>
      <c r="R3265" s="848"/>
      <c r="S3265" s="848"/>
      <c r="T3265" s="848"/>
      <c r="U3265" s="848"/>
      <c r="V3265" s="1296"/>
      <c r="W3265" s="848"/>
      <c r="X3265" s="848"/>
      <c r="Y3265" s="1295"/>
      <c r="Z3265" s="1296"/>
      <c r="AA3265" s="1295"/>
      <c r="AB3265" s="1296"/>
      <c r="AC3265" s="1295"/>
      <c r="AD3265" s="1295"/>
      <c r="AE3265" s="2556"/>
      <c r="AF3265" s="750"/>
      <c r="AG3265" s="750"/>
      <c r="AH3265" s="750"/>
      <c r="AI3265" s="750"/>
      <c r="AJ3265" s="750"/>
      <c r="AK3265" s="750"/>
      <c r="AL3265" s="750"/>
      <c r="AM3265" s="750"/>
      <c r="AN3265" s="750"/>
      <c r="AO3265" s="750"/>
      <c r="AP3265" s="750"/>
      <c r="AQ3265" s="750"/>
      <c r="AR3265" s="750"/>
      <c r="AS3265" s="750"/>
      <c r="AT3265" s="750"/>
      <c r="AU3265" s="750"/>
      <c r="AV3265" s="750"/>
      <c r="AW3265" s="750"/>
      <c r="AX3265" s="750"/>
      <c r="AY3265" s="750"/>
      <c r="AZ3265" s="750"/>
      <c r="BA3265" s="750"/>
      <c r="BB3265" s="750"/>
      <c r="BC3265" s="750"/>
      <c r="BD3265" s="750"/>
      <c r="BE3265" s="750"/>
      <c r="BF3265" s="750"/>
      <c r="BG3265" s="750"/>
      <c r="BH3265" s="750"/>
      <c r="BI3265" s="750"/>
      <c r="BJ3265" s="750"/>
      <c r="BK3265" s="750"/>
      <c r="BL3265" s="750"/>
      <c r="BM3265" s="750"/>
      <c r="BN3265" s="750"/>
      <c r="BO3265" s="750"/>
      <c r="BP3265" s="750"/>
      <c r="BQ3265" s="750"/>
    </row>
    <row r="3266" spans="3:69">
      <c r="C3266" s="853"/>
      <c r="D3266" s="853"/>
      <c r="E3266" s="853"/>
      <c r="F3266" s="853"/>
      <c r="G3266" s="853"/>
      <c r="H3266" s="853"/>
      <c r="I3266" s="848"/>
      <c r="J3266" s="848"/>
      <c r="K3266" s="1295"/>
      <c r="L3266" s="1295"/>
      <c r="M3266" s="1295"/>
      <c r="N3266" s="1295"/>
      <c r="O3266" s="1295"/>
      <c r="P3266" s="853"/>
      <c r="Q3266" s="1295"/>
      <c r="R3266" s="848"/>
      <c r="S3266" s="848"/>
      <c r="T3266" s="848"/>
      <c r="U3266" s="848"/>
      <c r="V3266" s="1296"/>
      <c r="W3266" s="848"/>
      <c r="X3266" s="848"/>
      <c r="Y3266" s="1295"/>
      <c r="Z3266" s="1296"/>
      <c r="AA3266" s="1295"/>
      <c r="AB3266" s="1296"/>
      <c r="AC3266" s="1295"/>
      <c r="AD3266" s="1295"/>
      <c r="AE3266" s="2556"/>
      <c r="AF3266" s="750"/>
      <c r="AG3266" s="750"/>
      <c r="AH3266" s="750"/>
      <c r="AI3266" s="750"/>
      <c r="AJ3266" s="750"/>
      <c r="AK3266" s="750"/>
      <c r="AL3266" s="750"/>
      <c r="AM3266" s="750"/>
      <c r="AN3266" s="750"/>
      <c r="AO3266" s="750"/>
      <c r="AP3266" s="750"/>
      <c r="AQ3266" s="750"/>
      <c r="AR3266" s="750"/>
      <c r="AS3266" s="750"/>
      <c r="AT3266" s="750"/>
      <c r="AU3266" s="750"/>
      <c r="AV3266" s="750"/>
      <c r="AW3266" s="750"/>
      <c r="AX3266" s="750"/>
      <c r="AY3266" s="750"/>
      <c r="AZ3266" s="750"/>
      <c r="BA3266" s="750"/>
      <c r="BB3266" s="750"/>
      <c r="BC3266" s="750"/>
      <c r="BD3266" s="750"/>
      <c r="BE3266" s="750"/>
      <c r="BF3266" s="750"/>
      <c r="BG3266" s="750"/>
      <c r="BH3266" s="750"/>
      <c r="BI3266" s="750"/>
      <c r="BJ3266" s="750"/>
      <c r="BK3266" s="750"/>
      <c r="BL3266" s="750"/>
      <c r="BM3266" s="750"/>
      <c r="BN3266" s="750"/>
      <c r="BO3266" s="750"/>
      <c r="BP3266" s="750"/>
      <c r="BQ3266" s="750"/>
    </row>
    <row r="3267" spans="3:69">
      <c r="C3267" s="853"/>
      <c r="D3267" s="853"/>
      <c r="E3267" s="853"/>
      <c r="F3267" s="853"/>
      <c r="G3267" s="853"/>
      <c r="H3267" s="853"/>
      <c r="I3267" s="848"/>
      <c r="J3267" s="848"/>
      <c r="K3267" s="1295"/>
      <c r="L3267" s="1295"/>
      <c r="M3267" s="1295"/>
      <c r="N3267" s="1295"/>
      <c r="O3267" s="1295"/>
      <c r="P3267" s="853"/>
      <c r="Q3267" s="1295"/>
      <c r="R3267" s="848"/>
      <c r="S3267" s="848"/>
      <c r="T3267" s="848"/>
      <c r="U3267" s="848"/>
      <c r="V3267" s="1296"/>
      <c r="W3267" s="848"/>
      <c r="X3267" s="848"/>
      <c r="Y3267" s="1295"/>
      <c r="Z3267" s="1296"/>
      <c r="AA3267" s="1295"/>
      <c r="AB3267" s="1296"/>
      <c r="AC3267" s="1295"/>
      <c r="AD3267" s="1295"/>
      <c r="AE3267" s="2556"/>
      <c r="AF3267" s="750"/>
      <c r="AG3267" s="750"/>
      <c r="AH3267" s="750"/>
      <c r="AI3267" s="750"/>
      <c r="AJ3267" s="750"/>
      <c r="AK3267" s="750"/>
      <c r="AL3267" s="750"/>
      <c r="AM3267" s="750"/>
      <c r="AN3267" s="750"/>
      <c r="AO3267" s="750"/>
      <c r="AP3267" s="750"/>
      <c r="AQ3267" s="750"/>
      <c r="AR3267" s="750"/>
      <c r="AS3267" s="750"/>
      <c r="AT3267" s="750"/>
      <c r="AU3267" s="750"/>
      <c r="AV3267" s="750"/>
      <c r="AW3267" s="750"/>
      <c r="AX3267" s="750"/>
      <c r="AY3267" s="750"/>
      <c r="AZ3267" s="750"/>
      <c r="BA3267" s="750"/>
      <c r="BB3267" s="750"/>
      <c r="BC3267" s="750"/>
      <c r="BD3267" s="750"/>
      <c r="BE3267" s="750"/>
      <c r="BF3267" s="750"/>
      <c r="BG3267" s="750"/>
      <c r="BH3267" s="750"/>
      <c r="BI3267" s="750"/>
      <c r="BJ3267" s="750"/>
      <c r="BK3267" s="750"/>
      <c r="BL3267" s="750"/>
      <c r="BM3267" s="750"/>
      <c r="BN3267" s="750"/>
      <c r="BO3267" s="750"/>
      <c r="BP3267" s="750"/>
      <c r="BQ3267" s="750"/>
    </row>
    <row r="3268" spans="3:69">
      <c r="C3268" s="853"/>
      <c r="D3268" s="853"/>
      <c r="E3268" s="853"/>
      <c r="F3268" s="853"/>
      <c r="G3268" s="853"/>
      <c r="H3268" s="853"/>
      <c r="I3268" s="848"/>
      <c r="J3268" s="848"/>
      <c r="K3268" s="1295"/>
      <c r="L3268" s="1295"/>
      <c r="M3268" s="1295"/>
      <c r="N3268" s="1295"/>
      <c r="O3268" s="1295"/>
      <c r="P3268" s="853"/>
      <c r="Q3268" s="1295"/>
      <c r="R3268" s="848"/>
      <c r="S3268" s="848"/>
      <c r="T3268" s="848"/>
      <c r="U3268" s="848"/>
      <c r="V3268" s="1296"/>
      <c r="W3268" s="848"/>
      <c r="X3268" s="848"/>
      <c r="Y3268" s="1295"/>
      <c r="Z3268" s="1296"/>
      <c r="AA3268" s="1295"/>
      <c r="AB3268" s="1296"/>
      <c r="AC3268" s="1295"/>
      <c r="AD3268" s="1295"/>
      <c r="AE3268" s="2556"/>
      <c r="AF3268" s="750"/>
      <c r="AG3268" s="750"/>
      <c r="AH3268" s="750"/>
      <c r="AI3268" s="750"/>
      <c r="AJ3268" s="750"/>
      <c r="AK3268" s="750"/>
      <c r="AL3268" s="750"/>
      <c r="AM3268" s="750"/>
      <c r="AN3268" s="750"/>
      <c r="AO3268" s="750"/>
      <c r="AP3268" s="750"/>
      <c r="AQ3268" s="750"/>
      <c r="AR3268" s="750"/>
      <c r="AS3268" s="750"/>
      <c r="AT3268" s="750"/>
      <c r="AU3268" s="750"/>
      <c r="AV3268" s="750"/>
      <c r="AW3268" s="750"/>
      <c r="AX3268" s="750"/>
      <c r="AY3268" s="750"/>
      <c r="AZ3268" s="750"/>
      <c r="BA3268" s="750"/>
      <c r="BB3268" s="750"/>
      <c r="BC3268" s="750"/>
      <c r="BD3268" s="750"/>
      <c r="BE3268" s="750"/>
      <c r="BF3268" s="750"/>
      <c r="BG3268" s="750"/>
      <c r="BH3268" s="750"/>
      <c r="BI3268" s="750"/>
      <c r="BJ3268" s="750"/>
      <c r="BK3268" s="750"/>
      <c r="BL3268" s="750"/>
      <c r="BM3268" s="750"/>
      <c r="BN3268" s="750"/>
      <c r="BO3268" s="750"/>
      <c r="BP3268" s="750"/>
      <c r="BQ3268" s="750"/>
    </row>
    <row r="3269" spans="3:69">
      <c r="C3269" s="853"/>
      <c r="D3269" s="853"/>
      <c r="E3269" s="853"/>
      <c r="F3269" s="853"/>
      <c r="G3269" s="853"/>
      <c r="H3269" s="853"/>
      <c r="I3269" s="848"/>
      <c r="J3269" s="848"/>
      <c r="K3269" s="1295"/>
      <c r="L3269" s="1295"/>
      <c r="M3269" s="1295"/>
      <c r="N3269" s="1295"/>
      <c r="O3269" s="1295"/>
      <c r="P3269" s="853"/>
      <c r="Q3269" s="1295"/>
      <c r="R3269" s="848"/>
      <c r="S3269" s="848"/>
      <c r="T3269" s="848"/>
      <c r="U3269" s="848"/>
      <c r="V3269" s="1296"/>
      <c r="W3269" s="848"/>
      <c r="X3269" s="848"/>
      <c r="Y3269" s="1295"/>
      <c r="Z3269" s="1296"/>
      <c r="AA3269" s="1295"/>
      <c r="AB3269" s="1296"/>
      <c r="AC3269" s="1295"/>
      <c r="AD3269" s="1295"/>
      <c r="AE3269" s="2556"/>
      <c r="AF3269" s="750"/>
      <c r="AG3269" s="750"/>
      <c r="AH3269" s="750"/>
      <c r="AI3269" s="750"/>
      <c r="AJ3269" s="750"/>
      <c r="AK3269" s="750"/>
      <c r="AL3269" s="750"/>
      <c r="AM3269" s="750"/>
      <c r="AN3269" s="750"/>
      <c r="AO3269" s="750"/>
      <c r="AP3269" s="750"/>
      <c r="AQ3269" s="750"/>
      <c r="AR3269" s="750"/>
      <c r="AS3269" s="750"/>
      <c r="AT3269" s="750"/>
      <c r="AU3269" s="750"/>
      <c r="AV3269" s="750"/>
      <c r="AW3269" s="750"/>
      <c r="AX3269" s="750"/>
      <c r="AY3269" s="750"/>
      <c r="AZ3269" s="750"/>
      <c r="BA3269" s="750"/>
      <c r="BB3269" s="750"/>
      <c r="BC3269" s="750"/>
      <c r="BD3269" s="750"/>
      <c r="BE3269" s="750"/>
      <c r="BF3269" s="750"/>
      <c r="BG3269" s="750"/>
      <c r="BH3269" s="750"/>
      <c r="BI3269" s="750"/>
      <c r="BJ3269" s="750"/>
      <c r="BK3269" s="750"/>
      <c r="BL3269" s="750"/>
      <c r="BM3269" s="750"/>
      <c r="BN3269" s="750"/>
      <c r="BO3269" s="750"/>
      <c r="BP3269" s="750"/>
      <c r="BQ3269" s="750"/>
    </row>
    <row r="3270" spans="3:69">
      <c r="C3270" s="853"/>
      <c r="D3270" s="853"/>
      <c r="E3270" s="853"/>
      <c r="F3270" s="853"/>
      <c r="G3270" s="853"/>
      <c r="H3270" s="853"/>
      <c r="I3270" s="848"/>
      <c r="J3270" s="848"/>
      <c r="K3270" s="1295"/>
      <c r="L3270" s="1295"/>
      <c r="M3270" s="1295"/>
      <c r="N3270" s="1295"/>
      <c r="O3270" s="1295"/>
      <c r="P3270" s="853"/>
      <c r="Q3270" s="1295"/>
      <c r="R3270" s="848"/>
      <c r="S3270" s="848"/>
      <c r="T3270" s="848"/>
      <c r="U3270" s="848"/>
      <c r="V3270" s="1296"/>
      <c r="W3270" s="848"/>
      <c r="X3270" s="848"/>
      <c r="Y3270" s="1295"/>
      <c r="Z3270" s="1296"/>
      <c r="AA3270" s="1295"/>
      <c r="AB3270" s="1296"/>
      <c r="AC3270" s="1295"/>
      <c r="AD3270" s="1295"/>
      <c r="AE3270" s="2556"/>
      <c r="AF3270" s="750"/>
      <c r="AG3270" s="750"/>
      <c r="AH3270" s="750"/>
      <c r="AI3270" s="750"/>
      <c r="AJ3270" s="750"/>
      <c r="AK3270" s="750"/>
      <c r="AL3270" s="750"/>
      <c r="AM3270" s="750"/>
      <c r="AN3270" s="750"/>
      <c r="AO3270" s="750"/>
      <c r="AP3270" s="750"/>
      <c r="AQ3270" s="750"/>
      <c r="AR3270" s="750"/>
      <c r="AS3270" s="750"/>
      <c r="AT3270" s="750"/>
      <c r="AU3270" s="750"/>
      <c r="AV3270" s="750"/>
      <c r="AW3270" s="750"/>
      <c r="AX3270" s="750"/>
      <c r="AY3270" s="750"/>
      <c r="AZ3270" s="750"/>
      <c r="BA3270" s="750"/>
      <c r="BB3270" s="750"/>
      <c r="BC3270" s="750"/>
      <c r="BD3270" s="750"/>
      <c r="BE3270" s="750"/>
      <c r="BF3270" s="750"/>
      <c r="BG3270" s="750"/>
      <c r="BH3270" s="750"/>
      <c r="BI3270" s="750"/>
      <c r="BJ3270" s="750"/>
      <c r="BK3270" s="750"/>
      <c r="BL3270" s="750"/>
      <c r="BM3270" s="750"/>
      <c r="BN3270" s="750"/>
      <c r="BO3270" s="750"/>
      <c r="BP3270" s="750"/>
      <c r="BQ3270" s="750"/>
    </row>
    <row r="3271" spans="3:69">
      <c r="C3271" s="853"/>
      <c r="D3271" s="853"/>
      <c r="E3271" s="853"/>
      <c r="F3271" s="853"/>
      <c r="G3271" s="853"/>
      <c r="H3271" s="853"/>
      <c r="I3271" s="848"/>
      <c r="J3271" s="848"/>
      <c r="K3271" s="1295"/>
      <c r="L3271" s="1295"/>
      <c r="M3271" s="1295"/>
      <c r="N3271" s="1295"/>
      <c r="O3271" s="1295"/>
      <c r="P3271" s="853"/>
      <c r="Q3271" s="1295"/>
      <c r="R3271" s="848"/>
      <c r="S3271" s="848"/>
      <c r="T3271" s="848"/>
      <c r="U3271" s="848"/>
      <c r="V3271" s="1296"/>
      <c r="W3271" s="848"/>
      <c r="X3271" s="848"/>
      <c r="Y3271" s="1295"/>
      <c r="Z3271" s="1296"/>
      <c r="AA3271" s="1295"/>
      <c r="AB3271" s="1296"/>
      <c r="AC3271" s="1295"/>
      <c r="AD3271" s="1295"/>
      <c r="AE3271" s="2556"/>
      <c r="AF3271" s="750"/>
      <c r="AG3271" s="750"/>
      <c r="AH3271" s="750"/>
      <c r="AI3271" s="750"/>
      <c r="AJ3271" s="750"/>
      <c r="AK3271" s="750"/>
      <c r="AL3271" s="750"/>
      <c r="AM3271" s="750"/>
      <c r="AN3271" s="750"/>
      <c r="AO3271" s="750"/>
      <c r="AP3271" s="750"/>
      <c r="AQ3271" s="750"/>
      <c r="AR3271" s="750"/>
      <c r="AS3271" s="750"/>
      <c r="AT3271" s="750"/>
      <c r="AU3271" s="750"/>
      <c r="AV3271" s="750"/>
      <c r="AW3271" s="750"/>
      <c r="AX3271" s="750"/>
      <c r="AY3271" s="750"/>
      <c r="AZ3271" s="750"/>
      <c r="BA3271" s="750"/>
      <c r="BB3271" s="750"/>
      <c r="BC3271" s="750"/>
      <c r="BD3271" s="750"/>
      <c r="BE3271" s="750"/>
      <c r="BF3271" s="750"/>
      <c r="BG3271" s="750"/>
      <c r="BH3271" s="750"/>
      <c r="BI3271" s="750"/>
      <c r="BJ3271" s="750"/>
      <c r="BK3271" s="750"/>
      <c r="BL3271" s="750"/>
      <c r="BM3271" s="750"/>
      <c r="BN3271" s="750"/>
      <c r="BO3271" s="750"/>
      <c r="BP3271" s="750"/>
      <c r="BQ3271" s="750"/>
    </row>
    <row r="3272" spans="3:69">
      <c r="C3272" s="853"/>
      <c r="D3272" s="853"/>
      <c r="E3272" s="853"/>
      <c r="F3272" s="853"/>
      <c r="G3272" s="853"/>
      <c r="H3272" s="853"/>
      <c r="I3272" s="848"/>
      <c r="J3272" s="848"/>
      <c r="K3272" s="1295"/>
      <c r="L3272" s="1295"/>
      <c r="M3272" s="1295"/>
      <c r="N3272" s="1295"/>
      <c r="O3272" s="1295"/>
      <c r="P3272" s="853"/>
      <c r="Q3272" s="1295"/>
      <c r="R3272" s="848"/>
      <c r="S3272" s="848"/>
      <c r="T3272" s="848"/>
      <c r="U3272" s="848"/>
      <c r="V3272" s="1296"/>
      <c r="W3272" s="848"/>
      <c r="X3272" s="848"/>
      <c r="Y3272" s="1295"/>
      <c r="Z3272" s="1296"/>
      <c r="AA3272" s="1295"/>
      <c r="AB3272" s="1296"/>
      <c r="AC3272" s="1295"/>
      <c r="AD3272" s="1295"/>
      <c r="AE3272" s="2556"/>
      <c r="AF3272" s="750"/>
      <c r="AG3272" s="750"/>
      <c r="AH3272" s="750"/>
      <c r="AI3272" s="750"/>
      <c r="AJ3272" s="750"/>
      <c r="AK3272" s="750"/>
      <c r="AL3272" s="750"/>
      <c r="AM3272" s="750"/>
      <c r="AN3272" s="750"/>
      <c r="AO3272" s="750"/>
      <c r="AP3272" s="750"/>
      <c r="AQ3272" s="750"/>
      <c r="AR3272" s="750"/>
      <c r="AS3272" s="750"/>
      <c r="AT3272" s="750"/>
      <c r="AU3272" s="750"/>
      <c r="AV3272" s="750"/>
      <c r="AW3272" s="750"/>
      <c r="AX3272" s="750"/>
      <c r="AY3272" s="750"/>
      <c r="AZ3272" s="750"/>
      <c r="BA3272" s="750"/>
      <c r="BB3272" s="750"/>
      <c r="BC3272" s="750"/>
      <c r="BD3272" s="750"/>
      <c r="BE3272" s="750"/>
      <c r="BF3272" s="750"/>
      <c r="BG3272" s="750"/>
      <c r="BH3272" s="750"/>
      <c r="BI3272" s="750"/>
      <c r="BJ3272" s="750"/>
      <c r="BK3272" s="750"/>
      <c r="BL3272" s="750"/>
      <c r="BM3272" s="750"/>
      <c r="BN3272" s="750"/>
      <c r="BO3272" s="750"/>
      <c r="BP3272" s="750"/>
      <c r="BQ3272" s="750"/>
    </row>
    <row r="3273" spans="3:69">
      <c r="C3273" s="853"/>
      <c r="D3273" s="853"/>
      <c r="E3273" s="853"/>
      <c r="F3273" s="853"/>
      <c r="G3273" s="853"/>
      <c r="H3273" s="853"/>
      <c r="I3273" s="848"/>
      <c r="J3273" s="848"/>
      <c r="K3273" s="1295"/>
      <c r="L3273" s="1295"/>
      <c r="M3273" s="1295"/>
      <c r="N3273" s="1295"/>
      <c r="O3273" s="1295"/>
      <c r="P3273" s="853"/>
      <c r="Q3273" s="1295"/>
      <c r="R3273" s="848"/>
      <c r="S3273" s="848"/>
      <c r="T3273" s="848"/>
      <c r="U3273" s="848"/>
      <c r="V3273" s="1296"/>
      <c r="W3273" s="848"/>
      <c r="X3273" s="848"/>
      <c r="Y3273" s="1295"/>
      <c r="Z3273" s="1296"/>
      <c r="AA3273" s="1295"/>
      <c r="AB3273" s="1296"/>
      <c r="AC3273" s="1295"/>
      <c r="AD3273" s="1295"/>
      <c r="AE3273" s="2556"/>
      <c r="AF3273" s="750"/>
      <c r="AG3273" s="750"/>
      <c r="AH3273" s="750"/>
      <c r="AI3273" s="750"/>
      <c r="AJ3273" s="750"/>
      <c r="AK3273" s="750"/>
      <c r="AL3273" s="750"/>
      <c r="AM3273" s="750"/>
      <c r="AN3273" s="750"/>
      <c r="AO3273" s="750"/>
      <c r="AP3273" s="750"/>
      <c r="AQ3273" s="750"/>
      <c r="AR3273" s="750"/>
      <c r="AS3273" s="750"/>
      <c r="AT3273" s="750"/>
      <c r="AU3273" s="750"/>
      <c r="AV3273" s="750"/>
      <c r="AW3273" s="750"/>
      <c r="AX3273" s="750"/>
      <c r="AY3273" s="750"/>
      <c r="AZ3273" s="750"/>
      <c r="BA3273" s="750"/>
      <c r="BB3273" s="750"/>
      <c r="BC3273" s="750"/>
      <c r="BD3273" s="750"/>
      <c r="BE3273" s="750"/>
      <c r="BF3273" s="750"/>
      <c r="BG3273" s="750"/>
      <c r="BH3273" s="750"/>
      <c r="BI3273" s="750"/>
      <c r="BJ3273" s="750"/>
      <c r="BK3273" s="750"/>
      <c r="BL3273" s="750"/>
      <c r="BM3273" s="750"/>
      <c r="BN3273" s="750"/>
      <c r="BO3273" s="750"/>
      <c r="BP3273" s="750"/>
      <c r="BQ3273" s="750"/>
    </row>
    <row r="3274" spans="3:69">
      <c r="C3274" s="853"/>
      <c r="D3274" s="853"/>
      <c r="E3274" s="853"/>
      <c r="F3274" s="853"/>
      <c r="G3274" s="853"/>
      <c r="H3274" s="853"/>
      <c r="I3274" s="848"/>
      <c r="J3274" s="848"/>
      <c r="K3274" s="1295"/>
      <c r="L3274" s="1295"/>
      <c r="M3274" s="1295"/>
      <c r="N3274" s="1295"/>
      <c r="O3274" s="1295"/>
      <c r="P3274" s="853"/>
      <c r="Q3274" s="1295"/>
      <c r="R3274" s="848"/>
      <c r="S3274" s="848"/>
      <c r="T3274" s="848"/>
      <c r="U3274" s="848"/>
      <c r="V3274" s="1296"/>
      <c r="W3274" s="848"/>
      <c r="X3274" s="848"/>
      <c r="Y3274" s="1295"/>
      <c r="Z3274" s="1296"/>
      <c r="AA3274" s="1295"/>
      <c r="AB3274" s="1296"/>
      <c r="AC3274" s="1295"/>
      <c r="AD3274" s="1295"/>
      <c r="AE3274" s="2556"/>
      <c r="AF3274" s="750"/>
      <c r="AG3274" s="750"/>
      <c r="AH3274" s="750"/>
      <c r="AI3274" s="750"/>
      <c r="AJ3274" s="750"/>
      <c r="AK3274" s="750"/>
      <c r="AL3274" s="750"/>
      <c r="AM3274" s="750"/>
      <c r="AN3274" s="750"/>
      <c r="AO3274" s="750"/>
      <c r="AP3274" s="750"/>
      <c r="AQ3274" s="750"/>
      <c r="AR3274" s="750"/>
      <c r="AS3274" s="750"/>
      <c r="AT3274" s="750"/>
      <c r="AU3274" s="750"/>
      <c r="AV3274" s="750"/>
      <c r="AW3274" s="750"/>
      <c r="AX3274" s="750"/>
      <c r="AY3274" s="750"/>
      <c r="AZ3274" s="750"/>
      <c r="BA3274" s="750"/>
      <c r="BB3274" s="750"/>
      <c r="BC3274" s="750"/>
      <c r="BD3274" s="750"/>
      <c r="BE3274" s="750"/>
      <c r="BF3274" s="750"/>
      <c r="BG3274" s="750"/>
      <c r="BH3274" s="750"/>
      <c r="BI3274" s="750"/>
      <c r="BJ3274" s="750"/>
      <c r="BK3274" s="750"/>
      <c r="BL3274" s="750"/>
      <c r="BM3274" s="750"/>
      <c r="BN3274" s="750"/>
      <c r="BO3274" s="750"/>
      <c r="BP3274" s="750"/>
      <c r="BQ3274" s="750"/>
    </row>
    <row r="3275" spans="3:69">
      <c r="C3275" s="853"/>
      <c r="D3275" s="853"/>
      <c r="E3275" s="853"/>
      <c r="F3275" s="853"/>
      <c r="G3275" s="853"/>
      <c r="H3275" s="853"/>
      <c r="I3275" s="848"/>
      <c r="J3275" s="848"/>
      <c r="K3275" s="1295"/>
      <c r="L3275" s="1295"/>
      <c r="M3275" s="1295"/>
      <c r="N3275" s="1295"/>
      <c r="O3275" s="1295"/>
      <c r="P3275" s="853"/>
      <c r="Q3275" s="1295"/>
      <c r="R3275" s="848"/>
      <c r="S3275" s="848"/>
      <c r="T3275" s="848"/>
      <c r="U3275" s="848"/>
      <c r="V3275" s="1296"/>
      <c r="W3275" s="848"/>
      <c r="X3275" s="848"/>
      <c r="Y3275" s="1295"/>
      <c r="Z3275" s="1296"/>
      <c r="AA3275" s="1295"/>
      <c r="AB3275" s="1296"/>
      <c r="AC3275" s="1295"/>
      <c r="AD3275" s="1295"/>
      <c r="AE3275" s="2556"/>
      <c r="AF3275" s="750"/>
      <c r="AG3275" s="750"/>
      <c r="AH3275" s="750"/>
      <c r="AI3275" s="750"/>
      <c r="AJ3275" s="750"/>
      <c r="AK3275" s="750"/>
      <c r="AL3275" s="750"/>
      <c r="AM3275" s="750"/>
      <c r="AN3275" s="750"/>
      <c r="AO3275" s="750"/>
      <c r="AP3275" s="750"/>
      <c r="AQ3275" s="750"/>
      <c r="AR3275" s="750"/>
      <c r="AS3275" s="750"/>
      <c r="AT3275" s="750"/>
      <c r="AU3275" s="750"/>
      <c r="AV3275" s="750"/>
      <c r="AW3275" s="750"/>
      <c r="AX3275" s="750"/>
      <c r="AY3275" s="750"/>
      <c r="AZ3275" s="750"/>
      <c r="BA3275" s="750"/>
      <c r="BB3275" s="750"/>
      <c r="BC3275" s="750"/>
      <c r="BD3275" s="750"/>
      <c r="BE3275" s="750"/>
      <c r="BF3275" s="750"/>
      <c r="BG3275" s="750"/>
      <c r="BH3275" s="750"/>
      <c r="BI3275" s="750"/>
      <c r="BJ3275" s="750"/>
      <c r="BK3275" s="750"/>
      <c r="BL3275" s="750"/>
      <c r="BM3275" s="750"/>
      <c r="BN3275" s="750"/>
      <c r="BO3275" s="750"/>
      <c r="BP3275" s="750"/>
      <c r="BQ3275" s="750"/>
    </row>
    <row r="3276" spans="3:69">
      <c r="C3276" s="853"/>
      <c r="D3276" s="853"/>
      <c r="E3276" s="853"/>
      <c r="F3276" s="853"/>
      <c r="G3276" s="853"/>
      <c r="H3276" s="853"/>
      <c r="I3276" s="848"/>
      <c r="J3276" s="848"/>
      <c r="K3276" s="1295"/>
      <c r="L3276" s="1295"/>
      <c r="M3276" s="1295"/>
      <c r="N3276" s="1295"/>
      <c r="O3276" s="1295"/>
      <c r="P3276" s="853"/>
      <c r="Q3276" s="1295"/>
      <c r="R3276" s="848"/>
      <c r="S3276" s="848"/>
      <c r="T3276" s="848"/>
      <c r="U3276" s="848"/>
      <c r="V3276" s="1296"/>
      <c r="W3276" s="848"/>
      <c r="X3276" s="848"/>
      <c r="Y3276" s="1295"/>
      <c r="Z3276" s="1296"/>
      <c r="AA3276" s="1295"/>
      <c r="AB3276" s="1296"/>
      <c r="AC3276" s="1295"/>
      <c r="AD3276" s="1295"/>
      <c r="AE3276" s="2556"/>
      <c r="AF3276" s="750"/>
      <c r="AG3276" s="750"/>
      <c r="AH3276" s="750"/>
      <c r="AI3276" s="750"/>
      <c r="AJ3276" s="750"/>
      <c r="AK3276" s="750"/>
      <c r="AL3276" s="750"/>
      <c r="AM3276" s="750"/>
      <c r="AN3276" s="750"/>
      <c r="AO3276" s="750"/>
      <c r="AP3276" s="750"/>
      <c r="AQ3276" s="750"/>
      <c r="AR3276" s="750"/>
      <c r="AS3276" s="750"/>
      <c r="AT3276" s="750"/>
      <c r="AU3276" s="750"/>
      <c r="AV3276" s="750"/>
      <c r="AW3276" s="750"/>
      <c r="AX3276" s="750"/>
      <c r="AY3276" s="750"/>
      <c r="AZ3276" s="750"/>
      <c r="BA3276" s="750"/>
      <c r="BB3276" s="750"/>
      <c r="BC3276" s="750"/>
      <c r="BD3276" s="750"/>
      <c r="BE3276" s="750"/>
      <c r="BF3276" s="750"/>
      <c r="BG3276" s="750"/>
      <c r="BH3276" s="750"/>
      <c r="BI3276" s="750"/>
      <c r="BJ3276" s="750"/>
      <c r="BK3276" s="750"/>
      <c r="BL3276" s="750"/>
      <c r="BM3276" s="750"/>
      <c r="BN3276" s="750"/>
      <c r="BO3276" s="750"/>
      <c r="BP3276" s="750"/>
      <c r="BQ3276" s="750"/>
    </row>
    <row r="3277" spans="3:69">
      <c r="C3277" s="853"/>
      <c r="D3277" s="853"/>
      <c r="E3277" s="853"/>
      <c r="F3277" s="853"/>
      <c r="G3277" s="853"/>
      <c r="H3277" s="853"/>
      <c r="I3277" s="848"/>
      <c r="J3277" s="848"/>
      <c r="K3277" s="1295"/>
      <c r="L3277" s="1295"/>
      <c r="M3277" s="1295"/>
      <c r="N3277" s="1295"/>
      <c r="O3277" s="1295"/>
      <c r="P3277" s="853"/>
      <c r="Q3277" s="1295"/>
      <c r="R3277" s="848"/>
      <c r="S3277" s="848"/>
      <c r="T3277" s="848"/>
      <c r="U3277" s="848"/>
      <c r="V3277" s="1296"/>
      <c r="W3277" s="848"/>
      <c r="X3277" s="848"/>
      <c r="Y3277" s="1295"/>
      <c r="Z3277" s="1296"/>
      <c r="AA3277" s="1295"/>
      <c r="AB3277" s="1296"/>
      <c r="AC3277" s="1295"/>
      <c r="AD3277" s="1295"/>
      <c r="AE3277" s="2556"/>
      <c r="AF3277" s="750"/>
      <c r="AG3277" s="750"/>
      <c r="AH3277" s="750"/>
      <c r="AI3277" s="750"/>
      <c r="AJ3277" s="750"/>
      <c r="AK3277" s="750"/>
      <c r="AL3277" s="750"/>
      <c r="AM3277" s="750"/>
      <c r="AN3277" s="750"/>
      <c r="AO3277" s="750"/>
      <c r="AP3277" s="750"/>
      <c r="AQ3277" s="750"/>
      <c r="AR3277" s="750"/>
      <c r="AS3277" s="750"/>
      <c r="AT3277" s="750"/>
      <c r="AU3277" s="750"/>
      <c r="AV3277" s="750"/>
      <c r="AW3277" s="750"/>
      <c r="AX3277" s="750"/>
      <c r="AY3277" s="750"/>
      <c r="AZ3277" s="750"/>
      <c r="BA3277" s="750"/>
      <c r="BB3277" s="750"/>
      <c r="BC3277" s="750"/>
      <c r="BD3277" s="750"/>
      <c r="BE3277" s="750"/>
      <c r="BF3277" s="750"/>
      <c r="BG3277" s="750"/>
      <c r="BH3277" s="750"/>
      <c r="BI3277" s="750"/>
      <c r="BJ3277" s="750"/>
      <c r="BK3277" s="750"/>
      <c r="BL3277" s="750"/>
      <c r="BM3277" s="750"/>
      <c r="BN3277" s="750"/>
      <c r="BO3277" s="750"/>
      <c r="BP3277" s="750"/>
      <c r="BQ3277" s="750"/>
    </row>
    <row r="3278" spans="3:69">
      <c r="C3278" s="853"/>
      <c r="D3278" s="853"/>
      <c r="E3278" s="853"/>
      <c r="F3278" s="853"/>
      <c r="G3278" s="853"/>
      <c r="H3278" s="853"/>
      <c r="I3278" s="848"/>
      <c r="J3278" s="848"/>
      <c r="K3278" s="1295"/>
      <c r="L3278" s="1295"/>
      <c r="M3278" s="1295"/>
      <c r="N3278" s="1295"/>
      <c r="O3278" s="1295"/>
      <c r="P3278" s="853"/>
      <c r="Q3278" s="1295"/>
      <c r="R3278" s="848"/>
      <c r="S3278" s="848"/>
      <c r="T3278" s="848"/>
      <c r="U3278" s="848"/>
      <c r="V3278" s="1296"/>
      <c r="W3278" s="848"/>
      <c r="X3278" s="848"/>
      <c r="Y3278" s="1295"/>
      <c r="Z3278" s="1296"/>
      <c r="AA3278" s="1295"/>
      <c r="AB3278" s="1296"/>
      <c r="AC3278" s="1295"/>
      <c r="AD3278" s="1295"/>
      <c r="AE3278" s="2556"/>
      <c r="AF3278" s="750"/>
      <c r="AG3278" s="750"/>
      <c r="AH3278" s="750"/>
      <c r="AI3278" s="750"/>
      <c r="AJ3278" s="750"/>
      <c r="AK3278" s="750"/>
      <c r="AL3278" s="750"/>
      <c r="AM3278" s="750"/>
      <c r="AN3278" s="750"/>
      <c r="AO3278" s="750"/>
      <c r="AP3278" s="750"/>
      <c r="AQ3278" s="750"/>
      <c r="AR3278" s="750"/>
      <c r="AS3278" s="750"/>
      <c r="AT3278" s="750"/>
      <c r="AU3278" s="750"/>
      <c r="AV3278" s="750"/>
      <c r="AW3278" s="750"/>
      <c r="AX3278" s="750"/>
      <c r="AY3278" s="750"/>
      <c r="AZ3278" s="750"/>
      <c r="BA3278" s="750"/>
      <c r="BB3278" s="750"/>
      <c r="BC3278" s="750"/>
      <c r="BD3278" s="750"/>
      <c r="BE3278" s="750"/>
      <c r="BF3278" s="750"/>
      <c r="BG3278" s="750"/>
      <c r="BH3278" s="750"/>
      <c r="BI3278" s="750"/>
      <c r="BJ3278" s="750"/>
      <c r="BK3278" s="750"/>
      <c r="BL3278" s="750"/>
      <c r="BM3278" s="750"/>
      <c r="BN3278" s="750"/>
      <c r="BO3278" s="750"/>
      <c r="BP3278" s="750"/>
      <c r="BQ3278" s="750"/>
    </row>
    <row r="3279" spans="3:69">
      <c r="C3279" s="853"/>
      <c r="D3279" s="853"/>
      <c r="E3279" s="853"/>
      <c r="F3279" s="853"/>
      <c r="G3279" s="853"/>
      <c r="H3279" s="853"/>
      <c r="I3279" s="848"/>
      <c r="J3279" s="848"/>
      <c r="K3279" s="1295"/>
      <c r="L3279" s="1295"/>
      <c r="M3279" s="1295"/>
      <c r="N3279" s="1295"/>
      <c r="O3279" s="1295"/>
      <c r="P3279" s="853"/>
      <c r="Q3279" s="1295"/>
      <c r="R3279" s="848"/>
      <c r="S3279" s="848"/>
      <c r="T3279" s="848"/>
      <c r="U3279" s="848"/>
      <c r="V3279" s="1296"/>
      <c r="W3279" s="848"/>
      <c r="X3279" s="848"/>
      <c r="Y3279" s="1295"/>
      <c r="Z3279" s="1296"/>
      <c r="AA3279" s="1295"/>
      <c r="AB3279" s="1296"/>
      <c r="AC3279" s="1295"/>
      <c r="AD3279" s="1295"/>
      <c r="AE3279" s="2556"/>
      <c r="AF3279" s="750"/>
      <c r="AG3279" s="750"/>
      <c r="AH3279" s="750"/>
      <c r="AI3279" s="750"/>
      <c r="AJ3279" s="750"/>
      <c r="AK3279" s="750"/>
      <c r="AL3279" s="750"/>
      <c r="AM3279" s="750"/>
      <c r="AN3279" s="750"/>
      <c r="AO3279" s="750"/>
      <c r="AP3279" s="750"/>
      <c r="AQ3279" s="750"/>
      <c r="AR3279" s="750"/>
      <c r="AS3279" s="750"/>
      <c r="AT3279" s="750"/>
      <c r="AU3279" s="750"/>
      <c r="AV3279" s="750"/>
      <c r="AW3279" s="750"/>
      <c r="AX3279" s="750"/>
      <c r="AY3279" s="750"/>
      <c r="AZ3279" s="750"/>
      <c r="BA3279" s="750"/>
      <c r="BB3279" s="750"/>
      <c r="BC3279" s="750"/>
      <c r="BD3279" s="750"/>
      <c r="BE3279" s="750"/>
      <c r="BF3279" s="750"/>
      <c r="BG3279" s="750"/>
      <c r="BH3279" s="750"/>
      <c r="BI3279" s="750"/>
      <c r="BJ3279" s="750"/>
      <c r="BK3279" s="750"/>
      <c r="BL3279" s="750"/>
      <c r="BM3279" s="750"/>
      <c r="BN3279" s="750"/>
      <c r="BO3279" s="750"/>
      <c r="BP3279" s="750"/>
      <c r="BQ3279" s="750"/>
    </row>
    <row r="3280" spans="3:69">
      <c r="C3280" s="853"/>
      <c r="D3280" s="853"/>
      <c r="E3280" s="853"/>
      <c r="F3280" s="853"/>
      <c r="G3280" s="853"/>
      <c r="H3280" s="853"/>
      <c r="I3280" s="848"/>
      <c r="J3280" s="848"/>
      <c r="K3280" s="1295"/>
      <c r="L3280" s="1295"/>
      <c r="M3280" s="1295"/>
      <c r="N3280" s="1295"/>
      <c r="O3280" s="1295"/>
      <c r="P3280" s="853"/>
      <c r="Q3280" s="1295"/>
      <c r="R3280" s="848"/>
      <c r="S3280" s="848"/>
      <c r="T3280" s="848"/>
      <c r="U3280" s="848"/>
      <c r="V3280" s="1296"/>
      <c r="W3280" s="848"/>
      <c r="X3280" s="848"/>
      <c r="Y3280" s="1295"/>
      <c r="Z3280" s="1296"/>
      <c r="AA3280" s="1295"/>
      <c r="AB3280" s="1296"/>
      <c r="AC3280" s="1295"/>
      <c r="AD3280" s="1295"/>
      <c r="AE3280" s="2556"/>
      <c r="AF3280" s="750"/>
      <c r="AG3280" s="750"/>
      <c r="AH3280" s="750"/>
      <c r="AI3280" s="750"/>
      <c r="AJ3280" s="750"/>
      <c r="AK3280" s="750"/>
      <c r="AL3280" s="750"/>
      <c r="AM3280" s="750"/>
      <c r="AN3280" s="750"/>
      <c r="AO3280" s="750"/>
      <c r="AP3280" s="750"/>
      <c r="AQ3280" s="750"/>
      <c r="AR3280" s="750"/>
      <c r="AS3280" s="750"/>
      <c r="AT3280" s="750"/>
      <c r="AU3280" s="750"/>
      <c r="AV3280" s="750"/>
      <c r="AW3280" s="750"/>
      <c r="AX3280" s="750"/>
      <c r="AY3280" s="750"/>
      <c r="AZ3280" s="750"/>
      <c r="BA3280" s="750"/>
      <c r="BB3280" s="750"/>
      <c r="BC3280" s="750"/>
      <c r="BD3280" s="750"/>
      <c r="BE3280" s="750"/>
      <c r="BF3280" s="750"/>
      <c r="BG3280" s="750"/>
      <c r="BH3280" s="750"/>
      <c r="BI3280" s="750"/>
      <c r="BJ3280" s="750"/>
      <c r="BK3280" s="750"/>
      <c r="BL3280" s="750"/>
      <c r="BM3280" s="750"/>
      <c r="BN3280" s="750"/>
      <c r="BO3280" s="750"/>
      <c r="BP3280" s="750"/>
      <c r="BQ3280" s="750"/>
    </row>
    <row r="3281" spans="3:69">
      <c r="C3281" s="853"/>
      <c r="D3281" s="853"/>
      <c r="E3281" s="853"/>
      <c r="F3281" s="853"/>
      <c r="G3281" s="853"/>
      <c r="H3281" s="853"/>
      <c r="I3281" s="848"/>
      <c r="J3281" s="848"/>
      <c r="K3281" s="1295"/>
      <c r="L3281" s="1295"/>
      <c r="M3281" s="1295"/>
      <c r="N3281" s="1295"/>
      <c r="O3281" s="1295"/>
      <c r="P3281" s="853"/>
      <c r="Q3281" s="1295"/>
      <c r="R3281" s="848"/>
      <c r="S3281" s="848"/>
      <c r="T3281" s="848"/>
      <c r="U3281" s="848"/>
      <c r="V3281" s="1296"/>
      <c r="W3281" s="848"/>
      <c r="X3281" s="848"/>
      <c r="Y3281" s="1295"/>
      <c r="Z3281" s="1296"/>
      <c r="AA3281" s="1295"/>
      <c r="AB3281" s="1296"/>
      <c r="AC3281" s="1295"/>
      <c r="AD3281" s="1295"/>
      <c r="AE3281" s="2556"/>
      <c r="AF3281" s="750"/>
      <c r="AG3281" s="750"/>
      <c r="AH3281" s="750"/>
      <c r="AI3281" s="750"/>
      <c r="AJ3281" s="750"/>
      <c r="AK3281" s="750"/>
      <c r="AL3281" s="750"/>
      <c r="AM3281" s="750"/>
      <c r="AN3281" s="750"/>
      <c r="AO3281" s="750"/>
      <c r="AP3281" s="750"/>
      <c r="AQ3281" s="750"/>
      <c r="AR3281" s="750"/>
      <c r="AS3281" s="750"/>
      <c r="AT3281" s="750"/>
      <c r="AU3281" s="750"/>
      <c r="AV3281" s="750"/>
      <c r="AW3281" s="750"/>
      <c r="AX3281" s="750"/>
      <c r="AY3281" s="750"/>
      <c r="AZ3281" s="750"/>
      <c r="BA3281" s="750"/>
      <c r="BB3281" s="750"/>
      <c r="BC3281" s="750"/>
      <c r="BD3281" s="750"/>
      <c r="BE3281" s="750"/>
      <c r="BF3281" s="750"/>
      <c r="BG3281" s="750"/>
      <c r="BH3281" s="750"/>
      <c r="BI3281" s="750"/>
      <c r="BJ3281" s="750"/>
      <c r="BK3281" s="750"/>
      <c r="BL3281" s="750"/>
      <c r="BM3281" s="750"/>
      <c r="BN3281" s="750"/>
      <c r="BO3281" s="750"/>
      <c r="BP3281" s="750"/>
      <c r="BQ3281" s="750"/>
    </row>
    <row r="3282" spans="3:69">
      <c r="C3282" s="853"/>
      <c r="D3282" s="853"/>
      <c r="E3282" s="853"/>
      <c r="F3282" s="853"/>
      <c r="G3282" s="853"/>
      <c r="H3282" s="853"/>
      <c r="I3282" s="848"/>
      <c r="J3282" s="848"/>
      <c r="K3282" s="1295"/>
      <c r="L3282" s="1295"/>
      <c r="M3282" s="1295"/>
      <c r="N3282" s="1295"/>
      <c r="O3282" s="1295"/>
      <c r="P3282" s="853"/>
      <c r="Q3282" s="1295"/>
      <c r="R3282" s="848"/>
      <c r="S3282" s="848"/>
      <c r="T3282" s="848"/>
      <c r="U3282" s="848"/>
      <c r="V3282" s="1296"/>
      <c r="W3282" s="848"/>
      <c r="X3282" s="848"/>
      <c r="Y3282" s="1295"/>
      <c r="Z3282" s="1296"/>
      <c r="AA3282" s="1295"/>
      <c r="AB3282" s="1296"/>
      <c r="AC3282" s="1295"/>
      <c r="AD3282" s="1295"/>
      <c r="AE3282" s="2556"/>
      <c r="AF3282" s="750"/>
      <c r="AG3282" s="750"/>
      <c r="AH3282" s="750"/>
      <c r="AI3282" s="750"/>
      <c r="AJ3282" s="750"/>
      <c r="AK3282" s="750"/>
      <c r="AL3282" s="750"/>
      <c r="AM3282" s="750"/>
      <c r="AN3282" s="750"/>
      <c r="AO3282" s="750"/>
      <c r="AP3282" s="750"/>
      <c r="AQ3282" s="750"/>
      <c r="AR3282" s="750"/>
      <c r="AS3282" s="750"/>
      <c r="AT3282" s="750"/>
      <c r="AU3282" s="750"/>
      <c r="AV3282" s="750"/>
      <c r="AW3282" s="750"/>
      <c r="AX3282" s="750"/>
      <c r="AY3282" s="750"/>
      <c r="AZ3282" s="750"/>
      <c r="BA3282" s="750"/>
      <c r="BB3282" s="750"/>
      <c r="BC3282" s="750"/>
      <c r="BD3282" s="750"/>
      <c r="BE3282" s="750"/>
      <c r="BF3282" s="750"/>
      <c r="BG3282" s="750"/>
      <c r="BH3282" s="750"/>
      <c r="BI3282" s="750"/>
      <c r="BJ3282" s="750"/>
      <c r="BK3282" s="750"/>
      <c r="BL3282" s="750"/>
      <c r="BM3282" s="750"/>
      <c r="BN3282" s="750"/>
      <c r="BO3282" s="750"/>
      <c r="BP3282" s="750"/>
      <c r="BQ3282" s="750"/>
    </row>
    <row r="3283" spans="3:69">
      <c r="C3283" s="853"/>
      <c r="D3283" s="853"/>
      <c r="E3283" s="853"/>
      <c r="F3283" s="853"/>
      <c r="G3283" s="853"/>
      <c r="H3283" s="853"/>
      <c r="I3283" s="848"/>
      <c r="J3283" s="848"/>
      <c r="K3283" s="1295"/>
      <c r="L3283" s="1295"/>
      <c r="M3283" s="1295"/>
      <c r="N3283" s="1295"/>
      <c r="O3283" s="1295"/>
      <c r="P3283" s="853"/>
      <c r="Q3283" s="1295"/>
      <c r="R3283" s="848"/>
      <c r="S3283" s="848"/>
      <c r="T3283" s="848"/>
      <c r="U3283" s="848"/>
      <c r="V3283" s="1296"/>
      <c r="W3283" s="848"/>
      <c r="X3283" s="848"/>
      <c r="Y3283" s="1295"/>
      <c r="Z3283" s="1296"/>
      <c r="AA3283" s="1295"/>
      <c r="AB3283" s="1296"/>
      <c r="AC3283" s="1295"/>
      <c r="AD3283" s="1295"/>
      <c r="AE3283" s="2556"/>
      <c r="AF3283" s="750"/>
      <c r="AG3283" s="750"/>
      <c r="AH3283" s="750"/>
      <c r="AI3283" s="750"/>
      <c r="AJ3283" s="750"/>
      <c r="AK3283" s="750"/>
      <c r="AL3283" s="750"/>
      <c r="AM3283" s="750"/>
      <c r="AN3283" s="750"/>
      <c r="AO3283" s="750"/>
      <c r="AP3283" s="750"/>
      <c r="AQ3283" s="750"/>
      <c r="AR3283" s="750"/>
      <c r="AS3283" s="750"/>
      <c r="AT3283" s="750"/>
      <c r="AU3283" s="750"/>
      <c r="AV3283" s="750"/>
      <c r="AW3283" s="750"/>
      <c r="AX3283" s="750"/>
      <c r="AY3283" s="750"/>
      <c r="AZ3283" s="750"/>
      <c r="BA3283" s="750"/>
      <c r="BB3283" s="750"/>
      <c r="BC3283" s="750"/>
      <c r="BD3283" s="750"/>
      <c r="BE3283" s="750"/>
      <c r="BF3283" s="750"/>
      <c r="BG3283" s="750"/>
      <c r="BH3283" s="750"/>
      <c r="BI3283" s="750"/>
      <c r="BJ3283" s="750"/>
      <c r="BK3283" s="750"/>
      <c r="BL3283" s="750"/>
      <c r="BM3283" s="750"/>
      <c r="BN3283" s="750"/>
      <c r="BO3283" s="750"/>
      <c r="BP3283" s="750"/>
      <c r="BQ3283" s="750"/>
    </row>
    <row r="3284" spans="3:69">
      <c r="C3284" s="853"/>
      <c r="D3284" s="853"/>
      <c r="E3284" s="853"/>
      <c r="F3284" s="853"/>
      <c r="G3284" s="853"/>
      <c r="H3284" s="853"/>
      <c r="I3284" s="848"/>
      <c r="J3284" s="848"/>
      <c r="K3284" s="1295"/>
      <c r="L3284" s="1295"/>
      <c r="M3284" s="1295"/>
      <c r="N3284" s="1295"/>
      <c r="O3284" s="1295"/>
      <c r="P3284" s="853"/>
      <c r="Q3284" s="1295"/>
      <c r="R3284" s="848"/>
      <c r="S3284" s="848"/>
      <c r="T3284" s="848"/>
      <c r="U3284" s="848"/>
      <c r="V3284" s="1296"/>
      <c r="W3284" s="848"/>
      <c r="X3284" s="848"/>
      <c r="Y3284" s="1295"/>
      <c r="Z3284" s="1296"/>
      <c r="AA3284" s="1295"/>
      <c r="AB3284" s="1296"/>
      <c r="AC3284" s="1295"/>
      <c r="AD3284" s="1295"/>
      <c r="AE3284" s="2556"/>
      <c r="AF3284" s="750"/>
      <c r="AG3284" s="750"/>
      <c r="AH3284" s="750"/>
      <c r="AI3284" s="750"/>
      <c r="AJ3284" s="750"/>
      <c r="AK3284" s="750"/>
      <c r="AL3284" s="750"/>
      <c r="AM3284" s="750"/>
      <c r="AN3284" s="750"/>
      <c r="AO3284" s="750"/>
      <c r="AP3284" s="750"/>
      <c r="AQ3284" s="750"/>
      <c r="AR3284" s="750"/>
      <c r="AS3284" s="750"/>
      <c r="AT3284" s="750"/>
      <c r="AU3284" s="750"/>
      <c r="AV3284" s="750"/>
      <c r="AW3284" s="750"/>
      <c r="AX3284" s="750"/>
      <c r="AY3284" s="750"/>
      <c r="AZ3284" s="750"/>
      <c r="BA3284" s="750"/>
      <c r="BB3284" s="750"/>
      <c r="BC3284" s="750"/>
      <c r="BD3284" s="750"/>
      <c r="BE3284" s="750"/>
      <c r="BF3284" s="750"/>
      <c r="BG3284" s="750"/>
      <c r="BH3284" s="750"/>
      <c r="BI3284" s="750"/>
      <c r="BJ3284" s="750"/>
      <c r="BK3284" s="750"/>
      <c r="BL3284" s="750"/>
      <c r="BM3284" s="750"/>
      <c r="BN3284" s="750"/>
      <c r="BO3284" s="750"/>
      <c r="BP3284" s="750"/>
      <c r="BQ3284" s="750"/>
    </row>
    <row r="3285" spans="3:69">
      <c r="C3285" s="853"/>
      <c r="D3285" s="853"/>
      <c r="E3285" s="853"/>
      <c r="F3285" s="853"/>
      <c r="G3285" s="853"/>
      <c r="H3285" s="853"/>
      <c r="I3285" s="848"/>
      <c r="J3285" s="848"/>
      <c r="K3285" s="1295"/>
      <c r="L3285" s="1295"/>
      <c r="M3285" s="1295"/>
      <c r="N3285" s="1295"/>
      <c r="O3285" s="1295"/>
      <c r="P3285" s="853"/>
      <c r="Q3285" s="1295"/>
      <c r="R3285" s="848"/>
      <c r="S3285" s="848"/>
      <c r="T3285" s="848"/>
      <c r="U3285" s="848"/>
      <c r="V3285" s="1296"/>
      <c r="W3285" s="848"/>
      <c r="X3285" s="848"/>
      <c r="Y3285" s="1295"/>
      <c r="Z3285" s="1296"/>
      <c r="AA3285" s="1295"/>
      <c r="AB3285" s="1296"/>
      <c r="AC3285" s="1295"/>
      <c r="AD3285" s="1295"/>
      <c r="AE3285" s="2556"/>
      <c r="AF3285" s="750"/>
      <c r="AG3285" s="750"/>
      <c r="AH3285" s="750"/>
      <c r="AI3285" s="750"/>
      <c r="AJ3285" s="750"/>
      <c r="AK3285" s="750"/>
      <c r="AL3285" s="750"/>
      <c r="AM3285" s="750"/>
      <c r="AN3285" s="750"/>
      <c r="AO3285" s="750"/>
      <c r="AP3285" s="750"/>
      <c r="AQ3285" s="750"/>
      <c r="AR3285" s="750"/>
      <c r="AS3285" s="750"/>
      <c r="AT3285" s="750"/>
      <c r="AU3285" s="750"/>
      <c r="AV3285" s="750"/>
      <c r="AW3285" s="750"/>
      <c r="AX3285" s="750"/>
      <c r="AY3285" s="750"/>
      <c r="AZ3285" s="750"/>
      <c r="BA3285" s="750"/>
      <c r="BB3285" s="750"/>
      <c r="BC3285" s="750"/>
      <c r="BD3285" s="750"/>
      <c r="BE3285" s="750"/>
      <c r="BF3285" s="750"/>
      <c r="BG3285" s="750"/>
      <c r="BH3285" s="750"/>
      <c r="BI3285" s="750"/>
      <c r="BJ3285" s="750"/>
      <c r="BK3285" s="750"/>
      <c r="BL3285" s="750"/>
      <c r="BM3285" s="750"/>
      <c r="BN3285" s="750"/>
      <c r="BO3285" s="750"/>
      <c r="BP3285" s="750"/>
      <c r="BQ3285" s="750"/>
    </row>
    <row r="3286" spans="3:69">
      <c r="C3286" s="853"/>
      <c r="D3286" s="853"/>
      <c r="E3286" s="853"/>
      <c r="F3286" s="853"/>
      <c r="G3286" s="853"/>
      <c r="H3286" s="853"/>
      <c r="I3286" s="848"/>
      <c r="J3286" s="848"/>
      <c r="K3286" s="1295"/>
      <c r="L3286" s="1295"/>
      <c r="M3286" s="1295"/>
      <c r="N3286" s="1295"/>
      <c r="O3286" s="1295"/>
      <c r="P3286" s="853"/>
      <c r="Q3286" s="1295"/>
      <c r="R3286" s="848"/>
      <c r="S3286" s="848"/>
      <c r="T3286" s="848"/>
      <c r="U3286" s="848"/>
      <c r="V3286" s="1296"/>
      <c r="W3286" s="848"/>
      <c r="X3286" s="848"/>
      <c r="Y3286" s="1295"/>
      <c r="Z3286" s="1296"/>
      <c r="AA3286" s="1295"/>
      <c r="AB3286" s="1296"/>
      <c r="AC3286" s="1295"/>
      <c r="AD3286" s="1295"/>
      <c r="AE3286" s="2556"/>
      <c r="AF3286" s="750"/>
      <c r="AG3286" s="750"/>
      <c r="AH3286" s="750"/>
      <c r="AI3286" s="750"/>
      <c r="AJ3286" s="750"/>
      <c r="AK3286" s="750"/>
      <c r="AL3286" s="750"/>
      <c r="AM3286" s="750"/>
      <c r="AN3286" s="750"/>
      <c r="AO3286" s="750"/>
      <c r="AP3286" s="750"/>
      <c r="AQ3286" s="750"/>
      <c r="AR3286" s="750"/>
      <c r="AS3286" s="750"/>
      <c r="AT3286" s="750"/>
      <c r="AU3286" s="750"/>
      <c r="AV3286" s="750"/>
      <c r="AW3286" s="750"/>
      <c r="AX3286" s="750"/>
      <c r="AY3286" s="750"/>
      <c r="AZ3286" s="750"/>
      <c r="BA3286" s="750"/>
      <c r="BB3286" s="750"/>
      <c r="BC3286" s="750"/>
      <c r="BD3286" s="750"/>
      <c r="BE3286" s="750"/>
      <c r="BF3286" s="750"/>
      <c r="BG3286" s="750"/>
      <c r="BH3286" s="750"/>
      <c r="BI3286" s="750"/>
      <c r="BJ3286" s="750"/>
      <c r="BK3286" s="750"/>
      <c r="BL3286" s="750"/>
      <c r="BM3286" s="750"/>
      <c r="BN3286" s="750"/>
      <c r="BO3286" s="750"/>
      <c r="BP3286" s="750"/>
      <c r="BQ3286" s="750"/>
    </row>
    <row r="3287" spans="3:69">
      <c r="C3287" s="853"/>
      <c r="D3287" s="853"/>
      <c r="E3287" s="853"/>
      <c r="F3287" s="853"/>
      <c r="G3287" s="853"/>
      <c r="H3287" s="853"/>
      <c r="I3287" s="848"/>
      <c r="J3287" s="848"/>
      <c r="K3287" s="1295"/>
      <c r="L3287" s="1295"/>
      <c r="M3287" s="1295"/>
      <c r="N3287" s="1295"/>
      <c r="O3287" s="1295"/>
      <c r="P3287" s="853"/>
      <c r="Q3287" s="1295"/>
      <c r="R3287" s="848"/>
      <c r="S3287" s="848"/>
      <c r="T3287" s="848"/>
      <c r="U3287" s="848"/>
      <c r="V3287" s="1296"/>
      <c r="W3287" s="848"/>
      <c r="X3287" s="848"/>
      <c r="Y3287" s="1295"/>
      <c r="Z3287" s="1296"/>
      <c r="AA3287" s="1295"/>
      <c r="AB3287" s="1296"/>
      <c r="AC3287" s="1295"/>
      <c r="AD3287" s="1295"/>
      <c r="AE3287" s="2556"/>
      <c r="AF3287" s="750"/>
      <c r="AG3287" s="750"/>
      <c r="AH3287" s="750"/>
      <c r="AI3287" s="750"/>
      <c r="AJ3287" s="750"/>
      <c r="AK3287" s="750"/>
      <c r="AL3287" s="750"/>
      <c r="AM3287" s="750"/>
      <c r="AN3287" s="750"/>
      <c r="AO3287" s="750"/>
      <c r="AP3287" s="750"/>
      <c r="AQ3287" s="750"/>
      <c r="AR3287" s="750"/>
      <c r="AS3287" s="750"/>
      <c r="AT3287" s="750"/>
      <c r="AU3287" s="750"/>
      <c r="AV3287" s="750"/>
      <c r="AW3287" s="750"/>
      <c r="AX3287" s="750"/>
      <c r="AY3287" s="750"/>
      <c r="AZ3287" s="750"/>
      <c r="BA3287" s="750"/>
      <c r="BB3287" s="750"/>
      <c r="BC3287" s="750"/>
      <c r="BD3287" s="750"/>
      <c r="BE3287" s="750"/>
      <c r="BF3287" s="750"/>
      <c r="BG3287" s="750"/>
      <c r="BH3287" s="750"/>
      <c r="BI3287" s="750"/>
      <c r="BJ3287" s="750"/>
      <c r="BK3287" s="750"/>
      <c r="BL3287" s="750"/>
      <c r="BM3287" s="750"/>
      <c r="BN3287" s="750"/>
      <c r="BO3287" s="750"/>
      <c r="BP3287" s="750"/>
      <c r="BQ3287" s="750"/>
    </row>
    <row r="3288" spans="3:69">
      <c r="C3288" s="853"/>
      <c r="D3288" s="853"/>
      <c r="E3288" s="853"/>
      <c r="F3288" s="853"/>
      <c r="G3288" s="853"/>
      <c r="H3288" s="853"/>
      <c r="I3288" s="848"/>
      <c r="J3288" s="848"/>
      <c r="K3288" s="1295"/>
      <c r="L3288" s="1295"/>
      <c r="M3288" s="1295"/>
      <c r="N3288" s="1295"/>
      <c r="O3288" s="1295"/>
      <c r="P3288" s="853"/>
      <c r="Q3288" s="1295"/>
      <c r="R3288" s="848"/>
      <c r="S3288" s="848"/>
      <c r="T3288" s="848"/>
      <c r="U3288" s="848"/>
      <c r="V3288" s="1296"/>
      <c r="W3288" s="848"/>
      <c r="X3288" s="848"/>
      <c r="Y3288" s="1295"/>
      <c r="Z3288" s="1296"/>
      <c r="AA3288" s="1295"/>
      <c r="AB3288" s="1296"/>
      <c r="AC3288" s="1295"/>
      <c r="AD3288" s="1295"/>
      <c r="AE3288" s="2556"/>
      <c r="AF3288" s="750"/>
      <c r="AG3288" s="750"/>
      <c r="AH3288" s="750"/>
      <c r="AI3288" s="750"/>
      <c r="AJ3288" s="750"/>
      <c r="AK3288" s="750"/>
      <c r="AL3288" s="750"/>
      <c r="AM3288" s="750"/>
      <c r="AN3288" s="750"/>
      <c r="AO3288" s="750"/>
      <c r="AP3288" s="750"/>
      <c r="AQ3288" s="750"/>
      <c r="AR3288" s="750"/>
      <c r="AS3288" s="750"/>
      <c r="AT3288" s="750"/>
      <c r="AU3288" s="750"/>
      <c r="AV3288" s="750"/>
      <c r="AW3288" s="750"/>
      <c r="AX3288" s="750"/>
      <c r="AY3288" s="750"/>
      <c r="AZ3288" s="750"/>
      <c r="BA3288" s="750"/>
      <c r="BB3288" s="750"/>
      <c r="BC3288" s="750"/>
      <c r="BD3288" s="750"/>
      <c r="BE3288" s="750"/>
      <c r="BF3288" s="750"/>
      <c r="BG3288" s="750"/>
      <c r="BH3288" s="750"/>
      <c r="BI3288" s="750"/>
      <c r="BJ3288" s="750"/>
      <c r="BK3288" s="750"/>
      <c r="BL3288" s="750"/>
      <c r="BM3288" s="750"/>
      <c r="BN3288" s="750"/>
      <c r="BO3288" s="750"/>
      <c r="BP3288" s="750"/>
      <c r="BQ3288" s="750"/>
    </row>
    <row r="3289" spans="3:69">
      <c r="C3289" s="853"/>
      <c r="D3289" s="853"/>
      <c r="E3289" s="853"/>
      <c r="F3289" s="853"/>
      <c r="G3289" s="853"/>
      <c r="H3289" s="853"/>
      <c r="I3289" s="848"/>
      <c r="J3289" s="848"/>
      <c r="K3289" s="1295"/>
      <c r="L3289" s="1295"/>
      <c r="M3289" s="1295"/>
      <c r="N3289" s="1295"/>
      <c r="O3289" s="1295"/>
      <c r="P3289" s="853"/>
      <c r="Q3289" s="1295"/>
      <c r="R3289" s="848"/>
      <c r="S3289" s="848"/>
      <c r="T3289" s="848"/>
      <c r="U3289" s="848"/>
      <c r="V3289" s="1296"/>
      <c r="W3289" s="848"/>
      <c r="X3289" s="848"/>
      <c r="Y3289" s="1295"/>
      <c r="Z3289" s="1296"/>
      <c r="AA3289" s="1295"/>
      <c r="AB3289" s="1296"/>
      <c r="AC3289" s="1295"/>
      <c r="AD3289" s="1295"/>
      <c r="AE3289" s="2556"/>
      <c r="AF3289" s="750"/>
      <c r="AG3289" s="750"/>
      <c r="AH3289" s="750"/>
      <c r="AI3289" s="750"/>
      <c r="AJ3289" s="750"/>
      <c r="AK3289" s="750"/>
      <c r="AL3289" s="750"/>
      <c r="AM3289" s="750"/>
      <c r="AN3289" s="750"/>
      <c r="AO3289" s="750"/>
      <c r="AP3289" s="750"/>
      <c r="AQ3289" s="750"/>
      <c r="AR3289" s="750"/>
      <c r="AS3289" s="750"/>
      <c r="AT3289" s="750"/>
      <c r="AU3289" s="750"/>
      <c r="AV3289" s="750"/>
      <c r="AW3289" s="750"/>
      <c r="AX3289" s="750"/>
      <c r="AY3289" s="750"/>
      <c r="AZ3289" s="750"/>
      <c r="BA3289" s="750"/>
      <c r="BB3289" s="750"/>
      <c r="BC3289" s="750"/>
      <c r="BD3289" s="750"/>
      <c r="BE3289" s="750"/>
      <c r="BF3289" s="750"/>
      <c r="BG3289" s="750"/>
      <c r="BH3289" s="750"/>
      <c r="BI3289" s="750"/>
      <c r="BJ3289" s="750"/>
      <c r="BK3289" s="750"/>
      <c r="BL3289" s="750"/>
      <c r="BM3289" s="750"/>
      <c r="BN3289" s="750"/>
      <c r="BO3289" s="750"/>
      <c r="BP3289" s="750"/>
      <c r="BQ3289" s="750"/>
    </row>
    <row r="3290" spans="3:69">
      <c r="C3290" s="853"/>
      <c r="D3290" s="853"/>
      <c r="E3290" s="853"/>
      <c r="F3290" s="853"/>
      <c r="G3290" s="853"/>
      <c r="H3290" s="853"/>
      <c r="I3290" s="848"/>
      <c r="J3290" s="848"/>
      <c r="K3290" s="1295"/>
      <c r="L3290" s="1295"/>
      <c r="M3290" s="1295"/>
      <c r="N3290" s="1295"/>
      <c r="O3290" s="1295"/>
      <c r="P3290" s="853"/>
      <c r="Q3290" s="1295"/>
      <c r="R3290" s="848"/>
      <c r="S3290" s="848"/>
      <c r="T3290" s="848"/>
      <c r="U3290" s="848"/>
      <c r="V3290" s="1296"/>
      <c r="W3290" s="848"/>
      <c r="X3290" s="848"/>
      <c r="Y3290" s="1295"/>
      <c r="Z3290" s="1296"/>
      <c r="AA3290" s="1295"/>
      <c r="AB3290" s="1296"/>
      <c r="AC3290" s="1295"/>
      <c r="AD3290" s="1295"/>
      <c r="AE3290" s="2556"/>
      <c r="AF3290" s="750"/>
      <c r="AG3290" s="750"/>
      <c r="AH3290" s="750"/>
      <c r="AI3290" s="750"/>
      <c r="AJ3290" s="750"/>
      <c r="AK3290" s="750"/>
      <c r="AL3290" s="750"/>
      <c r="AM3290" s="750"/>
      <c r="AN3290" s="750"/>
      <c r="AO3290" s="750"/>
      <c r="AP3290" s="750"/>
      <c r="AQ3290" s="750"/>
      <c r="AR3290" s="750"/>
      <c r="AS3290" s="750"/>
      <c r="AT3290" s="750"/>
      <c r="AU3290" s="750"/>
      <c r="AV3290" s="750"/>
      <c r="AW3290" s="750"/>
      <c r="AX3290" s="750"/>
      <c r="AY3290" s="750"/>
      <c r="AZ3290" s="750"/>
      <c r="BA3290" s="750"/>
      <c r="BB3290" s="750"/>
      <c r="BC3290" s="750"/>
      <c r="BD3290" s="750"/>
      <c r="BE3290" s="750"/>
      <c r="BF3290" s="750"/>
      <c r="BG3290" s="750"/>
      <c r="BH3290" s="750"/>
      <c r="BI3290" s="750"/>
      <c r="BJ3290" s="750"/>
      <c r="BK3290" s="750"/>
      <c r="BL3290" s="750"/>
      <c r="BM3290" s="750"/>
      <c r="BN3290" s="750"/>
      <c r="BO3290" s="750"/>
      <c r="BP3290" s="750"/>
      <c r="BQ3290" s="750"/>
    </row>
    <row r="3291" spans="3:69">
      <c r="C3291" s="853"/>
      <c r="D3291" s="853"/>
      <c r="E3291" s="853"/>
      <c r="F3291" s="853"/>
      <c r="G3291" s="853"/>
      <c r="H3291" s="853"/>
      <c r="I3291" s="848"/>
      <c r="J3291" s="848"/>
      <c r="K3291" s="1295"/>
      <c r="L3291" s="1295"/>
      <c r="M3291" s="1295"/>
      <c r="N3291" s="1295"/>
      <c r="O3291" s="1295"/>
      <c r="P3291" s="853"/>
      <c r="Q3291" s="1295"/>
      <c r="R3291" s="848"/>
      <c r="S3291" s="848"/>
      <c r="T3291" s="848"/>
      <c r="U3291" s="848"/>
      <c r="V3291" s="1296"/>
      <c r="W3291" s="848"/>
      <c r="X3291" s="848"/>
      <c r="Y3291" s="1295"/>
      <c r="Z3291" s="1296"/>
      <c r="AA3291" s="1295"/>
      <c r="AB3291" s="1296"/>
      <c r="AC3291" s="1295"/>
      <c r="AD3291" s="1295"/>
      <c r="AE3291" s="2556"/>
      <c r="AF3291" s="750"/>
      <c r="AG3291" s="750"/>
      <c r="AH3291" s="750"/>
      <c r="AI3291" s="750"/>
      <c r="AJ3291" s="750"/>
      <c r="AK3291" s="750"/>
      <c r="AL3291" s="750"/>
      <c r="AM3291" s="750"/>
      <c r="AN3291" s="750"/>
      <c r="AO3291" s="750"/>
      <c r="AP3291" s="750"/>
      <c r="AQ3291" s="750"/>
      <c r="AR3291" s="750"/>
      <c r="AS3291" s="750"/>
      <c r="AT3291" s="750"/>
      <c r="AU3291" s="750"/>
      <c r="AV3291" s="750"/>
      <c r="AW3291" s="750"/>
      <c r="AX3291" s="750"/>
      <c r="AY3291" s="750"/>
      <c r="AZ3291" s="750"/>
      <c r="BA3291" s="750"/>
      <c r="BB3291" s="750"/>
      <c r="BC3291" s="750"/>
      <c r="BD3291" s="750"/>
      <c r="BE3291" s="750"/>
      <c r="BF3291" s="750"/>
      <c r="BG3291" s="750"/>
      <c r="BH3291" s="750"/>
      <c r="BI3291" s="750"/>
      <c r="BJ3291" s="750"/>
      <c r="BK3291" s="750"/>
      <c r="BL3291" s="750"/>
      <c r="BM3291" s="750"/>
      <c r="BN3291" s="750"/>
      <c r="BO3291" s="750"/>
      <c r="BP3291" s="750"/>
      <c r="BQ3291" s="750"/>
    </row>
    <row r="3292" spans="3:69">
      <c r="C3292" s="853"/>
      <c r="D3292" s="853"/>
      <c r="E3292" s="853"/>
      <c r="F3292" s="853"/>
      <c r="G3292" s="853"/>
      <c r="H3292" s="853"/>
      <c r="I3292" s="848"/>
      <c r="J3292" s="848"/>
      <c r="K3292" s="1295"/>
      <c r="L3292" s="1295"/>
      <c r="M3292" s="1295"/>
      <c r="N3292" s="1295"/>
      <c r="O3292" s="1295"/>
      <c r="P3292" s="853"/>
      <c r="Q3292" s="1295"/>
      <c r="R3292" s="848"/>
      <c r="S3292" s="848"/>
      <c r="T3292" s="848"/>
      <c r="U3292" s="848"/>
      <c r="V3292" s="1296"/>
      <c r="W3292" s="848"/>
      <c r="X3292" s="848"/>
      <c r="Y3292" s="1295"/>
      <c r="Z3292" s="1296"/>
      <c r="AA3292" s="1295"/>
      <c r="AB3292" s="1296"/>
      <c r="AC3292" s="1295"/>
      <c r="AD3292" s="1295"/>
      <c r="AE3292" s="2556"/>
      <c r="AF3292" s="750"/>
      <c r="AG3292" s="750"/>
      <c r="AH3292" s="750"/>
      <c r="AI3292" s="750"/>
      <c r="AJ3292" s="750"/>
      <c r="AK3292" s="750"/>
      <c r="AL3292" s="750"/>
      <c r="AM3292" s="750"/>
      <c r="AN3292" s="750"/>
      <c r="AO3292" s="750"/>
      <c r="AP3292" s="750"/>
      <c r="AQ3292" s="750"/>
      <c r="AR3292" s="750"/>
      <c r="AS3292" s="750"/>
      <c r="AT3292" s="750"/>
      <c r="AU3292" s="750"/>
      <c r="AV3292" s="750"/>
      <c r="AW3292" s="750"/>
      <c r="AX3292" s="750"/>
      <c r="AY3292" s="750"/>
      <c r="AZ3292" s="750"/>
      <c r="BA3292" s="750"/>
      <c r="BB3292" s="750"/>
      <c r="BC3292" s="750"/>
      <c r="BD3292" s="750"/>
      <c r="BE3292" s="750"/>
      <c r="BF3292" s="750"/>
      <c r="BG3292" s="750"/>
      <c r="BH3292" s="750"/>
      <c r="BI3292" s="750"/>
      <c r="BJ3292" s="750"/>
      <c r="BK3292" s="750"/>
      <c r="BL3292" s="750"/>
      <c r="BM3292" s="750"/>
      <c r="BN3292" s="750"/>
      <c r="BO3292" s="750"/>
      <c r="BP3292" s="750"/>
      <c r="BQ3292" s="750"/>
    </row>
    <row r="3293" spans="3:69">
      <c r="C3293" s="853"/>
      <c r="D3293" s="853"/>
      <c r="E3293" s="853"/>
      <c r="F3293" s="853"/>
      <c r="G3293" s="853"/>
      <c r="H3293" s="853"/>
      <c r="I3293" s="848"/>
      <c r="J3293" s="848"/>
      <c r="K3293" s="1295"/>
      <c r="L3293" s="1295"/>
      <c r="M3293" s="1295"/>
      <c r="N3293" s="1295"/>
      <c r="O3293" s="1295"/>
      <c r="P3293" s="853"/>
      <c r="Q3293" s="1295"/>
      <c r="R3293" s="848"/>
      <c r="S3293" s="848"/>
      <c r="T3293" s="848"/>
      <c r="U3293" s="848"/>
      <c r="V3293" s="1296"/>
      <c r="W3293" s="848"/>
      <c r="X3293" s="848"/>
      <c r="Y3293" s="1295"/>
      <c r="Z3293" s="1296"/>
      <c r="AA3293" s="1295"/>
      <c r="AB3293" s="1296"/>
      <c r="AC3293" s="1295"/>
      <c r="AD3293" s="1295"/>
      <c r="AE3293" s="2556"/>
      <c r="AF3293" s="750"/>
      <c r="AG3293" s="750"/>
      <c r="AH3293" s="750"/>
      <c r="AI3293" s="750"/>
      <c r="AJ3293" s="750"/>
      <c r="AK3293" s="750"/>
      <c r="AL3293" s="750"/>
      <c r="AM3293" s="750"/>
      <c r="AN3293" s="750"/>
      <c r="AO3293" s="750"/>
      <c r="AP3293" s="750"/>
      <c r="AQ3293" s="750"/>
      <c r="AR3293" s="750"/>
      <c r="AS3293" s="750"/>
      <c r="AT3293" s="750"/>
      <c r="AU3293" s="750"/>
      <c r="AV3293" s="750"/>
      <c r="AW3293" s="750"/>
      <c r="AX3293" s="750"/>
      <c r="AY3293" s="750"/>
      <c r="AZ3293" s="750"/>
      <c r="BA3293" s="750"/>
      <c r="BB3293" s="750"/>
      <c r="BC3293" s="750"/>
      <c r="BD3293" s="750"/>
      <c r="BE3293" s="750"/>
      <c r="BF3293" s="750"/>
      <c r="BG3293" s="750"/>
      <c r="BH3293" s="750"/>
      <c r="BI3293" s="750"/>
      <c r="BJ3293" s="750"/>
      <c r="BK3293" s="750"/>
      <c r="BL3293" s="750"/>
      <c r="BM3293" s="750"/>
      <c r="BN3293" s="750"/>
      <c r="BO3293" s="750"/>
      <c r="BP3293" s="750"/>
      <c r="BQ3293" s="750"/>
    </row>
    <row r="3294" spans="3:69">
      <c r="C3294" s="853"/>
      <c r="D3294" s="853"/>
      <c r="E3294" s="853"/>
      <c r="F3294" s="853"/>
      <c r="G3294" s="853"/>
      <c r="H3294" s="853"/>
      <c r="I3294" s="848"/>
      <c r="J3294" s="848"/>
      <c r="K3294" s="1295"/>
      <c r="L3294" s="1295"/>
      <c r="M3294" s="1295"/>
      <c r="N3294" s="1295"/>
      <c r="O3294" s="1295"/>
      <c r="P3294" s="853"/>
      <c r="Q3294" s="1295"/>
      <c r="R3294" s="848"/>
      <c r="S3294" s="848"/>
      <c r="T3294" s="848"/>
      <c r="U3294" s="848"/>
      <c r="V3294" s="1296"/>
      <c r="W3294" s="848"/>
      <c r="X3294" s="848"/>
      <c r="Y3294" s="1295"/>
      <c r="Z3294" s="1296"/>
      <c r="AA3294" s="1295"/>
      <c r="AB3294" s="1296"/>
      <c r="AC3294" s="1295"/>
      <c r="AD3294" s="1295"/>
      <c r="AE3294" s="2556"/>
      <c r="AF3294" s="750"/>
      <c r="AG3294" s="750"/>
      <c r="AH3294" s="750"/>
      <c r="AI3294" s="750"/>
      <c r="AJ3294" s="750"/>
      <c r="AK3294" s="750"/>
      <c r="AL3294" s="750"/>
      <c r="AM3294" s="750"/>
      <c r="AN3294" s="750"/>
      <c r="AO3294" s="750"/>
      <c r="AP3294" s="750"/>
      <c r="AQ3294" s="750"/>
      <c r="AR3294" s="750"/>
      <c r="AS3294" s="750"/>
      <c r="AT3294" s="750"/>
      <c r="AU3294" s="750"/>
      <c r="AV3294" s="750"/>
      <c r="AW3294" s="750"/>
      <c r="AX3294" s="750"/>
      <c r="AY3294" s="750"/>
      <c r="AZ3294" s="750"/>
      <c r="BA3294" s="750"/>
      <c r="BB3294" s="750"/>
      <c r="BC3294" s="750"/>
      <c r="BD3294" s="750"/>
      <c r="BE3294" s="750"/>
      <c r="BF3294" s="750"/>
      <c r="BG3294" s="750"/>
      <c r="BH3294" s="750"/>
      <c r="BI3294" s="750"/>
      <c r="BJ3294" s="750"/>
      <c r="BK3294" s="750"/>
      <c r="BL3294" s="750"/>
      <c r="BM3294" s="750"/>
      <c r="BN3294" s="750"/>
      <c r="BO3294" s="750"/>
      <c r="BP3294" s="750"/>
      <c r="BQ3294" s="750"/>
    </row>
    <row r="3295" spans="3:69">
      <c r="C3295" s="853"/>
      <c r="D3295" s="853"/>
      <c r="E3295" s="853"/>
      <c r="F3295" s="853"/>
      <c r="G3295" s="853"/>
      <c r="H3295" s="853"/>
      <c r="I3295" s="848"/>
      <c r="J3295" s="848"/>
      <c r="K3295" s="1295"/>
      <c r="L3295" s="1295"/>
      <c r="M3295" s="1295"/>
      <c r="N3295" s="1295"/>
      <c r="O3295" s="1295"/>
      <c r="P3295" s="853"/>
      <c r="Q3295" s="1295"/>
      <c r="R3295" s="848"/>
      <c r="S3295" s="848"/>
      <c r="T3295" s="848"/>
      <c r="U3295" s="848"/>
      <c r="V3295" s="1296"/>
      <c r="W3295" s="848"/>
      <c r="X3295" s="848"/>
      <c r="Y3295" s="1295"/>
      <c r="Z3295" s="1296"/>
      <c r="AA3295" s="1295"/>
      <c r="AB3295" s="1296"/>
      <c r="AC3295" s="1295"/>
      <c r="AD3295" s="1295"/>
      <c r="AE3295" s="2556"/>
      <c r="AF3295" s="750"/>
      <c r="AG3295" s="750"/>
      <c r="AH3295" s="750"/>
      <c r="AI3295" s="750"/>
      <c r="AJ3295" s="750"/>
      <c r="AK3295" s="750"/>
      <c r="AL3295" s="750"/>
      <c r="AM3295" s="750"/>
      <c r="AN3295" s="750"/>
      <c r="AO3295" s="750"/>
      <c r="AP3295" s="750"/>
      <c r="AQ3295" s="750"/>
      <c r="AR3295" s="750"/>
      <c r="AS3295" s="750"/>
      <c r="AT3295" s="750"/>
      <c r="AU3295" s="750"/>
      <c r="AV3295" s="750"/>
      <c r="AW3295" s="750"/>
      <c r="AX3295" s="750"/>
      <c r="AY3295" s="750"/>
      <c r="AZ3295" s="750"/>
      <c r="BA3295" s="750"/>
      <c r="BB3295" s="750"/>
      <c r="BC3295" s="750"/>
      <c r="BD3295" s="750"/>
      <c r="BE3295" s="750"/>
      <c r="BF3295" s="750"/>
      <c r="BG3295" s="750"/>
      <c r="BH3295" s="750"/>
      <c r="BI3295" s="750"/>
      <c r="BJ3295" s="750"/>
      <c r="BK3295" s="750"/>
      <c r="BL3295" s="750"/>
      <c r="BM3295" s="750"/>
      <c r="BN3295" s="750"/>
      <c r="BO3295" s="750"/>
      <c r="BP3295" s="750"/>
      <c r="BQ3295" s="750"/>
    </row>
    <row r="3296" spans="3:69">
      <c r="C3296" s="853"/>
      <c r="D3296" s="853"/>
      <c r="E3296" s="853"/>
      <c r="F3296" s="853"/>
      <c r="G3296" s="853"/>
      <c r="H3296" s="853"/>
      <c r="I3296" s="848"/>
      <c r="J3296" s="848"/>
      <c r="K3296" s="1295"/>
      <c r="L3296" s="1295"/>
      <c r="M3296" s="1295"/>
      <c r="N3296" s="1295"/>
      <c r="O3296" s="1295"/>
      <c r="P3296" s="853"/>
      <c r="Q3296" s="1295"/>
      <c r="R3296" s="848"/>
      <c r="S3296" s="848"/>
      <c r="T3296" s="848"/>
      <c r="U3296" s="848"/>
      <c r="V3296" s="1296"/>
      <c r="W3296" s="848"/>
      <c r="X3296" s="848"/>
      <c r="Y3296" s="1295"/>
      <c r="Z3296" s="1296"/>
      <c r="AA3296" s="1295"/>
      <c r="AB3296" s="1296"/>
      <c r="AC3296" s="1295"/>
      <c r="AD3296" s="1295"/>
      <c r="AE3296" s="2556"/>
      <c r="AF3296" s="750"/>
      <c r="AG3296" s="750"/>
      <c r="AH3296" s="750"/>
      <c r="AI3296" s="750"/>
      <c r="AJ3296" s="750"/>
      <c r="AK3296" s="750"/>
      <c r="AL3296" s="750"/>
      <c r="AM3296" s="750"/>
      <c r="AN3296" s="750"/>
      <c r="AO3296" s="750"/>
      <c r="AP3296" s="750"/>
      <c r="AQ3296" s="750"/>
      <c r="AR3296" s="750"/>
      <c r="AS3296" s="750"/>
      <c r="AT3296" s="750"/>
      <c r="AU3296" s="750"/>
      <c r="AV3296" s="750"/>
      <c r="AW3296" s="750"/>
      <c r="AX3296" s="750"/>
      <c r="AY3296" s="750"/>
      <c r="AZ3296" s="750"/>
      <c r="BA3296" s="750"/>
      <c r="BB3296" s="750"/>
      <c r="BC3296" s="750"/>
      <c r="BD3296" s="750"/>
      <c r="BE3296" s="750"/>
      <c r="BF3296" s="750"/>
      <c r="BG3296" s="750"/>
      <c r="BH3296" s="750"/>
      <c r="BI3296" s="750"/>
      <c r="BJ3296" s="750"/>
      <c r="BK3296" s="750"/>
      <c r="BL3296" s="750"/>
      <c r="BM3296" s="750"/>
      <c r="BN3296" s="750"/>
      <c r="BO3296" s="750"/>
      <c r="BP3296" s="750"/>
      <c r="BQ3296" s="750"/>
    </row>
    <row r="3297" spans="3:69">
      <c r="C3297" s="853"/>
      <c r="D3297" s="853"/>
      <c r="E3297" s="853"/>
      <c r="F3297" s="853"/>
      <c r="G3297" s="853"/>
      <c r="H3297" s="853"/>
      <c r="I3297" s="848"/>
      <c r="J3297" s="848"/>
      <c r="K3297" s="1295"/>
      <c r="L3297" s="1295"/>
      <c r="M3297" s="1295"/>
      <c r="N3297" s="1295"/>
      <c r="O3297" s="1295"/>
      <c r="P3297" s="853"/>
      <c r="Q3297" s="1295"/>
      <c r="R3297" s="848"/>
      <c r="S3297" s="848"/>
      <c r="T3297" s="848"/>
      <c r="U3297" s="848"/>
      <c r="V3297" s="1296"/>
      <c r="W3297" s="848"/>
      <c r="X3297" s="848"/>
      <c r="Y3297" s="1295"/>
      <c r="Z3297" s="1296"/>
      <c r="AA3297" s="1295"/>
      <c r="AB3297" s="1296"/>
      <c r="AC3297" s="1295"/>
      <c r="AD3297" s="1295"/>
      <c r="AE3297" s="2556"/>
      <c r="AF3297" s="750"/>
      <c r="AG3297" s="750"/>
      <c r="AH3297" s="750"/>
      <c r="AI3297" s="750"/>
      <c r="AJ3297" s="750"/>
      <c r="AK3297" s="750"/>
      <c r="AL3297" s="750"/>
      <c r="AM3297" s="750"/>
      <c r="AN3297" s="750"/>
      <c r="AO3297" s="750"/>
      <c r="AP3297" s="750"/>
      <c r="AQ3297" s="750"/>
      <c r="AR3297" s="750"/>
      <c r="AS3297" s="750"/>
      <c r="AT3297" s="750"/>
      <c r="AU3297" s="750"/>
      <c r="AV3297" s="750"/>
      <c r="AW3297" s="750"/>
      <c r="AX3297" s="750"/>
      <c r="AY3297" s="750"/>
      <c r="AZ3297" s="750"/>
      <c r="BA3297" s="750"/>
      <c r="BB3297" s="750"/>
      <c r="BC3297" s="750"/>
      <c r="BD3297" s="750"/>
      <c r="BE3297" s="750"/>
      <c r="BF3297" s="750"/>
      <c r="BG3297" s="750"/>
      <c r="BH3297" s="750"/>
      <c r="BI3297" s="750"/>
      <c r="BJ3297" s="750"/>
      <c r="BK3297" s="750"/>
      <c r="BL3297" s="750"/>
      <c r="BM3297" s="750"/>
      <c r="BN3297" s="750"/>
      <c r="BO3297" s="750"/>
      <c r="BP3297" s="750"/>
      <c r="BQ3297" s="750"/>
    </row>
    <row r="3298" spans="3:69">
      <c r="C3298" s="853"/>
      <c r="D3298" s="853"/>
      <c r="E3298" s="853"/>
      <c r="F3298" s="853"/>
      <c r="G3298" s="853"/>
      <c r="H3298" s="853"/>
      <c r="I3298" s="848"/>
      <c r="J3298" s="848"/>
      <c r="K3298" s="1295"/>
      <c r="L3298" s="1295"/>
      <c r="M3298" s="1295"/>
      <c r="N3298" s="1295"/>
      <c r="O3298" s="1295"/>
      <c r="P3298" s="853"/>
      <c r="Q3298" s="1295"/>
      <c r="R3298" s="848"/>
      <c r="S3298" s="848"/>
      <c r="T3298" s="848"/>
      <c r="U3298" s="848"/>
      <c r="V3298" s="1296"/>
      <c r="W3298" s="848"/>
      <c r="X3298" s="848"/>
      <c r="Y3298" s="1295"/>
      <c r="Z3298" s="1296"/>
      <c r="AA3298" s="1295"/>
      <c r="AB3298" s="1296"/>
      <c r="AC3298" s="1295"/>
      <c r="AD3298" s="1295"/>
      <c r="AE3298" s="2556"/>
      <c r="AF3298" s="750"/>
      <c r="AG3298" s="750"/>
      <c r="AH3298" s="750"/>
      <c r="AI3298" s="750"/>
      <c r="AJ3298" s="750"/>
      <c r="AK3298" s="750"/>
      <c r="AL3298" s="750"/>
      <c r="AM3298" s="750"/>
      <c r="AN3298" s="750"/>
      <c r="AO3298" s="750"/>
      <c r="AP3298" s="750"/>
      <c r="AQ3298" s="750"/>
      <c r="AR3298" s="750"/>
      <c r="AS3298" s="750"/>
      <c r="AT3298" s="750"/>
      <c r="AU3298" s="750"/>
      <c r="AV3298" s="750"/>
      <c r="AW3298" s="750"/>
      <c r="AX3298" s="750"/>
      <c r="AY3298" s="750"/>
      <c r="AZ3298" s="750"/>
      <c r="BA3298" s="750"/>
      <c r="BB3298" s="750"/>
      <c r="BC3298" s="750"/>
      <c r="BD3298" s="750"/>
      <c r="BE3298" s="750"/>
      <c r="BF3298" s="750"/>
      <c r="BG3298" s="750"/>
      <c r="BH3298" s="750"/>
      <c r="BI3298" s="750"/>
      <c r="BJ3298" s="750"/>
      <c r="BK3298" s="750"/>
      <c r="BL3298" s="750"/>
      <c r="BM3298" s="750"/>
      <c r="BN3298" s="750"/>
      <c r="BO3298" s="750"/>
      <c r="BP3298" s="750"/>
      <c r="BQ3298" s="750"/>
    </row>
    <row r="3299" spans="3:69">
      <c r="C3299" s="853"/>
      <c r="D3299" s="853"/>
      <c r="E3299" s="853"/>
      <c r="F3299" s="853"/>
      <c r="G3299" s="853"/>
      <c r="H3299" s="853"/>
      <c r="I3299" s="848"/>
      <c r="J3299" s="848"/>
      <c r="K3299" s="1295"/>
      <c r="L3299" s="1295"/>
      <c r="M3299" s="1295"/>
      <c r="N3299" s="1295"/>
      <c r="O3299" s="1295"/>
      <c r="P3299" s="853"/>
      <c r="Q3299" s="1295"/>
      <c r="R3299" s="848"/>
      <c r="S3299" s="848"/>
      <c r="T3299" s="848"/>
      <c r="U3299" s="848"/>
      <c r="V3299" s="1296"/>
      <c r="W3299" s="848"/>
      <c r="X3299" s="848"/>
      <c r="Y3299" s="1295"/>
      <c r="Z3299" s="1296"/>
      <c r="AA3299" s="1295"/>
      <c r="AB3299" s="1296"/>
      <c r="AC3299" s="1295"/>
      <c r="AD3299" s="1295"/>
      <c r="AE3299" s="2556"/>
      <c r="AF3299" s="750"/>
      <c r="AG3299" s="750"/>
      <c r="AH3299" s="750"/>
      <c r="AI3299" s="750"/>
      <c r="AJ3299" s="750"/>
      <c r="AK3299" s="750"/>
      <c r="AL3299" s="750"/>
      <c r="AM3299" s="750"/>
      <c r="AN3299" s="750"/>
      <c r="AO3299" s="750"/>
      <c r="AP3299" s="750"/>
      <c r="AQ3299" s="750"/>
      <c r="AR3299" s="750"/>
      <c r="AS3299" s="750"/>
      <c r="AT3299" s="750"/>
      <c r="AU3299" s="750"/>
      <c r="AV3299" s="750"/>
      <c r="AW3299" s="750"/>
      <c r="AX3299" s="750"/>
      <c r="AY3299" s="750"/>
      <c r="AZ3299" s="750"/>
      <c r="BA3299" s="750"/>
      <c r="BB3299" s="750"/>
      <c r="BC3299" s="750"/>
      <c r="BD3299" s="750"/>
      <c r="BE3299" s="750"/>
      <c r="BF3299" s="750"/>
      <c r="BG3299" s="750"/>
      <c r="BH3299" s="750"/>
      <c r="BI3299" s="750"/>
      <c r="BJ3299" s="750"/>
      <c r="BK3299" s="750"/>
      <c r="BL3299" s="750"/>
      <c r="BM3299" s="750"/>
      <c r="BN3299" s="750"/>
      <c r="BO3299" s="750"/>
      <c r="BP3299" s="750"/>
      <c r="BQ3299" s="750"/>
    </row>
    <row r="3300" spans="3:69">
      <c r="C3300" s="853"/>
      <c r="D3300" s="853"/>
      <c r="E3300" s="853"/>
      <c r="F3300" s="853"/>
      <c r="G3300" s="853"/>
      <c r="H3300" s="853"/>
      <c r="I3300" s="848"/>
      <c r="J3300" s="848"/>
      <c r="K3300" s="1295"/>
      <c r="L3300" s="1295"/>
      <c r="M3300" s="1295"/>
      <c r="N3300" s="1295"/>
      <c r="O3300" s="1295"/>
      <c r="P3300" s="853"/>
      <c r="Q3300" s="1295"/>
      <c r="R3300" s="848"/>
      <c r="S3300" s="848"/>
      <c r="T3300" s="848"/>
      <c r="U3300" s="848"/>
      <c r="V3300" s="1296"/>
      <c r="W3300" s="848"/>
      <c r="X3300" s="848"/>
      <c r="Y3300" s="1295"/>
      <c r="Z3300" s="1296"/>
      <c r="AA3300" s="1295"/>
      <c r="AB3300" s="1296"/>
      <c r="AC3300" s="1295"/>
      <c r="AD3300" s="1295"/>
      <c r="AE3300" s="2556"/>
      <c r="AF3300" s="750"/>
      <c r="AG3300" s="750"/>
      <c r="AH3300" s="750"/>
      <c r="AI3300" s="750"/>
      <c r="AJ3300" s="750"/>
      <c r="AK3300" s="750"/>
      <c r="AL3300" s="750"/>
      <c r="AM3300" s="750"/>
      <c r="AN3300" s="750"/>
      <c r="AO3300" s="750"/>
      <c r="AP3300" s="750"/>
      <c r="AQ3300" s="750"/>
      <c r="AR3300" s="750"/>
      <c r="AS3300" s="750"/>
      <c r="AT3300" s="750"/>
      <c r="AU3300" s="750"/>
      <c r="AV3300" s="750"/>
      <c r="AW3300" s="750"/>
      <c r="AX3300" s="750"/>
      <c r="AY3300" s="750"/>
      <c r="AZ3300" s="750"/>
      <c r="BA3300" s="750"/>
      <c r="BB3300" s="750"/>
      <c r="BC3300" s="750"/>
      <c r="BD3300" s="750"/>
      <c r="BE3300" s="750"/>
      <c r="BF3300" s="750"/>
      <c r="BG3300" s="750"/>
      <c r="BH3300" s="750"/>
      <c r="BI3300" s="750"/>
      <c r="BJ3300" s="750"/>
      <c r="BK3300" s="750"/>
      <c r="BL3300" s="750"/>
      <c r="BM3300" s="750"/>
      <c r="BN3300" s="750"/>
      <c r="BO3300" s="750"/>
      <c r="BP3300" s="750"/>
      <c r="BQ3300" s="750"/>
    </row>
    <row r="3301" spans="3:69">
      <c r="C3301" s="853"/>
      <c r="D3301" s="853"/>
      <c r="E3301" s="853"/>
      <c r="F3301" s="853"/>
      <c r="G3301" s="853"/>
      <c r="H3301" s="853"/>
      <c r="I3301" s="848"/>
      <c r="J3301" s="848"/>
      <c r="K3301" s="1295"/>
      <c r="L3301" s="1295"/>
      <c r="M3301" s="1295"/>
      <c r="N3301" s="1295"/>
      <c r="O3301" s="1295"/>
      <c r="P3301" s="853"/>
      <c r="Q3301" s="1295"/>
      <c r="R3301" s="848"/>
      <c r="S3301" s="848"/>
      <c r="T3301" s="848"/>
      <c r="U3301" s="848"/>
      <c r="V3301" s="1296"/>
      <c r="W3301" s="848"/>
      <c r="X3301" s="848"/>
      <c r="Y3301" s="1295"/>
      <c r="Z3301" s="1296"/>
      <c r="AA3301" s="1295"/>
      <c r="AB3301" s="1296"/>
      <c r="AC3301" s="1295"/>
      <c r="AD3301" s="1295"/>
      <c r="AE3301" s="2556"/>
      <c r="AF3301" s="750"/>
      <c r="AG3301" s="750"/>
      <c r="AH3301" s="750"/>
      <c r="AI3301" s="750"/>
      <c r="AJ3301" s="750"/>
      <c r="AK3301" s="750"/>
      <c r="AL3301" s="750"/>
      <c r="AM3301" s="750"/>
      <c r="AN3301" s="750"/>
      <c r="AO3301" s="750"/>
      <c r="AP3301" s="750"/>
      <c r="AQ3301" s="750"/>
      <c r="AR3301" s="750"/>
      <c r="AS3301" s="750"/>
      <c r="AT3301" s="750"/>
      <c r="AU3301" s="750"/>
      <c r="AV3301" s="750"/>
      <c r="AW3301" s="750"/>
      <c r="AX3301" s="750"/>
      <c r="AY3301" s="750"/>
      <c r="AZ3301" s="750"/>
      <c r="BA3301" s="750"/>
      <c r="BB3301" s="750"/>
      <c r="BC3301" s="750"/>
      <c r="BD3301" s="750"/>
      <c r="BE3301" s="750"/>
      <c r="BF3301" s="750"/>
      <c r="BG3301" s="750"/>
      <c r="BH3301" s="750"/>
      <c r="BI3301" s="750"/>
      <c r="BJ3301" s="750"/>
      <c r="BK3301" s="750"/>
      <c r="BL3301" s="750"/>
      <c r="BM3301" s="750"/>
      <c r="BN3301" s="750"/>
      <c r="BO3301" s="750"/>
      <c r="BP3301" s="750"/>
      <c r="BQ3301" s="750"/>
    </row>
    <row r="3302" spans="3:69">
      <c r="C3302" s="853"/>
      <c r="D3302" s="853"/>
      <c r="E3302" s="853"/>
      <c r="F3302" s="853"/>
      <c r="G3302" s="853"/>
      <c r="H3302" s="853"/>
      <c r="I3302" s="848"/>
      <c r="J3302" s="848"/>
      <c r="K3302" s="1295"/>
      <c r="L3302" s="1295"/>
      <c r="M3302" s="1295"/>
      <c r="N3302" s="1295"/>
      <c r="O3302" s="1295"/>
      <c r="P3302" s="853"/>
      <c r="Q3302" s="1295"/>
      <c r="R3302" s="848"/>
      <c r="S3302" s="848"/>
      <c r="T3302" s="848"/>
      <c r="U3302" s="848"/>
      <c r="V3302" s="1296"/>
      <c r="W3302" s="848"/>
      <c r="X3302" s="848"/>
      <c r="Y3302" s="1295"/>
      <c r="Z3302" s="1296"/>
      <c r="AA3302" s="1295"/>
      <c r="AB3302" s="1296"/>
      <c r="AC3302" s="1295"/>
      <c r="AD3302" s="1295"/>
      <c r="AE3302" s="2556"/>
      <c r="AF3302" s="750"/>
      <c r="AG3302" s="750"/>
      <c r="AH3302" s="750"/>
      <c r="AI3302" s="750"/>
      <c r="AJ3302" s="750"/>
      <c r="AK3302" s="750"/>
      <c r="AL3302" s="750"/>
      <c r="AM3302" s="750"/>
      <c r="AN3302" s="750"/>
      <c r="AO3302" s="750"/>
      <c r="AP3302" s="750"/>
      <c r="AQ3302" s="750"/>
      <c r="AR3302" s="750"/>
      <c r="AS3302" s="750"/>
      <c r="AT3302" s="750"/>
      <c r="AU3302" s="750"/>
      <c r="AV3302" s="750"/>
      <c r="AW3302" s="750"/>
      <c r="AX3302" s="750"/>
      <c r="AY3302" s="750"/>
      <c r="AZ3302" s="750"/>
      <c r="BA3302" s="750"/>
      <c r="BB3302" s="750"/>
      <c r="BC3302" s="750"/>
      <c r="BD3302" s="750"/>
      <c r="BE3302" s="750"/>
      <c r="BF3302" s="750"/>
      <c r="BG3302" s="750"/>
      <c r="BH3302" s="750"/>
      <c r="BI3302" s="750"/>
      <c r="BJ3302" s="750"/>
      <c r="BK3302" s="750"/>
      <c r="BL3302" s="750"/>
      <c r="BM3302" s="750"/>
      <c r="BN3302" s="750"/>
      <c r="BO3302" s="750"/>
      <c r="BP3302" s="750"/>
      <c r="BQ3302" s="750"/>
    </row>
    <row r="3303" spans="3:69">
      <c r="C3303" s="853"/>
      <c r="D3303" s="853"/>
      <c r="E3303" s="853"/>
      <c r="F3303" s="853"/>
      <c r="G3303" s="853"/>
      <c r="H3303" s="853"/>
      <c r="I3303" s="848"/>
      <c r="J3303" s="848"/>
      <c r="K3303" s="1295"/>
      <c r="L3303" s="1295"/>
      <c r="M3303" s="1295"/>
      <c r="N3303" s="1295"/>
      <c r="O3303" s="1295"/>
      <c r="P3303" s="853"/>
      <c r="Q3303" s="1295"/>
      <c r="R3303" s="848"/>
      <c r="S3303" s="848"/>
      <c r="T3303" s="848"/>
      <c r="U3303" s="848"/>
      <c r="V3303" s="1296"/>
      <c r="W3303" s="848"/>
      <c r="X3303" s="848"/>
      <c r="Y3303" s="1295"/>
      <c r="Z3303" s="1296"/>
      <c r="AA3303" s="1295"/>
      <c r="AB3303" s="1296"/>
      <c r="AC3303" s="1295"/>
      <c r="AD3303" s="1295"/>
      <c r="AE3303" s="2556"/>
      <c r="AF3303" s="750"/>
      <c r="AG3303" s="750"/>
      <c r="AH3303" s="750"/>
      <c r="AI3303" s="750"/>
      <c r="AJ3303" s="750"/>
      <c r="AK3303" s="750"/>
      <c r="AL3303" s="750"/>
      <c r="AM3303" s="750"/>
      <c r="AN3303" s="750"/>
      <c r="AO3303" s="750"/>
      <c r="AP3303" s="750"/>
      <c r="AQ3303" s="750"/>
      <c r="AR3303" s="750"/>
      <c r="AS3303" s="750"/>
      <c r="AT3303" s="750"/>
      <c r="AU3303" s="750"/>
      <c r="AV3303" s="750"/>
      <c r="AW3303" s="750"/>
      <c r="AX3303" s="750"/>
      <c r="AY3303" s="750"/>
      <c r="AZ3303" s="750"/>
      <c r="BA3303" s="750"/>
      <c r="BB3303" s="750"/>
      <c r="BC3303" s="750"/>
      <c r="BD3303" s="750"/>
      <c r="BE3303" s="750"/>
      <c r="BF3303" s="750"/>
      <c r="BG3303" s="750"/>
      <c r="BH3303" s="750"/>
      <c r="BI3303" s="750"/>
      <c r="BJ3303" s="750"/>
      <c r="BK3303" s="750"/>
      <c r="BL3303" s="750"/>
      <c r="BM3303" s="750"/>
      <c r="BN3303" s="750"/>
      <c r="BO3303" s="750"/>
      <c r="BP3303" s="750"/>
      <c r="BQ3303" s="750"/>
    </row>
    <row r="3304" spans="3:69">
      <c r="C3304" s="853"/>
      <c r="D3304" s="853"/>
      <c r="E3304" s="853"/>
      <c r="F3304" s="853"/>
      <c r="G3304" s="853"/>
      <c r="H3304" s="853"/>
      <c r="I3304" s="848"/>
      <c r="J3304" s="848"/>
      <c r="K3304" s="1295"/>
      <c r="L3304" s="1295"/>
      <c r="M3304" s="1295"/>
      <c r="N3304" s="1295"/>
      <c r="O3304" s="1295"/>
      <c r="P3304" s="853"/>
      <c r="Q3304" s="1295"/>
      <c r="R3304" s="848"/>
      <c r="S3304" s="848"/>
      <c r="T3304" s="848"/>
      <c r="U3304" s="848"/>
      <c r="V3304" s="1296"/>
      <c r="W3304" s="848"/>
      <c r="X3304" s="848"/>
      <c r="Y3304" s="1295"/>
      <c r="Z3304" s="1296"/>
      <c r="AA3304" s="1295"/>
      <c r="AB3304" s="1296"/>
      <c r="AC3304" s="1295"/>
      <c r="AD3304" s="1295"/>
      <c r="AE3304" s="2556"/>
      <c r="AF3304" s="750"/>
      <c r="AG3304" s="750"/>
      <c r="AH3304" s="750"/>
      <c r="AI3304" s="750"/>
      <c r="AJ3304" s="750"/>
      <c r="AK3304" s="750"/>
      <c r="AL3304" s="750"/>
      <c r="AM3304" s="750"/>
      <c r="AN3304" s="750"/>
      <c r="AO3304" s="750"/>
      <c r="AP3304" s="750"/>
      <c r="AQ3304" s="750"/>
      <c r="AR3304" s="750"/>
      <c r="AS3304" s="750"/>
      <c r="AT3304" s="750"/>
      <c r="AU3304" s="750"/>
      <c r="AV3304" s="750"/>
      <c r="AW3304" s="750"/>
      <c r="AX3304" s="750"/>
      <c r="AY3304" s="750"/>
      <c r="AZ3304" s="750"/>
      <c r="BA3304" s="750"/>
      <c r="BB3304" s="750"/>
      <c r="BC3304" s="750"/>
      <c r="BD3304" s="750"/>
      <c r="BE3304" s="750"/>
      <c r="BF3304" s="750"/>
      <c r="BG3304" s="750"/>
      <c r="BH3304" s="750"/>
      <c r="BI3304" s="750"/>
      <c r="BJ3304" s="750"/>
      <c r="BK3304" s="750"/>
      <c r="BL3304" s="750"/>
      <c r="BM3304" s="750"/>
      <c r="BN3304" s="750"/>
      <c r="BO3304" s="750"/>
      <c r="BP3304" s="750"/>
      <c r="BQ3304" s="750"/>
    </row>
    <row r="3305" spans="3:69">
      <c r="C3305" s="853"/>
      <c r="D3305" s="853"/>
      <c r="E3305" s="853"/>
      <c r="F3305" s="853"/>
      <c r="G3305" s="853"/>
      <c r="H3305" s="853"/>
      <c r="I3305" s="848"/>
      <c r="J3305" s="848"/>
      <c r="K3305" s="1295"/>
      <c r="L3305" s="1295"/>
      <c r="M3305" s="1295"/>
      <c r="N3305" s="1295"/>
      <c r="O3305" s="1295"/>
      <c r="P3305" s="853"/>
      <c r="Q3305" s="1295"/>
      <c r="R3305" s="848"/>
      <c r="S3305" s="848"/>
      <c r="T3305" s="848"/>
      <c r="U3305" s="848"/>
      <c r="V3305" s="1296"/>
      <c r="W3305" s="848"/>
      <c r="X3305" s="848"/>
      <c r="Y3305" s="1295"/>
      <c r="Z3305" s="1296"/>
      <c r="AA3305" s="1295"/>
      <c r="AB3305" s="1296"/>
      <c r="AC3305" s="1295"/>
      <c r="AD3305" s="1295"/>
      <c r="AE3305" s="2556"/>
      <c r="AF3305" s="750"/>
      <c r="AG3305" s="750"/>
      <c r="AH3305" s="750"/>
      <c r="AI3305" s="750"/>
      <c r="AJ3305" s="750"/>
      <c r="AK3305" s="750"/>
      <c r="AL3305" s="750"/>
      <c r="AM3305" s="750"/>
      <c r="AN3305" s="750"/>
      <c r="AO3305" s="750"/>
      <c r="AP3305" s="750"/>
      <c r="AQ3305" s="750"/>
      <c r="AR3305" s="750"/>
      <c r="AS3305" s="750"/>
      <c r="AT3305" s="750"/>
      <c r="AU3305" s="750"/>
      <c r="AV3305" s="750"/>
      <c r="AW3305" s="750"/>
      <c r="AX3305" s="750"/>
      <c r="AY3305" s="750"/>
      <c r="AZ3305" s="750"/>
      <c r="BA3305" s="750"/>
      <c r="BB3305" s="750"/>
      <c r="BC3305" s="750"/>
      <c r="BD3305" s="750"/>
      <c r="BE3305" s="750"/>
      <c r="BF3305" s="750"/>
      <c r="BG3305" s="750"/>
      <c r="BH3305" s="750"/>
      <c r="BI3305" s="750"/>
      <c r="BJ3305" s="750"/>
      <c r="BK3305" s="750"/>
      <c r="BL3305" s="750"/>
      <c r="BM3305" s="750"/>
      <c r="BN3305" s="750"/>
      <c r="BO3305" s="750"/>
      <c r="BP3305" s="750"/>
      <c r="BQ3305" s="750"/>
    </row>
    <row r="3306" spans="3:69">
      <c r="C3306" s="853"/>
      <c r="D3306" s="853"/>
      <c r="E3306" s="853"/>
      <c r="F3306" s="853"/>
      <c r="G3306" s="853"/>
      <c r="H3306" s="853"/>
      <c r="I3306" s="848"/>
      <c r="J3306" s="848"/>
      <c r="K3306" s="1295"/>
      <c r="L3306" s="1295"/>
      <c r="M3306" s="1295"/>
      <c r="N3306" s="1295"/>
      <c r="O3306" s="1295"/>
      <c r="P3306" s="853"/>
      <c r="Q3306" s="1295"/>
      <c r="R3306" s="848"/>
      <c r="S3306" s="848"/>
      <c r="T3306" s="848"/>
      <c r="U3306" s="848"/>
      <c r="V3306" s="1296"/>
      <c r="W3306" s="848"/>
      <c r="X3306" s="848"/>
      <c r="Y3306" s="1295"/>
      <c r="Z3306" s="1296"/>
      <c r="AA3306" s="1295"/>
      <c r="AB3306" s="1296"/>
      <c r="AC3306" s="1295"/>
      <c r="AD3306" s="1295"/>
      <c r="AE3306" s="2556"/>
      <c r="AF3306" s="750"/>
      <c r="AG3306" s="750"/>
      <c r="AH3306" s="750"/>
      <c r="AI3306" s="750"/>
      <c r="AJ3306" s="750"/>
      <c r="AK3306" s="750"/>
      <c r="AL3306" s="750"/>
      <c r="AM3306" s="750"/>
      <c r="AN3306" s="750"/>
      <c r="AO3306" s="750"/>
      <c r="AP3306" s="750"/>
      <c r="AQ3306" s="750"/>
      <c r="AR3306" s="750"/>
      <c r="AS3306" s="750"/>
      <c r="AT3306" s="750"/>
      <c r="AU3306" s="750"/>
      <c r="AV3306" s="750"/>
      <c r="AW3306" s="750"/>
      <c r="AX3306" s="750"/>
      <c r="AY3306" s="750"/>
      <c r="AZ3306" s="750"/>
      <c r="BA3306" s="750"/>
      <c r="BB3306" s="750"/>
      <c r="BC3306" s="750"/>
      <c r="BD3306" s="750"/>
      <c r="BE3306" s="750"/>
      <c r="BF3306" s="750"/>
      <c r="BG3306" s="750"/>
      <c r="BH3306" s="750"/>
      <c r="BI3306" s="750"/>
      <c r="BJ3306" s="750"/>
      <c r="BK3306" s="750"/>
      <c r="BL3306" s="750"/>
      <c r="BM3306" s="750"/>
      <c r="BN3306" s="750"/>
      <c r="BO3306" s="750"/>
      <c r="BP3306" s="750"/>
      <c r="BQ3306" s="750"/>
    </row>
    <row r="3307" spans="3:69">
      <c r="C3307" s="853"/>
      <c r="D3307" s="853"/>
      <c r="E3307" s="853"/>
      <c r="F3307" s="853"/>
      <c r="G3307" s="853"/>
      <c r="H3307" s="853"/>
      <c r="I3307" s="848"/>
      <c r="J3307" s="848"/>
      <c r="K3307" s="1295"/>
      <c r="L3307" s="1295"/>
      <c r="M3307" s="1295"/>
      <c r="N3307" s="1295"/>
      <c r="O3307" s="1295"/>
      <c r="P3307" s="853"/>
      <c r="Q3307" s="1295"/>
      <c r="R3307" s="848"/>
      <c r="S3307" s="848"/>
      <c r="T3307" s="848"/>
      <c r="U3307" s="848"/>
      <c r="V3307" s="1296"/>
      <c r="W3307" s="848"/>
      <c r="X3307" s="848"/>
      <c r="Y3307" s="1295"/>
      <c r="Z3307" s="1296"/>
      <c r="AA3307" s="1295"/>
      <c r="AB3307" s="1296"/>
      <c r="AC3307" s="1295"/>
      <c r="AD3307" s="1295"/>
      <c r="AE3307" s="2556"/>
      <c r="AF3307" s="750"/>
      <c r="AG3307" s="750"/>
      <c r="AH3307" s="750"/>
      <c r="AI3307" s="750"/>
      <c r="AJ3307" s="750"/>
      <c r="AK3307" s="750"/>
      <c r="AL3307" s="750"/>
      <c r="AM3307" s="750"/>
      <c r="AN3307" s="750"/>
      <c r="AO3307" s="750"/>
      <c r="AP3307" s="750"/>
      <c r="AQ3307" s="750"/>
      <c r="AR3307" s="750"/>
      <c r="AS3307" s="750"/>
      <c r="AT3307" s="750"/>
      <c r="AU3307" s="750"/>
      <c r="AV3307" s="750"/>
      <c r="AW3307" s="750"/>
      <c r="AX3307" s="750"/>
      <c r="AY3307" s="750"/>
      <c r="AZ3307" s="750"/>
      <c r="BA3307" s="750"/>
      <c r="BB3307" s="750"/>
      <c r="BC3307" s="750"/>
      <c r="BD3307" s="750"/>
      <c r="BE3307" s="750"/>
      <c r="BF3307" s="750"/>
      <c r="BG3307" s="750"/>
      <c r="BH3307" s="750"/>
      <c r="BI3307" s="750"/>
      <c r="BJ3307" s="750"/>
      <c r="BK3307" s="750"/>
      <c r="BL3307" s="750"/>
      <c r="BM3307" s="750"/>
      <c r="BN3307" s="750"/>
      <c r="BO3307" s="750"/>
      <c r="BP3307" s="750"/>
      <c r="BQ3307" s="750"/>
    </row>
    <row r="3308" spans="3:69">
      <c r="C3308" s="853"/>
      <c r="D3308" s="853"/>
      <c r="E3308" s="853"/>
      <c r="F3308" s="853"/>
      <c r="G3308" s="853"/>
      <c r="H3308" s="853"/>
      <c r="I3308" s="848"/>
      <c r="J3308" s="848"/>
      <c r="K3308" s="1295"/>
      <c r="L3308" s="1295"/>
      <c r="M3308" s="1295"/>
      <c r="N3308" s="1295"/>
      <c r="O3308" s="1295"/>
      <c r="P3308" s="853"/>
      <c r="Q3308" s="1295"/>
      <c r="R3308" s="848"/>
      <c r="S3308" s="848"/>
      <c r="T3308" s="848"/>
      <c r="U3308" s="848"/>
      <c r="V3308" s="1296"/>
      <c r="W3308" s="848"/>
      <c r="X3308" s="848"/>
      <c r="Y3308" s="1295"/>
      <c r="Z3308" s="1296"/>
      <c r="AA3308" s="1295"/>
      <c r="AB3308" s="1296"/>
      <c r="AC3308" s="1295"/>
      <c r="AD3308" s="1295"/>
      <c r="AE3308" s="2556"/>
      <c r="AF3308" s="750"/>
      <c r="AG3308" s="750"/>
      <c r="AH3308" s="750"/>
      <c r="AI3308" s="750"/>
      <c r="AJ3308" s="750"/>
      <c r="AK3308" s="750"/>
      <c r="AL3308" s="750"/>
      <c r="AM3308" s="750"/>
      <c r="AN3308" s="750"/>
      <c r="AO3308" s="750"/>
      <c r="AP3308" s="750"/>
      <c r="AQ3308" s="750"/>
      <c r="AR3308" s="750"/>
      <c r="AS3308" s="750"/>
      <c r="AT3308" s="750"/>
      <c r="AU3308" s="750"/>
      <c r="AV3308" s="750"/>
      <c r="AW3308" s="750"/>
      <c r="AX3308" s="750"/>
      <c r="AY3308" s="750"/>
      <c r="AZ3308" s="750"/>
      <c r="BA3308" s="750"/>
      <c r="BB3308" s="750"/>
      <c r="BC3308" s="750"/>
      <c r="BD3308" s="750"/>
      <c r="BE3308" s="750"/>
      <c r="BF3308" s="750"/>
      <c r="BG3308" s="750"/>
      <c r="BH3308" s="750"/>
      <c r="BI3308" s="750"/>
      <c r="BJ3308" s="750"/>
      <c r="BK3308" s="750"/>
      <c r="BL3308" s="750"/>
      <c r="BM3308" s="750"/>
      <c r="BN3308" s="750"/>
      <c r="BO3308" s="750"/>
      <c r="BP3308" s="750"/>
      <c r="BQ3308" s="750"/>
    </row>
    <row r="3309" spans="3:69">
      <c r="C3309" s="853"/>
      <c r="D3309" s="853"/>
      <c r="E3309" s="853"/>
      <c r="F3309" s="853"/>
      <c r="G3309" s="853"/>
      <c r="H3309" s="853"/>
      <c r="I3309" s="848"/>
      <c r="J3309" s="848"/>
      <c r="K3309" s="1295"/>
      <c r="L3309" s="1295"/>
      <c r="M3309" s="1295"/>
      <c r="N3309" s="1295"/>
      <c r="O3309" s="1295"/>
      <c r="P3309" s="853"/>
      <c r="Q3309" s="1295"/>
      <c r="R3309" s="848"/>
      <c r="S3309" s="848"/>
      <c r="T3309" s="848"/>
      <c r="U3309" s="848"/>
      <c r="V3309" s="1296"/>
      <c r="W3309" s="848"/>
      <c r="X3309" s="848"/>
      <c r="Y3309" s="1295"/>
      <c r="Z3309" s="1296"/>
      <c r="AA3309" s="1295"/>
      <c r="AB3309" s="1296"/>
      <c r="AC3309" s="1295"/>
      <c r="AD3309" s="1295"/>
      <c r="AE3309" s="2556"/>
      <c r="AF3309" s="750"/>
      <c r="AG3309" s="750"/>
      <c r="AH3309" s="750"/>
      <c r="AI3309" s="750"/>
      <c r="AJ3309" s="750"/>
      <c r="AK3309" s="750"/>
      <c r="AL3309" s="750"/>
      <c r="AM3309" s="750"/>
      <c r="AN3309" s="750"/>
      <c r="AO3309" s="750"/>
      <c r="AP3309" s="750"/>
      <c r="AQ3309" s="750"/>
      <c r="AR3309" s="750"/>
      <c r="AS3309" s="750"/>
      <c r="AT3309" s="750"/>
      <c r="AU3309" s="750"/>
      <c r="AV3309" s="750"/>
      <c r="AW3309" s="750"/>
      <c r="AX3309" s="750"/>
      <c r="AY3309" s="750"/>
      <c r="AZ3309" s="750"/>
      <c r="BA3309" s="750"/>
      <c r="BB3309" s="750"/>
      <c r="BC3309" s="750"/>
      <c r="BD3309" s="750"/>
      <c r="BE3309" s="750"/>
      <c r="BF3309" s="750"/>
      <c r="BG3309" s="750"/>
      <c r="BH3309" s="750"/>
      <c r="BI3309" s="750"/>
      <c r="BJ3309" s="750"/>
      <c r="BK3309" s="750"/>
      <c r="BL3309" s="750"/>
      <c r="BM3309" s="750"/>
      <c r="BN3309" s="750"/>
      <c r="BO3309" s="750"/>
      <c r="BP3309" s="750"/>
      <c r="BQ3309" s="750"/>
    </row>
    <row r="3310" spans="3:69">
      <c r="C3310" s="853"/>
      <c r="D3310" s="853"/>
      <c r="E3310" s="853"/>
      <c r="F3310" s="853"/>
      <c r="G3310" s="853"/>
      <c r="H3310" s="853"/>
      <c r="I3310" s="848"/>
      <c r="J3310" s="848"/>
      <c r="K3310" s="1295"/>
      <c r="L3310" s="1295"/>
      <c r="M3310" s="1295"/>
      <c r="N3310" s="1295"/>
      <c r="O3310" s="1295"/>
      <c r="P3310" s="853"/>
      <c r="Q3310" s="1295"/>
      <c r="R3310" s="848"/>
      <c r="S3310" s="848"/>
      <c r="T3310" s="848"/>
      <c r="U3310" s="848"/>
      <c r="V3310" s="1296"/>
      <c r="W3310" s="848"/>
      <c r="X3310" s="848"/>
      <c r="Y3310" s="1295"/>
      <c r="Z3310" s="1296"/>
      <c r="AA3310" s="1295"/>
      <c r="AB3310" s="1296"/>
      <c r="AC3310" s="1295"/>
      <c r="AD3310" s="1295"/>
      <c r="AE3310" s="2556"/>
      <c r="AF3310" s="750"/>
      <c r="AG3310" s="750"/>
      <c r="AH3310" s="750"/>
      <c r="AI3310" s="750"/>
      <c r="AJ3310" s="750"/>
      <c r="AK3310" s="750"/>
      <c r="AL3310" s="750"/>
      <c r="AM3310" s="750"/>
      <c r="AN3310" s="750"/>
      <c r="AO3310" s="750"/>
      <c r="AP3310" s="750"/>
      <c r="AQ3310" s="750"/>
      <c r="AR3310" s="750"/>
      <c r="AS3310" s="750"/>
      <c r="AT3310" s="750"/>
      <c r="AU3310" s="750"/>
      <c r="AV3310" s="750"/>
      <c r="AW3310" s="750"/>
      <c r="AX3310" s="750"/>
      <c r="AY3310" s="750"/>
      <c r="AZ3310" s="750"/>
      <c r="BA3310" s="750"/>
      <c r="BB3310" s="750"/>
      <c r="BC3310" s="750"/>
      <c r="BD3310" s="750"/>
      <c r="BE3310" s="750"/>
      <c r="BF3310" s="750"/>
      <c r="BG3310" s="750"/>
      <c r="BH3310" s="750"/>
      <c r="BI3310" s="750"/>
      <c r="BJ3310" s="750"/>
      <c r="BK3310" s="750"/>
      <c r="BL3310" s="750"/>
      <c r="BM3310" s="750"/>
      <c r="BN3310" s="750"/>
      <c r="BO3310" s="750"/>
      <c r="BP3310" s="750"/>
      <c r="BQ3310" s="750"/>
    </row>
    <row r="3311" spans="3:69">
      <c r="C3311" s="853"/>
      <c r="D3311" s="853"/>
      <c r="E3311" s="853"/>
      <c r="F3311" s="853"/>
      <c r="G3311" s="853"/>
      <c r="H3311" s="853"/>
      <c r="I3311" s="848"/>
      <c r="J3311" s="848"/>
      <c r="K3311" s="1295"/>
      <c r="L3311" s="1295"/>
      <c r="M3311" s="1295"/>
      <c r="N3311" s="1295"/>
      <c r="O3311" s="1295"/>
      <c r="P3311" s="853"/>
      <c r="Q3311" s="1295"/>
      <c r="R3311" s="848"/>
      <c r="S3311" s="848"/>
      <c r="T3311" s="848"/>
      <c r="U3311" s="848"/>
      <c r="V3311" s="1296"/>
      <c r="W3311" s="848"/>
      <c r="X3311" s="848"/>
      <c r="Y3311" s="1295"/>
      <c r="Z3311" s="1296"/>
      <c r="AA3311" s="1295"/>
      <c r="AB3311" s="1296"/>
      <c r="AC3311" s="1295"/>
      <c r="AD3311" s="1295"/>
      <c r="AE3311" s="2556"/>
      <c r="AF3311" s="750"/>
      <c r="AG3311" s="750"/>
      <c r="AH3311" s="750"/>
      <c r="AI3311" s="750"/>
      <c r="AJ3311" s="750"/>
      <c r="AK3311" s="750"/>
      <c r="AL3311" s="750"/>
      <c r="AM3311" s="750"/>
      <c r="AN3311" s="750"/>
      <c r="AO3311" s="750"/>
      <c r="AP3311" s="750"/>
      <c r="AQ3311" s="750"/>
      <c r="AR3311" s="750"/>
      <c r="AS3311" s="750"/>
      <c r="AT3311" s="750"/>
      <c r="AU3311" s="750"/>
      <c r="AV3311" s="750"/>
      <c r="AW3311" s="750"/>
      <c r="AX3311" s="750"/>
      <c r="AY3311" s="750"/>
      <c r="AZ3311" s="750"/>
      <c r="BA3311" s="750"/>
      <c r="BB3311" s="750"/>
      <c r="BC3311" s="750"/>
      <c r="BD3311" s="750"/>
      <c r="BE3311" s="750"/>
      <c r="BF3311" s="750"/>
      <c r="BG3311" s="750"/>
      <c r="BH3311" s="750"/>
      <c r="BI3311" s="750"/>
      <c r="BJ3311" s="750"/>
      <c r="BK3311" s="750"/>
      <c r="BL3311" s="750"/>
      <c r="BM3311" s="750"/>
      <c r="BN3311" s="750"/>
      <c r="BO3311" s="750"/>
      <c r="BP3311" s="750"/>
      <c r="BQ3311" s="750"/>
    </row>
    <row r="3312" spans="3:69">
      <c r="C3312" s="853"/>
      <c r="D3312" s="853"/>
      <c r="E3312" s="853"/>
      <c r="F3312" s="853"/>
      <c r="G3312" s="853"/>
      <c r="H3312" s="853"/>
      <c r="I3312" s="848"/>
      <c r="J3312" s="848"/>
      <c r="K3312" s="1295"/>
      <c r="L3312" s="1295"/>
      <c r="M3312" s="1295"/>
      <c r="N3312" s="1295"/>
      <c r="O3312" s="1295"/>
      <c r="P3312" s="853"/>
      <c r="Q3312" s="1295"/>
      <c r="R3312" s="848"/>
      <c r="S3312" s="848"/>
      <c r="T3312" s="848"/>
      <c r="U3312" s="848"/>
      <c r="V3312" s="1296"/>
      <c r="W3312" s="848"/>
      <c r="X3312" s="848"/>
      <c r="Y3312" s="1295"/>
      <c r="Z3312" s="1296"/>
      <c r="AA3312" s="1295"/>
      <c r="AB3312" s="1296"/>
      <c r="AC3312" s="1295"/>
      <c r="AD3312" s="1295"/>
      <c r="AE3312" s="2556"/>
      <c r="AF3312" s="750"/>
      <c r="AG3312" s="750"/>
      <c r="AH3312" s="750"/>
      <c r="AI3312" s="750"/>
      <c r="AJ3312" s="750"/>
      <c r="AK3312" s="750"/>
      <c r="AL3312" s="750"/>
      <c r="AM3312" s="750"/>
      <c r="AN3312" s="750"/>
      <c r="AO3312" s="750"/>
      <c r="AP3312" s="750"/>
      <c r="AQ3312" s="750"/>
      <c r="AR3312" s="750"/>
      <c r="AS3312" s="750"/>
      <c r="AT3312" s="750"/>
      <c r="AU3312" s="750"/>
      <c r="AV3312" s="750"/>
      <c r="AW3312" s="750"/>
      <c r="AX3312" s="750"/>
      <c r="AY3312" s="750"/>
      <c r="AZ3312" s="750"/>
      <c r="BA3312" s="750"/>
      <c r="BB3312" s="750"/>
      <c r="BC3312" s="750"/>
      <c r="BD3312" s="750"/>
      <c r="BE3312" s="750"/>
      <c r="BF3312" s="750"/>
      <c r="BG3312" s="750"/>
      <c r="BH3312" s="750"/>
      <c r="BI3312" s="750"/>
      <c r="BJ3312" s="750"/>
      <c r="BK3312" s="750"/>
      <c r="BL3312" s="750"/>
      <c r="BM3312" s="750"/>
      <c r="BN3312" s="750"/>
      <c r="BO3312" s="750"/>
      <c r="BP3312" s="750"/>
      <c r="BQ3312" s="750"/>
    </row>
    <row r="3313" spans="3:69">
      <c r="C3313" s="853"/>
      <c r="D3313" s="853"/>
      <c r="E3313" s="853"/>
      <c r="F3313" s="853"/>
      <c r="G3313" s="853"/>
      <c r="H3313" s="853"/>
      <c r="I3313" s="848"/>
      <c r="J3313" s="848"/>
      <c r="K3313" s="1295"/>
      <c r="L3313" s="1295"/>
      <c r="M3313" s="1295"/>
      <c r="N3313" s="1295"/>
      <c r="O3313" s="1295"/>
      <c r="P3313" s="853"/>
      <c r="Q3313" s="1295"/>
      <c r="R3313" s="848"/>
      <c r="S3313" s="848"/>
      <c r="T3313" s="848"/>
      <c r="U3313" s="848"/>
      <c r="V3313" s="1296"/>
      <c r="W3313" s="848"/>
      <c r="X3313" s="848"/>
      <c r="Y3313" s="1295"/>
      <c r="Z3313" s="1296"/>
      <c r="AA3313" s="1295"/>
      <c r="AB3313" s="1296"/>
      <c r="AC3313" s="1295"/>
      <c r="AD3313" s="1295"/>
      <c r="AE3313" s="2556"/>
      <c r="AF3313" s="750"/>
      <c r="AG3313" s="750"/>
      <c r="AH3313" s="750"/>
      <c r="AI3313" s="750"/>
      <c r="AJ3313" s="750"/>
      <c r="AK3313" s="750"/>
      <c r="AL3313" s="750"/>
      <c r="AM3313" s="750"/>
      <c r="AN3313" s="750"/>
      <c r="AO3313" s="750"/>
      <c r="AP3313" s="750"/>
      <c r="AQ3313" s="750"/>
      <c r="AR3313" s="750"/>
      <c r="AS3313" s="750"/>
      <c r="AT3313" s="750"/>
      <c r="AU3313" s="750"/>
      <c r="AV3313" s="750"/>
      <c r="AW3313" s="750"/>
      <c r="AX3313" s="750"/>
      <c r="AY3313" s="750"/>
      <c r="AZ3313" s="750"/>
      <c r="BA3313" s="750"/>
      <c r="BB3313" s="750"/>
      <c r="BC3313" s="750"/>
      <c r="BD3313" s="750"/>
      <c r="BE3313" s="750"/>
      <c r="BF3313" s="750"/>
      <c r="BG3313" s="750"/>
      <c r="BH3313" s="750"/>
      <c r="BI3313" s="750"/>
      <c r="BJ3313" s="750"/>
      <c r="BK3313" s="750"/>
      <c r="BL3313" s="750"/>
      <c r="BM3313" s="750"/>
      <c r="BN3313" s="750"/>
      <c r="BO3313" s="750"/>
      <c r="BP3313" s="750"/>
      <c r="BQ3313" s="750"/>
    </row>
    <row r="3314" spans="3:69">
      <c r="C3314" s="853"/>
      <c r="D3314" s="853"/>
      <c r="E3314" s="853"/>
      <c r="F3314" s="853"/>
      <c r="G3314" s="853"/>
      <c r="H3314" s="853"/>
      <c r="I3314" s="848"/>
      <c r="J3314" s="848"/>
      <c r="K3314" s="1295"/>
      <c r="L3314" s="1295"/>
      <c r="M3314" s="1295"/>
      <c r="N3314" s="1295"/>
      <c r="O3314" s="1295"/>
      <c r="P3314" s="853"/>
      <c r="Q3314" s="1295"/>
      <c r="R3314" s="848"/>
      <c r="S3314" s="848"/>
      <c r="T3314" s="848"/>
      <c r="U3314" s="848"/>
      <c r="V3314" s="1296"/>
      <c r="W3314" s="848"/>
      <c r="X3314" s="848"/>
      <c r="Y3314" s="1295"/>
      <c r="Z3314" s="1296"/>
      <c r="AA3314" s="1295"/>
      <c r="AB3314" s="1296"/>
      <c r="AC3314" s="1295"/>
      <c r="AD3314" s="1295"/>
      <c r="AE3314" s="2556"/>
      <c r="AF3314" s="750"/>
      <c r="AG3314" s="750"/>
      <c r="AH3314" s="750"/>
      <c r="AI3314" s="750"/>
      <c r="AJ3314" s="750"/>
      <c r="AK3314" s="750"/>
      <c r="AL3314" s="750"/>
      <c r="AM3314" s="750"/>
      <c r="AN3314" s="750"/>
      <c r="AO3314" s="750"/>
      <c r="AP3314" s="750"/>
      <c r="AQ3314" s="750"/>
      <c r="AR3314" s="750"/>
      <c r="AS3314" s="750"/>
      <c r="AT3314" s="750"/>
      <c r="AU3314" s="750"/>
      <c r="AV3314" s="750"/>
      <c r="AW3314" s="750"/>
      <c r="AX3314" s="750"/>
      <c r="AY3314" s="750"/>
      <c r="AZ3314" s="750"/>
      <c r="BA3314" s="750"/>
      <c r="BB3314" s="750"/>
      <c r="BC3314" s="750"/>
      <c r="BD3314" s="750"/>
      <c r="BE3314" s="750"/>
      <c r="BF3314" s="750"/>
      <c r="BG3314" s="750"/>
      <c r="BH3314" s="750"/>
      <c r="BI3314" s="750"/>
      <c r="BJ3314" s="750"/>
      <c r="BK3314" s="750"/>
      <c r="BL3314" s="750"/>
      <c r="BM3314" s="750"/>
      <c r="BN3314" s="750"/>
      <c r="BO3314" s="750"/>
      <c r="BP3314" s="750"/>
      <c r="BQ3314" s="750"/>
    </row>
    <row r="3315" spans="3:69">
      <c r="C3315" s="853"/>
      <c r="D3315" s="853"/>
      <c r="E3315" s="853"/>
      <c r="F3315" s="853"/>
      <c r="G3315" s="853"/>
      <c r="H3315" s="853"/>
      <c r="I3315" s="848"/>
      <c r="J3315" s="848"/>
      <c r="K3315" s="1295"/>
      <c r="L3315" s="1295"/>
      <c r="M3315" s="1295"/>
      <c r="N3315" s="1295"/>
      <c r="O3315" s="1295"/>
      <c r="P3315" s="853"/>
      <c r="Q3315" s="1295"/>
      <c r="R3315" s="848"/>
      <c r="S3315" s="848"/>
      <c r="T3315" s="848"/>
      <c r="U3315" s="848"/>
      <c r="V3315" s="1296"/>
      <c r="W3315" s="848"/>
      <c r="X3315" s="848"/>
      <c r="Y3315" s="1295"/>
      <c r="Z3315" s="1296"/>
      <c r="AA3315" s="1295"/>
      <c r="AB3315" s="1296"/>
      <c r="AC3315" s="1295"/>
      <c r="AD3315" s="1295"/>
      <c r="AE3315" s="2556"/>
      <c r="AF3315" s="750"/>
      <c r="AG3315" s="750"/>
      <c r="AH3315" s="750"/>
      <c r="AI3315" s="750"/>
      <c r="AJ3315" s="750"/>
      <c r="AK3315" s="750"/>
      <c r="AL3315" s="750"/>
      <c r="AM3315" s="750"/>
      <c r="AN3315" s="750"/>
      <c r="AO3315" s="750"/>
      <c r="AP3315" s="750"/>
      <c r="AQ3315" s="750"/>
      <c r="AR3315" s="750"/>
      <c r="AS3315" s="750"/>
      <c r="AT3315" s="750"/>
      <c r="AU3315" s="750"/>
      <c r="AV3315" s="750"/>
      <c r="AW3315" s="750"/>
      <c r="AX3315" s="750"/>
      <c r="AY3315" s="750"/>
      <c r="AZ3315" s="750"/>
      <c r="BA3315" s="750"/>
      <c r="BB3315" s="750"/>
      <c r="BC3315" s="750"/>
      <c r="BD3315" s="750"/>
      <c r="BE3315" s="750"/>
      <c r="BF3315" s="750"/>
      <c r="BG3315" s="750"/>
      <c r="BH3315" s="750"/>
      <c r="BI3315" s="750"/>
      <c r="BJ3315" s="750"/>
      <c r="BK3315" s="750"/>
      <c r="BL3315" s="750"/>
      <c r="BM3315" s="750"/>
      <c r="BN3315" s="750"/>
      <c r="BO3315" s="750"/>
      <c r="BP3315" s="750"/>
      <c r="BQ3315" s="750"/>
    </row>
    <row r="3316" spans="3:69">
      <c r="C3316" s="853"/>
      <c r="D3316" s="853"/>
      <c r="E3316" s="853"/>
      <c r="F3316" s="853"/>
      <c r="G3316" s="853"/>
      <c r="H3316" s="853"/>
      <c r="I3316" s="848"/>
      <c r="J3316" s="848"/>
      <c r="K3316" s="1295"/>
      <c r="L3316" s="1295"/>
      <c r="M3316" s="1295"/>
      <c r="N3316" s="1295"/>
      <c r="O3316" s="1295"/>
      <c r="P3316" s="853"/>
      <c r="Q3316" s="1295"/>
      <c r="R3316" s="848"/>
      <c r="S3316" s="848"/>
      <c r="T3316" s="848"/>
      <c r="U3316" s="848"/>
      <c r="V3316" s="1296"/>
      <c r="W3316" s="848"/>
      <c r="X3316" s="848"/>
      <c r="Y3316" s="1295"/>
      <c r="Z3316" s="1296"/>
      <c r="AA3316" s="1295"/>
      <c r="AB3316" s="1296"/>
      <c r="AC3316" s="1295"/>
      <c r="AD3316" s="1295"/>
      <c r="AE3316" s="2556"/>
      <c r="AF3316" s="750"/>
      <c r="AG3316" s="750"/>
      <c r="AH3316" s="750"/>
      <c r="AI3316" s="750"/>
      <c r="AJ3316" s="750"/>
      <c r="AK3316" s="750"/>
      <c r="AL3316" s="750"/>
      <c r="AM3316" s="750"/>
      <c r="AN3316" s="750"/>
      <c r="AO3316" s="750"/>
      <c r="AP3316" s="750"/>
      <c r="AQ3316" s="750"/>
      <c r="AR3316" s="750"/>
      <c r="AS3316" s="750"/>
      <c r="AT3316" s="750"/>
      <c r="AU3316" s="750"/>
      <c r="AV3316" s="750"/>
      <c r="AW3316" s="750"/>
      <c r="AX3316" s="750"/>
      <c r="AY3316" s="750"/>
      <c r="AZ3316" s="750"/>
      <c r="BA3316" s="750"/>
      <c r="BB3316" s="750"/>
      <c r="BC3316" s="750"/>
      <c r="BD3316" s="750"/>
      <c r="BE3316" s="750"/>
      <c r="BF3316" s="750"/>
      <c r="BG3316" s="750"/>
      <c r="BH3316" s="750"/>
      <c r="BI3316" s="750"/>
      <c r="BJ3316" s="750"/>
      <c r="BK3316" s="750"/>
      <c r="BL3316" s="750"/>
      <c r="BM3316" s="750"/>
      <c r="BN3316" s="750"/>
      <c r="BO3316" s="750"/>
      <c r="BP3316" s="750"/>
      <c r="BQ3316" s="750"/>
    </row>
    <row r="3317" spans="3:69">
      <c r="C3317" s="853"/>
      <c r="D3317" s="853"/>
      <c r="E3317" s="853"/>
      <c r="F3317" s="853"/>
      <c r="G3317" s="853"/>
      <c r="H3317" s="853"/>
      <c r="I3317" s="848"/>
      <c r="J3317" s="848"/>
      <c r="K3317" s="1295"/>
      <c r="L3317" s="1295"/>
      <c r="M3317" s="1295"/>
      <c r="N3317" s="1295"/>
      <c r="O3317" s="1295"/>
      <c r="P3317" s="853"/>
      <c r="Q3317" s="1295"/>
      <c r="R3317" s="848"/>
      <c r="S3317" s="848"/>
      <c r="T3317" s="848"/>
      <c r="U3317" s="848"/>
      <c r="V3317" s="1296"/>
      <c r="W3317" s="848"/>
      <c r="X3317" s="848"/>
      <c r="Y3317" s="1295"/>
      <c r="Z3317" s="1296"/>
      <c r="AA3317" s="1295"/>
      <c r="AB3317" s="1296"/>
      <c r="AC3317" s="1295"/>
      <c r="AD3317" s="1295"/>
      <c r="AE3317" s="2556"/>
      <c r="AF3317" s="750"/>
      <c r="AG3317" s="750"/>
      <c r="AH3317" s="750"/>
      <c r="AI3317" s="750"/>
      <c r="AJ3317" s="750"/>
      <c r="AK3317" s="750"/>
      <c r="AL3317" s="750"/>
      <c r="AM3317" s="750"/>
      <c r="AN3317" s="750"/>
      <c r="AO3317" s="750"/>
      <c r="AP3317" s="750"/>
      <c r="AQ3317" s="750"/>
      <c r="AR3317" s="750"/>
      <c r="AS3317" s="750"/>
      <c r="AT3317" s="750"/>
      <c r="AU3317" s="750"/>
      <c r="AV3317" s="750"/>
      <c r="AW3317" s="750"/>
      <c r="AX3317" s="750"/>
      <c r="AY3317" s="750"/>
      <c r="AZ3317" s="750"/>
      <c r="BA3317" s="750"/>
      <c r="BB3317" s="750"/>
      <c r="BC3317" s="750"/>
      <c r="BD3317" s="750"/>
      <c r="BE3317" s="750"/>
      <c r="BF3317" s="750"/>
      <c r="BG3317" s="750"/>
      <c r="BH3317" s="750"/>
      <c r="BI3317" s="750"/>
      <c r="BJ3317" s="750"/>
      <c r="BK3317" s="750"/>
      <c r="BL3317" s="750"/>
      <c r="BM3317" s="750"/>
      <c r="BN3317" s="750"/>
      <c r="BO3317" s="750"/>
      <c r="BP3317" s="750"/>
      <c r="BQ3317" s="750"/>
    </row>
    <row r="3318" spans="3:69">
      <c r="C3318" s="853"/>
      <c r="D3318" s="853"/>
      <c r="E3318" s="853"/>
      <c r="F3318" s="853"/>
      <c r="G3318" s="853"/>
      <c r="H3318" s="853"/>
      <c r="I3318" s="848"/>
      <c r="J3318" s="848"/>
      <c r="K3318" s="1295"/>
      <c r="L3318" s="1295"/>
      <c r="M3318" s="1295"/>
      <c r="N3318" s="1295"/>
      <c r="O3318" s="1295"/>
      <c r="P3318" s="853"/>
      <c r="Q3318" s="1295"/>
      <c r="R3318" s="848"/>
      <c r="S3318" s="848"/>
      <c r="T3318" s="848"/>
      <c r="U3318" s="848"/>
      <c r="V3318" s="1296"/>
      <c r="W3318" s="848"/>
      <c r="X3318" s="848"/>
      <c r="Y3318" s="1295"/>
      <c r="Z3318" s="1296"/>
      <c r="AA3318" s="1295"/>
      <c r="AB3318" s="1296"/>
      <c r="AC3318" s="1295"/>
      <c r="AD3318" s="1295"/>
      <c r="AE3318" s="2556"/>
      <c r="AF3318" s="750"/>
      <c r="AG3318" s="750"/>
      <c r="AH3318" s="750"/>
      <c r="AI3318" s="750"/>
      <c r="AJ3318" s="750"/>
      <c r="AK3318" s="750"/>
      <c r="AL3318" s="750"/>
      <c r="AM3318" s="750"/>
      <c r="AN3318" s="750"/>
      <c r="AO3318" s="750"/>
      <c r="AP3318" s="750"/>
      <c r="AQ3318" s="750"/>
      <c r="AR3318" s="750"/>
      <c r="AS3318" s="750"/>
      <c r="AT3318" s="750"/>
      <c r="AU3318" s="750"/>
      <c r="AV3318" s="750"/>
      <c r="AW3318" s="750"/>
      <c r="AX3318" s="750"/>
      <c r="AY3318" s="750"/>
      <c r="AZ3318" s="750"/>
      <c r="BA3318" s="750"/>
      <c r="BB3318" s="750"/>
      <c r="BC3318" s="750"/>
      <c r="BD3318" s="750"/>
      <c r="BE3318" s="750"/>
      <c r="BF3318" s="750"/>
      <c r="BG3318" s="750"/>
      <c r="BH3318" s="750"/>
      <c r="BI3318" s="750"/>
      <c r="BJ3318" s="750"/>
      <c r="BK3318" s="750"/>
      <c r="BL3318" s="750"/>
      <c r="BM3318" s="750"/>
      <c r="BN3318" s="750"/>
      <c r="BO3318" s="750"/>
      <c r="BP3318" s="750"/>
      <c r="BQ3318" s="750"/>
    </row>
    <row r="3319" spans="3:69">
      <c r="C3319" s="853"/>
      <c r="D3319" s="853"/>
      <c r="E3319" s="853"/>
      <c r="F3319" s="853"/>
      <c r="G3319" s="853"/>
      <c r="H3319" s="853"/>
      <c r="I3319" s="848"/>
      <c r="J3319" s="848"/>
      <c r="K3319" s="1295"/>
      <c r="L3319" s="1295"/>
      <c r="M3319" s="1295"/>
      <c r="N3319" s="1295"/>
      <c r="O3319" s="1295"/>
      <c r="P3319" s="853"/>
      <c r="Q3319" s="1295"/>
      <c r="R3319" s="848"/>
      <c r="S3319" s="848"/>
      <c r="T3319" s="848"/>
      <c r="U3319" s="848"/>
      <c r="V3319" s="1296"/>
      <c r="W3319" s="848"/>
      <c r="X3319" s="848"/>
      <c r="Y3319" s="1295"/>
      <c r="Z3319" s="1296"/>
      <c r="AA3319" s="1295"/>
      <c r="AB3319" s="1296"/>
      <c r="AC3319" s="1295"/>
      <c r="AD3319" s="1295"/>
      <c r="AE3319" s="2556"/>
      <c r="AF3319" s="750"/>
      <c r="AG3319" s="750"/>
      <c r="AH3319" s="750"/>
      <c r="AI3319" s="750"/>
      <c r="AJ3319" s="750"/>
      <c r="AK3319" s="750"/>
      <c r="AL3319" s="750"/>
      <c r="AM3319" s="750"/>
      <c r="AN3319" s="750"/>
      <c r="AO3319" s="750"/>
      <c r="AP3319" s="750"/>
      <c r="AQ3319" s="750"/>
      <c r="AR3319" s="750"/>
      <c r="AS3319" s="750"/>
      <c r="AT3319" s="750"/>
      <c r="AU3319" s="750"/>
      <c r="AV3319" s="750"/>
      <c r="AW3319" s="750"/>
      <c r="AX3319" s="750"/>
      <c r="AY3319" s="750"/>
      <c r="AZ3319" s="750"/>
      <c r="BA3319" s="750"/>
      <c r="BB3319" s="750"/>
      <c r="BC3319" s="750"/>
      <c r="BD3319" s="750"/>
      <c r="BE3319" s="750"/>
      <c r="BF3319" s="750"/>
      <c r="BG3319" s="750"/>
      <c r="BH3319" s="750"/>
      <c r="BI3319" s="750"/>
      <c r="BJ3319" s="750"/>
      <c r="BK3319" s="750"/>
      <c r="BL3319" s="750"/>
      <c r="BM3319" s="750"/>
      <c r="BN3319" s="750"/>
      <c r="BO3319" s="750"/>
      <c r="BP3319" s="750"/>
      <c r="BQ3319" s="750"/>
    </row>
    <row r="3320" spans="3:69">
      <c r="C3320" s="853"/>
      <c r="D3320" s="853"/>
      <c r="E3320" s="853"/>
      <c r="F3320" s="853"/>
      <c r="G3320" s="853"/>
      <c r="H3320" s="853"/>
      <c r="I3320" s="848"/>
      <c r="J3320" s="848"/>
      <c r="K3320" s="1295"/>
      <c r="L3320" s="1295"/>
      <c r="M3320" s="1295"/>
      <c r="N3320" s="1295"/>
      <c r="O3320" s="1295"/>
      <c r="P3320" s="853"/>
      <c r="Q3320" s="1295"/>
      <c r="R3320" s="848"/>
      <c r="S3320" s="848"/>
      <c r="T3320" s="848"/>
      <c r="U3320" s="848"/>
      <c r="V3320" s="1296"/>
      <c r="W3320" s="848"/>
      <c r="X3320" s="848"/>
      <c r="Y3320" s="1295"/>
      <c r="Z3320" s="1296"/>
      <c r="AA3320" s="1295"/>
      <c r="AB3320" s="1296"/>
      <c r="AC3320" s="1295"/>
      <c r="AD3320" s="1295"/>
      <c r="AE3320" s="2556"/>
      <c r="AF3320" s="750"/>
      <c r="AG3320" s="750"/>
      <c r="AH3320" s="750"/>
      <c r="AI3320" s="750"/>
      <c r="AJ3320" s="750"/>
      <c r="AK3320" s="750"/>
      <c r="AL3320" s="750"/>
      <c r="AM3320" s="750"/>
      <c r="AN3320" s="750"/>
      <c r="AO3320" s="750"/>
      <c r="AP3320" s="750"/>
      <c r="AQ3320" s="750"/>
      <c r="AR3320" s="750"/>
      <c r="AS3320" s="750"/>
      <c r="AT3320" s="750"/>
      <c r="AU3320" s="750"/>
      <c r="AV3320" s="750"/>
      <c r="AW3320" s="750"/>
      <c r="AX3320" s="750"/>
      <c r="AY3320" s="750"/>
      <c r="AZ3320" s="750"/>
      <c r="BA3320" s="750"/>
      <c r="BB3320" s="750"/>
      <c r="BC3320" s="750"/>
      <c r="BD3320" s="750"/>
      <c r="BE3320" s="750"/>
      <c r="BF3320" s="750"/>
      <c r="BG3320" s="750"/>
      <c r="BH3320" s="750"/>
      <c r="BI3320" s="750"/>
      <c r="BJ3320" s="750"/>
      <c r="BK3320" s="750"/>
      <c r="BL3320" s="750"/>
      <c r="BM3320" s="750"/>
      <c r="BN3320" s="750"/>
      <c r="BO3320" s="750"/>
      <c r="BP3320" s="750"/>
      <c r="BQ3320" s="750"/>
    </row>
    <row r="3321" spans="3:69">
      <c r="C3321" s="853"/>
      <c r="D3321" s="853"/>
      <c r="E3321" s="853"/>
      <c r="F3321" s="853"/>
      <c r="G3321" s="853"/>
      <c r="H3321" s="853"/>
      <c r="I3321" s="848"/>
      <c r="J3321" s="848"/>
      <c r="K3321" s="1295"/>
      <c r="L3321" s="1295"/>
      <c r="M3321" s="1295"/>
      <c r="N3321" s="1295"/>
      <c r="O3321" s="1295"/>
      <c r="P3321" s="853"/>
      <c r="Q3321" s="1295"/>
      <c r="R3321" s="848"/>
      <c r="S3321" s="848"/>
      <c r="T3321" s="848"/>
      <c r="U3321" s="848"/>
      <c r="V3321" s="1296"/>
      <c r="W3321" s="848"/>
      <c r="X3321" s="848"/>
      <c r="Y3321" s="1295"/>
      <c r="Z3321" s="1296"/>
      <c r="AA3321" s="1295"/>
      <c r="AB3321" s="1296"/>
      <c r="AC3321" s="1295"/>
      <c r="AD3321" s="1295"/>
      <c r="AE3321" s="2556"/>
      <c r="AF3321" s="750"/>
      <c r="AG3321" s="750"/>
      <c r="AH3321" s="750"/>
      <c r="AI3321" s="750"/>
      <c r="AJ3321" s="750"/>
      <c r="AK3321" s="750"/>
      <c r="AL3321" s="750"/>
      <c r="AM3321" s="750"/>
      <c r="AN3321" s="750"/>
      <c r="AO3321" s="750"/>
      <c r="AP3321" s="750"/>
      <c r="AQ3321" s="750"/>
      <c r="AR3321" s="750"/>
      <c r="AS3321" s="750"/>
      <c r="AT3321" s="750"/>
      <c r="AU3321" s="750"/>
      <c r="AV3321" s="750"/>
      <c r="AW3321" s="750"/>
      <c r="AX3321" s="750"/>
      <c r="AY3321" s="750"/>
      <c r="AZ3321" s="750"/>
      <c r="BA3321" s="750"/>
      <c r="BB3321" s="750"/>
      <c r="BC3321" s="750"/>
      <c r="BD3321" s="750"/>
      <c r="BE3321" s="750"/>
      <c r="BF3321" s="750"/>
      <c r="BG3321" s="750"/>
      <c r="BH3321" s="750"/>
      <c r="BI3321" s="750"/>
      <c r="BJ3321" s="750"/>
      <c r="BK3321" s="750"/>
      <c r="BL3321" s="750"/>
      <c r="BM3321" s="750"/>
      <c r="BN3321" s="750"/>
      <c r="BO3321" s="750"/>
      <c r="BP3321" s="750"/>
      <c r="BQ3321" s="750"/>
    </row>
    <row r="3322" spans="3:69">
      <c r="C3322" s="853"/>
      <c r="D3322" s="853"/>
      <c r="E3322" s="853"/>
      <c r="F3322" s="853"/>
      <c r="G3322" s="853"/>
      <c r="H3322" s="853"/>
      <c r="I3322" s="848"/>
      <c r="J3322" s="848"/>
      <c r="K3322" s="1295"/>
      <c r="L3322" s="1295"/>
      <c r="M3322" s="1295"/>
      <c r="N3322" s="1295"/>
      <c r="O3322" s="1295"/>
      <c r="P3322" s="853"/>
      <c r="Q3322" s="1295"/>
      <c r="R3322" s="848"/>
      <c r="S3322" s="848"/>
      <c r="T3322" s="848"/>
      <c r="U3322" s="848"/>
      <c r="V3322" s="1296"/>
      <c r="W3322" s="848"/>
      <c r="X3322" s="848"/>
      <c r="Y3322" s="1295"/>
      <c r="Z3322" s="1296"/>
      <c r="AA3322" s="1295"/>
      <c r="AB3322" s="1296"/>
      <c r="AC3322" s="1295"/>
      <c r="AD3322" s="1295"/>
      <c r="AE3322" s="2556"/>
      <c r="AF3322" s="750"/>
      <c r="AG3322" s="750"/>
      <c r="AH3322" s="750"/>
      <c r="AI3322" s="750"/>
      <c r="AJ3322" s="750"/>
      <c r="AK3322" s="750"/>
      <c r="AL3322" s="750"/>
      <c r="AM3322" s="750"/>
      <c r="AN3322" s="750"/>
      <c r="AO3322" s="750"/>
      <c r="AP3322" s="750"/>
      <c r="AQ3322" s="750"/>
      <c r="AR3322" s="750"/>
      <c r="AS3322" s="750"/>
      <c r="AT3322" s="750"/>
      <c r="AU3322" s="750"/>
      <c r="AV3322" s="750"/>
      <c r="AW3322" s="750"/>
      <c r="AX3322" s="750"/>
      <c r="AY3322" s="750"/>
      <c r="AZ3322" s="750"/>
      <c r="BA3322" s="750"/>
      <c r="BB3322" s="750"/>
      <c r="BC3322" s="750"/>
      <c r="BD3322" s="750"/>
      <c r="BE3322" s="750"/>
      <c r="BF3322" s="750"/>
      <c r="BG3322" s="750"/>
      <c r="BH3322" s="750"/>
      <c r="BI3322" s="750"/>
      <c r="BJ3322" s="750"/>
      <c r="BK3322" s="750"/>
      <c r="BL3322" s="750"/>
      <c r="BM3322" s="750"/>
      <c r="BN3322" s="750"/>
      <c r="BO3322" s="750"/>
      <c r="BP3322" s="750"/>
      <c r="BQ3322" s="750"/>
    </row>
    <row r="3323" spans="3:69">
      <c r="C3323" s="853"/>
      <c r="D3323" s="853"/>
      <c r="E3323" s="853"/>
      <c r="F3323" s="853"/>
      <c r="G3323" s="853"/>
      <c r="H3323" s="853"/>
      <c r="I3323" s="848"/>
      <c r="J3323" s="848"/>
      <c r="K3323" s="1295"/>
      <c r="L3323" s="1295"/>
      <c r="M3323" s="1295"/>
      <c r="N3323" s="1295"/>
      <c r="O3323" s="1295"/>
      <c r="P3323" s="853"/>
      <c r="Q3323" s="1295"/>
      <c r="R3323" s="848"/>
      <c r="S3323" s="848"/>
      <c r="T3323" s="848"/>
      <c r="U3323" s="848"/>
      <c r="V3323" s="1296"/>
      <c r="W3323" s="848"/>
      <c r="X3323" s="848"/>
      <c r="Y3323" s="1295"/>
      <c r="Z3323" s="1296"/>
      <c r="AA3323" s="1295"/>
      <c r="AB3323" s="1296"/>
      <c r="AC3323" s="1295"/>
      <c r="AD3323" s="1295"/>
      <c r="AE3323" s="2556"/>
      <c r="AF3323" s="750"/>
      <c r="AG3323" s="750"/>
      <c r="AH3323" s="750"/>
      <c r="AI3323" s="750"/>
      <c r="AJ3323" s="750"/>
      <c r="AK3323" s="750"/>
      <c r="AL3323" s="750"/>
      <c r="AM3323" s="750"/>
      <c r="AN3323" s="750"/>
      <c r="AO3323" s="750"/>
      <c r="AP3323" s="750"/>
      <c r="AQ3323" s="750"/>
      <c r="AR3323" s="750"/>
      <c r="AS3323" s="750"/>
      <c r="AT3323" s="750"/>
      <c r="AU3323" s="750"/>
      <c r="AV3323" s="750"/>
      <c r="AW3323" s="750"/>
      <c r="AX3323" s="750"/>
      <c r="AY3323" s="750"/>
      <c r="AZ3323" s="750"/>
      <c r="BA3323" s="750"/>
      <c r="BB3323" s="750"/>
      <c r="BC3323" s="750"/>
      <c r="BD3323" s="750"/>
      <c r="BE3323" s="750"/>
      <c r="BF3323" s="750"/>
      <c r="BG3323" s="750"/>
      <c r="BH3323" s="750"/>
      <c r="BI3323" s="750"/>
      <c r="BJ3323" s="750"/>
      <c r="BK3323" s="750"/>
      <c r="BL3323" s="750"/>
      <c r="BM3323" s="750"/>
      <c r="BN3323" s="750"/>
      <c r="BO3323" s="750"/>
      <c r="BP3323" s="750"/>
      <c r="BQ3323" s="750"/>
    </row>
    <row r="3324" spans="3:69">
      <c r="C3324" s="853"/>
      <c r="D3324" s="853"/>
      <c r="E3324" s="853"/>
      <c r="F3324" s="853"/>
      <c r="G3324" s="853"/>
      <c r="H3324" s="853"/>
      <c r="I3324" s="848"/>
      <c r="J3324" s="848"/>
      <c r="K3324" s="1295"/>
      <c r="L3324" s="1295"/>
      <c r="M3324" s="1295"/>
      <c r="N3324" s="1295"/>
      <c r="O3324" s="1295"/>
      <c r="P3324" s="853"/>
      <c r="Q3324" s="1295"/>
      <c r="R3324" s="848"/>
      <c r="S3324" s="848"/>
      <c r="T3324" s="848"/>
      <c r="U3324" s="848"/>
      <c r="V3324" s="1296"/>
      <c r="W3324" s="848"/>
      <c r="X3324" s="848"/>
      <c r="Y3324" s="1295"/>
      <c r="Z3324" s="1296"/>
      <c r="AA3324" s="1295"/>
      <c r="AB3324" s="1296"/>
      <c r="AC3324" s="1295"/>
      <c r="AD3324" s="1295"/>
      <c r="AE3324" s="2556"/>
      <c r="AF3324" s="750"/>
      <c r="AG3324" s="750"/>
      <c r="AH3324" s="750"/>
      <c r="AI3324" s="750"/>
      <c r="AJ3324" s="750"/>
      <c r="AK3324" s="750"/>
      <c r="AL3324" s="750"/>
      <c r="AM3324" s="750"/>
      <c r="AN3324" s="750"/>
      <c r="AO3324" s="750"/>
      <c r="AP3324" s="750"/>
      <c r="AQ3324" s="750"/>
      <c r="AR3324" s="750"/>
      <c r="AS3324" s="750"/>
      <c r="AT3324" s="750"/>
      <c r="AU3324" s="750"/>
      <c r="AV3324" s="750"/>
      <c r="AW3324" s="750"/>
      <c r="AX3324" s="750"/>
      <c r="AY3324" s="750"/>
      <c r="AZ3324" s="750"/>
      <c r="BA3324" s="750"/>
      <c r="BB3324" s="750"/>
      <c r="BC3324" s="750"/>
      <c r="BD3324" s="750"/>
      <c r="BE3324" s="750"/>
      <c r="BF3324" s="750"/>
      <c r="BG3324" s="750"/>
      <c r="BH3324" s="750"/>
      <c r="BI3324" s="750"/>
      <c r="BJ3324" s="750"/>
      <c r="BK3324" s="750"/>
      <c r="BL3324" s="750"/>
      <c r="BM3324" s="750"/>
      <c r="BN3324" s="750"/>
      <c r="BO3324" s="750"/>
      <c r="BP3324" s="750"/>
      <c r="BQ3324" s="750"/>
    </row>
    <row r="3325" spans="3:69">
      <c r="C3325" s="853"/>
      <c r="D3325" s="853"/>
      <c r="E3325" s="853"/>
      <c r="F3325" s="853"/>
      <c r="G3325" s="853"/>
      <c r="H3325" s="853"/>
      <c r="I3325" s="848"/>
      <c r="J3325" s="848"/>
      <c r="K3325" s="1295"/>
      <c r="L3325" s="1295"/>
      <c r="M3325" s="1295"/>
      <c r="N3325" s="1295"/>
      <c r="O3325" s="1295"/>
      <c r="P3325" s="853"/>
      <c r="Q3325" s="1295"/>
      <c r="R3325" s="848"/>
      <c r="S3325" s="848"/>
      <c r="T3325" s="848"/>
      <c r="U3325" s="848"/>
      <c r="V3325" s="1296"/>
      <c r="W3325" s="848"/>
      <c r="X3325" s="848"/>
      <c r="Y3325" s="1295"/>
      <c r="Z3325" s="1296"/>
      <c r="AA3325" s="1295"/>
      <c r="AB3325" s="1296"/>
      <c r="AC3325" s="1295"/>
      <c r="AD3325" s="1295"/>
      <c r="AE3325" s="2556"/>
      <c r="AF3325" s="750"/>
      <c r="AG3325" s="750"/>
      <c r="AH3325" s="750"/>
      <c r="AI3325" s="750"/>
      <c r="AJ3325" s="750"/>
      <c r="AK3325" s="750"/>
      <c r="AL3325" s="750"/>
      <c r="AM3325" s="750"/>
      <c r="AN3325" s="750"/>
      <c r="AO3325" s="750"/>
      <c r="AP3325" s="750"/>
      <c r="AQ3325" s="750"/>
      <c r="AR3325" s="750"/>
      <c r="AS3325" s="750"/>
      <c r="AT3325" s="750"/>
      <c r="AU3325" s="750"/>
      <c r="AV3325" s="750"/>
      <c r="AW3325" s="750"/>
      <c r="AX3325" s="750"/>
      <c r="AY3325" s="750"/>
      <c r="AZ3325" s="750"/>
      <c r="BA3325" s="750"/>
      <c r="BB3325" s="750"/>
      <c r="BC3325" s="750"/>
      <c r="BD3325" s="750"/>
      <c r="BE3325" s="750"/>
      <c r="BF3325" s="750"/>
      <c r="BG3325" s="750"/>
      <c r="BH3325" s="750"/>
      <c r="BI3325" s="750"/>
      <c r="BJ3325" s="750"/>
      <c r="BK3325" s="750"/>
      <c r="BL3325" s="750"/>
      <c r="BM3325" s="750"/>
      <c r="BN3325" s="750"/>
      <c r="BO3325" s="750"/>
      <c r="BP3325" s="750"/>
      <c r="BQ3325" s="750"/>
    </row>
    <row r="3326" spans="3:69">
      <c r="C3326" s="853"/>
      <c r="D3326" s="853"/>
      <c r="E3326" s="853"/>
      <c r="F3326" s="853"/>
      <c r="G3326" s="853"/>
      <c r="H3326" s="853"/>
      <c r="I3326" s="848"/>
      <c r="J3326" s="848"/>
      <c r="K3326" s="1295"/>
      <c r="L3326" s="1295"/>
      <c r="M3326" s="1295"/>
      <c r="N3326" s="1295"/>
      <c r="O3326" s="1295"/>
      <c r="P3326" s="853"/>
      <c r="Q3326" s="1295"/>
      <c r="R3326" s="848"/>
      <c r="S3326" s="848"/>
      <c r="T3326" s="848"/>
      <c r="U3326" s="848"/>
      <c r="V3326" s="1296"/>
      <c r="W3326" s="848"/>
      <c r="X3326" s="848"/>
      <c r="Y3326" s="1295"/>
      <c r="Z3326" s="1296"/>
      <c r="AA3326" s="1295"/>
      <c r="AB3326" s="1296"/>
      <c r="AC3326" s="1295"/>
      <c r="AD3326" s="1295"/>
      <c r="AE3326" s="2556"/>
      <c r="AF3326" s="750"/>
      <c r="AG3326" s="750"/>
      <c r="AH3326" s="750"/>
      <c r="AI3326" s="750"/>
      <c r="AJ3326" s="750"/>
      <c r="AK3326" s="750"/>
      <c r="AL3326" s="750"/>
      <c r="AM3326" s="750"/>
      <c r="AN3326" s="750"/>
      <c r="AO3326" s="750"/>
      <c r="AP3326" s="750"/>
      <c r="AQ3326" s="750"/>
      <c r="AR3326" s="750"/>
      <c r="AS3326" s="750"/>
      <c r="AT3326" s="750"/>
      <c r="AU3326" s="750"/>
      <c r="AV3326" s="750"/>
      <c r="AW3326" s="750"/>
      <c r="AX3326" s="750"/>
      <c r="AY3326" s="750"/>
      <c r="AZ3326" s="750"/>
      <c r="BA3326" s="750"/>
      <c r="BB3326" s="750"/>
      <c r="BC3326" s="750"/>
      <c r="BD3326" s="750"/>
      <c r="BE3326" s="750"/>
      <c r="BF3326" s="750"/>
      <c r="BG3326" s="750"/>
      <c r="BH3326" s="750"/>
      <c r="BI3326" s="750"/>
      <c r="BJ3326" s="750"/>
      <c r="BK3326" s="750"/>
      <c r="BL3326" s="750"/>
      <c r="BM3326" s="750"/>
      <c r="BN3326" s="750"/>
      <c r="BO3326" s="750"/>
      <c r="BP3326" s="750"/>
      <c r="BQ3326" s="750"/>
    </row>
    <row r="3327" spans="3:69">
      <c r="C3327" s="853"/>
      <c r="D3327" s="853"/>
      <c r="E3327" s="853"/>
      <c r="F3327" s="853"/>
      <c r="G3327" s="853"/>
      <c r="H3327" s="853"/>
      <c r="I3327" s="848"/>
      <c r="J3327" s="848"/>
      <c r="K3327" s="1295"/>
      <c r="L3327" s="1295"/>
      <c r="M3327" s="1295"/>
      <c r="N3327" s="1295"/>
      <c r="O3327" s="1295"/>
      <c r="P3327" s="853"/>
      <c r="Q3327" s="1295"/>
      <c r="R3327" s="848"/>
      <c r="S3327" s="848"/>
      <c r="T3327" s="848"/>
      <c r="U3327" s="848"/>
      <c r="V3327" s="1296"/>
      <c r="W3327" s="848"/>
      <c r="X3327" s="848"/>
      <c r="Y3327" s="1295"/>
      <c r="Z3327" s="1296"/>
      <c r="AA3327" s="1295"/>
      <c r="AB3327" s="1296"/>
      <c r="AC3327" s="1295"/>
      <c r="AD3327" s="1295"/>
      <c r="AE3327" s="2556"/>
      <c r="AF3327" s="750"/>
      <c r="AG3327" s="750"/>
      <c r="AH3327" s="750"/>
      <c r="AI3327" s="750"/>
      <c r="AJ3327" s="750"/>
      <c r="AK3327" s="750"/>
      <c r="AL3327" s="750"/>
      <c r="AM3327" s="750"/>
      <c r="AN3327" s="750"/>
      <c r="AO3327" s="750"/>
      <c r="AP3327" s="750"/>
      <c r="AQ3327" s="750"/>
      <c r="AR3327" s="750"/>
      <c r="AS3327" s="750"/>
      <c r="AT3327" s="750"/>
      <c r="AU3327" s="750"/>
      <c r="AV3327" s="750"/>
      <c r="AW3327" s="750"/>
      <c r="AX3327" s="750"/>
      <c r="AY3327" s="750"/>
      <c r="AZ3327" s="750"/>
      <c r="BA3327" s="750"/>
      <c r="BB3327" s="750"/>
      <c r="BC3327" s="750"/>
      <c r="BD3327" s="750"/>
      <c r="BE3327" s="750"/>
      <c r="BF3327" s="750"/>
      <c r="BG3327" s="750"/>
      <c r="BH3327" s="750"/>
      <c r="BI3327" s="750"/>
      <c r="BJ3327" s="750"/>
      <c r="BK3327" s="750"/>
      <c r="BL3327" s="750"/>
      <c r="BM3327" s="750"/>
      <c r="BN3327" s="750"/>
      <c r="BO3327" s="750"/>
      <c r="BP3327" s="750"/>
      <c r="BQ3327" s="750"/>
    </row>
    <row r="3328" spans="3:69">
      <c r="C3328" s="853"/>
      <c r="D3328" s="853"/>
      <c r="E3328" s="853"/>
      <c r="F3328" s="853"/>
      <c r="G3328" s="853"/>
      <c r="H3328" s="853"/>
      <c r="I3328" s="848"/>
      <c r="J3328" s="848"/>
      <c r="K3328" s="1295"/>
      <c r="L3328" s="1295"/>
      <c r="M3328" s="1295"/>
      <c r="N3328" s="1295"/>
      <c r="O3328" s="1295"/>
      <c r="P3328" s="853"/>
      <c r="Q3328" s="1295"/>
      <c r="R3328" s="848"/>
      <c r="S3328" s="848"/>
      <c r="T3328" s="848"/>
      <c r="U3328" s="848"/>
      <c r="V3328" s="1296"/>
      <c r="W3328" s="848"/>
      <c r="X3328" s="848"/>
      <c r="Y3328" s="1295"/>
      <c r="Z3328" s="1296"/>
      <c r="AA3328" s="1295"/>
      <c r="AB3328" s="1296"/>
      <c r="AC3328" s="1295"/>
      <c r="AD3328" s="1295"/>
      <c r="AE3328" s="2556"/>
      <c r="AF3328" s="750"/>
      <c r="AG3328" s="750"/>
      <c r="AH3328" s="750"/>
      <c r="AI3328" s="750"/>
      <c r="AJ3328" s="750"/>
      <c r="AK3328" s="750"/>
      <c r="AL3328" s="750"/>
      <c r="AM3328" s="750"/>
      <c r="AN3328" s="750"/>
      <c r="AO3328" s="750"/>
      <c r="AP3328" s="750"/>
      <c r="AQ3328" s="750"/>
      <c r="AR3328" s="750"/>
      <c r="AS3328" s="750"/>
      <c r="AT3328" s="750"/>
      <c r="AU3328" s="750"/>
      <c r="AV3328" s="750"/>
      <c r="AW3328" s="750"/>
      <c r="AX3328" s="750"/>
      <c r="AY3328" s="750"/>
      <c r="AZ3328" s="750"/>
      <c r="BA3328" s="750"/>
      <c r="BB3328" s="750"/>
      <c r="BC3328" s="750"/>
      <c r="BD3328" s="750"/>
      <c r="BE3328" s="750"/>
      <c r="BF3328" s="750"/>
      <c r="BG3328" s="750"/>
      <c r="BH3328" s="750"/>
      <c r="BI3328" s="750"/>
      <c r="BJ3328" s="750"/>
      <c r="BK3328" s="750"/>
      <c r="BL3328" s="750"/>
      <c r="BM3328" s="750"/>
      <c r="BN3328" s="750"/>
      <c r="BO3328" s="750"/>
      <c r="BP3328" s="750"/>
      <c r="BQ3328" s="750"/>
    </row>
    <row r="3329" spans="3:69">
      <c r="C3329" s="853"/>
      <c r="D3329" s="853"/>
      <c r="E3329" s="853"/>
      <c r="F3329" s="853"/>
      <c r="G3329" s="853"/>
      <c r="H3329" s="853"/>
      <c r="I3329" s="848"/>
      <c r="J3329" s="848"/>
      <c r="K3329" s="1295"/>
      <c r="L3329" s="1295"/>
      <c r="M3329" s="1295"/>
      <c r="N3329" s="1295"/>
      <c r="O3329" s="1295"/>
      <c r="P3329" s="853"/>
      <c r="Q3329" s="1295"/>
      <c r="R3329" s="848"/>
      <c r="S3329" s="848"/>
      <c r="T3329" s="848"/>
      <c r="U3329" s="848"/>
      <c r="V3329" s="1296"/>
      <c r="W3329" s="848"/>
      <c r="X3329" s="848"/>
      <c r="Y3329" s="1295"/>
      <c r="Z3329" s="1296"/>
      <c r="AA3329" s="1295"/>
      <c r="AB3329" s="1296"/>
      <c r="AC3329" s="1295"/>
      <c r="AD3329" s="1295"/>
      <c r="AE3329" s="2556"/>
      <c r="AF3329" s="750"/>
      <c r="AG3329" s="750"/>
      <c r="AH3329" s="750"/>
      <c r="AI3329" s="750"/>
      <c r="AJ3329" s="750"/>
      <c r="AK3329" s="750"/>
      <c r="AL3329" s="750"/>
      <c r="AM3329" s="750"/>
      <c r="AN3329" s="750"/>
      <c r="AO3329" s="750"/>
      <c r="AP3329" s="750"/>
      <c r="AQ3329" s="750"/>
      <c r="AR3329" s="750"/>
      <c r="AS3329" s="750"/>
      <c r="AT3329" s="750"/>
      <c r="AU3329" s="750"/>
      <c r="AV3329" s="750"/>
      <c r="AW3329" s="750"/>
      <c r="AX3329" s="750"/>
      <c r="AY3329" s="750"/>
      <c r="AZ3329" s="750"/>
      <c r="BA3329" s="750"/>
      <c r="BB3329" s="750"/>
      <c r="BC3329" s="750"/>
      <c r="BD3329" s="750"/>
      <c r="BE3329" s="750"/>
      <c r="BF3329" s="750"/>
      <c r="BG3329" s="750"/>
      <c r="BH3329" s="750"/>
      <c r="BI3329" s="750"/>
      <c r="BJ3329" s="750"/>
      <c r="BK3329" s="750"/>
      <c r="BL3329" s="750"/>
      <c r="BM3329" s="750"/>
      <c r="BN3329" s="750"/>
      <c r="BO3329" s="750"/>
      <c r="BP3329" s="750"/>
      <c r="BQ3329" s="750"/>
    </row>
    <row r="3330" spans="3:69">
      <c r="C3330" s="853"/>
      <c r="D3330" s="853"/>
      <c r="E3330" s="853"/>
      <c r="F3330" s="853"/>
      <c r="G3330" s="853"/>
      <c r="H3330" s="853"/>
      <c r="I3330" s="848"/>
      <c r="J3330" s="848"/>
      <c r="K3330" s="1295"/>
      <c r="L3330" s="1295"/>
      <c r="M3330" s="1295"/>
      <c r="N3330" s="1295"/>
      <c r="O3330" s="1295"/>
      <c r="P3330" s="853"/>
      <c r="Q3330" s="1295"/>
      <c r="R3330" s="848"/>
      <c r="S3330" s="848"/>
      <c r="T3330" s="848"/>
      <c r="U3330" s="848"/>
      <c r="V3330" s="1296"/>
      <c r="W3330" s="848"/>
      <c r="X3330" s="848"/>
      <c r="Y3330" s="1295"/>
      <c r="Z3330" s="1296"/>
      <c r="AA3330" s="1295"/>
      <c r="AB3330" s="1296"/>
      <c r="AC3330" s="1295"/>
      <c r="AD3330" s="1295"/>
      <c r="AE3330" s="2556"/>
      <c r="AF3330" s="750"/>
      <c r="AG3330" s="750"/>
      <c r="AH3330" s="750"/>
      <c r="AI3330" s="750"/>
      <c r="AJ3330" s="750"/>
      <c r="AK3330" s="750"/>
      <c r="AL3330" s="750"/>
      <c r="AM3330" s="750"/>
      <c r="AN3330" s="750"/>
      <c r="AO3330" s="750"/>
      <c r="AP3330" s="750"/>
      <c r="AQ3330" s="750"/>
      <c r="AR3330" s="750"/>
      <c r="AS3330" s="750"/>
      <c r="AT3330" s="750"/>
      <c r="AU3330" s="750"/>
      <c r="AV3330" s="750"/>
      <c r="AW3330" s="750"/>
      <c r="AX3330" s="750"/>
      <c r="AY3330" s="750"/>
      <c r="AZ3330" s="750"/>
      <c r="BA3330" s="750"/>
      <c r="BB3330" s="750"/>
      <c r="BC3330" s="750"/>
      <c r="BD3330" s="750"/>
      <c r="BE3330" s="750"/>
      <c r="BF3330" s="750"/>
      <c r="BG3330" s="750"/>
      <c r="BH3330" s="750"/>
      <c r="BI3330" s="750"/>
      <c r="BJ3330" s="750"/>
      <c r="BK3330" s="750"/>
      <c r="BL3330" s="750"/>
      <c r="BM3330" s="750"/>
      <c r="BN3330" s="750"/>
      <c r="BO3330" s="750"/>
      <c r="BP3330" s="750"/>
      <c r="BQ3330" s="750"/>
    </row>
    <row r="3331" spans="3:69">
      <c r="C3331" s="853"/>
      <c r="D3331" s="853"/>
      <c r="E3331" s="853"/>
      <c r="F3331" s="853"/>
      <c r="G3331" s="853"/>
      <c r="H3331" s="853"/>
      <c r="I3331" s="848"/>
      <c r="J3331" s="848"/>
      <c r="K3331" s="1295"/>
      <c r="L3331" s="1295"/>
      <c r="M3331" s="1295"/>
      <c r="N3331" s="1295"/>
      <c r="O3331" s="1295"/>
      <c r="P3331" s="853"/>
      <c r="Q3331" s="1295"/>
      <c r="R3331" s="848"/>
      <c r="S3331" s="848"/>
      <c r="T3331" s="848"/>
      <c r="U3331" s="848"/>
      <c r="V3331" s="1296"/>
      <c r="W3331" s="848"/>
      <c r="X3331" s="848"/>
      <c r="Y3331" s="1295"/>
      <c r="Z3331" s="1296"/>
      <c r="AA3331" s="1295"/>
      <c r="AB3331" s="1296"/>
      <c r="AC3331" s="1295"/>
      <c r="AD3331" s="1295"/>
      <c r="AE3331" s="2556"/>
      <c r="AF3331" s="750"/>
      <c r="AG3331" s="750"/>
      <c r="AH3331" s="750"/>
      <c r="AI3331" s="750"/>
      <c r="AJ3331" s="750"/>
      <c r="AK3331" s="750"/>
      <c r="AL3331" s="750"/>
      <c r="AM3331" s="750"/>
      <c r="AN3331" s="750"/>
      <c r="AO3331" s="750"/>
      <c r="AP3331" s="750"/>
      <c r="AQ3331" s="750"/>
      <c r="AR3331" s="750"/>
      <c r="AS3331" s="750"/>
      <c r="AT3331" s="750"/>
      <c r="AU3331" s="750"/>
      <c r="AV3331" s="750"/>
      <c r="AW3331" s="750"/>
      <c r="AX3331" s="750"/>
      <c r="AY3331" s="750"/>
      <c r="AZ3331" s="750"/>
      <c r="BA3331" s="750"/>
      <c r="BB3331" s="750"/>
      <c r="BC3331" s="750"/>
      <c r="BD3331" s="750"/>
      <c r="BE3331" s="750"/>
      <c r="BF3331" s="750"/>
      <c r="BG3331" s="750"/>
      <c r="BH3331" s="750"/>
      <c r="BI3331" s="750"/>
      <c r="BJ3331" s="750"/>
      <c r="BK3331" s="750"/>
      <c r="BL3331" s="750"/>
      <c r="BM3331" s="750"/>
      <c r="BN3331" s="750"/>
      <c r="BO3331" s="750"/>
      <c r="BP3331" s="750"/>
      <c r="BQ3331" s="750"/>
    </row>
    <row r="3332" spans="3:69">
      <c r="C3332" s="853"/>
      <c r="D3332" s="853"/>
      <c r="E3332" s="853"/>
      <c r="F3332" s="853"/>
      <c r="G3332" s="853"/>
      <c r="H3332" s="853"/>
      <c r="I3332" s="848"/>
      <c r="J3332" s="848"/>
      <c r="K3332" s="1295"/>
      <c r="L3332" s="1295"/>
      <c r="M3332" s="1295"/>
      <c r="N3332" s="1295"/>
      <c r="O3332" s="1295"/>
      <c r="P3332" s="853"/>
      <c r="Q3332" s="1295"/>
      <c r="R3332" s="848"/>
      <c r="S3332" s="848"/>
      <c r="T3332" s="848"/>
      <c r="U3332" s="848"/>
      <c r="V3332" s="1296"/>
      <c r="W3332" s="848"/>
      <c r="X3332" s="848"/>
      <c r="Y3332" s="1295"/>
      <c r="Z3332" s="1296"/>
      <c r="AA3332" s="1295"/>
      <c r="AB3332" s="1296"/>
      <c r="AC3332" s="1295"/>
      <c r="AD3332" s="1295"/>
      <c r="AE3332" s="2556"/>
      <c r="AF3332" s="750"/>
      <c r="AG3332" s="750"/>
      <c r="AH3332" s="750"/>
      <c r="AI3332" s="750"/>
      <c r="AJ3332" s="750"/>
      <c r="AK3332" s="750"/>
      <c r="AL3332" s="750"/>
      <c r="AM3332" s="750"/>
      <c r="AN3332" s="750"/>
      <c r="AO3332" s="750"/>
      <c r="AP3332" s="750"/>
      <c r="AQ3332" s="750"/>
      <c r="AR3332" s="750"/>
      <c r="AS3332" s="750"/>
      <c r="AT3332" s="750"/>
      <c r="AU3332" s="750"/>
      <c r="AV3332" s="750"/>
      <c r="AW3332" s="750"/>
      <c r="AX3332" s="750"/>
      <c r="AY3332" s="750"/>
      <c r="AZ3332" s="750"/>
      <c r="BA3332" s="750"/>
      <c r="BB3332" s="750"/>
      <c r="BC3332" s="750"/>
      <c r="BD3332" s="750"/>
      <c r="BE3332" s="750"/>
      <c r="BF3332" s="750"/>
      <c r="BG3332" s="750"/>
      <c r="BH3332" s="750"/>
      <c r="BI3332" s="750"/>
      <c r="BJ3332" s="750"/>
      <c r="BK3332" s="750"/>
      <c r="BL3332" s="750"/>
      <c r="BM3332" s="750"/>
      <c r="BN3332" s="750"/>
      <c r="BO3332" s="750"/>
      <c r="BP3332" s="750"/>
      <c r="BQ3332" s="750"/>
    </row>
    <row r="3333" spans="3:69">
      <c r="C3333" s="853"/>
      <c r="D3333" s="853"/>
      <c r="E3333" s="853"/>
      <c r="F3333" s="853"/>
      <c r="G3333" s="853"/>
      <c r="H3333" s="853"/>
      <c r="I3333" s="848"/>
      <c r="J3333" s="848"/>
      <c r="K3333" s="1295"/>
      <c r="L3333" s="1295"/>
      <c r="M3333" s="1295"/>
      <c r="N3333" s="1295"/>
      <c r="O3333" s="1295"/>
      <c r="P3333" s="853"/>
      <c r="Q3333" s="1295"/>
      <c r="R3333" s="848"/>
      <c r="S3333" s="848"/>
      <c r="T3333" s="848"/>
      <c r="U3333" s="848"/>
      <c r="V3333" s="1296"/>
      <c r="W3333" s="848"/>
      <c r="X3333" s="848"/>
      <c r="Y3333" s="1295"/>
      <c r="Z3333" s="1296"/>
      <c r="AA3333" s="1295"/>
      <c r="AB3333" s="1296"/>
      <c r="AC3333" s="1295"/>
      <c r="AD3333" s="1295"/>
      <c r="AE3333" s="2556"/>
      <c r="AF3333" s="750"/>
      <c r="AG3333" s="750"/>
      <c r="AH3333" s="750"/>
      <c r="AI3333" s="750"/>
      <c r="AJ3333" s="750"/>
      <c r="AK3333" s="750"/>
      <c r="AL3333" s="750"/>
      <c r="AM3333" s="750"/>
      <c r="AN3333" s="750"/>
      <c r="AO3333" s="750"/>
      <c r="AP3333" s="750"/>
      <c r="AQ3333" s="750"/>
      <c r="AR3333" s="750"/>
      <c r="AS3333" s="750"/>
      <c r="AT3333" s="750"/>
      <c r="AU3333" s="750"/>
      <c r="AV3333" s="750"/>
      <c r="AW3333" s="750"/>
      <c r="AX3333" s="750"/>
      <c r="AY3333" s="750"/>
      <c r="AZ3333" s="750"/>
      <c r="BA3333" s="750"/>
      <c r="BB3333" s="750"/>
      <c r="BC3333" s="750"/>
      <c r="BD3333" s="750"/>
      <c r="BE3333" s="750"/>
      <c r="BF3333" s="750"/>
      <c r="BG3333" s="750"/>
      <c r="BH3333" s="750"/>
      <c r="BI3333" s="750"/>
      <c r="BJ3333" s="750"/>
      <c r="BK3333" s="750"/>
      <c r="BL3333" s="750"/>
      <c r="BM3333" s="750"/>
      <c r="BN3333" s="750"/>
      <c r="BO3333" s="750"/>
      <c r="BP3333" s="750"/>
      <c r="BQ3333" s="750"/>
    </row>
    <row r="3334" spans="3:69">
      <c r="C3334" s="853"/>
      <c r="D3334" s="853"/>
      <c r="E3334" s="853"/>
      <c r="F3334" s="853"/>
      <c r="G3334" s="853"/>
      <c r="H3334" s="853"/>
      <c r="I3334" s="848"/>
      <c r="J3334" s="848"/>
      <c r="K3334" s="1295"/>
      <c r="L3334" s="1295"/>
      <c r="M3334" s="1295"/>
      <c r="N3334" s="1295"/>
      <c r="O3334" s="1295"/>
      <c r="P3334" s="853"/>
      <c r="Q3334" s="1295"/>
      <c r="R3334" s="848"/>
      <c r="S3334" s="848"/>
      <c r="T3334" s="848"/>
      <c r="U3334" s="848"/>
      <c r="V3334" s="1296"/>
      <c r="W3334" s="848"/>
      <c r="X3334" s="848"/>
      <c r="Y3334" s="1295"/>
      <c r="Z3334" s="1296"/>
      <c r="AA3334" s="1295"/>
      <c r="AB3334" s="1296"/>
      <c r="AC3334" s="1295"/>
      <c r="AD3334" s="1295"/>
      <c r="AE3334" s="2556"/>
      <c r="AF3334" s="750"/>
      <c r="AG3334" s="750"/>
      <c r="AH3334" s="750"/>
      <c r="AI3334" s="750"/>
      <c r="AJ3334" s="750"/>
      <c r="AK3334" s="750"/>
      <c r="AL3334" s="750"/>
      <c r="AM3334" s="750"/>
      <c r="AN3334" s="750"/>
      <c r="AO3334" s="750"/>
      <c r="AP3334" s="750"/>
      <c r="AQ3334" s="750"/>
      <c r="AR3334" s="750"/>
      <c r="AS3334" s="750"/>
      <c r="AT3334" s="750"/>
      <c r="AU3334" s="750"/>
      <c r="AV3334" s="750"/>
      <c r="AW3334" s="750"/>
      <c r="AX3334" s="750"/>
      <c r="AY3334" s="750"/>
      <c r="AZ3334" s="750"/>
      <c r="BA3334" s="750"/>
      <c r="BB3334" s="750"/>
      <c r="BC3334" s="750"/>
      <c r="BD3334" s="750"/>
      <c r="BE3334" s="750"/>
      <c r="BF3334" s="750"/>
      <c r="BG3334" s="750"/>
      <c r="BH3334" s="750"/>
      <c r="BI3334" s="750"/>
      <c r="BJ3334" s="750"/>
      <c r="BK3334" s="750"/>
      <c r="BL3334" s="750"/>
      <c r="BM3334" s="750"/>
      <c r="BN3334" s="750"/>
      <c r="BO3334" s="750"/>
      <c r="BP3334" s="750"/>
      <c r="BQ3334" s="750"/>
    </row>
    <row r="3335" spans="3:69">
      <c r="C3335" s="853"/>
      <c r="D3335" s="853"/>
      <c r="E3335" s="853"/>
      <c r="F3335" s="853"/>
      <c r="G3335" s="853"/>
      <c r="H3335" s="853"/>
      <c r="I3335" s="848"/>
      <c r="J3335" s="848"/>
      <c r="K3335" s="1295"/>
      <c r="L3335" s="1295"/>
      <c r="M3335" s="1295"/>
      <c r="N3335" s="1295"/>
      <c r="O3335" s="1295"/>
      <c r="P3335" s="853"/>
      <c r="Q3335" s="1295"/>
      <c r="R3335" s="848"/>
      <c r="S3335" s="848"/>
      <c r="T3335" s="848"/>
      <c r="U3335" s="848"/>
      <c r="V3335" s="1296"/>
      <c r="W3335" s="848"/>
      <c r="X3335" s="848"/>
      <c r="Y3335" s="1295"/>
      <c r="Z3335" s="1296"/>
      <c r="AA3335" s="1295"/>
      <c r="AB3335" s="1296"/>
      <c r="AC3335" s="1295"/>
      <c r="AD3335" s="1295"/>
      <c r="AE3335" s="2556"/>
      <c r="AF3335" s="750"/>
      <c r="AG3335" s="750"/>
      <c r="AH3335" s="750"/>
      <c r="AI3335" s="750"/>
      <c r="AJ3335" s="750"/>
      <c r="AK3335" s="750"/>
      <c r="AL3335" s="750"/>
      <c r="AM3335" s="750"/>
      <c r="AN3335" s="750"/>
      <c r="AO3335" s="750"/>
      <c r="AP3335" s="750"/>
      <c r="AQ3335" s="750"/>
      <c r="AR3335" s="750"/>
      <c r="AS3335" s="750"/>
      <c r="AT3335" s="750"/>
      <c r="AU3335" s="750"/>
      <c r="AV3335" s="750"/>
      <c r="AW3335" s="750"/>
      <c r="AX3335" s="750"/>
      <c r="AY3335" s="750"/>
      <c r="AZ3335" s="750"/>
      <c r="BA3335" s="750"/>
      <c r="BB3335" s="750"/>
      <c r="BC3335" s="750"/>
      <c r="BD3335" s="750"/>
      <c r="BE3335" s="750"/>
      <c r="BF3335" s="750"/>
      <c r="BG3335" s="750"/>
      <c r="BH3335" s="750"/>
      <c r="BI3335" s="750"/>
      <c r="BJ3335" s="750"/>
      <c r="BK3335" s="750"/>
      <c r="BL3335" s="750"/>
      <c r="BM3335" s="750"/>
      <c r="BN3335" s="750"/>
      <c r="BO3335" s="750"/>
      <c r="BP3335" s="750"/>
      <c r="BQ3335" s="750"/>
    </row>
    <row r="3336" spans="3:69">
      <c r="C3336" s="853"/>
      <c r="D3336" s="853"/>
      <c r="E3336" s="853"/>
      <c r="F3336" s="853"/>
      <c r="G3336" s="853"/>
      <c r="H3336" s="853"/>
      <c r="I3336" s="848"/>
      <c r="J3336" s="848"/>
      <c r="K3336" s="1295"/>
      <c r="L3336" s="1295"/>
      <c r="M3336" s="1295"/>
      <c r="N3336" s="1295"/>
      <c r="O3336" s="1295"/>
      <c r="P3336" s="853"/>
      <c r="Q3336" s="1295"/>
      <c r="R3336" s="848"/>
      <c r="S3336" s="848"/>
      <c r="T3336" s="848"/>
      <c r="U3336" s="848"/>
      <c r="V3336" s="1296"/>
      <c r="W3336" s="848"/>
      <c r="X3336" s="848"/>
      <c r="Y3336" s="1295"/>
      <c r="Z3336" s="1296"/>
      <c r="AA3336" s="1295"/>
      <c r="AB3336" s="1296"/>
      <c r="AC3336" s="1295"/>
      <c r="AD3336" s="1295"/>
      <c r="AE3336" s="2556"/>
      <c r="AF3336" s="750"/>
      <c r="AG3336" s="750"/>
      <c r="AH3336" s="750"/>
      <c r="AI3336" s="750"/>
      <c r="AJ3336" s="750"/>
      <c r="AK3336" s="750"/>
      <c r="AL3336" s="750"/>
      <c r="AM3336" s="750"/>
      <c r="AN3336" s="750"/>
      <c r="AO3336" s="750"/>
      <c r="AP3336" s="750"/>
      <c r="AQ3336" s="750"/>
      <c r="AR3336" s="750"/>
      <c r="AS3336" s="750"/>
      <c r="AT3336" s="750"/>
      <c r="AU3336" s="750"/>
      <c r="AV3336" s="750"/>
      <c r="AW3336" s="750"/>
      <c r="AX3336" s="750"/>
      <c r="AY3336" s="750"/>
      <c r="AZ3336" s="750"/>
      <c r="BA3336" s="750"/>
      <c r="BB3336" s="750"/>
      <c r="BC3336" s="750"/>
      <c r="BD3336" s="750"/>
      <c r="BE3336" s="750"/>
      <c r="BF3336" s="750"/>
      <c r="BG3336" s="750"/>
      <c r="BH3336" s="750"/>
      <c r="BI3336" s="750"/>
      <c r="BJ3336" s="750"/>
      <c r="BK3336" s="750"/>
      <c r="BL3336" s="750"/>
      <c r="BM3336" s="750"/>
      <c r="BN3336" s="750"/>
      <c r="BO3336" s="750"/>
      <c r="BP3336" s="750"/>
      <c r="BQ3336" s="750"/>
    </row>
    <row r="3337" spans="3:69">
      <c r="C3337" s="853"/>
      <c r="D3337" s="853"/>
      <c r="E3337" s="853"/>
      <c r="F3337" s="853"/>
      <c r="G3337" s="853"/>
      <c r="H3337" s="853"/>
      <c r="I3337" s="848"/>
      <c r="J3337" s="848"/>
      <c r="K3337" s="1295"/>
      <c r="L3337" s="1295"/>
      <c r="M3337" s="1295"/>
      <c r="N3337" s="1295"/>
      <c r="O3337" s="1295"/>
      <c r="P3337" s="853"/>
      <c r="Q3337" s="1295"/>
      <c r="R3337" s="848"/>
      <c r="S3337" s="848"/>
      <c r="T3337" s="848"/>
      <c r="U3337" s="848"/>
      <c r="V3337" s="1296"/>
      <c r="W3337" s="848"/>
      <c r="X3337" s="848"/>
      <c r="Y3337" s="1295"/>
      <c r="Z3337" s="1296"/>
      <c r="AA3337" s="1295"/>
      <c r="AB3337" s="1296"/>
      <c r="AC3337" s="1295"/>
      <c r="AD3337" s="1295"/>
      <c r="AE3337" s="2556"/>
      <c r="AF3337" s="750"/>
      <c r="AG3337" s="750"/>
      <c r="AH3337" s="750"/>
      <c r="AI3337" s="750"/>
      <c r="AJ3337" s="750"/>
      <c r="AK3337" s="750"/>
      <c r="AL3337" s="750"/>
      <c r="AM3337" s="750"/>
      <c r="AN3337" s="750"/>
      <c r="AO3337" s="750"/>
      <c r="AP3337" s="750"/>
      <c r="AQ3337" s="750"/>
      <c r="AR3337" s="750"/>
      <c r="AS3337" s="750"/>
      <c r="AT3337" s="750"/>
      <c r="AU3337" s="750"/>
      <c r="AV3337" s="750"/>
      <c r="AW3337" s="750"/>
      <c r="AX3337" s="750"/>
      <c r="AY3337" s="750"/>
      <c r="AZ3337" s="750"/>
      <c r="BA3337" s="750"/>
      <c r="BB3337" s="750"/>
      <c r="BC3337" s="750"/>
      <c r="BD3337" s="750"/>
      <c r="BE3337" s="750"/>
      <c r="BF3337" s="750"/>
      <c r="BG3337" s="750"/>
      <c r="BH3337" s="750"/>
      <c r="BI3337" s="750"/>
      <c r="BJ3337" s="750"/>
      <c r="BK3337" s="750"/>
      <c r="BL3337" s="750"/>
      <c r="BM3337" s="750"/>
      <c r="BN3337" s="750"/>
      <c r="BO3337" s="750"/>
      <c r="BP3337" s="750"/>
      <c r="BQ3337" s="750"/>
    </row>
    <row r="3338" spans="3:69">
      <c r="C3338" s="853"/>
      <c r="D3338" s="853"/>
      <c r="E3338" s="853"/>
      <c r="F3338" s="853"/>
      <c r="G3338" s="853"/>
      <c r="H3338" s="853"/>
      <c r="I3338" s="848"/>
      <c r="J3338" s="848"/>
      <c r="K3338" s="1295"/>
      <c r="L3338" s="1295"/>
      <c r="M3338" s="1295"/>
      <c r="N3338" s="1295"/>
      <c r="O3338" s="1295"/>
      <c r="P3338" s="853"/>
      <c r="Q3338" s="1295"/>
      <c r="R3338" s="848"/>
      <c r="S3338" s="848"/>
      <c r="T3338" s="848"/>
      <c r="U3338" s="848"/>
      <c r="V3338" s="1296"/>
      <c r="W3338" s="848"/>
      <c r="X3338" s="848"/>
      <c r="Y3338" s="1295"/>
      <c r="Z3338" s="1296"/>
      <c r="AA3338" s="1295"/>
      <c r="AB3338" s="1296"/>
      <c r="AC3338" s="1295"/>
      <c r="AD3338" s="1295"/>
      <c r="AE3338" s="2556"/>
      <c r="AF3338" s="750"/>
      <c r="AG3338" s="750"/>
      <c r="AH3338" s="750"/>
      <c r="AI3338" s="750"/>
      <c r="AJ3338" s="750"/>
      <c r="AK3338" s="750"/>
      <c r="AL3338" s="750"/>
      <c r="AM3338" s="750"/>
      <c r="AN3338" s="750"/>
      <c r="AO3338" s="750"/>
      <c r="AP3338" s="750"/>
      <c r="AQ3338" s="750"/>
      <c r="AR3338" s="750"/>
      <c r="AS3338" s="750"/>
      <c r="AT3338" s="750"/>
      <c r="AU3338" s="750"/>
      <c r="AV3338" s="750"/>
      <c r="AW3338" s="750"/>
      <c r="AX3338" s="750"/>
      <c r="AY3338" s="750"/>
      <c r="AZ3338" s="750"/>
      <c r="BA3338" s="750"/>
      <c r="BB3338" s="750"/>
      <c r="BC3338" s="750"/>
      <c r="BD3338" s="750"/>
      <c r="BE3338" s="750"/>
      <c r="BF3338" s="750"/>
      <c r="BG3338" s="750"/>
      <c r="BH3338" s="750"/>
      <c r="BI3338" s="750"/>
      <c r="BJ3338" s="750"/>
      <c r="BK3338" s="750"/>
      <c r="BL3338" s="750"/>
      <c r="BM3338" s="750"/>
      <c r="BN3338" s="750"/>
      <c r="BO3338" s="750"/>
      <c r="BP3338" s="750"/>
      <c r="BQ3338" s="750"/>
    </row>
    <row r="3339" spans="3:69">
      <c r="C3339" s="853"/>
      <c r="D3339" s="853"/>
      <c r="E3339" s="853"/>
      <c r="F3339" s="853"/>
      <c r="G3339" s="853"/>
      <c r="H3339" s="853"/>
      <c r="I3339" s="848"/>
      <c r="J3339" s="848"/>
      <c r="K3339" s="1295"/>
      <c r="L3339" s="1295"/>
      <c r="M3339" s="1295"/>
      <c r="N3339" s="1295"/>
      <c r="O3339" s="1295"/>
      <c r="P3339" s="853"/>
      <c r="Q3339" s="1295"/>
      <c r="R3339" s="848"/>
      <c r="S3339" s="848"/>
      <c r="T3339" s="848"/>
      <c r="U3339" s="848"/>
      <c r="V3339" s="1296"/>
      <c r="W3339" s="848"/>
      <c r="X3339" s="848"/>
      <c r="Y3339" s="1295"/>
      <c r="Z3339" s="1296"/>
      <c r="AA3339" s="1295"/>
      <c r="AB3339" s="1296"/>
      <c r="AC3339" s="1295"/>
      <c r="AD3339" s="1295"/>
      <c r="AE3339" s="2556"/>
      <c r="AF3339" s="750"/>
      <c r="AG3339" s="750"/>
      <c r="AH3339" s="750"/>
      <c r="AI3339" s="750"/>
      <c r="AJ3339" s="750"/>
      <c r="AK3339" s="750"/>
      <c r="AL3339" s="750"/>
      <c r="AM3339" s="750"/>
      <c r="AN3339" s="750"/>
      <c r="AO3339" s="750"/>
      <c r="AP3339" s="750"/>
      <c r="AQ3339" s="750"/>
      <c r="AR3339" s="750"/>
      <c r="AS3339" s="750"/>
      <c r="AT3339" s="750"/>
      <c r="AU3339" s="750"/>
      <c r="AV3339" s="750"/>
      <c r="AW3339" s="750"/>
      <c r="AX3339" s="750"/>
      <c r="AY3339" s="750"/>
      <c r="AZ3339" s="750"/>
      <c r="BA3339" s="750"/>
      <c r="BB3339" s="750"/>
      <c r="BC3339" s="750"/>
      <c r="BD3339" s="750"/>
      <c r="BE3339" s="750"/>
      <c r="BF3339" s="750"/>
      <c r="BG3339" s="750"/>
      <c r="BH3339" s="750"/>
      <c r="BI3339" s="750"/>
      <c r="BJ3339" s="750"/>
      <c r="BK3339" s="750"/>
      <c r="BL3339" s="750"/>
      <c r="BM3339" s="750"/>
      <c r="BN3339" s="750"/>
      <c r="BO3339" s="750"/>
      <c r="BP3339" s="750"/>
      <c r="BQ3339" s="750"/>
    </row>
    <row r="3340" spans="3:69">
      <c r="C3340" s="853"/>
      <c r="D3340" s="853"/>
      <c r="E3340" s="853"/>
      <c r="F3340" s="853"/>
      <c r="G3340" s="853"/>
      <c r="H3340" s="853"/>
      <c r="I3340" s="848"/>
      <c r="J3340" s="848"/>
      <c r="K3340" s="1295"/>
      <c r="L3340" s="1295"/>
      <c r="M3340" s="1295"/>
      <c r="N3340" s="1295"/>
      <c r="O3340" s="1295"/>
      <c r="P3340" s="853"/>
      <c r="Q3340" s="1295"/>
      <c r="R3340" s="848"/>
      <c r="S3340" s="848"/>
      <c r="T3340" s="848"/>
      <c r="U3340" s="848"/>
      <c r="V3340" s="1296"/>
      <c r="W3340" s="848"/>
      <c r="X3340" s="848"/>
      <c r="Y3340" s="1295"/>
      <c r="Z3340" s="1296"/>
      <c r="AA3340" s="1295"/>
      <c r="AB3340" s="1296"/>
      <c r="AC3340" s="1295"/>
      <c r="AD3340" s="1295"/>
      <c r="AE3340" s="2556"/>
      <c r="AF3340" s="750"/>
      <c r="AG3340" s="750"/>
      <c r="AH3340" s="750"/>
      <c r="AI3340" s="750"/>
      <c r="AJ3340" s="750"/>
      <c r="AK3340" s="750"/>
      <c r="AL3340" s="750"/>
      <c r="AM3340" s="750"/>
      <c r="AN3340" s="750"/>
      <c r="AO3340" s="750"/>
      <c r="AP3340" s="750"/>
      <c r="AQ3340" s="750"/>
      <c r="AR3340" s="750"/>
      <c r="AS3340" s="750"/>
      <c r="AT3340" s="750"/>
      <c r="AU3340" s="750"/>
      <c r="AV3340" s="750"/>
      <c r="AW3340" s="750"/>
      <c r="AX3340" s="750"/>
      <c r="AY3340" s="750"/>
      <c r="AZ3340" s="750"/>
      <c r="BA3340" s="750"/>
      <c r="BB3340" s="750"/>
      <c r="BC3340" s="750"/>
      <c r="BD3340" s="750"/>
      <c r="BE3340" s="750"/>
      <c r="BF3340" s="750"/>
      <c r="BG3340" s="750"/>
      <c r="BH3340" s="750"/>
      <c r="BI3340" s="750"/>
      <c r="BJ3340" s="750"/>
      <c r="BK3340" s="750"/>
      <c r="BL3340" s="750"/>
      <c r="BM3340" s="750"/>
      <c r="BN3340" s="750"/>
      <c r="BO3340" s="750"/>
      <c r="BP3340" s="750"/>
      <c r="BQ3340" s="750"/>
    </row>
    <row r="3341" spans="3:69">
      <c r="C3341" s="853"/>
      <c r="D3341" s="853"/>
      <c r="E3341" s="853"/>
      <c r="F3341" s="853"/>
      <c r="G3341" s="853"/>
      <c r="H3341" s="853"/>
      <c r="I3341" s="848"/>
      <c r="J3341" s="848"/>
      <c r="K3341" s="1295"/>
      <c r="L3341" s="1295"/>
      <c r="M3341" s="1295"/>
      <c r="N3341" s="1295"/>
      <c r="O3341" s="1295"/>
      <c r="P3341" s="853"/>
      <c r="Q3341" s="1295"/>
      <c r="R3341" s="848"/>
      <c r="S3341" s="848"/>
      <c r="T3341" s="848"/>
      <c r="U3341" s="848"/>
      <c r="V3341" s="1296"/>
      <c r="W3341" s="848"/>
      <c r="X3341" s="848"/>
      <c r="Y3341" s="1295"/>
      <c r="Z3341" s="1296"/>
      <c r="AA3341" s="1295"/>
      <c r="AB3341" s="1296"/>
      <c r="AC3341" s="1295"/>
      <c r="AD3341" s="1295"/>
      <c r="AE3341" s="2556"/>
      <c r="AF3341" s="750"/>
      <c r="AG3341" s="750"/>
      <c r="AH3341" s="750"/>
      <c r="AI3341" s="750"/>
      <c r="AJ3341" s="750"/>
      <c r="AK3341" s="750"/>
      <c r="AL3341" s="750"/>
      <c r="AM3341" s="750"/>
      <c r="AN3341" s="750"/>
      <c r="AO3341" s="750"/>
      <c r="AP3341" s="750"/>
      <c r="AQ3341" s="750"/>
      <c r="AR3341" s="750"/>
      <c r="AS3341" s="750"/>
      <c r="AT3341" s="750"/>
      <c r="AU3341" s="750"/>
      <c r="AV3341" s="750"/>
      <c r="AW3341" s="750"/>
      <c r="AX3341" s="750"/>
      <c r="AY3341" s="750"/>
      <c r="AZ3341" s="750"/>
      <c r="BA3341" s="750"/>
      <c r="BB3341" s="750"/>
      <c r="BC3341" s="750"/>
      <c r="BD3341" s="750"/>
      <c r="BE3341" s="750"/>
      <c r="BF3341" s="750"/>
      <c r="BG3341" s="750"/>
      <c r="BH3341" s="750"/>
      <c r="BI3341" s="750"/>
      <c r="BJ3341" s="750"/>
      <c r="BK3341" s="750"/>
      <c r="BL3341" s="750"/>
      <c r="BM3341" s="750"/>
      <c r="BN3341" s="750"/>
      <c r="BO3341" s="750"/>
      <c r="BP3341" s="750"/>
      <c r="BQ3341" s="750"/>
    </row>
    <row r="3342" spans="3:69">
      <c r="C3342" s="853"/>
      <c r="D3342" s="853"/>
      <c r="E3342" s="853"/>
      <c r="F3342" s="853"/>
      <c r="G3342" s="853"/>
      <c r="H3342" s="853"/>
      <c r="I3342" s="848"/>
      <c r="J3342" s="848"/>
      <c r="K3342" s="1295"/>
      <c r="L3342" s="1295"/>
      <c r="M3342" s="1295"/>
      <c r="N3342" s="1295"/>
      <c r="O3342" s="1295"/>
      <c r="P3342" s="853"/>
      <c r="Q3342" s="1295"/>
      <c r="R3342" s="848"/>
      <c r="S3342" s="848"/>
      <c r="T3342" s="848"/>
      <c r="U3342" s="848"/>
      <c r="V3342" s="1296"/>
      <c r="W3342" s="848"/>
      <c r="X3342" s="848"/>
      <c r="Y3342" s="1295"/>
      <c r="Z3342" s="1296"/>
      <c r="AA3342" s="1295"/>
      <c r="AB3342" s="1296"/>
      <c r="AC3342" s="1295"/>
      <c r="AD3342" s="1295"/>
      <c r="AE3342" s="2556"/>
      <c r="AF3342" s="750"/>
      <c r="AG3342" s="750"/>
      <c r="AH3342" s="750"/>
      <c r="AI3342" s="750"/>
      <c r="AJ3342" s="750"/>
      <c r="AK3342" s="750"/>
      <c r="AL3342" s="750"/>
      <c r="AM3342" s="750"/>
      <c r="AN3342" s="750"/>
      <c r="AO3342" s="750"/>
      <c r="AP3342" s="750"/>
      <c r="AQ3342" s="750"/>
      <c r="AR3342" s="750"/>
      <c r="AS3342" s="750"/>
      <c r="AT3342" s="750"/>
      <c r="AU3342" s="750"/>
      <c r="AV3342" s="750"/>
      <c r="AW3342" s="750"/>
      <c r="AX3342" s="750"/>
      <c r="AY3342" s="750"/>
      <c r="AZ3342" s="750"/>
      <c r="BA3342" s="750"/>
      <c r="BB3342" s="750"/>
      <c r="BC3342" s="750"/>
      <c r="BD3342" s="750"/>
      <c r="BE3342" s="750"/>
      <c r="BF3342" s="750"/>
      <c r="BG3342" s="750"/>
      <c r="BH3342" s="750"/>
      <c r="BI3342" s="750"/>
      <c r="BJ3342" s="750"/>
      <c r="BK3342" s="750"/>
      <c r="BL3342" s="750"/>
      <c r="BM3342" s="750"/>
      <c r="BN3342" s="750"/>
      <c r="BO3342" s="750"/>
      <c r="BP3342" s="750"/>
      <c r="BQ3342" s="750"/>
    </row>
    <row r="3343" spans="3:69">
      <c r="C3343" s="853"/>
      <c r="D3343" s="853"/>
      <c r="E3343" s="853"/>
      <c r="F3343" s="853"/>
      <c r="G3343" s="853"/>
      <c r="H3343" s="853"/>
      <c r="I3343" s="848"/>
      <c r="J3343" s="848"/>
      <c r="K3343" s="1295"/>
      <c r="L3343" s="1295"/>
      <c r="M3343" s="1295"/>
      <c r="N3343" s="1295"/>
      <c r="O3343" s="1295"/>
      <c r="P3343" s="853"/>
      <c r="Q3343" s="1295"/>
      <c r="R3343" s="848"/>
      <c r="S3343" s="848"/>
      <c r="T3343" s="848"/>
      <c r="U3343" s="848"/>
      <c r="V3343" s="1296"/>
      <c r="W3343" s="848"/>
      <c r="X3343" s="848"/>
      <c r="Y3343" s="1295"/>
      <c r="Z3343" s="1296"/>
      <c r="AA3343" s="1295"/>
      <c r="AB3343" s="1296"/>
      <c r="AC3343" s="1295"/>
      <c r="AD3343" s="1295"/>
      <c r="AE3343" s="2556"/>
      <c r="AF3343" s="750"/>
      <c r="AG3343" s="750"/>
      <c r="AH3343" s="750"/>
      <c r="AI3343" s="750"/>
      <c r="AJ3343" s="750"/>
      <c r="AK3343" s="750"/>
      <c r="AL3343" s="750"/>
      <c r="AM3343" s="750"/>
      <c r="AN3343" s="750"/>
      <c r="AO3343" s="750"/>
      <c r="AP3343" s="750"/>
      <c r="AQ3343" s="750"/>
      <c r="AR3343" s="750"/>
      <c r="AS3343" s="750"/>
      <c r="AT3343" s="750"/>
      <c r="AU3343" s="750"/>
      <c r="AV3343" s="750"/>
      <c r="AW3343" s="750"/>
      <c r="AX3343" s="750"/>
      <c r="AY3343" s="750"/>
      <c r="AZ3343" s="750"/>
      <c r="BA3343" s="750"/>
      <c r="BB3343" s="750"/>
      <c r="BC3343" s="750"/>
      <c r="BD3343" s="750"/>
      <c r="BE3343" s="750"/>
      <c r="BF3343" s="750"/>
      <c r="BG3343" s="750"/>
      <c r="BH3343" s="750"/>
      <c r="BI3343" s="750"/>
      <c r="BJ3343" s="750"/>
      <c r="BK3343" s="750"/>
      <c r="BL3343" s="750"/>
      <c r="BM3343" s="750"/>
      <c r="BN3343" s="750"/>
      <c r="BO3343" s="750"/>
      <c r="BP3343" s="750"/>
      <c r="BQ3343" s="750"/>
    </row>
    <row r="3344" spans="3:69">
      <c r="C3344" s="853"/>
      <c r="D3344" s="853"/>
      <c r="E3344" s="853"/>
      <c r="F3344" s="853"/>
      <c r="G3344" s="853"/>
      <c r="H3344" s="853"/>
      <c r="I3344" s="848"/>
      <c r="J3344" s="848"/>
      <c r="K3344" s="1295"/>
      <c r="L3344" s="1295"/>
      <c r="M3344" s="1295"/>
      <c r="N3344" s="1295"/>
      <c r="O3344" s="1295"/>
      <c r="P3344" s="853"/>
      <c r="Q3344" s="1295"/>
      <c r="R3344" s="848"/>
      <c r="S3344" s="848"/>
      <c r="T3344" s="848"/>
      <c r="U3344" s="848"/>
      <c r="V3344" s="1296"/>
      <c r="W3344" s="848"/>
      <c r="X3344" s="848"/>
      <c r="Y3344" s="1295"/>
      <c r="Z3344" s="1296"/>
      <c r="AA3344" s="1295"/>
      <c r="AB3344" s="1296"/>
      <c r="AC3344" s="1295"/>
      <c r="AD3344" s="1295"/>
      <c r="AE3344" s="2556"/>
      <c r="AF3344" s="750"/>
      <c r="AG3344" s="750"/>
      <c r="AH3344" s="750"/>
      <c r="AI3344" s="750"/>
      <c r="AJ3344" s="750"/>
      <c r="AK3344" s="750"/>
      <c r="AL3344" s="750"/>
      <c r="AM3344" s="750"/>
      <c r="AN3344" s="750"/>
      <c r="AO3344" s="750"/>
      <c r="AP3344" s="750"/>
      <c r="AQ3344" s="750"/>
      <c r="AR3344" s="750"/>
      <c r="AS3344" s="750"/>
      <c r="AT3344" s="750"/>
      <c r="AU3344" s="750"/>
      <c r="AV3344" s="750"/>
      <c r="AW3344" s="750"/>
      <c r="AX3344" s="750"/>
      <c r="AY3344" s="750"/>
      <c r="AZ3344" s="750"/>
      <c r="BA3344" s="750"/>
      <c r="BB3344" s="750"/>
      <c r="BC3344" s="750"/>
      <c r="BD3344" s="750"/>
      <c r="BE3344" s="750"/>
      <c r="BF3344" s="750"/>
      <c r="BG3344" s="750"/>
      <c r="BH3344" s="750"/>
      <c r="BI3344" s="750"/>
      <c r="BJ3344" s="750"/>
      <c r="BK3344" s="750"/>
      <c r="BL3344" s="750"/>
      <c r="BM3344" s="750"/>
      <c r="BN3344" s="750"/>
      <c r="BO3344" s="750"/>
      <c r="BP3344" s="750"/>
      <c r="BQ3344" s="750"/>
    </row>
    <row r="3345" spans="3:69">
      <c r="C3345" s="853"/>
      <c r="D3345" s="853"/>
      <c r="E3345" s="853"/>
      <c r="F3345" s="853"/>
      <c r="G3345" s="853"/>
      <c r="H3345" s="853"/>
      <c r="I3345" s="848"/>
      <c r="J3345" s="848"/>
      <c r="K3345" s="1295"/>
      <c r="L3345" s="1295"/>
      <c r="M3345" s="1295"/>
      <c r="N3345" s="1295"/>
      <c r="O3345" s="1295"/>
      <c r="P3345" s="853"/>
      <c r="Q3345" s="1295"/>
      <c r="R3345" s="848"/>
      <c r="S3345" s="848"/>
      <c r="T3345" s="848"/>
      <c r="U3345" s="848"/>
      <c r="V3345" s="1296"/>
      <c r="W3345" s="848"/>
      <c r="X3345" s="848"/>
      <c r="Y3345" s="1295"/>
      <c r="Z3345" s="1296"/>
      <c r="AA3345" s="1295"/>
      <c r="AB3345" s="1296"/>
      <c r="AC3345" s="1295"/>
      <c r="AD3345" s="1295"/>
      <c r="AE3345" s="2556"/>
      <c r="AF3345" s="750"/>
      <c r="AG3345" s="750"/>
      <c r="AH3345" s="750"/>
      <c r="AI3345" s="750"/>
      <c r="AJ3345" s="750"/>
      <c r="AK3345" s="750"/>
      <c r="AL3345" s="750"/>
      <c r="AM3345" s="750"/>
      <c r="AN3345" s="750"/>
      <c r="AO3345" s="750"/>
      <c r="AP3345" s="750"/>
      <c r="AQ3345" s="750"/>
      <c r="AR3345" s="750"/>
      <c r="AS3345" s="750"/>
      <c r="AT3345" s="750"/>
      <c r="AU3345" s="750"/>
      <c r="AV3345" s="750"/>
      <c r="AW3345" s="750"/>
      <c r="AX3345" s="750"/>
      <c r="AY3345" s="750"/>
      <c r="AZ3345" s="750"/>
      <c r="BA3345" s="750"/>
      <c r="BB3345" s="750"/>
      <c r="BC3345" s="750"/>
      <c r="BD3345" s="750"/>
      <c r="BE3345" s="750"/>
      <c r="BF3345" s="750"/>
      <c r="BG3345" s="750"/>
      <c r="BH3345" s="750"/>
      <c r="BI3345" s="750"/>
      <c r="BJ3345" s="750"/>
      <c r="BK3345" s="750"/>
      <c r="BL3345" s="750"/>
      <c r="BM3345" s="750"/>
      <c r="BN3345" s="750"/>
      <c r="BO3345" s="750"/>
      <c r="BP3345" s="750"/>
      <c r="BQ3345" s="750"/>
    </row>
    <row r="3346" spans="3:69">
      <c r="C3346" s="853"/>
      <c r="D3346" s="853"/>
      <c r="E3346" s="853"/>
      <c r="F3346" s="853"/>
      <c r="G3346" s="853"/>
      <c r="H3346" s="853"/>
      <c r="I3346" s="848"/>
      <c r="J3346" s="848"/>
      <c r="K3346" s="1295"/>
      <c r="L3346" s="1295"/>
      <c r="M3346" s="1295"/>
      <c r="N3346" s="1295"/>
      <c r="O3346" s="1295"/>
      <c r="P3346" s="853"/>
      <c r="Q3346" s="1295"/>
      <c r="R3346" s="848"/>
      <c r="S3346" s="848"/>
      <c r="T3346" s="848"/>
      <c r="U3346" s="848"/>
      <c r="V3346" s="1296"/>
      <c r="W3346" s="848"/>
      <c r="X3346" s="848"/>
      <c r="Y3346" s="1295"/>
      <c r="Z3346" s="1296"/>
      <c r="AA3346" s="1295"/>
      <c r="AB3346" s="1296"/>
      <c r="AC3346" s="1295"/>
      <c r="AD3346" s="1295"/>
      <c r="AE3346" s="2556"/>
      <c r="AF3346" s="750"/>
      <c r="AG3346" s="750"/>
      <c r="AH3346" s="750"/>
      <c r="AI3346" s="750"/>
      <c r="AJ3346" s="750"/>
      <c r="AK3346" s="750"/>
      <c r="AL3346" s="750"/>
      <c r="AM3346" s="750"/>
      <c r="AN3346" s="750"/>
      <c r="AO3346" s="750"/>
      <c r="AP3346" s="750"/>
      <c r="AQ3346" s="750"/>
      <c r="AR3346" s="750"/>
      <c r="AS3346" s="750"/>
      <c r="AT3346" s="750"/>
      <c r="AU3346" s="750"/>
      <c r="AV3346" s="750"/>
      <c r="AW3346" s="750"/>
      <c r="AX3346" s="750"/>
      <c r="AY3346" s="750"/>
      <c r="AZ3346" s="750"/>
      <c r="BA3346" s="750"/>
      <c r="BB3346" s="750"/>
      <c r="BC3346" s="750"/>
      <c r="BD3346" s="750"/>
      <c r="BE3346" s="750"/>
      <c r="BF3346" s="750"/>
      <c r="BG3346" s="750"/>
      <c r="BH3346" s="750"/>
      <c r="BI3346" s="750"/>
      <c r="BJ3346" s="750"/>
      <c r="BK3346" s="750"/>
      <c r="BL3346" s="750"/>
      <c r="BM3346" s="750"/>
      <c r="BN3346" s="750"/>
      <c r="BO3346" s="750"/>
      <c r="BP3346" s="750"/>
      <c r="BQ3346" s="750"/>
    </row>
    <row r="3347" spans="3:69">
      <c r="C3347" s="853"/>
      <c r="D3347" s="853"/>
      <c r="E3347" s="853"/>
      <c r="F3347" s="853"/>
      <c r="G3347" s="853"/>
      <c r="H3347" s="853"/>
      <c r="I3347" s="848"/>
      <c r="J3347" s="848"/>
      <c r="K3347" s="1295"/>
      <c r="L3347" s="1295"/>
      <c r="M3347" s="1295"/>
      <c r="N3347" s="1295"/>
      <c r="O3347" s="1295"/>
      <c r="P3347" s="853"/>
      <c r="Q3347" s="1295"/>
      <c r="R3347" s="848"/>
      <c r="S3347" s="848"/>
      <c r="T3347" s="848"/>
      <c r="U3347" s="848"/>
      <c r="V3347" s="1296"/>
      <c r="W3347" s="848"/>
      <c r="X3347" s="848"/>
      <c r="Y3347" s="1295"/>
      <c r="Z3347" s="1296"/>
      <c r="AA3347" s="1295"/>
      <c r="AB3347" s="1296"/>
      <c r="AC3347" s="1295"/>
      <c r="AD3347" s="1295"/>
      <c r="AE3347" s="2556"/>
      <c r="AF3347" s="750"/>
      <c r="AG3347" s="750"/>
      <c r="AH3347" s="750"/>
      <c r="AI3347" s="750"/>
      <c r="AJ3347" s="750"/>
      <c r="AK3347" s="750"/>
      <c r="AL3347" s="750"/>
      <c r="AM3347" s="750"/>
      <c r="AN3347" s="750"/>
      <c r="AO3347" s="750"/>
      <c r="AP3347" s="750"/>
      <c r="AQ3347" s="750"/>
      <c r="AR3347" s="750"/>
      <c r="AS3347" s="750"/>
      <c r="AT3347" s="750"/>
      <c r="AU3347" s="750"/>
      <c r="AV3347" s="750"/>
      <c r="AW3347" s="750"/>
      <c r="AX3347" s="750"/>
      <c r="AY3347" s="750"/>
      <c r="AZ3347" s="750"/>
      <c r="BA3347" s="750"/>
      <c r="BB3347" s="750"/>
      <c r="BC3347" s="750"/>
      <c r="BD3347" s="750"/>
      <c r="BE3347" s="750"/>
      <c r="BF3347" s="750"/>
      <c r="BG3347" s="750"/>
      <c r="BH3347" s="750"/>
      <c r="BI3347" s="750"/>
      <c r="BJ3347" s="750"/>
      <c r="BK3347" s="750"/>
      <c r="BL3347" s="750"/>
      <c r="BM3347" s="750"/>
      <c r="BN3347" s="750"/>
      <c r="BO3347" s="750"/>
      <c r="BP3347" s="750"/>
      <c r="BQ3347" s="750"/>
    </row>
    <row r="3348" spans="3:69">
      <c r="C3348" s="853"/>
      <c r="D3348" s="853"/>
      <c r="E3348" s="853"/>
      <c r="F3348" s="853"/>
      <c r="G3348" s="853"/>
      <c r="H3348" s="853"/>
      <c r="I3348" s="848"/>
      <c r="J3348" s="848"/>
      <c r="K3348" s="1295"/>
      <c r="L3348" s="1295"/>
      <c r="M3348" s="1295"/>
      <c r="N3348" s="1295"/>
      <c r="O3348" s="1295"/>
      <c r="P3348" s="853"/>
      <c r="Q3348" s="1295"/>
      <c r="R3348" s="848"/>
      <c r="S3348" s="848"/>
      <c r="T3348" s="848"/>
      <c r="U3348" s="848"/>
      <c r="V3348" s="1296"/>
      <c r="W3348" s="848"/>
      <c r="X3348" s="848"/>
      <c r="Y3348" s="1295"/>
      <c r="Z3348" s="1296"/>
      <c r="AA3348" s="1295"/>
      <c r="AB3348" s="1296"/>
      <c r="AC3348" s="1295"/>
      <c r="AD3348" s="1295"/>
      <c r="AE3348" s="2556"/>
      <c r="AF3348" s="750"/>
      <c r="AG3348" s="750"/>
      <c r="AH3348" s="750"/>
      <c r="AI3348" s="750"/>
      <c r="AJ3348" s="750"/>
      <c r="AK3348" s="750"/>
      <c r="AL3348" s="750"/>
      <c r="AM3348" s="750"/>
      <c r="AN3348" s="750"/>
      <c r="AO3348" s="750"/>
      <c r="AP3348" s="750"/>
      <c r="AQ3348" s="750"/>
      <c r="AR3348" s="750"/>
      <c r="AS3348" s="750"/>
      <c r="AT3348" s="750"/>
      <c r="AU3348" s="750"/>
      <c r="AV3348" s="750"/>
      <c r="AW3348" s="750"/>
      <c r="AX3348" s="750"/>
      <c r="AY3348" s="750"/>
      <c r="AZ3348" s="750"/>
      <c r="BA3348" s="750"/>
      <c r="BB3348" s="750"/>
      <c r="BC3348" s="750"/>
      <c r="BD3348" s="750"/>
      <c r="BE3348" s="750"/>
      <c r="BF3348" s="750"/>
      <c r="BG3348" s="750"/>
      <c r="BH3348" s="750"/>
      <c r="BI3348" s="750"/>
      <c r="BJ3348" s="750"/>
      <c r="BK3348" s="750"/>
      <c r="BL3348" s="750"/>
      <c r="BM3348" s="750"/>
      <c r="BN3348" s="750"/>
      <c r="BO3348" s="750"/>
      <c r="BP3348" s="750"/>
      <c r="BQ3348" s="750"/>
    </row>
    <row r="3349" spans="3:69">
      <c r="C3349" s="853"/>
      <c r="D3349" s="853"/>
      <c r="E3349" s="853"/>
      <c r="F3349" s="853"/>
      <c r="G3349" s="853"/>
      <c r="H3349" s="853"/>
      <c r="I3349" s="848"/>
      <c r="J3349" s="848"/>
      <c r="K3349" s="1295"/>
      <c r="L3349" s="1295"/>
      <c r="M3349" s="1295"/>
      <c r="N3349" s="1295"/>
      <c r="O3349" s="1295"/>
      <c r="P3349" s="853"/>
      <c r="Q3349" s="1295"/>
      <c r="R3349" s="848"/>
      <c r="S3349" s="848"/>
      <c r="T3349" s="848"/>
      <c r="U3349" s="848"/>
      <c r="V3349" s="1296"/>
      <c r="W3349" s="848"/>
      <c r="X3349" s="848"/>
      <c r="Y3349" s="1295"/>
      <c r="Z3349" s="1296"/>
      <c r="AA3349" s="1295"/>
      <c r="AB3349" s="1296"/>
      <c r="AC3349" s="1295"/>
      <c r="AD3349" s="1295"/>
      <c r="AE3349" s="2556"/>
      <c r="AF3349" s="750"/>
      <c r="AG3349" s="750"/>
      <c r="AH3349" s="750"/>
      <c r="AI3349" s="750"/>
      <c r="AJ3349" s="750"/>
      <c r="AK3349" s="750"/>
      <c r="AL3349" s="750"/>
      <c r="AM3349" s="750"/>
      <c r="AN3349" s="750"/>
      <c r="AO3349" s="750"/>
      <c r="AP3349" s="750"/>
      <c r="AQ3349" s="750"/>
      <c r="AR3349" s="750"/>
      <c r="AS3349" s="750"/>
      <c r="AT3349" s="750"/>
      <c r="AU3349" s="750"/>
      <c r="AV3349" s="750"/>
      <c r="AW3349" s="750"/>
      <c r="AX3349" s="750"/>
      <c r="AY3349" s="750"/>
      <c r="AZ3349" s="750"/>
      <c r="BA3349" s="750"/>
      <c r="BB3349" s="750"/>
      <c r="BC3349" s="750"/>
      <c r="BD3349" s="750"/>
      <c r="BE3349" s="750"/>
      <c r="BF3349" s="750"/>
      <c r="BG3349" s="750"/>
      <c r="BH3349" s="750"/>
      <c r="BI3349" s="750"/>
      <c r="BJ3349" s="750"/>
      <c r="BK3349" s="750"/>
      <c r="BL3349" s="750"/>
      <c r="BM3349" s="750"/>
      <c r="BN3349" s="750"/>
      <c r="BO3349" s="750"/>
      <c r="BP3349" s="750"/>
      <c r="BQ3349" s="750"/>
    </row>
    <row r="3350" spans="3:69">
      <c r="C3350" s="853"/>
      <c r="D3350" s="853"/>
      <c r="E3350" s="853"/>
      <c r="F3350" s="853"/>
      <c r="G3350" s="853"/>
      <c r="H3350" s="853"/>
      <c r="I3350" s="848"/>
      <c r="J3350" s="848"/>
      <c r="K3350" s="1295"/>
      <c r="L3350" s="1295"/>
      <c r="M3350" s="1295"/>
      <c r="N3350" s="1295"/>
      <c r="O3350" s="1295"/>
      <c r="P3350" s="853"/>
      <c r="Q3350" s="1295"/>
      <c r="R3350" s="848"/>
      <c r="S3350" s="848"/>
      <c r="T3350" s="848"/>
      <c r="U3350" s="848"/>
      <c r="V3350" s="1296"/>
      <c r="W3350" s="848"/>
      <c r="X3350" s="848"/>
      <c r="Y3350" s="1295"/>
      <c r="Z3350" s="1296"/>
      <c r="AA3350" s="1295"/>
      <c r="AB3350" s="1296"/>
      <c r="AC3350" s="1295"/>
      <c r="AD3350" s="1295"/>
      <c r="AE3350" s="2556"/>
      <c r="AF3350" s="750"/>
      <c r="AG3350" s="750"/>
      <c r="AH3350" s="750"/>
      <c r="AI3350" s="750"/>
      <c r="AJ3350" s="750"/>
      <c r="AK3350" s="750"/>
      <c r="AL3350" s="750"/>
      <c r="AM3350" s="750"/>
      <c r="AN3350" s="750"/>
      <c r="AO3350" s="750"/>
      <c r="AP3350" s="750"/>
      <c r="AQ3350" s="750"/>
      <c r="AR3350" s="750"/>
      <c r="AS3350" s="750"/>
      <c r="AT3350" s="750"/>
      <c r="AU3350" s="750"/>
      <c r="AV3350" s="750"/>
      <c r="AW3350" s="750"/>
      <c r="AX3350" s="750"/>
      <c r="AY3350" s="750"/>
      <c r="AZ3350" s="750"/>
      <c r="BA3350" s="750"/>
      <c r="BB3350" s="750"/>
      <c r="BC3350" s="750"/>
      <c r="BD3350" s="750"/>
      <c r="BE3350" s="750"/>
      <c r="BF3350" s="750"/>
      <c r="BG3350" s="750"/>
      <c r="BH3350" s="750"/>
      <c r="BI3350" s="750"/>
      <c r="BJ3350" s="750"/>
      <c r="BK3350" s="750"/>
      <c r="BL3350" s="750"/>
      <c r="BM3350" s="750"/>
      <c r="BN3350" s="750"/>
      <c r="BO3350" s="750"/>
      <c r="BP3350" s="750"/>
      <c r="BQ3350" s="750"/>
    </row>
    <row r="3351" spans="3:69">
      <c r="C3351" s="853"/>
      <c r="D3351" s="853"/>
      <c r="E3351" s="853"/>
      <c r="F3351" s="853"/>
      <c r="G3351" s="853"/>
      <c r="H3351" s="853"/>
      <c r="I3351" s="848"/>
      <c r="J3351" s="848"/>
      <c r="K3351" s="1295"/>
      <c r="L3351" s="1295"/>
      <c r="M3351" s="1295"/>
      <c r="N3351" s="1295"/>
      <c r="O3351" s="1295"/>
      <c r="P3351" s="853"/>
      <c r="Q3351" s="1295"/>
      <c r="R3351" s="848"/>
      <c r="S3351" s="848"/>
      <c r="T3351" s="848"/>
      <c r="U3351" s="848"/>
      <c r="V3351" s="1296"/>
      <c r="W3351" s="848"/>
      <c r="X3351" s="848"/>
      <c r="Y3351" s="1295"/>
      <c r="Z3351" s="1296"/>
      <c r="AA3351" s="1295"/>
      <c r="AB3351" s="1296"/>
      <c r="AC3351" s="1295"/>
      <c r="AD3351" s="1295"/>
      <c r="AE3351" s="2556"/>
      <c r="AF3351" s="750"/>
      <c r="AG3351" s="750"/>
      <c r="AH3351" s="750"/>
      <c r="AI3351" s="750"/>
      <c r="AJ3351" s="750"/>
      <c r="AK3351" s="750"/>
      <c r="AL3351" s="750"/>
      <c r="AM3351" s="750"/>
      <c r="AN3351" s="750"/>
      <c r="AO3351" s="750"/>
      <c r="AP3351" s="750"/>
      <c r="AQ3351" s="750"/>
      <c r="AR3351" s="750"/>
      <c r="AS3351" s="750"/>
      <c r="AT3351" s="750"/>
      <c r="AU3351" s="750"/>
      <c r="AV3351" s="750"/>
      <c r="AW3351" s="750"/>
      <c r="AX3351" s="750"/>
      <c r="AY3351" s="750"/>
      <c r="AZ3351" s="750"/>
      <c r="BA3351" s="750"/>
      <c r="BB3351" s="750"/>
      <c r="BC3351" s="750"/>
      <c r="BD3351" s="750"/>
      <c r="BE3351" s="750"/>
      <c r="BF3351" s="750"/>
      <c r="BG3351" s="750"/>
      <c r="BH3351" s="750"/>
      <c r="BI3351" s="750"/>
      <c r="BJ3351" s="750"/>
      <c r="BK3351" s="750"/>
      <c r="BL3351" s="750"/>
      <c r="BM3351" s="750"/>
      <c r="BN3351" s="750"/>
      <c r="BO3351" s="750"/>
      <c r="BP3351" s="750"/>
      <c r="BQ3351" s="750"/>
    </row>
    <row r="3352" spans="3:69">
      <c r="C3352" s="853"/>
      <c r="D3352" s="853"/>
      <c r="E3352" s="853"/>
      <c r="F3352" s="853"/>
      <c r="G3352" s="853"/>
      <c r="H3352" s="853"/>
      <c r="I3352" s="848"/>
      <c r="J3352" s="848"/>
      <c r="K3352" s="1295"/>
      <c r="L3352" s="1295"/>
      <c r="M3352" s="1295"/>
      <c r="N3352" s="1295"/>
      <c r="O3352" s="1295"/>
      <c r="P3352" s="853"/>
      <c r="Q3352" s="1295"/>
      <c r="R3352" s="848"/>
      <c r="S3352" s="848"/>
      <c r="T3352" s="848"/>
      <c r="U3352" s="848"/>
      <c r="V3352" s="1296"/>
      <c r="W3352" s="848"/>
      <c r="X3352" s="848"/>
      <c r="Y3352" s="1295"/>
      <c r="Z3352" s="1296"/>
      <c r="AA3352" s="1295"/>
      <c r="AB3352" s="1296"/>
      <c r="AC3352" s="1295"/>
      <c r="AD3352" s="1295"/>
      <c r="AE3352" s="2556"/>
      <c r="AF3352" s="750"/>
      <c r="AG3352" s="750"/>
      <c r="AH3352" s="750"/>
      <c r="AI3352" s="750"/>
      <c r="AJ3352" s="750"/>
      <c r="AK3352" s="750"/>
      <c r="AL3352" s="750"/>
      <c r="AM3352" s="750"/>
      <c r="AN3352" s="750"/>
      <c r="AO3352" s="750"/>
      <c r="AP3352" s="750"/>
      <c r="AQ3352" s="750"/>
      <c r="AR3352" s="750"/>
      <c r="AS3352" s="750"/>
      <c r="AT3352" s="750"/>
      <c r="AU3352" s="750"/>
      <c r="AV3352" s="750"/>
      <c r="AW3352" s="750"/>
      <c r="AX3352" s="750"/>
      <c r="AY3352" s="750"/>
      <c r="AZ3352" s="750"/>
      <c r="BA3352" s="750"/>
      <c r="BB3352" s="750"/>
      <c r="BC3352" s="750"/>
      <c r="BD3352" s="750"/>
      <c r="BE3352" s="750"/>
      <c r="BF3352" s="750"/>
      <c r="BG3352" s="750"/>
      <c r="BH3352" s="750"/>
      <c r="BI3352" s="750"/>
      <c r="BJ3352" s="750"/>
      <c r="BK3352" s="750"/>
      <c r="BL3352" s="750"/>
      <c r="BM3352" s="750"/>
      <c r="BN3352" s="750"/>
      <c r="BO3352" s="750"/>
      <c r="BP3352" s="750"/>
      <c r="BQ3352" s="750"/>
    </row>
    <row r="3353" spans="3:69">
      <c r="C3353" s="853"/>
      <c r="D3353" s="853"/>
      <c r="E3353" s="853"/>
      <c r="F3353" s="853"/>
      <c r="G3353" s="853"/>
      <c r="H3353" s="853"/>
      <c r="I3353" s="848"/>
      <c r="J3353" s="848"/>
      <c r="K3353" s="1295"/>
      <c r="L3353" s="1295"/>
      <c r="M3353" s="1295"/>
      <c r="N3353" s="1295"/>
      <c r="O3353" s="1295"/>
      <c r="P3353" s="853"/>
      <c r="Q3353" s="1295"/>
      <c r="R3353" s="848"/>
      <c r="S3353" s="848"/>
      <c r="T3353" s="848"/>
      <c r="U3353" s="848"/>
      <c r="V3353" s="1296"/>
      <c r="W3353" s="848"/>
      <c r="X3353" s="848"/>
      <c r="Y3353" s="1295"/>
      <c r="Z3353" s="1296"/>
      <c r="AA3353" s="1295"/>
      <c r="AB3353" s="1296"/>
      <c r="AC3353" s="1295"/>
      <c r="AD3353" s="1295"/>
      <c r="AE3353" s="2556"/>
      <c r="AF3353" s="750"/>
      <c r="AG3353" s="750"/>
      <c r="AH3353" s="750"/>
      <c r="AI3353" s="750"/>
      <c r="AJ3353" s="750"/>
      <c r="AK3353" s="750"/>
      <c r="AL3353" s="750"/>
      <c r="AM3353" s="750"/>
      <c r="AN3353" s="750"/>
      <c r="AO3353" s="750"/>
      <c r="AP3353" s="750"/>
      <c r="AQ3353" s="750"/>
      <c r="AR3353" s="750"/>
      <c r="AS3353" s="750"/>
      <c r="AT3353" s="750"/>
      <c r="AU3353" s="750"/>
      <c r="AV3353" s="750"/>
      <c r="AW3353" s="750"/>
      <c r="AX3353" s="750"/>
      <c r="AY3353" s="750"/>
      <c r="AZ3353" s="750"/>
      <c r="BA3353" s="750"/>
      <c r="BB3353" s="750"/>
      <c r="BC3353" s="750"/>
      <c r="BD3353" s="750"/>
      <c r="BE3353" s="750"/>
      <c r="BF3353" s="750"/>
      <c r="BG3353" s="750"/>
      <c r="BH3353" s="750"/>
      <c r="BI3353" s="750"/>
      <c r="BJ3353" s="750"/>
      <c r="BK3353" s="750"/>
      <c r="BL3353" s="750"/>
      <c r="BM3353" s="750"/>
      <c r="BN3353" s="750"/>
      <c r="BO3353" s="750"/>
      <c r="BP3353" s="750"/>
      <c r="BQ3353" s="750"/>
    </row>
    <row r="3354" spans="3:69">
      <c r="C3354" s="853"/>
      <c r="D3354" s="853"/>
      <c r="E3354" s="853"/>
      <c r="F3354" s="853"/>
      <c r="G3354" s="853"/>
      <c r="H3354" s="853"/>
      <c r="I3354" s="848"/>
      <c r="J3354" s="848"/>
      <c r="K3354" s="1295"/>
      <c r="L3354" s="1295"/>
      <c r="M3354" s="1295"/>
      <c r="N3354" s="1295"/>
      <c r="O3354" s="1295"/>
      <c r="P3354" s="853"/>
      <c r="Q3354" s="1295"/>
      <c r="R3354" s="848"/>
      <c r="S3354" s="848"/>
      <c r="T3354" s="848"/>
      <c r="U3354" s="848"/>
      <c r="V3354" s="1296"/>
      <c r="W3354" s="848"/>
      <c r="X3354" s="848"/>
      <c r="Y3354" s="1295"/>
      <c r="Z3354" s="1296"/>
      <c r="AA3354" s="1295"/>
      <c r="AB3354" s="1296"/>
      <c r="AC3354" s="1295"/>
      <c r="AD3354" s="1295"/>
      <c r="AE3354" s="2556"/>
      <c r="AF3354" s="750"/>
      <c r="AG3354" s="750"/>
      <c r="AH3354" s="750"/>
      <c r="AI3354" s="750"/>
      <c r="AJ3354" s="750"/>
      <c r="AK3354" s="750"/>
      <c r="AL3354" s="750"/>
      <c r="AM3354" s="750"/>
      <c r="AN3354" s="750"/>
      <c r="AO3354" s="750"/>
      <c r="AP3354" s="750"/>
      <c r="AQ3354" s="750"/>
      <c r="AR3354" s="750"/>
      <c r="AS3354" s="750"/>
      <c r="AT3354" s="750"/>
      <c r="AU3354" s="750"/>
      <c r="AV3354" s="750"/>
      <c r="AW3354" s="750"/>
      <c r="AX3354" s="750"/>
      <c r="AY3354" s="750"/>
      <c r="AZ3354" s="750"/>
      <c r="BA3354" s="750"/>
      <c r="BB3354" s="750"/>
      <c r="BC3354" s="750"/>
      <c r="BD3354" s="750"/>
      <c r="BE3354" s="750"/>
      <c r="BF3354" s="750"/>
      <c r="BG3354" s="750"/>
      <c r="BH3354" s="750"/>
      <c r="BI3354" s="750"/>
      <c r="BJ3354" s="750"/>
      <c r="BK3354" s="750"/>
      <c r="BL3354" s="750"/>
      <c r="BM3354" s="750"/>
      <c r="BN3354" s="750"/>
      <c r="BO3354" s="750"/>
      <c r="BP3354" s="750"/>
      <c r="BQ3354" s="750"/>
    </row>
    <row r="3355" spans="3:69">
      <c r="C3355" s="853"/>
      <c r="D3355" s="853"/>
      <c r="E3355" s="853"/>
      <c r="F3355" s="853"/>
      <c r="G3355" s="853"/>
      <c r="H3355" s="853"/>
      <c r="I3355" s="848"/>
      <c r="J3355" s="848"/>
      <c r="K3355" s="1295"/>
      <c r="L3355" s="1295"/>
      <c r="M3355" s="1295"/>
      <c r="N3355" s="1295"/>
      <c r="O3355" s="1295"/>
      <c r="P3355" s="853"/>
      <c r="Q3355" s="1295"/>
      <c r="R3355" s="848"/>
      <c r="S3355" s="848"/>
      <c r="T3355" s="848"/>
      <c r="U3355" s="848"/>
      <c r="V3355" s="1296"/>
      <c r="W3355" s="848"/>
      <c r="X3355" s="848"/>
      <c r="Y3355" s="1295"/>
      <c r="Z3355" s="1296"/>
      <c r="AA3355" s="1295"/>
      <c r="AB3355" s="1296"/>
      <c r="AC3355" s="1295"/>
      <c r="AD3355" s="1295"/>
      <c r="AE3355" s="2556"/>
      <c r="AF3355" s="750"/>
      <c r="AG3355" s="750"/>
      <c r="AH3355" s="750"/>
      <c r="AI3355" s="750"/>
      <c r="AJ3355" s="750"/>
      <c r="AK3355" s="750"/>
      <c r="AL3355" s="750"/>
      <c r="AM3355" s="750"/>
      <c r="AN3355" s="750"/>
      <c r="AO3355" s="750"/>
      <c r="AP3355" s="750"/>
      <c r="AQ3355" s="750"/>
      <c r="AR3355" s="750"/>
      <c r="AS3355" s="750"/>
      <c r="AT3355" s="750"/>
      <c r="AU3355" s="750"/>
      <c r="AV3355" s="750"/>
      <c r="AW3355" s="750"/>
      <c r="AX3355" s="750"/>
      <c r="AY3355" s="750"/>
      <c r="AZ3355" s="750"/>
      <c r="BA3355" s="750"/>
      <c r="BB3355" s="750"/>
      <c r="BC3355" s="750"/>
      <c r="BD3355" s="750"/>
      <c r="BE3355" s="750"/>
      <c r="BF3355" s="750"/>
      <c r="BG3355" s="750"/>
      <c r="BH3355" s="750"/>
      <c r="BI3355" s="750"/>
      <c r="BJ3355" s="750"/>
      <c r="BK3355" s="750"/>
      <c r="BL3355" s="750"/>
      <c r="BM3355" s="750"/>
      <c r="BN3355" s="750"/>
      <c r="BO3355" s="750"/>
      <c r="BP3355" s="750"/>
      <c r="BQ3355" s="750"/>
    </row>
    <row r="3356" spans="3:69">
      <c r="C3356" s="853"/>
      <c r="D3356" s="853"/>
      <c r="E3356" s="853"/>
      <c r="F3356" s="853"/>
      <c r="G3356" s="853"/>
      <c r="H3356" s="853"/>
      <c r="I3356" s="848"/>
      <c r="J3356" s="848"/>
      <c r="K3356" s="1295"/>
      <c r="L3356" s="1295"/>
      <c r="M3356" s="1295"/>
      <c r="N3356" s="1295"/>
      <c r="O3356" s="1295"/>
      <c r="P3356" s="853"/>
      <c r="Q3356" s="1295"/>
      <c r="R3356" s="848"/>
      <c r="S3356" s="848"/>
      <c r="T3356" s="848"/>
      <c r="U3356" s="848"/>
      <c r="V3356" s="1296"/>
      <c r="W3356" s="848"/>
      <c r="X3356" s="848"/>
      <c r="Y3356" s="1295"/>
      <c r="Z3356" s="1296"/>
      <c r="AA3356" s="1295"/>
      <c r="AB3356" s="1296"/>
      <c r="AC3356" s="1295"/>
      <c r="AD3356" s="1295"/>
      <c r="AE3356" s="2556"/>
      <c r="AF3356" s="750"/>
      <c r="AG3356" s="750"/>
      <c r="AH3356" s="750"/>
      <c r="AI3356" s="750"/>
      <c r="AJ3356" s="750"/>
      <c r="AK3356" s="750"/>
      <c r="AL3356" s="750"/>
      <c r="AM3356" s="750"/>
      <c r="AN3356" s="750"/>
      <c r="AO3356" s="750"/>
      <c r="AP3356" s="750"/>
      <c r="AQ3356" s="750"/>
      <c r="AR3356" s="750"/>
      <c r="AS3356" s="750"/>
      <c r="AT3356" s="750"/>
      <c r="AU3356" s="750"/>
      <c r="AV3356" s="750"/>
      <c r="AW3356" s="750"/>
      <c r="AX3356" s="750"/>
      <c r="AY3356" s="750"/>
      <c r="AZ3356" s="750"/>
      <c r="BA3356" s="750"/>
      <c r="BB3356" s="750"/>
      <c r="BC3356" s="750"/>
      <c r="BD3356" s="750"/>
      <c r="BE3356" s="750"/>
      <c r="BF3356" s="750"/>
      <c r="BG3356" s="750"/>
      <c r="BH3356" s="750"/>
      <c r="BI3356" s="750"/>
      <c r="BJ3356" s="750"/>
      <c r="BK3356" s="750"/>
      <c r="BL3356" s="750"/>
      <c r="BM3356" s="750"/>
      <c r="BN3356" s="750"/>
      <c r="BO3356" s="750"/>
      <c r="BP3356" s="750"/>
      <c r="BQ3356" s="750"/>
    </row>
    <row r="3357" spans="3:69">
      <c r="C3357" s="853"/>
      <c r="D3357" s="853"/>
      <c r="E3357" s="853"/>
      <c r="F3357" s="853"/>
      <c r="G3357" s="853"/>
      <c r="H3357" s="853"/>
      <c r="I3357" s="848"/>
      <c r="J3357" s="848"/>
      <c r="K3357" s="1295"/>
      <c r="L3357" s="1295"/>
      <c r="M3357" s="1295"/>
      <c r="N3357" s="1295"/>
      <c r="O3357" s="1295"/>
      <c r="P3357" s="853"/>
      <c r="Q3357" s="1295"/>
      <c r="R3357" s="848"/>
      <c r="S3357" s="848"/>
      <c r="T3357" s="848"/>
      <c r="U3357" s="848"/>
      <c r="V3357" s="1296"/>
      <c r="W3357" s="848"/>
      <c r="X3357" s="848"/>
      <c r="Y3357" s="1295"/>
      <c r="Z3357" s="1296"/>
      <c r="AA3357" s="1295"/>
      <c r="AB3357" s="1296"/>
      <c r="AC3357" s="1295"/>
      <c r="AD3357" s="1295"/>
      <c r="AE3357" s="2556"/>
      <c r="AF3357" s="750"/>
      <c r="AG3357" s="750"/>
      <c r="AH3357" s="750"/>
      <c r="AI3357" s="750"/>
      <c r="AJ3357" s="750"/>
      <c r="AK3357" s="750"/>
      <c r="AL3357" s="750"/>
      <c r="AM3357" s="750"/>
      <c r="AN3357" s="750"/>
      <c r="AO3357" s="750"/>
      <c r="AP3357" s="750"/>
      <c r="AQ3357" s="750"/>
      <c r="AR3357" s="750"/>
      <c r="AS3357" s="750"/>
      <c r="AT3357" s="750"/>
      <c r="AU3357" s="750"/>
      <c r="AV3357" s="750"/>
      <c r="AW3357" s="750"/>
      <c r="AX3357" s="750"/>
      <c r="AY3357" s="750"/>
      <c r="AZ3357" s="750"/>
      <c r="BA3357" s="750"/>
      <c r="BB3357" s="750"/>
      <c r="BC3357" s="750"/>
      <c r="BD3357" s="750"/>
      <c r="BE3357" s="750"/>
      <c r="BF3357" s="750"/>
      <c r="BG3357" s="750"/>
      <c r="BH3357" s="750"/>
      <c r="BI3357" s="750"/>
      <c r="BJ3357" s="750"/>
      <c r="BK3357" s="750"/>
      <c r="BL3357" s="750"/>
      <c r="BM3357" s="750"/>
      <c r="BN3357" s="750"/>
      <c r="BO3357" s="750"/>
      <c r="BP3357" s="750"/>
      <c r="BQ3357" s="750"/>
    </row>
    <row r="3358" spans="3:69">
      <c r="C3358" s="853"/>
      <c r="D3358" s="853"/>
      <c r="E3358" s="853"/>
      <c r="F3358" s="853"/>
      <c r="G3358" s="853"/>
      <c r="H3358" s="853"/>
      <c r="I3358" s="848"/>
      <c r="J3358" s="848"/>
      <c r="K3358" s="1295"/>
      <c r="L3358" s="1295"/>
      <c r="M3358" s="1295"/>
      <c r="N3358" s="1295"/>
      <c r="O3358" s="1295"/>
      <c r="P3358" s="853"/>
      <c r="Q3358" s="1295"/>
      <c r="R3358" s="848"/>
      <c r="S3358" s="848"/>
      <c r="T3358" s="848"/>
      <c r="U3358" s="848"/>
      <c r="V3358" s="1296"/>
      <c r="W3358" s="848"/>
      <c r="X3358" s="848"/>
      <c r="Y3358" s="1295"/>
      <c r="Z3358" s="1296"/>
      <c r="AA3358" s="1295"/>
      <c r="AB3358" s="1296"/>
      <c r="AC3358" s="1295"/>
      <c r="AD3358" s="1295"/>
      <c r="AE3358" s="2556"/>
      <c r="AF3358" s="750"/>
      <c r="AG3358" s="750"/>
      <c r="AH3358" s="750"/>
      <c r="AI3358" s="750"/>
      <c r="AJ3358" s="750"/>
      <c r="AK3358" s="750"/>
      <c r="AL3358" s="750"/>
      <c r="AM3358" s="750"/>
      <c r="AN3358" s="750"/>
      <c r="AO3358" s="750"/>
      <c r="AP3358" s="750"/>
      <c r="AQ3358" s="750"/>
      <c r="AR3358" s="750"/>
      <c r="AS3358" s="750"/>
      <c r="AT3358" s="750"/>
      <c r="AU3358" s="750"/>
      <c r="AV3358" s="750"/>
      <c r="AW3358" s="750"/>
      <c r="AX3358" s="750"/>
      <c r="AY3358" s="750"/>
      <c r="AZ3358" s="750"/>
      <c r="BA3358" s="750"/>
      <c r="BB3358" s="750"/>
      <c r="BC3358" s="750"/>
      <c r="BD3358" s="750"/>
      <c r="BE3358" s="750"/>
      <c r="BF3358" s="750"/>
      <c r="BG3358" s="750"/>
      <c r="BH3358" s="750"/>
      <c r="BI3358" s="750"/>
      <c r="BJ3358" s="750"/>
      <c r="BK3358" s="750"/>
      <c r="BL3358" s="750"/>
      <c r="BM3358" s="750"/>
      <c r="BN3358" s="750"/>
      <c r="BO3358" s="750"/>
      <c r="BP3358" s="750"/>
      <c r="BQ3358" s="750"/>
    </row>
    <row r="3359" spans="3:69">
      <c r="C3359" s="853"/>
      <c r="D3359" s="853"/>
      <c r="E3359" s="853"/>
      <c r="F3359" s="853"/>
      <c r="G3359" s="853"/>
      <c r="H3359" s="853"/>
      <c r="I3359" s="848"/>
      <c r="J3359" s="848"/>
      <c r="K3359" s="1295"/>
      <c r="L3359" s="1295"/>
      <c r="M3359" s="1295"/>
      <c r="N3359" s="1295"/>
      <c r="O3359" s="1295"/>
      <c r="P3359" s="853"/>
      <c r="Q3359" s="1295"/>
      <c r="R3359" s="848"/>
      <c r="S3359" s="848"/>
      <c r="T3359" s="848"/>
      <c r="U3359" s="848"/>
      <c r="V3359" s="1296"/>
      <c r="W3359" s="848"/>
      <c r="X3359" s="848"/>
      <c r="Y3359" s="1295"/>
      <c r="Z3359" s="1296"/>
      <c r="AA3359" s="1295"/>
      <c r="AB3359" s="1296"/>
      <c r="AC3359" s="1295"/>
      <c r="AD3359" s="1295"/>
      <c r="AE3359" s="2556"/>
      <c r="AF3359" s="750"/>
      <c r="AG3359" s="750"/>
      <c r="AH3359" s="750"/>
      <c r="AI3359" s="750"/>
      <c r="AJ3359" s="750"/>
      <c r="AK3359" s="750"/>
      <c r="AL3359" s="750"/>
      <c r="AM3359" s="750"/>
      <c r="AN3359" s="750"/>
      <c r="AO3359" s="750"/>
      <c r="AP3359" s="750"/>
      <c r="AQ3359" s="750"/>
      <c r="AR3359" s="750"/>
      <c r="AS3359" s="750"/>
      <c r="AT3359" s="750"/>
      <c r="AU3359" s="750"/>
      <c r="AV3359" s="750"/>
      <c r="AW3359" s="750"/>
      <c r="AX3359" s="750"/>
      <c r="AY3359" s="750"/>
      <c r="AZ3359" s="750"/>
      <c r="BA3359" s="750"/>
      <c r="BB3359" s="750"/>
      <c r="BC3359" s="750"/>
      <c r="BD3359" s="750"/>
      <c r="BE3359" s="750"/>
      <c r="BF3359" s="750"/>
      <c r="BG3359" s="750"/>
      <c r="BH3359" s="750"/>
      <c r="BI3359" s="750"/>
      <c r="BJ3359" s="750"/>
      <c r="BK3359" s="750"/>
      <c r="BL3359" s="750"/>
      <c r="BM3359" s="750"/>
      <c r="BN3359" s="750"/>
      <c r="BO3359" s="750"/>
      <c r="BP3359" s="750"/>
      <c r="BQ3359" s="750"/>
    </row>
    <row r="3360" spans="3:69">
      <c r="C3360" s="853"/>
      <c r="D3360" s="853"/>
      <c r="E3360" s="853"/>
      <c r="F3360" s="853"/>
      <c r="G3360" s="853"/>
      <c r="H3360" s="853"/>
      <c r="I3360" s="848"/>
      <c r="J3360" s="848"/>
      <c r="K3360" s="1295"/>
      <c r="L3360" s="1295"/>
      <c r="M3360" s="1295"/>
      <c r="N3360" s="1295"/>
      <c r="O3360" s="1295"/>
      <c r="P3360" s="853"/>
      <c r="Q3360" s="1295"/>
      <c r="R3360" s="848"/>
      <c r="S3360" s="848"/>
      <c r="T3360" s="848"/>
      <c r="U3360" s="848"/>
      <c r="V3360" s="1296"/>
      <c r="W3360" s="848"/>
      <c r="X3360" s="848"/>
      <c r="Y3360" s="1295"/>
      <c r="Z3360" s="1296"/>
      <c r="AA3360" s="1295"/>
      <c r="AB3360" s="1296"/>
      <c r="AC3360" s="1295"/>
      <c r="AD3360" s="1295"/>
      <c r="AE3360" s="2556"/>
      <c r="AF3360" s="750"/>
      <c r="AG3360" s="750"/>
      <c r="AH3360" s="750"/>
      <c r="AI3360" s="750"/>
      <c r="AJ3360" s="750"/>
      <c r="AK3360" s="750"/>
      <c r="AL3360" s="750"/>
      <c r="AM3360" s="750"/>
      <c r="AN3360" s="750"/>
      <c r="AO3360" s="750"/>
      <c r="AP3360" s="750"/>
      <c r="AQ3360" s="750"/>
      <c r="AR3360" s="750"/>
      <c r="AS3360" s="750"/>
      <c r="AT3360" s="750"/>
      <c r="AU3360" s="750"/>
      <c r="AV3360" s="750"/>
      <c r="AW3360" s="750"/>
      <c r="AX3360" s="750"/>
      <c r="AY3360" s="750"/>
      <c r="AZ3360" s="750"/>
      <c r="BA3360" s="750"/>
      <c r="BB3360" s="750"/>
      <c r="BC3360" s="750"/>
      <c r="BD3360" s="750"/>
      <c r="BE3360" s="750"/>
      <c r="BF3360" s="750"/>
      <c r="BG3360" s="750"/>
      <c r="BH3360" s="750"/>
      <c r="BI3360" s="750"/>
      <c r="BJ3360" s="750"/>
      <c r="BK3360" s="750"/>
      <c r="BL3360" s="750"/>
      <c r="BM3360" s="750"/>
      <c r="BN3360" s="750"/>
      <c r="BO3360" s="750"/>
      <c r="BP3360" s="750"/>
      <c r="BQ3360" s="750"/>
    </row>
    <row r="3361" spans="3:69">
      <c r="C3361" s="853"/>
      <c r="D3361" s="853"/>
      <c r="E3361" s="853"/>
      <c r="F3361" s="853"/>
      <c r="G3361" s="853"/>
      <c r="H3361" s="853"/>
      <c r="I3361" s="848"/>
      <c r="J3361" s="848"/>
      <c r="K3361" s="1295"/>
      <c r="L3361" s="1295"/>
      <c r="M3361" s="1295"/>
      <c r="N3361" s="1295"/>
      <c r="O3361" s="1295"/>
      <c r="P3361" s="853"/>
      <c r="Q3361" s="1295"/>
      <c r="R3361" s="848"/>
      <c r="S3361" s="848"/>
      <c r="T3361" s="848"/>
      <c r="U3361" s="848"/>
      <c r="V3361" s="1296"/>
      <c r="W3361" s="848"/>
      <c r="X3361" s="848"/>
      <c r="Y3361" s="1295"/>
      <c r="Z3361" s="1296"/>
      <c r="AA3361" s="1295"/>
      <c r="AB3361" s="1296"/>
      <c r="AC3361" s="1295"/>
      <c r="AD3361" s="1295"/>
      <c r="AE3361" s="2556"/>
      <c r="AF3361" s="750"/>
      <c r="AG3361" s="750"/>
      <c r="AH3361" s="750"/>
      <c r="AI3361" s="750"/>
      <c r="AJ3361" s="750"/>
      <c r="AK3361" s="750"/>
      <c r="AL3361" s="750"/>
      <c r="AM3361" s="750"/>
      <c r="AN3361" s="750"/>
      <c r="AO3361" s="750"/>
      <c r="AP3361" s="750"/>
      <c r="AQ3361" s="750"/>
      <c r="AR3361" s="750"/>
      <c r="AS3361" s="750"/>
      <c r="AT3361" s="750"/>
      <c r="AU3361" s="750"/>
      <c r="AV3361" s="750"/>
      <c r="AW3361" s="750"/>
      <c r="AX3361" s="750"/>
      <c r="AY3361" s="750"/>
      <c r="AZ3361" s="750"/>
      <c r="BA3361" s="750"/>
      <c r="BB3361" s="750"/>
      <c r="BC3361" s="750"/>
      <c r="BD3361" s="750"/>
      <c r="BE3361" s="750"/>
      <c r="BF3361" s="750"/>
      <c r="BG3361" s="750"/>
      <c r="BH3361" s="750"/>
      <c r="BI3361" s="750"/>
      <c r="BJ3361" s="750"/>
      <c r="BK3361" s="750"/>
      <c r="BL3361" s="750"/>
      <c r="BM3361" s="750"/>
      <c r="BN3361" s="750"/>
      <c r="BO3361" s="750"/>
      <c r="BP3361" s="750"/>
      <c r="BQ3361" s="750"/>
    </row>
    <row r="3362" spans="3:69">
      <c r="C3362" s="853"/>
      <c r="D3362" s="853"/>
      <c r="E3362" s="853"/>
      <c r="F3362" s="853"/>
      <c r="G3362" s="853"/>
      <c r="H3362" s="853"/>
      <c r="I3362" s="848"/>
      <c r="J3362" s="848"/>
      <c r="K3362" s="1295"/>
      <c r="L3362" s="1295"/>
      <c r="M3362" s="1295"/>
      <c r="N3362" s="1295"/>
      <c r="O3362" s="1295"/>
      <c r="P3362" s="853"/>
      <c r="Q3362" s="1295"/>
      <c r="R3362" s="848"/>
      <c r="S3362" s="848"/>
      <c r="T3362" s="848"/>
      <c r="U3362" s="848"/>
      <c r="V3362" s="1296"/>
      <c r="W3362" s="848"/>
      <c r="X3362" s="848"/>
      <c r="Y3362" s="1295"/>
      <c r="Z3362" s="1296"/>
      <c r="AA3362" s="1295"/>
      <c r="AB3362" s="1296"/>
      <c r="AC3362" s="1295"/>
      <c r="AD3362" s="1295"/>
      <c r="AE3362" s="2556"/>
      <c r="AF3362" s="750"/>
      <c r="AG3362" s="750"/>
      <c r="AH3362" s="750"/>
      <c r="AI3362" s="750"/>
      <c r="AJ3362" s="750"/>
      <c r="AK3362" s="750"/>
      <c r="AL3362" s="750"/>
      <c r="AM3362" s="750"/>
      <c r="AN3362" s="750"/>
      <c r="AO3362" s="750"/>
      <c r="AP3362" s="750"/>
      <c r="AQ3362" s="750"/>
      <c r="AR3362" s="750"/>
      <c r="AS3362" s="750"/>
      <c r="AT3362" s="750"/>
      <c r="AU3362" s="750"/>
      <c r="AV3362" s="750"/>
      <c r="AW3362" s="750"/>
      <c r="AX3362" s="750"/>
      <c r="AY3362" s="750"/>
      <c r="AZ3362" s="750"/>
      <c r="BA3362" s="750"/>
      <c r="BB3362" s="750"/>
      <c r="BC3362" s="750"/>
      <c r="BD3362" s="750"/>
      <c r="BE3362" s="750"/>
      <c r="BF3362" s="750"/>
      <c r="BG3362" s="750"/>
      <c r="BH3362" s="750"/>
      <c r="BI3362" s="750"/>
      <c r="BJ3362" s="750"/>
      <c r="BK3362" s="750"/>
      <c r="BL3362" s="750"/>
      <c r="BM3362" s="750"/>
      <c r="BN3362" s="750"/>
      <c r="BO3362" s="750"/>
      <c r="BP3362" s="750"/>
      <c r="BQ3362" s="750"/>
    </row>
    <row r="3363" spans="3:69">
      <c r="C3363" s="853"/>
      <c r="D3363" s="853"/>
      <c r="E3363" s="853"/>
      <c r="F3363" s="853"/>
      <c r="G3363" s="853"/>
      <c r="H3363" s="853"/>
      <c r="I3363" s="848"/>
      <c r="J3363" s="848"/>
      <c r="K3363" s="1295"/>
      <c r="L3363" s="1295"/>
      <c r="M3363" s="1295"/>
      <c r="N3363" s="1295"/>
      <c r="O3363" s="1295"/>
      <c r="P3363" s="853"/>
      <c r="Q3363" s="1295"/>
      <c r="R3363" s="848"/>
      <c r="S3363" s="848"/>
      <c r="T3363" s="848"/>
      <c r="U3363" s="848"/>
      <c r="V3363" s="1296"/>
      <c r="W3363" s="848"/>
      <c r="X3363" s="848"/>
      <c r="Y3363" s="1295"/>
      <c r="Z3363" s="1296"/>
      <c r="AA3363" s="1295"/>
      <c r="AB3363" s="1296"/>
      <c r="AC3363" s="1295"/>
      <c r="AD3363" s="1295"/>
      <c r="AE3363" s="2556"/>
      <c r="AF3363" s="750"/>
      <c r="AG3363" s="750"/>
      <c r="AH3363" s="750"/>
      <c r="AI3363" s="750"/>
      <c r="AJ3363" s="750"/>
      <c r="AK3363" s="750"/>
      <c r="AL3363" s="750"/>
      <c r="AM3363" s="750"/>
      <c r="AN3363" s="750"/>
      <c r="AO3363" s="750"/>
      <c r="AP3363" s="750"/>
      <c r="AQ3363" s="750"/>
      <c r="AR3363" s="750"/>
      <c r="AS3363" s="750"/>
      <c r="AT3363" s="750"/>
      <c r="AU3363" s="750"/>
      <c r="AV3363" s="750"/>
      <c r="AW3363" s="750"/>
      <c r="AX3363" s="750"/>
      <c r="AY3363" s="750"/>
      <c r="AZ3363" s="750"/>
      <c r="BA3363" s="750"/>
      <c r="BB3363" s="750"/>
      <c r="BC3363" s="750"/>
      <c r="BD3363" s="750"/>
      <c r="BE3363" s="750"/>
      <c r="BF3363" s="750"/>
      <c r="BG3363" s="750"/>
      <c r="BH3363" s="750"/>
      <c r="BI3363" s="750"/>
      <c r="BJ3363" s="750"/>
      <c r="BK3363" s="750"/>
      <c r="BL3363" s="750"/>
      <c r="BM3363" s="750"/>
      <c r="BN3363" s="750"/>
      <c r="BO3363" s="750"/>
      <c r="BP3363" s="750"/>
      <c r="BQ3363" s="750"/>
    </row>
    <row r="3364" spans="3:69">
      <c r="C3364" s="853"/>
      <c r="D3364" s="853"/>
      <c r="E3364" s="853"/>
      <c r="F3364" s="853"/>
      <c r="G3364" s="853"/>
      <c r="H3364" s="853"/>
      <c r="I3364" s="848"/>
      <c r="J3364" s="848"/>
      <c r="K3364" s="1295"/>
      <c r="L3364" s="1295"/>
      <c r="M3364" s="1295"/>
      <c r="N3364" s="1295"/>
      <c r="O3364" s="1295"/>
      <c r="P3364" s="853"/>
      <c r="Q3364" s="1295"/>
      <c r="R3364" s="848"/>
      <c r="S3364" s="848"/>
      <c r="T3364" s="848"/>
      <c r="U3364" s="848"/>
      <c r="V3364" s="1296"/>
      <c r="W3364" s="848"/>
      <c r="X3364" s="848"/>
      <c r="Y3364" s="1295"/>
      <c r="Z3364" s="1296"/>
      <c r="AA3364" s="1295"/>
      <c r="AB3364" s="1296"/>
      <c r="AC3364" s="1295"/>
      <c r="AD3364" s="1295"/>
      <c r="AE3364" s="2556"/>
      <c r="AF3364" s="750"/>
      <c r="AG3364" s="750"/>
      <c r="AH3364" s="750"/>
      <c r="AI3364" s="750"/>
      <c r="AJ3364" s="750"/>
      <c r="AK3364" s="750"/>
      <c r="AL3364" s="750"/>
      <c r="AM3364" s="750"/>
      <c r="AN3364" s="750"/>
      <c r="AO3364" s="750"/>
      <c r="AP3364" s="750"/>
      <c r="AQ3364" s="750"/>
      <c r="AR3364" s="750"/>
      <c r="AS3364" s="750"/>
      <c r="AT3364" s="750"/>
      <c r="AU3364" s="750"/>
      <c r="AV3364" s="750"/>
      <c r="AW3364" s="750"/>
      <c r="AX3364" s="750"/>
      <c r="AY3364" s="750"/>
      <c r="AZ3364" s="750"/>
      <c r="BA3364" s="750"/>
      <c r="BB3364" s="750"/>
      <c r="BC3364" s="750"/>
      <c r="BD3364" s="750"/>
      <c r="BE3364" s="750"/>
      <c r="BF3364" s="750"/>
      <c r="BG3364" s="750"/>
      <c r="BH3364" s="750"/>
      <c r="BI3364" s="750"/>
      <c r="BJ3364" s="750"/>
      <c r="BK3364" s="750"/>
      <c r="BL3364" s="750"/>
      <c r="BM3364" s="750"/>
      <c r="BN3364" s="750"/>
      <c r="BO3364" s="750"/>
      <c r="BP3364" s="750"/>
      <c r="BQ3364" s="750"/>
    </row>
    <row r="3365" spans="3:69">
      <c r="C3365" s="853"/>
      <c r="D3365" s="853"/>
      <c r="E3365" s="853"/>
      <c r="F3365" s="853"/>
      <c r="G3365" s="853"/>
      <c r="H3365" s="853"/>
      <c r="I3365" s="848"/>
      <c r="J3365" s="848"/>
      <c r="K3365" s="1295"/>
      <c r="L3365" s="1295"/>
      <c r="M3365" s="1295"/>
      <c r="N3365" s="1295"/>
      <c r="O3365" s="1295"/>
      <c r="P3365" s="853"/>
      <c r="Q3365" s="1295"/>
      <c r="R3365" s="848"/>
      <c r="S3365" s="848"/>
      <c r="T3365" s="848"/>
      <c r="U3365" s="848"/>
      <c r="V3365" s="1296"/>
      <c r="W3365" s="848"/>
      <c r="X3365" s="848"/>
      <c r="Y3365" s="1295"/>
      <c r="Z3365" s="1296"/>
      <c r="AA3365" s="1295"/>
      <c r="AB3365" s="1296"/>
      <c r="AC3365" s="1295"/>
      <c r="AD3365" s="1295"/>
      <c r="AE3365" s="2556"/>
      <c r="AF3365" s="750"/>
      <c r="AG3365" s="750"/>
      <c r="AH3365" s="750"/>
      <c r="AI3365" s="750"/>
      <c r="AJ3365" s="750"/>
      <c r="AK3365" s="750"/>
      <c r="AL3365" s="750"/>
      <c r="AM3365" s="750"/>
      <c r="AN3365" s="750"/>
      <c r="AO3365" s="750"/>
      <c r="AP3365" s="750"/>
      <c r="AQ3365" s="750"/>
      <c r="AR3365" s="750"/>
      <c r="AS3365" s="750"/>
      <c r="AT3365" s="750"/>
      <c r="AU3365" s="750"/>
      <c r="AV3365" s="750"/>
      <c r="AW3365" s="750"/>
      <c r="AX3365" s="750"/>
      <c r="AY3365" s="750"/>
      <c r="AZ3365" s="750"/>
      <c r="BA3365" s="750"/>
      <c r="BB3365" s="750"/>
      <c r="BC3365" s="750"/>
      <c r="BD3365" s="750"/>
      <c r="BE3365" s="750"/>
      <c r="BF3365" s="750"/>
      <c r="BG3365" s="750"/>
      <c r="BH3365" s="750"/>
      <c r="BI3365" s="750"/>
      <c r="BJ3365" s="750"/>
      <c r="BK3365" s="750"/>
      <c r="BL3365" s="750"/>
      <c r="BM3365" s="750"/>
      <c r="BN3365" s="750"/>
      <c r="BO3365" s="750"/>
      <c r="BP3365" s="750"/>
      <c r="BQ3365" s="750"/>
    </row>
    <row r="3366" spans="3:69">
      <c r="C3366" s="853"/>
      <c r="D3366" s="853"/>
      <c r="E3366" s="853"/>
      <c r="F3366" s="853"/>
      <c r="G3366" s="853"/>
      <c r="H3366" s="853"/>
      <c r="I3366" s="848"/>
      <c r="J3366" s="848"/>
      <c r="K3366" s="1295"/>
      <c r="L3366" s="1295"/>
      <c r="M3366" s="1295"/>
      <c r="N3366" s="1295"/>
      <c r="O3366" s="1295"/>
      <c r="P3366" s="853"/>
      <c r="Q3366" s="1295"/>
      <c r="R3366" s="848"/>
      <c r="S3366" s="848"/>
      <c r="T3366" s="848"/>
      <c r="U3366" s="848"/>
      <c r="V3366" s="1296"/>
      <c r="W3366" s="848"/>
      <c r="X3366" s="848"/>
      <c r="Y3366" s="1295"/>
      <c r="Z3366" s="1296"/>
      <c r="AA3366" s="1295"/>
      <c r="AB3366" s="1296"/>
      <c r="AC3366" s="1295"/>
      <c r="AD3366" s="1295"/>
      <c r="AE3366" s="2556"/>
      <c r="AF3366" s="750"/>
      <c r="AG3366" s="750"/>
      <c r="AH3366" s="750"/>
      <c r="AI3366" s="750"/>
      <c r="AJ3366" s="750"/>
      <c r="AK3366" s="750"/>
      <c r="AL3366" s="750"/>
      <c r="AM3366" s="750"/>
      <c r="AN3366" s="750"/>
      <c r="AO3366" s="750"/>
      <c r="AP3366" s="750"/>
      <c r="AQ3366" s="750"/>
      <c r="AR3366" s="750"/>
      <c r="AS3366" s="750"/>
      <c r="AT3366" s="750"/>
      <c r="AU3366" s="750"/>
      <c r="AV3366" s="750"/>
      <c r="AW3366" s="750"/>
      <c r="AX3366" s="750"/>
      <c r="AY3366" s="750"/>
      <c r="AZ3366" s="750"/>
      <c r="BA3366" s="750"/>
      <c r="BB3366" s="750"/>
      <c r="BC3366" s="750"/>
      <c r="BD3366" s="750"/>
      <c r="BE3366" s="750"/>
      <c r="BF3366" s="750"/>
      <c r="BG3366" s="750"/>
      <c r="BH3366" s="750"/>
      <c r="BI3366" s="750"/>
      <c r="BJ3366" s="750"/>
      <c r="BK3366" s="750"/>
      <c r="BL3366" s="750"/>
      <c r="BM3366" s="750"/>
      <c r="BN3366" s="750"/>
      <c r="BO3366" s="750"/>
      <c r="BP3366" s="750"/>
      <c r="BQ3366" s="750"/>
    </row>
    <row r="3367" spans="3:69">
      <c r="C3367" s="853"/>
      <c r="D3367" s="853"/>
      <c r="E3367" s="853"/>
      <c r="F3367" s="853"/>
      <c r="G3367" s="853"/>
      <c r="H3367" s="853"/>
      <c r="I3367" s="848"/>
      <c r="J3367" s="848"/>
      <c r="K3367" s="1295"/>
      <c r="L3367" s="1295"/>
      <c r="M3367" s="1295"/>
      <c r="N3367" s="1295"/>
      <c r="O3367" s="1295"/>
      <c r="P3367" s="853"/>
      <c r="Q3367" s="1295"/>
      <c r="R3367" s="848"/>
      <c r="S3367" s="848"/>
      <c r="T3367" s="848"/>
      <c r="U3367" s="848"/>
      <c r="V3367" s="1296"/>
      <c r="W3367" s="848"/>
      <c r="X3367" s="848"/>
      <c r="Y3367" s="1295"/>
      <c r="Z3367" s="1296"/>
      <c r="AA3367" s="1295"/>
      <c r="AB3367" s="1296"/>
      <c r="AC3367" s="1295"/>
      <c r="AD3367" s="1295"/>
      <c r="AE3367" s="2556"/>
      <c r="AF3367" s="750"/>
      <c r="AG3367" s="750"/>
      <c r="AH3367" s="750"/>
      <c r="AI3367" s="750"/>
      <c r="AJ3367" s="750"/>
      <c r="AK3367" s="750"/>
      <c r="AL3367" s="750"/>
      <c r="AM3367" s="750"/>
      <c r="AN3367" s="750"/>
      <c r="AO3367" s="750"/>
      <c r="AP3367" s="750"/>
      <c r="AQ3367" s="750"/>
      <c r="AR3367" s="750"/>
      <c r="AS3367" s="750"/>
      <c r="AT3367" s="750"/>
      <c r="AU3367" s="750"/>
      <c r="AV3367" s="750"/>
      <c r="AW3367" s="750"/>
      <c r="AX3367" s="750"/>
      <c r="AY3367" s="750"/>
      <c r="AZ3367" s="750"/>
      <c r="BA3367" s="750"/>
      <c r="BB3367" s="750"/>
      <c r="BC3367" s="750"/>
      <c r="BD3367" s="750"/>
      <c r="BE3367" s="750"/>
      <c r="BF3367" s="750"/>
      <c r="BG3367" s="750"/>
      <c r="BH3367" s="750"/>
      <c r="BI3367" s="750"/>
      <c r="BJ3367" s="750"/>
      <c r="BK3367" s="750"/>
      <c r="BL3367" s="750"/>
      <c r="BM3367" s="750"/>
      <c r="BN3367" s="750"/>
      <c r="BO3367" s="750"/>
      <c r="BP3367" s="750"/>
      <c r="BQ3367" s="750"/>
    </row>
    <row r="3368" spans="3:69">
      <c r="C3368" s="853"/>
      <c r="D3368" s="853"/>
      <c r="E3368" s="853"/>
      <c r="F3368" s="853"/>
      <c r="G3368" s="853"/>
      <c r="H3368" s="853"/>
      <c r="I3368" s="848"/>
      <c r="J3368" s="848"/>
      <c r="K3368" s="1295"/>
      <c r="L3368" s="1295"/>
      <c r="M3368" s="1295"/>
      <c r="N3368" s="1295"/>
      <c r="O3368" s="1295"/>
      <c r="P3368" s="853"/>
      <c r="Q3368" s="1295"/>
      <c r="R3368" s="848"/>
      <c r="S3368" s="848"/>
      <c r="T3368" s="848"/>
      <c r="U3368" s="848"/>
      <c r="V3368" s="1296"/>
      <c r="W3368" s="848"/>
      <c r="X3368" s="848"/>
      <c r="Y3368" s="1295"/>
      <c r="Z3368" s="1296"/>
      <c r="AA3368" s="1295"/>
      <c r="AB3368" s="1296"/>
      <c r="AC3368" s="1295"/>
      <c r="AD3368" s="1295"/>
      <c r="AE3368" s="2556"/>
      <c r="AF3368" s="750"/>
      <c r="AG3368" s="750"/>
      <c r="AH3368" s="750"/>
      <c r="AI3368" s="750"/>
      <c r="AJ3368" s="750"/>
      <c r="AK3368" s="750"/>
      <c r="AL3368" s="750"/>
      <c r="AM3368" s="750"/>
      <c r="AN3368" s="750"/>
      <c r="AO3368" s="750"/>
      <c r="AP3368" s="750"/>
      <c r="AQ3368" s="750"/>
      <c r="AR3368" s="750"/>
      <c r="AS3368" s="750"/>
      <c r="AT3368" s="750"/>
      <c r="AU3368" s="750"/>
      <c r="AV3368" s="750"/>
      <c r="AW3368" s="750"/>
      <c r="AX3368" s="750"/>
      <c r="AY3368" s="750"/>
      <c r="AZ3368" s="750"/>
      <c r="BA3368" s="750"/>
      <c r="BB3368" s="750"/>
      <c r="BC3368" s="750"/>
      <c r="BD3368" s="750"/>
      <c r="BE3368" s="750"/>
      <c r="BF3368" s="750"/>
      <c r="BG3368" s="750"/>
      <c r="BH3368" s="750"/>
      <c r="BI3368" s="750"/>
      <c r="BJ3368" s="750"/>
      <c r="BK3368" s="750"/>
      <c r="BL3368" s="750"/>
      <c r="BM3368" s="750"/>
      <c r="BN3368" s="750"/>
      <c r="BO3368" s="750"/>
      <c r="BP3368" s="750"/>
      <c r="BQ3368" s="750"/>
    </row>
    <row r="3369" spans="3:69">
      <c r="C3369" s="853"/>
      <c r="D3369" s="853"/>
      <c r="E3369" s="853"/>
      <c r="F3369" s="853"/>
      <c r="G3369" s="853"/>
      <c r="H3369" s="853"/>
      <c r="I3369" s="848"/>
      <c r="J3369" s="848"/>
      <c r="K3369" s="1295"/>
      <c r="L3369" s="1295"/>
      <c r="M3369" s="1295"/>
      <c r="N3369" s="1295"/>
      <c r="O3369" s="1295"/>
      <c r="P3369" s="853"/>
      <c r="Q3369" s="1295"/>
      <c r="R3369" s="848"/>
      <c r="S3369" s="848"/>
      <c r="T3369" s="848"/>
      <c r="U3369" s="848"/>
      <c r="V3369" s="1296"/>
      <c r="W3369" s="848"/>
      <c r="X3369" s="848"/>
      <c r="Y3369" s="1295"/>
      <c r="Z3369" s="1296"/>
      <c r="AA3369" s="1295"/>
      <c r="AB3369" s="1296"/>
      <c r="AC3369" s="1295"/>
      <c r="AD3369" s="1295"/>
      <c r="AE3369" s="2556"/>
      <c r="AF3369" s="750"/>
      <c r="AG3369" s="750"/>
      <c r="AH3369" s="750"/>
      <c r="AI3369" s="750"/>
      <c r="AJ3369" s="750"/>
      <c r="AK3369" s="750"/>
      <c r="AL3369" s="750"/>
      <c r="AM3369" s="750"/>
      <c r="AN3369" s="750"/>
      <c r="AO3369" s="750"/>
      <c r="AP3369" s="750"/>
      <c r="AQ3369" s="750"/>
      <c r="AR3369" s="750"/>
      <c r="AS3369" s="750"/>
      <c r="AT3369" s="750"/>
      <c r="AU3369" s="750"/>
      <c r="AV3369" s="750"/>
      <c r="AW3369" s="750"/>
      <c r="AX3369" s="750"/>
      <c r="AY3369" s="750"/>
      <c r="AZ3369" s="750"/>
      <c r="BA3369" s="750"/>
      <c r="BB3369" s="750"/>
      <c r="BC3369" s="750"/>
      <c r="BD3369" s="750"/>
      <c r="BE3369" s="750"/>
      <c r="BF3369" s="750"/>
      <c r="BG3369" s="750"/>
      <c r="BH3369" s="750"/>
      <c r="BI3369" s="750"/>
      <c r="BJ3369" s="750"/>
      <c r="BK3369" s="750"/>
      <c r="BL3369" s="750"/>
      <c r="BM3369" s="750"/>
      <c r="BN3369" s="750"/>
      <c r="BO3369" s="750"/>
      <c r="BP3369" s="750"/>
      <c r="BQ3369" s="750"/>
    </row>
    <row r="3370" spans="3:69">
      <c r="C3370" s="853"/>
      <c r="D3370" s="853"/>
      <c r="E3370" s="853"/>
      <c r="F3370" s="853"/>
      <c r="G3370" s="853"/>
      <c r="H3370" s="853"/>
      <c r="I3370" s="848"/>
      <c r="J3370" s="848"/>
      <c r="K3370" s="1295"/>
      <c r="L3370" s="1295"/>
      <c r="M3370" s="1295"/>
      <c r="N3370" s="1295"/>
      <c r="O3370" s="1295"/>
      <c r="P3370" s="853"/>
      <c r="Q3370" s="1295"/>
      <c r="R3370" s="848"/>
      <c r="S3370" s="848"/>
      <c r="T3370" s="848"/>
      <c r="U3370" s="848"/>
      <c r="V3370" s="1296"/>
      <c r="W3370" s="848"/>
      <c r="X3370" s="848"/>
      <c r="Y3370" s="1295"/>
      <c r="Z3370" s="1296"/>
      <c r="AA3370" s="1295"/>
      <c r="AB3370" s="1296"/>
      <c r="AC3370" s="1295"/>
      <c r="AD3370" s="1295"/>
      <c r="AE3370" s="2556"/>
      <c r="AF3370" s="750"/>
      <c r="AG3370" s="750"/>
      <c r="AH3370" s="750"/>
      <c r="AI3370" s="750"/>
      <c r="AJ3370" s="750"/>
      <c r="AK3370" s="750"/>
      <c r="AL3370" s="750"/>
      <c r="AM3370" s="750"/>
      <c r="AN3370" s="750"/>
      <c r="AO3370" s="750"/>
      <c r="AP3370" s="750"/>
      <c r="AQ3370" s="750"/>
      <c r="AR3370" s="750"/>
      <c r="AS3370" s="750"/>
      <c r="AT3370" s="750"/>
      <c r="AU3370" s="750"/>
      <c r="AV3370" s="750"/>
      <c r="AW3370" s="750"/>
      <c r="AX3370" s="750"/>
      <c r="AY3370" s="750"/>
      <c r="AZ3370" s="750"/>
      <c r="BA3370" s="750"/>
      <c r="BB3370" s="750"/>
      <c r="BC3370" s="750"/>
      <c r="BD3370" s="750"/>
      <c r="BE3370" s="750"/>
      <c r="BF3370" s="750"/>
      <c r="BG3370" s="750"/>
      <c r="BH3370" s="750"/>
      <c r="BI3370" s="750"/>
      <c r="BJ3370" s="750"/>
      <c r="BK3370" s="750"/>
      <c r="BL3370" s="750"/>
      <c r="BM3370" s="750"/>
      <c r="BN3370" s="750"/>
      <c r="BO3370" s="750"/>
      <c r="BP3370" s="750"/>
      <c r="BQ3370" s="750"/>
    </row>
    <row r="3371" spans="3:69">
      <c r="C3371" s="853"/>
      <c r="D3371" s="853"/>
      <c r="E3371" s="853"/>
      <c r="F3371" s="853"/>
      <c r="G3371" s="853"/>
      <c r="H3371" s="853"/>
      <c r="I3371" s="848"/>
      <c r="J3371" s="848"/>
      <c r="K3371" s="1295"/>
      <c r="L3371" s="1295"/>
      <c r="M3371" s="1295"/>
      <c r="N3371" s="1295"/>
      <c r="O3371" s="1295"/>
      <c r="P3371" s="853"/>
      <c r="Q3371" s="1295"/>
      <c r="R3371" s="848"/>
      <c r="S3371" s="848"/>
      <c r="T3371" s="848"/>
      <c r="U3371" s="848"/>
      <c r="V3371" s="1296"/>
      <c r="W3371" s="848"/>
      <c r="X3371" s="848"/>
      <c r="Y3371" s="1295"/>
      <c r="Z3371" s="1296"/>
      <c r="AA3371" s="1295"/>
      <c r="AB3371" s="1296"/>
      <c r="AC3371" s="1295"/>
      <c r="AD3371" s="1295"/>
      <c r="AE3371" s="2556"/>
      <c r="AF3371" s="750"/>
      <c r="AG3371" s="750"/>
      <c r="AH3371" s="750"/>
      <c r="AI3371" s="750"/>
      <c r="AJ3371" s="750"/>
      <c r="AK3371" s="750"/>
      <c r="AL3371" s="750"/>
      <c r="AM3371" s="750"/>
      <c r="AN3371" s="750"/>
      <c r="AO3371" s="750"/>
      <c r="AP3371" s="750"/>
      <c r="AQ3371" s="750"/>
      <c r="AR3371" s="750"/>
      <c r="AS3371" s="750"/>
      <c r="AT3371" s="750"/>
      <c r="AU3371" s="750"/>
      <c r="AV3371" s="750"/>
      <c r="AW3371" s="750"/>
      <c r="AX3371" s="750"/>
      <c r="AY3371" s="750"/>
      <c r="AZ3371" s="750"/>
      <c r="BA3371" s="750"/>
      <c r="BB3371" s="750"/>
      <c r="BC3371" s="750"/>
      <c r="BD3371" s="750"/>
      <c r="BE3371" s="750"/>
      <c r="BF3371" s="750"/>
      <c r="BG3371" s="750"/>
      <c r="BH3371" s="750"/>
      <c r="BI3371" s="750"/>
      <c r="BJ3371" s="750"/>
      <c r="BK3371" s="750"/>
      <c r="BL3371" s="750"/>
      <c r="BM3371" s="750"/>
      <c r="BN3371" s="750"/>
      <c r="BO3371" s="750"/>
      <c r="BP3371" s="750"/>
      <c r="BQ3371" s="750"/>
    </row>
    <row r="3372" spans="3:69">
      <c r="C3372" s="853"/>
      <c r="D3372" s="853"/>
      <c r="E3372" s="853"/>
      <c r="F3372" s="853"/>
      <c r="G3372" s="853"/>
      <c r="H3372" s="853"/>
      <c r="I3372" s="848"/>
      <c r="J3372" s="848"/>
      <c r="K3372" s="1295"/>
      <c r="L3372" s="1295"/>
      <c r="M3372" s="1295"/>
      <c r="N3372" s="1295"/>
      <c r="O3372" s="1295"/>
      <c r="P3372" s="853"/>
      <c r="Q3372" s="1295"/>
      <c r="R3372" s="848"/>
      <c r="S3372" s="848"/>
      <c r="T3372" s="848"/>
      <c r="U3372" s="848"/>
      <c r="V3372" s="1296"/>
      <c r="W3372" s="848"/>
      <c r="X3372" s="848"/>
      <c r="Y3372" s="1295"/>
      <c r="Z3372" s="1296"/>
      <c r="AA3372" s="1295"/>
      <c r="AB3372" s="1296"/>
      <c r="AC3372" s="1295"/>
      <c r="AD3372" s="1295"/>
      <c r="AE3372" s="2556"/>
      <c r="AF3372" s="750"/>
      <c r="AG3372" s="750"/>
      <c r="AH3372" s="750"/>
      <c r="AI3372" s="750"/>
      <c r="AJ3372" s="750"/>
      <c r="AK3372" s="750"/>
      <c r="AL3372" s="750"/>
      <c r="AM3372" s="750"/>
      <c r="AN3372" s="750"/>
      <c r="AO3372" s="750"/>
      <c r="AP3372" s="750"/>
      <c r="AQ3372" s="750"/>
      <c r="AR3372" s="750"/>
      <c r="AS3372" s="750"/>
      <c r="AT3372" s="750"/>
      <c r="AU3372" s="750"/>
      <c r="AV3372" s="750"/>
      <c r="AW3372" s="750"/>
      <c r="AX3372" s="750"/>
      <c r="AY3372" s="750"/>
      <c r="AZ3372" s="750"/>
      <c r="BA3372" s="750"/>
      <c r="BB3372" s="750"/>
      <c r="BC3372" s="750"/>
      <c r="BD3372" s="750"/>
      <c r="BE3372" s="750"/>
      <c r="BF3372" s="750"/>
      <c r="BG3372" s="750"/>
      <c r="BH3372" s="750"/>
      <c r="BI3372" s="750"/>
      <c r="BJ3372" s="750"/>
      <c r="BK3372" s="750"/>
      <c r="BL3372" s="750"/>
      <c r="BM3372" s="750"/>
      <c r="BN3372" s="750"/>
      <c r="BO3372" s="750"/>
      <c r="BP3372" s="750"/>
      <c r="BQ3372" s="750"/>
    </row>
    <row r="3373" spans="3:69">
      <c r="C3373" s="853"/>
      <c r="D3373" s="853"/>
      <c r="E3373" s="853"/>
      <c r="F3373" s="853"/>
      <c r="G3373" s="853"/>
      <c r="H3373" s="853"/>
      <c r="I3373" s="848"/>
      <c r="J3373" s="848"/>
      <c r="K3373" s="1295"/>
      <c r="L3373" s="1295"/>
      <c r="M3373" s="1295"/>
      <c r="N3373" s="1295"/>
      <c r="O3373" s="1295"/>
      <c r="P3373" s="853"/>
      <c r="Q3373" s="1295"/>
      <c r="R3373" s="848"/>
      <c r="S3373" s="848"/>
      <c r="T3373" s="848"/>
      <c r="U3373" s="848"/>
      <c r="V3373" s="1296"/>
      <c r="W3373" s="848"/>
      <c r="X3373" s="848"/>
      <c r="Y3373" s="1295"/>
      <c r="Z3373" s="1296"/>
      <c r="AA3373" s="1295"/>
      <c r="AB3373" s="1296"/>
      <c r="AC3373" s="1295"/>
      <c r="AD3373" s="1295"/>
      <c r="AE3373" s="2556"/>
      <c r="AF3373" s="750"/>
      <c r="AG3373" s="750"/>
      <c r="AH3373" s="750"/>
      <c r="AI3373" s="750"/>
      <c r="AJ3373" s="750"/>
      <c r="AK3373" s="750"/>
      <c r="AL3373" s="750"/>
      <c r="AM3373" s="750"/>
      <c r="AN3373" s="750"/>
      <c r="AO3373" s="750"/>
      <c r="AP3373" s="750"/>
      <c r="AQ3373" s="750"/>
      <c r="AR3373" s="750"/>
      <c r="AS3373" s="750"/>
      <c r="AT3373" s="750"/>
      <c r="AU3373" s="750"/>
      <c r="AV3373" s="750"/>
      <c r="AW3373" s="750"/>
      <c r="AX3373" s="750"/>
      <c r="AY3373" s="750"/>
      <c r="AZ3373" s="750"/>
      <c r="BA3373" s="750"/>
      <c r="BB3373" s="750"/>
      <c r="BC3373" s="750"/>
      <c r="BD3373" s="750"/>
      <c r="BE3373" s="750"/>
      <c r="BF3373" s="750"/>
      <c r="BG3373" s="750"/>
      <c r="BH3373" s="750"/>
      <c r="BI3373" s="750"/>
      <c r="BJ3373" s="750"/>
      <c r="BK3373" s="750"/>
      <c r="BL3373" s="750"/>
      <c r="BM3373" s="750"/>
      <c r="BN3373" s="750"/>
      <c r="BO3373" s="750"/>
      <c r="BP3373" s="750"/>
      <c r="BQ3373" s="750"/>
    </row>
    <row r="3374" spans="3:69">
      <c r="C3374" s="853"/>
      <c r="D3374" s="853"/>
      <c r="E3374" s="853"/>
      <c r="F3374" s="853"/>
      <c r="G3374" s="853"/>
      <c r="H3374" s="853"/>
      <c r="I3374" s="848"/>
      <c r="J3374" s="848"/>
      <c r="K3374" s="1295"/>
      <c r="L3374" s="1295"/>
      <c r="M3374" s="1295"/>
      <c r="N3374" s="1295"/>
      <c r="O3374" s="1295"/>
      <c r="P3374" s="853"/>
      <c r="Q3374" s="1295"/>
      <c r="R3374" s="848"/>
      <c r="S3374" s="848"/>
      <c r="T3374" s="848"/>
      <c r="U3374" s="848"/>
      <c r="V3374" s="1296"/>
      <c r="W3374" s="848"/>
      <c r="X3374" s="848"/>
      <c r="Y3374" s="1295"/>
      <c r="Z3374" s="1296"/>
      <c r="AA3374" s="1295"/>
      <c r="AB3374" s="1296"/>
      <c r="AC3374" s="1295"/>
      <c r="AD3374" s="1295"/>
      <c r="AE3374" s="2556"/>
      <c r="AF3374" s="750"/>
      <c r="AG3374" s="750"/>
      <c r="AH3374" s="750"/>
      <c r="AI3374" s="750"/>
      <c r="AJ3374" s="750"/>
      <c r="AK3374" s="750"/>
      <c r="AL3374" s="750"/>
      <c r="AM3374" s="750"/>
      <c r="AN3374" s="750"/>
      <c r="AO3374" s="750"/>
      <c r="AP3374" s="750"/>
      <c r="AQ3374" s="750"/>
      <c r="AR3374" s="750"/>
      <c r="AS3374" s="750"/>
      <c r="AT3374" s="750"/>
      <c r="AU3374" s="750"/>
      <c r="AV3374" s="750"/>
      <c r="AW3374" s="750"/>
      <c r="AX3374" s="750"/>
      <c r="AY3374" s="750"/>
      <c r="AZ3374" s="750"/>
      <c r="BA3374" s="750"/>
      <c r="BB3374" s="750"/>
      <c r="BC3374" s="750"/>
      <c r="BD3374" s="750"/>
      <c r="BE3374" s="750"/>
      <c r="BF3374" s="750"/>
      <c r="BG3374" s="750"/>
      <c r="BH3374" s="750"/>
      <c r="BI3374" s="750"/>
      <c r="BJ3374" s="750"/>
      <c r="BK3374" s="750"/>
      <c r="BL3374" s="750"/>
      <c r="BM3374" s="750"/>
      <c r="BN3374" s="750"/>
      <c r="BO3374" s="750"/>
      <c r="BP3374" s="750"/>
      <c r="BQ3374" s="750"/>
    </row>
    <row r="3375" spans="3:69">
      <c r="C3375" s="853"/>
      <c r="D3375" s="853"/>
      <c r="E3375" s="853"/>
      <c r="F3375" s="853"/>
      <c r="G3375" s="853"/>
      <c r="H3375" s="853"/>
      <c r="I3375" s="848"/>
      <c r="J3375" s="848"/>
      <c r="K3375" s="1295"/>
      <c r="L3375" s="1295"/>
      <c r="M3375" s="1295"/>
      <c r="N3375" s="1295"/>
      <c r="O3375" s="1295"/>
      <c r="P3375" s="853"/>
      <c r="Q3375" s="1295"/>
      <c r="R3375" s="848"/>
      <c r="S3375" s="848"/>
      <c r="T3375" s="848"/>
      <c r="U3375" s="848"/>
      <c r="V3375" s="1296"/>
      <c r="W3375" s="848"/>
      <c r="X3375" s="848"/>
      <c r="Y3375" s="1295"/>
      <c r="Z3375" s="1296"/>
      <c r="AA3375" s="1295"/>
      <c r="AB3375" s="1296"/>
      <c r="AC3375" s="1295"/>
      <c r="AD3375" s="1295"/>
      <c r="AE3375" s="2556"/>
      <c r="AF3375" s="750"/>
      <c r="AG3375" s="750"/>
      <c r="AH3375" s="750"/>
      <c r="AI3375" s="750"/>
      <c r="AJ3375" s="750"/>
      <c r="AK3375" s="750"/>
      <c r="AL3375" s="750"/>
      <c r="AM3375" s="750"/>
      <c r="AN3375" s="750"/>
      <c r="AO3375" s="750"/>
      <c r="AP3375" s="750"/>
      <c r="AQ3375" s="750"/>
      <c r="AR3375" s="750"/>
      <c r="AS3375" s="750"/>
      <c r="AT3375" s="750"/>
      <c r="AU3375" s="750"/>
      <c r="AV3375" s="750"/>
      <c r="AW3375" s="750"/>
      <c r="AX3375" s="750"/>
      <c r="AY3375" s="750"/>
      <c r="AZ3375" s="750"/>
      <c r="BA3375" s="750"/>
      <c r="BB3375" s="750"/>
      <c r="BC3375" s="750"/>
      <c r="BD3375" s="750"/>
      <c r="BE3375" s="750"/>
      <c r="BF3375" s="750"/>
      <c r="BG3375" s="750"/>
      <c r="BH3375" s="750"/>
      <c r="BI3375" s="750"/>
      <c r="BJ3375" s="750"/>
      <c r="BK3375" s="750"/>
      <c r="BL3375" s="750"/>
      <c r="BM3375" s="750"/>
      <c r="BN3375" s="750"/>
      <c r="BO3375" s="750"/>
      <c r="BP3375" s="750"/>
      <c r="BQ3375" s="750"/>
    </row>
    <row r="3376" spans="3:69">
      <c r="C3376" s="853"/>
      <c r="D3376" s="853"/>
      <c r="E3376" s="853"/>
      <c r="F3376" s="853"/>
      <c r="G3376" s="853"/>
      <c r="H3376" s="853"/>
      <c r="I3376" s="848"/>
      <c r="J3376" s="848"/>
      <c r="K3376" s="1295"/>
      <c r="L3376" s="1295"/>
      <c r="M3376" s="1295"/>
      <c r="N3376" s="1295"/>
      <c r="O3376" s="1295"/>
      <c r="P3376" s="853"/>
      <c r="Q3376" s="1295"/>
      <c r="R3376" s="848"/>
      <c r="S3376" s="848"/>
      <c r="T3376" s="848"/>
      <c r="U3376" s="848"/>
      <c r="V3376" s="1296"/>
      <c r="W3376" s="848"/>
      <c r="X3376" s="848"/>
      <c r="Y3376" s="1295"/>
      <c r="Z3376" s="1296"/>
      <c r="AA3376" s="1295"/>
      <c r="AB3376" s="1296"/>
      <c r="AC3376" s="1295"/>
      <c r="AD3376" s="1295"/>
      <c r="AE3376" s="2556"/>
      <c r="AF3376" s="750"/>
      <c r="AG3376" s="750"/>
      <c r="AH3376" s="750"/>
      <c r="AI3376" s="750"/>
      <c r="AJ3376" s="750"/>
      <c r="AK3376" s="750"/>
      <c r="AL3376" s="750"/>
      <c r="AM3376" s="750"/>
      <c r="AN3376" s="750"/>
      <c r="AO3376" s="750"/>
      <c r="AP3376" s="750"/>
      <c r="AQ3376" s="750"/>
      <c r="AR3376" s="750"/>
      <c r="AS3376" s="750"/>
      <c r="AT3376" s="750"/>
      <c r="AU3376" s="750"/>
      <c r="AV3376" s="750"/>
      <c r="AW3376" s="750"/>
      <c r="AX3376" s="750"/>
      <c r="AY3376" s="750"/>
      <c r="AZ3376" s="750"/>
      <c r="BA3376" s="750"/>
      <c r="BB3376" s="750"/>
      <c r="BC3376" s="750"/>
      <c r="BD3376" s="750"/>
      <c r="BE3376" s="750"/>
      <c r="BF3376" s="750"/>
      <c r="BG3376" s="750"/>
      <c r="BH3376" s="750"/>
      <c r="BI3376" s="750"/>
      <c r="BJ3376" s="750"/>
      <c r="BK3376" s="750"/>
      <c r="BL3376" s="750"/>
      <c r="BM3376" s="750"/>
      <c r="BN3376" s="750"/>
      <c r="BO3376" s="750"/>
      <c r="BP3376" s="750"/>
      <c r="BQ3376" s="750"/>
    </row>
    <row r="3377" spans="3:69">
      <c r="C3377" s="853"/>
      <c r="D3377" s="853"/>
      <c r="E3377" s="853"/>
      <c r="F3377" s="853"/>
      <c r="G3377" s="853"/>
      <c r="H3377" s="853"/>
      <c r="I3377" s="848"/>
      <c r="J3377" s="848"/>
      <c r="K3377" s="1295"/>
      <c r="L3377" s="1295"/>
      <c r="M3377" s="1295"/>
      <c r="N3377" s="1295"/>
      <c r="O3377" s="1295"/>
      <c r="P3377" s="853"/>
      <c r="Q3377" s="1295"/>
      <c r="R3377" s="848"/>
      <c r="S3377" s="848"/>
      <c r="T3377" s="848"/>
      <c r="U3377" s="848"/>
      <c r="V3377" s="1296"/>
      <c r="W3377" s="848"/>
      <c r="X3377" s="848"/>
      <c r="Y3377" s="1295"/>
      <c r="Z3377" s="1296"/>
      <c r="AA3377" s="1295"/>
      <c r="AB3377" s="1296"/>
      <c r="AC3377" s="1295"/>
      <c r="AD3377" s="1295"/>
      <c r="AE3377" s="2556"/>
      <c r="AF3377" s="750"/>
      <c r="AG3377" s="750"/>
      <c r="AH3377" s="750"/>
      <c r="AI3377" s="750"/>
      <c r="AJ3377" s="750"/>
      <c r="AK3377" s="750"/>
      <c r="AL3377" s="750"/>
      <c r="AM3377" s="750"/>
      <c r="AN3377" s="750"/>
      <c r="AO3377" s="750"/>
      <c r="AP3377" s="750"/>
      <c r="AQ3377" s="750"/>
      <c r="AR3377" s="750"/>
      <c r="AS3377" s="750"/>
      <c r="AT3377" s="750"/>
      <c r="AU3377" s="750"/>
      <c r="AV3377" s="750"/>
      <c r="AW3377" s="750"/>
      <c r="AX3377" s="750"/>
      <c r="AY3377" s="750"/>
      <c r="AZ3377" s="750"/>
      <c r="BA3377" s="750"/>
      <c r="BB3377" s="750"/>
      <c r="BC3377" s="750"/>
      <c r="BD3377" s="750"/>
      <c r="BE3377" s="750"/>
      <c r="BF3377" s="750"/>
      <c r="BG3377" s="750"/>
      <c r="BH3377" s="750"/>
      <c r="BI3377" s="750"/>
      <c r="BJ3377" s="750"/>
      <c r="BK3377" s="750"/>
      <c r="BL3377" s="750"/>
      <c r="BM3377" s="750"/>
      <c r="BN3377" s="750"/>
      <c r="BO3377" s="750"/>
      <c r="BP3377" s="750"/>
      <c r="BQ3377" s="750"/>
    </row>
    <row r="3378" spans="3:69">
      <c r="C3378" s="853"/>
      <c r="D3378" s="853"/>
      <c r="E3378" s="853"/>
      <c r="F3378" s="853"/>
      <c r="G3378" s="853"/>
      <c r="H3378" s="853"/>
      <c r="I3378" s="848"/>
      <c r="J3378" s="848"/>
      <c r="K3378" s="1295"/>
      <c r="L3378" s="1295"/>
      <c r="M3378" s="1295"/>
      <c r="N3378" s="1295"/>
      <c r="O3378" s="1295"/>
      <c r="P3378" s="853"/>
      <c r="Q3378" s="1295"/>
      <c r="R3378" s="848"/>
      <c r="S3378" s="848"/>
      <c r="T3378" s="848"/>
      <c r="U3378" s="848"/>
      <c r="V3378" s="1296"/>
      <c r="W3378" s="848"/>
      <c r="X3378" s="848"/>
      <c r="Y3378" s="1295"/>
      <c r="Z3378" s="1296"/>
      <c r="AA3378" s="1295"/>
      <c r="AB3378" s="1296"/>
      <c r="AC3378" s="1295"/>
      <c r="AD3378" s="1295"/>
      <c r="AE3378" s="2556"/>
      <c r="AF3378" s="750"/>
      <c r="AG3378" s="750"/>
      <c r="AH3378" s="750"/>
      <c r="AI3378" s="750"/>
      <c r="AJ3378" s="750"/>
      <c r="AK3378" s="750"/>
      <c r="AL3378" s="750"/>
      <c r="AM3378" s="750"/>
      <c r="AN3378" s="750"/>
      <c r="AO3378" s="750"/>
      <c r="AP3378" s="750"/>
      <c r="AQ3378" s="750"/>
      <c r="AR3378" s="750"/>
      <c r="AS3378" s="750"/>
      <c r="AT3378" s="750"/>
      <c r="AU3378" s="750"/>
      <c r="AV3378" s="750"/>
      <c r="AW3378" s="750"/>
      <c r="AX3378" s="750"/>
      <c r="AY3378" s="750"/>
      <c r="AZ3378" s="750"/>
      <c r="BA3378" s="750"/>
      <c r="BB3378" s="750"/>
      <c r="BC3378" s="750"/>
      <c r="BD3378" s="750"/>
      <c r="BE3378" s="750"/>
      <c r="BF3378" s="750"/>
      <c r="BG3378" s="750"/>
      <c r="BH3378" s="750"/>
      <c r="BI3378" s="750"/>
      <c r="BJ3378" s="750"/>
      <c r="BK3378" s="750"/>
      <c r="BL3378" s="750"/>
      <c r="BM3378" s="750"/>
      <c r="BN3378" s="750"/>
      <c r="BO3378" s="750"/>
      <c r="BP3378" s="750"/>
      <c r="BQ3378" s="750"/>
    </row>
    <row r="3379" spans="3:69">
      <c r="C3379" s="853"/>
      <c r="D3379" s="853"/>
      <c r="E3379" s="853"/>
      <c r="F3379" s="853"/>
      <c r="G3379" s="853"/>
      <c r="H3379" s="853"/>
      <c r="I3379" s="848"/>
      <c r="J3379" s="848"/>
      <c r="K3379" s="1295"/>
      <c r="L3379" s="1295"/>
      <c r="M3379" s="1295"/>
      <c r="N3379" s="1295"/>
      <c r="O3379" s="1295"/>
      <c r="P3379" s="853"/>
      <c r="Q3379" s="1295"/>
      <c r="R3379" s="848"/>
      <c r="S3379" s="848"/>
      <c r="T3379" s="848"/>
      <c r="U3379" s="848"/>
      <c r="V3379" s="1296"/>
      <c r="W3379" s="848"/>
      <c r="X3379" s="848"/>
      <c r="Y3379" s="1295"/>
      <c r="Z3379" s="1296"/>
      <c r="AA3379" s="1295"/>
      <c r="AB3379" s="1296"/>
      <c r="AC3379" s="1295"/>
      <c r="AD3379" s="1295"/>
      <c r="AE3379" s="2556"/>
      <c r="AF3379" s="750"/>
      <c r="AG3379" s="750"/>
      <c r="AH3379" s="750"/>
      <c r="AI3379" s="750"/>
      <c r="AJ3379" s="750"/>
      <c r="AK3379" s="750"/>
      <c r="AL3379" s="750"/>
      <c r="AM3379" s="750"/>
      <c r="AN3379" s="750"/>
      <c r="AO3379" s="750"/>
      <c r="AP3379" s="750"/>
      <c r="AQ3379" s="750"/>
      <c r="AR3379" s="750"/>
      <c r="AS3379" s="750"/>
      <c r="AT3379" s="750"/>
      <c r="AU3379" s="750"/>
      <c r="AV3379" s="750"/>
      <c r="AW3379" s="750"/>
      <c r="AX3379" s="750"/>
      <c r="AY3379" s="750"/>
      <c r="AZ3379" s="750"/>
      <c r="BA3379" s="750"/>
      <c r="BB3379" s="750"/>
      <c r="BC3379" s="750"/>
      <c r="BD3379" s="750"/>
      <c r="BE3379" s="750"/>
      <c r="BF3379" s="750"/>
      <c r="BG3379" s="750"/>
      <c r="BH3379" s="750"/>
      <c r="BI3379" s="750"/>
      <c r="BJ3379" s="750"/>
      <c r="BK3379" s="750"/>
      <c r="BL3379" s="750"/>
      <c r="BM3379" s="750"/>
      <c r="BN3379" s="750"/>
      <c r="BO3379" s="750"/>
      <c r="BP3379" s="750"/>
      <c r="BQ3379" s="750"/>
    </row>
    <row r="3380" spans="3:69">
      <c r="C3380" s="853"/>
      <c r="D3380" s="853"/>
      <c r="E3380" s="853"/>
      <c r="F3380" s="853"/>
      <c r="G3380" s="853"/>
      <c r="H3380" s="853"/>
      <c r="I3380" s="848"/>
      <c r="J3380" s="848"/>
      <c r="K3380" s="1295"/>
      <c r="L3380" s="1295"/>
      <c r="M3380" s="1295"/>
      <c r="N3380" s="1295"/>
      <c r="O3380" s="1295"/>
      <c r="P3380" s="853"/>
      <c r="Q3380" s="1295"/>
      <c r="R3380" s="848"/>
      <c r="S3380" s="848"/>
      <c r="T3380" s="848"/>
      <c r="U3380" s="848"/>
      <c r="V3380" s="1296"/>
      <c r="W3380" s="848"/>
      <c r="X3380" s="848"/>
      <c r="Y3380" s="1295"/>
      <c r="Z3380" s="1296"/>
      <c r="AA3380" s="1295"/>
      <c r="AB3380" s="1296"/>
      <c r="AC3380" s="1295"/>
      <c r="AD3380" s="1295"/>
      <c r="AE3380" s="2556"/>
      <c r="AF3380" s="750"/>
      <c r="AG3380" s="750"/>
      <c r="AH3380" s="750"/>
      <c r="AI3380" s="750"/>
      <c r="AJ3380" s="750"/>
      <c r="AK3380" s="750"/>
      <c r="AL3380" s="750"/>
      <c r="AM3380" s="750"/>
      <c r="AN3380" s="750"/>
      <c r="AO3380" s="750"/>
      <c r="AP3380" s="750"/>
      <c r="AQ3380" s="750"/>
      <c r="AR3380" s="750"/>
      <c r="AS3380" s="750"/>
      <c r="AT3380" s="750"/>
      <c r="AU3380" s="750"/>
      <c r="AV3380" s="750"/>
      <c r="AW3380" s="750"/>
      <c r="AX3380" s="750"/>
      <c r="AY3380" s="750"/>
      <c r="AZ3380" s="750"/>
      <c r="BA3380" s="750"/>
      <c r="BB3380" s="750"/>
      <c r="BC3380" s="750"/>
      <c r="BD3380" s="750"/>
      <c r="BE3380" s="750"/>
      <c r="BF3380" s="750"/>
      <c r="BG3380" s="750"/>
      <c r="BH3380" s="750"/>
      <c r="BI3380" s="750"/>
      <c r="BJ3380" s="750"/>
      <c r="BK3380" s="750"/>
      <c r="BL3380" s="750"/>
      <c r="BM3380" s="750"/>
      <c r="BN3380" s="750"/>
      <c r="BO3380" s="750"/>
      <c r="BP3380" s="750"/>
      <c r="BQ3380" s="750"/>
    </row>
    <row r="3381" spans="3:69">
      <c r="C3381" s="853"/>
      <c r="D3381" s="853"/>
      <c r="E3381" s="853"/>
      <c r="F3381" s="853"/>
      <c r="G3381" s="853"/>
      <c r="H3381" s="853"/>
      <c r="I3381" s="848"/>
      <c r="J3381" s="848"/>
      <c r="K3381" s="1295"/>
      <c r="L3381" s="1295"/>
      <c r="M3381" s="1295"/>
      <c r="N3381" s="1295"/>
      <c r="O3381" s="1295"/>
      <c r="P3381" s="853"/>
      <c r="Q3381" s="1295"/>
      <c r="R3381" s="848"/>
      <c r="S3381" s="848"/>
      <c r="T3381" s="848"/>
      <c r="U3381" s="848"/>
      <c r="V3381" s="1296"/>
      <c r="W3381" s="848"/>
      <c r="X3381" s="848"/>
      <c r="Y3381" s="1295"/>
      <c r="Z3381" s="1296"/>
      <c r="AA3381" s="1295"/>
      <c r="AB3381" s="1296"/>
      <c r="AC3381" s="1295"/>
      <c r="AD3381" s="1295"/>
      <c r="AE3381" s="2556"/>
      <c r="AF3381" s="750"/>
      <c r="AG3381" s="750"/>
      <c r="AH3381" s="750"/>
      <c r="AI3381" s="750"/>
      <c r="AJ3381" s="750"/>
      <c r="AK3381" s="750"/>
      <c r="AL3381" s="750"/>
      <c r="AM3381" s="750"/>
      <c r="AN3381" s="750"/>
      <c r="AO3381" s="750"/>
      <c r="AP3381" s="750"/>
      <c r="AQ3381" s="750"/>
      <c r="AR3381" s="750"/>
      <c r="AS3381" s="750"/>
      <c r="AT3381" s="750"/>
      <c r="AU3381" s="750"/>
      <c r="AV3381" s="750"/>
      <c r="AW3381" s="750"/>
      <c r="AX3381" s="750"/>
      <c r="AY3381" s="750"/>
      <c r="AZ3381" s="750"/>
      <c r="BA3381" s="750"/>
      <c r="BB3381" s="750"/>
      <c r="BC3381" s="750"/>
      <c r="BD3381" s="750"/>
      <c r="BE3381" s="750"/>
      <c r="BF3381" s="750"/>
      <c r="BG3381" s="750"/>
      <c r="BH3381" s="750"/>
      <c r="BI3381" s="750"/>
      <c r="BJ3381" s="750"/>
      <c r="BK3381" s="750"/>
      <c r="BL3381" s="750"/>
      <c r="BM3381" s="750"/>
      <c r="BN3381" s="750"/>
      <c r="BO3381" s="750"/>
      <c r="BP3381" s="750"/>
      <c r="BQ3381" s="750"/>
    </row>
    <row r="3382" spans="3:69">
      <c r="C3382" s="853"/>
      <c r="D3382" s="853"/>
      <c r="E3382" s="853"/>
      <c r="F3382" s="853"/>
      <c r="G3382" s="853"/>
      <c r="H3382" s="853"/>
      <c r="I3382" s="848"/>
      <c r="J3382" s="848"/>
      <c r="K3382" s="1295"/>
      <c r="L3382" s="1295"/>
      <c r="M3382" s="1295"/>
      <c r="N3382" s="1295"/>
      <c r="O3382" s="1295"/>
      <c r="P3382" s="853"/>
      <c r="Q3382" s="1295"/>
      <c r="R3382" s="848"/>
      <c r="S3382" s="848"/>
      <c r="T3382" s="848"/>
      <c r="U3382" s="848"/>
      <c r="V3382" s="1296"/>
      <c r="W3382" s="848"/>
      <c r="X3382" s="848"/>
      <c r="Y3382" s="1295"/>
      <c r="Z3382" s="1296"/>
      <c r="AA3382" s="1295"/>
      <c r="AB3382" s="1296"/>
      <c r="AC3382" s="1295"/>
      <c r="AD3382" s="1295"/>
      <c r="AE3382" s="2556"/>
      <c r="AF3382" s="750"/>
      <c r="AG3382" s="750"/>
      <c r="AH3382" s="750"/>
      <c r="AI3382" s="750"/>
      <c r="AJ3382" s="750"/>
      <c r="AK3382" s="750"/>
      <c r="AL3382" s="750"/>
      <c r="AM3382" s="750"/>
      <c r="AN3382" s="750"/>
      <c r="AO3382" s="750"/>
      <c r="AP3382" s="750"/>
      <c r="AQ3382" s="750"/>
      <c r="AR3382" s="750"/>
      <c r="AS3382" s="750"/>
      <c r="AT3382" s="750"/>
      <c r="AU3382" s="750"/>
      <c r="AV3382" s="750"/>
      <c r="AW3382" s="750"/>
      <c r="AX3382" s="750"/>
      <c r="AY3382" s="750"/>
      <c r="AZ3382" s="750"/>
      <c r="BA3382" s="750"/>
      <c r="BB3382" s="750"/>
      <c r="BC3382" s="750"/>
      <c r="BD3382" s="750"/>
      <c r="BE3382" s="750"/>
      <c r="BF3382" s="750"/>
      <c r="BG3382" s="750"/>
      <c r="BH3382" s="750"/>
      <c r="BI3382" s="750"/>
      <c r="BJ3382" s="750"/>
      <c r="BK3382" s="750"/>
      <c r="BL3382" s="750"/>
      <c r="BM3382" s="750"/>
      <c r="BN3382" s="750"/>
      <c r="BO3382" s="750"/>
      <c r="BP3382" s="750"/>
      <c r="BQ3382" s="750"/>
    </row>
    <row r="3383" spans="3:69">
      <c r="C3383" s="853"/>
      <c r="D3383" s="853"/>
      <c r="E3383" s="853"/>
      <c r="F3383" s="853"/>
      <c r="G3383" s="853"/>
      <c r="H3383" s="853"/>
      <c r="I3383" s="848"/>
      <c r="J3383" s="848"/>
      <c r="K3383" s="1295"/>
      <c r="L3383" s="1295"/>
      <c r="M3383" s="1295"/>
      <c r="N3383" s="1295"/>
      <c r="O3383" s="1295"/>
      <c r="P3383" s="853"/>
      <c r="Q3383" s="1295"/>
      <c r="R3383" s="848"/>
      <c r="S3383" s="848"/>
      <c r="T3383" s="848"/>
      <c r="U3383" s="848"/>
      <c r="V3383" s="1296"/>
      <c r="W3383" s="848"/>
      <c r="X3383" s="848"/>
      <c r="Y3383" s="1295"/>
      <c r="Z3383" s="1296"/>
      <c r="AA3383" s="1295"/>
      <c r="AB3383" s="1296"/>
      <c r="AC3383" s="1295"/>
      <c r="AD3383" s="1295"/>
      <c r="AE3383" s="2556"/>
      <c r="AF3383" s="750"/>
      <c r="AG3383" s="750"/>
      <c r="AH3383" s="750"/>
      <c r="AI3383" s="750"/>
      <c r="AJ3383" s="750"/>
      <c r="AK3383" s="750"/>
      <c r="AL3383" s="750"/>
      <c r="AM3383" s="750"/>
      <c r="AN3383" s="750"/>
      <c r="AO3383" s="750"/>
      <c r="AP3383" s="750"/>
      <c r="AQ3383" s="750"/>
      <c r="AR3383" s="750"/>
      <c r="AS3383" s="750"/>
      <c r="AT3383" s="750"/>
      <c r="AU3383" s="750"/>
      <c r="AV3383" s="750"/>
      <c r="AW3383" s="750"/>
      <c r="AX3383" s="750"/>
      <c r="AY3383" s="750"/>
      <c r="AZ3383" s="750"/>
      <c r="BA3383" s="750"/>
      <c r="BB3383" s="750"/>
      <c r="BC3383" s="750"/>
      <c r="BD3383" s="750"/>
      <c r="BE3383" s="750"/>
      <c r="BF3383" s="750"/>
      <c r="BG3383" s="750"/>
      <c r="BH3383" s="750"/>
      <c r="BI3383" s="750"/>
      <c r="BJ3383" s="750"/>
      <c r="BK3383" s="750"/>
      <c r="BL3383" s="750"/>
      <c r="BM3383" s="750"/>
      <c r="BN3383" s="750"/>
      <c r="BO3383" s="750"/>
      <c r="BP3383" s="750"/>
      <c r="BQ3383" s="750"/>
    </row>
    <row r="3384" spans="3:69">
      <c r="C3384" s="853"/>
      <c r="D3384" s="853"/>
      <c r="E3384" s="853"/>
      <c r="F3384" s="853"/>
      <c r="G3384" s="853"/>
      <c r="H3384" s="853"/>
      <c r="I3384" s="848"/>
      <c r="J3384" s="848"/>
      <c r="K3384" s="1295"/>
      <c r="L3384" s="1295"/>
      <c r="M3384" s="1295"/>
      <c r="N3384" s="1295"/>
      <c r="O3384" s="1295"/>
      <c r="P3384" s="853"/>
      <c r="Q3384" s="1295"/>
      <c r="R3384" s="848"/>
      <c r="S3384" s="848"/>
      <c r="T3384" s="848"/>
      <c r="U3384" s="848"/>
      <c r="V3384" s="1296"/>
      <c r="W3384" s="848"/>
      <c r="X3384" s="848"/>
      <c r="Y3384" s="1295"/>
      <c r="Z3384" s="1296"/>
      <c r="AA3384" s="1295"/>
      <c r="AB3384" s="1296"/>
      <c r="AC3384" s="1295"/>
      <c r="AD3384" s="1295"/>
      <c r="AE3384" s="2556"/>
      <c r="AF3384" s="750"/>
      <c r="AG3384" s="750"/>
      <c r="AH3384" s="750"/>
      <c r="AI3384" s="750"/>
      <c r="AJ3384" s="750"/>
      <c r="AK3384" s="750"/>
      <c r="AL3384" s="750"/>
      <c r="AM3384" s="750"/>
      <c r="AN3384" s="750"/>
      <c r="AO3384" s="750"/>
      <c r="AP3384" s="750"/>
      <c r="AQ3384" s="750"/>
      <c r="AR3384" s="750"/>
      <c r="AS3384" s="750"/>
      <c r="AT3384" s="750"/>
      <c r="AU3384" s="750"/>
      <c r="AV3384" s="750"/>
      <c r="AW3384" s="750"/>
      <c r="AX3384" s="750"/>
      <c r="AY3384" s="750"/>
      <c r="AZ3384" s="750"/>
      <c r="BA3384" s="750"/>
      <c r="BB3384" s="750"/>
      <c r="BC3384" s="750"/>
      <c r="BD3384" s="750"/>
      <c r="BE3384" s="750"/>
      <c r="BF3384" s="750"/>
      <c r="BG3384" s="750"/>
      <c r="BH3384" s="750"/>
      <c r="BI3384" s="750"/>
      <c r="BJ3384" s="750"/>
      <c r="BK3384" s="750"/>
      <c r="BL3384" s="750"/>
      <c r="BM3384" s="750"/>
      <c r="BN3384" s="750"/>
      <c r="BO3384" s="750"/>
      <c r="BP3384" s="750"/>
      <c r="BQ3384" s="750"/>
    </row>
    <row r="3385" spans="3:69">
      <c r="C3385" s="853"/>
      <c r="D3385" s="853"/>
      <c r="E3385" s="853"/>
      <c r="F3385" s="853"/>
      <c r="G3385" s="853"/>
      <c r="H3385" s="853"/>
      <c r="I3385" s="848"/>
      <c r="J3385" s="848"/>
      <c r="K3385" s="1295"/>
      <c r="L3385" s="1295"/>
      <c r="M3385" s="1295"/>
      <c r="N3385" s="1295"/>
      <c r="O3385" s="1295"/>
      <c r="P3385" s="853"/>
      <c r="Q3385" s="1295"/>
      <c r="R3385" s="848"/>
      <c r="S3385" s="848"/>
      <c r="T3385" s="848"/>
      <c r="U3385" s="848"/>
      <c r="V3385" s="1296"/>
      <c r="W3385" s="848"/>
      <c r="X3385" s="848"/>
      <c r="Y3385" s="1295"/>
      <c r="Z3385" s="1296"/>
      <c r="AA3385" s="1295"/>
      <c r="AB3385" s="1296"/>
      <c r="AC3385" s="1295"/>
      <c r="AD3385" s="1295"/>
      <c r="AE3385" s="2556"/>
      <c r="AF3385" s="750"/>
      <c r="AG3385" s="750"/>
      <c r="AH3385" s="750"/>
      <c r="AI3385" s="750"/>
      <c r="AJ3385" s="750"/>
      <c r="AK3385" s="750"/>
      <c r="AL3385" s="750"/>
      <c r="AM3385" s="750"/>
      <c r="AN3385" s="750"/>
      <c r="AO3385" s="750"/>
      <c r="AP3385" s="750"/>
      <c r="AQ3385" s="750"/>
      <c r="AR3385" s="750"/>
      <c r="AS3385" s="750"/>
      <c r="AT3385" s="750"/>
      <c r="AU3385" s="750"/>
      <c r="AV3385" s="750"/>
      <c r="AW3385" s="750"/>
      <c r="AX3385" s="750"/>
      <c r="AY3385" s="750"/>
      <c r="AZ3385" s="750"/>
      <c r="BA3385" s="750"/>
      <c r="BB3385" s="750"/>
      <c r="BC3385" s="750"/>
      <c r="BD3385" s="750"/>
      <c r="BE3385" s="750"/>
      <c r="BF3385" s="750"/>
      <c r="BG3385" s="750"/>
      <c r="BH3385" s="750"/>
      <c r="BI3385" s="750"/>
      <c r="BJ3385" s="750"/>
      <c r="BK3385" s="750"/>
      <c r="BL3385" s="750"/>
      <c r="BM3385" s="750"/>
      <c r="BN3385" s="750"/>
      <c r="BO3385" s="750"/>
      <c r="BP3385" s="750"/>
      <c r="BQ3385" s="750"/>
    </row>
    <row r="3386" spans="3:69">
      <c r="C3386" s="853"/>
      <c r="D3386" s="853"/>
      <c r="E3386" s="853"/>
      <c r="F3386" s="853"/>
      <c r="G3386" s="853"/>
      <c r="H3386" s="853"/>
      <c r="I3386" s="848"/>
      <c r="J3386" s="848"/>
      <c r="K3386" s="1295"/>
      <c r="L3386" s="1295"/>
      <c r="M3386" s="1295"/>
      <c r="N3386" s="1295"/>
      <c r="O3386" s="1295"/>
      <c r="P3386" s="853"/>
      <c r="Q3386" s="1295"/>
      <c r="R3386" s="848"/>
      <c r="S3386" s="848"/>
      <c r="T3386" s="848"/>
      <c r="U3386" s="848"/>
      <c r="V3386" s="1296"/>
      <c r="W3386" s="848"/>
      <c r="X3386" s="848"/>
      <c r="Y3386" s="1295"/>
      <c r="Z3386" s="1296"/>
      <c r="AA3386" s="1295"/>
      <c r="AB3386" s="1296"/>
      <c r="AC3386" s="1295"/>
      <c r="AD3386" s="1295"/>
      <c r="AE3386" s="2556"/>
      <c r="AF3386" s="750"/>
      <c r="AG3386" s="750"/>
      <c r="AH3386" s="750"/>
      <c r="AI3386" s="750"/>
      <c r="AJ3386" s="750"/>
      <c r="AK3386" s="750"/>
      <c r="AL3386" s="750"/>
      <c r="AM3386" s="750"/>
      <c r="AN3386" s="750"/>
      <c r="AO3386" s="750"/>
      <c r="AP3386" s="750"/>
      <c r="AQ3386" s="750"/>
      <c r="AR3386" s="750"/>
      <c r="AS3386" s="750"/>
      <c r="AT3386" s="750"/>
      <c r="AU3386" s="750"/>
      <c r="AV3386" s="750"/>
      <c r="AW3386" s="750"/>
      <c r="AX3386" s="750"/>
      <c r="AY3386" s="750"/>
      <c r="AZ3386" s="750"/>
      <c r="BA3386" s="750"/>
      <c r="BB3386" s="750"/>
      <c r="BC3386" s="750"/>
      <c r="BD3386" s="750"/>
      <c r="BE3386" s="750"/>
      <c r="BF3386" s="750"/>
      <c r="BG3386" s="750"/>
      <c r="BH3386" s="750"/>
      <c r="BI3386" s="750"/>
      <c r="BJ3386" s="750"/>
      <c r="BK3386" s="750"/>
      <c r="BL3386" s="750"/>
      <c r="BM3386" s="750"/>
      <c r="BN3386" s="750"/>
      <c r="BO3386" s="750"/>
      <c r="BP3386" s="750"/>
      <c r="BQ3386" s="750"/>
    </row>
    <row r="3387" spans="3:69">
      <c r="C3387" s="853"/>
      <c r="D3387" s="853"/>
      <c r="E3387" s="853"/>
      <c r="F3387" s="853"/>
      <c r="G3387" s="853"/>
      <c r="H3387" s="853"/>
      <c r="I3387" s="848"/>
      <c r="J3387" s="848"/>
      <c r="K3387" s="1295"/>
      <c r="L3387" s="1295"/>
      <c r="M3387" s="1295"/>
      <c r="N3387" s="1295"/>
      <c r="O3387" s="1295"/>
      <c r="P3387" s="853"/>
      <c r="Q3387" s="1295"/>
      <c r="R3387" s="848"/>
      <c r="S3387" s="848"/>
      <c r="T3387" s="848"/>
      <c r="U3387" s="848"/>
      <c r="V3387" s="1296"/>
      <c r="W3387" s="848"/>
      <c r="X3387" s="848"/>
      <c r="Y3387" s="1295"/>
      <c r="Z3387" s="1296"/>
      <c r="AA3387" s="1295"/>
      <c r="AB3387" s="1296"/>
      <c r="AC3387" s="1295"/>
      <c r="AD3387" s="1295"/>
      <c r="AE3387" s="2556"/>
      <c r="AF3387" s="750"/>
      <c r="AG3387" s="750"/>
      <c r="AH3387" s="750"/>
      <c r="AI3387" s="750"/>
      <c r="AJ3387" s="750"/>
      <c r="AK3387" s="750"/>
      <c r="AL3387" s="750"/>
      <c r="AM3387" s="750"/>
      <c r="AN3387" s="750"/>
      <c r="AO3387" s="750"/>
      <c r="AP3387" s="750"/>
      <c r="AQ3387" s="750"/>
      <c r="AR3387" s="750"/>
      <c r="AS3387" s="750"/>
      <c r="AT3387" s="750"/>
      <c r="AU3387" s="750"/>
      <c r="AV3387" s="750"/>
      <c r="AW3387" s="750"/>
      <c r="AX3387" s="750"/>
      <c r="AY3387" s="750"/>
      <c r="AZ3387" s="750"/>
      <c r="BA3387" s="750"/>
      <c r="BB3387" s="750"/>
      <c r="BC3387" s="750"/>
      <c r="BD3387" s="750"/>
      <c r="BE3387" s="750"/>
      <c r="BF3387" s="750"/>
      <c r="BG3387" s="750"/>
      <c r="BH3387" s="750"/>
      <c r="BI3387" s="750"/>
      <c r="BJ3387" s="750"/>
      <c r="BK3387" s="750"/>
      <c r="BL3387" s="750"/>
      <c r="BM3387" s="750"/>
      <c r="BN3387" s="750"/>
      <c r="BO3387" s="750"/>
      <c r="BP3387" s="750"/>
      <c r="BQ3387" s="750"/>
    </row>
    <row r="3388" spans="3:69">
      <c r="C3388" s="853"/>
      <c r="D3388" s="853"/>
      <c r="E3388" s="853"/>
      <c r="F3388" s="853"/>
      <c r="G3388" s="853"/>
      <c r="H3388" s="853"/>
      <c r="I3388" s="848"/>
      <c r="J3388" s="848"/>
      <c r="K3388" s="1295"/>
      <c r="L3388" s="1295"/>
      <c r="M3388" s="1295"/>
      <c r="N3388" s="1295"/>
      <c r="O3388" s="1295"/>
      <c r="P3388" s="853"/>
      <c r="Q3388" s="1295"/>
      <c r="R3388" s="848"/>
      <c r="S3388" s="848"/>
      <c r="T3388" s="848"/>
      <c r="U3388" s="848"/>
      <c r="V3388" s="1296"/>
      <c r="W3388" s="848"/>
      <c r="X3388" s="848"/>
      <c r="Y3388" s="1295"/>
      <c r="Z3388" s="1296"/>
      <c r="AA3388" s="1295"/>
      <c r="AB3388" s="1296"/>
      <c r="AC3388" s="1295"/>
      <c r="AD3388" s="1295"/>
      <c r="AE3388" s="2556"/>
      <c r="AF3388" s="750"/>
      <c r="AG3388" s="750"/>
      <c r="AH3388" s="750"/>
      <c r="AI3388" s="750"/>
      <c r="AJ3388" s="750"/>
      <c r="AK3388" s="750"/>
      <c r="AL3388" s="750"/>
      <c r="AM3388" s="750"/>
      <c r="AN3388" s="750"/>
      <c r="AO3388" s="750"/>
      <c r="AP3388" s="750"/>
      <c r="AQ3388" s="750"/>
      <c r="AR3388" s="750"/>
      <c r="AS3388" s="750"/>
      <c r="AT3388" s="750"/>
      <c r="AU3388" s="750"/>
      <c r="AV3388" s="750"/>
      <c r="AW3388" s="750"/>
      <c r="AX3388" s="750"/>
      <c r="AY3388" s="750"/>
      <c r="AZ3388" s="750"/>
      <c r="BA3388" s="750"/>
      <c r="BB3388" s="750"/>
      <c r="BC3388" s="750"/>
      <c r="BD3388" s="750"/>
      <c r="BE3388" s="750"/>
      <c r="BF3388" s="750"/>
      <c r="BG3388" s="750"/>
      <c r="BH3388" s="750"/>
      <c r="BI3388" s="750"/>
      <c r="BJ3388" s="750"/>
      <c r="BK3388" s="750"/>
      <c r="BL3388" s="750"/>
      <c r="BM3388" s="750"/>
      <c r="BN3388" s="750"/>
      <c r="BO3388" s="750"/>
      <c r="BP3388" s="750"/>
      <c r="BQ3388" s="750"/>
    </row>
    <row r="3389" spans="3:69">
      <c r="C3389" s="853"/>
      <c r="D3389" s="853"/>
      <c r="E3389" s="853"/>
      <c r="F3389" s="853"/>
      <c r="G3389" s="853"/>
      <c r="H3389" s="853"/>
      <c r="I3389" s="848"/>
      <c r="J3389" s="848"/>
      <c r="K3389" s="1295"/>
      <c r="L3389" s="1295"/>
      <c r="M3389" s="1295"/>
      <c r="N3389" s="1295"/>
      <c r="O3389" s="1295"/>
      <c r="P3389" s="853"/>
      <c r="Q3389" s="1295"/>
      <c r="R3389" s="848"/>
      <c r="S3389" s="848"/>
      <c r="T3389" s="848"/>
      <c r="U3389" s="848"/>
      <c r="V3389" s="1296"/>
      <c r="W3389" s="848"/>
      <c r="X3389" s="848"/>
      <c r="Y3389" s="1295"/>
      <c r="Z3389" s="1296"/>
      <c r="AA3389" s="1295"/>
      <c r="AB3389" s="1296"/>
      <c r="AC3389" s="1295"/>
      <c r="AD3389" s="1295"/>
      <c r="AE3389" s="2556"/>
      <c r="AF3389" s="750"/>
      <c r="AG3389" s="750"/>
      <c r="AH3389" s="750"/>
      <c r="AI3389" s="750"/>
      <c r="AJ3389" s="750"/>
      <c r="AK3389" s="750"/>
      <c r="AL3389" s="750"/>
      <c r="AM3389" s="750"/>
      <c r="AN3389" s="750"/>
      <c r="AO3389" s="750"/>
      <c r="AP3389" s="750"/>
      <c r="AQ3389" s="750"/>
      <c r="AR3389" s="750"/>
      <c r="AS3389" s="750"/>
      <c r="AT3389" s="750"/>
      <c r="AU3389" s="750"/>
      <c r="AV3389" s="750"/>
      <c r="AW3389" s="750"/>
      <c r="AX3389" s="750"/>
      <c r="AY3389" s="750"/>
      <c r="AZ3389" s="750"/>
      <c r="BA3389" s="750"/>
      <c r="BB3389" s="750"/>
      <c r="BC3389" s="750"/>
      <c r="BD3389" s="750"/>
      <c r="BE3389" s="750"/>
      <c r="BF3389" s="750"/>
      <c r="BG3389" s="750"/>
      <c r="BH3389" s="750"/>
      <c r="BI3389" s="750"/>
      <c r="BJ3389" s="750"/>
      <c r="BK3389" s="750"/>
      <c r="BL3389" s="750"/>
      <c r="BM3389" s="750"/>
      <c r="BN3389" s="750"/>
      <c r="BO3389" s="750"/>
      <c r="BP3389" s="750"/>
      <c r="BQ3389" s="750"/>
    </row>
    <row r="3390" spans="3:69">
      <c r="C3390" s="853"/>
      <c r="D3390" s="853"/>
      <c r="E3390" s="853"/>
      <c r="F3390" s="853"/>
      <c r="G3390" s="853"/>
      <c r="H3390" s="853"/>
      <c r="I3390" s="848"/>
      <c r="J3390" s="848"/>
      <c r="K3390" s="1295"/>
      <c r="L3390" s="1295"/>
      <c r="M3390" s="1295"/>
      <c r="N3390" s="1295"/>
      <c r="O3390" s="1295"/>
      <c r="P3390" s="853"/>
      <c r="Q3390" s="1295"/>
      <c r="R3390" s="848"/>
      <c r="S3390" s="848"/>
      <c r="T3390" s="848"/>
      <c r="U3390" s="848"/>
      <c r="V3390" s="1296"/>
      <c r="W3390" s="848"/>
      <c r="X3390" s="848"/>
      <c r="Y3390" s="1295"/>
      <c r="Z3390" s="1296"/>
      <c r="AA3390" s="1295"/>
      <c r="AB3390" s="1296"/>
      <c r="AC3390" s="1295"/>
      <c r="AD3390" s="1295"/>
      <c r="AE3390" s="2556"/>
      <c r="AF3390" s="750"/>
      <c r="AG3390" s="750"/>
      <c r="AH3390" s="750"/>
      <c r="AI3390" s="750"/>
      <c r="AJ3390" s="750"/>
      <c r="AK3390" s="750"/>
      <c r="AL3390" s="750"/>
      <c r="AM3390" s="750"/>
      <c r="AN3390" s="750"/>
      <c r="AO3390" s="750"/>
      <c r="AP3390" s="750"/>
      <c r="AQ3390" s="750"/>
      <c r="AR3390" s="750"/>
      <c r="AS3390" s="750"/>
      <c r="AT3390" s="750"/>
      <c r="AU3390" s="750"/>
      <c r="AV3390" s="750"/>
      <c r="AW3390" s="750"/>
      <c r="AX3390" s="750"/>
      <c r="AY3390" s="750"/>
      <c r="AZ3390" s="750"/>
      <c r="BA3390" s="750"/>
      <c r="BB3390" s="750"/>
      <c r="BC3390" s="750"/>
      <c r="BD3390" s="750"/>
      <c r="BE3390" s="750"/>
      <c r="BF3390" s="750"/>
      <c r="BG3390" s="750"/>
      <c r="BH3390" s="750"/>
      <c r="BI3390" s="750"/>
      <c r="BJ3390" s="750"/>
      <c r="BK3390" s="750"/>
      <c r="BL3390" s="750"/>
      <c r="BM3390" s="750"/>
      <c r="BN3390" s="750"/>
      <c r="BO3390" s="750"/>
      <c r="BP3390" s="750"/>
      <c r="BQ3390" s="750"/>
    </row>
    <row r="3391" spans="3:69">
      <c r="C3391" s="853"/>
      <c r="D3391" s="853"/>
      <c r="E3391" s="853"/>
      <c r="F3391" s="853"/>
      <c r="G3391" s="853"/>
      <c r="H3391" s="853"/>
      <c r="I3391" s="848"/>
      <c r="J3391" s="848"/>
      <c r="K3391" s="1295"/>
      <c r="L3391" s="1295"/>
      <c r="M3391" s="1295"/>
      <c r="N3391" s="1295"/>
      <c r="O3391" s="1295"/>
      <c r="P3391" s="853"/>
      <c r="Q3391" s="1295"/>
      <c r="R3391" s="848"/>
      <c r="S3391" s="848"/>
      <c r="T3391" s="848"/>
      <c r="U3391" s="848"/>
      <c r="V3391" s="1296"/>
      <c r="W3391" s="848"/>
      <c r="X3391" s="848"/>
      <c r="Y3391" s="1295"/>
      <c r="Z3391" s="1296"/>
      <c r="AA3391" s="1295"/>
      <c r="AB3391" s="1296"/>
      <c r="AC3391" s="1295"/>
      <c r="AD3391" s="1295"/>
      <c r="AE3391" s="2556"/>
      <c r="AF3391" s="750"/>
      <c r="AG3391" s="750"/>
      <c r="AH3391" s="750"/>
      <c r="AI3391" s="750"/>
      <c r="AJ3391" s="750"/>
      <c r="AK3391" s="750"/>
      <c r="AL3391" s="750"/>
      <c r="AM3391" s="750"/>
      <c r="AN3391" s="750"/>
      <c r="AO3391" s="750"/>
      <c r="AP3391" s="750"/>
      <c r="AQ3391" s="750"/>
      <c r="AR3391" s="750"/>
      <c r="AS3391" s="750"/>
      <c r="AT3391" s="750"/>
      <c r="AU3391" s="750"/>
      <c r="AV3391" s="750"/>
      <c r="AW3391" s="750"/>
      <c r="AX3391" s="750"/>
      <c r="AY3391" s="750"/>
      <c r="AZ3391" s="750"/>
      <c r="BA3391" s="750"/>
      <c r="BB3391" s="750"/>
      <c r="BC3391" s="750"/>
      <c r="BD3391" s="750"/>
      <c r="BE3391" s="750"/>
      <c r="BF3391" s="750"/>
      <c r="BG3391" s="750"/>
      <c r="BH3391" s="750"/>
      <c r="BI3391" s="750"/>
      <c r="BJ3391" s="750"/>
      <c r="BK3391" s="750"/>
      <c r="BL3391" s="750"/>
      <c r="BM3391" s="750"/>
      <c r="BN3391" s="750"/>
      <c r="BO3391" s="750"/>
      <c r="BP3391" s="750"/>
      <c r="BQ3391" s="750"/>
    </row>
    <row r="3392" spans="3:69">
      <c r="C3392" s="853"/>
      <c r="D3392" s="853"/>
      <c r="E3392" s="853"/>
      <c r="F3392" s="853"/>
      <c r="G3392" s="853"/>
      <c r="H3392" s="853"/>
      <c r="I3392" s="848"/>
      <c r="J3392" s="848"/>
      <c r="K3392" s="1295"/>
      <c r="L3392" s="1295"/>
      <c r="M3392" s="1295"/>
      <c r="N3392" s="1295"/>
      <c r="O3392" s="1295"/>
      <c r="P3392" s="853"/>
      <c r="Q3392" s="1295"/>
      <c r="R3392" s="848"/>
      <c r="S3392" s="848"/>
      <c r="T3392" s="848"/>
      <c r="U3392" s="848"/>
      <c r="V3392" s="1296"/>
      <c r="W3392" s="848"/>
      <c r="X3392" s="848"/>
      <c r="Y3392" s="1295"/>
      <c r="Z3392" s="1296"/>
      <c r="AA3392" s="1295"/>
      <c r="AB3392" s="1296"/>
      <c r="AC3392" s="1295"/>
      <c r="AD3392" s="1295"/>
      <c r="AE3392" s="2556"/>
      <c r="AF3392" s="750"/>
      <c r="AG3392" s="750"/>
      <c r="AH3392" s="750"/>
      <c r="AI3392" s="750"/>
      <c r="AJ3392" s="750"/>
      <c r="AK3392" s="750"/>
      <c r="AL3392" s="750"/>
      <c r="AM3392" s="750"/>
      <c r="AN3392" s="750"/>
      <c r="AO3392" s="750"/>
      <c r="AP3392" s="750"/>
      <c r="AQ3392" s="750"/>
      <c r="AR3392" s="750"/>
      <c r="AS3392" s="750"/>
      <c r="AT3392" s="750"/>
      <c r="AU3392" s="750"/>
      <c r="AV3392" s="750"/>
      <c r="AW3392" s="750"/>
      <c r="AX3392" s="750"/>
      <c r="AY3392" s="750"/>
      <c r="AZ3392" s="750"/>
      <c r="BA3392" s="750"/>
      <c r="BB3392" s="750"/>
      <c r="BC3392" s="750"/>
      <c r="BD3392" s="750"/>
      <c r="BE3392" s="750"/>
      <c r="BF3392" s="750"/>
      <c r="BG3392" s="750"/>
      <c r="BH3392" s="750"/>
      <c r="BI3392" s="750"/>
      <c r="BJ3392" s="750"/>
      <c r="BK3392" s="750"/>
      <c r="BL3392" s="750"/>
      <c r="BM3392" s="750"/>
      <c r="BN3392" s="750"/>
      <c r="BO3392" s="750"/>
      <c r="BP3392" s="750"/>
      <c r="BQ3392" s="750"/>
    </row>
    <row r="3393" spans="3:69">
      <c r="C3393" s="853"/>
      <c r="D3393" s="853"/>
      <c r="E3393" s="853"/>
      <c r="F3393" s="853"/>
      <c r="G3393" s="853"/>
      <c r="H3393" s="853"/>
      <c r="I3393" s="848"/>
      <c r="J3393" s="848"/>
      <c r="K3393" s="1295"/>
      <c r="L3393" s="1295"/>
      <c r="M3393" s="1295"/>
      <c r="N3393" s="1295"/>
      <c r="O3393" s="1295"/>
      <c r="P3393" s="853"/>
      <c r="Q3393" s="1295"/>
      <c r="R3393" s="848"/>
      <c r="S3393" s="848"/>
      <c r="T3393" s="848"/>
      <c r="U3393" s="848"/>
      <c r="V3393" s="1296"/>
      <c r="W3393" s="848"/>
      <c r="X3393" s="848"/>
      <c r="Y3393" s="1295"/>
      <c r="Z3393" s="1296"/>
      <c r="AA3393" s="1295"/>
      <c r="AB3393" s="1296"/>
      <c r="AC3393" s="1295"/>
      <c r="AD3393" s="1295"/>
      <c r="AE3393" s="2556"/>
      <c r="AF3393" s="750"/>
      <c r="AG3393" s="750"/>
      <c r="AH3393" s="750"/>
      <c r="AI3393" s="750"/>
      <c r="AJ3393" s="750"/>
      <c r="AK3393" s="750"/>
      <c r="AL3393" s="750"/>
      <c r="AM3393" s="750"/>
      <c r="AN3393" s="750"/>
      <c r="AO3393" s="750"/>
      <c r="AP3393" s="750"/>
      <c r="AQ3393" s="750"/>
      <c r="AR3393" s="750"/>
      <c r="AS3393" s="750"/>
      <c r="AT3393" s="750"/>
      <c r="AU3393" s="750"/>
      <c r="AV3393" s="750"/>
      <c r="AW3393" s="750"/>
      <c r="AX3393" s="750"/>
      <c r="AY3393" s="750"/>
      <c r="AZ3393" s="750"/>
      <c r="BA3393" s="750"/>
      <c r="BB3393" s="750"/>
      <c r="BC3393" s="750"/>
      <c r="BD3393" s="750"/>
      <c r="BE3393" s="750"/>
      <c r="BF3393" s="750"/>
      <c r="BG3393" s="750"/>
      <c r="BH3393" s="750"/>
      <c r="BI3393" s="750"/>
      <c r="BJ3393" s="750"/>
      <c r="BK3393" s="750"/>
      <c r="BL3393" s="750"/>
      <c r="BM3393" s="750"/>
      <c r="BN3393" s="750"/>
      <c r="BO3393" s="750"/>
      <c r="BP3393" s="750"/>
      <c r="BQ3393" s="750"/>
    </row>
    <row r="3394" spans="3:69">
      <c r="C3394" s="853"/>
      <c r="D3394" s="853"/>
      <c r="E3394" s="853"/>
      <c r="F3394" s="853"/>
      <c r="G3394" s="853"/>
      <c r="H3394" s="853"/>
      <c r="I3394" s="848"/>
      <c r="J3394" s="848"/>
      <c r="K3394" s="1295"/>
      <c r="L3394" s="1295"/>
      <c r="M3394" s="1295"/>
      <c r="N3394" s="1295"/>
      <c r="O3394" s="1295"/>
      <c r="P3394" s="853"/>
      <c r="Q3394" s="1295"/>
      <c r="R3394" s="848"/>
      <c r="S3394" s="848"/>
      <c r="T3394" s="848"/>
      <c r="U3394" s="848"/>
      <c r="V3394" s="1296"/>
      <c r="W3394" s="848"/>
      <c r="X3394" s="848"/>
      <c r="Y3394" s="1295"/>
      <c r="Z3394" s="1296"/>
      <c r="AA3394" s="1295"/>
      <c r="AB3394" s="1296"/>
      <c r="AC3394" s="1295"/>
      <c r="AD3394" s="1295"/>
      <c r="AE3394" s="2556"/>
      <c r="AF3394" s="750"/>
      <c r="AG3394" s="750"/>
      <c r="AH3394" s="750"/>
      <c r="AI3394" s="750"/>
      <c r="AJ3394" s="750"/>
      <c r="AK3394" s="750"/>
      <c r="AL3394" s="750"/>
      <c r="AM3394" s="750"/>
      <c r="AN3394" s="750"/>
      <c r="AO3394" s="750"/>
      <c r="AP3394" s="750"/>
      <c r="AQ3394" s="750"/>
      <c r="AR3394" s="750"/>
      <c r="AS3394" s="750"/>
      <c r="AT3394" s="750"/>
      <c r="AU3394" s="750"/>
      <c r="AV3394" s="750"/>
      <c r="AW3394" s="750"/>
      <c r="AX3394" s="750"/>
      <c r="AY3394" s="750"/>
      <c r="AZ3394" s="750"/>
      <c r="BA3394" s="750"/>
      <c r="BB3394" s="750"/>
      <c r="BC3394" s="750"/>
      <c r="BD3394" s="750"/>
      <c r="BE3394" s="750"/>
      <c r="BF3394" s="750"/>
      <c r="BG3394" s="750"/>
      <c r="BH3394" s="750"/>
      <c r="BI3394" s="750"/>
      <c r="BJ3394" s="750"/>
      <c r="BK3394" s="750"/>
      <c r="BL3394" s="750"/>
      <c r="BM3394" s="750"/>
      <c r="BN3394" s="750"/>
      <c r="BO3394" s="750"/>
      <c r="BP3394" s="750"/>
      <c r="BQ3394" s="750"/>
    </row>
    <row r="3395" spans="3:69">
      <c r="C3395" s="853"/>
      <c r="D3395" s="853"/>
      <c r="E3395" s="853"/>
      <c r="F3395" s="853"/>
      <c r="G3395" s="853"/>
      <c r="H3395" s="853"/>
      <c r="I3395" s="848"/>
      <c r="J3395" s="848"/>
      <c r="K3395" s="1295"/>
      <c r="L3395" s="1295"/>
      <c r="M3395" s="1295"/>
      <c r="N3395" s="1295"/>
      <c r="O3395" s="1295"/>
      <c r="P3395" s="853"/>
      <c r="Q3395" s="1295"/>
      <c r="R3395" s="848"/>
      <c r="S3395" s="848"/>
      <c r="T3395" s="848"/>
      <c r="U3395" s="848"/>
      <c r="V3395" s="1296"/>
      <c r="W3395" s="848"/>
      <c r="X3395" s="848"/>
      <c r="Y3395" s="1295"/>
      <c r="Z3395" s="1296"/>
      <c r="AA3395" s="1295"/>
      <c r="AB3395" s="1296"/>
      <c r="AC3395" s="1295"/>
      <c r="AD3395" s="1295"/>
      <c r="AE3395" s="2556"/>
      <c r="AF3395" s="750"/>
      <c r="AG3395" s="750"/>
      <c r="AH3395" s="750"/>
      <c r="AI3395" s="750"/>
      <c r="AJ3395" s="750"/>
      <c r="AK3395" s="750"/>
      <c r="AL3395" s="750"/>
      <c r="AM3395" s="750"/>
      <c r="AN3395" s="750"/>
      <c r="AO3395" s="750"/>
      <c r="AP3395" s="750"/>
      <c r="AQ3395" s="750"/>
      <c r="AR3395" s="750"/>
      <c r="AS3395" s="750"/>
      <c r="AT3395" s="750"/>
      <c r="AU3395" s="750"/>
      <c r="AV3395" s="750"/>
      <c r="AW3395" s="750"/>
      <c r="AX3395" s="750"/>
      <c r="AY3395" s="750"/>
      <c r="AZ3395" s="750"/>
      <c r="BA3395" s="750"/>
      <c r="BB3395" s="750"/>
      <c r="BC3395" s="750"/>
      <c r="BD3395" s="750"/>
      <c r="BE3395" s="750"/>
      <c r="BF3395" s="750"/>
      <c r="BG3395" s="750"/>
      <c r="BH3395" s="750"/>
      <c r="BI3395" s="750"/>
      <c r="BJ3395" s="750"/>
      <c r="BK3395" s="750"/>
      <c r="BL3395" s="750"/>
      <c r="BM3395" s="750"/>
      <c r="BN3395" s="750"/>
      <c r="BO3395" s="750"/>
      <c r="BP3395" s="750"/>
      <c r="BQ3395" s="750"/>
    </row>
    <row r="3396" spans="3:69">
      <c r="C3396" s="853"/>
      <c r="D3396" s="853"/>
      <c r="E3396" s="853"/>
      <c r="F3396" s="853"/>
      <c r="G3396" s="853"/>
      <c r="H3396" s="853"/>
      <c r="I3396" s="848"/>
      <c r="J3396" s="848"/>
      <c r="K3396" s="1295"/>
      <c r="L3396" s="1295"/>
      <c r="M3396" s="1295"/>
      <c r="N3396" s="1295"/>
      <c r="O3396" s="1295"/>
      <c r="P3396" s="853"/>
      <c r="Q3396" s="1295"/>
      <c r="R3396" s="848"/>
      <c r="S3396" s="848"/>
      <c r="T3396" s="848"/>
      <c r="U3396" s="848"/>
      <c r="V3396" s="1296"/>
      <c r="W3396" s="848"/>
      <c r="X3396" s="848"/>
      <c r="Y3396" s="1295"/>
      <c r="Z3396" s="1296"/>
      <c r="AA3396" s="1295"/>
      <c r="AB3396" s="1296"/>
      <c r="AC3396" s="1295"/>
      <c r="AD3396" s="1295"/>
      <c r="AE3396" s="2556"/>
      <c r="AF3396" s="750"/>
      <c r="AG3396" s="750"/>
      <c r="AH3396" s="750"/>
      <c r="AI3396" s="750"/>
      <c r="AJ3396" s="750"/>
      <c r="AK3396" s="750"/>
      <c r="AL3396" s="750"/>
      <c r="AM3396" s="750"/>
      <c r="AN3396" s="750"/>
      <c r="AO3396" s="750"/>
      <c r="AP3396" s="750"/>
      <c r="AQ3396" s="750"/>
      <c r="AR3396" s="750"/>
      <c r="AS3396" s="750"/>
      <c r="AT3396" s="750"/>
      <c r="AU3396" s="750"/>
      <c r="AV3396" s="750"/>
      <c r="AW3396" s="750"/>
      <c r="AX3396" s="750"/>
      <c r="AY3396" s="750"/>
      <c r="AZ3396" s="750"/>
      <c r="BA3396" s="750"/>
      <c r="BB3396" s="750"/>
      <c r="BC3396" s="750"/>
      <c r="BD3396" s="750"/>
      <c r="BE3396" s="750"/>
      <c r="BF3396" s="750"/>
      <c r="BG3396" s="750"/>
      <c r="BH3396" s="750"/>
      <c r="BI3396" s="750"/>
      <c r="BJ3396" s="750"/>
      <c r="BK3396" s="750"/>
      <c r="BL3396" s="750"/>
      <c r="BM3396" s="750"/>
      <c r="BN3396" s="750"/>
      <c r="BO3396" s="750"/>
      <c r="BP3396" s="750"/>
      <c r="BQ3396" s="750"/>
    </row>
    <row r="3397" spans="3:69">
      <c r="C3397" s="853"/>
      <c r="D3397" s="853"/>
      <c r="E3397" s="853"/>
      <c r="F3397" s="853"/>
      <c r="G3397" s="853"/>
      <c r="H3397" s="853"/>
      <c r="I3397" s="848"/>
      <c r="J3397" s="848"/>
      <c r="K3397" s="1295"/>
      <c r="L3397" s="1295"/>
      <c r="M3397" s="1295"/>
      <c r="N3397" s="1295"/>
      <c r="O3397" s="1295"/>
      <c r="P3397" s="853"/>
      <c r="Q3397" s="1295"/>
      <c r="R3397" s="848"/>
      <c r="S3397" s="848"/>
      <c r="T3397" s="848"/>
      <c r="U3397" s="848"/>
      <c r="V3397" s="1296"/>
      <c r="W3397" s="848"/>
      <c r="X3397" s="848"/>
      <c r="Y3397" s="1295"/>
      <c r="Z3397" s="1296"/>
      <c r="AA3397" s="1295"/>
      <c r="AB3397" s="1296"/>
      <c r="AC3397" s="1295"/>
      <c r="AD3397" s="1295"/>
      <c r="AE3397" s="2556"/>
      <c r="AF3397" s="750"/>
      <c r="AG3397" s="750"/>
      <c r="AH3397" s="750"/>
      <c r="AI3397" s="750"/>
      <c r="AJ3397" s="750"/>
      <c r="AK3397" s="750"/>
      <c r="AL3397" s="750"/>
      <c r="AM3397" s="750"/>
      <c r="AN3397" s="750"/>
      <c r="AO3397" s="750"/>
      <c r="AP3397" s="750"/>
      <c r="AQ3397" s="750"/>
      <c r="AR3397" s="750"/>
      <c r="AS3397" s="750"/>
      <c r="AT3397" s="750"/>
      <c r="AU3397" s="750"/>
      <c r="AV3397" s="750"/>
      <c r="AW3397" s="750"/>
      <c r="AX3397" s="750"/>
      <c r="AY3397" s="750"/>
      <c r="AZ3397" s="750"/>
      <c r="BA3397" s="750"/>
      <c r="BB3397" s="750"/>
      <c r="BC3397" s="750"/>
      <c r="BD3397" s="750"/>
      <c r="BE3397" s="750"/>
      <c r="BF3397" s="750"/>
      <c r="BG3397" s="750"/>
      <c r="BH3397" s="750"/>
      <c r="BI3397" s="750"/>
      <c r="BJ3397" s="750"/>
      <c r="BK3397" s="750"/>
      <c r="BL3397" s="750"/>
      <c r="BM3397" s="750"/>
      <c r="BN3397" s="750"/>
      <c r="BO3397" s="750"/>
      <c r="BP3397" s="750"/>
      <c r="BQ3397" s="750"/>
    </row>
    <row r="3398" spans="3:69">
      <c r="C3398" s="853"/>
      <c r="D3398" s="853"/>
      <c r="E3398" s="853"/>
      <c r="F3398" s="853"/>
      <c r="G3398" s="853"/>
      <c r="H3398" s="853"/>
      <c r="I3398" s="848"/>
      <c r="J3398" s="848"/>
      <c r="K3398" s="1295"/>
      <c r="L3398" s="1295"/>
      <c r="M3398" s="1295"/>
      <c r="N3398" s="1295"/>
      <c r="O3398" s="1295"/>
      <c r="P3398" s="853"/>
      <c r="Q3398" s="1295"/>
      <c r="R3398" s="848"/>
      <c r="S3398" s="848"/>
      <c r="T3398" s="848"/>
      <c r="U3398" s="848"/>
      <c r="V3398" s="1296"/>
      <c r="W3398" s="848"/>
      <c r="X3398" s="848"/>
      <c r="Y3398" s="1295"/>
      <c r="Z3398" s="1296"/>
      <c r="AA3398" s="1295"/>
      <c r="AB3398" s="1296"/>
      <c r="AC3398" s="1295"/>
      <c r="AD3398" s="1295"/>
      <c r="AE3398" s="2556"/>
      <c r="AF3398" s="750"/>
      <c r="AG3398" s="750"/>
      <c r="AH3398" s="750"/>
      <c r="AI3398" s="750"/>
      <c r="AJ3398" s="750"/>
      <c r="AK3398" s="750"/>
      <c r="AL3398" s="750"/>
      <c r="AM3398" s="750"/>
      <c r="AN3398" s="750"/>
      <c r="AO3398" s="750"/>
      <c r="AP3398" s="750"/>
      <c r="AQ3398" s="750"/>
      <c r="AR3398" s="750"/>
      <c r="AS3398" s="750"/>
      <c r="AT3398" s="750"/>
      <c r="AU3398" s="750"/>
      <c r="AV3398" s="750"/>
      <c r="AW3398" s="750"/>
      <c r="AX3398" s="750"/>
      <c r="AY3398" s="750"/>
      <c r="AZ3398" s="750"/>
      <c r="BA3398" s="750"/>
      <c r="BB3398" s="750"/>
      <c r="BC3398" s="750"/>
      <c r="BD3398" s="750"/>
      <c r="BE3398" s="750"/>
      <c r="BF3398" s="750"/>
      <c r="BG3398" s="750"/>
      <c r="BH3398" s="750"/>
      <c r="BI3398" s="750"/>
      <c r="BJ3398" s="750"/>
      <c r="BK3398" s="750"/>
      <c r="BL3398" s="750"/>
      <c r="BM3398" s="750"/>
      <c r="BN3398" s="750"/>
      <c r="BO3398" s="750"/>
      <c r="BP3398" s="750"/>
      <c r="BQ3398" s="750"/>
    </row>
    <row r="3399" spans="3:69">
      <c r="C3399" s="853"/>
      <c r="D3399" s="853"/>
      <c r="E3399" s="853"/>
      <c r="F3399" s="853"/>
      <c r="G3399" s="853"/>
      <c r="H3399" s="853"/>
      <c r="I3399" s="848"/>
      <c r="J3399" s="848"/>
      <c r="K3399" s="1295"/>
      <c r="L3399" s="1295"/>
      <c r="M3399" s="1295"/>
      <c r="N3399" s="1295"/>
      <c r="O3399" s="1295"/>
      <c r="P3399" s="853"/>
      <c r="Q3399" s="1295"/>
      <c r="R3399" s="848"/>
      <c r="S3399" s="848"/>
      <c r="T3399" s="848"/>
      <c r="U3399" s="848"/>
      <c r="V3399" s="1296"/>
      <c r="W3399" s="848"/>
      <c r="X3399" s="848"/>
      <c r="Y3399" s="1295"/>
      <c r="Z3399" s="1296"/>
      <c r="AA3399" s="1295"/>
      <c r="AB3399" s="1296"/>
      <c r="AC3399" s="1295"/>
      <c r="AD3399" s="1295"/>
      <c r="AE3399" s="2556"/>
      <c r="AF3399" s="750"/>
      <c r="AG3399" s="750"/>
      <c r="AH3399" s="750"/>
      <c r="AI3399" s="750"/>
      <c r="AJ3399" s="750"/>
      <c r="AK3399" s="750"/>
      <c r="AL3399" s="750"/>
      <c r="AM3399" s="750"/>
      <c r="AN3399" s="750"/>
      <c r="AO3399" s="750"/>
      <c r="AP3399" s="750"/>
      <c r="AQ3399" s="750"/>
      <c r="AR3399" s="750"/>
      <c r="AS3399" s="750"/>
      <c r="AT3399" s="750"/>
      <c r="AU3399" s="750"/>
      <c r="AV3399" s="750"/>
      <c r="AW3399" s="750"/>
      <c r="AX3399" s="750"/>
      <c r="AY3399" s="750"/>
      <c r="AZ3399" s="750"/>
      <c r="BA3399" s="750"/>
      <c r="BB3399" s="750"/>
      <c r="BC3399" s="750"/>
      <c r="BD3399" s="750"/>
      <c r="BE3399" s="750"/>
      <c r="BF3399" s="750"/>
      <c r="BG3399" s="750"/>
      <c r="BH3399" s="750"/>
      <c r="BI3399" s="750"/>
      <c r="BJ3399" s="750"/>
      <c r="BK3399" s="750"/>
      <c r="BL3399" s="750"/>
      <c r="BM3399" s="750"/>
      <c r="BN3399" s="750"/>
      <c r="BO3399" s="750"/>
      <c r="BP3399" s="750"/>
      <c r="BQ3399" s="750"/>
    </row>
    <row r="3400" spans="3:69">
      <c r="C3400" s="853"/>
      <c r="D3400" s="853"/>
      <c r="E3400" s="853"/>
      <c r="F3400" s="853"/>
      <c r="G3400" s="853"/>
      <c r="H3400" s="853"/>
      <c r="I3400" s="848"/>
      <c r="J3400" s="848"/>
      <c r="K3400" s="1295"/>
      <c r="L3400" s="1295"/>
      <c r="M3400" s="1295"/>
      <c r="N3400" s="1295"/>
      <c r="O3400" s="1295"/>
      <c r="P3400" s="853"/>
      <c r="Q3400" s="1295"/>
      <c r="R3400" s="848"/>
      <c r="S3400" s="848"/>
      <c r="T3400" s="848"/>
      <c r="U3400" s="848"/>
      <c r="V3400" s="1296"/>
      <c r="W3400" s="848"/>
      <c r="X3400" s="848"/>
      <c r="Y3400" s="1295"/>
      <c r="Z3400" s="1296"/>
      <c r="AA3400" s="1295"/>
      <c r="AB3400" s="1296"/>
      <c r="AC3400" s="1295"/>
      <c r="AD3400" s="1295"/>
      <c r="AE3400" s="2556"/>
      <c r="AF3400" s="750"/>
      <c r="AG3400" s="750"/>
      <c r="AH3400" s="750"/>
      <c r="AI3400" s="750"/>
      <c r="AJ3400" s="750"/>
      <c r="AK3400" s="750"/>
      <c r="AL3400" s="750"/>
      <c r="AM3400" s="750"/>
      <c r="AN3400" s="750"/>
      <c r="AO3400" s="750"/>
      <c r="AP3400" s="750"/>
      <c r="AQ3400" s="750"/>
      <c r="AR3400" s="750"/>
      <c r="AS3400" s="750"/>
      <c r="AT3400" s="750"/>
      <c r="AU3400" s="750"/>
      <c r="AV3400" s="750"/>
      <c r="AW3400" s="750"/>
      <c r="AX3400" s="750"/>
      <c r="AY3400" s="750"/>
      <c r="AZ3400" s="750"/>
      <c r="BA3400" s="750"/>
      <c r="BB3400" s="750"/>
      <c r="BC3400" s="750"/>
      <c r="BD3400" s="750"/>
      <c r="BE3400" s="750"/>
      <c r="BF3400" s="750"/>
      <c r="BG3400" s="750"/>
      <c r="BH3400" s="750"/>
      <c r="BI3400" s="750"/>
      <c r="BJ3400" s="750"/>
      <c r="BK3400" s="750"/>
      <c r="BL3400" s="750"/>
      <c r="BM3400" s="750"/>
      <c r="BN3400" s="750"/>
      <c r="BO3400" s="750"/>
      <c r="BP3400" s="750"/>
      <c r="BQ3400" s="750"/>
    </row>
    <row r="3401" spans="3:69">
      <c r="C3401" s="853"/>
      <c r="D3401" s="853"/>
      <c r="E3401" s="853"/>
      <c r="F3401" s="853"/>
      <c r="G3401" s="853"/>
      <c r="H3401" s="853"/>
      <c r="I3401" s="848"/>
      <c r="J3401" s="848"/>
      <c r="K3401" s="1295"/>
      <c r="L3401" s="1295"/>
      <c r="M3401" s="1295"/>
      <c r="N3401" s="1295"/>
      <c r="O3401" s="1295"/>
      <c r="P3401" s="853"/>
      <c r="Q3401" s="1295"/>
      <c r="R3401" s="848"/>
      <c r="S3401" s="848"/>
      <c r="T3401" s="848"/>
      <c r="U3401" s="848"/>
      <c r="V3401" s="1296"/>
      <c r="W3401" s="848"/>
      <c r="X3401" s="848"/>
      <c r="Y3401" s="1295"/>
      <c r="Z3401" s="1296"/>
      <c r="AA3401" s="1295"/>
      <c r="AB3401" s="1296"/>
      <c r="AC3401" s="1295"/>
      <c r="AD3401" s="1295"/>
      <c r="AE3401" s="2556"/>
      <c r="AF3401" s="750"/>
      <c r="AG3401" s="750"/>
      <c r="AH3401" s="750"/>
      <c r="AI3401" s="750"/>
      <c r="AJ3401" s="750"/>
      <c r="AK3401" s="750"/>
      <c r="AL3401" s="750"/>
      <c r="AM3401" s="750"/>
      <c r="AN3401" s="750"/>
      <c r="AO3401" s="750"/>
      <c r="AP3401" s="750"/>
      <c r="AQ3401" s="750"/>
      <c r="AR3401" s="750"/>
      <c r="AS3401" s="750"/>
      <c r="AT3401" s="750"/>
      <c r="AU3401" s="750"/>
      <c r="AV3401" s="750"/>
      <c r="AW3401" s="750"/>
      <c r="AX3401" s="750"/>
      <c r="AY3401" s="750"/>
      <c r="AZ3401" s="750"/>
      <c r="BA3401" s="750"/>
      <c r="BB3401" s="750"/>
      <c r="BC3401" s="750"/>
      <c r="BD3401" s="750"/>
      <c r="BE3401" s="750"/>
      <c r="BF3401" s="750"/>
      <c r="BG3401" s="750"/>
      <c r="BH3401" s="750"/>
      <c r="BI3401" s="750"/>
      <c r="BJ3401" s="750"/>
      <c r="BK3401" s="750"/>
      <c r="BL3401" s="750"/>
      <c r="BM3401" s="750"/>
      <c r="BN3401" s="750"/>
      <c r="BO3401" s="750"/>
      <c r="BP3401" s="750"/>
      <c r="BQ3401" s="750"/>
    </row>
    <row r="3402" spans="3:69">
      <c r="C3402" s="853"/>
      <c r="D3402" s="853"/>
      <c r="E3402" s="853"/>
      <c r="F3402" s="853"/>
      <c r="G3402" s="853"/>
      <c r="H3402" s="853"/>
      <c r="I3402" s="848"/>
      <c r="J3402" s="848"/>
      <c r="K3402" s="1295"/>
      <c r="L3402" s="1295"/>
      <c r="M3402" s="1295"/>
      <c r="N3402" s="1295"/>
      <c r="O3402" s="1295"/>
      <c r="P3402" s="853"/>
      <c r="Q3402" s="1295"/>
      <c r="R3402" s="848"/>
      <c r="S3402" s="848"/>
      <c r="T3402" s="848"/>
      <c r="U3402" s="848"/>
      <c r="V3402" s="1296"/>
      <c r="W3402" s="848"/>
      <c r="X3402" s="848"/>
      <c r="Y3402" s="1295"/>
      <c r="Z3402" s="1296"/>
      <c r="AA3402" s="1295"/>
      <c r="AB3402" s="1296"/>
      <c r="AC3402" s="1295"/>
      <c r="AD3402" s="1295"/>
      <c r="AE3402" s="2556"/>
      <c r="AF3402" s="750"/>
      <c r="AG3402" s="750"/>
      <c r="AH3402" s="750"/>
      <c r="AI3402" s="750"/>
      <c r="AJ3402" s="750"/>
      <c r="AK3402" s="750"/>
      <c r="AL3402" s="750"/>
      <c r="AM3402" s="750"/>
      <c r="AN3402" s="750"/>
      <c r="AO3402" s="750"/>
      <c r="AP3402" s="750"/>
      <c r="AQ3402" s="750"/>
      <c r="AR3402" s="750"/>
      <c r="AS3402" s="750"/>
      <c r="AT3402" s="750"/>
      <c r="AU3402" s="750"/>
      <c r="AV3402" s="750"/>
      <c r="AW3402" s="750"/>
      <c r="AX3402" s="750"/>
      <c r="AY3402" s="750"/>
      <c r="AZ3402" s="750"/>
      <c r="BA3402" s="750"/>
      <c r="BB3402" s="750"/>
      <c r="BC3402" s="750"/>
      <c r="BD3402" s="750"/>
      <c r="BE3402" s="750"/>
      <c r="BF3402" s="750"/>
      <c r="BG3402" s="750"/>
      <c r="BH3402" s="750"/>
      <c r="BI3402" s="750"/>
      <c r="BJ3402" s="750"/>
      <c r="BK3402" s="750"/>
      <c r="BL3402" s="750"/>
      <c r="BM3402" s="750"/>
      <c r="BN3402" s="750"/>
      <c r="BO3402" s="750"/>
      <c r="BP3402" s="750"/>
      <c r="BQ3402" s="750"/>
    </row>
    <row r="3403" spans="3:69">
      <c r="C3403" s="853"/>
      <c r="D3403" s="853"/>
      <c r="E3403" s="853"/>
      <c r="F3403" s="853"/>
      <c r="G3403" s="853"/>
      <c r="H3403" s="853"/>
      <c r="I3403" s="848"/>
      <c r="J3403" s="848"/>
      <c r="K3403" s="1295"/>
      <c r="L3403" s="1295"/>
      <c r="M3403" s="1295"/>
      <c r="N3403" s="1295"/>
      <c r="O3403" s="1295"/>
      <c r="P3403" s="853"/>
      <c r="Q3403" s="1295"/>
      <c r="R3403" s="848"/>
      <c r="S3403" s="848"/>
      <c r="T3403" s="848"/>
      <c r="U3403" s="848"/>
      <c r="V3403" s="1296"/>
      <c r="W3403" s="848"/>
      <c r="X3403" s="848"/>
      <c r="Y3403" s="1295"/>
      <c r="Z3403" s="1296"/>
      <c r="AA3403" s="1295"/>
      <c r="AB3403" s="1296"/>
      <c r="AC3403" s="1295"/>
      <c r="AD3403" s="1295"/>
      <c r="AE3403" s="2556"/>
      <c r="AF3403" s="750"/>
      <c r="AG3403" s="750"/>
      <c r="AH3403" s="750"/>
      <c r="AI3403" s="750"/>
      <c r="AJ3403" s="750"/>
      <c r="AK3403" s="750"/>
      <c r="AL3403" s="750"/>
      <c r="AM3403" s="750"/>
      <c r="AN3403" s="750"/>
      <c r="AO3403" s="750"/>
      <c r="AP3403" s="750"/>
      <c r="AQ3403" s="750"/>
      <c r="AR3403" s="750"/>
      <c r="AS3403" s="750"/>
      <c r="AT3403" s="750"/>
      <c r="AU3403" s="750"/>
      <c r="AV3403" s="750"/>
      <c r="AW3403" s="750"/>
      <c r="AX3403" s="750"/>
      <c r="AY3403" s="750"/>
      <c r="AZ3403" s="750"/>
      <c r="BA3403" s="750"/>
      <c r="BB3403" s="750"/>
      <c r="BC3403" s="750"/>
      <c r="BD3403" s="750"/>
      <c r="BE3403" s="750"/>
      <c r="BF3403" s="750"/>
      <c r="BG3403" s="750"/>
      <c r="BH3403" s="750"/>
      <c r="BI3403" s="750"/>
      <c r="BJ3403" s="750"/>
      <c r="BK3403" s="750"/>
      <c r="BL3403" s="750"/>
      <c r="BM3403" s="750"/>
      <c r="BN3403" s="750"/>
      <c r="BO3403" s="750"/>
      <c r="BP3403" s="750"/>
      <c r="BQ3403" s="750"/>
    </row>
    <row r="3404" spans="3:69">
      <c r="C3404" s="853"/>
      <c r="D3404" s="853"/>
      <c r="E3404" s="853"/>
      <c r="F3404" s="853"/>
      <c r="G3404" s="853"/>
      <c r="H3404" s="853"/>
      <c r="I3404" s="848"/>
      <c r="J3404" s="848"/>
      <c r="K3404" s="1295"/>
      <c r="L3404" s="1295"/>
      <c r="M3404" s="1295"/>
      <c r="N3404" s="1295"/>
      <c r="O3404" s="1295"/>
      <c r="P3404" s="853"/>
      <c r="Q3404" s="1295"/>
      <c r="R3404" s="848"/>
      <c r="S3404" s="848"/>
      <c r="T3404" s="848"/>
      <c r="U3404" s="848"/>
      <c r="V3404" s="1296"/>
      <c r="W3404" s="848"/>
      <c r="X3404" s="848"/>
      <c r="Y3404" s="1295"/>
      <c r="Z3404" s="1296"/>
      <c r="AA3404" s="1295"/>
      <c r="AB3404" s="1296"/>
      <c r="AC3404" s="1295"/>
      <c r="AD3404" s="1295"/>
      <c r="AE3404" s="2556"/>
      <c r="AF3404" s="750"/>
      <c r="AG3404" s="750"/>
      <c r="AH3404" s="750"/>
      <c r="AI3404" s="750"/>
      <c r="AJ3404" s="750"/>
      <c r="AK3404" s="750"/>
      <c r="AL3404" s="750"/>
      <c r="AM3404" s="750"/>
      <c r="AN3404" s="750"/>
      <c r="AO3404" s="750"/>
      <c r="AP3404" s="750"/>
      <c r="AQ3404" s="750"/>
      <c r="AR3404" s="750"/>
      <c r="AS3404" s="750"/>
      <c r="AT3404" s="750"/>
      <c r="AU3404" s="750"/>
      <c r="AV3404" s="750"/>
      <c r="AW3404" s="750"/>
      <c r="AX3404" s="750"/>
      <c r="AY3404" s="750"/>
      <c r="AZ3404" s="750"/>
      <c r="BA3404" s="750"/>
      <c r="BB3404" s="750"/>
      <c r="BC3404" s="750"/>
      <c r="BD3404" s="750"/>
      <c r="BE3404" s="750"/>
      <c r="BF3404" s="750"/>
      <c r="BG3404" s="750"/>
      <c r="BH3404" s="750"/>
      <c r="BI3404" s="750"/>
      <c r="BJ3404" s="750"/>
      <c r="BK3404" s="750"/>
      <c r="BL3404" s="750"/>
      <c r="BM3404" s="750"/>
      <c r="BN3404" s="750"/>
      <c r="BO3404" s="750"/>
      <c r="BP3404" s="750"/>
      <c r="BQ3404" s="750"/>
    </row>
    <row r="3405" spans="3:69">
      <c r="C3405" s="853"/>
      <c r="D3405" s="853"/>
      <c r="E3405" s="853"/>
      <c r="F3405" s="853"/>
      <c r="G3405" s="853"/>
      <c r="H3405" s="853"/>
      <c r="I3405" s="848"/>
      <c r="J3405" s="848"/>
      <c r="K3405" s="1295"/>
      <c r="L3405" s="1295"/>
      <c r="M3405" s="1295"/>
      <c r="N3405" s="1295"/>
      <c r="O3405" s="1295"/>
      <c r="P3405" s="853"/>
      <c r="Q3405" s="1295"/>
      <c r="R3405" s="848"/>
      <c r="S3405" s="848"/>
      <c r="T3405" s="848"/>
      <c r="U3405" s="848"/>
      <c r="V3405" s="1296"/>
      <c r="W3405" s="848"/>
      <c r="X3405" s="848"/>
      <c r="Y3405" s="1295"/>
      <c r="Z3405" s="1296"/>
      <c r="AA3405" s="1295"/>
      <c r="AB3405" s="1296"/>
      <c r="AC3405" s="1295"/>
      <c r="AD3405" s="1295"/>
      <c r="AE3405" s="2556"/>
      <c r="AF3405" s="750"/>
      <c r="AG3405" s="750"/>
      <c r="AH3405" s="750"/>
      <c r="AI3405" s="750"/>
      <c r="AJ3405" s="750"/>
      <c r="AK3405" s="750"/>
      <c r="AL3405" s="750"/>
      <c r="AM3405" s="750"/>
      <c r="AN3405" s="750"/>
      <c r="AO3405" s="750"/>
      <c r="AP3405" s="750"/>
      <c r="AQ3405" s="750"/>
      <c r="AR3405" s="750"/>
      <c r="AS3405" s="750"/>
      <c r="AT3405" s="750"/>
      <c r="AU3405" s="750"/>
      <c r="AV3405" s="750"/>
      <c r="AW3405" s="750"/>
      <c r="AX3405" s="750"/>
      <c r="AY3405" s="750"/>
      <c r="AZ3405" s="750"/>
      <c r="BA3405" s="750"/>
      <c r="BB3405" s="750"/>
      <c r="BC3405" s="750"/>
      <c r="BD3405" s="750"/>
      <c r="BE3405" s="750"/>
      <c r="BF3405" s="750"/>
      <c r="BG3405" s="750"/>
      <c r="BH3405" s="750"/>
      <c r="BI3405" s="750"/>
      <c r="BJ3405" s="750"/>
      <c r="BK3405" s="750"/>
      <c r="BL3405" s="750"/>
      <c r="BM3405" s="750"/>
      <c r="BN3405" s="750"/>
      <c r="BO3405" s="750"/>
      <c r="BP3405" s="750"/>
      <c r="BQ3405" s="750"/>
    </row>
    <row r="3406" spans="3:69">
      <c r="C3406" s="853"/>
      <c r="D3406" s="853"/>
      <c r="E3406" s="853"/>
      <c r="F3406" s="853"/>
      <c r="G3406" s="853"/>
      <c r="H3406" s="853"/>
      <c r="I3406" s="848"/>
      <c r="J3406" s="848"/>
      <c r="K3406" s="1295"/>
      <c r="L3406" s="1295"/>
      <c r="M3406" s="1295"/>
      <c r="N3406" s="1295"/>
      <c r="O3406" s="1295"/>
      <c r="P3406" s="853"/>
      <c r="Q3406" s="1295"/>
      <c r="R3406" s="848"/>
      <c r="S3406" s="848"/>
      <c r="T3406" s="848"/>
      <c r="U3406" s="848"/>
      <c r="V3406" s="1296"/>
      <c r="W3406" s="848"/>
      <c r="X3406" s="848"/>
      <c r="Y3406" s="1295"/>
      <c r="Z3406" s="1296"/>
      <c r="AA3406" s="1295"/>
      <c r="AB3406" s="1296"/>
      <c r="AC3406" s="1295"/>
      <c r="AD3406" s="1295"/>
      <c r="AE3406" s="2556"/>
      <c r="AF3406" s="750"/>
      <c r="AG3406" s="750"/>
      <c r="AH3406" s="750"/>
      <c r="AI3406" s="750"/>
      <c r="AJ3406" s="750"/>
      <c r="AK3406" s="750"/>
      <c r="AL3406" s="750"/>
      <c r="AM3406" s="750"/>
      <c r="AN3406" s="750"/>
      <c r="AO3406" s="750"/>
      <c r="AP3406" s="750"/>
      <c r="AQ3406" s="750"/>
      <c r="AR3406" s="750"/>
      <c r="AS3406" s="750"/>
      <c r="AT3406" s="750"/>
      <c r="AU3406" s="750"/>
      <c r="AV3406" s="750"/>
      <c r="AW3406" s="750"/>
      <c r="AX3406" s="750"/>
      <c r="AY3406" s="750"/>
      <c r="AZ3406" s="750"/>
      <c r="BA3406" s="750"/>
      <c r="BB3406" s="750"/>
      <c r="BC3406" s="750"/>
      <c r="BD3406" s="750"/>
      <c r="BE3406" s="750"/>
      <c r="BF3406" s="750"/>
      <c r="BG3406" s="750"/>
      <c r="BH3406" s="750"/>
      <c r="BI3406" s="750"/>
      <c r="BJ3406" s="750"/>
      <c r="BK3406" s="750"/>
      <c r="BL3406" s="750"/>
      <c r="BM3406" s="750"/>
      <c r="BN3406" s="750"/>
      <c r="BO3406" s="750"/>
      <c r="BP3406" s="750"/>
      <c r="BQ3406" s="750"/>
    </row>
    <row r="3407" spans="3:69">
      <c r="C3407" s="853"/>
      <c r="D3407" s="853"/>
      <c r="E3407" s="853"/>
      <c r="F3407" s="853"/>
      <c r="G3407" s="853"/>
      <c r="H3407" s="853"/>
      <c r="I3407" s="848"/>
      <c r="J3407" s="848"/>
      <c r="K3407" s="1295"/>
      <c r="L3407" s="1295"/>
      <c r="M3407" s="1295"/>
      <c r="N3407" s="1295"/>
      <c r="O3407" s="1295"/>
      <c r="P3407" s="853"/>
      <c r="Q3407" s="1295"/>
      <c r="R3407" s="848"/>
      <c r="S3407" s="848"/>
      <c r="T3407" s="848"/>
      <c r="U3407" s="848"/>
      <c r="V3407" s="1296"/>
      <c r="W3407" s="848"/>
      <c r="X3407" s="848"/>
      <c r="Y3407" s="1295"/>
      <c r="Z3407" s="1296"/>
      <c r="AA3407" s="1295"/>
      <c r="AB3407" s="1296"/>
      <c r="AC3407" s="1295"/>
      <c r="AD3407" s="1295"/>
      <c r="AE3407" s="2556"/>
      <c r="AF3407" s="750"/>
      <c r="AG3407" s="750"/>
      <c r="AH3407" s="750"/>
      <c r="AI3407" s="750"/>
      <c r="AJ3407" s="750"/>
      <c r="AK3407" s="750"/>
      <c r="AL3407" s="750"/>
      <c r="AM3407" s="750"/>
      <c r="AN3407" s="750"/>
      <c r="AO3407" s="750"/>
      <c r="AP3407" s="750"/>
      <c r="AQ3407" s="750"/>
      <c r="AR3407" s="750"/>
      <c r="AS3407" s="750"/>
      <c r="AT3407" s="750"/>
      <c r="AU3407" s="750"/>
      <c r="AV3407" s="750"/>
      <c r="AW3407" s="750"/>
      <c r="AX3407" s="750"/>
      <c r="AY3407" s="750"/>
      <c r="AZ3407" s="750"/>
      <c r="BA3407" s="750"/>
      <c r="BB3407" s="750"/>
      <c r="BC3407" s="750"/>
      <c r="BD3407" s="750"/>
      <c r="BE3407" s="750"/>
      <c r="BF3407" s="750"/>
      <c r="BG3407" s="750"/>
      <c r="BH3407" s="750"/>
      <c r="BI3407" s="750"/>
      <c r="BJ3407" s="750"/>
      <c r="BK3407" s="750"/>
      <c r="BL3407" s="750"/>
      <c r="BM3407" s="750"/>
      <c r="BN3407" s="750"/>
      <c r="BO3407" s="750"/>
      <c r="BP3407" s="750"/>
      <c r="BQ3407" s="750"/>
    </row>
    <row r="3408" spans="3:69">
      <c r="C3408" s="853"/>
      <c r="D3408" s="853"/>
      <c r="E3408" s="853"/>
      <c r="F3408" s="853"/>
      <c r="G3408" s="853"/>
      <c r="H3408" s="853"/>
      <c r="I3408" s="848"/>
      <c r="J3408" s="848"/>
      <c r="K3408" s="1295"/>
      <c r="L3408" s="1295"/>
      <c r="M3408" s="1295"/>
      <c r="N3408" s="1295"/>
      <c r="O3408" s="1295"/>
      <c r="P3408" s="853"/>
      <c r="Q3408" s="1295"/>
      <c r="R3408" s="848"/>
      <c r="S3408" s="848"/>
      <c r="T3408" s="848"/>
      <c r="U3408" s="848"/>
      <c r="V3408" s="1296"/>
      <c r="W3408" s="848"/>
      <c r="X3408" s="848"/>
      <c r="Y3408" s="1295"/>
      <c r="Z3408" s="1296"/>
      <c r="AA3408" s="1295"/>
      <c r="AB3408" s="1296"/>
      <c r="AC3408" s="1295"/>
      <c r="AD3408" s="1295"/>
      <c r="AE3408" s="2556"/>
      <c r="AF3408" s="750"/>
      <c r="AG3408" s="750"/>
      <c r="AH3408" s="750"/>
      <c r="AI3408" s="750"/>
      <c r="AJ3408" s="750"/>
      <c r="AK3408" s="750"/>
      <c r="AL3408" s="750"/>
      <c r="AM3408" s="750"/>
      <c r="AN3408" s="750"/>
      <c r="AO3408" s="750"/>
      <c r="AP3408" s="750"/>
      <c r="AQ3408" s="750"/>
      <c r="AR3408" s="750"/>
      <c r="AS3408" s="750"/>
      <c r="AT3408" s="750"/>
      <c r="AU3408" s="750"/>
      <c r="AV3408" s="750"/>
      <c r="AW3408" s="750"/>
      <c r="AX3408" s="750"/>
      <c r="AY3408" s="750"/>
      <c r="AZ3408" s="750"/>
      <c r="BA3408" s="750"/>
      <c r="BB3408" s="750"/>
      <c r="BC3408" s="750"/>
      <c r="BD3408" s="750"/>
      <c r="BE3408" s="750"/>
      <c r="BF3408" s="750"/>
      <c r="BG3408" s="750"/>
      <c r="BH3408" s="750"/>
      <c r="BI3408" s="750"/>
      <c r="BJ3408" s="750"/>
      <c r="BK3408" s="750"/>
      <c r="BL3408" s="750"/>
      <c r="BM3408" s="750"/>
      <c r="BN3408" s="750"/>
      <c r="BO3408" s="750"/>
      <c r="BP3408" s="750"/>
      <c r="BQ3408" s="750"/>
    </row>
    <row r="3409" spans="3:69">
      <c r="C3409" s="853"/>
      <c r="D3409" s="853"/>
      <c r="E3409" s="853"/>
      <c r="F3409" s="853"/>
      <c r="G3409" s="853"/>
      <c r="H3409" s="853"/>
      <c r="I3409" s="848"/>
      <c r="J3409" s="848"/>
      <c r="K3409" s="1295"/>
      <c r="L3409" s="1295"/>
      <c r="M3409" s="1295"/>
      <c r="N3409" s="1295"/>
      <c r="O3409" s="1295"/>
      <c r="P3409" s="853"/>
      <c r="Q3409" s="1295"/>
      <c r="R3409" s="848"/>
      <c r="S3409" s="848"/>
      <c r="T3409" s="848"/>
      <c r="U3409" s="848"/>
      <c r="V3409" s="1296"/>
      <c r="W3409" s="848"/>
      <c r="X3409" s="848"/>
      <c r="Y3409" s="1295"/>
      <c r="Z3409" s="1296"/>
      <c r="AA3409" s="1295"/>
      <c r="AB3409" s="1296"/>
      <c r="AC3409" s="1295"/>
      <c r="AD3409" s="1295"/>
      <c r="AE3409" s="2556"/>
      <c r="AF3409" s="750"/>
      <c r="AG3409" s="750"/>
      <c r="AH3409" s="750"/>
      <c r="AI3409" s="750"/>
      <c r="AJ3409" s="750"/>
      <c r="AK3409" s="750"/>
      <c r="AL3409" s="750"/>
      <c r="AM3409" s="750"/>
      <c r="AN3409" s="750"/>
      <c r="AO3409" s="750"/>
      <c r="AP3409" s="750"/>
      <c r="AQ3409" s="750"/>
      <c r="AR3409" s="750"/>
      <c r="AS3409" s="750"/>
      <c r="AT3409" s="750"/>
      <c r="AU3409" s="750"/>
      <c r="AV3409" s="750"/>
      <c r="AW3409" s="750"/>
      <c r="AX3409" s="750"/>
      <c r="AY3409" s="750"/>
      <c r="AZ3409" s="750"/>
      <c r="BA3409" s="750"/>
      <c r="BB3409" s="750"/>
      <c r="BC3409" s="750"/>
      <c r="BD3409" s="750"/>
      <c r="BE3409" s="750"/>
      <c r="BF3409" s="750"/>
      <c r="BG3409" s="750"/>
      <c r="BH3409" s="750"/>
      <c r="BI3409" s="750"/>
      <c r="BJ3409" s="750"/>
      <c r="BK3409" s="750"/>
      <c r="BL3409" s="750"/>
      <c r="BM3409" s="750"/>
      <c r="BN3409" s="750"/>
      <c r="BO3409" s="750"/>
      <c r="BP3409" s="750"/>
      <c r="BQ3409" s="750"/>
    </row>
    <row r="3410" spans="3:69">
      <c r="C3410" s="853"/>
      <c r="D3410" s="853"/>
      <c r="E3410" s="853"/>
      <c r="F3410" s="853"/>
      <c r="G3410" s="853"/>
      <c r="H3410" s="853"/>
      <c r="I3410" s="848"/>
      <c r="J3410" s="848"/>
      <c r="K3410" s="1295"/>
      <c r="L3410" s="1295"/>
      <c r="M3410" s="1295"/>
      <c r="N3410" s="1295"/>
      <c r="O3410" s="1295"/>
      <c r="P3410" s="853"/>
      <c r="Q3410" s="1295"/>
      <c r="R3410" s="848"/>
      <c r="S3410" s="848"/>
      <c r="T3410" s="848"/>
      <c r="U3410" s="848"/>
      <c r="V3410" s="1296"/>
      <c r="W3410" s="848"/>
      <c r="X3410" s="848"/>
      <c r="Y3410" s="1295"/>
      <c r="Z3410" s="1296"/>
      <c r="AA3410" s="1295"/>
      <c r="AB3410" s="1296"/>
      <c r="AC3410" s="1295"/>
      <c r="AD3410" s="1295"/>
      <c r="AE3410" s="2556"/>
      <c r="AF3410" s="750"/>
      <c r="AG3410" s="750"/>
      <c r="AH3410" s="750"/>
      <c r="AI3410" s="750"/>
      <c r="AJ3410" s="750"/>
      <c r="AK3410" s="750"/>
      <c r="AL3410" s="750"/>
      <c r="AM3410" s="750"/>
      <c r="AN3410" s="750"/>
      <c r="AO3410" s="750"/>
      <c r="AP3410" s="750"/>
      <c r="AQ3410" s="750"/>
      <c r="AR3410" s="750"/>
      <c r="AS3410" s="750"/>
      <c r="AT3410" s="750"/>
      <c r="AU3410" s="750"/>
      <c r="AV3410" s="750"/>
      <c r="AW3410" s="750"/>
      <c r="AX3410" s="750"/>
      <c r="AY3410" s="750"/>
      <c r="AZ3410" s="750"/>
      <c r="BA3410" s="750"/>
      <c r="BB3410" s="750"/>
      <c r="BC3410" s="750"/>
      <c r="BD3410" s="750"/>
      <c r="BE3410" s="750"/>
      <c r="BF3410" s="750"/>
      <c r="BG3410" s="750"/>
      <c r="BH3410" s="750"/>
      <c r="BI3410" s="750"/>
      <c r="BJ3410" s="750"/>
      <c r="BK3410" s="750"/>
      <c r="BL3410" s="750"/>
      <c r="BM3410" s="750"/>
      <c r="BN3410" s="750"/>
      <c r="BO3410" s="750"/>
      <c r="BP3410" s="750"/>
      <c r="BQ3410" s="750"/>
    </row>
    <row r="3411" spans="3:69">
      <c r="C3411" s="853"/>
      <c r="D3411" s="853"/>
      <c r="E3411" s="853"/>
      <c r="F3411" s="853"/>
      <c r="G3411" s="853"/>
      <c r="H3411" s="853"/>
      <c r="I3411" s="848"/>
      <c r="J3411" s="848"/>
      <c r="K3411" s="1295"/>
      <c r="L3411" s="1295"/>
      <c r="M3411" s="1295"/>
      <c r="N3411" s="1295"/>
      <c r="O3411" s="1295"/>
      <c r="P3411" s="853"/>
      <c r="Q3411" s="1295"/>
      <c r="R3411" s="848"/>
      <c r="S3411" s="848"/>
      <c r="T3411" s="848"/>
      <c r="U3411" s="848"/>
      <c r="V3411" s="1296"/>
      <c r="W3411" s="848"/>
      <c r="X3411" s="848"/>
      <c r="Y3411" s="1295"/>
      <c r="Z3411" s="1296"/>
      <c r="AA3411" s="1295"/>
      <c r="AB3411" s="1296"/>
      <c r="AC3411" s="1295"/>
      <c r="AD3411" s="1295"/>
      <c r="AE3411" s="2556"/>
      <c r="AF3411" s="750"/>
      <c r="AG3411" s="750"/>
      <c r="AH3411" s="750"/>
      <c r="AI3411" s="750"/>
      <c r="AJ3411" s="750"/>
      <c r="AK3411" s="750"/>
      <c r="AL3411" s="750"/>
      <c r="AM3411" s="750"/>
      <c r="AN3411" s="750"/>
      <c r="AO3411" s="750"/>
      <c r="AP3411" s="750"/>
      <c r="AQ3411" s="750"/>
      <c r="AR3411" s="750"/>
      <c r="AS3411" s="750"/>
      <c r="AT3411" s="750"/>
      <c r="AU3411" s="750"/>
      <c r="AV3411" s="750"/>
      <c r="AW3411" s="750"/>
      <c r="AX3411" s="750"/>
      <c r="AY3411" s="750"/>
      <c r="AZ3411" s="750"/>
      <c r="BA3411" s="750"/>
      <c r="BB3411" s="750"/>
      <c r="BC3411" s="750"/>
      <c r="BD3411" s="750"/>
      <c r="BE3411" s="750"/>
      <c r="BF3411" s="750"/>
      <c r="BG3411" s="750"/>
      <c r="BH3411" s="750"/>
      <c r="BI3411" s="750"/>
      <c r="BJ3411" s="750"/>
      <c r="BK3411" s="750"/>
      <c r="BL3411" s="750"/>
      <c r="BM3411" s="750"/>
      <c r="BN3411" s="750"/>
      <c r="BO3411" s="750"/>
      <c r="BP3411" s="750"/>
      <c r="BQ3411" s="750"/>
    </row>
    <row r="3412" spans="3:69">
      <c r="C3412" s="853"/>
      <c r="D3412" s="853"/>
      <c r="E3412" s="853"/>
      <c r="F3412" s="853"/>
      <c r="G3412" s="853"/>
      <c r="H3412" s="853"/>
      <c r="I3412" s="848"/>
      <c r="J3412" s="848"/>
      <c r="K3412" s="1295"/>
      <c r="L3412" s="1295"/>
      <c r="M3412" s="1295"/>
      <c r="N3412" s="1295"/>
      <c r="O3412" s="1295"/>
      <c r="P3412" s="853"/>
      <c r="Q3412" s="1295"/>
      <c r="R3412" s="848"/>
      <c r="S3412" s="848"/>
      <c r="T3412" s="848"/>
      <c r="U3412" s="848"/>
      <c r="V3412" s="1296"/>
      <c r="W3412" s="848"/>
      <c r="X3412" s="848"/>
      <c r="Y3412" s="1295"/>
      <c r="Z3412" s="1296"/>
      <c r="AA3412" s="1295"/>
      <c r="AB3412" s="1296"/>
      <c r="AC3412" s="1295"/>
      <c r="AD3412" s="1295"/>
      <c r="AE3412" s="2556"/>
      <c r="AF3412" s="750"/>
      <c r="AG3412" s="750"/>
      <c r="AH3412" s="750"/>
      <c r="AI3412" s="750"/>
      <c r="AJ3412" s="750"/>
      <c r="AK3412" s="750"/>
      <c r="AL3412" s="750"/>
      <c r="AM3412" s="750"/>
      <c r="AN3412" s="750"/>
      <c r="AO3412" s="750"/>
      <c r="AP3412" s="750"/>
      <c r="AQ3412" s="750"/>
      <c r="AR3412" s="750"/>
      <c r="AS3412" s="750"/>
      <c r="AT3412" s="750"/>
      <c r="AU3412" s="750"/>
      <c r="AV3412" s="750"/>
      <c r="AW3412" s="750"/>
      <c r="AX3412" s="750"/>
      <c r="AY3412" s="750"/>
      <c r="AZ3412" s="750"/>
      <c r="BA3412" s="750"/>
      <c r="BB3412" s="750"/>
      <c r="BC3412" s="750"/>
      <c r="BD3412" s="750"/>
      <c r="BE3412" s="750"/>
      <c r="BF3412" s="750"/>
      <c r="BG3412" s="750"/>
      <c r="BH3412" s="750"/>
      <c r="BI3412" s="750"/>
      <c r="BJ3412" s="750"/>
      <c r="BK3412" s="750"/>
      <c r="BL3412" s="750"/>
      <c r="BM3412" s="750"/>
      <c r="BN3412" s="750"/>
      <c r="BO3412" s="750"/>
      <c r="BP3412" s="750"/>
      <c r="BQ3412" s="750"/>
    </row>
    <row r="3413" spans="3:69">
      <c r="C3413" s="853"/>
      <c r="D3413" s="853"/>
      <c r="E3413" s="853"/>
      <c r="F3413" s="853"/>
      <c r="G3413" s="853"/>
      <c r="H3413" s="853"/>
      <c r="I3413" s="848"/>
      <c r="J3413" s="848"/>
      <c r="K3413" s="1295"/>
      <c r="L3413" s="1295"/>
      <c r="M3413" s="1295"/>
      <c r="N3413" s="1295"/>
      <c r="O3413" s="1295"/>
      <c r="P3413" s="853"/>
      <c r="Q3413" s="1295"/>
      <c r="R3413" s="848"/>
      <c r="S3413" s="848"/>
      <c r="T3413" s="848"/>
      <c r="U3413" s="848"/>
      <c r="V3413" s="1296"/>
      <c r="W3413" s="848"/>
      <c r="X3413" s="848"/>
      <c r="Y3413" s="1295"/>
      <c r="Z3413" s="1296"/>
      <c r="AA3413" s="1295"/>
      <c r="AB3413" s="1296"/>
      <c r="AC3413" s="1295"/>
      <c r="AD3413" s="1295"/>
      <c r="AE3413" s="2556"/>
      <c r="AF3413" s="750"/>
      <c r="AG3413" s="750"/>
      <c r="AH3413" s="750"/>
      <c r="AI3413" s="750"/>
      <c r="AJ3413" s="750"/>
      <c r="AK3413" s="750"/>
      <c r="AL3413" s="750"/>
      <c r="AM3413" s="750"/>
      <c r="AN3413" s="750"/>
      <c r="AO3413" s="750"/>
      <c r="AP3413" s="750"/>
      <c r="AQ3413" s="750"/>
      <c r="AR3413" s="750"/>
      <c r="AS3413" s="750"/>
      <c r="AT3413" s="750"/>
      <c r="AU3413" s="750"/>
      <c r="AV3413" s="750"/>
      <c r="AW3413" s="750"/>
      <c r="AX3413" s="750"/>
      <c r="AY3413" s="750"/>
      <c r="AZ3413" s="750"/>
      <c r="BA3413" s="750"/>
      <c r="BB3413" s="750"/>
      <c r="BC3413" s="750"/>
      <c r="BD3413" s="750"/>
      <c r="BE3413" s="750"/>
      <c r="BF3413" s="750"/>
      <c r="BG3413" s="750"/>
      <c r="BH3413" s="750"/>
      <c r="BI3413" s="750"/>
      <c r="BJ3413" s="750"/>
      <c r="BK3413" s="750"/>
      <c r="BL3413" s="750"/>
      <c r="BM3413" s="750"/>
      <c r="BN3413" s="750"/>
      <c r="BO3413" s="750"/>
      <c r="BP3413" s="750"/>
      <c r="BQ3413" s="750"/>
    </row>
    <row r="3414" spans="3:69">
      <c r="C3414" s="853"/>
      <c r="D3414" s="853"/>
      <c r="E3414" s="853"/>
      <c r="F3414" s="853"/>
      <c r="G3414" s="853"/>
      <c r="H3414" s="853"/>
      <c r="I3414" s="848"/>
      <c r="J3414" s="848"/>
      <c r="K3414" s="1295"/>
      <c r="L3414" s="1295"/>
      <c r="M3414" s="1295"/>
      <c r="N3414" s="1295"/>
      <c r="O3414" s="1295"/>
      <c r="P3414" s="853"/>
      <c r="Q3414" s="1295"/>
      <c r="R3414" s="848"/>
      <c r="S3414" s="848"/>
      <c r="T3414" s="848"/>
      <c r="U3414" s="848"/>
      <c r="V3414" s="1296"/>
      <c r="W3414" s="848"/>
      <c r="X3414" s="848"/>
      <c r="Y3414" s="1295"/>
      <c r="Z3414" s="1296"/>
      <c r="AA3414" s="1295"/>
      <c r="AB3414" s="1296"/>
      <c r="AC3414" s="1295"/>
      <c r="AD3414" s="1295"/>
      <c r="AE3414" s="2556"/>
      <c r="AF3414" s="750"/>
      <c r="AG3414" s="750"/>
      <c r="AH3414" s="750"/>
      <c r="AI3414" s="750"/>
      <c r="AJ3414" s="750"/>
      <c r="AK3414" s="750"/>
      <c r="AL3414" s="750"/>
      <c r="AM3414" s="750"/>
      <c r="AN3414" s="750"/>
      <c r="AO3414" s="750"/>
      <c r="AP3414" s="750"/>
      <c r="AQ3414" s="750"/>
      <c r="AR3414" s="750"/>
      <c r="AS3414" s="750"/>
      <c r="AT3414" s="750"/>
      <c r="AU3414" s="750"/>
      <c r="AV3414" s="750"/>
      <c r="AW3414" s="750"/>
      <c r="AX3414" s="750"/>
      <c r="AY3414" s="750"/>
      <c r="AZ3414" s="750"/>
      <c r="BA3414" s="750"/>
      <c r="BB3414" s="750"/>
      <c r="BC3414" s="750"/>
      <c r="BD3414" s="750"/>
      <c r="BE3414" s="750"/>
      <c r="BF3414" s="750"/>
      <c r="BG3414" s="750"/>
      <c r="BH3414" s="750"/>
      <c r="BI3414" s="750"/>
      <c r="BJ3414" s="750"/>
      <c r="BK3414" s="750"/>
      <c r="BL3414" s="750"/>
      <c r="BM3414" s="750"/>
      <c r="BN3414" s="750"/>
      <c r="BO3414" s="750"/>
      <c r="BP3414" s="750"/>
      <c r="BQ3414" s="750"/>
    </row>
    <row r="3415" spans="3:69">
      <c r="C3415" s="853"/>
      <c r="D3415" s="853"/>
      <c r="E3415" s="853"/>
      <c r="F3415" s="853"/>
      <c r="G3415" s="853"/>
      <c r="H3415" s="853"/>
      <c r="I3415" s="848"/>
      <c r="J3415" s="848"/>
      <c r="K3415" s="1295"/>
      <c r="L3415" s="1295"/>
      <c r="M3415" s="1295"/>
      <c r="N3415" s="1295"/>
      <c r="O3415" s="1295"/>
      <c r="P3415" s="853"/>
      <c r="Q3415" s="1295"/>
      <c r="R3415" s="848"/>
      <c r="S3415" s="848"/>
      <c r="T3415" s="848"/>
      <c r="U3415" s="848"/>
      <c r="V3415" s="1296"/>
      <c r="W3415" s="848"/>
      <c r="X3415" s="848"/>
      <c r="Y3415" s="1295"/>
      <c r="Z3415" s="1296"/>
      <c r="AA3415" s="1295"/>
      <c r="AB3415" s="1296"/>
      <c r="AC3415" s="1295"/>
      <c r="AD3415" s="1295"/>
      <c r="AE3415" s="2556"/>
      <c r="AF3415" s="750"/>
      <c r="AG3415" s="750"/>
      <c r="AH3415" s="750"/>
      <c r="AI3415" s="750"/>
      <c r="AJ3415" s="750"/>
      <c r="AK3415" s="750"/>
      <c r="AL3415" s="750"/>
      <c r="AM3415" s="750"/>
      <c r="AN3415" s="750"/>
      <c r="AO3415" s="750"/>
      <c r="AP3415" s="750"/>
      <c r="AQ3415" s="750"/>
      <c r="AR3415" s="750"/>
      <c r="AS3415" s="750"/>
      <c r="AT3415" s="750"/>
      <c r="AU3415" s="750"/>
      <c r="AV3415" s="750"/>
      <c r="AW3415" s="750"/>
      <c r="AX3415" s="750"/>
      <c r="AY3415" s="750"/>
      <c r="AZ3415" s="750"/>
      <c r="BA3415" s="750"/>
      <c r="BB3415" s="750"/>
      <c r="BC3415" s="750"/>
      <c r="BD3415" s="750"/>
      <c r="BE3415" s="750"/>
      <c r="BF3415" s="750"/>
      <c r="BG3415" s="750"/>
      <c r="BH3415" s="750"/>
      <c r="BI3415" s="750"/>
      <c r="BJ3415" s="750"/>
      <c r="BK3415" s="750"/>
      <c r="BL3415" s="750"/>
      <c r="BM3415" s="750"/>
      <c r="BN3415" s="750"/>
      <c r="BO3415" s="750"/>
      <c r="BP3415" s="750"/>
      <c r="BQ3415" s="750"/>
    </row>
    <row r="3416" spans="3:69">
      <c r="C3416" s="853"/>
      <c r="D3416" s="853"/>
      <c r="E3416" s="853"/>
      <c r="F3416" s="853"/>
      <c r="G3416" s="853"/>
      <c r="H3416" s="853"/>
      <c r="I3416" s="848"/>
      <c r="J3416" s="848"/>
      <c r="K3416" s="1295"/>
      <c r="L3416" s="1295"/>
      <c r="M3416" s="1295"/>
      <c r="N3416" s="1295"/>
      <c r="O3416" s="1295"/>
      <c r="P3416" s="853"/>
      <c r="Q3416" s="1295"/>
      <c r="R3416" s="848"/>
      <c r="S3416" s="848"/>
      <c r="T3416" s="848"/>
      <c r="U3416" s="848"/>
      <c r="V3416" s="1296"/>
      <c r="W3416" s="848"/>
      <c r="X3416" s="848"/>
      <c r="Y3416" s="1295"/>
      <c r="Z3416" s="1296"/>
      <c r="AA3416" s="1295"/>
      <c r="AB3416" s="1296"/>
      <c r="AC3416" s="1295"/>
      <c r="AD3416" s="1295"/>
      <c r="AE3416" s="2556"/>
      <c r="AF3416" s="750"/>
      <c r="AG3416" s="750"/>
      <c r="AH3416" s="750"/>
      <c r="AI3416" s="750"/>
      <c r="AJ3416" s="750"/>
      <c r="AK3416" s="750"/>
      <c r="AL3416" s="750"/>
      <c r="AM3416" s="750"/>
      <c r="AN3416" s="750"/>
      <c r="AO3416" s="750"/>
      <c r="AP3416" s="750"/>
      <c r="AQ3416" s="750"/>
      <c r="AR3416" s="750"/>
      <c r="AS3416" s="750"/>
      <c r="AT3416" s="750"/>
      <c r="AU3416" s="750"/>
      <c r="AV3416" s="750"/>
      <c r="AW3416" s="750"/>
      <c r="AX3416" s="750"/>
      <c r="AY3416" s="750"/>
      <c r="AZ3416" s="750"/>
      <c r="BA3416" s="750"/>
      <c r="BB3416" s="750"/>
      <c r="BC3416" s="750"/>
      <c r="BD3416" s="750"/>
      <c r="BE3416" s="750"/>
      <c r="BF3416" s="750"/>
      <c r="BG3416" s="750"/>
      <c r="BH3416" s="750"/>
      <c r="BI3416" s="750"/>
      <c r="BJ3416" s="750"/>
      <c r="BK3416" s="750"/>
      <c r="BL3416" s="750"/>
      <c r="BM3416" s="750"/>
      <c r="BN3416" s="750"/>
      <c r="BO3416" s="750"/>
      <c r="BP3416" s="750"/>
      <c r="BQ3416" s="750"/>
    </row>
    <row r="3417" spans="3:69">
      <c r="C3417" s="853"/>
      <c r="D3417" s="853"/>
      <c r="E3417" s="853"/>
      <c r="F3417" s="853"/>
      <c r="G3417" s="853"/>
      <c r="H3417" s="853"/>
      <c r="I3417" s="848"/>
      <c r="J3417" s="848"/>
      <c r="K3417" s="1295"/>
      <c r="L3417" s="1295"/>
      <c r="M3417" s="1295"/>
      <c r="N3417" s="1295"/>
      <c r="O3417" s="1295"/>
      <c r="P3417" s="853"/>
      <c r="Q3417" s="1295"/>
      <c r="R3417" s="848"/>
      <c r="S3417" s="848"/>
      <c r="T3417" s="848"/>
      <c r="U3417" s="848"/>
      <c r="V3417" s="1296"/>
      <c r="W3417" s="848"/>
      <c r="X3417" s="848"/>
      <c r="Y3417" s="1295"/>
      <c r="Z3417" s="1296"/>
      <c r="AA3417" s="1295"/>
      <c r="AB3417" s="1296"/>
      <c r="AC3417" s="1295"/>
      <c r="AD3417" s="1295"/>
      <c r="AE3417" s="2556"/>
      <c r="AF3417" s="750"/>
      <c r="AG3417" s="750"/>
      <c r="AH3417" s="750"/>
      <c r="AI3417" s="750"/>
      <c r="AJ3417" s="750"/>
      <c r="AK3417" s="750"/>
      <c r="AL3417" s="750"/>
      <c r="AM3417" s="750"/>
      <c r="AN3417" s="750"/>
      <c r="AO3417" s="750"/>
      <c r="AP3417" s="750"/>
      <c r="AQ3417" s="750"/>
      <c r="AR3417" s="750"/>
      <c r="AS3417" s="750"/>
      <c r="AT3417" s="750"/>
      <c r="AU3417" s="750"/>
      <c r="AV3417" s="750"/>
      <c r="AW3417" s="750"/>
      <c r="AX3417" s="750"/>
      <c r="AY3417" s="750"/>
      <c r="AZ3417" s="750"/>
      <c r="BA3417" s="750"/>
      <c r="BB3417" s="750"/>
      <c r="BC3417" s="750"/>
      <c r="BD3417" s="750"/>
      <c r="BE3417" s="750"/>
      <c r="BF3417" s="750"/>
      <c r="BG3417" s="750"/>
      <c r="BH3417" s="750"/>
      <c r="BI3417" s="750"/>
      <c r="BJ3417" s="750"/>
      <c r="BK3417" s="750"/>
      <c r="BL3417" s="750"/>
      <c r="BM3417" s="750"/>
      <c r="BN3417" s="750"/>
      <c r="BO3417" s="750"/>
      <c r="BP3417" s="750"/>
      <c r="BQ3417" s="750"/>
    </row>
    <row r="3418" spans="3:69">
      <c r="C3418" s="853"/>
      <c r="D3418" s="853"/>
      <c r="E3418" s="853"/>
      <c r="F3418" s="853"/>
      <c r="G3418" s="853"/>
      <c r="H3418" s="853"/>
      <c r="I3418" s="848"/>
      <c r="J3418" s="848"/>
      <c r="K3418" s="1295"/>
      <c r="L3418" s="1295"/>
      <c r="M3418" s="1295"/>
      <c r="N3418" s="1295"/>
      <c r="O3418" s="1295"/>
      <c r="P3418" s="853"/>
      <c r="Q3418" s="1295"/>
      <c r="R3418" s="848"/>
      <c r="S3418" s="848"/>
      <c r="T3418" s="848"/>
      <c r="U3418" s="848"/>
      <c r="V3418" s="1296"/>
      <c r="W3418" s="848"/>
      <c r="X3418" s="848"/>
      <c r="Y3418" s="1295"/>
      <c r="Z3418" s="1296"/>
      <c r="AA3418" s="1295"/>
      <c r="AB3418" s="1296"/>
      <c r="AC3418" s="1295"/>
      <c r="AD3418" s="1295"/>
      <c r="AE3418" s="2556"/>
      <c r="AF3418" s="750"/>
      <c r="AG3418" s="750"/>
      <c r="AH3418" s="750"/>
      <c r="AI3418" s="750"/>
      <c r="AJ3418" s="750"/>
      <c r="AK3418" s="750"/>
      <c r="AL3418" s="750"/>
      <c r="AM3418" s="750"/>
      <c r="AN3418" s="750"/>
      <c r="AO3418" s="750"/>
      <c r="AP3418" s="750"/>
      <c r="AQ3418" s="750"/>
      <c r="AR3418" s="750"/>
      <c r="AS3418" s="750"/>
      <c r="AT3418" s="750"/>
      <c r="AU3418" s="750"/>
      <c r="AV3418" s="750"/>
      <c r="AW3418" s="750"/>
      <c r="AX3418" s="750"/>
      <c r="AY3418" s="750"/>
      <c r="AZ3418" s="750"/>
      <c r="BA3418" s="750"/>
      <c r="BB3418" s="750"/>
      <c r="BC3418" s="750"/>
      <c r="BD3418" s="750"/>
      <c r="BE3418" s="750"/>
      <c r="BF3418" s="750"/>
      <c r="BG3418" s="750"/>
      <c r="BH3418" s="750"/>
      <c r="BI3418" s="750"/>
      <c r="BJ3418" s="750"/>
      <c r="BK3418" s="750"/>
      <c r="BL3418" s="750"/>
      <c r="BM3418" s="750"/>
      <c r="BN3418" s="750"/>
      <c r="BO3418" s="750"/>
      <c r="BP3418" s="750"/>
      <c r="BQ3418" s="750"/>
    </row>
    <row r="3419" spans="3:69">
      <c r="C3419" s="853"/>
      <c r="D3419" s="853"/>
      <c r="E3419" s="853"/>
      <c r="F3419" s="853"/>
      <c r="G3419" s="853"/>
      <c r="H3419" s="853"/>
      <c r="I3419" s="848"/>
      <c r="J3419" s="848"/>
      <c r="K3419" s="1295"/>
      <c r="L3419" s="1295"/>
      <c r="M3419" s="1295"/>
      <c r="N3419" s="1295"/>
      <c r="O3419" s="1295"/>
      <c r="P3419" s="853"/>
      <c r="Q3419" s="1295"/>
      <c r="R3419" s="848"/>
      <c r="S3419" s="848"/>
      <c r="T3419" s="848"/>
      <c r="U3419" s="848"/>
      <c r="V3419" s="1296"/>
      <c r="W3419" s="848"/>
      <c r="X3419" s="848"/>
      <c r="Y3419" s="1295"/>
      <c r="Z3419" s="1296"/>
      <c r="AA3419" s="1295"/>
      <c r="AB3419" s="1296"/>
      <c r="AC3419" s="1295"/>
      <c r="AD3419" s="1295"/>
      <c r="AE3419" s="2556"/>
      <c r="AF3419" s="750"/>
      <c r="AG3419" s="750"/>
      <c r="AH3419" s="750"/>
      <c r="AI3419" s="750"/>
      <c r="AJ3419" s="750"/>
      <c r="AK3419" s="750"/>
      <c r="AL3419" s="750"/>
      <c r="AM3419" s="750"/>
      <c r="AN3419" s="750"/>
      <c r="AO3419" s="750"/>
      <c r="AP3419" s="750"/>
      <c r="AQ3419" s="750"/>
      <c r="AR3419" s="750"/>
      <c r="AS3419" s="750"/>
      <c r="AT3419" s="750"/>
      <c r="AU3419" s="750"/>
      <c r="AV3419" s="750"/>
      <c r="AW3419" s="750"/>
      <c r="AX3419" s="750"/>
      <c r="AY3419" s="750"/>
      <c r="AZ3419" s="750"/>
      <c r="BA3419" s="750"/>
      <c r="BB3419" s="750"/>
      <c r="BC3419" s="750"/>
      <c r="BD3419" s="750"/>
      <c r="BE3419" s="750"/>
      <c r="BF3419" s="750"/>
      <c r="BG3419" s="750"/>
      <c r="BH3419" s="750"/>
      <c r="BI3419" s="750"/>
      <c r="BJ3419" s="750"/>
      <c r="BK3419" s="750"/>
      <c r="BL3419" s="750"/>
      <c r="BM3419" s="750"/>
      <c r="BN3419" s="750"/>
      <c r="BO3419" s="750"/>
      <c r="BP3419" s="750"/>
      <c r="BQ3419" s="750"/>
    </row>
    <row r="3420" spans="3:69">
      <c r="C3420" s="853"/>
      <c r="D3420" s="853"/>
      <c r="E3420" s="853"/>
      <c r="F3420" s="853"/>
      <c r="G3420" s="853"/>
      <c r="H3420" s="853"/>
      <c r="I3420" s="848"/>
      <c r="J3420" s="848"/>
      <c r="K3420" s="1295"/>
      <c r="L3420" s="1295"/>
      <c r="M3420" s="1295"/>
      <c r="N3420" s="1295"/>
      <c r="O3420" s="1295"/>
      <c r="P3420" s="853"/>
      <c r="Q3420" s="1295"/>
      <c r="R3420" s="848"/>
      <c r="S3420" s="848"/>
      <c r="T3420" s="848"/>
      <c r="U3420" s="848"/>
      <c r="V3420" s="1296"/>
      <c r="W3420" s="848"/>
      <c r="X3420" s="848"/>
      <c r="Y3420" s="1295"/>
      <c r="Z3420" s="1296"/>
      <c r="AA3420" s="1295"/>
      <c r="AB3420" s="1296"/>
      <c r="AC3420" s="1295"/>
      <c r="AD3420" s="1295"/>
      <c r="AE3420" s="2556"/>
      <c r="AF3420" s="750"/>
      <c r="AG3420" s="750"/>
      <c r="AH3420" s="750"/>
      <c r="AI3420" s="750"/>
      <c r="AJ3420" s="750"/>
      <c r="AK3420" s="750"/>
      <c r="AL3420" s="750"/>
      <c r="AM3420" s="750"/>
      <c r="AN3420" s="750"/>
      <c r="AO3420" s="750"/>
      <c r="AP3420" s="750"/>
      <c r="AQ3420" s="750"/>
      <c r="AR3420" s="750"/>
      <c r="AS3420" s="750"/>
      <c r="AT3420" s="750"/>
      <c r="AU3420" s="750"/>
      <c r="AV3420" s="750"/>
      <c r="AW3420" s="750"/>
      <c r="AX3420" s="750"/>
      <c r="AY3420" s="750"/>
      <c r="AZ3420" s="750"/>
      <c r="BA3420" s="750"/>
      <c r="BB3420" s="750"/>
      <c r="BC3420" s="750"/>
      <c r="BD3420" s="750"/>
      <c r="BE3420" s="750"/>
      <c r="BF3420" s="750"/>
      <c r="BG3420" s="750"/>
      <c r="BH3420" s="750"/>
      <c r="BI3420" s="750"/>
      <c r="BJ3420" s="750"/>
      <c r="BK3420" s="750"/>
      <c r="BL3420" s="750"/>
      <c r="BM3420" s="750"/>
      <c r="BN3420" s="750"/>
      <c r="BO3420" s="750"/>
      <c r="BP3420" s="750"/>
      <c r="BQ3420" s="750"/>
    </row>
    <row r="3421" spans="3:69">
      <c r="C3421" s="853"/>
      <c r="D3421" s="853"/>
      <c r="E3421" s="853"/>
      <c r="F3421" s="853"/>
      <c r="G3421" s="853"/>
      <c r="H3421" s="853"/>
      <c r="I3421" s="848"/>
      <c r="J3421" s="848"/>
      <c r="K3421" s="1295"/>
      <c r="L3421" s="1295"/>
      <c r="M3421" s="1295"/>
      <c r="N3421" s="1295"/>
      <c r="O3421" s="1295"/>
      <c r="P3421" s="853"/>
      <c r="Q3421" s="1295"/>
      <c r="R3421" s="848"/>
      <c r="S3421" s="848"/>
      <c r="T3421" s="848"/>
      <c r="U3421" s="848"/>
      <c r="V3421" s="1296"/>
      <c r="W3421" s="848"/>
      <c r="X3421" s="848"/>
      <c r="Y3421" s="1295"/>
      <c r="Z3421" s="1296"/>
      <c r="AA3421" s="1295"/>
      <c r="AB3421" s="1296"/>
      <c r="AC3421" s="1295"/>
      <c r="AD3421" s="1295"/>
      <c r="AE3421" s="2556"/>
      <c r="AF3421" s="750"/>
      <c r="AG3421" s="750"/>
      <c r="AH3421" s="750"/>
      <c r="AI3421" s="750"/>
      <c r="AJ3421" s="750"/>
      <c r="AK3421" s="750"/>
      <c r="AL3421" s="750"/>
      <c r="AM3421" s="750"/>
      <c r="AN3421" s="750"/>
      <c r="AO3421" s="750"/>
      <c r="AP3421" s="750"/>
      <c r="AQ3421" s="750"/>
      <c r="AR3421" s="750"/>
      <c r="AS3421" s="750"/>
      <c r="AT3421" s="750"/>
      <c r="AU3421" s="750"/>
      <c r="AV3421" s="750"/>
      <c r="AW3421" s="750"/>
      <c r="AX3421" s="750"/>
      <c r="AY3421" s="750"/>
      <c r="AZ3421" s="750"/>
      <c r="BA3421" s="750"/>
      <c r="BB3421" s="750"/>
      <c r="BC3421" s="750"/>
      <c r="BD3421" s="750"/>
      <c r="BE3421" s="750"/>
      <c r="BF3421" s="750"/>
      <c r="BG3421" s="750"/>
      <c r="BH3421" s="750"/>
      <c r="BI3421" s="750"/>
      <c r="BJ3421" s="750"/>
      <c r="BK3421" s="750"/>
      <c r="BL3421" s="750"/>
      <c r="BM3421" s="750"/>
      <c r="BN3421" s="750"/>
      <c r="BO3421" s="750"/>
      <c r="BP3421" s="750"/>
      <c r="BQ3421" s="750"/>
    </row>
    <row r="3422" spans="3:69">
      <c r="C3422" s="853"/>
      <c r="D3422" s="853"/>
      <c r="E3422" s="853"/>
      <c r="F3422" s="853"/>
      <c r="G3422" s="853"/>
      <c r="H3422" s="853"/>
      <c r="I3422" s="848"/>
      <c r="J3422" s="848"/>
      <c r="K3422" s="1295"/>
      <c r="L3422" s="1295"/>
      <c r="M3422" s="1295"/>
      <c r="N3422" s="1295"/>
      <c r="O3422" s="1295"/>
      <c r="P3422" s="853"/>
      <c r="Q3422" s="1295"/>
      <c r="R3422" s="848"/>
      <c r="S3422" s="848"/>
      <c r="T3422" s="848"/>
      <c r="U3422" s="848"/>
      <c r="V3422" s="1296"/>
      <c r="W3422" s="848"/>
      <c r="X3422" s="848"/>
      <c r="Y3422" s="1295"/>
      <c r="Z3422" s="1296"/>
      <c r="AA3422" s="1295"/>
      <c r="AB3422" s="1296"/>
      <c r="AC3422" s="1295"/>
      <c r="AD3422" s="1295"/>
      <c r="AE3422" s="2556"/>
      <c r="AF3422" s="750"/>
      <c r="AG3422" s="750"/>
      <c r="AH3422" s="750"/>
      <c r="AI3422" s="750"/>
      <c r="AJ3422" s="750"/>
      <c r="AK3422" s="750"/>
      <c r="AL3422" s="750"/>
      <c r="AM3422" s="750"/>
      <c r="AN3422" s="750"/>
      <c r="AO3422" s="750"/>
      <c r="AP3422" s="750"/>
      <c r="AQ3422" s="750"/>
      <c r="AR3422" s="750"/>
      <c r="AS3422" s="750"/>
      <c r="AT3422" s="750"/>
      <c r="AU3422" s="750"/>
      <c r="AV3422" s="750"/>
      <c r="AW3422" s="750"/>
      <c r="AX3422" s="750"/>
      <c r="AY3422" s="750"/>
      <c r="AZ3422" s="750"/>
      <c r="BA3422" s="750"/>
      <c r="BB3422" s="750"/>
      <c r="BC3422" s="750"/>
      <c r="BD3422" s="750"/>
      <c r="BE3422" s="750"/>
      <c r="BF3422" s="750"/>
      <c r="BG3422" s="750"/>
      <c r="BH3422" s="750"/>
      <c r="BI3422" s="750"/>
      <c r="BJ3422" s="750"/>
      <c r="BK3422" s="750"/>
      <c r="BL3422" s="750"/>
      <c r="BM3422" s="750"/>
      <c r="BN3422" s="750"/>
      <c r="BO3422" s="750"/>
      <c r="BP3422" s="750"/>
      <c r="BQ3422" s="750"/>
    </row>
    <row r="3423" spans="3:69">
      <c r="C3423" s="853"/>
      <c r="D3423" s="853"/>
      <c r="E3423" s="853"/>
      <c r="F3423" s="853"/>
      <c r="G3423" s="853"/>
      <c r="H3423" s="853"/>
      <c r="I3423" s="848"/>
      <c r="J3423" s="848"/>
      <c r="K3423" s="1295"/>
      <c r="L3423" s="1295"/>
      <c r="M3423" s="1295"/>
      <c r="N3423" s="1295"/>
      <c r="O3423" s="1295"/>
      <c r="P3423" s="853"/>
      <c r="Q3423" s="1295"/>
      <c r="R3423" s="848"/>
      <c r="S3423" s="848"/>
      <c r="T3423" s="848"/>
      <c r="U3423" s="848"/>
      <c r="V3423" s="1296"/>
      <c r="W3423" s="848"/>
      <c r="X3423" s="848"/>
      <c r="Y3423" s="1295"/>
      <c r="Z3423" s="1296"/>
      <c r="AA3423" s="1295"/>
      <c r="AB3423" s="1296"/>
      <c r="AC3423" s="1295"/>
      <c r="AD3423" s="1295"/>
      <c r="AE3423" s="2556"/>
      <c r="AF3423" s="750"/>
      <c r="AG3423" s="750"/>
      <c r="AH3423" s="750"/>
      <c r="AI3423" s="750"/>
      <c r="AJ3423" s="750"/>
      <c r="AK3423" s="750"/>
      <c r="AL3423" s="750"/>
      <c r="AM3423" s="750"/>
      <c r="AN3423" s="750"/>
      <c r="AO3423" s="750"/>
      <c r="AP3423" s="750"/>
      <c r="AQ3423" s="750"/>
      <c r="AR3423" s="750"/>
      <c r="AS3423" s="750"/>
      <c r="AT3423" s="750"/>
      <c r="AU3423" s="750"/>
      <c r="AV3423" s="750"/>
      <c r="AW3423" s="750"/>
      <c r="AX3423" s="750"/>
      <c r="AY3423" s="750"/>
      <c r="AZ3423" s="750"/>
      <c r="BA3423" s="750"/>
      <c r="BB3423" s="750"/>
      <c r="BC3423" s="750"/>
      <c r="BD3423" s="750"/>
      <c r="BE3423" s="750"/>
      <c r="BF3423" s="750"/>
      <c r="BG3423" s="750"/>
      <c r="BH3423" s="750"/>
      <c r="BI3423" s="750"/>
      <c r="BJ3423" s="750"/>
      <c r="BK3423" s="750"/>
      <c r="BL3423" s="750"/>
      <c r="BM3423" s="750"/>
      <c r="BN3423" s="750"/>
      <c r="BO3423" s="750"/>
      <c r="BP3423" s="750"/>
      <c r="BQ3423" s="750"/>
    </row>
    <row r="3424" spans="3:69">
      <c r="C3424" s="853"/>
      <c r="D3424" s="853"/>
      <c r="E3424" s="853"/>
      <c r="F3424" s="853"/>
      <c r="G3424" s="853"/>
      <c r="H3424" s="853"/>
      <c r="I3424" s="848"/>
      <c r="J3424" s="848"/>
      <c r="K3424" s="1295"/>
      <c r="L3424" s="1295"/>
      <c r="M3424" s="1295"/>
      <c r="N3424" s="1295"/>
      <c r="O3424" s="1295"/>
      <c r="P3424" s="853"/>
      <c r="Q3424" s="1295"/>
      <c r="R3424" s="848"/>
      <c r="S3424" s="848"/>
      <c r="T3424" s="848"/>
      <c r="U3424" s="848"/>
      <c r="V3424" s="1296"/>
      <c r="W3424" s="848"/>
      <c r="X3424" s="848"/>
      <c r="Y3424" s="1295"/>
      <c r="Z3424" s="1296"/>
      <c r="AA3424" s="1295"/>
      <c r="AB3424" s="1296"/>
      <c r="AC3424" s="1295"/>
      <c r="AD3424" s="1295"/>
      <c r="AE3424" s="2556"/>
      <c r="AF3424" s="750"/>
      <c r="AG3424" s="750"/>
      <c r="AH3424" s="750"/>
      <c r="AI3424" s="750"/>
      <c r="AJ3424" s="750"/>
      <c r="AK3424" s="750"/>
      <c r="AL3424" s="750"/>
      <c r="AM3424" s="750"/>
      <c r="AN3424" s="750"/>
      <c r="AO3424" s="750"/>
      <c r="AP3424" s="750"/>
      <c r="AQ3424" s="750"/>
      <c r="AR3424" s="750"/>
      <c r="AS3424" s="750"/>
      <c r="AT3424" s="750"/>
      <c r="AU3424" s="750"/>
      <c r="AV3424" s="750"/>
      <c r="AW3424" s="750"/>
      <c r="AX3424" s="750"/>
      <c r="AY3424" s="750"/>
      <c r="AZ3424" s="750"/>
      <c r="BA3424" s="750"/>
      <c r="BB3424" s="750"/>
      <c r="BC3424" s="750"/>
      <c r="BD3424" s="750"/>
      <c r="BE3424" s="750"/>
      <c r="BF3424" s="750"/>
      <c r="BG3424" s="750"/>
      <c r="BH3424" s="750"/>
      <c r="BI3424" s="750"/>
      <c r="BJ3424" s="750"/>
      <c r="BK3424" s="750"/>
      <c r="BL3424" s="750"/>
      <c r="BM3424" s="750"/>
      <c r="BN3424" s="750"/>
      <c r="BO3424" s="750"/>
      <c r="BP3424" s="750"/>
      <c r="BQ3424" s="750"/>
    </row>
    <row r="3425" spans="3:69">
      <c r="C3425" s="853"/>
      <c r="D3425" s="853"/>
      <c r="E3425" s="853"/>
      <c r="F3425" s="853"/>
      <c r="G3425" s="853"/>
      <c r="H3425" s="853"/>
      <c r="I3425" s="848"/>
      <c r="J3425" s="848"/>
      <c r="K3425" s="1295"/>
      <c r="L3425" s="1295"/>
      <c r="M3425" s="1295"/>
      <c r="N3425" s="1295"/>
      <c r="O3425" s="1295"/>
      <c r="P3425" s="853"/>
      <c r="Q3425" s="1295"/>
      <c r="R3425" s="848"/>
      <c r="S3425" s="848"/>
      <c r="T3425" s="848"/>
      <c r="U3425" s="848"/>
      <c r="V3425" s="1296"/>
      <c r="W3425" s="848"/>
      <c r="X3425" s="848"/>
      <c r="Y3425" s="1295"/>
      <c r="Z3425" s="1296"/>
      <c r="AA3425" s="1295"/>
      <c r="AB3425" s="1296"/>
      <c r="AC3425" s="1295"/>
      <c r="AD3425" s="1295"/>
      <c r="AE3425" s="2556"/>
      <c r="AF3425" s="750"/>
      <c r="AG3425" s="750"/>
      <c r="AH3425" s="750"/>
      <c r="AI3425" s="750"/>
      <c r="AJ3425" s="750"/>
      <c r="AK3425" s="750"/>
      <c r="AL3425" s="750"/>
      <c r="AM3425" s="750"/>
      <c r="AN3425" s="750"/>
      <c r="AO3425" s="750"/>
      <c r="AP3425" s="750"/>
      <c r="AQ3425" s="750"/>
      <c r="AR3425" s="750"/>
      <c r="AS3425" s="750"/>
      <c r="AT3425" s="750"/>
      <c r="AU3425" s="750"/>
      <c r="AV3425" s="750"/>
      <c r="AW3425" s="750"/>
      <c r="AX3425" s="750"/>
      <c r="AY3425" s="750"/>
      <c r="AZ3425" s="750"/>
      <c r="BA3425" s="750"/>
      <c r="BB3425" s="750"/>
      <c r="BC3425" s="750"/>
      <c r="BD3425" s="750"/>
      <c r="BE3425" s="750"/>
      <c r="BF3425" s="750"/>
      <c r="BG3425" s="750"/>
      <c r="BH3425" s="750"/>
      <c r="BI3425" s="750"/>
      <c r="BJ3425" s="750"/>
      <c r="BK3425" s="750"/>
      <c r="BL3425" s="750"/>
      <c r="BM3425" s="750"/>
      <c r="BN3425" s="750"/>
      <c r="BO3425" s="750"/>
      <c r="BP3425" s="750"/>
      <c r="BQ3425" s="750"/>
    </row>
    <row r="3426" spans="3:69">
      <c r="C3426" s="853"/>
      <c r="D3426" s="853"/>
      <c r="E3426" s="853"/>
      <c r="F3426" s="853"/>
      <c r="G3426" s="853"/>
      <c r="H3426" s="853"/>
      <c r="I3426" s="848"/>
      <c r="J3426" s="848"/>
      <c r="K3426" s="1295"/>
      <c r="L3426" s="1295"/>
      <c r="M3426" s="1295"/>
      <c r="N3426" s="1295"/>
      <c r="O3426" s="1295"/>
      <c r="P3426" s="853"/>
      <c r="Q3426" s="1295"/>
      <c r="R3426" s="848"/>
      <c r="S3426" s="848"/>
      <c r="T3426" s="848"/>
      <c r="U3426" s="848"/>
      <c r="V3426" s="1296"/>
      <c r="W3426" s="848"/>
      <c r="X3426" s="848"/>
      <c r="Y3426" s="1295"/>
      <c r="Z3426" s="1296"/>
      <c r="AA3426" s="1295"/>
      <c r="AB3426" s="1296"/>
      <c r="AC3426" s="1295"/>
      <c r="AD3426" s="1295"/>
      <c r="AE3426" s="2556"/>
      <c r="AF3426" s="750"/>
      <c r="AG3426" s="750"/>
      <c r="AH3426" s="750"/>
      <c r="AI3426" s="750"/>
      <c r="AJ3426" s="750"/>
      <c r="AK3426" s="750"/>
      <c r="AL3426" s="750"/>
      <c r="AM3426" s="750"/>
      <c r="AN3426" s="750"/>
      <c r="AO3426" s="750"/>
      <c r="AP3426" s="750"/>
      <c r="AQ3426" s="750"/>
      <c r="AR3426" s="750"/>
      <c r="AS3426" s="750"/>
      <c r="AT3426" s="750"/>
      <c r="AU3426" s="750"/>
      <c r="AV3426" s="750"/>
      <c r="AW3426" s="750"/>
      <c r="AX3426" s="750"/>
      <c r="AY3426" s="750"/>
      <c r="AZ3426" s="750"/>
      <c r="BA3426" s="750"/>
      <c r="BB3426" s="750"/>
      <c r="BC3426" s="750"/>
      <c r="BD3426" s="750"/>
      <c r="BE3426" s="750"/>
      <c r="BF3426" s="750"/>
      <c r="BG3426" s="750"/>
      <c r="BH3426" s="750"/>
      <c r="BI3426" s="750"/>
      <c r="BJ3426" s="750"/>
      <c r="BK3426" s="750"/>
      <c r="BL3426" s="750"/>
      <c r="BM3426" s="750"/>
      <c r="BN3426" s="750"/>
      <c r="BO3426" s="750"/>
      <c r="BP3426" s="750"/>
      <c r="BQ3426" s="750"/>
    </row>
    <row r="3427" spans="3:69">
      <c r="C3427" s="853"/>
      <c r="D3427" s="853"/>
      <c r="E3427" s="853"/>
      <c r="F3427" s="853"/>
      <c r="G3427" s="853"/>
      <c r="H3427" s="853"/>
      <c r="I3427" s="848"/>
      <c r="J3427" s="848"/>
      <c r="K3427" s="1295"/>
      <c r="L3427" s="1295"/>
      <c r="M3427" s="1295"/>
      <c r="N3427" s="1295"/>
      <c r="O3427" s="1295"/>
      <c r="P3427" s="853"/>
      <c r="Q3427" s="1295"/>
      <c r="R3427" s="848"/>
      <c r="S3427" s="848"/>
      <c r="T3427" s="848"/>
      <c r="U3427" s="848"/>
      <c r="V3427" s="1296"/>
      <c r="W3427" s="848"/>
      <c r="X3427" s="848"/>
      <c r="Y3427" s="1295"/>
      <c r="Z3427" s="1296"/>
      <c r="AA3427" s="1295"/>
      <c r="AB3427" s="1296"/>
      <c r="AC3427" s="1295"/>
      <c r="AD3427" s="1295"/>
      <c r="AE3427" s="2556"/>
      <c r="AF3427" s="750"/>
      <c r="AG3427" s="750"/>
      <c r="AH3427" s="750"/>
      <c r="AI3427" s="750"/>
      <c r="AJ3427" s="750"/>
      <c r="AK3427" s="750"/>
      <c r="AL3427" s="750"/>
      <c r="AM3427" s="750"/>
      <c r="AN3427" s="750"/>
      <c r="AO3427" s="750"/>
      <c r="AP3427" s="750"/>
      <c r="AQ3427" s="750"/>
      <c r="AR3427" s="750"/>
      <c r="AS3427" s="750"/>
      <c r="AT3427" s="750"/>
      <c r="AU3427" s="750"/>
      <c r="AV3427" s="750"/>
      <c r="AW3427" s="750"/>
      <c r="AX3427" s="750"/>
      <c r="AY3427" s="750"/>
      <c r="AZ3427" s="750"/>
      <c r="BA3427" s="750"/>
      <c r="BB3427" s="750"/>
      <c r="BC3427" s="750"/>
      <c r="BD3427" s="750"/>
      <c r="BE3427" s="750"/>
      <c r="BF3427" s="750"/>
      <c r="BG3427" s="750"/>
      <c r="BH3427" s="750"/>
      <c r="BI3427" s="750"/>
      <c r="BJ3427" s="750"/>
      <c r="BK3427" s="750"/>
      <c r="BL3427" s="750"/>
      <c r="BM3427" s="750"/>
      <c r="BN3427" s="750"/>
      <c r="BO3427" s="750"/>
      <c r="BP3427" s="750"/>
      <c r="BQ3427" s="750"/>
    </row>
    <row r="3428" spans="3:69">
      <c r="C3428" s="853"/>
      <c r="D3428" s="853"/>
      <c r="E3428" s="853"/>
      <c r="F3428" s="853"/>
      <c r="G3428" s="853"/>
      <c r="H3428" s="853"/>
      <c r="I3428" s="848"/>
      <c r="J3428" s="848"/>
      <c r="K3428" s="1295"/>
      <c r="L3428" s="1295"/>
      <c r="M3428" s="1295"/>
      <c r="N3428" s="1295"/>
      <c r="O3428" s="1295"/>
      <c r="P3428" s="853"/>
      <c r="Q3428" s="1295"/>
      <c r="R3428" s="848"/>
      <c r="S3428" s="848"/>
      <c r="T3428" s="848"/>
      <c r="U3428" s="848"/>
      <c r="V3428" s="1296"/>
      <c r="W3428" s="848"/>
      <c r="X3428" s="848"/>
      <c r="Y3428" s="1295"/>
      <c r="Z3428" s="1296"/>
      <c r="AA3428" s="1295"/>
      <c r="AB3428" s="1296"/>
      <c r="AC3428" s="1295"/>
      <c r="AD3428" s="1295"/>
      <c r="AE3428" s="2556"/>
      <c r="AF3428" s="750"/>
      <c r="AG3428" s="750"/>
      <c r="AH3428" s="750"/>
      <c r="AI3428" s="750"/>
      <c r="AJ3428" s="750"/>
      <c r="AK3428" s="750"/>
      <c r="AL3428" s="750"/>
      <c r="AM3428" s="750"/>
      <c r="AN3428" s="750"/>
      <c r="AO3428" s="750"/>
      <c r="AP3428" s="750"/>
      <c r="AQ3428" s="750"/>
      <c r="AR3428" s="750"/>
      <c r="AS3428" s="750"/>
      <c r="AT3428" s="750"/>
      <c r="AU3428" s="750"/>
      <c r="AV3428" s="750"/>
      <c r="AW3428" s="750"/>
      <c r="AX3428" s="750"/>
      <c r="AY3428" s="750"/>
      <c r="AZ3428" s="750"/>
      <c r="BA3428" s="750"/>
      <c r="BB3428" s="750"/>
      <c r="BC3428" s="750"/>
      <c r="BD3428" s="750"/>
      <c r="BE3428" s="750"/>
      <c r="BF3428" s="750"/>
      <c r="BG3428" s="750"/>
      <c r="BH3428" s="750"/>
      <c r="BI3428" s="750"/>
      <c r="BJ3428" s="750"/>
      <c r="BK3428" s="750"/>
      <c r="BL3428" s="750"/>
      <c r="BM3428" s="750"/>
      <c r="BN3428" s="750"/>
      <c r="BO3428" s="750"/>
      <c r="BP3428" s="750"/>
      <c r="BQ3428" s="750"/>
    </row>
    <row r="3429" spans="3:69">
      <c r="C3429" s="853"/>
      <c r="D3429" s="853"/>
      <c r="E3429" s="853"/>
      <c r="F3429" s="853"/>
      <c r="G3429" s="853"/>
      <c r="H3429" s="853"/>
      <c r="I3429" s="848"/>
      <c r="J3429" s="848"/>
      <c r="K3429" s="1295"/>
      <c r="L3429" s="1295"/>
      <c r="M3429" s="1295"/>
      <c r="N3429" s="1295"/>
      <c r="O3429" s="1295"/>
      <c r="P3429" s="853"/>
      <c r="Q3429" s="1295"/>
      <c r="R3429" s="848"/>
      <c r="S3429" s="848"/>
      <c r="T3429" s="848"/>
      <c r="U3429" s="848"/>
      <c r="V3429" s="1296"/>
      <c r="W3429" s="848"/>
      <c r="X3429" s="848"/>
      <c r="Y3429" s="1295"/>
      <c r="Z3429" s="1296"/>
      <c r="AA3429" s="1295"/>
      <c r="AB3429" s="1296"/>
      <c r="AC3429" s="1295"/>
      <c r="AD3429" s="1295"/>
      <c r="AE3429" s="2556"/>
      <c r="AF3429" s="750"/>
      <c r="AG3429" s="750"/>
      <c r="AH3429" s="750"/>
      <c r="AI3429" s="750"/>
      <c r="AJ3429" s="750"/>
      <c r="AK3429" s="750"/>
      <c r="AL3429" s="750"/>
      <c r="AM3429" s="750"/>
      <c r="AN3429" s="750"/>
      <c r="AO3429" s="750"/>
      <c r="AP3429" s="750"/>
      <c r="AQ3429" s="750"/>
      <c r="AR3429" s="750"/>
      <c r="AS3429" s="750"/>
      <c r="AT3429" s="750"/>
      <c r="AU3429" s="750"/>
      <c r="AV3429" s="750"/>
      <c r="AW3429" s="750"/>
      <c r="AX3429" s="750"/>
      <c r="AY3429" s="750"/>
      <c r="AZ3429" s="750"/>
      <c r="BA3429" s="750"/>
      <c r="BB3429" s="750"/>
      <c r="BC3429" s="750"/>
      <c r="BD3429" s="750"/>
      <c r="BE3429" s="750"/>
      <c r="BF3429" s="750"/>
      <c r="BG3429" s="750"/>
      <c r="BH3429" s="750"/>
      <c r="BI3429" s="750"/>
      <c r="BJ3429" s="750"/>
      <c r="BK3429" s="750"/>
      <c r="BL3429" s="750"/>
      <c r="BM3429" s="750"/>
      <c r="BN3429" s="750"/>
      <c r="BO3429" s="750"/>
      <c r="BP3429" s="750"/>
      <c r="BQ3429" s="750"/>
    </row>
    <row r="3430" spans="3:69">
      <c r="C3430" s="853"/>
      <c r="D3430" s="853"/>
      <c r="E3430" s="853"/>
      <c r="F3430" s="853"/>
      <c r="G3430" s="853"/>
      <c r="H3430" s="853"/>
      <c r="I3430" s="848"/>
      <c r="J3430" s="848"/>
      <c r="K3430" s="1295"/>
      <c r="L3430" s="1295"/>
      <c r="M3430" s="1295"/>
      <c r="N3430" s="1295"/>
      <c r="O3430" s="1295"/>
      <c r="P3430" s="853"/>
      <c r="Q3430" s="1295"/>
      <c r="R3430" s="848"/>
      <c r="S3430" s="848"/>
      <c r="T3430" s="848"/>
      <c r="U3430" s="848"/>
      <c r="V3430" s="1296"/>
      <c r="W3430" s="848"/>
      <c r="X3430" s="848"/>
      <c r="Y3430" s="1295"/>
      <c r="Z3430" s="1296"/>
      <c r="AA3430" s="1295"/>
      <c r="AB3430" s="1296"/>
      <c r="AC3430" s="1295"/>
      <c r="AD3430" s="1295"/>
      <c r="AE3430" s="2556"/>
      <c r="AF3430" s="750"/>
      <c r="AG3430" s="750"/>
      <c r="AH3430" s="750"/>
      <c r="AI3430" s="750"/>
      <c r="AJ3430" s="750"/>
      <c r="AK3430" s="750"/>
      <c r="AL3430" s="750"/>
      <c r="AM3430" s="750"/>
      <c r="AN3430" s="750"/>
      <c r="AO3430" s="750"/>
      <c r="AP3430" s="750"/>
      <c r="AQ3430" s="750"/>
      <c r="AR3430" s="750"/>
      <c r="AS3430" s="750"/>
      <c r="AT3430" s="750"/>
      <c r="AU3430" s="750"/>
      <c r="AV3430" s="750"/>
      <c r="AW3430" s="750"/>
      <c r="AX3430" s="750"/>
      <c r="AY3430" s="750"/>
      <c r="AZ3430" s="750"/>
      <c r="BA3430" s="750"/>
      <c r="BB3430" s="750"/>
      <c r="BC3430" s="750"/>
      <c r="BD3430" s="750"/>
      <c r="BE3430" s="750"/>
      <c r="BF3430" s="750"/>
      <c r="BG3430" s="750"/>
      <c r="BH3430" s="750"/>
      <c r="BI3430" s="750"/>
      <c r="BJ3430" s="750"/>
      <c r="BK3430" s="750"/>
      <c r="BL3430" s="750"/>
      <c r="BM3430" s="750"/>
      <c r="BN3430" s="750"/>
      <c r="BO3430" s="750"/>
      <c r="BP3430" s="750"/>
      <c r="BQ3430" s="750"/>
    </row>
    <row r="3431" spans="3:69">
      <c r="C3431" s="853"/>
      <c r="D3431" s="853"/>
      <c r="E3431" s="853"/>
      <c r="F3431" s="853"/>
      <c r="G3431" s="853"/>
      <c r="H3431" s="853"/>
      <c r="I3431" s="848"/>
      <c r="J3431" s="848"/>
      <c r="K3431" s="1295"/>
      <c r="L3431" s="1295"/>
      <c r="M3431" s="1295"/>
      <c r="N3431" s="1295"/>
      <c r="O3431" s="1295"/>
      <c r="P3431" s="853"/>
      <c r="Q3431" s="1295"/>
      <c r="R3431" s="848"/>
      <c r="S3431" s="848"/>
      <c r="T3431" s="848"/>
      <c r="U3431" s="848"/>
      <c r="V3431" s="1296"/>
      <c r="W3431" s="848"/>
      <c r="X3431" s="848"/>
      <c r="Y3431" s="1295"/>
      <c r="Z3431" s="1296"/>
      <c r="AA3431" s="1295"/>
      <c r="AB3431" s="1296"/>
      <c r="AC3431" s="1295"/>
      <c r="AD3431" s="1295"/>
      <c r="AE3431" s="2556"/>
      <c r="AF3431" s="750"/>
      <c r="AG3431" s="750"/>
      <c r="AH3431" s="750"/>
      <c r="AI3431" s="750"/>
      <c r="AJ3431" s="750"/>
      <c r="AK3431" s="750"/>
      <c r="AL3431" s="750"/>
      <c r="AM3431" s="750"/>
      <c r="AN3431" s="750"/>
      <c r="AO3431" s="750"/>
      <c r="AP3431" s="750"/>
      <c r="AQ3431" s="750"/>
      <c r="AR3431" s="750"/>
      <c r="AS3431" s="750"/>
      <c r="AT3431" s="750"/>
      <c r="AU3431" s="750"/>
      <c r="AV3431" s="750"/>
      <c r="AW3431" s="750"/>
      <c r="AX3431" s="750"/>
      <c r="AY3431" s="750"/>
      <c r="AZ3431" s="750"/>
      <c r="BA3431" s="750"/>
      <c r="BB3431" s="750"/>
      <c r="BC3431" s="750"/>
      <c r="BD3431" s="750"/>
      <c r="BE3431" s="750"/>
      <c r="BF3431" s="750"/>
      <c r="BG3431" s="750"/>
      <c r="BH3431" s="750"/>
      <c r="BI3431" s="750"/>
      <c r="BJ3431" s="750"/>
      <c r="BK3431" s="750"/>
      <c r="BL3431" s="750"/>
      <c r="BM3431" s="750"/>
      <c r="BN3431" s="750"/>
      <c r="BO3431" s="750"/>
      <c r="BP3431" s="750"/>
      <c r="BQ3431" s="750"/>
    </row>
    <row r="3432" spans="3:69">
      <c r="C3432" s="853"/>
      <c r="D3432" s="853"/>
      <c r="E3432" s="853"/>
      <c r="F3432" s="853"/>
      <c r="G3432" s="853"/>
      <c r="H3432" s="853"/>
      <c r="I3432" s="848"/>
      <c r="J3432" s="848"/>
      <c r="K3432" s="1295"/>
      <c r="L3432" s="1295"/>
      <c r="M3432" s="1295"/>
      <c r="N3432" s="1295"/>
      <c r="O3432" s="1295"/>
      <c r="P3432" s="853"/>
      <c r="Q3432" s="1295"/>
      <c r="R3432" s="848"/>
      <c r="S3432" s="848"/>
      <c r="T3432" s="848"/>
      <c r="U3432" s="848"/>
      <c r="V3432" s="1296"/>
      <c r="W3432" s="848"/>
      <c r="X3432" s="848"/>
      <c r="Y3432" s="1295"/>
      <c r="Z3432" s="1296"/>
      <c r="AA3432" s="1295"/>
      <c r="AB3432" s="1296"/>
      <c r="AC3432" s="1295"/>
      <c r="AD3432" s="1295"/>
      <c r="AE3432" s="2556"/>
      <c r="AF3432" s="750"/>
      <c r="AG3432" s="750"/>
      <c r="AH3432" s="750"/>
      <c r="AI3432" s="750"/>
      <c r="AJ3432" s="750"/>
      <c r="AK3432" s="750"/>
      <c r="AL3432" s="750"/>
      <c r="AM3432" s="750"/>
      <c r="AN3432" s="750"/>
      <c r="AO3432" s="750"/>
      <c r="AP3432" s="750"/>
      <c r="AQ3432" s="750"/>
      <c r="AR3432" s="750"/>
      <c r="AS3432" s="750"/>
      <c r="AT3432" s="750"/>
      <c r="AU3432" s="750"/>
      <c r="AV3432" s="750"/>
      <c r="AW3432" s="750"/>
      <c r="AX3432" s="750"/>
      <c r="AY3432" s="750"/>
      <c r="AZ3432" s="750"/>
      <c r="BA3432" s="750"/>
      <c r="BB3432" s="750"/>
      <c r="BC3432" s="750"/>
      <c r="BD3432" s="750"/>
      <c r="BE3432" s="750"/>
      <c r="BF3432" s="750"/>
      <c r="BG3432" s="750"/>
      <c r="BH3432" s="750"/>
      <c r="BI3432" s="750"/>
      <c r="BJ3432" s="750"/>
      <c r="BK3432" s="750"/>
      <c r="BL3432" s="750"/>
      <c r="BM3432" s="750"/>
      <c r="BN3432" s="750"/>
      <c r="BO3432" s="750"/>
      <c r="BP3432" s="750"/>
      <c r="BQ3432" s="750"/>
    </row>
    <row r="3433" spans="3:69">
      <c r="C3433" s="853"/>
      <c r="D3433" s="853"/>
      <c r="E3433" s="853"/>
      <c r="F3433" s="853"/>
      <c r="G3433" s="853"/>
      <c r="H3433" s="853"/>
      <c r="I3433" s="848"/>
      <c r="J3433" s="848"/>
      <c r="K3433" s="1295"/>
      <c r="L3433" s="1295"/>
      <c r="M3433" s="1295"/>
      <c r="N3433" s="1295"/>
      <c r="O3433" s="1295"/>
      <c r="P3433" s="853"/>
      <c r="Q3433" s="1295"/>
      <c r="R3433" s="848"/>
      <c r="S3433" s="848"/>
      <c r="T3433" s="848"/>
      <c r="U3433" s="848"/>
      <c r="V3433" s="1296"/>
      <c r="W3433" s="848"/>
      <c r="X3433" s="848"/>
      <c r="Y3433" s="1295"/>
      <c r="Z3433" s="1296"/>
      <c r="AA3433" s="1295"/>
      <c r="AB3433" s="1296"/>
      <c r="AC3433" s="1295"/>
      <c r="AD3433" s="1295"/>
      <c r="AE3433" s="2556"/>
      <c r="AF3433" s="750"/>
      <c r="AG3433" s="750"/>
      <c r="AH3433" s="750"/>
      <c r="AI3433" s="750"/>
      <c r="AJ3433" s="750"/>
      <c r="AK3433" s="750"/>
      <c r="AL3433" s="750"/>
      <c r="AM3433" s="750"/>
      <c r="AN3433" s="750"/>
      <c r="AO3433" s="750"/>
      <c r="AP3433" s="750"/>
      <c r="AQ3433" s="750"/>
      <c r="AR3433" s="750"/>
      <c r="AS3433" s="750"/>
      <c r="AT3433" s="750"/>
      <c r="AU3433" s="750"/>
      <c r="AV3433" s="750"/>
      <c r="AW3433" s="750"/>
      <c r="AX3433" s="750"/>
      <c r="AY3433" s="750"/>
      <c r="AZ3433" s="750"/>
      <c r="BA3433" s="750"/>
      <c r="BB3433" s="750"/>
      <c r="BC3433" s="750"/>
      <c r="BD3433" s="750"/>
      <c r="BE3433" s="750"/>
      <c r="BF3433" s="750"/>
      <c r="BG3433" s="750"/>
      <c r="BH3433" s="750"/>
      <c r="BI3433" s="750"/>
      <c r="BJ3433" s="750"/>
      <c r="BK3433" s="750"/>
      <c r="BL3433" s="750"/>
      <c r="BM3433" s="750"/>
      <c r="BN3433" s="750"/>
      <c r="BO3433" s="750"/>
      <c r="BP3433" s="750"/>
      <c r="BQ3433" s="750"/>
    </row>
    <row r="3434" spans="3:69">
      <c r="C3434" s="853"/>
      <c r="D3434" s="853"/>
      <c r="E3434" s="853"/>
      <c r="F3434" s="853"/>
      <c r="G3434" s="853"/>
      <c r="H3434" s="853"/>
      <c r="I3434" s="848"/>
      <c r="J3434" s="848"/>
      <c r="K3434" s="1295"/>
      <c r="L3434" s="1295"/>
      <c r="M3434" s="1295"/>
      <c r="N3434" s="1295"/>
      <c r="O3434" s="1295"/>
      <c r="P3434" s="853"/>
      <c r="Q3434" s="1295"/>
      <c r="R3434" s="848"/>
      <c r="S3434" s="848"/>
      <c r="T3434" s="848"/>
      <c r="U3434" s="848"/>
      <c r="V3434" s="1296"/>
      <c r="W3434" s="848"/>
      <c r="X3434" s="848"/>
      <c r="Y3434" s="1295"/>
      <c r="Z3434" s="1296"/>
      <c r="AA3434" s="1295"/>
      <c r="AB3434" s="1296"/>
      <c r="AC3434" s="1295"/>
      <c r="AD3434" s="1295"/>
      <c r="AE3434" s="2556"/>
      <c r="AF3434" s="750"/>
      <c r="AG3434" s="750"/>
      <c r="AH3434" s="750"/>
      <c r="AI3434" s="750"/>
      <c r="AJ3434" s="750"/>
      <c r="AK3434" s="750"/>
      <c r="AL3434" s="750"/>
      <c r="AM3434" s="750"/>
      <c r="AN3434" s="750"/>
      <c r="AO3434" s="750"/>
      <c r="AP3434" s="750"/>
      <c r="AQ3434" s="750"/>
      <c r="AR3434" s="750"/>
      <c r="AS3434" s="750"/>
      <c r="AT3434" s="750"/>
      <c r="AU3434" s="750"/>
      <c r="AV3434" s="750"/>
      <c r="AW3434" s="750"/>
      <c r="AX3434" s="750"/>
      <c r="AY3434" s="750"/>
      <c r="AZ3434" s="750"/>
      <c r="BA3434" s="750"/>
      <c r="BB3434" s="750"/>
      <c r="BC3434" s="750"/>
      <c r="BD3434" s="750"/>
      <c r="BE3434" s="750"/>
      <c r="BF3434" s="750"/>
      <c r="BG3434" s="750"/>
      <c r="BH3434" s="750"/>
      <c r="BI3434" s="750"/>
      <c r="BJ3434" s="750"/>
      <c r="BK3434" s="750"/>
      <c r="BL3434" s="750"/>
      <c r="BM3434" s="750"/>
      <c r="BN3434" s="750"/>
      <c r="BO3434" s="750"/>
      <c r="BP3434" s="750"/>
      <c r="BQ3434" s="750"/>
    </row>
    <row r="3435" spans="3:69">
      <c r="C3435" s="853"/>
      <c r="D3435" s="853"/>
      <c r="E3435" s="853"/>
      <c r="F3435" s="853"/>
      <c r="G3435" s="853"/>
      <c r="H3435" s="853"/>
      <c r="I3435" s="848"/>
      <c r="J3435" s="848"/>
      <c r="K3435" s="1295"/>
      <c r="L3435" s="1295"/>
      <c r="M3435" s="1295"/>
      <c r="N3435" s="1295"/>
      <c r="O3435" s="1295"/>
      <c r="P3435" s="853"/>
      <c r="Q3435" s="1295"/>
      <c r="R3435" s="848"/>
      <c r="S3435" s="848"/>
      <c r="T3435" s="848"/>
      <c r="U3435" s="848"/>
      <c r="V3435" s="1296"/>
      <c r="W3435" s="848"/>
      <c r="X3435" s="848"/>
      <c r="Y3435" s="1295"/>
      <c r="Z3435" s="1296"/>
      <c r="AA3435" s="1295"/>
      <c r="AB3435" s="1296"/>
      <c r="AC3435" s="1295"/>
      <c r="AD3435" s="1295"/>
      <c r="AE3435" s="2556"/>
      <c r="AF3435" s="750"/>
      <c r="AG3435" s="750"/>
      <c r="AH3435" s="750"/>
      <c r="AI3435" s="750"/>
      <c r="AJ3435" s="750"/>
      <c r="AK3435" s="750"/>
      <c r="AL3435" s="750"/>
      <c r="AM3435" s="750"/>
      <c r="AN3435" s="750"/>
      <c r="AO3435" s="750"/>
      <c r="AP3435" s="750"/>
      <c r="AQ3435" s="750"/>
      <c r="AR3435" s="750"/>
      <c r="AS3435" s="750"/>
      <c r="AT3435" s="750"/>
      <c r="AU3435" s="750"/>
      <c r="AV3435" s="750"/>
      <c r="AW3435" s="750"/>
      <c r="AX3435" s="750"/>
      <c r="AY3435" s="750"/>
      <c r="AZ3435" s="750"/>
      <c r="BA3435" s="750"/>
      <c r="BB3435" s="750"/>
      <c r="BC3435" s="750"/>
      <c r="BD3435" s="750"/>
      <c r="BE3435" s="750"/>
      <c r="BF3435" s="750"/>
      <c r="BG3435" s="750"/>
      <c r="BH3435" s="750"/>
      <c r="BI3435" s="750"/>
      <c r="BJ3435" s="750"/>
      <c r="BK3435" s="750"/>
      <c r="BL3435" s="750"/>
      <c r="BM3435" s="750"/>
      <c r="BN3435" s="750"/>
      <c r="BO3435" s="750"/>
      <c r="BP3435" s="750"/>
      <c r="BQ3435" s="750"/>
    </row>
    <row r="3436" spans="3:69">
      <c r="C3436" s="853"/>
      <c r="D3436" s="853"/>
      <c r="E3436" s="853"/>
      <c r="F3436" s="853"/>
      <c r="G3436" s="853"/>
      <c r="H3436" s="853"/>
      <c r="I3436" s="848"/>
      <c r="J3436" s="848"/>
      <c r="K3436" s="1295"/>
      <c r="L3436" s="1295"/>
      <c r="M3436" s="1295"/>
      <c r="N3436" s="1295"/>
      <c r="O3436" s="1295"/>
      <c r="P3436" s="853"/>
      <c r="Q3436" s="1295"/>
      <c r="R3436" s="848"/>
      <c r="S3436" s="848"/>
      <c r="T3436" s="848"/>
      <c r="U3436" s="848"/>
      <c r="V3436" s="1296"/>
      <c r="W3436" s="848"/>
      <c r="X3436" s="848"/>
      <c r="Y3436" s="1295"/>
      <c r="Z3436" s="1296"/>
      <c r="AA3436" s="1295"/>
      <c r="AB3436" s="1296"/>
      <c r="AC3436" s="1295"/>
      <c r="AD3436" s="1295"/>
      <c r="AE3436" s="2556"/>
      <c r="AF3436" s="750"/>
      <c r="AG3436" s="750"/>
      <c r="AH3436" s="750"/>
      <c r="AI3436" s="750"/>
      <c r="AJ3436" s="750"/>
      <c r="AK3436" s="750"/>
      <c r="AL3436" s="750"/>
      <c r="AM3436" s="750"/>
      <c r="AN3436" s="750"/>
      <c r="AO3436" s="750"/>
      <c r="AP3436" s="750"/>
      <c r="AQ3436" s="750"/>
      <c r="AR3436" s="750"/>
      <c r="AS3436" s="750"/>
      <c r="AT3436" s="750"/>
      <c r="AU3436" s="750"/>
      <c r="AV3436" s="750"/>
      <c r="AW3436" s="750"/>
      <c r="AX3436" s="750"/>
      <c r="AY3436" s="750"/>
      <c r="AZ3436" s="750"/>
      <c r="BA3436" s="750"/>
      <c r="BB3436" s="750"/>
      <c r="BC3436" s="750"/>
      <c r="BD3436" s="750"/>
      <c r="BE3436" s="750"/>
      <c r="BF3436" s="750"/>
      <c r="BG3436" s="750"/>
      <c r="BH3436" s="750"/>
      <c r="BI3436" s="750"/>
      <c r="BJ3436" s="750"/>
      <c r="BK3436" s="750"/>
      <c r="BL3436" s="750"/>
      <c r="BM3436" s="750"/>
      <c r="BN3436" s="750"/>
      <c r="BO3436" s="750"/>
      <c r="BP3436" s="750"/>
      <c r="BQ3436" s="750"/>
    </row>
    <row r="3437" spans="3:69">
      <c r="C3437" s="853"/>
      <c r="D3437" s="853"/>
      <c r="E3437" s="853"/>
      <c r="F3437" s="853"/>
      <c r="G3437" s="853"/>
      <c r="H3437" s="853"/>
      <c r="I3437" s="848"/>
      <c r="J3437" s="848"/>
      <c r="K3437" s="1295"/>
      <c r="L3437" s="1295"/>
      <c r="M3437" s="1295"/>
      <c r="N3437" s="1295"/>
      <c r="O3437" s="1295"/>
      <c r="P3437" s="853"/>
      <c r="Q3437" s="1295"/>
      <c r="R3437" s="848"/>
      <c r="S3437" s="848"/>
      <c r="T3437" s="848"/>
      <c r="U3437" s="848"/>
      <c r="V3437" s="1296"/>
      <c r="W3437" s="848"/>
      <c r="X3437" s="848"/>
      <c r="Y3437" s="1295"/>
      <c r="Z3437" s="1296"/>
      <c r="AA3437" s="1295"/>
      <c r="AB3437" s="1296"/>
      <c r="AC3437" s="1295"/>
      <c r="AD3437" s="1295"/>
      <c r="AE3437" s="2556"/>
      <c r="AF3437" s="750"/>
      <c r="AG3437" s="750"/>
      <c r="AH3437" s="750"/>
      <c r="AI3437" s="750"/>
      <c r="AJ3437" s="750"/>
      <c r="AK3437" s="750"/>
      <c r="AL3437" s="750"/>
      <c r="AM3437" s="750"/>
      <c r="AN3437" s="750"/>
      <c r="AO3437" s="750"/>
      <c r="AP3437" s="750"/>
      <c r="AQ3437" s="750"/>
      <c r="AR3437" s="750"/>
      <c r="AS3437" s="750"/>
      <c r="AT3437" s="750"/>
      <c r="AU3437" s="750"/>
      <c r="AV3437" s="750"/>
      <c r="AW3437" s="750"/>
      <c r="AX3437" s="750"/>
      <c r="AY3437" s="750"/>
      <c r="AZ3437" s="750"/>
      <c r="BA3437" s="750"/>
      <c r="BB3437" s="750"/>
      <c r="BC3437" s="750"/>
      <c r="BD3437" s="750"/>
      <c r="BE3437" s="750"/>
      <c r="BF3437" s="750"/>
      <c r="BG3437" s="750"/>
      <c r="BH3437" s="750"/>
      <c r="BI3437" s="750"/>
      <c r="BJ3437" s="750"/>
      <c r="BK3437" s="750"/>
      <c r="BL3437" s="750"/>
      <c r="BM3437" s="750"/>
      <c r="BN3437" s="750"/>
      <c r="BO3437" s="750"/>
      <c r="BP3437" s="750"/>
      <c r="BQ3437" s="750"/>
    </row>
    <row r="3438" spans="3:69">
      <c r="C3438" s="853"/>
      <c r="D3438" s="853"/>
      <c r="E3438" s="853"/>
      <c r="F3438" s="853"/>
      <c r="G3438" s="853"/>
      <c r="H3438" s="853"/>
      <c r="I3438" s="848"/>
      <c r="J3438" s="848"/>
      <c r="K3438" s="1295"/>
      <c r="L3438" s="1295"/>
      <c r="M3438" s="1295"/>
      <c r="N3438" s="1295"/>
      <c r="O3438" s="1295"/>
      <c r="P3438" s="853"/>
      <c r="Q3438" s="1295"/>
      <c r="R3438" s="848"/>
      <c r="S3438" s="848"/>
      <c r="T3438" s="848"/>
      <c r="U3438" s="848"/>
      <c r="V3438" s="1296"/>
      <c r="W3438" s="848"/>
      <c r="X3438" s="848"/>
      <c r="Y3438" s="1295"/>
      <c r="Z3438" s="1296"/>
      <c r="AA3438" s="1295"/>
      <c r="AB3438" s="1296"/>
      <c r="AC3438" s="1295"/>
      <c r="AD3438" s="1295"/>
      <c r="AE3438" s="2556"/>
      <c r="AF3438" s="750"/>
      <c r="AG3438" s="750"/>
      <c r="AH3438" s="750"/>
      <c r="AI3438" s="750"/>
      <c r="AJ3438" s="750"/>
      <c r="AK3438" s="750"/>
      <c r="AL3438" s="750"/>
      <c r="AM3438" s="750"/>
      <c r="AN3438" s="750"/>
      <c r="AO3438" s="750"/>
      <c r="AP3438" s="750"/>
      <c r="AQ3438" s="750"/>
      <c r="AR3438" s="750"/>
      <c r="AS3438" s="750"/>
      <c r="AT3438" s="750"/>
      <c r="AU3438" s="750"/>
      <c r="AV3438" s="750"/>
      <c r="AW3438" s="750"/>
      <c r="AX3438" s="750"/>
      <c r="AY3438" s="750"/>
      <c r="AZ3438" s="750"/>
      <c r="BA3438" s="750"/>
      <c r="BB3438" s="750"/>
      <c r="BC3438" s="750"/>
      <c r="BD3438" s="750"/>
      <c r="BE3438" s="750"/>
      <c r="BF3438" s="750"/>
      <c r="BG3438" s="750"/>
      <c r="BH3438" s="750"/>
      <c r="BI3438" s="750"/>
      <c r="BJ3438" s="750"/>
      <c r="BK3438" s="750"/>
      <c r="BL3438" s="750"/>
      <c r="BM3438" s="750"/>
      <c r="BN3438" s="750"/>
      <c r="BO3438" s="750"/>
      <c r="BP3438" s="750"/>
      <c r="BQ3438" s="750"/>
    </row>
    <row r="3439" spans="3:69">
      <c r="C3439" s="853"/>
      <c r="D3439" s="853"/>
      <c r="E3439" s="853"/>
      <c r="F3439" s="853"/>
      <c r="G3439" s="853"/>
      <c r="H3439" s="853"/>
      <c r="I3439" s="848"/>
      <c r="J3439" s="848"/>
      <c r="K3439" s="1295"/>
      <c r="L3439" s="1295"/>
      <c r="M3439" s="1295"/>
      <c r="N3439" s="1295"/>
      <c r="O3439" s="1295"/>
      <c r="P3439" s="853"/>
      <c r="Q3439" s="1295"/>
      <c r="R3439" s="848"/>
      <c r="S3439" s="848"/>
      <c r="T3439" s="848"/>
      <c r="U3439" s="848"/>
      <c r="V3439" s="1296"/>
      <c r="W3439" s="848"/>
      <c r="X3439" s="848"/>
      <c r="Y3439" s="1295"/>
      <c r="Z3439" s="1296"/>
      <c r="AA3439" s="1295"/>
      <c r="AB3439" s="1296"/>
      <c r="AC3439" s="1295"/>
      <c r="AD3439" s="1295"/>
      <c r="AE3439" s="2556"/>
      <c r="AF3439" s="750"/>
      <c r="AG3439" s="750"/>
      <c r="AH3439" s="750"/>
      <c r="AI3439" s="750"/>
      <c r="AJ3439" s="750"/>
      <c r="AK3439" s="750"/>
      <c r="AL3439" s="750"/>
      <c r="AM3439" s="750"/>
      <c r="AN3439" s="750"/>
      <c r="AO3439" s="750"/>
      <c r="AP3439" s="750"/>
      <c r="AQ3439" s="750"/>
      <c r="AR3439" s="750"/>
      <c r="AS3439" s="750"/>
      <c r="AT3439" s="750"/>
      <c r="AU3439" s="750"/>
      <c r="AV3439" s="750"/>
      <c r="AW3439" s="750"/>
      <c r="AX3439" s="750"/>
      <c r="AY3439" s="750"/>
      <c r="AZ3439" s="750"/>
      <c r="BA3439" s="750"/>
      <c r="BB3439" s="750"/>
      <c r="BC3439" s="750"/>
      <c r="BD3439" s="750"/>
      <c r="BE3439" s="750"/>
      <c r="BF3439" s="750"/>
      <c r="BG3439" s="750"/>
      <c r="BH3439" s="750"/>
      <c r="BI3439" s="750"/>
      <c r="BJ3439" s="750"/>
      <c r="BK3439" s="750"/>
      <c r="BL3439" s="750"/>
      <c r="BM3439" s="750"/>
      <c r="BN3439" s="750"/>
      <c r="BO3439" s="750"/>
      <c r="BP3439" s="750"/>
      <c r="BQ3439" s="750"/>
    </row>
    <row r="3440" spans="3:69">
      <c r="C3440" s="853"/>
      <c r="D3440" s="853"/>
      <c r="E3440" s="853"/>
      <c r="F3440" s="853"/>
      <c r="G3440" s="853"/>
      <c r="H3440" s="853"/>
      <c r="I3440" s="848"/>
      <c r="J3440" s="848"/>
      <c r="K3440" s="1295"/>
      <c r="L3440" s="1295"/>
      <c r="M3440" s="1295"/>
      <c r="N3440" s="1295"/>
      <c r="O3440" s="1295"/>
      <c r="P3440" s="853"/>
      <c r="Q3440" s="1295"/>
      <c r="R3440" s="848"/>
      <c r="S3440" s="848"/>
      <c r="T3440" s="848"/>
      <c r="U3440" s="848"/>
      <c r="V3440" s="1296"/>
      <c r="W3440" s="848"/>
      <c r="X3440" s="848"/>
      <c r="Y3440" s="1295"/>
      <c r="Z3440" s="1296"/>
      <c r="AA3440" s="1295"/>
      <c r="AB3440" s="1296"/>
      <c r="AC3440" s="1295"/>
      <c r="AD3440" s="1295"/>
      <c r="AE3440" s="2556"/>
      <c r="AF3440" s="750"/>
      <c r="AG3440" s="750"/>
      <c r="AH3440" s="750"/>
      <c r="AI3440" s="750"/>
      <c r="AJ3440" s="750"/>
      <c r="AK3440" s="750"/>
      <c r="AL3440" s="750"/>
      <c r="AM3440" s="750"/>
      <c r="AN3440" s="750"/>
      <c r="AO3440" s="750"/>
      <c r="AP3440" s="750"/>
      <c r="AQ3440" s="750"/>
      <c r="AR3440" s="750"/>
      <c r="AS3440" s="750"/>
      <c r="AT3440" s="750"/>
      <c r="AU3440" s="750"/>
      <c r="AV3440" s="750"/>
      <c r="AW3440" s="750"/>
      <c r="AX3440" s="750"/>
      <c r="AY3440" s="750"/>
      <c r="AZ3440" s="750"/>
      <c r="BA3440" s="750"/>
      <c r="BB3440" s="750"/>
      <c r="BC3440" s="750"/>
      <c r="BD3440" s="750"/>
      <c r="BE3440" s="750"/>
      <c r="BF3440" s="750"/>
      <c r="BG3440" s="750"/>
      <c r="BH3440" s="750"/>
      <c r="BI3440" s="750"/>
      <c r="BJ3440" s="750"/>
      <c r="BK3440" s="750"/>
      <c r="BL3440" s="750"/>
      <c r="BM3440" s="750"/>
      <c r="BN3440" s="750"/>
      <c r="BO3440" s="750"/>
      <c r="BP3440" s="750"/>
      <c r="BQ3440" s="750"/>
    </row>
    <row r="3441" spans="3:69">
      <c r="C3441" s="853"/>
      <c r="D3441" s="853"/>
      <c r="E3441" s="853"/>
      <c r="F3441" s="853"/>
      <c r="G3441" s="853"/>
      <c r="H3441" s="853"/>
      <c r="I3441" s="848"/>
      <c r="J3441" s="848"/>
      <c r="K3441" s="1295"/>
      <c r="L3441" s="1295"/>
      <c r="M3441" s="1295"/>
      <c r="N3441" s="1295"/>
      <c r="O3441" s="1295"/>
      <c r="P3441" s="853"/>
      <c r="Q3441" s="1295"/>
      <c r="R3441" s="848"/>
      <c r="S3441" s="848"/>
      <c r="T3441" s="848"/>
      <c r="U3441" s="848"/>
      <c r="V3441" s="1296"/>
      <c r="W3441" s="848"/>
      <c r="X3441" s="848"/>
      <c r="Y3441" s="1295"/>
      <c r="Z3441" s="1296"/>
      <c r="AA3441" s="1295"/>
      <c r="AB3441" s="1296"/>
      <c r="AC3441" s="1295"/>
      <c r="AD3441" s="1295"/>
      <c r="AE3441" s="2556"/>
      <c r="AF3441" s="750"/>
      <c r="AG3441" s="750"/>
      <c r="AH3441" s="750"/>
      <c r="AI3441" s="750"/>
      <c r="AJ3441" s="750"/>
      <c r="AK3441" s="750"/>
      <c r="AL3441" s="750"/>
      <c r="AM3441" s="750"/>
      <c r="AN3441" s="750"/>
      <c r="AO3441" s="750"/>
      <c r="AP3441" s="750"/>
      <c r="AQ3441" s="750"/>
      <c r="AR3441" s="750"/>
      <c r="AS3441" s="750"/>
      <c r="AT3441" s="750"/>
      <c r="AU3441" s="750"/>
      <c r="AV3441" s="750"/>
      <c r="AW3441" s="750"/>
      <c r="AX3441" s="750"/>
      <c r="AY3441" s="750"/>
      <c r="AZ3441" s="750"/>
      <c r="BA3441" s="750"/>
      <c r="BB3441" s="750"/>
      <c r="BC3441" s="750"/>
      <c r="BD3441" s="750"/>
      <c r="BE3441" s="750"/>
      <c r="BF3441" s="750"/>
      <c r="BG3441" s="750"/>
      <c r="BH3441" s="750"/>
      <c r="BI3441" s="750"/>
      <c r="BJ3441" s="750"/>
      <c r="BK3441" s="750"/>
      <c r="BL3441" s="750"/>
      <c r="BM3441" s="750"/>
      <c r="BN3441" s="750"/>
      <c r="BO3441" s="750"/>
      <c r="BP3441" s="750"/>
      <c r="BQ3441" s="750"/>
    </row>
    <row r="3442" spans="3:69">
      <c r="C3442" s="853"/>
      <c r="D3442" s="853"/>
      <c r="E3442" s="853"/>
      <c r="F3442" s="853"/>
      <c r="G3442" s="853"/>
      <c r="H3442" s="853"/>
      <c r="I3442" s="848"/>
      <c r="J3442" s="848"/>
      <c r="K3442" s="1295"/>
      <c r="L3442" s="1295"/>
      <c r="M3442" s="1295"/>
      <c r="N3442" s="1295"/>
      <c r="O3442" s="1295"/>
      <c r="P3442" s="853"/>
      <c r="Q3442" s="1295"/>
      <c r="R3442" s="848"/>
      <c r="S3442" s="848"/>
      <c r="T3442" s="848"/>
      <c r="U3442" s="848"/>
      <c r="V3442" s="1296"/>
      <c r="W3442" s="848"/>
      <c r="X3442" s="848"/>
      <c r="Y3442" s="1295"/>
      <c r="Z3442" s="1296"/>
      <c r="AA3442" s="1295"/>
      <c r="AB3442" s="1296"/>
      <c r="AC3442" s="1295"/>
      <c r="AD3442" s="1295"/>
      <c r="AE3442" s="2556"/>
      <c r="AF3442" s="750"/>
      <c r="AG3442" s="750"/>
      <c r="AH3442" s="750"/>
      <c r="AI3442" s="750"/>
      <c r="AJ3442" s="750"/>
      <c r="AK3442" s="750"/>
      <c r="AL3442" s="750"/>
      <c r="AM3442" s="750"/>
      <c r="AN3442" s="750"/>
      <c r="AO3442" s="750"/>
      <c r="AP3442" s="750"/>
      <c r="AQ3442" s="750"/>
      <c r="AR3442" s="750"/>
      <c r="AS3442" s="750"/>
      <c r="AT3442" s="750"/>
      <c r="AU3442" s="750"/>
      <c r="AV3442" s="750"/>
      <c r="AW3442" s="750"/>
      <c r="AX3442" s="750"/>
      <c r="AY3442" s="750"/>
      <c r="AZ3442" s="750"/>
      <c r="BA3442" s="750"/>
      <c r="BB3442" s="750"/>
      <c r="BC3442" s="750"/>
      <c r="BD3442" s="750"/>
      <c r="BE3442" s="750"/>
      <c r="BF3442" s="750"/>
      <c r="BG3442" s="750"/>
      <c r="BH3442" s="750"/>
      <c r="BI3442" s="750"/>
      <c r="BJ3442" s="750"/>
      <c r="BK3442" s="750"/>
      <c r="BL3442" s="750"/>
      <c r="BM3442" s="750"/>
      <c r="BN3442" s="750"/>
      <c r="BO3442" s="750"/>
      <c r="BP3442" s="750"/>
      <c r="BQ3442" s="750"/>
    </row>
    <row r="3443" spans="3:69">
      <c r="C3443" s="853"/>
      <c r="D3443" s="853"/>
      <c r="E3443" s="853"/>
      <c r="F3443" s="853"/>
      <c r="G3443" s="853"/>
      <c r="H3443" s="853"/>
      <c r="I3443" s="848"/>
      <c r="J3443" s="848"/>
      <c r="K3443" s="1295"/>
      <c r="L3443" s="1295"/>
      <c r="M3443" s="1295"/>
      <c r="N3443" s="1295"/>
      <c r="O3443" s="1295"/>
      <c r="P3443" s="853"/>
      <c r="Q3443" s="1295"/>
      <c r="R3443" s="848"/>
      <c r="S3443" s="848"/>
      <c r="T3443" s="848"/>
      <c r="U3443" s="848"/>
      <c r="V3443" s="1296"/>
      <c r="W3443" s="848"/>
      <c r="X3443" s="848"/>
      <c r="Y3443" s="1295"/>
      <c r="Z3443" s="1296"/>
      <c r="AA3443" s="1295"/>
      <c r="AB3443" s="1296"/>
      <c r="AC3443" s="1295"/>
      <c r="AD3443" s="1295"/>
      <c r="AE3443" s="2556"/>
      <c r="AF3443" s="750"/>
      <c r="AG3443" s="750"/>
      <c r="AH3443" s="750"/>
      <c r="AI3443" s="750"/>
      <c r="AJ3443" s="750"/>
      <c r="AK3443" s="750"/>
      <c r="AL3443" s="750"/>
      <c r="AM3443" s="750"/>
      <c r="AN3443" s="750"/>
      <c r="AO3443" s="750"/>
      <c r="AP3443" s="750"/>
      <c r="AQ3443" s="750"/>
      <c r="AR3443" s="750"/>
      <c r="AS3443" s="750"/>
      <c r="AT3443" s="750"/>
      <c r="AU3443" s="750"/>
      <c r="AV3443" s="750"/>
      <c r="AW3443" s="750"/>
      <c r="AX3443" s="750"/>
      <c r="AY3443" s="750"/>
      <c r="AZ3443" s="750"/>
      <c r="BA3443" s="750"/>
      <c r="BB3443" s="750"/>
      <c r="BC3443" s="750"/>
      <c r="BD3443" s="750"/>
      <c r="BE3443" s="750"/>
      <c r="BF3443" s="750"/>
      <c r="BG3443" s="750"/>
      <c r="BH3443" s="750"/>
      <c r="BI3443" s="750"/>
      <c r="BJ3443" s="750"/>
      <c r="BK3443" s="750"/>
      <c r="BL3443" s="750"/>
      <c r="BM3443" s="750"/>
      <c r="BN3443" s="750"/>
      <c r="BO3443" s="750"/>
      <c r="BP3443" s="750"/>
      <c r="BQ3443" s="750"/>
    </row>
    <row r="3444" spans="3:69">
      <c r="C3444" s="853"/>
      <c r="D3444" s="853"/>
      <c r="E3444" s="853"/>
      <c r="F3444" s="853"/>
      <c r="G3444" s="853"/>
      <c r="H3444" s="853"/>
      <c r="I3444" s="848"/>
      <c r="J3444" s="848"/>
      <c r="K3444" s="1295"/>
      <c r="L3444" s="1295"/>
      <c r="M3444" s="1295"/>
      <c r="N3444" s="1295"/>
      <c r="O3444" s="1295"/>
      <c r="P3444" s="853"/>
      <c r="Q3444" s="1295"/>
      <c r="R3444" s="848"/>
      <c r="S3444" s="848"/>
      <c r="T3444" s="848"/>
      <c r="U3444" s="848"/>
      <c r="V3444" s="1296"/>
      <c r="W3444" s="848"/>
      <c r="X3444" s="848"/>
      <c r="Y3444" s="1295"/>
      <c r="Z3444" s="1296"/>
      <c r="AA3444" s="1295"/>
      <c r="AB3444" s="1296"/>
      <c r="AC3444" s="1295"/>
      <c r="AD3444" s="1295"/>
      <c r="AE3444" s="2556"/>
      <c r="AF3444" s="750"/>
      <c r="AG3444" s="750"/>
      <c r="AH3444" s="750"/>
      <c r="AI3444" s="750"/>
      <c r="AJ3444" s="750"/>
      <c r="AK3444" s="750"/>
      <c r="AL3444" s="750"/>
      <c r="AM3444" s="750"/>
      <c r="AN3444" s="750"/>
      <c r="AO3444" s="750"/>
      <c r="AP3444" s="750"/>
      <c r="AQ3444" s="750"/>
      <c r="AR3444" s="750"/>
      <c r="AS3444" s="750"/>
      <c r="AT3444" s="750"/>
      <c r="AU3444" s="750"/>
      <c r="AV3444" s="750"/>
      <c r="AW3444" s="750"/>
      <c r="AX3444" s="750"/>
      <c r="AY3444" s="750"/>
      <c r="AZ3444" s="750"/>
      <c r="BA3444" s="750"/>
      <c r="BB3444" s="750"/>
      <c r="BC3444" s="750"/>
      <c r="BD3444" s="750"/>
      <c r="BE3444" s="750"/>
      <c r="BF3444" s="750"/>
      <c r="BG3444" s="750"/>
      <c r="BH3444" s="750"/>
      <c r="BI3444" s="750"/>
      <c r="BJ3444" s="750"/>
      <c r="BK3444" s="750"/>
      <c r="BL3444" s="750"/>
      <c r="BM3444" s="750"/>
      <c r="BN3444" s="750"/>
      <c r="BO3444" s="750"/>
      <c r="BP3444" s="750"/>
      <c r="BQ3444" s="750"/>
    </row>
    <row r="3445" spans="3:69">
      <c r="C3445" s="853"/>
      <c r="D3445" s="853"/>
      <c r="E3445" s="853"/>
      <c r="F3445" s="853"/>
      <c r="G3445" s="853"/>
      <c r="H3445" s="853"/>
      <c r="I3445" s="848"/>
      <c r="J3445" s="848"/>
      <c r="K3445" s="1295"/>
      <c r="L3445" s="1295"/>
      <c r="M3445" s="1295"/>
      <c r="N3445" s="1295"/>
      <c r="O3445" s="1295"/>
      <c r="P3445" s="853"/>
      <c r="Q3445" s="1295"/>
      <c r="R3445" s="848"/>
      <c r="S3445" s="848"/>
      <c r="T3445" s="848"/>
      <c r="U3445" s="848"/>
      <c r="V3445" s="1296"/>
      <c r="W3445" s="848"/>
      <c r="X3445" s="848"/>
      <c r="Y3445" s="1295"/>
      <c r="Z3445" s="1296"/>
      <c r="AA3445" s="1295"/>
      <c r="AB3445" s="1296"/>
      <c r="AC3445" s="1295"/>
      <c r="AD3445" s="1295"/>
      <c r="AE3445" s="2556"/>
      <c r="AF3445" s="750"/>
      <c r="AG3445" s="750"/>
      <c r="AH3445" s="750"/>
      <c r="AI3445" s="750"/>
      <c r="AJ3445" s="750"/>
      <c r="AK3445" s="750"/>
      <c r="AL3445" s="750"/>
      <c r="AM3445" s="750"/>
      <c r="AN3445" s="750"/>
      <c r="AO3445" s="750"/>
      <c r="AP3445" s="750"/>
      <c r="AQ3445" s="750"/>
      <c r="AR3445" s="750"/>
      <c r="AS3445" s="750"/>
      <c r="AT3445" s="750"/>
      <c r="AU3445" s="750"/>
      <c r="AV3445" s="750"/>
      <c r="AW3445" s="750"/>
      <c r="AX3445" s="750"/>
      <c r="AY3445" s="750"/>
      <c r="AZ3445" s="750"/>
      <c r="BA3445" s="750"/>
      <c r="BB3445" s="750"/>
      <c r="BC3445" s="750"/>
      <c r="BD3445" s="750"/>
      <c r="BE3445" s="750"/>
      <c r="BF3445" s="750"/>
      <c r="BG3445" s="750"/>
      <c r="BH3445" s="750"/>
      <c r="BI3445" s="750"/>
      <c r="BJ3445" s="750"/>
      <c r="BK3445" s="750"/>
      <c r="BL3445" s="750"/>
      <c r="BM3445" s="750"/>
      <c r="BN3445" s="750"/>
      <c r="BO3445" s="750"/>
      <c r="BP3445" s="750"/>
      <c r="BQ3445" s="750"/>
    </row>
    <row r="3446" spans="3:69">
      <c r="C3446" s="853"/>
      <c r="D3446" s="853"/>
      <c r="E3446" s="853"/>
      <c r="F3446" s="853"/>
      <c r="G3446" s="853"/>
      <c r="H3446" s="853"/>
      <c r="I3446" s="848"/>
      <c r="J3446" s="848"/>
      <c r="K3446" s="1295"/>
      <c r="L3446" s="1295"/>
      <c r="M3446" s="1295"/>
      <c r="N3446" s="1295"/>
      <c r="O3446" s="1295"/>
      <c r="P3446" s="853"/>
      <c r="Q3446" s="1295"/>
      <c r="R3446" s="848"/>
      <c r="S3446" s="848"/>
      <c r="T3446" s="848"/>
      <c r="U3446" s="848"/>
      <c r="V3446" s="1296"/>
      <c r="W3446" s="848"/>
      <c r="X3446" s="848"/>
      <c r="Y3446" s="1295"/>
      <c r="Z3446" s="1296"/>
      <c r="AA3446" s="1295"/>
      <c r="AB3446" s="1296"/>
      <c r="AC3446" s="1295"/>
      <c r="AD3446" s="1295"/>
      <c r="AE3446" s="2556"/>
      <c r="AF3446" s="750"/>
      <c r="AG3446" s="750"/>
      <c r="AH3446" s="750"/>
      <c r="AI3446" s="750"/>
      <c r="AJ3446" s="750"/>
      <c r="AK3446" s="750"/>
      <c r="AL3446" s="750"/>
      <c r="AM3446" s="750"/>
      <c r="AN3446" s="750"/>
      <c r="AO3446" s="750"/>
      <c r="AP3446" s="750"/>
      <c r="AQ3446" s="750"/>
      <c r="AR3446" s="750"/>
      <c r="AS3446" s="750"/>
      <c r="AT3446" s="750"/>
      <c r="AU3446" s="750"/>
      <c r="AV3446" s="750"/>
      <c r="AW3446" s="750"/>
      <c r="AX3446" s="750"/>
      <c r="AY3446" s="750"/>
      <c r="AZ3446" s="750"/>
      <c r="BA3446" s="750"/>
      <c r="BB3446" s="750"/>
      <c r="BC3446" s="750"/>
      <c r="BD3446" s="750"/>
      <c r="BE3446" s="750"/>
      <c r="BF3446" s="750"/>
      <c r="BG3446" s="750"/>
      <c r="BH3446" s="750"/>
      <c r="BI3446" s="750"/>
      <c r="BJ3446" s="750"/>
      <c r="BK3446" s="750"/>
      <c r="BL3446" s="750"/>
      <c r="BM3446" s="750"/>
      <c r="BN3446" s="750"/>
      <c r="BO3446" s="750"/>
      <c r="BP3446" s="750"/>
      <c r="BQ3446" s="750"/>
    </row>
    <row r="3447" spans="3:69">
      <c r="C3447" s="853"/>
      <c r="D3447" s="853"/>
      <c r="E3447" s="853"/>
      <c r="F3447" s="853"/>
      <c r="G3447" s="853"/>
      <c r="H3447" s="853"/>
      <c r="I3447" s="848"/>
      <c r="J3447" s="848"/>
      <c r="K3447" s="1295"/>
      <c r="L3447" s="1295"/>
      <c r="M3447" s="1295"/>
      <c r="N3447" s="1295"/>
      <c r="O3447" s="1295"/>
      <c r="P3447" s="853"/>
      <c r="Q3447" s="1295"/>
      <c r="R3447" s="848"/>
      <c r="S3447" s="848"/>
      <c r="T3447" s="848"/>
      <c r="U3447" s="848"/>
      <c r="V3447" s="1296"/>
      <c r="W3447" s="848"/>
      <c r="X3447" s="848"/>
      <c r="Y3447" s="1295"/>
      <c r="Z3447" s="1296"/>
      <c r="AA3447" s="1295"/>
      <c r="AB3447" s="1296"/>
      <c r="AC3447" s="1295"/>
      <c r="AD3447" s="1295"/>
      <c r="AE3447" s="2556"/>
      <c r="AF3447" s="750"/>
      <c r="AG3447" s="750"/>
      <c r="AH3447" s="750"/>
      <c r="AI3447" s="750"/>
      <c r="AJ3447" s="750"/>
      <c r="AK3447" s="750"/>
      <c r="AL3447" s="750"/>
      <c r="AM3447" s="750"/>
      <c r="AN3447" s="750"/>
      <c r="AO3447" s="750"/>
      <c r="AP3447" s="750"/>
      <c r="AQ3447" s="750"/>
      <c r="AR3447" s="750"/>
      <c r="AS3447" s="750"/>
      <c r="AT3447" s="750"/>
      <c r="AU3447" s="750"/>
      <c r="AV3447" s="750"/>
      <c r="AW3447" s="750"/>
      <c r="AX3447" s="750"/>
      <c r="AY3447" s="750"/>
      <c r="AZ3447" s="750"/>
      <c r="BA3447" s="750"/>
      <c r="BB3447" s="750"/>
      <c r="BC3447" s="750"/>
      <c r="BD3447" s="750"/>
      <c r="BE3447" s="750"/>
      <c r="BF3447" s="750"/>
      <c r="BG3447" s="750"/>
      <c r="BH3447" s="750"/>
      <c r="BI3447" s="750"/>
      <c r="BJ3447" s="750"/>
      <c r="BK3447" s="750"/>
      <c r="BL3447" s="750"/>
      <c r="BM3447" s="750"/>
      <c r="BN3447" s="750"/>
      <c r="BO3447" s="750"/>
      <c r="BP3447" s="750"/>
      <c r="BQ3447" s="750"/>
    </row>
    <row r="3448" spans="3:69">
      <c r="C3448" s="853"/>
      <c r="D3448" s="853"/>
      <c r="E3448" s="853"/>
      <c r="F3448" s="853"/>
      <c r="G3448" s="853"/>
      <c r="H3448" s="853"/>
      <c r="I3448" s="848"/>
      <c r="J3448" s="848"/>
      <c r="K3448" s="1295"/>
      <c r="L3448" s="1295"/>
      <c r="M3448" s="1295"/>
      <c r="N3448" s="1295"/>
      <c r="O3448" s="1295"/>
      <c r="P3448" s="853"/>
      <c r="Q3448" s="1295"/>
      <c r="R3448" s="848"/>
      <c r="S3448" s="848"/>
      <c r="T3448" s="848"/>
      <c r="U3448" s="848"/>
      <c r="V3448" s="1296"/>
      <c r="W3448" s="848"/>
      <c r="X3448" s="848"/>
      <c r="Y3448" s="1295"/>
      <c r="Z3448" s="1296"/>
      <c r="AA3448" s="1295"/>
      <c r="AB3448" s="1296"/>
      <c r="AC3448" s="1295"/>
      <c r="AD3448" s="1295"/>
      <c r="AE3448" s="2556"/>
      <c r="AF3448" s="750"/>
      <c r="AG3448" s="750"/>
      <c r="AH3448" s="750"/>
      <c r="AI3448" s="750"/>
      <c r="AJ3448" s="750"/>
      <c r="AK3448" s="750"/>
      <c r="AL3448" s="750"/>
      <c r="AM3448" s="750"/>
      <c r="AN3448" s="750"/>
      <c r="AO3448" s="750"/>
      <c r="AP3448" s="750"/>
      <c r="AQ3448" s="750"/>
      <c r="AR3448" s="750"/>
      <c r="AS3448" s="750"/>
      <c r="AT3448" s="750"/>
      <c r="AU3448" s="750"/>
      <c r="AV3448" s="750"/>
      <c r="AW3448" s="750"/>
      <c r="AX3448" s="750"/>
      <c r="AY3448" s="750"/>
      <c r="AZ3448" s="750"/>
      <c r="BA3448" s="750"/>
      <c r="BB3448" s="750"/>
      <c r="BC3448" s="750"/>
      <c r="BD3448" s="750"/>
      <c r="BE3448" s="750"/>
      <c r="BF3448" s="750"/>
      <c r="BG3448" s="750"/>
      <c r="BH3448" s="750"/>
      <c r="BI3448" s="750"/>
      <c r="BJ3448" s="750"/>
      <c r="BK3448" s="750"/>
      <c r="BL3448" s="750"/>
      <c r="BM3448" s="750"/>
      <c r="BN3448" s="750"/>
      <c r="BO3448" s="750"/>
      <c r="BP3448" s="750"/>
      <c r="BQ3448" s="750"/>
    </row>
    <row r="3449" spans="3:69">
      <c r="C3449" s="853"/>
      <c r="D3449" s="853"/>
      <c r="E3449" s="853"/>
      <c r="F3449" s="853"/>
      <c r="G3449" s="853"/>
      <c r="H3449" s="853"/>
      <c r="I3449" s="848"/>
      <c r="J3449" s="848"/>
      <c r="K3449" s="1295"/>
      <c r="L3449" s="1295"/>
      <c r="M3449" s="1295"/>
      <c r="N3449" s="1295"/>
      <c r="O3449" s="1295"/>
      <c r="P3449" s="853"/>
      <c r="Q3449" s="1295"/>
      <c r="R3449" s="848"/>
      <c r="S3449" s="848"/>
      <c r="T3449" s="848"/>
      <c r="U3449" s="848"/>
      <c r="V3449" s="1296"/>
      <c r="W3449" s="848"/>
      <c r="X3449" s="848"/>
      <c r="Y3449" s="1295"/>
      <c r="Z3449" s="1296"/>
      <c r="AA3449" s="1295"/>
      <c r="AB3449" s="1296"/>
      <c r="AC3449" s="1295"/>
      <c r="AD3449" s="1295"/>
      <c r="AE3449" s="2556"/>
      <c r="AF3449" s="750"/>
      <c r="AG3449" s="750"/>
      <c r="AH3449" s="750"/>
      <c r="AI3449" s="750"/>
      <c r="AJ3449" s="750"/>
      <c r="AK3449" s="750"/>
      <c r="AL3449" s="750"/>
      <c r="AM3449" s="750"/>
      <c r="AN3449" s="750"/>
      <c r="AO3449" s="750"/>
      <c r="AP3449" s="750"/>
      <c r="AQ3449" s="750"/>
      <c r="AR3449" s="750"/>
      <c r="AS3449" s="750"/>
      <c r="AT3449" s="750"/>
      <c r="AU3449" s="750"/>
      <c r="AV3449" s="750"/>
      <c r="AW3449" s="750"/>
      <c r="AX3449" s="750"/>
      <c r="AY3449" s="750"/>
      <c r="AZ3449" s="750"/>
      <c r="BA3449" s="750"/>
      <c r="BB3449" s="750"/>
      <c r="BC3449" s="750"/>
      <c r="BD3449" s="750"/>
      <c r="BE3449" s="750"/>
      <c r="BF3449" s="750"/>
      <c r="BG3449" s="750"/>
      <c r="BH3449" s="750"/>
      <c r="BI3449" s="750"/>
      <c r="BJ3449" s="750"/>
      <c r="BK3449" s="750"/>
      <c r="BL3449" s="750"/>
      <c r="BM3449" s="750"/>
      <c r="BN3449" s="750"/>
      <c r="BO3449" s="750"/>
      <c r="BP3449" s="750"/>
      <c r="BQ3449" s="750"/>
    </row>
    <row r="3450" spans="3:69">
      <c r="C3450" s="853"/>
      <c r="D3450" s="853"/>
      <c r="E3450" s="853"/>
      <c r="F3450" s="853"/>
      <c r="G3450" s="853"/>
      <c r="H3450" s="853"/>
      <c r="I3450" s="848"/>
      <c r="J3450" s="848"/>
      <c r="K3450" s="1295"/>
      <c r="L3450" s="1295"/>
      <c r="M3450" s="1295"/>
      <c r="N3450" s="1295"/>
      <c r="O3450" s="1295"/>
      <c r="P3450" s="853"/>
      <c r="Q3450" s="1295"/>
      <c r="R3450" s="848"/>
      <c r="S3450" s="848"/>
      <c r="T3450" s="848"/>
      <c r="U3450" s="848"/>
      <c r="V3450" s="1296"/>
      <c r="W3450" s="848"/>
      <c r="X3450" s="848"/>
      <c r="Y3450" s="1295"/>
      <c r="Z3450" s="1296"/>
      <c r="AA3450" s="1295"/>
      <c r="AB3450" s="1296"/>
      <c r="AC3450" s="1295"/>
      <c r="AD3450" s="1295"/>
      <c r="AE3450" s="2556"/>
      <c r="AF3450" s="750"/>
      <c r="AG3450" s="750"/>
      <c r="AH3450" s="750"/>
      <c r="AI3450" s="750"/>
      <c r="AJ3450" s="750"/>
      <c r="AK3450" s="750"/>
      <c r="AL3450" s="750"/>
      <c r="AM3450" s="750"/>
      <c r="AN3450" s="750"/>
      <c r="AO3450" s="750"/>
      <c r="AP3450" s="750"/>
      <c r="AQ3450" s="750"/>
      <c r="AR3450" s="750"/>
      <c r="AS3450" s="750"/>
      <c r="AT3450" s="750"/>
      <c r="AU3450" s="750"/>
      <c r="AV3450" s="750"/>
      <c r="AW3450" s="750"/>
      <c r="AX3450" s="750"/>
      <c r="AY3450" s="750"/>
      <c r="AZ3450" s="750"/>
      <c r="BA3450" s="750"/>
      <c r="BB3450" s="750"/>
      <c r="BC3450" s="750"/>
      <c r="BD3450" s="750"/>
      <c r="BE3450" s="750"/>
      <c r="BF3450" s="750"/>
      <c r="BG3450" s="750"/>
      <c r="BH3450" s="750"/>
      <c r="BI3450" s="750"/>
      <c r="BJ3450" s="750"/>
      <c r="BK3450" s="750"/>
      <c r="BL3450" s="750"/>
      <c r="BM3450" s="750"/>
      <c r="BN3450" s="750"/>
      <c r="BO3450" s="750"/>
      <c r="BP3450" s="750"/>
      <c r="BQ3450" s="750"/>
    </row>
    <row r="3451" spans="3:69">
      <c r="C3451" s="853"/>
      <c r="D3451" s="853"/>
      <c r="E3451" s="853"/>
      <c r="F3451" s="853"/>
      <c r="G3451" s="853"/>
      <c r="H3451" s="853"/>
      <c r="I3451" s="848"/>
      <c r="J3451" s="848"/>
      <c r="K3451" s="1295"/>
      <c r="L3451" s="1295"/>
      <c r="M3451" s="1295"/>
      <c r="N3451" s="1295"/>
      <c r="O3451" s="1295"/>
      <c r="P3451" s="853"/>
      <c r="Q3451" s="1295"/>
      <c r="R3451" s="848"/>
      <c r="S3451" s="848"/>
      <c r="T3451" s="848"/>
      <c r="U3451" s="848"/>
      <c r="V3451" s="1296"/>
      <c r="W3451" s="848"/>
      <c r="X3451" s="848"/>
      <c r="Y3451" s="1295"/>
      <c r="Z3451" s="1296"/>
      <c r="AA3451" s="1295"/>
      <c r="AB3451" s="1296"/>
      <c r="AC3451" s="1295"/>
      <c r="AD3451" s="1295"/>
      <c r="AE3451" s="2556"/>
      <c r="AF3451" s="750"/>
      <c r="AG3451" s="750"/>
      <c r="AH3451" s="750"/>
      <c r="AI3451" s="750"/>
      <c r="AJ3451" s="750"/>
      <c r="AK3451" s="750"/>
      <c r="AL3451" s="750"/>
      <c r="AM3451" s="750"/>
      <c r="AN3451" s="750"/>
      <c r="AO3451" s="750"/>
      <c r="AP3451" s="750"/>
      <c r="AQ3451" s="750"/>
      <c r="AR3451" s="750"/>
      <c r="AS3451" s="750"/>
      <c r="AT3451" s="750"/>
      <c r="AU3451" s="750"/>
      <c r="AV3451" s="750"/>
      <c r="AW3451" s="750"/>
      <c r="AX3451" s="750"/>
      <c r="AY3451" s="750"/>
      <c r="AZ3451" s="750"/>
      <c r="BA3451" s="750"/>
      <c r="BB3451" s="750"/>
      <c r="BC3451" s="750"/>
      <c r="BD3451" s="750"/>
      <c r="BE3451" s="750"/>
      <c r="BF3451" s="750"/>
      <c r="BG3451" s="750"/>
      <c r="BH3451" s="750"/>
      <c r="BI3451" s="750"/>
      <c r="BJ3451" s="750"/>
      <c r="BK3451" s="750"/>
      <c r="BL3451" s="750"/>
      <c r="BM3451" s="750"/>
      <c r="BN3451" s="750"/>
      <c r="BO3451" s="750"/>
      <c r="BP3451" s="750"/>
      <c r="BQ3451" s="750"/>
    </row>
    <row r="3452" spans="3:69">
      <c r="C3452" s="853"/>
      <c r="D3452" s="853"/>
      <c r="E3452" s="853"/>
      <c r="F3452" s="853"/>
      <c r="G3452" s="853"/>
      <c r="H3452" s="853"/>
      <c r="I3452" s="848"/>
      <c r="J3452" s="848"/>
      <c r="K3452" s="1295"/>
      <c r="L3452" s="1295"/>
      <c r="M3452" s="1295"/>
      <c r="N3452" s="1295"/>
      <c r="O3452" s="1295"/>
      <c r="P3452" s="853"/>
      <c r="Q3452" s="1295"/>
      <c r="R3452" s="848"/>
      <c r="S3452" s="848"/>
      <c r="T3452" s="848"/>
      <c r="U3452" s="848"/>
      <c r="V3452" s="1296"/>
      <c r="W3452" s="848"/>
      <c r="X3452" s="848"/>
      <c r="Y3452" s="1295"/>
      <c r="Z3452" s="1296"/>
      <c r="AA3452" s="1295"/>
      <c r="AB3452" s="1296"/>
      <c r="AC3452" s="1295"/>
      <c r="AD3452" s="1295"/>
      <c r="AE3452" s="2556"/>
      <c r="AF3452" s="750"/>
      <c r="AG3452" s="750"/>
      <c r="AH3452" s="750"/>
      <c r="AI3452" s="750"/>
      <c r="AJ3452" s="750"/>
      <c r="AK3452" s="750"/>
      <c r="AL3452" s="750"/>
      <c r="AM3452" s="750"/>
      <c r="AN3452" s="750"/>
      <c r="AO3452" s="750"/>
      <c r="AP3452" s="750"/>
      <c r="AQ3452" s="750"/>
      <c r="AR3452" s="750"/>
      <c r="AS3452" s="750"/>
      <c r="AT3452" s="750"/>
      <c r="AU3452" s="750"/>
      <c r="AV3452" s="750"/>
      <c r="AW3452" s="750"/>
      <c r="AX3452" s="750"/>
      <c r="AY3452" s="750"/>
      <c r="AZ3452" s="750"/>
      <c r="BA3452" s="750"/>
      <c r="BB3452" s="750"/>
      <c r="BC3452" s="750"/>
      <c r="BD3452" s="750"/>
      <c r="BE3452" s="750"/>
      <c r="BF3452" s="750"/>
      <c r="BG3452" s="750"/>
      <c r="BH3452" s="750"/>
      <c r="BI3452" s="750"/>
      <c r="BJ3452" s="750"/>
      <c r="BK3452" s="750"/>
      <c r="BL3452" s="750"/>
      <c r="BM3452" s="750"/>
      <c r="BN3452" s="750"/>
      <c r="BO3452" s="750"/>
      <c r="BP3452" s="750"/>
      <c r="BQ3452" s="750"/>
    </row>
    <row r="3453" spans="3:69">
      <c r="C3453" s="853"/>
      <c r="D3453" s="853"/>
      <c r="E3453" s="853"/>
      <c r="F3453" s="853"/>
      <c r="G3453" s="853"/>
      <c r="H3453" s="853"/>
      <c r="I3453" s="848"/>
      <c r="J3453" s="848"/>
      <c r="K3453" s="1295"/>
      <c r="L3453" s="1295"/>
      <c r="M3453" s="1295"/>
      <c r="N3453" s="1295"/>
      <c r="O3453" s="1295"/>
      <c r="P3453" s="853"/>
      <c r="Q3453" s="1295"/>
      <c r="R3453" s="848"/>
      <c r="S3453" s="848"/>
      <c r="T3453" s="848"/>
      <c r="U3453" s="848"/>
      <c r="V3453" s="1296"/>
      <c r="W3453" s="848"/>
      <c r="X3453" s="848"/>
      <c r="Y3453" s="1295"/>
      <c r="Z3453" s="1296"/>
      <c r="AA3453" s="1295"/>
      <c r="AB3453" s="1296"/>
      <c r="AC3453" s="1295"/>
      <c r="AD3453" s="1295"/>
      <c r="AE3453" s="2556"/>
      <c r="AF3453" s="750"/>
      <c r="AG3453" s="750"/>
      <c r="AH3453" s="750"/>
      <c r="AI3453" s="750"/>
      <c r="AJ3453" s="750"/>
      <c r="AK3453" s="750"/>
      <c r="AL3453" s="750"/>
      <c r="AM3453" s="750"/>
      <c r="AN3453" s="750"/>
      <c r="AO3453" s="750"/>
      <c r="AP3453" s="750"/>
      <c r="AQ3453" s="750"/>
      <c r="AR3453" s="750"/>
      <c r="AS3453" s="750"/>
      <c r="AT3453" s="750"/>
      <c r="AU3453" s="750"/>
      <c r="AV3453" s="750"/>
      <c r="AW3453" s="750"/>
      <c r="AX3453" s="750"/>
      <c r="AY3453" s="750"/>
      <c r="AZ3453" s="750"/>
      <c r="BA3453" s="750"/>
      <c r="BB3453" s="750"/>
      <c r="BC3453" s="750"/>
      <c r="BD3453" s="750"/>
      <c r="BE3453" s="750"/>
      <c r="BF3453" s="750"/>
      <c r="BG3453" s="750"/>
      <c r="BH3453" s="750"/>
      <c r="BI3453" s="750"/>
      <c r="BJ3453" s="750"/>
      <c r="BK3453" s="750"/>
      <c r="BL3453" s="750"/>
      <c r="BM3453" s="750"/>
      <c r="BN3453" s="750"/>
      <c r="BO3453" s="750"/>
      <c r="BP3453" s="750"/>
      <c r="BQ3453" s="750"/>
    </row>
    <row r="3454" spans="3:69">
      <c r="C3454" s="853"/>
      <c r="D3454" s="853"/>
      <c r="E3454" s="853"/>
      <c r="F3454" s="853"/>
      <c r="G3454" s="853"/>
      <c r="H3454" s="853"/>
      <c r="I3454" s="848"/>
      <c r="J3454" s="848"/>
      <c r="K3454" s="1295"/>
      <c r="L3454" s="1295"/>
      <c r="M3454" s="1295"/>
      <c r="N3454" s="1295"/>
      <c r="O3454" s="1295"/>
      <c r="P3454" s="853"/>
      <c r="Q3454" s="1295"/>
      <c r="R3454" s="848"/>
      <c r="S3454" s="848"/>
      <c r="T3454" s="848"/>
      <c r="U3454" s="848"/>
      <c r="V3454" s="1296"/>
      <c r="W3454" s="848"/>
      <c r="X3454" s="848"/>
      <c r="Y3454" s="1295"/>
      <c r="Z3454" s="1296"/>
      <c r="AA3454" s="1295"/>
      <c r="AB3454" s="1296"/>
      <c r="AC3454" s="1295"/>
      <c r="AD3454" s="1295"/>
      <c r="AE3454" s="2556"/>
      <c r="AF3454" s="750"/>
      <c r="AG3454" s="750"/>
      <c r="AH3454" s="750"/>
      <c r="AI3454" s="750"/>
      <c r="AJ3454" s="750"/>
      <c r="AK3454" s="750"/>
      <c r="AL3454" s="750"/>
      <c r="AM3454" s="750"/>
      <c r="AN3454" s="750"/>
      <c r="AO3454" s="750"/>
      <c r="AP3454" s="750"/>
      <c r="AQ3454" s="750"/>
      <c r="AR3454" s="750"/>
      <c r="AS3454" s="750"/>
      <c r="AT3454" s="750"/>
      <c r="AU3454" s="750"/>
      <c r="AV3454" s="750"/>
      <c r="AW3454" s="750"/>
      <c r="AX3454" s="750"/>
      <c r="AY3454" s="750"/>
      <c r="AZ3454" s="750"/>
      <c r="BA3454" s="750"/>
      <c r="BB3454" s="750"/>
      <c r="BC3454" s="750"/>
      <c r="BD3454" s="750"/>
      <c r="BE3454" s="750"/>
      <c r="BF3454" s="750"/>
      <c r="BG3454" s="750"/>
      <c r="BH3454" s="750"/>
      <c r="BI3454" s="750"/>
      <c r="BJ3454" s="750"/>
      <c r="BK3454" s="750"/>
      <c r="BL3454" s="750"/>
      <c r="BM3454" s="750"/>
      <c r="BN3454" s="750"/>
      <c r="BO3454" s="750"/>
      <c r="BP3454" s="750"/>
      <c r="BQ3454" s="750"/>
    </row>
    <row r="3455" spans="3:69">
      <c r="C3455" s="853"/>
      <c r="D3455" s="853"/>
      <c r="E3455" s="853"/>
      <c r="F3455" s="853"/>
      <c r="G3455" s="853"/>
      <c r="H3455" s="853"/>
      <c r="I3455" s="848"/>
      <c r="J3455" s="848"/>
      <c r="K3455" s="1295"/>
      <c r="L3455" s="1295"/>
      <c r="M3455" s="1295"/>
      <c r="N3455" s="1295"/>
      <c r="O3455" s="1295"/>
      <c r="P3455" s="853"/>
      <c r="Q3455" s="1295"/>
      <c r="R3455" s="848"/>
      <c r="S3455" s="848"/>
      <c r="T3455" s="848"/>
      <c r="U3455" s="848"/>
      <c r="V3455" s="1296"/>
      <c r="W3455" s="848"/>
      <c r="X3455" s="848"/>
      <c r="Y3455" s="1295"/>
      <c r="Z3455" s="1296"/>
      <c r="AA3455" s="1295"/>
      <c r="AB3455" s="1296"/>
      <c r="AC3455" s="1295"/>
      <c r="AD3455" s="1295"/>
      <c r="AE3455" s="2556"/>
      <c r="AF3455" s="750"/>
      <c r="AG3455" s="750"/>
      <c r="AH3455" s="750"/>
      <c r="AI3455" s="750"/>
      <c r="AJ3455" s="750"/>
      <c r="AK3455" s="750"/>
      <c r="AL3455" s="750"/>
      <c r="AM3455" s="750"/>
      <c r="AN3455" s="750"/>
      <c r="AO3455" s="750"/>
      <c r="AP3455" s="750"/>
      <c r="AQ3455" s="750"/>
      <c r="AR3455" s="750"/>
      <c r="AS3455" s="750"/>
      <c r="AT3455" s="750"/>
      <c r="AU3455" s="750"/>
      <c r="AV3455" s="750"/>
      <c r="AW3455" s="750"/>
      <c r="AX3455" s="750"/>
      <c r="AY3455" s="750"/>
      <c r="AZ3455" s="750"/>
      <c r="BA3455" s="750"/>
      <c r="BB3455" s="750"/>
      <c r="BC3455" s="750"/>
      <c r="BD3455" s="750"/>
      <c r="BE3455" s="750"/>
      <c r="BF3455" s="750"/>
      <c r="BG3455" s="750"/>
      <c r="BH3455" s="750"/>
      <c r="BI3455" s="750"/>
      <c r="BJ3455" s="750"/>
      <c r="BK3455" s="750"/>
      <c r="BL3455" s="750"/>
      <c r="BM3455" s="750"/>
      <c r="BN3455" s="750"/>
      <c r="BO3455" s="750"/>
      <c r="BP3455" s="750"/>
      <c r="BQ3455" s="750"/>
    </row>
    <row r="3456" spans="3:69">
      <c r="C3456" s="853"/>
      <c r="D3456" s="853"/>
      <c r="E3456" s="853"/>
      <c r="F3456" s="853"/>
      <c r="G3456" s="853"/>
      <c r="H3456" s="853"/>
      <c r="I3456" s="848"/>
      <c r="J3456" s="848"/>
      <c r="K3456" s="1295"/>
      <c r="L3456" s="1295"/>
      <c r="M3456" s="1295"/>
      <c r="N3456" s="1295"/>
      <c r="O3456" s="1295"/>
      <c r="P3456" s="853"/>
      <c r="Q3456" s="1295"/>
      <c r="R3456" s="848"/>
      <c r="S3456" s="848"/>
      <c r="T3456" s="848"/>
      <c r="U3456" s="848"/>
      <c r="V3456" s="1296"/>
      <c r="W3456" s="848"/>
      <c r="X3456" s="848"/>
      <c r="Y3456" s="1295"/>
      <c r="Z3456" s="1296"/>
      <c r="AA3456" s="1295"/>
      <c r="AB3456" s="1296"/>
      <c r="AC3456" s="1295"/>
      <c r="AD3456" s="1295"/>
      <c r="AE3456" s="2556"/>
      <c r="AF3456" s="750"/>
      <c r="AG3456" s="750"/>
      <c r="AH3456" s="750"/>
      <c r="AI3456" s="750"/>
      <c r="AJ3456" s="750"/>
      <c r="AK3456" s="750"/>
      <c r="AL3456" s="750"/>
      <c r="AM3456" s="750"/>
      <c r="AN3456" s="750"/>
      <c r="AO3456" s="750"/>
      <c r="AP3456" s="750"/>
      <c r="AQ3456" s="750"/>
      <c r="AR3456" s="750"/>
      <c r="AS3456" s="750"/>
      <c r="AT3456" s="750"/>
      <c r="AU3456" s="750"/>
      <c r="AV3456" s="750"/>
      <c r="AW3456" s="750"/>
      <c r="AX3456" s="750"/>
      <c r="AY3456" s="750"/>
      <c r="AZ3456" s="750"/>
      <c r="BA3456" s="750"/>
      <c r="BB3456" s="750"/>
      <c r="BC3456" s="750"/>
      <c r="BD3456" s="750"/>
      <c r="BE3456" s="750"/>
      <c r="BF3456" s="750"/>
      <c r="BG3456" s="750"/>
      <c r="BH3456" s="750"/>
      <c r="BI3456" s="750"/>
      <c r="BJ3456" s="750"/>
      <c r="BK3456" s="750"/>
      <c r="BL3456" s="750"/>
      <c r="BM3456" s="750"/>
      <c r="BN3456" s="750"/>
      <c r="BO3456" s="750"/>
      <c r="BP3456" s="750"/>
      <c r="BQ3456" s="750"/>
    </row>
    <row r="3457" spans="3:69">
      <c r="C3457" s="853"/>
      <c r="D3457" s="853"/>
      <c r="E3457" s="853"/>
      <c r="F3457" s="853"/>
      <c r="G3457" s="853"/>
      <c r="H3457" s="853"/>
      <c r="I3457" s="848"/>
      <c r="J3457" s="848"/>
      <c r="K3457" s="1295"/>
      <c r="L3457" s="1295"/>
      <c r="M3457" s="1295"/>
      <c r="N3457" s="1295"/>
      <c r="O3457" s="1295"/>
      <c r="P3457" s="853"/>
      <c r="Q3457" s="1295"/>
      <c r="R3457" s="848"/>
      <c r="S3457" s="848"/>
      <c r="T3457" s="848"/>
      <c r="U3457" s="848"/>
      <c r="V3457" s="1296"/>
      <c r="W3457" s="848"/>
      <c r="X3457" s="848"/>
      <c r="Y3457" s="1295"/>
      <c r="Z3457" s="1296"/>
      <c r="AA3457" s="1295"/>
      <c r="AB3457" s="1296"/>
      <c r="AC3457" s="1295"/>
      <c r="AD3457" s="1295"/>
      <c r="AE3457" s="2556"/>
      <c r="AF3457" s="750"/>
      <c r="AG3457" s="750"/>
      <c r="AH3457" s="750"/>
      <c r="AI3457" s="750"/>
      <c r="AJ3457" s="750"/>
      <c r="AK3457" s="750"/>
      <c r="AL3457" s="750"/>
      <c r="AM3457" s="750"/>
      <c r="AN3457" s="750"/>
      <c r="AO3457" s="750"/>
      <c r="AP3457" s="750"/>
      <c r="AQ3457" s="750"/>
      <c r="AR3457" s="750"/>
      <c r="AS3457" s="750"/>
      <c r="AT3457" s="750"/>
      <c r="AU3457" s="750"/>
      <c r="AV3457" s="750"/>
      <c r="AW3457" s="750"/>
      <c r="AX3457" s="750"/>
      <c r="AY3457" s="750"/>
      <c r="AZ3457" s="750"/>
      <c r="BA3457" s="750"/>
      <c r="BB3457" s="750"/>
      <c r="BC3457" s="750"/>
      <c r="BD3457" s="750"/>
      <c r="BE3457" s="750"/>
      <c r="BF3457" s="750"/>
      <c r="BG3457" s="750"/>
      <c r="BH3457" s="750"/>
      <c r="BI3457" s="750"/>
      <c r="BJ3457" s="750"/>
      <c r="BK3457" s="750"/>
      <c r="BL3457" s="750"/>
      <c r="BM3457" s="750"/>
      <c r="BN3457" s="750"/>
      <c r="BO3457" s="750"/>
      <c r="BP3457" s="750"/>
      <c r="BQ3457" s="750"/>
    </row>
    <row r="3458" spans="3:69">
      <c r="C3458" s="853"/>
      <c r="D3458" s="853"/>
      <c r="E3458" s="853"/>
      <c r="F3458" s="853"/>
      <c r="G3458" s="853"/>
      <c r="H3458" s="853"/>
      <c r="I3458" s="848"/>
      <c r="J3458" s="848"/>
      <c r="K3458" s="1295"/>
      <c r="L3458" s="1295"/>
      <c r="M3458" s="1295"/>
      <c r="N3458" s="1295"/>
      <c r="O3458" s="1295"/>
      <c r="P3458" s="853"/>
      <c r="Q3458" s="1295"/>
      <c r="R3458" s="848"/>
      <c r="S3458" s="848"/>
      <c r="T3458" s="848"/>
      <c r="U3458" s="848"/>
      <c r="V3458" s="1296"/>
      <c r="W3458" s="848"/>
      <c r="X3458" s="848"/>
      <c r="Y3458" s="1295"/>
      <c r="Z3458" s="1296"/>
      <c r="AA3458" s="1295"/>
      <c r="AB3458" s="1296"/>
      <c r="AC3458" s="1295"/>
      <c r="AD3458" s="1295"/>
      <c r="AE3458" s="2556"/>
      <c r="AF3458" s="750"/>
      <c r="AG3458" s="750"/>
      <c r="AH3458" s="750"/>
      <c r="AI3458" s="750"/>
      <c r="AJ3458" s="750"/>
      <c r="AK3458" s="750"/>
      <c r="AL3458" s="750"/>
      <c r="AM3458" s="750"/>
      <c r="AN3458" s="750"/>
      <c r="AO3458" s="750"/>
      <c r="AP3458" s="750"/>
      <c r="AQ3458" s="750"/>
      <c r="AR3458" s="750"/>
      <c r="AS3458" s="750"/>
      <c r="AT3458" s="750"/>
      <c r="AU3458" s="750"/>
      <c r="AV3458" s="750"/>
      <c r="AW3458" s="750"/>
      <c r="AX3458" s="750"/>
      <c r="AY3458" s="750"/>
      <c r="AZ3458" s="750"/>
      <c r="BA3458" s="750"/>
      <c r="BB3458" s="750"/>
      <c r="BC3458" s="750"/>
      <c r="BD3458" s="750"/>
      <c r="BE3458" s="750"/>
      <c r="BF3458" s="750"/>
      <c r="BG3458" s="750"/>
      <c r="BH3458" s="750"/>
      <c r="BI3458" s="750"/>
      <c r="BJ3458" s="750"/>
      <c r="BK3458" s="750"/>
      <c r="BL3458" s="750"/>
      <c r="BM3458" s="750"/>
      <c r="BN3458" s="750"/>
      <c r="BO3458" s="750"/>
      <c r="BP3458" s="750"/>
      <c r="BQ3458" s="750"/>
    </row>
    <row r="3459" spans="3:69">
      <c r="C3459" s="853"/>
      <c r="D3459" s="853"/>
      <c r="E3459" s="853"/>
      <c r="F3459" s="853"/>
      <c r="G3459" s="853"/>
      <c r="H3459" s="853"/>
      <c r="I3459" s="848"/>
      <c r="J3459" s="848"/>
      <c r="K3459" s="1295"/>
      <c r="L3459" s="1295"/>
      <c r="M3459" s="1295"/>
      <c r="N3459" s="1295"/>
      <c r="O3459" s="1295"/>
      <c r="P3459" s="853"/>
      <c r="Q3459" s="1295"/>
      <c r="R3459" s="848"/>
      <c r="S3459" s="848"/>
      <c r="T3459" s="848"/>
      <c r="U3459" s="848"/>
      <c r="V3459" s="1296"/>
      <c r="W3459" s="848"/>
      <c r="X3459" s="848"/>
      <c r="Y3459" s="1295"/>
      <c r="Z3459" s="1296"/>
      <c r="AA3459" s="1295"/>
      <c r="AB3459" s="1296"/>
      <c r="AC3459" s="1295"/>
      <c r="AD3459" s="1295"/>
      <c r="AE3459" s="2556"/>
      <c r="AF3459" s="750"/>
      <c r="AG3459" s="750"/>
      <c r="AH3459" s="750"/>
      <c r="AI3459" s="750"/>
      <c r="AJ3459" s="750"/>
      <c r="AK3459" s="750"/>
      <c r="AL3459" s="750"/>
      <c r="AM3459" s="750"/>
      <c r="AN3459" s="750"/>
      <c r="AO3459" s="750"/>
      <c r="AP3459" s="750"/>
      <c r="AQ3459" s="750"/>
      <c r="AR3459" s="750"/>
      <c r="AS3459" s="750"/>
      <c r="AT3459" s="750"/>
      <c r="AU3459" s="750"/>
      <c r="AV3459" s="750"/>
      <c r="AW3459" s="750"/>
      <c r="AX3459" s="750"/>
      <c r="AY3459" s="750"/>
      <c r="AZ3459" s="750"/>
      <c r="BA3459" s="750"/>
      <c r="BB3459" s="750"/>
      <c r="BC3459" s="750"/>
      <c r="BD3459" s="750"/>
      <c r="BE3459" s="750"/>
      <c r="BF3459" s="750"/>
      <c r="BG3459" s="750"/>
      <c r="BH3459" s="750"/>
      <c r="BI3459" s="750"/>
      <c r="BJ3459" s="750"/>
      <c r="BK3459" s="750"/>
      <c r="BL3459" s="750"/>
      <c r="BM3459" s="750"/>
      <c r="BN3459" s="750"/>
      <c r="BO3459" s="750"/>
      <c r="BP3459" s="750"/>
      <c r="BQ3459" s="750"/>
    </row>
    <row r="3460" spans="3:69">
      <c r="C3460" s="853"/>
      <c r="D3460" s="853"/>
      <c r="E3460" s="853"/>
      <c r="F3460" s="853"/>
      <c r="G3460" s="853"/>
      <c r="H3460" s="853"/>
      <c r="I3460" s="848"/>
      <c r="J3460" s="848"/>
      <c r="K3460" s="1295"/>
      <c r="L3460" s="1295"/>
      <c r="M3460" s="1295"/>
      <c r="N3460" s="1295"/>
      <c r="O3460" s="1295"/>
      <c r="P3460" s="853"/>
      <c r="Q3460" s="1295"/>
      <c r="R3460" s="848"/>
      <c r="S3460" s="848"/>
      <c r="T3460" s="848"/>
      <c r="U3460" s="848"/>
      <c r="V3460" s="1296"/>
      <c r="W3460" s="848"/>
      <c r="X3460" s="848"/>
      <c r="Y3460" s="1295"/>
      <c r="Z3460" s="1296"/>
      <c r="AA3460" s="1295"/>
      <c r="AB3460" s="1296"/>
      <c r="AC3460" s="1295"/>
      <c r="AD3460" s="1295"/>
      <c r="AE3460" s="2556"/>
      <c r="AF3460" s="750"/>
      <c r="AG3460" s="750"/>
      <c r="AH3460" s="750"/>
      <c r="AI3460" s="750"/>
      <c r="AJ3460" s="750"/>
      <c r="AK3460" s="750"/>
      <c r="AL3460" s="750"/>
      <c r="AM3460" s="750"/>
      <c r="AN3460" s="750"/>
      <c r="AO3460" s="750"/>
      <c r="AP3460" s="750"/>
      <c r="AQ3460" s="750"/>
      <c r="AR3460" s="750"/>
      <c r="AS3460" s="750"/>
      <c r="AT3460" s="750"/>
      <c r="AU3460" s="750"/>
      <c r="AV3460" s="750"/>
      <c r="AW3460" s="750"/>
      <c r="AX3460" s="750"/>
      <c r="AY3460" s="750"/>
      <c r="AZ3460" s="750"/>
      <c r="BA3460" s="750"/>
      <c r="BB3460" s="750"/>
      <c r="BC3460" s="750"/>
      <c r="BD3460" s="750"/>
      <c r="BE3460" s="750"/>
      <c r="BF3460" s="750"/>
      <c r="BG3460" s="750"/>
      <c r="BH3460" s="750"/>
      <c r="BI3460" s="750"/>
      <c r="BJ3460" s="750"/>
      <c r="BK3460" s="750"/>
      <c r="BL3460" s="750"/>
      <c r="BM3460" s="750"/>
      <c r="BN3460" s="750"/>
      <c r="BO3460" s="750"/>
      <c r="BP3460" s="750"/>
      <c r="BQ3460" s="750"/>
    </row>
    <row r="3461" spans="3:69">
      <c r="C3461" s="853"/>
      <c r="D3461" s="853"/>
      <c r="E3461" s="853"/>
      <c r="F3461" s="853"/>
      <c r="G3461" s="853"/>
      <c r="H3461" s="853"/>
      <c r="I3461" s="848"/>
      <c r="J3461" s="848"/>
      <c r="K3461" s="1295"/>
      <c r="L3461" s="1295"/>
      <c r="M3461" s="1295"/>
      <c r="N3461" s="1295"/>
      <c r="O3461" s="1295"/>
      <c r="P3461" s="853"/>
      <c r="Q3461" s="1295"/>
      <c r="R3461" s="848"/>
      <c r="S3461" s="848"/>
      <c r="T3461" s="848"/>
      <c r="U3461" s="848"/>
      <c r="V3461" s="1296"/>
      <c r="W3461" s="848"/>
      <c r="X3461" s="848"/>
      <c r="Y3461" s="1295"/>
      <c r="Z3461" s="1296"/>
      <c r="AA3461" s="1295"/>
      <c r="AB3461" s="1296"/>
      <c r="AC3461" s="1295"/>
      <c r="AD3461" s="1295"/>
      <c r="AE3461" s="2556"/>
      <c r="AF3461" s="750"/>
      <c r="AG3461" s="750"/>
      <c r="AH3461" s="750"/>
      <c r="AI3461" s="750"/>
      <c r="AJ3461" s="750"/>
      <c r="AK3461" s="750"/>
      <c r="AL3461" s="750"/>
      <c r="AM3461" s="750"/>
      <c r="AN3461" s="750"/>
      <c r="AO3461" s="750"/>
      <c r="AP3461" s="750"/>
      <c r="AQ3461" s="750"/>
      <c r="AR3461" s="750"/>
      <c r="AS3461" s="750"/>
      <c r="AT3461" s="750"/>
      <c r="AU3461" s="750"/>
      <c r="AV3461" s="750"/>
      <c r="AW3461" s="750"/>
      <c r="AX3461" s="750"/>
      <c r="AY3461" s="750"/>
      <c r="AZ3461" s="750"/>
      <c r="BA3461" s="750"/>
      <c r="BB3461" s="750"/>
      <c r="BC3461" s="750"/>
      <c r="BD3461" s="750"/>
      <c r="BE3461" s="750"/>
      <c r="BF3461" s="750"/>
      <c r="BG3461" s="750"/>
      <c r="BH3461" s="750"/>
      <c r="BI3461" s="750"/>
      <c r="BJ3461" s="750"/>
      <c r="BK3461" s="750"/>
      <c r="BL3461" s="750"/>
      <c r="BM3461" s="750"/>
      <c r="BN3461" s="750"/>
      <c r="BO3461" s="750"/>
      <c r="BP3461" s="750"/>
      <c r="BQ3461" s="750"/>
    </row>
    <row r="3462" spans="3:69">
      <c r="C3462" s="853"/>
      <c r="D3462" s="853"/>
      <c r="E3462" s="853"/>
      <c r="F3462" s="853"/>
      <c r="G3462" s="853"/>
      <c r="H3462" s="853"/>
      <c r="I3462" s="848"/>
      <c r="J3462" s="848"/>
      <c r="K3462" s="1295"/>
      <c r="L3462" s="1295"/>
      <c r="M3462" s="1295"/>
      <c r="N3462" s="1295"/>
      <c r="O3462" s="1295"/>
      <c r="P3462" s="853"/>
      <c r="Q3462" s="1295"/>
      <c r="R3462" s="848"/>
      <c r="S3462" s="848"/>
      <c r="T3462" s="848"/>
      <c r="U3462" s="848"/>
      <c r="V3462" s="1296"/>
      <c r="W3462" s="848"/>
      <c r="X3462" s="848"/>
      <c r="Y3462" s="1295"/>
      <c r="Z3462" s="1296"/>
      <c r="AA3462" s="1295"/>
      <c r="AB3462" s="1296"/>
      <c r="AC3462" s="1295"/>
      <c r="AD3462" s="1295"/>
      <c r="AE3462" s="2556"/>
      <c r="AF3462" s="750"/>
      <c r="AG3462" s="750"/>
      <c r="AH3462" s="750"/>
      <c r="AI3462" s="750"/>
      <c r="AJ3462" s="750"/>
      <c r="AK3462" s="750"/>
      <c r="AL3462" s="750"/>
      <c r="AM3462" s="750"/>
      <c r="AN3462" s="750"/>
      <c r="AO3462" s="750"/>
      <c r="AP3462" s="750"/>
      <c r="AQ3462" s="750"/>
      <c r="AR3462" s="750"/>
      <c r="AS3462" s="750"/>
      <c r="AT3462" s="750"/>
      <c r="AU3462" s="750"/>
      <c r="AV3462" s="750"/>
      <c r="AW3462" s="750"/>
      <c r="AX3462" s="750"/>
      <c r="AY3462" s="750"/>
      <c r="AZ3462" s="750"/>
      <c r="BA3462" s="750"/>
      <c r="BB3462" s="750"/>
      <c r="BC3462" s="750"/>
      <c r="BD3462" s="750"/>
      <c r="BE3462" s="750"/>
      <c r="BF3462" s="750"/>
      <c r="BG3462" s="750"/>
      <c r="BH3462" s="750"/>
      <c r="BI3462" s="750"/>
      <c r="BJ3462" s="750"/>
      <c r="BK3462" s="750"/>
      <c r="BL3462" s="750"/>
      <c r="BM3462" s="750"/>
      <c r="BN3462" s="750"/>
      <c r="BO3462" s="750"/>
      <c r="BP3462" s="750"/>
      <c r="BQ3462" s="750"/>
    </row>
    <row r="3463" spans="3:69">
      <c r="C3463" s="853"/>
      <c r="D3463" s="853"/>
      <c r="E3463" s="853"/>
      <c r="F3463" s="853"/>
      <c r="G3463" s="853"/>
      <c r="H3463" s="853"/>
      <c r="I3463" s="848"/>
      <c r="J3463" s="848"/>
      <c r="K3463" s="1295"/>
      <c r="L3463" s="1295"/>
      <c r="M3463" s="1295"/>
      <c r="N3463" s="1295"/>
      <c r="O3463" s="1295"/>
      <c r="P3463" s="853"/>
      <c r="Q3463" s="1295"/>
      <c r="R3463" s="848"/>
      <c r="S3463" s="848"/>
      <c r="T3463" s="848"/>
      <c r="U3463" s="848"/>
      <c r="V3463" s="1296"/>
      <c r="W3463" s="848"/>
      <c r="X3463" s="848"/>
      <c r="Y3463" s="1295"/>
      <c r="Z3463" s="1296"/>
      <c r="AA3463" s="1295"/>
      <c r="AB3463" s="1296"/>
      <c r="AC3463" s="1295"/>
      <c r="AD3463" s="1295"/>
      <c r="AE3463" s="2556"/>
      <c r="AF3463" s="750"/>
      <c r="AG3463" s="750"/>
      <c r="AH3463" s="750"/>
      <c r="AI3463" s="750"/>
      <c r="AJ3463" s="750"/>
      <c r="AK3463" s="750"/>
      <c r="AL3463" s="750"/>
      <c r="AM3463" s="750"/>
      <c r="AN3463" s="750"/>
      <c r="AO3463" s="750"/>
      <c r="AP3463" s="750"/>
      <c r="AQ3463" s="750"/>
      <c r="AR3463" s="750"/>
      <c r="AS3463" s="750"/>
      <c r="AT3463" s="750"/>
      <c r="AU3463" s="750"/>
      <c r="AV3463" s="750"/>
      <c r="AW3463" s="750"/>
      <c r="AX3463" s="750"/>
      <c r="AY3463" s="750"/>
      <c r="AZ3463" s="750"/>
      <c r="BA3463" s="750"/>
      <c r="BB3463" s="750"/>
      <c r="BC3463" s="750"/>
      <c r="BD3463" s="750"/>
      <c r="BE3463" s="750"/>
      <c r="BF3463" s="750"/>
      <c r="BG3463" s="750"/>
      <c r="BH3463" s="750"/>
      <c r="BI3463" s="750"/>
      <c r="BJ3463" s="750"/>
      <c r="BK3463" s="750"/>
      <c r="BL3463" s="750"/>
      <c r="BM3463" s="750"/>
      <c r="BN3463" s="750"/>
      <c r="BO3463" s="750"/>
      <c r="BP3463" s="750"/>
      <c r="BQ3463" s="750"/>
    </row>
    <row r="3464" spans="3:69">
      <c r="C3464" s="853"/>
      <c r="D3464" s="853"/>
      <c r="E3464" s="853"/>
      <c r="F3464" s="853"/>
      <c r="G3464" s="853"/>
      <c r="H3464" s="853"/>
      <c r="I3464" s="848"/>
      <c r="J3464" s="848"/>
      <c r="K3464" s="1295"/>
      <c r="L3464" s="1295"/>
      <c r="M3464" s="1295"/>
      <c r="N3464" s="1295"/>
      <c r="O3464" s="1295"/>
      <c r="P3464" s="853"/>
      <c r="Q3464" s="1295"/>
      <c r="R3464" s="848"/>
      <c r="S3464" s="848"/>
      <c r="T3464" s="848"/>
      <c r="U3464" s="848"/>
      <c r="V3464" s="1296"/>
      <c r="W3464" s="848"/>
      <c r="X3464" s="848"/>
      <c r="Y3464" s="1295"/>
      <c r="Z3464" s="1296"/>
      <c r="AA3464" s="1295"/>
      <c r="AB3464" s="1296"/>
      <c r="AC3464" s="1295"/>
      <c r="AD3464" s="1295"/>
      <c r="AE3464" s="2556"/>
      <c r="AF3464" s="750"/>
      <c r="AG3464" s="750"/>
      <c r="AH3464" s="750"/>
      <c r="AI3464" s="750"/>
      <c r="AJ3464" s="750"/>
      <c r="AK3464" s="750"/>
      <c r="AL3464" s="750"/>
      <c r="AM3464" s="750"/>
      <c r="AN3464" s="750"/>
      <c r="AO3464" s="750"/>
      <c r="AP3464" s="750"/>
      <c r="AQ3464" s="750"/>
      <c r="AR3464" s="750"/>
      <c r="AS3464" s="750"/>
      <c r="AT3464" s="750"/>
      <c r="AU3464" s="750"/>
      <c r="AV3464" s="750"/>
      <c r="AW3464" s="750"/>
      <c r="AX3464" s="750"/>
      <c r="AY3464" s="750"/>
      <c r="AZ3464" s="750"/>
      <c r="BA3464" s="750"/>
      <c r="BB3464" s="750"/>
      <c r="BC3464" s="750"/>
      <c r="BD3464" s="750"/>
      <c r="BE3464" s="750"/>
      <c r="BF3464" s="750"/>
      <c r="BG3464" s="750"/>
      <c r="BH3464" s="750"/>
      <c r="BI3464" s="750"/>
      <c r="BJ3464" s="750"/>
      <c r="BK3464" s="750"/>
      <c r="BL3464" s="750"/>
      <c r="BM3464" s="750"/>
      <c r="BN3464" s="750"/>
      <c r="BO3464" s="750"/>
      <c r="BP3464" s="750"/>
      <c r="BQ3464" s="750"/>
    </row>
    <row r="3465" spans="3:69">
      <c r="C3465" s="853"/>
      <c r="D3465" s="853"/>
      <c r="E3465" s="853"/>
      <c r="F3465" s="853"/>
      <c r="G3465" s="853"/>
      <c r="H3465" s="853"/>
      <c r="I3465" s="848"/>
      <c r="J3465" s="848"/>
      <c r="K3465" s="1295"/>
      <c r="L3465" s="1295"/>
      <c r="M3465" s="1295"/>
      <c r="N3465" s="1295"/>
      <c r="O3465" s="1295"/>
      <c r="P3465" s="853"/>
      <c r="Q3465" s="1295"/>
      <c r="R3465" s="848"/>
      <c r="S3465" s="848"/>
      <c r="T3465" s="848"/>
      <c r="U3465" s="848"/>
      <c r="V3465" s="1296"/>
      <c r="W3465" s="848"/>
      <c r="X3465" s="848"/>
      <c r="Y3465" s="1295"/>
      <c r="Z3465" s="1296"/>
      <c r="AA3465" s="1295"/>
      <c r="AB3465" s="1296"/>
      <c r="AC3465" s="1295"/>
      <c r="AD3465" s="1295"/>
      <c r="AE3465" s="2556"/>
      <c r="AF3465" s="750"/>
      <c r="AG3465" s="750"/>
      <c r="AH3465" s="750"/>
      <c r="AI3465" s="750"/>
      <c r="AJ3465" s="750"/>
      <c r="AK3465" s="750"/>
      <c r="AL3465" s="750"/>
      <c r="AM3465" s="750"/>
      <c r="AN3465" s="750"/>
      <c r="AO3465" s="750"/>
      <c r="AP3465" s="750"/>
      <c r="AQ3465" s="750"/>
      <c r="AR3465" s="750"/>
      <c r="AS3465" s="750"/>
      <c r="AT3465" s="750"/>
      <c r="AU3465" s="750"/>
      <c r="AV3465" s="750"/>
      <c r="AW3465" s="750"/>
      <c r="AX3465" s="750"/>
      <c r="AY3465" s="750"/>
      <c r="AZ3465" s="750"/>
      <c r="BA3465" s="750"/>
      <c r="BB3465" s="750"/>
      <c r="BC3465" s="750"/>
      <c r="BD3465" s="750"/>
      <c r="BE3465" s="750"/>
      <c r="BF3465" s="750"/>
      <c r="BG3465" s="750"/>
      <c r="BH3465" s="750"/>
      <c r="BI3465" s="750"/>
      <c r="BJ3465" s="750"/>
      <c r="BK3465" s="750"/>
      <c r="BL3465" s="750"/>
      <c r="BM3465" s="750"/>
      <c r="BN3465" s="750"/>
      <c r="BO3465" s="750"/>
      <c r="BP3465" s="750"/>
      <c r="BQ3465" s="750"/>
    </row>
    <row r="3466" spans="3:69">
      <c r="C3466" s="853"/>
      <c r="D3466" s="853"/>
      <c r="E3466" s="853"/>
      <c r="F3466" s="853"/>
      <c r="G3466" s="853"/>
      <c r="H3466" s="853"/>
      <c r="I3466" s="848"/>
      <c r="J3466" s="848"/>
      <c r="K3466" s="1295"/>
      <c r="L3466" s="1295"/>
      <c r="M3466" s="1295"/>
      <c r="N3466" s="1295"/>
      <c r="O3466" s="1295"/>
      <c r="P3466" s="853"/>
      <c r="Q3466" s="1295"/>
      <c r="R3466" s="848"/>
      <c r="S3466" s="848"/>
      <c r="T3466" s="848"/>
      <c r="U3466" s="848"/>
      <c r="V3466" s="1296"/>
      <c r="W3466" s="848"/>
      <c r="X3466" s="848"/>
      <c r="Y3466" s="1295"/>
      <c r="Z3466" s="1296"/>
      <c r="AA3466" s="1295"/>
      <c r="AB3466" s="1296"/>
      <c r="AC3466" s="1295"/>
      <c r="AD3466" s="1295"/>
      <c r="AE3466" s="2556"/>
      <c r="AF3466" s="750"/>
      <c r="AG3466" s="750"/>
      <c r="AH3466" s="750"/>
      <c r="AI3466" s="750"/>
      <c r="AJ3466" s="750"/>
      <c r="AK3466" s="750"/>
      <c r="AL3466" s="750"/>
      <c r="AM3466" s="750"/>
      <c r="AN3466" s="750"/>
      <c r="AO3466" s="750"/>
      <c r="AP3466" s="750"/>
      <c r="AQ3466" s="750"/>
      <c r="AR3466" s="750"/>
      <c r="AS3466" s="750"/>
      <c r="AT3466" s="750"/>
      <c r="AU3466" s="750"/>
      <c r="AV3466" s="750"/>
      <c r="AW3466" s="750"/>
      <c r="AX3466" s="750"/>
      <c r="AY3466" s="750"/>
      <c r="AZ3466" s="750"/>
      <c r="BA3466" s="750"/>
      <c r="BB3466" s="750"/>
      <c r="BC3466" s="750"/>
      <c r="BD3466" s="750"/>
      <c r="BE3466" s="750"/>
      <c r="BF3466" s="750"/>
      <c r="BG3466" s="750"/>
      <c r="BH3466" s="750"/>
      <c r="BI3466" s="750"/>
      <c r="BJ3466" s="750"/>
      <c r="BK3466" s="750"/>
      <c r="BL3466" s="750"/>
      <c r="BM3466" s="750"/>
      <c r="BN3466" s="750"/>
      <c r="BO3466" s="750"/>
      <c r="BP3466" s="750"/>
      <c r="BQ3466" s="750"/>
    </row>
    <row r="3467" spans="3:69">
      <c r="C3467" s="853"/>
      <c r="D3467" s="853"/>
      <c r="E3467" s="853"/>
      <c r="F3467" s="853"/>
      <c r="G3467" s="853"/>
      <c r="H3467" s="853"/>
      <c r="I3467" s="848"/>
      <c r="J3467" s="848"/>
      <c r="K3467" s="1295"/>
      <c r="L3467" s="1295"/>
      <c r="M3467" s="1295"/>
      <c r="N3467" s="1295"/>
      <c r="O3467" s="1295"/>
      <c r="P3467" s="853"/>
      <c r="Q3467" s="1295"/>
      <c r="R3467" s="848"/>
      <c r="S3467" s="848"/>
      <c r="T3467" s="848"/>
      <c r="U3467" s="848"/>
      <c r="V3467" s="1296"/>
      <c r="W3467" s="848"/>
      <c r="X3467" s="848"/>
      <c r="Y3467" s="1295"/>
      <c r="Z3467" s="1296"/>
      <c r="AA3467" s="1295"/>
      <c r="AB3467" s="1296"/>
      <c r="AC3467" s="1295"/>
      <c r="AD3467" s="1295"/>
      <c r="AE3467" s="2556"/>
      <c r="AF3467" s="750"/>
      <c r="AG3467" s="750"/>
      <c r="AH3467" s="750"/>
      <c r="AI3467" s="750"/>
      <c r="AJ3467" s="750"/>
      <c r="AK3467" s="750"/>
      <c r="AL3467" s="750"/>
      <c r="AM3467" s="750"/>
      <c r="AN3467" s="750"/>
      <c r="AO3467" s="750"/>
      <c r="AP3467" s="750"/>
      <c r="AQ3467" s="750"/>
      <c r="AR3467" s="750"/>
      <c r="AS3467" s="750"/>
      <c r="AT3467" s="750"/>
      <c r="AU3467" s="750"/>
      <c r="AV3467" s="750"/>
      <c r="AW3467" s="750"/>
      <c r="AX3467" s="750"/>
      <c r="AY3467" s="750"/>
      <c r="AZ3467" s="750"/>
      <c r="BA3467" s="750"/>
      <c r="BB3467" s="750"/>
      <c r="BC3467" s="750"/>
      <c r="BD3467" s="750"/>
      <c r="BE3467" s="750"/>
      <c r="BF3467" s="750"/>
      <c r="BG3467" s="750"/>
      <c r="BH3467" s="750"/>
      <c r="BI3467" s="750"/>
      <c r="BJ3467" s="750"/>
      <c r="BK3467" s="750"/>
      <c r="BL3467" s="750"/>
      <c r="BM3467" s="750"/>
      <c r="BN3467" s="750"/>
      <c r="BO3467" s="750"/>
      <c r="BP3467" s="750"/>
      <c r="BQ3467" s="750"/>
    </row>
    <row r="3468" spans="3:69">
      <c r="C3468" s="853"/>
      <c r="D3468" s="853"/>
      <c r="E3468" s="853"/>
      <c r="F3468" s="853"/>
      <c r="G3468" s="853"/>
      <c r="H3468" s="853"/>
      <c r="I3468" s="848"/>
      <c r="J3468" s="848"/>
      <c r="K3468" s="1295"/>
      <c r="L3468" s="1295"/>
      <c r="M3468" s="1295"/>
      <c r="N3468" s="1295"/>
      <c r="O3468" s="1295"/>
      <c r="P3468" s="853"/>
      <c r="Q3468" s="1295"/>
      <c r="R3468" s="848"/>
      <c r="S3468" s="848"/>
      <c r="T3468" s="848"/>
      <c r="U3468" s="848"/>
      <c r="V3468" s="1296"/>
      <c r="W3468" s="848"/>
      <c r="X3468" s="848"/>
      <c r="Y3468" s="1295"/>
      <c r="Z3468" s="1296"/>
      <c r="AA3468" s="1295"/>
      <c r="AB3468" s="1296"/>
      <c r="AC3468" s="1295"/>
      <c r="AD3468" s="1295"/>
      <c r="AE3468" s="2556"/>
      <c r="AF3468" s="750"/>
      <c r="AG3468" s="750"/>
      <c r="AH3468" s="750"/>
      <c r="AI3468" s="750"/>
      <c r="AJ3468" s="750"/>
      <c r="AK3468" s="750"/>
      <c r="AL3468" s="750"/>
      <c r="AM3468" s="750"/>
      <c r="AN3468" s="750"/>
      <c r="AO3468" s="750"/>
      <c r="AP3468" s="750"/>
      <c r="AQ3468" s="750"/>
      <c r="AR3468" s="750"/>
      <c r="AS3468" s="750"/>
      <c r="AT3468" s="750"/>
      <c r="AU3468" s="750"/>
      <c r="AV3468" s="750"/>
      <c r="AW3468" s="750"/>
      <c r="AX3468" s="750"/>
      <c r="AY3468" s="750"/>
      <c r="AZ3468" s="750"/>
      <c r="BA3468" s="750"/>
      <c r="BB3468" s="750"/>
      <c r="BC3468" s="750"/>
      <c r="BD3468" s="750"/>
      <c r="BE3468" s="750"/>
      <c r="BF3468" s="750"/>
      <c r="BG3468" s="750"/>
      <c r="BH3468" s="750"/>
      <c r="BI3468" s="750"/>
      <c r="BJ3468" s="750"/>
      <c r="BK3468" s="750"/>
      <c r="BL3468" s="750"/>
      <c r="BM3468" s="750"/>
      <c r="BN3468" s="750"/>
      <c r="BO3468" s="750"/>
      <c r="BP3468" s="750"/>
      <c r="BQ3468" s="750"/>
    </row>
    <row r="3469" spans="3:69">
      <c r="C3469" s="853"/>
      <c r="D3469" s="853"/>
      <c r="E3469" s="853"/>
      <c r="F3469" s="853"/>
      <c r="G3469" s="853"/>
      <c r="H3469" s="853"/>
      <c r="I3469" s="848"/>
      <c r="J3469" s="848"/>
      <c r="K3469" s="1295"/>
      <c r="L3469" s="1295"/>
      <c r="M3469" s="1295"/>
      <c r="N3469" s="1295"/>
      <c r="O3469" s="1295"/>
      <c r="P3469" s="853"/>
      <c r="Q3469" s="1295"/>
      <c r="R3469" s="848"/>
      <c r="S3469" s="848"/>
      <c r="T3469" s="848"/>
      <c r="U3469" s="848"/>
      <c r="V3469" s="1296"/>
      <c r="W3469" s="848"/>
      <c r="X3469" s="848"/>
      <c r="Y3469" s="1295"/>
      <c r="Z3469" s="1296"/>
      <c r="AA3469" s="1295"/>
      <c r="AB3469" s="1296"/>
      <c r="AC3469" s="1295"/>
      <c r="AD3469" s="1295"/>
      <c r="AE3469" s="2556"/>
      <c r="AF3469" s="750"/>
      <c r="AG3469" s="750"/>
      <c r="AH3469" s="750"/>
      <c r="AI3469" s="750"/>
      <c r="AJ3469" s="750"/>
      <c r="AK3469" s="750"/>
      <c r="AL3469" s="750"/>
      <c r="AM3469" s="750"/>
      <c r="AN3469" s="750"/>
      <c r="AO3469" s="750"/>
      <c r="AP3469" s="750"/>
      <c r="AQ3469" s="750"/>
      <c r="AR3469" s="750"/>
      <c r="AS3469" s="750"/>
      <c r="AT3469" s="750"/>
      <c r="AU3469" s="750"/>
      <c r="AV3469" s="750"/>
      <c r="AW3469" s="750"/>
      <c r="AX3469" s="750"/>
      <c r="AY3469" s="750"/>
      <c r="AZ3469" s="750"/>
      <c r="BA3469" s="750"/>
      <c r="BB3469" s="750"/>
      <c r="BC3469" s="750"/>
      <c r="BD3469" s="750"/>
      <c r="BE3469" s="750"/>
      <c r="BF3469" s="750"/>
      <c r="BG3469" s="750"/>
      <c r="BH3469" s="750"/>
      <c r="BI3469" s="750"/>
      <c r="BJ3469" s="750"/>
      <c r="BK3469" s="750"/>
      <c r="BL3469" s="750"/>
      <c r="BM3469" s="750"/>
      <c r="BN3469" s="750"/>
      <c r="BO3469" s="750"/>
      <c r="BP3469" s="750"/>
      <c r="BQ3469" s="750"/>
    </row>
    <row r="3470" spans="3:69">
      <c r="C3470" s="853"/>
      <c r="D3470" s="853"/>
      <c r="E3470" s="853"/>
      <c r="F3470" s="853"/>
      <c r="G3470" s="853"/>
      <c r="H3470" s="853"/>
      <c r="I3470" s="848"/>
      <c r="J3470" s="848"/>
      <c r="K3470" s="1295"/>
      <c r="L3470" s="1295"/>
      <c r="M3470" s="1295"/>
      <c r="N3470" s="1295"/>
      <c r="O3470" s="1295"/>
      <c r="P3470" s="853"/>
      <c r="Q3470" s="1295"/>
      <c r="R3470" s="848"/>
      <c r="S3470" s="848"/>
      <c r="T3470" s="848"/>
      <c r="U3470" s="848"/>
      <c r="V3470" s="1296"/>
      <c r="W3470" s="848"/>
      <c r="X3470" s="848"/>
      <c r="Y3470" s="1295"/>
      <c r="Z3470" s="1296"/>
      <c r="AA3470" s="1295"/>
      <c r="AB3470" s="1296"/>
      <c r="AC3470" s="1295"/>
      <c r="AD3470" s="1295"/>
      <c r="AE3470" s="2556"/>
      <c r="AF3470" s="750"/>
      <c r="AG3470" s="750"/>
      <c r="AH3470" s="750"/>
      <c r="AI3470" s="750"/>
      <c r="AJ3470" s="750"/>
      <c r="AK3470" s="750"/>
      <c r="AL3470" s="750"/>
      <c r="AM3470" s="750"/>
      <c r="AN3470" s="750"/>
      <c r="AO3470" s="750"/>
      <c r="AP3470" s="750"/>
      <c r="AQ3470" s="750"/>
      <c r="AR3470" s="750"/>
      <c r="AS3470" s="750"/>
      <c r="AT3470" s="750"/>
      <c r="AU3470" s="750"/>
      <c r="AV3470" s="750"/>
      <c r="AW3470" s="750"/>
      <c r="AX3470" s="750"/>
      <c r="AY3470" s="750"/>
      <c r="AZ3470" s="750"/>
      <c r="BA3470" s="750"/>
      <c r="BB3470" s="750"/>
      <c r="BC3470" s="750"/>
      <c r="BD3470" s="750"/>
      <c r="BE3470" s="750"/>
      <c r="BF3470" s="750"/>
      <c r="BG3470" s="750"/>
      <c r="BH3470" s="750"/>
      <c r="BI3470" s="750"/>
      <c r="BJ3470" s="750"/>
      <c r="BK3470" s="750"/>
      <c r="BL3470" s="750"/>
      <c r="BM3470" s="750"/>
      <c r="BN3470" s="750"/>
      <c r="BO3470" s="750"/>
      <c r="BP3470" s="750"/>
      <c r="BQ3470" s="750"/>
    </row>
    <row r="3471" spans="3:69">
      <c r="C3471" s="853"/>
      <c r="D3471" s="853"/>
      <c r="E3471" s="853"/>
      <c r="F3471" s="853"/>
      <c r="G3471" s="853"/>
      <c r="H3471" s="853"/>
      <c r="I3471" s="848"/>
      <c r="J3471" s="848"/>
      <c r="K3471" s="1295"/>
      <c r="L3471" s="1295"/>
      <c r="M3471" s="1295"/>
      <c r="N3471" s="1295"/>
      <c r="O3471" s="1295"/>
      <c r="P3471" s="853"/>
      <c r="Q3471" s="1295"/>
      <c r="R3471" s="848"/>
      <c r="S3471" s="848"/>
      <c r="T3471" s="848"/>
      <c r="U3471" s="848"/>
      <c r="V3471" s="1296"/>
      <c r="W3471" s="848"/>
      <c r="X3471" s="848"/>
      <c r="Y3471" s="1295"/>
      <c r="Z3471" s="1296"/>
      <c r="AA3471" s="1295"/>
      <c r="AB3471" s="1296"/>
      <c r="AC3471" s="1295"/>
      <c r="AD3471" s="1295"/>
      <c r="AE3471" s="2556"/>
      <c r="AF3471" s="750"/>
      <c r="AG3471" s="750"/>
      <c r="AH3471" s="750"/>
      <c r="AI3471" s="750"/>
      <c r="AJ3471" s="750"/>
      <c r="AK3471" s="750"/>
      <c r="AL3471" s="750"/>
      <c r="AM3471" s="750"/>
      <c r="AN3471" s="750"/>
      <c r="AO3471" s="750"/>
      <c r="AP3471" s="750"/>
      <c r="AQ3471" s="750"/>
      <c r="AR3471" s="750"/>
      <c r="AS3471" s="750"/>
      <c r="AT3471" s="750"/>
      <c r="AU3471" s="750"/>
      <c r="AV3471" s="750"/>
      <c r="AW3471" s="750"/>
      <c r="AX3471" s="750"/>
      <c r="AY3471" s="750"/>
      <c r="AZ3471" s="750"/>
      <c r="BA3471" s="750"/>
      <c r="BB3471" s="750"/>
      <c r="BC3471" s="750"/>
      <c r="BD3471" s="750"/>
      <c r="BE3471" s="750"/>
      <c r="BF3471" s="750"/>
      <c r="BG3471" s="750"/>
      <c r="BH3471" s="750"/>
      <c r="BI3471" s="750"/>
      <c r="BJ3471" s="750"/>
      <c r="BK3471" s="750"/>
      <c r="BL3471" s="750"/>
      <c r="BM3471" s="750"/>
      <c r="BN3471" s="750"/>
      <c r="BO3471" s="750"/>
      <c r="BP3471" s="750"/>
      <c r="BQ3471" s="750"/>
    </row>
    <row r="3472" spans="3:69">
      <c r="C3472" s="853"/>
      <c r="D3472" s="853"/>
      <c r="E3472" s="853"/>
      <c r="F3472" s="853"/>
      <c r="G3472" s="853"/>
      <c r="H3472" s="853"/>
      <c r="I3472" s="848"/>
      <c r="J3472" s="848"/>
      <c r="K3472" s="1295"/>
      <c r="L3472" s="1295"/>
      <c r="M3472" s="1295"/>
      <c r="N3472" s="1295"/>
      <c r="O3472" s="1295"/>
      <c r="P3472" s="853"/>
      <c r="Q3472" s="1295"/>
      <c r="R3472" s="848"/>
      <c r="S3472" s="848"/>
      <c r="T3472" s="848"/>
      <c r="U3472" s="848"/>
      <c r="V3472" s="1296"/>
      <c r="W3472" s="848"/>
      <c r="X3472" s="848"/>
      <c r="Y3472" s="1295"/>
      <c r="Z3472" s="1296"/>
      <c r="AA3472" s="1295"/>
      <c r="AB3472" s="1296"/>
      <c r="AC3472" s="1295"/>
      <c r="AD3472" s="1295"/>
      <c r="AE3472" s="2556"/>
      <c r="AF3472" s="750"/>
      <c r="AG3472" s="750"/>
      <c r="AH3472" s="750"/>
      <c r="AI3472" s="750"/>
      <c r="AJ3472" s="750"/>
      <c r="AK3472" s="750"/>
      <c r="AL3472" s="750"/>
      <c r="AM3472" s="750"/>
      <c r="AN3472" s="750"/>
      <c r="AO3472" s="750"/>
      <c r="AP3472" s="750"/>
      <c r="AQ3472" s="750"/>
      <c r="AR3472" s="750"/>
      <c r="AS3472" s="750"/>
      <c r="AT3472" s="750"/>
      <c r="AU3472" s="750"/>
      <c r="AV3472" s="750"/>
      <c r="AW3472" s="750"/>
      <c r="AX3472" s="750"/>
      <c r="AY3472" s="750"/>
      <c r="AZ3472" s="750"/>
      <c r="BA3472" s="750"/>
      <c r="BB3472" s="750"/>
      <c r="BC3472" s="750"/>
      <c r="BD3472" s="750"/>
      <c r="BE3472" s="750"/>
      <c r="BF3472" s="750"/>
      <c r="BG3472" s="750"/>
      <c r="BH3472" s="750"/>
      <c r="BI3472" s="750"/>
      <c r="BJ3472" s="750"/>
      <c r="BK3472" s="750"/>
      <c r="BL3472" s="750"/>
      <c r="BM3472" s="750"/>
      <c r="BN3472" s="750"/>
      <c r="BO3472" s="750"/>
      <c r="BP3472" s="750"/>
      <c r="BQ3472" s="750"/>
    </row>
    <row r="3473" spans="3:69">
      <c r="C3473" s="853"/>
      <c r="D3473" s="853"/>
      <c r="E3473" s="853"/>
      <c r="F3473" s="853"/>
      <c r="G3473" s="853"/>
      <c r="H3473" s="853"/>
      <c r="I3473" s="848"/>
      <c r="J3473" s="848"/>
      <c r="K3473" s="1295"/>
      <c r="L3473" s="1295"/>
      <c r="M3473" s="1295"/>
      <c r="N3473" s="1295"/>
      <c r="O3473" s="1295"/>
      <c r="P3473" s="853"/>
      <c r="Q3473" s="1295"/>
      <c r="R3473" s="848"/>
      <c r="S3473" s="848"/>
      <c r="T3473" s="848"/>
      <c r="U3473" s="848"/>
      <c r="V3473" s="1296"/>
      <c r="W3473" s="848"/>
      <c r="X3473" s="848"/>
      <c r="Y3473" s="1295"/>
      <c r="Z3473" s="1296"/>
      <c r="AA3473" s="1295"/>
      <c r="AB3473" s="1296"/>
      <c r="AC3473" s="1295"/>
      <c r="AD3473" s="1295"/>
      <c r="AE3473" s="2556"/>
      <c r="AF3473" s="750"/>
      <c r="AG3473" s="750"/>
      <c r="AH3473" s="750"/>
      <c r="AI3473" s="750"/>
      <c r="AJ3473" s="750"/>
      <c r="AK3473" s="750"/>
      <c r="AL3473" s="750"/>
      <c r="AM3473" s="750"/>
      <c r="AN3473" s="750"/>
      <c r="AO3473" s="750"/>
      <c r="AP3473" s="750"/>
      <c r="AQ3473" s="750"/>
      <c r="AR3473" s="750"/>
      <c r="AS3473" s="750"/>
      <c r="AT3473" s="750"/>
      <c r="AU3473" s="750"/>
      <c r="AV3473" s="750"/>
      <c r="AW3473" s="750"/>
      <c r="AX3473" s="750"/>
      <c r="AY3473" s="750"/>
      <c r="AZ3473" s="750"/>
      <c r="BA3473" s="750"/>
      <c r="BB3473" s="750"/>
      <c r="BC3473" s="750"/>
      <c r="BD3473" s="750"/>
      <c r="BE3473" s="750"/>
      <c r="BF3473" s="750"/>
      <c r="BG3473" s="750"/>
      <c r="BH3473" s="750"/>
      <c r="BI3473" s="750"/>
      <c r="BJ3473" s="750"/>
      <c r="BK3473" s="750"/>
      <c r="BL3473" s="750"/>
      <c r="BM3473" s="750"/>
      <c r="BN3473" s="750"/>
      <c r="BO3473" s="750"/>
      <c r="BP3473" s="750"/>
      <c r="BQ3473" s="750"/>
    </row>
    <row r="3474" spans="3:69">
      <c r="C3474" s="853"/>
      <c r="D3474" s="853"/>
      <c r="E3474" s="853"/>
      <c r="F3474" s="853"/>
      <c r="G3474" s="853"/>
      <c r="H3474" s="853"/>
      <c r="I3474" s="848"/>
      <c r="J3474" s="848"/>
      <c r="K3474" s="1295"/>
      <c r="L3474" s="1295"/>
      <c r="M3474" s="1295"/>
      <c r="N3474" s="1295"/>
      <c r="O3474" s="1295"/>
      <c r="P3474" s="853"/>
      <c r="Q3474" s="1295"/>
      <c r="R3474" s="848"/>
      <c r="S3474" s="848"/>
      <c r="T3474" s="848"/>
      <c r="U3474" s="848"/>
      <c r="V3474" s="1296"/>
      <c r="W3474" s="848"/>
      <c r="X3474" s="848"/>
      <c r="Y3474" s="1295"/>
      <c r="Z3474" s="1296"/>
      <c r="AA3474" s="1295"/>
      <c r="AB3474" s="1296"/>
      <c r="AC3474" s="1295"/>
      <c r="AD3474" s="1295"/>
      <c r="AE3474" s="2556"/>
      <c r="AF3474" s="750"/>
      <c r="AG3474" s="750"/>
      <c r="AH3474" s="750"/>
      <c r="AI3474" s="750"/>
      <c r="AJ3474" s="750"/>
      <c r="AK3474" s="750"/>
      <c r="AL3474" s="750"/>
      <c r="AM3474" s="750"/>
      <c r="AN3474" s="750"/>
      <c r="AO3474" s="750"/>
      <c r="AP3474" s="750"/>
      <c r="AQ3474" s="750"/>
      <c r="AR3474" s="750"/>
      <c r="AS3474" s="750"/>
      <c r="AT3474" s="750"/>
      <c r="AU3474" s="750"/>
      <c r="AV3474" s="750"/>
      <c r="AW3474" s="750"/>
      <c r="AX3474" s="750"/>
      <c r="AY3474" s="750"/>
      <c r="AZ3474" s="750"/>
      <c r="BA3474" s="750"/>
      <c r="BB3474" s="750"/>
      <c r="BC3474" s="750"/>
      <c r="BD3474" s="750"/>
      <c r="BE3474" s="750"/>
      <c r="BF3474" s="750"/>
      <c r="BG3474" s="750"/>
      <c r="BH3474" s="750"/>
      <c r="BI3474" s="750"/>
      <c r="BJ3474" s="750"/>
      <c r="BK3474" s="750"/>
      <c r="BL3474" s="750"/>
      <c r="BM3474" s="750"/>
      <c r="BN3474" s="750"/>
      <c r="BO3474" s="750"/>
      <c r="BP3474" s="750"/>
      <c r="BQ3474" s="750"/>
    </row>
    <row r="3475" spans="3:69">
      <c r="C3475" s="853"/>
      <c r="D3475" s="853"/>
      <c r="E3475" s="853"/>
      <c r="F3475" s="853"/>
      <c r="G3475" s="853"/>
      <c r="H3475" s="853"/>
      <c r="I3475" s="848"/>
      <c r="J3475" s="848"/>
      <c r="K3475" s="1295"/>
      <c r="L3475" s="1295"/>
      <c r="M3475" s="1295"/>
      <c r="N3475" s="1295"/>
      <c r="O3475" s="1295"/>
      <c r="P3475" s="853"/>
      <c r="Q3475" s="1295"/>
      <c r="R3475" s="848"/>
      <c r="S3475" s="848"/>
      <c r="T3475" s="848"/>
      <c r="U3475" s="848"/>
      <c r="V3475" s="1296"/>
      <c r="W3475" s="848"/>
      <c r="X3475" s="848"/>
      <c r="Y3475" s="1295"/>
      <c r="Z3475" s="1296"/>
      <c r="AA3475" s="1295"/>
      <c r="AB3475" s="1296"/>
      <c r="AC3475" s="1295"/>
      <c r="AD3475" s="1295"/>
      <c r="AE3475" s="2556"/>
      <c r="AF3475" s="750"/>
      <c r="AG3475" s="750"/>
      <c r="AH3475" s="750"/>
      <c r="AI3475" s="750"/>
      <c r="AJ3475" s="750"/>
      <c r="AK3475" s="750"/>
      <c r="AL3475" s="750"/>
      <c r="AM3475" s="750"/>
      <c r="AN3475" s="750"/>
      <c r="AO3475" s="750"/>
      <c r="AP3475" s="750"/>
      <c r="AQ3475" s="750"/>
      <c r="AR3475" s="750"/>
      <c r="AS3475" s="750"/>
      <c r="AT3475" s="750"/>
      <c r="AU3475" s="750"/>
      <c r="AV3475" s="750"/>
      <c r="AW3475" s="750"/>
      <c r="AX3475" s="750"/>
      <c r="AY3475" s="750"/>
      <c r="AZ3475" s="750"/>
      <c r="BA3475" s="750"/>
      <c r="BB3475" s="750"/>
      <c r="BC3475" s="750"/>
      <c r="BD3475" s="750"/>
      <c r="BE3475" s="750"/>
      <c r="BF3475" s="750"/>
      <c r="BG3475" s="750"/>
      <c r="BH3475" s="750"/>
      <c r="BI3475" s="750"/>
      <c r="BJ3475" s="750"/>
      <c r="BK3475" s="750"/>
      <c r="BL3475" s="750"/>
      <c r="BM3475" s="750"/>
      <c r="BN3475" s="750"/>
      <c r="BO3475" s="750"/>
      <c r="BP3475" s="750"/>
      <c r="BQ3475" s="750"/>
    </row>
    <row r="3476" spans="3:69">
      <c r="C3476" s="853"/>
      <c r="D3476" s="853"/>
      <c r="E3476" s="853"/>
      <c r="F3476" s="853"/>
      <c r="G3476" s="853"/>
      <c r="H3476" s="853"/>
      <c r="I3476" s="848"/>
      <c r="J3476" s="848"/>
      <c r="K3476" s="1295"/>
      <c r="L3476" s="1295"/>
      <c r="M3476" s="1295"/>
      <c r="N3476" s="1295"/>
      <c r="O3476" s="1295"/>
      <c r="P3476" s="853"/>
      <c r="Q3476" s="1295"/>
      <c r="R3476" s="848"/>
      <c r="S3476" s="848"/>
      <c r="T3476" s="848"/>
      <c r="U3476" s="848"/>
      <c r="V3476" s="1296"/>
      <c r="W3476" s="848"/>
      <c r="X3476" s="848"/>
      <c r="Y3476" s="1295"/>
      <c r="Z3476" s="1296"/>
      <c r="AA3476" s="1295"/>
      <c r="AB3476" s="1296"/>
      <c r="AC3476" s="1295"/>
      <c r="AD3476" s="1295"/>
      <c r="AE3476" s="2556"/>
      <c r="AF3476" s="750"/>
      <c r="AG3476" s="750"/>
      <c r="AH3476" s="750"/>
      <c r="AI3476" s="750"/>
      <c r="AJ3476" s="750"/>
      <c r="AK3476" s="750"/>
      <c r="AL3476" s="750"/>
      <c r="AM3476" s="750"/>
      <c r="AN3476" s="750"/>
      <c r="AO3476" s="750"/>
      <c r="AP3476" s="750"/>
      <c r="AQ3476" s="750"/>
      <c r="AR3476" s="750"/>
      <c r="AS3476" s="750"/>
      <c r="AT3476" s="750"/>
      <c r="AU3476" s="750"/>
      <c r="AV3476" s="750"/>
      <c r="AW3476" s="750"/>
      <c r="AX3476" s="750"/>
      <c r="AY3476" s="750"/>
      <c r="AZ3476" s="750"/>
      <c r="BA3476" s="750"/>
      <c r="BB3476" s="750"/>
      <c r="BC3476" s="750"/>
      <c r="BD3476" s="750"/>
      <c r="BE3476" s="750"/>
      <c r="BF3476" s="750"/>
      <c r="BG3476" s="750"/>
      <c r="BH3476" s="750"/>
      <c r="BI3476" s="750"/>
      <c r="BJ3476" s="750"/>
      <c r="BK3476" s="750"/>
      <c r="BL3476" s="750"/>
      <c r="BM3476" s="750"/>
      <c r="BN3476" s="750"/>
      <c r="BO3476" s="750"/>
      <c r="BP3476" s="750"/>
      <c r="BQ3476" s="750"/>
    </row>
    <row r="3477" spans="3:69">
      <c r="C3477" s="853"/>
      <c r="D3477" s="853"/>
      <c r="E3477" s="853"/>
      <c r="F3477" s="853"/>
      <c r="G3477" s="853"/>
      <c r="H3477" s="853"/>
      <c r="I3477" s="848"/>
      <c r="J3477" s="848"/>
      <c r="K3477" s="1295"/>
      <c r="L3477" s="1295"/>
      <c r="M3477" s="1295"/>
      <c r="N3477" s="1295"/>
      <c r="O3477" s="1295"/>
      <c r="P3477" s="853"/>
      <c r="Q3477" s="1295"/>
      <c r="R3477" s="848"/>
      <c r="S3477" s="848"/>
      <c r="T3477" s="848"/>
      <c r="U3477" s="848"/>
      <c r="V3477" s="1296"/>
      <c r="W3477" s="848"/>
      <c r="X3477" s="848"/>
      <c r="Y3477" s="1295"/>
      <c r="Z3477" s="1296"/>
      <c r="AA3477" s="1295"/>
      <c r="AB3477" s="1296"/>
      <c r="AC3477" s="1295"/>
      <c r="AD3477" s="1295"/>
      <c r="AE3477" s="2556"/>
      <c r="AF3477" s="750"/>
      <c r="AG3477" s="750"/>
      <c r="AH3477" s="750"/>
      <c r="AI3477" s="750"/>
      <c r="AJ3477" s="750"/>
      <c r="AK3477" s="750"/>
      <c r="AL3477" s="750"/>
      <c r="AM3477" s="750"/>
      <c r="AN3477" s="750"/>
      <c r="AO3477" s="750"/>
      <c r="AP3477" s="750"/>
      <c r="AQ3477" s="750"/>
      <c r="AR3477" s="750"/>
      <c r="AS3477" s="750"/>
      <c r="AT3477" s="750"/>
      <c r="AU3477" s="750"/>
      <c r="AV3477" s="750"/>
      <c r="AW3477" s="750"/>
      <c r="AX3477" s="750"/>
      <c r="AY3477" s="750"/>
      <c r="AZ3477" s="750"/>
      <c r="BA3477" s="750"/>
      <c r="BB3477" s="750"/>
      <c r="BC3477" s="750"/>
      <c r="BD3477" s="750"/>
      <c r="BE3477" s="750"/>
      <c r="BF3477" s="750"/>
      <c r="BG3477" s="750"/>
      <c r="BH3477" s="750"/>
      <c r="BI3477" s="750"/>
      <c r="BJ3477" s="750"/>
      <c r="BK3477" s="750"/>
      <c r="BL3477" s="750"/>
      <c r="BM3477" s="750"/>
      <c r="BN3477" s="750"/>
      <c r="BO3477" s="750"/>
      <c r="BP3477" s="750"/>
      <c r="BQ3477" s="750"/>
    </row>
    <row r="3478" spans="3:69">
      <c r="C3478" s="853"/>
      <c r="D3478" s="853"/>
      <c r="E3478" s="853"/>
      <c r="F3478" s="853"/>
      <c r="G3478" s="853"/>
      <c r="H3478" s="853"/>
      <c r="I3478" s="848"/>
      <c r="J3478" s="848"/>
      <c r="K3478" s="1295"/>
      <c r="L3478" s="1295"/>
      <c r="M3478" s="1295"/>
      <c r="N3478" s="1295"/>
      <c r="O3478" s="1295"/>
      <c r="P3478" s="853"/>
      <c r="Q3478" s="1295"/>
      <c r="R3478" s="848"/>
      <c r="S3478" s="848"/>
      <c r="T3478" s="848"/>
      <c r="U3478" s="848"/>
      <c r="V3478" s="1296"/>
      <c r="W3478" s="848"/>
      <c r="X3478" s="848"/>
      <c r="Y3478" s="1295"/>
      <c r="Z3478" s="1296"/>
      <c r="AA3478" s="1295"/>
      <c r="AB3478" s="1296"/>
      <c r="AC3478" s="1295"/>
      <c r="AD3478" s="1295"/>
      <c r="AE3478" s="2556"/>
      <c r="AF3478" s="750"/>
      <c r="AG3478" s="750"/>
      <c r="AH3478" s="750"/>
      <c r="AI3478" s="750"/>
      <c r="AJ3478" s="750"/>
      <c r="AK3478" s="750"/>
      <c r="AL3478" s="750"/>
      <c r="AM3478" s="750"/>
      <c r="AN3478" s="750"/>
      <c r="AO3478" s="750"/>
      <c r="AP3478" s="750"/>
      <c r="AQ3478" s="750"/>
      <c r="AR3478" s="750"/>
      <c r="AS3478" s="750"/>
      <c r="AT3478" s="750"/>
      <c r="AU3478" s="750"/>
      <c r="AV3478" s="750"/>
      <c r="AW3478" s="750"/>
      <c r="AX3478" s="750"/>
      <c r="AY3478" s="750"/>
      <c r="AZ3478" s="750"/>
      <c r="BA3478" s="750"/>
      <c r="BB3478" s="750"/>
      <c r="BC3478" s="750"/>
      <c r="BD3478" s="750"/>
      <c r="BE3478" s="750"/>
      <c r="BF3478" s="750"/>
      <c r="BG3478" s="750"/>
      <c r="BH3478" s="750"/>
      <c r="BI3478" s="750"/>
      <c r="BJ3478" s="750"/>
      <c r="BK3478" s="750"/>
      <c r="BL3478" s="750"/>
      <c r="BM3478" s="750"/>
      <c r="BN3478" s="750"/>
      <c r="BO3478" s="750"/>
      <c r="BP3478" s="750"/>
      <c r="BQ3478" s="750"/>
    </row>
    <row r="3479" spans="3:69">
      <c r="C3479" s="853"/>
      <c r="D3479" s="853"/>
      <c r="E3479" s="853"/>
      <c r="F3479" s="853"/>
      <c r="G3479" s="853"/>
      <c r="H3479" s="853"/>
      <c r="I3479" s="848"/>
      <c r="J3479" s="848"/>
      <c r="K3479" s="1295"/>
      <c r="L3479" s="1295"/>
      <c r="M3479" s="1295"/>
      <c r="N3479" s="1295"/>
      <c r="O3479" s="1295"/>
      <c r="P3479" s="853"/>
      <c r="Q3479" s="1295"/>
      <c r="R3479" s="848"/>
      <c r="S3479" s="848"/>
      <c r="T3479" s="848"/>
      <c r="U3479" s="848"/>
      <c r="V3479" s="1296"/>
      <c r="W3479" s="848"/>
      <c r="X3479" s="848"/>
      <c r="Y3479" s="1295"/>
      <c r="Z3479" s="1296"/>
      <c r="AA3479" s="1295"/>
      <c r="AB3479" s="1296"/>
      <c r="AC3479" s="1295"/>
      <c r="AD3479" s="1295"/>
      <c r="AE3479" s="2556"/>
      <c r="AF3479" s="750"/>
      <c r="AG3479" s="750"/>
      <c r="AH3479" s="750"/>
      <c r="AI3479" s="750"/>
      <c r="AJ3479" s="750"/>
      <c r="AK3479" s="750"/>
      <c r="AL3479" s="750"/>
      <c r="AM3479" s="750"/>
      <c r="AN3479" s="750"/>
      <c r="AO3479" s="750"/>
      <c r="AP3479" s="750"/>
      <c r="AQ3479" s="750"/>
      <c r="AR3479" s="750"/>
      <c r="AS3479" s="750"/>
      <c r="AT3479" s="750"/>
      <c r="AU3479" s="750"/>
      <c r="AV3479" s="750"/>
      <c r="AW3479" s="750"/>
      <c r="AX3479" s="750"/>
      <c r="AY3479" s="750"/>
      <c r="AZ3479" s="750"/>
      <c r="BA3479" s="750"/>
      <c r="BB3479" s="750"/>
      <c r="BC3479" s="750"/>
      <c r="BD3479" s="750"/>
      <c r="BE3479" s="750"/>
      <c r="BF3479" s="750"/>
      <c r="BG3479" s="750"/>
      <c r="BH3479" s="750"/>
      <c r="BI3479" s="750"/>
      <c r="BJ3479" s="750"/>
      <c r="BK3479" s="750"/>
      <c r="BL3479" s="750"/>
      <c r="BM3479" s="750"/>
      <c r="BN3479" s="750"/>
      <c r="BO3479" s="750"/>
      <c r="BP3479" s="750"/>
      <c r="BQ3479" s="750"/>
    </row>
    <row r="3480" spans="3:69">
      <c r="C3480" s="853"/>
      <c r="D3480" s="853"/>
      <c r="E3480" s="853"/>
      <c r="F3480" s="853"/>
      <c r="G3480" s="853"/>
      <c r="H3480" s="853"/>
      <c r="I3480" s="848"/>
      <c r="J3480" s="848"/>
      <c r="K3480" s="1295"/>
      <c r="L3480" s="1295"/>
      <c r="M3480" s="1295"/>
      <c r="N3480" s="1295"/>
      <c r="O3480" s="1295"/>
      <c r="P3480" s="853"/>
      <c r="Q3480" s="1295"/>
      <c r="R3480" s="848"/>
      <c r="S3480" s="848"/>
      <c r="T3480" s="848"/>
      <c r="U3480" s="848"/>
      <c r="V3480" s="1296"/>
      <c r="W3480" s="848"/>
      <c r="X3480" s="848"/>
      <c r="Y3480" s="1295"/>
      <c r="Z3480" s="1296"/>
      <c r="AA3480" s="1295"/>
      <c r="AB3480" s="1296"/>
      <c r="AC3480" s="1295"/>
      <c r="AD3480" s="1295"/>
      <c r="AE3480" s="2556"/>
      <c r="AF3480" s="750"/>
      <c r="AG3480" s="750"/>
      <c r="AH3480" s="750"/>
      <c r="AI3480" s="750"/>
      <c r="AJ3480" s="750"/>
      <c r="AK3480" s="750"/>
      <c r="AL3480" s="750"/>
      <c r="AM3480" s="750"/>
      <c r="AN3480" s="750"/>
      <c r="AO3480" s="750"/>
      <c r="AP3480" s="750"/>
      <c r="AQ3480" s="750"/>
      <c r="AR3480" s="750"/>
      <c r="AS3480" s="750"/>
      <c r="AT3480" s="750"/>
      <c r="AU3480" s="750"/>
      <c r="AV3480" s="750"/>
      <c r="AW3480" s="750"/>
      <c r="AX3480" s="750"/>
      <c r="AY3480" s="750"/>
      <c r="AZ3480" s="750"/>
      <c r="BA3480" s="750"/>
      <c r="BB3480" s="750"/>
      <c r="BC3480" s="750"/>
      <c r="BD3480" s="750"/>
      <c r="BE3480" s="750"/>
      <c r="BF3480" s="750"/>
      <c r="BG3480" s="750"/>
      <c r="BH3480" s="750"/>
      <c r="BI3480" s="750"/>
      <c r="BJ3480" s="750"/>
      <c r="BK3480" s="750"/>
      <c r="BL3480" s="750"/>
      <c r="BM3480" s="750"/>
      <c r="BN3480" s="750"/>
      <c r="BO3480" s="750"/>
      <c r="BP3480" s="750"/>
      <c r="BQ3480" s="750"/>
    </row>
    <row r="3481" spans="3:69">
      <c r="C3481" s="853"/>
      <c r="D3481" s="853"/>
      <c r="E3481" s="853"/>
      <c r="F3481" s="853"/>
      <c r="G3481" s="853"/>
      <c r="H3481" s="853"/>
      <c r="I3481" s="848"/>
      <c r="J3481" s="848"/>
      <c r="K3481" s="1295"/>
      <c r="L3481" s="1295"/>
      <c r="M3481" s="1295"/>
      <c r="N3481" s="1295"/>
      <c r="O3481" s="1295"/>
      <c r="P3481" s="853"/>
      <c r="Q3481" s="1295"/>
      <c r="R3481" s="848"/>
      <c r="S3481" s="848"/>
      <c r="T3481" s="848"/>
      <c r="U3481" s="848"/>
      <c r="V3481" s="1296"/>
      <c r="W3481" s="848"/>
      <c r="X3481" s="848"/>
      <c r="Y3481" s="1295"/>
      <c r="Z3481" s="1296"/>
      <c r="AA3481" s="1295"/>
      <c r="AB3481" s="1296"/>
      <c r="AC3481" s="1295"/>
      <c r="AD3481" s="1295"/>
      <c r="AE3481" s="2556"/>
      <c r="AF3481" s="750"/>
      <c r="AG3481" s="750"/>
      <c r="AH3481" s="750"/>
      <c r="AI3481" s="750"/>
      <c r="AJ3481" s="750"/>
      <c r="AK3481" s="750"/>
      <c r="AL3481" s="750"/>
      <c r="AM3481" s="750"/>
      <c r="AN3481" s="750"/>
      <c r="AO3481" s="750"/>
      <c r="AP3481" s="750"/>
      <c r="AQ3481" s="750"/>
      <c r="AR3481" s="750"/>
      <c r="AS3481" s="750"/>
      <c r="AT3481" s="750"/>
      <c r="AU3481" s="750"/>
      <c r="AV3481" s="750"/>
      <c r="AW3481" s="750"/>
      <c r="AX3481" s="750"/>
      <c r="AY3481" s="750"/>
      <c r="AZ3481" s="750"/>
      <c r="BA3481" s="750"/>
      <c r="BB3481" s="750"/>
      <c r="BC3481" s="750"/>
      <c r="BD3481" s="750"/>
      <c r="BE3481" s="750"/>
      <c r="BF3481" s="750"/>
      <c r="BG3481" s="750"/>
      <c r="BH3481" s="750"/>
      <c r="BI3481" s="750"/>
      <c r="BJ3481" s="750"/>
      <c r="BK3481" s="750"/>
      <c r="BL3481" s="750"/>
      <c r="BM3481" s="750"/>
      <c r="BN3481" s="750"/>
      <c r="BO3481" s="750"/>
      <c r="BP3481" s="750"/>
      <c r="BQ3481" s="750"/>
    </row>
    <row r="3482" spans="3:69">
      <c r="C3482" s="853"/>
      <c r="D3482" s="853"/>
      <c r="E3482" s="853"/>
      <c r="F3482" s="853"/>
      <c r="G3482" s="853"/>
      <c r="H3482" s="853"/>
      <c r="I3482" s="848"/>
      <c r="J3482" s="848"/>
      <c r="K3482" s="1295"/>
      <c r="L3482" s="1295"/>
      <c r="M3482" s="1295"/>
      <c r="N3482" s="1295"/>
      <c r="O3482" s="1295"/>
      <c r="P3482" s="853"/>
      <c r="Q3482" s="1295"/>
      <c r="R3482" s="848"/>
      <c r="S3482" s="848"/>
      <c r="T3482" s="848"/>
      <c r="U3482" s="848"/>
      <c r="V3482" s="1296"/>
      <c r="W3482" s="848"/>
      <c r="X3482" s="848"/>
      <c r="Y3482" s="1295"/>
      <c r="Z3482" s="1296"/>
      <c r="AA3482" s="1295"/>
      <c r="AB3482" s="1296"/>
      <c r="AC3482" s="1295"/>
      <c r="AD3482" s="1295"/>
      <c r="AE3482" s="2556"/>
      <c r="AF3482" s="750"/>
      <c r="AG3482" s="750"/>
      <c r="AH3482" s="750"/>
      <c r="AI3482" s="750"/>
      <c r="AJ3482" s="750"/>
      <c r="AK3482" s="750"/>
      <c r="AL3482" s="750"/>
      <c r="AM3482" s="750"/>
      <c r="AN3482" s="750"/>
      <c r="AO3482" s="750"/>
      <c r="AP3482" s="750"/>
      <c r="AQ3482" s="750"/>
      <c r="AR3482" s="750"/>
      <c r="AS3482" s="750"/>
      <c r="AT3482" s="750"/>
      <c r="AU3482" s="750"/>
      <c r="AV3482" s="750"/>
      <c r="AW3482" s="750"/>
      <c r="AX3482" s="750"/>
      <c r="AY3482" s="750"/>
      <c r="AZ3482" s="750"/>
      <c r="BA3482" s="750"/>
      <c r="BB3482" s="750"/>
      <c r="BC3482" s="750"/>
      <c r="BD3482" s="750"/>
      <c r="BE3482" s="750"/>
      <c r="BF3482" s="750"/>
      <c r="BG3482" s="750"/>
      <c r="BH3482" s="750"/>
      <c r="BI3482" s="750"/>
      <c r="BJ3482" s="750"/>
      <c r="BK3482" s="750"/>
      <c r="BL3482" s="750"/>
      <c r="BM3482" s="750"/>
      <c r="BN3482" s="750"/>
      <c r="BO3482" s="750"/>
      <c r="BP3482" s="750"/>
      <c r="BQ3482" s="750"/>
    </row>
    <row r="3483" spans="3:69">
      <c r="C3483" s="853"/>
      <c r="D3483" s="853"/>
      <c r="E3483" s="853"/>
      <c r="F3483" s="853"/>
      <c r="G3483" s="853"/>
      <c r="H3483" s="853"/>
      <c r="I3483" s="848"/>
      <c r="J3483" s="848"/>
      <c r="K3483" s="1295"/>
      <c r="L3483" s="1295"/>
      <c r="M3483" s="1295"/>
      <c r="N3483" s="1295"/>
      <c r="O3483" s="1295"/>
      <c r="P3483" s="853"/>
      <c r="Q3483" s="1295"/>
      <c r="R3483" s="848"/>
      <c r="S3483" s="848"/>
      <c r="T3483" s="848"/>
      <c r="U3483" s="848"/>
      <c r="V3483" s="1296"/>
      <c r="W3483" s="848"/>
      <c r="X3483" s="848"/>
      <c r="Y3483" s="1295"/>
      <c r="Z3483" s="1296"/>
      <c r="AA3483" s="1295"/>
      <c r="AB3483" s="1296"/>
      <c r="AC3483" s="1295"/>
      <c r="AD3483" s="1295"/>
      <c r="AE3483" s="2556"/>
      <c r="AF3483" s="750"/>
      <c r="AG3483" s="750"/>
      <c r="AH3483" s="750"/>
      <c r="AI3483" s="750"/>
      <c r="AJ3483" s="750"/>
      <c r="AK3483" s="750"/>
      <c r="AL3483" s="750"/>
      <c r="AM3483" s="750"/>
      <c r="AN3483" s="750"/>
      <c r="AO3483" s="750"/>
      <c r="AP3483" s="750"/>
      <c r="AQ3483" s="750"/>
      <c r="AR3483" s="750"/>
      <c r="AS3483" s="750"/>
      <c r="AT3483" s="750"/>
      <c r="AU3483" s="750"/>
      <c r="AV3483" s="750"/>
      <c r="AW3483" s="750"/>
      <c r="AX3483" s="750"/>
      <c r="AY3483" s="750"/>
      <c r="AZ3483" s="750"/>
      <c r="BA3483" s="750"/>
      <c r="BB3483" s="750"/>
      <c r="BC3483" s="750"/>
      <c r="BD3483" s="750"/>
      <c r="BE3483" s="750"/>
      <c r="BF3483" s="750"/>
      <c r="BG3483" s="750"/>
      <c r="BH3483" s="750"/>
      <c r="BI3483" s="750"/>
      <c r="BJ3483" s="750"/>
      <c r="BK3483" s="750"/>
      <c r="BL3483" s="750"/>
      <c r="BM3483" s="750"/>
      <c r="BN3483" s="750"/>
      <c r="BO3483" s="750"/>
      <c r="BP3483" s="750"/>
      <c r="BQ3483" s="750"/>
    </row>
    <row r="3484" spans="3:69">
      <c r="C3484" s="853"/>
      <c r="D3484" s="853"/>
      <c r="E3484" s="853"/>
      <c r="F3484" s="853"/>
      <c r="G3484" s="853"/>
      <c r="H3484" s="853"/>
      <c r="I3484" s="848"/>
      <c r="J3484" s="848"/>
      <c r="K3484" s="1295"/>
      <c r="L3484" s="1295"/>
      <c r="M3484" s="1295"/>
      <c r="N3484" s="1295"/>
      <c r="O3484" s="1295"/>
      <c r="P3484" s="853"/>
      <c r="Q3484" s="1295"/>
      <c r="R3484" s="848"/>
      <c r="S3484" s="848"/>
      <c r="T3484" s="848"/>
      <c r="U3484" s="848"/>
      <c r="V3484" s="1296"/>
      <c r="W3484" s="848"/>
      <c r="X3484" s="848"/>
      <c r="Y3484" s="1295"/>
      <c r="Z3484" s="1296"/>
      <c r="AA3484" s="1295"/>
      <c r="AB3484" s="1296"/>
      <c r="AC3484" s="1295"/>
      <c r="AD3484" s="1295"/>
      <c r="AE3484" s="2556"/>
      <c r="AF3484" s="750"/>
      <c r="AG3484" s="750"/>
      <c r="AH3484" s="750"/>
      <c r="AI3484" s="750"/>
      <c r="AJ3484" s="750"/>
      <c r="AK3484" s="750"/>
      <c r="AL3484" s="750"/>
      <c r="AM3484" s="750"/>
      <c r="AN3484" s="750"/>
      <c r="AO3484" s="750"/>
      <c r="AP3484" s="750"/>
      <c r="AQ3484" s="750"/>
      <c r="AR3484" s="750"/>
      <c r="AS3484" s="750"/>
      <c r="AT3484" s="750"/>
      <c r="AU3484" s="750"/>
      <c r="AV3484" s="750"/>
      <c r="AW3484" s="750"/>
      <c r="AX3484" s="750"/>
      <c r="AY3484" s="750"/>
      <c r="AZ3484" s="750"/>
      <c r="BA3484" s="750"/>
      <c r="BB3484" s="750"/>
      <c r="BC3484" s="750"/>
      <c r="BD3484" s="750"/>
      <c r="BE3484" s="750"/>
      <c r="BF3484" s="750"/>
      <c r="BG3484" s="750"/>
      <c r="BH3484" s="750"/>
      <c r="BI3484" s="750"/>
      <c r="BJ3484" s="750"/>
      <c r="BK3484" s="750"/>
      <c r="BL3484" s="750"/>
      <c r="BM3484" s="750"/>
      <c r="BN3484" s="750"/>
      <c r="BO3484" s="750"/>
      <c r="BP3484" s="750"/>
      <c r="BQ3484" s="750"/>
    </row>
    <row r="3485" spans="3:69">
      <c r="C3485" s="853"/>
      <c r="D3485" s="853"/>
      <c r="E3485" s="853"/>
      <c r="F3485" s="853"/>
      <c r="G3485" s="853"/>
      <c r="H3485" s="853"/>
      <c r="I3485" s="848"/>
      <c r="J3485" s="848"/>
      <c r="K3485" s="1295"/>
      <c r="L3485" s="1295"/>
      <c r="M3485" s="1295"/>
      <c r="N3485" s="1295"/>
      <c r="O3485" s="1295"/>
      <c r="P3485" s="853"/>
      <c r="Q3485" s="1295"/>
      <c r="R3485" s="848"/>
      <c r="S3485" s="848"/>
      <c r="T3485" s="848"/>
      <c r="U3485" s="848"/>
      <c r="V3485" s="1296"/>
      <c r="W3485" s="848"/>
      <c r="X3485" s="848"/>
      <c r="Y3485" s="1295"/>
      <c r="Z3485" s="1296"/>
      <c r="AA3485" s="1295"/>
      <c r="AB3485" s="1296"/>
      <c r="AC3485" s="1295"/>
      <c r="AD3485" s="1295"/>
      <c r="AE3485" s="2556"/>
      <c r="AF3485" s="750"/>
      <c r="AG3485" s="750"/>
      <c r="AH3485" s="750"/>
      <c r="AI3485" s="750"/>
      <c r="AJ3485" s="750"/>
      <c r="AK3485" s="750"/>
      <c r="AL3485" s="750"/>
      <c r="AM3485" s="750"/>
      <c r="AN3485" s="750"/>
      <c r="AO3485" s="750"/>
      <c r="AP3485" s="750"/>
      <c r="AQ3485" s="750"/>
      <c r="AR3485" s="750"/>
      <c r="AS3485" s="750"/>
      <c r="AT3485" s="750"/>
      <c r="AU3485" s="750"/>
      <c r="AV3485" s="750"/>
      <c r="AW3485" s="750"/>
      <c r="AX3485" s="750"/>
      <c r="AY3485" s="750"/>
      <c r="AZ3485" s="750"/>
      <c r="BA3485" s="750"/>
      <c r="BB3485" s="750"/>
      <c r="BC3485" s="750"/>
      <c r="BD3485" s="750"/>
      <c r="BE3485" s="750"/>
      <c r="BF3485" s="750"/>
      <c r="BG3485" s="750"/>
      <c r="BH3485" s="750"/>
      <c r="BI3485" s="750"/>
      <c r="BJ3485" s="750"/>
      <c r="BK3485" s="750"/>
      <c r="BL3485" s="750"/>
      <c r="BM3485" s="750"/>
      <c r="BN3485" s="750"/>
      <c r="BO3485" s="750"/>
      <c r="BP3485" s="750"/>
      <c r="BQ3485" s="750"/>
    </row>
    <row r="3486" spans="3:69">
      <c r="C3486" s="853"/>
      <c r="D3486" s="853"/>
      <c r="E3486" s="853"/>
      <c r="F3486" s="853"/>
      <c r="G3486" s="853"/>
      <c r="H3486" s="853"/>
      <c r="I3486" s="848"/>
      <c r="J3486" s="848"/>
      <c r="K3486" s="1295"/>
      <c r="L3486" s="1295"/>
      <c r="M3486" s="1295"/>
      <c r="N3486" s="1295"/>
      <c r="O3486" s="1295"/>
      <c r="P3486" s="853"/>
      <c r="Q3486" s="1295"/>
      <c r="R3486" s="848"/>
      <c r="S3486" s="848"/>
      <c r="T3486" s="848"/>
      <c r="U3486" s="848"/>
      <c r="V3486" s="1296"/>
      <c r="W3486" s="848"/>
      <c r="X3486" s="848"/>
      <c r="Y3486" s="1295"/>
      <c r="Z3486" s="1296"/>
      <c r="AA3486" s="1295"/>
      <c r="AB3486" s="1296"/>
      <c r="AC3486" s="1295"/>
      <c r="AD3486" s="1295"/>
      <c r="AE3486" s="2556"/>
      <c r="AF3486" s="750"/>
      <c r="AG3486" s="750"/>
      <c r="AH3486" s="750"/>
      <c r="AI3486" s="750"/>
      <c r="AJ3486" s="750"/>
      <c r="AK3486" s="750"/>
      <c r="AL3486" s="750"/>
      <c r="AM3486" s="750"/>
      <c r="AN3486" s="750"/>
      <c r="AO3486" s="750"/>
      <c r="AP3486" s="750"/>
      <c r="AQ3486" s="750"/>
      <c r="AR3486" s="750"/>
      <c r="AS3486" s="750"/>
      <c r="AT3486" s="750"/>
      <c r="AU3486" s="750"/>
      <c r="AV3486" s="750"/>
      <c r="AW3486" s="750"/>
      <c r="AX3486" s="750"/>
      <c r="AY3486" s="750"/>
      <c r="AZ3486" s="750"/>
      <c r="BA3486" s="750"/>
      <c r="BB3486" s="750"/>
      <c r="BC3486" s="750"/>
      <c r="BD3486" s="750"/>
      <c r="BE3486" s="750"/>
      <c r="BF3486" s="750"/>
      <c r="BG3486" s="750"/>
      <c r="BH3486" s="750"/>
      <c r="BI3486" s="750"/>
      <c r="BJ3486" s="750"/>
      <c r="BK3486" s="750"/>
      <c r="BL3486" s="750"/>
      <c r="BM3486" s="750"/>
      <c r="BN3486" s="750"/>
      <c r="BO3486" s="750"/>
      <c r="BP3486" s="750"/>
      <c r="BQ3486" s="750"/>
    </row>
    <row r="3487" spans="3:69">
      <c r="C3487" s="853"/>
      <c r="D3487" s="853"/>
      <c r="E3487" s="853"/>
      <c r="F3487" s="853"/>
      <c r="G3487" s="853"/>
      <c r="H3487" s="853"/>
      <c r="I3487" s="848"/>
      <c r="J3487" s="848"/>
      <c r="K3487" s="1295"/>
      <c r="L3487" s="1295"/>
      <c r="M3487" s="1295"/>
      <c r="N3487" s="1295"/>
      <c r="O3487" s="1295"/>
      <c r="P3487" s="853"/>
      <c r="Q3487" s="1295"/>
      <c r="R3487" s="848"/>
      <c r="S3487" s="848"/>
      <c r="T3487" s="848"/>
      <c r="U3487" s="848"/>
      <c r="V3487" s="1296"/>
      <c r="W3487" s="848"/>
      <c r="X3487" s="848"/>
      <c r="Y3487" s="1295"/>
      <c r="Z3487" s="1296"/>
      <c r="AA3487" s="1295"/>
      <c r="AB3487" s="1296"/>
      <c r="AC3487" s="1295"/>
      <c r="AD3487" s="1295"/>
      <c r="AE3487" s="2556"/>
      <c r="AF3487" s="750"/>
      <c r="AG3487" s="750"/>
      <c r="AH3487" s="750"/>
      <c r="AI3487" s="750"/>
      <c r="AJ3487" s="750"/>
      <c r="AK3487" s="750"/>
      <c r="AL3487" s="750"/>
      <c r="AM3487" s="750"/>
      <c r="AN3487" s="750"/>
      <c r="AO3487" s="750"/>
      <c r="AP3487" s="750"/>
      <c r="AQ3487" s="750"/>
      <c r="AR3487" s="750"/>
      <c r="AS3487" s="750"/>
      <c r="AT3487" s="750"/>
      <c r="AU3487" s="750"/>
      <c r="AV3487" s="750"/>
      <c r="AW3487" s="750"/>
      <c r="AX3487" s="750"/>
      <c r="AY3487" s="750"/>
      <c r="AZ3487" s="750"/>
      <c r="BA3487" s="750"/>
      <c r="BB3487" s="750"/>
      <c r="BC3487" s="750"/>
      <c r="BD3487" s="750"/>
      <c r="BE3487" s="750"/>
      <c r="BF3487" s="750"/>
      <c r="BG3487" s="750"/>
      <c r="BH3487" s="750"/>
      <c r="BI3487" s="750"/>
      <c r="BJ3487" s="750"/>
      <c r="BK3487" s="750"/>
      <c r="BL3487" s="750"/>
      <c r="BM3487" s="750"/>
      <c r="BN3487" s="750"/>
      <c r="BO3487" s="750"/>
      <c r="BP3487" s="750"/>
      <c r="BQ3487" s="750"/>
    </row>
    <row r="3488" spans="3:69">
      <c r="C3488" s="853"/>
      <c r="D3488" s="853"/>
      <c r="E3488" s="853"/>
      <c r="F3488" s="853"/>
      <c r="G3488" s="853"/>
      <c r="H3488" s="853"/>
      <c r="I3488" s="848"/>
      <c r="J3488" s="848"/>
      <c r="K3488" s="1295"/>
      <c r="L3488" s="1295"/>
      <c r="M3488" s="1295"/>
      <c r="N3488" s="1295"/>
      <c r="O3488" s="1295"/>
      <c r="P3488" s="853"/>
      <c r="Q3488" s="1295"/>
      <c r="R3488" s="848"/>
      <c r="S3488" s="848"/>
      <c r="T3488" s="848"/>
      <c r="U3488" s="848"/>
      <c r="V3488" s="1296"/>
      <c r="W3488" s="848"/>
      <c r="X3488" s="848"/>
      <c r="Y3488" s="1295"/>
      <c r="Z3488" s="1296"/>
      <c r="AA3488" s="1295"/>
      <c r="AB3488" s="1296"/>
      <c r="AC3488" s="1295"/>
      <c r="AD3488" s="1295"/>
      <c r="AE3488" s="2556"/>
      <c r="AF3488" s="750"/>
      <c r="AG3488" s="750"/>
      <c r="AH3488" s="750"/>
      <c r="AI3488" s="750"/>
      <c r="AJ3488" s="750"/>
      <c r="AK3488" s="750"/>
      <c r="AL3488" s="750"/>
      <c r="AM3488" s="750"/>
      <c r="AN3488" s="750"/>
      <c r="AO3488" s="750"/>
      <c r="AP3488" s="750"/>
      <c r="AQ3488" s="750"/>
      <c r="AR3488" s="750"/>
      <c r="AS3488" s="750"/>
      <c r="AT3488" s="750"/>
      <c r="AU3488" s="750"/>
      <c r="AV3488" s="750"/>
      <c r="AW3488" s="750"/>
      <c r="AX3488" s="750"/>
      <c r="AY3488" s="750"/>
      <c r="AZ3488" s="750"/>
      <c r="BA3488" s="750"/>
      <c r="BB3488" s="750"/>
      <c r="BC3488" s="750"/>
      <c r="BD3488" s="750"/>
      <c r="BE3488" s="750"/>
      <c r="BF3488" s="750"/>
      <c r="BG3488" s="750"/>
      <c r="BH3488" s="750"/>
      <c r="BI3488" s="750"/>
      <c r="BJ3488" s="750"/>
      <c r="BK3488" s="750"/>
      <c r="BL3488" s="750"/>
      <c r="BM3488" s="750"/>
      <c r="BN3488" s="750"/>
      <c r="BO3488" s="750"/>
      <c r="BP3488" s="750"/>
      <c r="BQ3488" s="750"/>
    </row>
    <row r="3489" spans="3:69">
      <c r="C3489" s="853"/>
      <c r="D3489" s="853"/>
      <c r="E3489" s="853"/>
      <c r="F3489" s="853"/>
      <c r="G3489" s="853"/>
      <c r="H3489" s="853"/>
      <c r="I3489" s="848"/>
      <c r="J3489" s="848"/>
      <c r="K3489" s="1295"/>
      <c r="L3489" s="1295"/>
      <c r="M3489" s="1295"/>
      <c r="N3489" s="1295"/>
      <c r="O3489" s="1295"/>
      <c r="P3489" s="853"/>
      <c r="Q3489" s="1295"/>
      <c r="R3489" s="848"/>
      <c r="S3489" s="848"/>
      <c r="T3489" s="848"/>
      <c r="U3489" s="848"/>
      <c r="V3489" s="1296"/>
      <c r="W3489" s="848"/>
      <c r="X3489" s="848"/>
      <c r="Y3489" s="1295"/>
      <c r="Z3489" s="1296"/>
      <c r="AA3489" s="1295"/>
      <c r="AB3489" s="1296"/>
      <c r="AC3489" s="1295"/>
      <c r="AD3489" s="1295"/>
      <c r="AE3489" s="2556"/>
      <c r="AF3489" s="750"/>
      <c r="AG3489" s="750"/>
      <c r="AH3489" s="750"/>
      <c r="AI3489" s="750"/>
      <c r="AJ3489" s="750"/>
      <c r="AK3489" s="750"/>
      <c r="AL3489" s="750"/>
      <c r="AM3489" s="750"/>
      <c r="AN3489" s="750"/>
      <c r="AO3489" s="750"/>
      <c r="AP3489" s="750"/>
      <c r="AQ3489" s="750"/>
      <c r="AR3489" s="750"/>
      <c r="AS3489" s="750"/>
      <c r="AT3489" s="750"/>
      <c r="AU3489" s="750"/>
      <c r="AV3489" s="750"/>
      <c r="AW3489" s="750"/>
      <c r="AX3489" s="750"/>
      <c r="AY3489" s="750"/>
      <c r="AZ3489" s="750"/>
      <c r="BA3489" s="750"/>
      <c r="BB3489" s="750"/>
      <c r="BC3489" s="750"/>
      <c r="BD3489" s="750"/>
      <c r="BE3489" s="750"/>
      <c r="BF3489" s="750"/>
      <c r="BG3489" s="750"/>
      <c r="BH3489" s="750"/>
      <c r="BI3489" s="750"/>
      <c r="BJ3489" s="750"/>
      <c r="BK3489" s="750"/>
      <c r="BL3489" s="750"/>
      <c r="BM3489" s="750"/>
      <c r="BN3489" s="750"/>
      <c r="BO3489" s="750"/>
      <c r="BP3489" s="750"/>
      <c r="BQ3489" s="750"/>
    </row>
    <row r="3490" spans="3:69">
      <c r="C3490" s="853"/>
      <c r="D3490" s="853"/>
      <c r="E3490" s="853"/>
      <c r="F3490" s="853"/>
      <c r="G3490" s="853"/>
      <c r="H3490" s="853"/>
      <c r="I3490" s="848"/>
      <c r="J3490" s="848"/>
      <c r="K3490" s="1295"/>
      <c r="L3490" s="1295"/>
      <c r="M3490" s="1295"/>
      <c r="N3490" s="1295"/>
      <c r="O3490" s="1295"/>
      <c r="P3490" s="853"/>
      <c r="Q3490" s="1295"/>
      <c r="R3490" s="848"/>
      <c r="S3490" s="848"/>
      <c r="T3490" s="848"/>
      <c r="U3490" s="848"/>
      <c r="V3490" s="1296"/>
      <c r="W3490" s="848"/>
      <c r="X3490" s="848"/>
      <c r="Y3490" s="1295"/>
      <c r="Z3490" s="1296"/>
      <c r="AA3490" s="1295"/>
      <c r="AB3490" s="1296"/>
      <c r="AC3490" s="1295"/>
      <c r="AD3490" s="1295"/>
      <c r="AE3490" s="2556"/>
      <c r="AF3490" s="750"/>
      <c r="AG3490" s="750"/>
      <c r="AH3490" s="750"/>
      <c r="AI3490" s="750"/>
      <c r="AJ3490" s="750"/>
      <c r="AK3490" s="750"/>
      <c r="AL3490" s="750"/>
      <c r="AM3490" s="750"/>
      <c r="AN3490" s="750"/>
      <c r="AO3490" s="750"/>
      <c r="AP3490" s="750"/>
      <c r="AQ3490" s="750"/>
      <c r="AR3490" s="750"/>
      <c r="AS3490" s="750"/>
      <c r="AT3490" s="750"/>
      <c r="AU3490" s="750"/>
      <c r="AV3490" s="750"/>
      <c r="AW3490" s="750"/>
      <c r="AX3490" s="750"/>
      <c r="AY3490" s="750"/>
      <c r="AZ3490" s="750"/>
      <c r="BA3490" s="750"/>
      <c r="BB3490" s="750"/>
      <c r="BC3490" s="750"/>
      <c r="BD3490" s="750"/>
      <c r="BE3490" s="750"/>
      <c r="BF3490" s="750"/>
      <c r="BG3490" s="750"/>
      <c r="BH3490" s="750"/>
      <c r="BI3490" s="750"/>
      <c r="BJ3490" s="750"/>
      <c r="BK3490" s="750"/>
      <c r="BL3490" s="750"/>
      <c r="BM3490" s="750"/>
      <c r="BN3490" s="750"/>
      <c r="BO3490" s="750"/>
      <c r="BP3490" s="750"/>
      <c r="BQ3490" s="750"/>
    </row>
    <row r="3491" spans="3:69">
      <c r="C3491" s="853"/>
      <c r="D3491" s="853"/>
      <c r="E3491" s="853"/>
      <c r="F3491" s="853"/>
      <c r="G3491" s="853"/>
      <c r="H3491" s="853"/>
      <c r="I3491" s="848"/>
      <c r="J3491" s="848"/>
      <c r="K3491" s="1295"/>
      <c r="L3491" s="1295"/>
      <c r="M3491" s="1295"/>
      <c r="N3491" s="1295"/>
      <c r="O3491" s="1295"/>
      <c r="P3491" s="853"/>
      <c r="Q3491" s="1295"/>
      <c r="R3491" s="848"/>
      <c r="S3491" s="848"/>
      <c r="T3491" s="848"/>
      <c r="U3491" s="848"/>
      <c r="V3491" s="1296"/>
      <c r="W3491" s="848"/>
      <c r="X3491" s="848"/>
      <c r="Y3491" s="1295"/>
      <c r="Z3491" s="1296"/>
      <c r="AA3491" s="1295"/>
      <c r="AB3491" s="1296"/>
      <c r="AC3491" s="1295"/>
      <c r="AD3491" s="1295"/>
      <c r="AE3491" s="2556"/>
      <c r="AF3491" s="750"/>
      <c r="AG3491" s="750"/>
      <c r="AH3491" s="750"/>
      <c r="AI3491" s="750"/>
      <c r="AJ3491" s="750"/>
      <c r="AK3491" s="750"/>
      <c r="AL3491" s="750"/>
      <c r="AM3491" s="750"/>
      <c r="AN3491" s="750"/>
      <c r="AO3491" s="750"/>
      <c r="AP3491" s="750"/>
      <c r="AQ3491" s="750"/>
      <c r="AR3491" s="750"/>
      <c r="AS3491" s="750"/>
      <c r="AT3491" s="750"/>
      <c r="AU3491" s="750"/>
      <c r="AV3491" s="750"/>
      <c r="AW3491" s="750"/>
      <c r="AX3491" s="750"/>
      <c r="AY3491" s="750"/>
      <c r="AZ3491" s="750"/>
      <c r="BA3491" s="750"/>
      <c r="BB3491" s="750"/>
      <c r="BC3491" s="750"/>
      <c r="BD3491" s="750"/>
      <c r="BE3491" s="750"/>
      <c r="BF3491" s="750"/>
      <c r="BG3491" s="750"/>
      <c r="BH3491" s="750"/>
      <c r="BI3491" s="750"/>
      <c r="BJ3491" s="750"/>
      <c r="BK3491" s="750"/>
      <c r="BL3491" s="750"/>
      <c r="BM3491" s="750"/>
      <c r="BN3491" s="750"/>
      <c r="BO3491" s="750"/>
      <c r="BP3491" s="750"/>
      <c r="BQ3491" s="750"/>
    </row>
    <row r="3492" spans="3:69">
      <c r="C3492" s="853"/>
      <c r="D3492" s="853"/>
      <c r="E3492" s="853"/>
      <c r="F3492" s="853"/>
      <c r="G3492" s="853"/>
      <c r="H3492" s="853"/>
      <c r="I3492" s="848"/>
      <c r="J3492" s="848"/>
      <c r="K3492" s="1295"/>
      <c r="L3492" s="1295"/>
      <c r="M3492" s="1295"/>
      <c r="N3492" s="1295"/>
      <c r="O3492" s="1295"/>
      <c r="P3492" s="853"/>
      <c r="Q3492" s="1295"/>
      <c r="R3492" s="848"/>
      <c r="S3492" s="848"/>
      <c r="T3492" s="848"/>
      <c r="U3492" s="848"/>
      <c r="V3492" s="1296"/>
      <c r="W3492" s="848"/>
      <c r="X3492" s="848"/>
      <c r="Y3492" s="1295"/>
      <c r="Z3492" s="1296"/>
      <c r="AA3492" s="1295"/>
      <c r="AB3492" s="1296"/>
      <c r="AC3492" s="1295"/>
      <c r="AD3492" s="1295"/>
      <c r="AE3492" s="2556"/>
      <c r="AF3492" s="750"/>
      <c r="AG3492" s="750"/>
      <c r="AH3492" s="750"/>
      <c r="AI3492" s="750"/>
      <c r="AJ3492" s="750"/>
      <c r="AK3492" s="750"/>
      <c r="AL3492" s="750"/>
      <c r="AM3492" s="750"/>
      <c r="AN3492" s="750"/>
      <c r="AO3492" s="750"/>
      <c r="AP3492" s="750"/>
      <c r="AQ3492" s="750"/>
      <c r="AR3492" s="750"/>
      <c r="AS3492" s="750"/>
      <c r="AT3492" s="750"/>
      <c r="AU3492" s="750"/>
      <c r="AV3492" s="750"/>
      <c r="AW3492" s="750"/>
      <c r="AX3492" s="750"/>
      <c r="AY3492" s="750"/>
      <c r="AZ3492" s="750"/>
      <c r="BA3492" s="750"/>
      <c r="BB3492" s="750"/>
      <c r="BC3492" s="750"/>
      <c r="BD3492" s="750"/>
      <c r="BE3492" s="750"/>
      <c r="BF3492" s="750"/>
      <c r="BG3492" s="750"/>
      <c r="BH3492" s="750"/>
      <c r="BI3492" s="750"/>
      <c r="BJ3492" s="750"/>
      <c r="BK3492" s="750"/>
      <c r="BL3492" s="750"/>
      <c r="BM3492" s="750"/>
      <c r="BN3492" s="750"/>
      <c r="BO3492" s="750"/>
      <c r="BP3492" s="750"/>
      <c r="BQ3492" s="750"/>
    </row>
    <row r="3493" spans="3:69">
      <c r="C3493" s="853"/>
      <c r="D3493" s="853"/>
      <c r="E3493" s="853"/>
      <c r="F3493" s="853"/>
      <c r="G3493" s="853"/>
      <c r="H3493" s="853"/>
      <c r="I3493" s="848"/>
      <c r="J3493" s="848"/>
      <c r="K3493" s="1295"/>
      <c r="L3493" s="1295"/>
      <c r="M3493" s="1295"/>
      <c r="N3493" s="1295"/>
      <c r="O3493" s="1295"/>
      <c r="P3493" s="853"/>
      <c r="Q3493" s="1295"/>
      <c r="R3493" s="848"/>
      <c r="S3493" s="848"/>
      <c r="T3493" s="848"/>
      <c r="U3493" s="848"/>
      <c r="V3493" s="1296"/>
      <c r="W3493" s="848"/>
      <c r="X3493" s="848"/>
      <c r="Y3493" s="1295"/>
      <c r="Z3493" s="1296"/>
      <c r="AA3493" s="1295"/>
      <c r="AB3493" s="1296"/>
      <c r="AC3493" s="1295"/>
      <c r="AD3493" s="1295"/>
      <c r="AE3493" s="2556"/>
      <c r="AF3493" s="750"/>
      <c r="AG3493" s="750"/>
      <c r="AH3493" s="750"/>
      <c r="AI3493" s="750"/>
      <c r="AJ3493" s="750"/>
      <c r="AK3493" s="750"/>
      <c r="AL3493" s="750"/>
      <c r="AM3493" s="750"/>
      <c r="AN3493" s="750"/>
      <c r="AO3493" s="750"/>
      <c r="AP3493" s="750"/>
      <c r="AQ3493" s="750"/>
      <c r="AR3493" s="750"/>
      <c r="AS3493" s="750"/>
      <c r="AT3493" s="750"/>
      <c r="AU3493" s="750"/>
      <c r="AV3493" s="750"/>
      <c r="AW3493" s="750"/>
      <c r="AX3493" s="750"/>
      <c r="AY3493" s="750"/>
      <c r="AZ3493" s="750"/>
      <c r="BA3493" s="750"/>
      <c r="BB3493" s="750"/>
      <c r="BC3493" s="750"/>
      <c r="BD3493" s="750"/>
      <c r="BE3493" s="750"/>
      <c r="BF3493" s="750"/>
      <c r="BG3493" s="750"/>
      <c r="BH3493" s="750"/>
      <c r="BI3493" s="750"/>
      <c r="BJ3493" s="750"/>
      <c r="BK3493" s="750"/>
      <c r="BL3493" s="750"/>
      <c r="BM3493" s="750"/>
      <c r="BN3493" s="750"/>
      <c r="BO3493" s="750"/>
      <c r="BP3493" s="750"/>
      <c r="BQ3493" s="750"/>
    </row>
    <row r="3494" spans="3:69">
      <c r="C3494" s="853"/>
      <c r="D3494" s="853"/>
      <c r="E3494" s="853"/>
      <c r="F3494" s="853"/>
      <c r="G3494" s="853"/>
      <c r="H3494" s="853"/>
      <c r="I3494" s="848"/>
      <c r="J3494" s="848"/>
      <c r="K3494" s="1295"/>
      <c r="L3494" s="1295"/>
      <c r="M3494" s="1295"/>
      <c r="N3494" s="1295"/>
      <c r="O3494" s="1295"/>
      <c r="P3494" s="853"/>
      <c r="Q3494" s="1295"/>
      <c r="R3494" s="848"/>
      <c r="S3494" s="848"/>
      <c r="T3494" s="848"/>
      <c r="U3494" s="848"/>
      <c r="V3494" s="1296"/>
      <c r="W3494" s="848"/>
      <c r="X3494" s="848"/>
      <c r="Y3494" s="1295"/>
      <c r="Z3494" s="1296"/>
      <c r="AA3494" s="1295"/>
      <c r="AB3494" s="1296"/>
      <c r="AC3494" s="1295"/>
      <c r="AD3494" s="1295"/>
      <c r="AE3494" s="2556"/>
      <c r="AF3494" s="750"/>
      <c r="AG3494" s="750"/>
      <c r="AH3494" s="750"/>
      <c r="AI3494" s="750"/>
      <c r="AJ3494" s="750"/>
      <c r="AK3494" s="750"/>
      <c r="AL3494" s="750"/>
      <c r="AM3494" s="750"/>
      <c r="AN3494" s="750"/>
      <c r="AO3494" s="750"/>
      <c r="AP3494" s="750"/>
      <c r="AQ3494" s="750"/>
      <c r="AR3494" s="750"/>
      <c r="AS3494" s="750"/>
      <c r="AT3494" s="750"/>
      <c r="AU3494" s="750"/>
      <c r="AV3494" s="750"/>
      <c r="AW3494" s="750"/>
      <c r="AX3494" s="750"/>
      <c r="AY3494" s="750"/>
      <c r="AZ3494" s="750"/>
      <c r="BA3494" s="750"/>
      <c r="BB3494" s="750"/>
      <c r="BC3494" s="750"/>
      <c r="BD3494" s="750"/>
      <c r="BE3494" s="750"/>
      <c r="BF3494" s="750"/>
      <c r="BG3494" s="750"/>
      <c r="BH3494" s="750"/>
      <c r="BI3494" s="750"/>
      <c r="BJ3494" s="750"/>
      <c r="BK3494" s="750"/>
      <c r="BL3494" s="750"/>
      <c r="BM3494" s="750"/>
      <c r="BN3494" s="750"/>
      <c r="BO3494" s="750"/>
      <c r="BP3494" s="750"/>
      <c r="BQ3494" s="750"/>
    </row>
    <row r="3495" spans="3:69">
      <c r="C3495" s="853"/>
      <c r="D3495" s="853"/>
      <c r="E3495" s="853"/>
      <c r="F3495" s="853"/>
      <c r="G3495" s="853"/>
      <c r="H3495" s="853"/>
      <c r="I3495" s="848"/>
      <c r="J3495" s="848"/>
      <c r="K3495" s="1295"/>
      <c r="L3495" s="1295"/>
      <c r="M3495" s="1295"/>
      <c r="N3495" s="1295"/>
      <c r="O3495" s="1295"/>
      <c r="P3495" s="853"/>
      <c r="Q3495" s="1295"/>
      <c r="R3495" s="848"/>
      <c r="S3495" s="848"/>
      <c r="T3495" s="848"/>
      <c r="U3495" s="848"/>
      <c r="V3495" s="1296"/>
      <c r="W3495" s="848"/>
      <c r="X3495" s="848"/>
      <c r="Y3495" s="1295"/>
      <c r="Z3495" s="1296"/>
      <c r="AA3495" s="1295"/>
      <c r="AB3495" s="1296"/>
      <c r="AC3495" s="1295"/>
      <c r="AD3495" s="1295"/>
      <c r="AE3495" s="2556"/>
      <c r="AF3495" s="750"/>
      <c r="AG3495" s="750"/>
      <c r="AH3495" s="750"/>
      <c r="AI3495" s="750"/>
      <c r="AJ3495" s="750"/>
      <c r="AK3495" s="750"/>
      <c r="AL3495" s="750"/>
      <c r="AM3495" s="750"/>
      <c r="AN3495" s="750"/>
      <c r="AO3495" s="750"/>
      <c r="AP3495" s="750"/>
      <c r="AQ3495" s="750"/>
      <c r="AR3495" s="750"/>
      <c r="AS3495" s="750"/>
      <c r="AT3495" s="750"/>
      <c r="AU3495" s="750"/>
      <c r="AV3495" s="750"/>
      <c r="AW3495" s="750"/>
      <c r="AX3495" s="750"/>
      <c r="AY3495" s="750"/>
      <c r="AZ3495" s="750"/>
      <c r="BA3495" s="750"/>
      <c r="BB3495" s="750"/>
      <c r="BC3495" s="750"/>
      <c r="BD3495" s="750"/>
      <c r="BE3495" s="750"/>
      <c r="BF3495" s="750"/>
      <c r="BG3495" s="750"/>
      <c r="BH3495" s="750"/>
      <c r="BI3495" s="750"/>
      <c r="BJ3495" s="750"/>
      <c r="BK3495" s="750"/>
      <c r="BL3495" s="750"/>
      <c r="BM3495" s="750"/>
      <c r="BN3495" s="750"/>
      <c r="BO3495" s="750"/>
      <c r="BP3495" s="750"/>
      <c r="BQ3495" s="750"/>
    </row>
    <row r="3496" spans="3:69">
      <c r="C3496" s="853"/>
      <c r="D3496" s="853"/>
      <c r="E3496" s="853"/>
      <c r="F3496" s="853"/>
      <c r="G3496" s="853"/>
      <c r="H3496" s="853"/>
      <c r="I3496" s="848"/>
      <c r="J3496" s="848"/>
      <c r="K3496" s="1295"/>
      <c r="L3496" s="1295"/>
      <c r="M3496" s="1295"/>
      <c r="N3496" s="1295"/>
      <c r="O3496" s="1295"/>
      <c r="P3496" s="853"/>
      <c r="Q3496" s="1295"/>
      <c r="R3496" s="848"/>
      <c r="S3496" s="848"/>
      <c r="T3496" s="848"/>
      <c r="U3496" s="848"/>
      <c r="V3496" s="1296"/>
      <c r="W3496" s="848"/>
      <c r="X3496" s="848"/>
      <c r="Y3496" s="1295"/>
      <c r="Z3496" s="1296"/>
      <c r="AA3496" s="1295"/>
      <c r="AB3496" s="1296"/>
      <c r="AC3496" s="1295"/>
      <c r="AD3496" s="1295"/>
      <c r="AE3496" s="2556"/>
      <c r="AF3496" s="750"/>
      <c r="AG3496" s="750"/>
      <c r="AH3496" s="750"/>
      <c r="AI3496" s="750"/>
      <c r="AJ3496" s="750"/>
      <c r="AK3496" s="750"/>
      <c r="AL3496" s="750"/>
      <c r="AM3496" s="750"/>
      <c r="AN3496" s="750"/>
      <c r="AO3496" s="750"/>
      <c r="AP3496" s="750"/>
      <c r="AQ3496" s="750"/>
      <c r="AR3496" s="750"/>
      <c r="AS3496" s="750"/>
      <c r="AT3496" s="750"/>
      <c r="AU3496" s="750"/>
      <c r="AV3496" s="750"/>
      <c r="AW3496" s="750"/>
      <c r="AX3496" s="750"/>
      <c r="AY3496" s="750"/>
      <c r="AZ3496" s="750"/>
      <c r="BA3496" s="750"/>
      <c r="BB3496" s="750"/>
      <c r="BC3496" s="750"/>
      <c r="BD3496" s="750"/>
      <c r="BE3496" s="750"/>
      <c r="BF3496" s="750"/>
      <c r="BG3496" s="750"/>
      <c r="BH3496" s="750"/>
      <c r="BI3496" s="750"/>
      <c r="BJ3496" s="750"/>
      <c r="BK3496" s="750"/>
      <c r="BL3496" s="750"/>
      <c r="BM3496" s="750"/>
      <c r="BN3496" s="750"/>
      <c r="BO3496" s="750"/>
      <c r="BP3496" s="750"/>
      <c r="BQ3496" s="750"/>
    </row>
    <row r="3497" spans="3:69">
      <c r="C3497" s="853"/>
      <c r="D3497" s="853"/>
      <c r="E3497" s="853"/>
      <c r="F3497" s="853"/>
      <c r="G3497" s="853"/>
      <c r="H3497" s="853"/>
      <c r="I3497" s="848"/>
      <c r="J3497" s="848"/>
      <c r="K3497" s="1295"/>
      <c r="L3497" s="1295"/>
      <c r="M3497" s="1295"/>
      <c r="N3497" s="1295"/>
      <c r="O3497" s="1295"/>
      <c r="P3497" s="853"/>
      <c r="Q3497" s="1295"/>
      <c r="R3497" s="848"/>
      <c r="S3497" s="848"/>
      <c r="T3497" s="848"/>
      <c r="U3497" s="848"/>
      <c r="V3497" s="1296"/>
      <c r="W3497" s="848"/>
      <c r="X3497" s="848"/>
      <c r="Y3497" s="1295"/>
      <c r="Z3497" s="1296"/>
      <c r="AA3497" s="1295"/>
      <c r="AB3497" s="1296"/>
      <c r="AC3497" s="1295"/>
      <c r="AD3497" s="1295"/>
      <c r="AE3497" s="2556"/>
      <c r="AF3497" s="750"/>
      <c r="AG3497" s="750"/>
      <c r="AH3497" s="750"/>
      <c r="AI3497" s="750"/>
      <c r="AJ3497" s="750"/>
      <c r="AK3497" s="750"/>
      <c r="AL3497" s="750"/>
      <c r="AM3497" s="750"/>
      <c r="AN3497" s="750"/>
      <c r="AO3497" s="750"/>
      <c r="AP3497" s="750"/>
      <c r="AQ3497" s="750"/>
      <c r="AR3497" s="750"/>
      <c r="AS3497" s="750"/>
      <c r="AT3497" s="750"/>
      <c r="AU3497" s="750"/>
      <c r="AV3497" s="750"/>
      <c r="AW3497" s="750"/>
      <c r="AX3497" s="750"/>
      <c r="AY3497" s="750"/>
      <c r="AZ3497" s="750"/>
      <c r="BA3497" s="750"/>
      <c r="BB3497" s="750"/>
      <c r="BC3497" s="750"/>
      <c r="BD3497" s="750"/>
      <c r="BE3497" s="750"/>
      <c r="BF3497" s="750"/>
      <c r="BG3497" s="750"/>
      <c r="BH3497" s="750"/>
      <c r="BI3497" s="750"/>
      <c r="BJ3497" s="750"/>
      <c r="BK3497" s="750"/>
      <c r="BL3497" s="750"/>
      <c r="BM3497" s="750"/>
      <c r="BN3497" s="750"/>
      <c r="BO3497" s="750"/>
      <c r="BP3497" s="750"/>
      <c r="BQ3497" s="750"/>
    </row>
    <row r="3498" spans="3:69">
      <c r="C3498" s="853"/>
      <c r="D3498" s="853"/>
      <c r="E3498" s="853"/>
      <c r="F3498" s="853"/>
      <c r="G3498" s="853"/>
      <c r="H3498" s="853"/>
      <c r="I3498" s="848"/>
      <c r="J3498" s="848"/>
      <c r="K3498" s="1295"/>
      <c r="L3498" s="1295"/>
      <c r="M3498" s="1295"/>
      <c r="N3498" s="1295"/>
      <c r="O3498" s="1295"/>
      <c r="P3498" s="853"/>
      <c r="Q3498" s="1295"/>
      <c r="R3498" s="848"/>
      <c r="S3498" s="848"/>
      <c r="T3498" s="848"/>
      <c r="U3498" s="848"/>
      <c r="V3498" s="1296"/>
      <c r="W3498" s="848"/>
      <c r="X3498" s="848"/>
      <c r="Y3498" s="1295"/>
      <c r="Z3498" s="1296"/>
      <c r="AA3498" s="1295"/>
      <c r="AB3498" s="1296"/>
      <c r="AC3498" s="1295"/>
      <c r="AD3498" s="1295"/>
      <c r="AE3498" s="2556"/>
      <c r="AF3498" s="750"/>
      <c r="AG3498" s="750"/>
      <c r="AH3498" s="750"/>
      <c r="AI3498" s="750"/>
      <c r="AJ3498" s="750"/>
      <c r="AK3498" s="750"/>
      <c r="AL3498" s="750"/>
      <c r="AM3498" s="750"/>
      <c r="AN3498" s="750"/>
      <c r="AO3498" s="750"/>
      <c r="AP3498" s="750"/>
      <c r="AQ3498" s="750"/>
      <c r="AR3498" s="750"/>
      <c r="AS3498" s="750"/>
      <c r="AT3498" s="750"/>
      <c r="AU3498" s="750"/>
      <c r="AV3498" s="750"/>
      <c r="AW3498" s="750"/>
      <c r="AX3498" s="750"/>
      <c r="AY3498" s="750"/>
      <c r="AZ3498" s="750"/>
      <c r="BA3498" s="750"/>
      <c r="BB3498" s="750"/>
      <c r="BC3498" s="750"/>
      <c r="BD3498" s="750"/>
      <c r="BE3498" s="750"/>
      <c r="BF3498" s="750"/>
      <c r="BG3498" s="750"/>
      <c r="BH3498" s="750"/>
      <c r="BI3498" s="750"/>
      <c r="BJ3498" s="750"/>
      <c r="BK3498" s="750"/>
      <c r="BL3498" s="750"/>
      <c r="BM3498" s="750"/>
      <c r="BN3498" s="750"/>
      <c r="BO3498" s="750"/>
      <c r="BP3498" s="750"/>
      <c r="BQ3498" s="750"/>
    </row>
    <row r="3499" spans="3:69">
      <c r="C3499" s="853"/>
      <c r="D3499" s="853"/>
      <c r="E3499" s="853"/>
      <c r="F3499" s="853"/>
      <c r="G3499" s="853"/>
      <c r="H3499" s="853"/>
      <c r="I3499" s="848"/>
      <c r="J3499" s="848"/>
      <c r="K3499" s="1295"/>
      <c r="L3499" s="1295"/>
      <c r="M3499" s="1295"/>
      <c r="N3499" s="1295"/>
      <c r="O3499" s="1295"/>
      <c r="P3499" s="853"/>
      <c r="Q3499" s="1295"/>
      <c r="R3499" s="848"/>
      <c r="S3499" s="848"/>
      <c r="T3499" s="848"/>
      <c r="U3499" s="848"/>
      <c r="V3499" s="1296"/>
      <c r="W3499" s="848"/>
      <c r="X3499" s="848"/>
      <c r="Y3499" s="1295"/>
      <c r="Z3499" s="1296"/>
      <c r="AA3499" s="1295"/>
      <c r="AB3499" s="1296"/>
      <c r="AC3499" s="1295"/>
      <c r="AD3499" s="1295"/>
      <c r="AE3499" s="2556"/>
      <c r="AF3499" s="750"/>
      <c r="AG3499" s="750"/>
      <c r="AH3499" s="750"/>
      <c r="AI3499" s="750"/>
      <c r="AJ3499" s="750"/>
      <c r="AK3499" s="750"/>
      <c r="AL3499" s="750"/>
      <c r="AM3499" s="750"/>
      <c r="AN3499" s="750"/>
      <c r="AO3499" s="750"/>
      <c r="AP3499" s="750"/>
      <c r="AQ3499" s="750"/>
      <c r="AR3499" s="750"/>
      <c r="AS3499" s="750"/>
      <c r="AT3499" s="750"/>
      <c r="AU3499" s="750"/>
      <c r="AV3499" s="750"/>
      <c r="AW3499" s="750"/>
      <c r="AX3499" s="750"/>
      <c r="AY3499" s="750"/>
      <c r="AZ3499" s="750"/>
      <c r="BA3499" s="750"/>
      <c r="BB3499" s="750"/>
      <c r="BC3499" s="750"/>
      <c r="BD3499" s="750"/>
      <c r="BE3499" s="750"/>
      <c r="BF3499" s="750"/>
      <c r="BG3499" s="750"/>
      <c r="BH3499" s="750"/>
      <c r="BI3499" s="750"/>
      <c r="BJ3499" s="750"/>
      <c r="BK3499" s="750"/>
      <c r="BL3499" s="750"/>
      <c r="BM3499" s="750"/>
      <c r="BN3499" s="750"/>
      <c r="BO3499" s="750"/>
      <c r="BP3499" s="750"/>
      <c r="BQ3499" s="750"/>
    </row>
    <row r="3500" spans="3:69">
      <c r="C3500" s="853"/>
      <c r="D3500" s="853"/>
      <c r="E3500" s="853"/>
      <c r="F3500" s="853"/>
      <c r="G3500" s="853"/>
      <c r="H3500" s="853"/>
      <c r="I3500" s="848"/>
      <c r="J3500" s="848"/>
      <c r="K3500" s="1295"/>
      <c r="L3500" s="1295"/>
      <c r="M3500" s="1295"/>
      <c r="N3500" s="1295"/>
      <c r="O3500" s="1295"/>
      <c r="P3500" s="853"/>
      <c r="Q3500" s="1295"/>
      <c r="R3500" s="848"/>
      <c r="S3500" s="848"/>
      <c r="T3500" s="848"/>
      <c r="U3500" s="848"/>
      <c r="V3500" s="1296"/>
      <c r="W3500" s="848"/>
      <c r="X3500" s="848"/>
      <c r="Y3500" s="1295"/>
      <c r="Z3500" s="1296"/>
      <c r="AA3500" s="1295"/>
      <c r="AB3500" s="1296"/>
      <c r="AC3500" s="1295"/>
      <c r="AD3500" s="1295"/>
      <c r="AE3500" s="2556"/>
      <c r="AF3500" s="750"/>
      <c r="AG3500" s="750"/>
      <c r="AH3500" s="750"/>
      <c r="AI3500" s="750"/>
      <c r="AJ3500" s="750"/>
      <c r="AK3500" s="750"/>
      <c r="AL3500" s="750"/>
      <c r="AM3500" s="750"/>
      <c r="AN3500" s="750"/>
      <c r="AO3500" s="750"/>
      <c r="AP3500" s="750"/>
      <c r="AQ3500" s="750"/>
      <c r="AR3500" s="750"/>
      <c r="AS3500" s="750"/>
      <c r="AT3500" s="750"/>
      <c r="AU3500" s="750"/>
      <c r="AV3500" s="750"/>
      <c r="AW3500" s="750"/>
      <c r="AX3500" s="750"/>
      <c r="AY3500" s="750"/>
      <c r="AZ3500" s="750"/>
      <c r="BA3500" s="750"/>
      <c r="BB3500" s="750"/>
      <c r="BC3500" s="750"/>
      <c r="BD3500" s="750"/>
      <c r="BE3500" s="750"/>
      <c r="BF3500" s="750"/>
      <c r="BG3500" s="750"/>
      <c r="BH3500" s="750"/>
      <c r="BI3500" s="750"/>
      <c r="BJ3500" s="750"/>
      <c r="BK3500" s="750"/>
      <c r="BL3500" s="750"/>
      <c r="BM3500" s="750"/>
      <c r="BN3500" s="750"/>
      <c r="BO3500" s="750"/>
      <c r="BP3500" s="750"/>
      <c r="BQ3500" s="750"/>
    </row>
    <row r="3501" spans="3:69">
      <c r="C3501" s="853"/>
      <c r="D3501" s="853"/>
      <c r="E3501" s="853"/>
      <c r="F3501" s="853"/>
      <c r="G3501" s="853"/>
      <c r="H3501" s="853"/>
      <c r="I3501" s="848"/>
      <c r="J3501" s="848"/>
      <c r="K3501" s="1295"/>
      <c r="L3501" s="1295"/>
      <c r="M3501" s="1295"/>
      <c r="N3501" s="1295"/>
      <c r="O3501" s="1295"/>
      <c r="P3501" s="853"/>
      <c r="Q3501" s="1295"/>
      <c r="R3501" s="848"/>
      <c r="S3501" s="848"/>
      <c r="T3501" s="848"/>
      <c r="U3501" s="848"/>
      <c r="V3501" s="1296"/>
      <c r="W3501" s="848"/>
      <c r="X3501" s="848"/>
      <c r="Y3501" s="1295"/>
      <c r="Z3501" s="1296"/>
      <c r="AA3501" s="1295"/>
      <c r="AB3501" s="1296"/>
      <c r="AC3501" s="1295"/>
      <c r="AD3501" s="1295"/>
      <c r="AE3501" s="2556"/>
      <c r="AF3501" s="750"/>
      <c r="AG3501" s="750"/>
      <c r="AH3501" s="750"/>
      <c r="AI3501" s="750"/>
      <c r="AJ3501" s="750"/>
      <c r="AK3501" s="750"/>
      <c r="AL3501" s="750"/>
      <c r="AM3501" s="750"/>
      <c r="AN3501" s="750"/>
      <c r="AO3501" s="750"/>
      <c r="AP3501" s="750"/>
      <c r="AQ3501" s="750"/>
      <c r="AR3501" s="750"/>
      <c r="AS3501" s="750"/>
      <c r="AT3501" s="750"/>
      <c r="AU3501" s="750"/>
      <c r="AV3501" s="750"/>
      <c r="AW3501" s="750"/>
      <c r="AX3501" s="750"/>
      <c r="AY3501" s="750"/>
      <c r="AZ3501" s="750"/>
      <c r="BA3501" s="750"/>
      <c r="BB3501" s="750"/>
      <c r="BC3501" s="750"/>
      <c r="BD3501" s="750"/>
      <c r="BE3501" s="750"/>
      <c r="BF3501" s="750"/>
      <c r="BG3501" s="750"/>
      <c r="BH3501" s="750"/>
      <c r="BI3501" s="750"/>
      <c r="BJ3501" s="750"/>
      <c r="BK3501" s="750"/>
      <c r="BL3501" s="750"/>
      <c r="BM3501" s="750"/>
      <c r="BN3501" s="750"/>
      <c r="BO3501" s="750"/>
      <c r="BP3501" s="750"/>
      <c r="BQ3501" s="750"/>
    </row>
    <row r="3502" spans="3:69">
      <c r="C3502" s="853"/>
      <c r="D3502" s="853"/>
      <c r="E3502" s="853"/>
      <c r="F3502" s="853"/>
      <c r="G3502" s="853"/>
      <c r="H3502" s="853"/>
      <c r="I3502" s="848"/>
      <c r="J3502" s="848"/>
      <c r="K3502" s="1295"/>
      <c r="L3502" s="1295"/>
      <c r="M3502" s="1295"/>
      <c r="N3502" s="1295"/>
      <c r="O3502" s="1295"/>
      <c r="P3502" s="853"/>
      <c r="Q3502" s="1295"/>
      <c r="R3502" s="848"/>
      <c r="S3502" s="848"/>
      <c r="T3502" s="848"/>
      <c r="U3502" s="848"/>
      <c r="V3502" s="1296"/>
      <c r="W3502" s="848"/>
      <c r="X3502" s="848"/>
      <c r="Y3502" s="1295"/>
      <c r="Z3502" s="1296"/>
      <c r="AA3502" s="1295"/>
      <c r="AB3502" s="1296"/>
      <c r="AC3502" s="1295"/>
      <c r="AD3502" s="1295"/>
      <c r="AE3502" s="2556"/>
      <c r="AF3502" s="750"/>
      <c r="AG3502" s="750"/>
      <c r="AH3502" s="750"/>
      <c r="AI3502" s="750"/>
      <c r="AJ3502" s="750"/>
      <c r="AK3502" s="750"/>
      <c r="AL3502" s="750"/>
      <c r="AM3502" s="750"/>
      <c r="AN3502" s="750"/>
      <c r="AO3502" s="750"/>
      <c r="AP3502" s="750"/>
      <c r="AQ3502" s="750"/>
      <c r="AR3502" s="750"/>
      <c r="AS3502" s="750"/>
      <c r="AT3502" s="750"/>
      <c r="AU3502" s="750"/>
      <c r="AV3502" s="750"/>
      <c r="AW3502" s="750"/>
      <c r="AX3502" s="750"/>
      <c r="AY3502" s="750"/>
      <c r="AZ3502" s="750"/>
      <c r="BA3502" s="750"/>
      <c r="BB3502" s="750"/>
      <c r="BC3502" s="750"/>
      <c r="BD3502" s="750"/>
      <c r="BE3502" s="750"/>
      <c r="BF3502" s="750"/>
      <c r="BG3502" s="750"/>
      <c r="BH3502" s="750"/>
      <c r="BI3502" s="750"/>
      <c r="BJ3502" s="750"/>
      <c r="BK3502" s="750"/>
      <c r="BL3502" s="750"/>
      <c r="BM3502" s="750"/>
      <c r="BN3502" s="750"/>
      <c r="BO3502" s="750"/>
      <c r="BP3502" s="750"/>
      <c r="BQ3502" s="750"/>
    </row>
    <row r="3503" spans="3:69">
      <c r="C3503" s="853"/>
      <c r="D3503" s="853"/>
      <c r="E3503" s="853"/>
      <c r="F3503" s="853"/>
      <c r="G3503" s="853"/>
      <c r="H3503" s="853"/>
      <c r="I3503" s="848"/>
      <c r="J3503" s="848"/>
      <c r="K3503" s="1295"/>
      <c r="L3503" s="1295"/>
      <c r="M3503" s="1295"/>
      <c r="N3503" s="1295"/>
      <c r="O3503" s="1295"/>
      <c r="P3503" s="853"/>
      <c r="Q3503" s="1295"/>
      <c r="R3503" s="848"/>
      <c r="S3503" s="848"/>
      <c r="T3503" s="848"/>
      <c r="U3503" s="848"/>
      <c r="V3503" s="1296"/>
      <c r="W3503" s="848"/>
      <c r="X3503" s="848"/>
      <c r="Y3503" s="1295"/>
      <c r="Z3503" s="1296"/>
      <c r="AA3503" s="1295"/>
      <c r="AB3503" s="1296"/>
      <c r="AC3503" s="1295"/>
      <c r="AD3503" s="1295"/>
      <c r="AE3503" s="2556"/>
      <c r="AF3503" s="750"/>
      <c r="AG3503" s="750"/>
      <c r="AH3503" s="750"/>
      <c r="AI3503" s="750"/>
      <c r="AJ3503" s="750"/>
      <c r="AK3503" s="750"/>
      <c r="AL3503" s="750"/>
      <c r="AM3503" s="750"/>
      <c r="AN3503" s="750"/>
      <c r="AO3503" s="750"/>
      <c r="AP3503" s="750"/>
      <c r="AQ3503" s="750"/>
      <c r="AR3503" s="750"/>
      <c r="AS3503" s="750"/>
      <c r="AT3503" s="750"/>
      <c r="AU3503" s="750"/>
      <c r="AV3503" s="750"/>
      <c r="AW3503" s="750"/>
      <c r="AX3503" s="750"/>
      <c r="AY3503" s="750"/>
      <c r="AZ3503" s="750"/>
      <c r="BA3503" s="750"/>
      <c r="BB3503" s="750"/>
      <c r="BC3503" s="750"/>
      <c r="BD3503" s="750"/>
      <c r="BE3503" s="750"/>
      <c r="BF3503" s="750"/>
      <c r="BG3503" s="750"/>
      <c r="BH3503" s="750"/>
      <c r="BI3503" s="750"/>
      <c r="BJ3503" s="750"/>
      <c r="BK3503" s="750"/>
      <c r="BL3503" s="750"/>
      <c r="BM3503" s="750"/>
      <c r="BN3503" s="750"/>
      <c r="BO3503" s="750"/>
      <c r="BP3503" s="750"/>
      <c r="BQ3503" s="750"/>
    </row>
    <row r="3504" spans="3:69">
      <c r="C3504" s="853"/>
      <c r="D3504" s="853"/>
      <c r="E3504" s="853"/>
      <c r="F3504" s="853"/>
      <c r="G3504" s="853"/>
      <c r="H3504" s="853"/>
      <c r="I3504" s="848"/>
      <c r="J3504" s="848"/>
      <c r="K3504" s="1295"/>
      <c r="L3504" s="1295"/>
      <c r="M3504" s="1295"/>
      <c r="N3504" s="1295"/>
      <c r="O3504" s="1295"/>
      <c r="P3504" s="853"/>
      <c r="Q3504" s="1295"/>
      <c r="R3504" s="848"/>
      <c r="S3504" s="848"/>
      <c r="T3504" s="848"/>
      <c r="U3504" s="848"/>
      <c r="V3504" s="1296"/>
      <c r="W3504" s="848"/>
      <c r="X3504" s="848"/>
      <c r="Y3504" s="1295"/>
      <c r="Z3504" s="1296"/>
      <c r="AA3504" s="1295"/>
      <c r="AB3504" s="1296"/>
      <c r="AC3504" s="1295"/>
      <c r="AD3504" s="1295"/>
      <c r="AE3504" s="2556"/>
      <c r="AF3504" s="750"/>
      <c r="AG3504" s="750"/>
      <c r="AH3504" s="750"/>
      <c r="AI3504" s="750"/>
      <c r="AJ3504" s="750"/>
      <c r="AK3504" s="750"/>
      <c r="AL3504" s="750"/>
      <c r="AM3504" s="750"/>
      <c r="AN3504" s="750"/>
      <c r="AO3504" s="750"/>
      <c r="AP3504" s="750"/>
      <c r="AQ3504" s="750"/>
      <c r="AR3504" s="750"/>
      <c r="AS3504" s="750"/>
      <c r="AT3504" s="750"/>
      <c r="AU3504" s="750"/>
      <c r="AV3504" s="750"/>
      <c r="AW3504" s="750"/>
      <c r="AX3504" s="750"/>
      <c r="AY3504" s="750"/>
      <c r="AZ3504" s="750"/>
      <c r="BA3504" s="750"/>
      <c r="BB3504" s="750"/>
      <c r="BC3504" s="750"/>
      <c r="BD3504" s="750"/>
      <c r="BE3504" s="750"/>
      <c r="BF3504" s="750"/>
      <c r="BG3504" s="750"/>
      <c r="BH3504" s="750"/>
      <c r="BI3504" s="750"/>
      <c r="BJ3504" s="750"/>
      <c r="BK3504" s="750"/>
      <c r="BL3504" s="750"/>
      <c r="BM3504" s="750"/>
      <c r="BN3504" s="750"/>
      <c r="BO3504" s="750"/>
      <c r="BP3504" s="750"/>
      <c r="BQ3504" s="750"/>
    </row>
    <row r="3505" spans="3:69">
      <c r="C3505" s="853"/>
      <c r="D3505" s="853"/>
      <c r="E3505" s="853"/>
      <c r="F3505" s="853"/>
      <c r="G3505" s="853"/>
      <c r="H3505" s="853"/>
      <c r="I3505" s="848"/>
      <c r="J3505" s="848"/>
      <c r="K3505" s="1295"/>
      <c r="L3505" s="1295"/>
      <c r="M3505" s="1295"/>
      <c r="N3505" s="1295"/>
      <c r="O3505" s="1295"/>
      <c r="P3505" s="853"/>
      <c r="Q3505" s="1295"/>
      <c r="R3505" s="848"/>
      <c r="S3505" s="848"/>
      <c r="T3505" s="848"/>
      <c r="U3505" s="848"/>
      <c r="V3505" s="1296"/>
      <c r="W3505" s="848"/>
      <c r="X3505" s="848"/>
      <c r="Y3505" s="1295"/>
      <c r="Z3505" s="1296"/>
      <c r="AA3505" s="1295"/>
      <c r="AB3505" s="1296"/>
      <c r="AC3505" s="1295"/>
      <c r="AD3505" s="1295"/>
      <c r="AE3505" s="2556"/>
      <c r="AF3505" s="750"/>
      <c r="AG3505" s="750"/>
      <c r="AH3505" s="750"/>
      <c r="AI3505" s="750"/>
      <c r="AJ3505" s="750"/>
      <c r="AK3505" s="750"/>
      <c r="AL3505" s="750"/>
      <c r="AM3505" s="750"/>
      <c r="AN3505" s="750"/>
      <c r="AO3505" s="750"/>
      <c r="AP3505" s="750"/>
      <c r="AQ3505" s="750"/>
      <c r="AR3505" s="750"/>
      <c r="AS3505" s="750"/>
      <c r="AT3505" s="750"/>
      <c r="AU3505" s="750"/>
      <c r="AV3505" s="750"/>
      <c r="AW3505" s="750"/>
      <c r="AX3505" s="750"/>
      <c r="AY3505" s="750"/>
      <c r="AZ3505" s="750"/>
      <c r="BA3505" s="750"/>
      <c r="BB3505" s="750"/>
      <c r="BC3505" s="750"/>
      <c r="BD3505" s="750"/>
      <c r="BE3505" s="750"/>
      <c r="BF3505" s="750"/>
      <c r="BG3505" s="750"/>
      <c r="BH3505" s="750"/>
      <c r="BI3505" s="750"/>
      <c r="BJ3505" s="750"/>
      <c r="BK3505" s="750"/>
      <c r="BL3505" s="750"/>
      <c r="BM3505" s="750"/>
      <c r="BN3505" s="750"/>
      <c r="BO3505" s="750"/>
      <c r="BP3505" s="750"/>
      <c r="BQ3505" s="750"/>
    </row>
    <row r="3506" spans="3:69">
      <c r="C3506" s="853"/>
      <c r="D3506" s="853"/>
      <c r="E3506" s="853"/>
      <c r="F3506" s="853"/>
      <c r="G3506" s="853"/>
      <c r="H3506" s="853"/>
      <c r="I3506" s="848"/>
      <c r="J3506" s="848"/>
      <c r="K3506" s="1295"/>
      <c r="L3506" s="1295"/>
      <c r="M3506" s="1295"/>
      <c r="N3506" s="1295"/>
      <c r="O3506" s="1295"/>
      <c r="P3506" s="853"/>
      <c r="Q3506" s="1295"/>
      <c r="R3506" s="848"/>
      <c r="S3506" s="848"/>
      <c r="T3506" s="848"/>
      <c r="U3506" s="848"/>
      <c r="V3506" s="1296"/>
      <c r="W3506" s="848"/>
      <c r="X3506" s="848"/>
      <c r="Y3506" s="1295"/>
      <c r="Z3506" s="1296"/>
      <c r="AA3506" s="1295"/>
      <c r="AB3506" s="1296"/>
      <c r="AC3506" s="1295"/>
      <c r="AD3506" s="1295"/>
      <c r="AE3506" s="2556"/>
      <c r="AF3506" s="750"/>
      <c r="AG3506" s="750"/>
      <c r="AH3506" s="750"/>
      <c r="AI3506" s="750"/>
      <c r="AJ3506" s="750"/>
      <c r="AK3506" s="750"/>
      <c r="AL3506" s="750"/>
      <c r="AM3506" s="750"/>
      <c r="AN3506" s="750"/>
      <c r="AO3506" s="750"/>
      <c r="AP3506" s="750"/>
      <c r="AQ3506" s="750"/>
      <c r="AR3506" s="750"/>
      <c r="AS3506" s="750"/>
      <c r="AT3506" s="750"/>
      <c r="AU3506" s="750"/>
      <c r="AV3506" s="750"/>
      <c r="AW3506" s="750"/>
      <c r="AX3506" s="750"/>
      <c r="AY3506" s="750"/>
      <c r="AZ3506" s="750"/>
      <c r="BA3506" s="750"/>
      <c r="BB3506" s="750"/>
      <c r="BC3506" s="750"/>
      <c r="BD3506" s="750"/>
      <c r="BE3506" s="750"/>
      <c r="BF3506" s="750"/>
      <c r="BG3506" s="750"/>
      <c r="BH3506" s="750"/>
      <c r="BI3506" s="750"/>
      <c r="BJ3506" s="750"/>
      <c r="BK3506" s="750"/>
      <c r="BL3506" s="750"/>
      <c r="BM3506" s="750"/>
      <c r="BN3506" s="750"/>
      <c r="BO3506" s="750"/>
      <c r="BP3506" s="750"/>
      <c r="BQ3506" s="750"/>
    </row>
    <row r="3507" spans="3:69">
      <c r="C3507" s="853"/>
      <c r="D3507" s="853"/>
      <c r="E3507" s="853"/>
      <c r="F3507" s="853"/>
      <c r="G3507" s="853"/>
      <c r="H3507" s="853"/>
      <c r="I3507" s="848"/>
      <c r="J3507" s="848"/>
      <c r="K3507" s="1295"/>
      <c r="L3507" s="1295"/>
      <c r="M3507" s="1295"/>
      <c r="N3507" s="1295"/>
      <c r="O3507" s="1295"/>
      <c r="P3507" s="853"/>
      <c r="Q3507" s="1295"/>
      <c r="R3507" s="848"/>
      <c r="S3507" s="848"/>
      <c r="T3507" s="848"/>
      <c r="U3507" s="848"/>
      <c r="V3507" s="1296"/>
      <c r="W3507" s="848"/>
      <c r="X3507" s="848"/>
      <c r="Y3507" s="1295"/>
      <c r="Z3507" s="1296"/>
      <c r="AA3507" s="1295"/>
      <c r="AB3507" s="1296"/>
      <c r="AC3507" s="1295"/>
      <c r="AD3507" s="1295"/>
      <c r="AE3507" s="2556"/>
      <c r="AF3507" s="750"/>
      <c r="AG3507" s="750"/>
      <c r="AH3507" s="750"/>
      <c r="AI3507" s="750"/>
      <c r="AJ3507" s="750"/>
      <c r="AK3507" s="750"/>
      <c r="AL3507" s="750"/>
      <c r="AM3507" s="750"/>
      <c r="AN3507" s="750"/>
      <c r="AO3507" s="750"/>
      <c r="AP3507" s="750"/>
      <c r="AQ3507" s="750"/>
      <c r="AR3507" s="750"/>
      <c r="AS3507" s="750"/>
      <c r="AT3507" s="750"/>
      <c r="AU3507" s="750"/>
      <c r="AV3507" s="750"/>
      <c r="AW3507" s="750"/>
      <c r="AX3507" s="750"/>
      <c r="AY3507" s="750"/>
      <c r="AZ3507" s="750"/>
      <c r="BA3507" s="750"/>
      <c r="BB3507" s="750"/>
      <c r="BC3507" s="750"/>
      <c r="BD3507" s="750"/>
      <c r="BE3507" s="750"/>
      <c r="BF3507" s="750"/>
      <c r="BG3507" s="750"/>
      <c r="BH3507" s="750"/>
      <c r="BI3507" s="750"/>
      <c r="BJ3507" s="750"/>
      <c r="BK3507" s="750"/>
      <c r="BL3507" s="750"/>
      <c r="BM3507" s="750"/>
      <c r="BN3507" s="750"/>
      <c r="BO3507" s="750"/>
      <c r="BP3507" s="750"/>
      <c r="BQ3507" s="750"/>
    </row>
    <row r="3508" spans="3:69">
      <c r="C3508" s="853"/>
      <c r="D3508" s="853"/>
      <c r="E3508" s="853"/>
      <c r="F3508" s="853"/>
      <c r="G3508" s="853"/>
      <c r="H3508" s="853"/>
      <c r="I3508" s="848"/>
      <c r="J3508" s="848"/>
      <c r="K3508" s="1295"/>
      <c r="L3508" s="1295"/>
      <c r="M3508" s="1295"/>
      <c r="N3508" s="1295"/>
      <c r="O3508" s="1295"/>
      <c r="P3508" s="853"/>
      <c r="Q3508" s="1295"/>
      <c r="R3508" s="848"/>
      <c r="S3508" s="848"/>
      <c r="T3508" s="848"/>
      <c r="U3508" s="848"/>
      <c r="V3508" s="1296"/>
      <c r="W3508" s="848"/>
      <c r="X3508" s="848"/>
      <c r="Y3508" s="1295"/>
      <c r="Z3508" s="1296"/>
      <c r="AA3508" s="1295"/>
      <c r="AB3508" s="1296"/>
      <c r="AC3508" s="1295"/>
      <c r="AD3508" s="1295"/>
      <c r="AE3508" s="2556"/>
      <c r="AF3508" s="750"/>
      <c r="AG3508" s="750"/>
      <c r="AH3508" s="750"/>
      <c r="AI3508" s="750"/>
      <c r="AJ3508" s="750"/>
      <c r="AK3508" s="750"/>
      <c r="AL3508" s="750"/>
      <c r="AM3508" s="750"/>
      <c r="AN3508" s="750"/>
      <c r="AO3508" s="750"/>
      <c r="AP3508" s="750"/>
      <c r="AQ3508" s="750"/>
      <c r="AR3508" s="750"/>
      <c r="AS3508" s="750"/>
      <c r="AT3508" s="750"/>
      <c r="AU3508" s="750"/>
      <c r="AV3508" s="750"/>
      <c r="AW3508" s="750"/>
      <c r="AX3508" s="750"/>
      <c r="AY3508" s="750"/>
      <c r="AZ3508" s="750"/>
      <c r="BA3508" s="750"/>
      <c r="BB3508" s="750"/>
      <c r="BC3508" s="750"/>
      <c r="BD3508" s="750"/>
      <c r="BE3508" s="750"/>
      <c r="BF3508" s="750"/>
      <c r="BG3508" s="750"/>
      <c r="BH3508" s="750"/>
      <c r="BI3508" s="750"/>
      <c r="BJ3508" s="750"/>
      <c r="BK3508" s="750"/>
      <c r="BL3508" s="750"/>
      <c r="BM3508" s="750"/>
      <c r="BN3508" s="750"/>
      <c r="BO3508" s="750"/>
      <c r="BP3508" s="750"/>
      <c r="BQ3508" s="750"/>
    </row>
    <row r="3509" spans="3:69">
      <c r="C3509" s="853"/>
      <c r="D3509" s="853"/>
      <c r="E3509" s="853"/>
      <c r="F3509" s="853"/>
      <c r="G3509" s="853"/>
      <c r="H3509" s="853"/>
      <c r="I3509" s="848"/>
      <c r="J3509" s="848"/>
      <c r="K3509" s="1295"/>
      <c r="L3509" s="1295"/>
      <c r="M3509" s="1295"/>
      <c r="N3509" s="1295"/>
      <c r="O3509" s="1295"/>
      <c r="P3509" s="853"/>
      <c r="Q3509" s="1295"/>
      <c r="R3509" s="848"/>
      <c r="S3509" s="848"/>
      <c r="T3509" s="848"/>
      <c r="U3509" s="848"/>
      <c r="V3509" s="1296"/>
      <c r="W3509" s="848"/>
      <c r="X3509" s="848"/>
      <c r="Y3509" s="1295"/>
      <c r="Z3509" s="1296"/>
      <c r="AA3509" s="1295"/>
      <c r="AB3509" s="1296"/>
      <c r="AC3509" s="1295"/>
      <c r="AD3509" s="1295"/>
      <c r="AE3509" s="2556"/>
      <c r="AF3509" s="750"/>
      <c r="AG3509" s="750"/>
      <c r="AH3509" s="750"/>
      <c r="AI3509" s="750"/>
      <c r="AJ3509" s="750"/>
      <c r="AK3509" s="750"/>
      <c r="AL3509" s="750"/>
      <c r="AM3509" s="750"/>
      <c r="AN3509" s="750"/>
      <c r="AO3509" s="750"/>
      <c r="AP3509" s="750"/>
      <c r="AQ3509" s="750"/>
      <c r="AR3509" s="750"/>
      <c r="AS3509" s="750"/>
      <c r="AT3509" s="750"/>
      <c r="AU3509" s="750"/>
      <c r="AV3509" s="750"/>
      <c r="AW3509" s="750"/>
      <c r="AX3509" s="750"/>
      <c r="AY3509" s="750"/>
      <c r="AZ3509" s="750"/>
      <c r="BA3509" s="750"/>
      <c r="BB3509" s="750"/>
      <c r="BC3509" s="750"/>
      <c r="BD3509" s="750"/>
      <c r="BE3509" s="750"/>
      <c r="BF3509" s="750"/>
      <c r="BG3509" s="750"/>
      <c r="BH3509" s="750"/>
      <c r="BI3509" s="750"/>
      <c r="BJ3509" s="750"/>
      <c r="BK3509" s="750"/>
      <c r="BL3509" s="750"/>
      <c r="BM3509" s="750"/>
      <c r="BN3509" s="750"/>
      <c r="BO3509" s="750"/>
      <c r="BP3509" s="750"/>
      <c r="BQ3509" s="750"/>
    </row>
    <row r="3510" spans="3:69">
      <c r="C3510" s="853"/>
      <c r="D3510" s="853"/>
      <c r="E3510" s="853"/>
      <c r="F3510" s="853"/>
      <c r="G3510" s="853"/>
      <c r="H3510" s="853"/>
      <c r="I3510" s="848"/>
      <c r="J3510" s="848"/>
      <c r="K3510" s="1295"/>
      <c r="L3510" s="1295"/>
      <c r="M3510" s="1295"/>
      <c r="N3510" s="1295"/>
      <c r="O3510" s="1295"/>
      <c r="P3510" s="853"/>
      <c r="Q3510" s="1295"/>
      <c r="R3510" s="848"/>
      <c r="S3510" s="848"/>
      <c r="T3510" s="848"/>
      <c r="U3510" s="848"/>
      <c r="V3510" s="1296"/>
      <c r="W3510" s="848"/>
      <c r="X3510" s="848"/>
      <c r="Y3510" s="1295"/>
      <c r="Z3510" s="1296"/>
      <c r="AA3510" s="1295"/>
      <c r="AB3510" s="1296"/>
      <c r="AC3510" s="1295"/>
      <c r="AD3510" s="1295"/>
      <c r="AE3510" s="2556"/>
      <c r="AF3510" s="750"/>
      <c r="AG3510" s="750"/>
      <c r="AH3510" s="750"/>
      <c r="AI3510" s="750"/>
      <c r="AJ3510" s="750"/>
      <c r="AK3510" s="750"/>
      <c r="AL3510" s="750"/>
      <c r="AM3510" s="750"/>
      <c r="AN3510" s="750"/>
      <c r="AO3510" s="750"/>
      <c r="AP3510" s="750"/>
      <c r="AQ3510" s="750"/>
      <c r="AR3510" s="750"/>
      <c r="AS3510" s="750"/>
      <c r="AT3510" s="750"/>
      <c r="AU3510" s="750"/>
      <c r="AV3510" s="750"/>
      <c r="AW3510" s="750"/>
      <c r="AX3510" s="750"/>
      <c r="AY3510" s="750"/>
      <c r="AZ3510" s="750"/>
      <c r="BA3510" s="750"/>
      <c r="BB3510" s="750"/>
      <c r="BC3510" s="750"/>
      <c r="BD3510" s="750"/>
      <c r="BE3510" s="750"/>
      <c r="BF3510" s="750"/>
      <c r="BG3510" s="750"/>
      <c r="BH3510" s="750"/>
      <c r="BI3510" s="750"/>
      <c r="BJ3510" s="750"/>
      <c r="BK3510" s="750"/>
      <c r="BL3510" s="750"/>
      <c r="BM3510" s="750"/>
      <c r="BN3510" s="750"/>
      <c r="BO3510" s="750"/>
      <c r="BP3510" s="750"/>
      <c r="BQ3510" s="750"/>
    </row>
    <row r="3511" spans="3:69">
      <c r="C3511" s="853"/>
      <c r="D3511" s="853"/>
      <c r="E3511" s="853"/>
      <c r="F3511" s="853"/>
      <c r="G3511" s="853"/>
      <c r="H3511" s="853"/>
      <c r="I3511" s="848"/>
      <c r="J3511" s="848"/>
      <c r="K3511" s="1295"/>
      <c r="L3511" s="1295"/>
      <c r="M3511" s="1295"/>
      <c r="N3511" s="1295"/>
      <c r="O3511" s="1295"/>
      <c r="P3511" s="853"/>
      <c r="Q3511" s="1295"/>
      <c r="R3511" s="848"/>
      <c r="S3511" s="848"/>
      <c r="T3511" s="848"/>
      <c r="U3511" s="848"/>
      <c r="V3511" s="1296"/>
      <c r="W3511" s="848"/>
      <c r="X3511" s="848"/>
      <c r="Y3511" s="1295"/>
      <c r="Z3511" s="1296"/>
      <c r="AA3511" s="1295"/>
      <c r="AB3511" s="1296"/>
      <c r="AC3511" s="1295"/>
      <c r="AD3511" s="1295"/>
      <c r="AE3511" s="2556"/>
      <c r="AF3511" s="750"/>
      <c r="AG3511" s="750"/>
      <c r="AH3511" s="750"/>
      <c r="AI3511" s="750"/>
      <c r="AJ3511" s="750"/>
      <c r="AK3511" s="750"/>
      <c r="AL3511" s="750"/>
      <c r="AM3511" s="750"/>
      <c r="AN3511" s="750"/>
      <c r="AO3511" s="750"/>
      <c r="AP3511" s="750"/>
      <c r="AQ3511" s="750"/>
      <c r="AR3511" s="750"/>
      <c r="AS3511" s="750"/>
      <c r="AT3511" s="750"/>
      <c r="AU3511" s="750"/>
      <c r="AV3511" s="750"/>
      <c r="AW3511" s="750"/>
      <c r="AX3511" s="750"/>
      <c r="AY3511" s="750"/>
      <c r="AZ3511" s="750"/>
      <c r="BA3511" s="750"/>
      <c r="BB3511" s="750"/>
      <c r="BC3511" s="750"/>
      <c r="BD3511" s="750"/>
      <c r="BE3511" s="750"/>
      <c r="BF3511" s="750"/>
      <c r="BG3511" s="750"/>
      <c r="BH3511" s="750"/>
      <c r="BI3511" s="750"/>
      <c r="BJ3511" s="750"/>
      <c r="BK3511" s="750"/>
      <c r="BL3511" s="750"/>
      <c r="BM3511" s="750"/>
      <c r="BN3511" s="750"/>
      <c r="BO3511" s="750"/>
      <c r="BP3511" s="750"/>
      <c r="BQ3511" s="750"/>
    </row>
    <row r="3512" spans="3:69">
      <c r="C3512" s="853"/>
      <c r="D3512" s="853"/>
      <c r="E3512" s="853"/>
      <c r="F3512" s="853"/>
      <c r="G3512" s="853"/>
      <c r="H3512" s="853"/>
      <c r="I3512" s="848"/>
      <c r="J3512" s="848"/>
      <c r="K3512" s="1295"/>
      <c r="L3512" s="1295"/>
      <c r="M3512" s="1295"/>
      <c r="N3512" s="1295"/>
      <c r="O3512" s="1295"/>
      <c r="P3512" s="853"/>
      <c r="Q3512" s="1295"/>
      <c r="R3512" s="848"/>
      <c r="S3512" s="848"/>
      <c r="T3512" s="848"/>
      <c r="U3512" s="848"/>
      <c r="V3512" s="1296"/>
      <c r="W3512" s="848"/>
      <c r="X3512" s="848"/>
      <c r="Y3512" s="1295"/>
      <c r="Z3512" s="1296"/>
      <c r="AA3512" s="1295"/>
      <c r="AB3512" s="1296"/>
      <c r="AC3512" s="1295"/>
      <c r="AD3512" s="1295"/>
      <c r="AE3512" s="2556"/>
      <c r="AF3512" s="750"/>
      <c r="AG3512" s="750"/>
      <c r="AH3512" s="750"/>
      <c r="AI3512" s="750"/>
      <c r="AJ3512" s="750"/>
      <c r="AK3512" s="750"/>
      <c r="AL3512" s="750"/>
      <c r="AM3512" s="750"/>
      <c r="AN3512" s="750"/>
      <c r="AO3512" s="750"/>
      <c r="AP3512" s="750"/>
      <c r="AQ3512" s="750"/>
      <c r="AR3512" s="750"/>
      <c r="AS3512" s="750"/>
      <c r="AT3512" s="750"/>
      <c r="AU3512" s="750"/>
      <c r="AV3512" s="750"/>
      <c r="AW3512" s="750"/>
      <c r="AX3512" s="750"/>
      <c r="AY3512" s="750"/>
      <c r="AZ3512" s="750"/>
      <c r="BA3512" s="750"/>
      <c r="BB3512" s="750"/>
      <c r="BC3512" s="750"/>
      <c r="BD3512" s="750"/>
      <c r="BE3512" s="750"/>
      <c r="BF3512" s="750"/>
      <c r="BG3512" s="750"/>
      <c r="BH3512" s="750"/>
      <c r="BI3512" s="750"/>
      <c r="BJ3512" s="750"/>
      <c r="BK3512" s="750"/>
      <c r="BL3512" s="750"/>
      <c r="BM3512" s="750"/>
      <c r="BN3512" s="750"/>
      <c r="BO3512" s="750"/>
      <c r="BP3512" s="750"/>
      <c r="BQ3512" s="750"/>
    </row>
    <row r="3513" spans="3:69">
      <c r="C3513" s="853"/>
      <c r="D3513" s="853"/>
      <c r="E3513" s="853"/>
      <c r="F3513" s="853"/>
      <c r="G3513" s="853"/>
      <c r="H3513" s="853"/>
      <c r="I3513" s="848"/>
      <c r="J3513" s="848"/>
      <c r="K3513" s="1295"/>
      <c r="L3513" s="1295"/>
      <c r="M3513" s="1295"/>
      <c r="N3513" s="1295"/>
      <c r="O3513" s="1295"/>
      <c r="P3513" s="853"/>
      <c r="Q3513" s="1295"/>
      <c r="R3513" s="848"/>
      <c r="S3513" s="848"/>
      <c r="T3513" s="848"/>
      <c r="U3513" s="848"/>
      <c r="V3513" s="1296"/>
      <c r="W3513" s="848"/>
      <c r="X3513" s="848"/>
      <c r="Y3513" s="1295"/>
      <c r="Z3513" s="1296"/>
      <c r="AA3513" s="1295"/>
      <c r="AB3513" s="1296"/>
      <c r="AC3513" s="1295"/>
      <c r="AD3513" s="1295"/>
      <c r="AE3513" s="2556"/>
      <c r="AF3513" s="750"/>
      <c r="AG3513" s="750"/>
      <c r="AH3513" s="750"/>
      <c r="AI3513" s="750"/>
      <c r="AJ3513" s="750"/>
      <c r="AK3513" s="750"/>
      <c r="AL3513" s="750"/>
      <c r="AM3513" s="750"/>
      <c r="AN3513" s="750"/>
      <c r="AO3513" s="750"/>
      <c r="AP3513" s="750"/>
      <c r="AQ3513" s="750"/>
      <c r="AR3513" s="750"/>
      <c r="AS3513" s="750"/>
      <c r="AT3513" s="750"/>
      <c r="AU3513" s="750"/>
      <c r="AV3513" s="750"/>
      <c r="AW3513" s="750"/>
      <c r="AX3513" s="750"/>
      <c r="AY3513" s="750"/>
      <c r="AZ3513" s="750"/>
      <c r="BA3513" s="750"/>
      <c r="BB3513" s="750"/>
      <c r="BC3513" s="750"/>
      <c r="BD3513" s="750"/>
      <c r="BE3513" s="750"/>
      <c r="BF3513" s="750"/>
      <c r="BG3513" s="750"/>
      <c r="BH3513" s="750"/>
      <c r="BI3513" s="750"/>
      <c r="BJ3513" s="750"/>
      <c r="BK3513" s="750"/>
      <c r="BL3513" s="750"/>
      <c r="BM3513" s="750"/>
      <c r="BN3513" s="750"/>
      <c r="BO3513" s="750"/>
      <c r="BP3513" s="750"/>
      <c r="BQ3513" s="750"/>
    </row>
    <row r="3514" spans="3:69">
      <c r="C3514" s="853"/>
      <c r="D3514" s="853"/>
      <c r="E3514" s="853"/>
      <c r="F3514" s="853"/>
      <c r="G3514" s="853"/>
      <c r="H3514" s="853"/>
      <c r="I3514" s="848"/>
      <c r="J3514" s="848"/>
      <c r="K3514" s="1295"/>
      <c r="L3514" s="1295"/>
      <c r="M3514" s="1295"/>
      <c r="N3514" s="1295"/>
      <c r="O3514" s="1295"/>
      <c r="P3514" s="853"/>
      <c r="Q3514" s="1295"/>
      <c r="R3514" s="848"/>
      <c r="S3514" s="848"/>
      <c r="T3514" s="848"/>
      <c r="U3514" s="848"/>
      <c r="V3514" s="1296"/>
      <c r="W3514" s="848"/>
      <c r="X3514" s="848"/>
      <c r="Y3514" s="1295"/>
      <c r="Z3514" s="1296"/>
      <c r="AA3514" s="1295"/>
      <c r="AB3514" s="1296"/>
      <c r="AC3514" s="1295"/>
      <c r="AD3514" s="1295"/>
      <c r="AE3514" s="2556"/>
      <c r="AF3514" s="750"/>
      <c r="AG3514" s="750"/>
      <c r="AH3514" s="750"/>
      <c r="AI3514" s="750"/>
      <c r="AJ3514" s="750"/>
      <c r="AK3514" s="750"/>
      <c r="AL3514" s="750"/>
      <c r="AM3514" s="750"/>
      <c r="AN3514" s="750"/>
      <c r="AO3514" s="750"/>
      <c r="AP3514" s="750"/>
      <c r="AQ3514" s="750"/>
      <c r="AR3514" s="750"/>
      <c r="AS3514" s="750"/>
      <c r="AT3514" s="750"/>
      <c r="AU3514" s="750"/>
      <c r="AV3514" s="750"/>
      <c r="AW3514" s="750"/>
      <c r="AX3514" s="750"/>
      <c r="AY3514" s="750"/>
      <c r="AZ3514" s="750"/>
      <c r="BA3514" s="750"/>
      <c r="BB3514" s="750"/>
      <c r="BC3514" s="750"/>
      <c r="BD3514" s="750"/>
      <c r="BE3514" s="750"/>
      <c r="BF3514" s="750"/>
      <c r="BG3514" s="750"/>
      <c r="BH3514" s="750"/>
      <c r="BI3514" s="750"/>
      <c r="BJ3514" s="750"/>
      <c r="BK3514" s="750"/>
      <c r="BL3514" s="750"/>
      <c r="BM3514" s="750"/>
      <c r="BN3514" s="750"/>
      <c r="BO3514" s="750"/>
      <c r="BP3514" s="750"/>
      <c r="BQ3514" s="750"/>
    </row>
    <row r="3515" spans="3:69">
      <c r="C3515" s="853"/>
      <c r="D3515" s="853"/>
      <c r="E3515" s="853"/>
      <c r="F3515" s="853"/>
      <c r="G3515" s="853"/>
      <c r="H3515" s="853"/>
      <c r="I3515" s="848"/>
      <c r="J3515" s="848"/>
      <c r="K3515" s="1295"/>
      <c r="L3515" s="1295"/>
      <c r="M3515" s="1295"/>
      <c r="N3515" s="1295"/>
      <c r="O3515" s="1295"/>
      <c r="P3515" s="853"/>
      <c r="Q3515" s="1295"/>
      <c r="R3515" s="848"/>
      <c r="S3515" s="848"/>
      <c r="T3515" s="848"/>
      <c r="U3515" s="848"/>
      <c r="V3515" s="1296"/>
      <c r="W3515" s="848"/>
      <c r="X3515" s="848"/>
      <c r="Y3515" s="1295"/>
      <c r="Z3515" s="1296"/>
      <c r="AA3515" s="1295"/>
      <c r="AB3515" s="1296"/>
      <c r="AC3515" s="1295"/>
      <c r="AD3515" s="1295"/>
      <c r="AE3515" s="2556"/>
      <c r="AF3515" s="750"/>
      <c r="AG3515" s="750"/>
      <c r="AH3515" s="750"/>
      <c r="AI3515" s="750"/>
      <c r="AJ3515" s="750"/>
      <c r="AK3515" s="750"/>
      <c r="AL3515" s="750"/>
      <c r="AM3515" s="750"/>
      <c r="AN3515" s="750"/>
      <c r="AO3515" s="750"/>
      <c r="AP3515" s="750"/>
      <c r="AQ3515" s="750"/>
      <c r="AR3515" s="750"/>
      <c r="AS3515" s="750"/>
      <c r="AT3515" s="750"/>
      <c r="AU3515" s="750"/>
      <c r="AV3515" s="750"/>
      <c r="AW3515" s="750"/>
      <c r="AX3515" s="750"/>
      <c r="AY3515" s="750"/>
      <c r="AZ3515" s="750"/>
      <c r="BA3515" s="750"/>
      <c r="BB3515" s="750"/>
      <c r="BC3515" s="750"/>
      <c r="BD3515" s="750"/>
      <c r="BE3515" s="750"/>
      <c r="BF3515" s="750"/>
      <c r="BG3515" s="750"/>
      <c r="BH3515" s="750"/>
      <c r="BI3515" s="750"/>
      <c r="BJ3515" s="750"/>
      <c r="BK3515" s="750"/>
      <c r="BL3515" s="750"/>
      <c r="BM3515" s="750"/>
      <c r="BN3515" s="750"/>
      <c r="BO3515" s="750"/>
      <c r="BP3515" s="750"/>
      <c r="BQ3515" s="750"/>
    </row>
    <row r="3516" spans="3:69">
      <c r="C3516" s="853"/>
      <c r="D3516" s="853"/>
      <c r="E3516" s="853"/>
      <c r="F3516" s="853"/>
      <c r="G3516" s="853"/>
      <c r="H3516" s="853"/>
      <c r="I3516" s="848"/>
      <c r="J3516" s="848"/>
      <c r="K3516" s="1295"/>
      <c r="L3516" s="1295"/>
      <c r="M3516" s="1295"/>
      <c r="N3516" s="1295"/>
      <c r="O3516" s="1295"/>
      <c r="P3516" s="853"/>
      <c r="Q3516" s="1295"/>
      <c r="R3516" s="848"/>
      <c r="S3516" s="848"/>
      <c r="T3516" s="848"/>
      <c r="U3516" s="848"/>
      <c r="V3516" s="1296"/>
      <c r="W3516" s="848"/>
      <c r="X3516" s="848"/>
      <c r="Y3516" s="1295"/>
      <c r="Z3516" s="1296"/>
      <c r="AA3516" s="1295"/>
      <c r="AB3516" s="1296"/>
      <c r="AC3516" s="1295"/>
      <c r="AD3516" s="1295"/>
      <c r="AE3516" s="2556"/>
      <c r="AF3516" s="750"/>
      <c r="AG3516" s="750"/>
      <c r="AH3516" s="750"/>
      <c r="AI3516" s="750"/>
      <c r="AJ3516" s="750"/>
      <c r="AK3516" s="750"/>
      <c r="AL3516" s="750"/>
      <c r="AM3516" s="750"/>
      <c r="AN3516" s="750"/>
      <c r="AO3516" s="750"/>
      <c r="AP3516" s="750"/>
      <c r="AQ3516" s="750"/>
      <c r="AR3516" s="750"/>
      <c r="AS3516" s="750"/>
      <c r="AT3516" s="750"/>
      <c r="AU3516" s="750"/>
      <c r="AV3516" s="750"/>
      <c r="AW3516" s="750"/>
      <c r="AX3516" s="750"/>
      <c r="AY3516" s="750"/>
      <c r="AZ3516" s="750"/>
      <c r="BA3516" s="750"/>
      <c r="BB3516" s="750"/>
      <c r="BC3516" s="750"/>
      <c r="BD3516" s="750"/>
      <c r="BE3516" s="750"/>
      <c r="BF3516" s="750"/>
      <c r="BG3516" s="750"/>
      <c r="BH3516" s="750"/>
      <c r="BI3516" s="750"/>
      <c r="BJ3516" s="750"/>
      <c r="BK3516" s="750"/>
      <c r="BL3516" s="750"/>
      <c r="BM3516" s="750"/>
      <c r="BN3516" s="750"/>
      <c r="BO3516" s="750"/>
      <c r="BP3516" s="750"/>
      <c r="BQ3516" s="750"/>
    </row>
    <row r="3517" spans="3:69">
      <c r="C3517" s="853"/>
      <c r="D3517" s="853"/>
      <c r="E3517" s="853"/>
      <c r="F3517" s="853"/>
      <c r="G3517" s="853"/>
      <c r="H3517" s="853"/>
      <c r="I3517" s="848"/>
      <c r="J3517" s="848"/>
      <c r="K3517" s="1295"/>
      <c r="L3517" s="1295"/>
      <c r="M3517" s="1295"/>
      <c r="N3517" s="1295"/>
      <c r="O3517" s="1295"/>
      <c r="P3517" s="853"/>
      <c r="Q3517" s="1295"/>
      <c r="R3517" s="848"/>
      <c r="S3517" s="848"/>
      <c r="T3517" s="848"/>
      <c r="U3517" s="848"/>
      <c r="V3517" s="1296"/>
      <c r="W3517" s="848"/>
      <c r="X3517" s="848"/>
      <c r="Y3517" s="1295"/>
      <c r="Z3517" s="1296"/>
      <c r="AA3517" s="1295"/>
      <c r="AB3517" s="1296"/>
      <c r="AC3517" s="1295"/>
      <c r="AD3517" s="1295"/>
      <c r="AE3517" s="2556"/>
      <c r="AF3517" s="750"/>
      <c r="AG3517" s="750"/>
      <c r="AH3517" s="750"/>
      <c r="AI3517" s="750"/>
      <c r="AJ3517" s="750"/>
      <c r="AK3517" s="750"/>
      <c r="AL3517" s="750"/>
      <c r="AM3517" s="750"/>
      <c r="AN3517" s="750"/>
      <c r="AO3517" s="750"/>
      <c r="AP3517" s="750"/>
      <c r="AQ3517" s="750"/>
      <c r="AR3517" s="750"/>
      <c r="AS3517" s="750"/>
      <c r="AT3517" s="750"/>
      <c r="AU3517" s="750"/>
      <c r="AV3517" s="750"/>
      <c r="AW3517" s="750"/>
      <c r="AX3517" s="750"/>
      <c r="AY3517" s="750"/>
      <c r="AZ3517" s="750"/>
      <c r="BA3517" s="750"/>
      <c r="BB3517" s="750"/>
      <c r="BC3517" s="750"/>
      <c r="BD3517" s="750"/>
      <c r="BE3517" s="750"/>
      <c r="BF3517" s="750"/>
      <c r="BG3517" s="750"/>
      <c r="BH3517" s="750"/>
      <c r="BI3517" s="750"/>
      <c r="BJ3517" s="750"/>
      <c r="BK3517" s="750"/>
      <c r="BL3517" s="750"/>
      <c r="BM3517" s="750"/>
      <c r="BN3517" s="750"/>
      <c r="BO3517" s="750"/>
      <c r="BP3517" s="750"/>
      <c r="BQ3517" s="750"/>
    </row>
    <row r="3518" spans="3:69">
      <c r="C3518" s="853"/>
      <c r="D3518" s="853"/>
      <c r="E3518" s="853"/>
      <c r="F3518" s="853"/>
      <c r="G3518" s="853"/>
      <c r="H3518" s="853"/>
      <c r="I3518" s="848"/>
      <c r="J3518" s="848"/>
      <c r="K3518" s="1295"/>
      <c r="L3518" s="1295"/>
      <c r="M3518" s="1295"/>
      <c r="N3518" s="1295"/>
      <c r="O3518" s="1295"/>
      <c r="P3518" s="853"/>
      <c r="Q3518" s="1295"/>
      <c r="R3518" s="848"/>
      <c r="S3518" s="848"/>
      <c r="T3518" s="848"/>
      <c r="U3518" s="848"/>
      <c r="V3518" s="1296"/>
      <c r="W3518" s="848"/>
      <c r="X3518" s="848"/>
      <c r="Y3518" s="1295"/>
      <c r="Z3518" s="1296"/>
      <c r="AA3518" s="1295"/>
      <c r="AB3518" s="1296"/>
      <c r="AC3518" s="1295"/>
      <c r="AD3518" s="1295"/>
      <c r="AE3518" s="2556"/>
      <c r="AF3518" s="750"/>
      <c r="AG3518" s="750"/>
      <c r="AH3518" s="750"/>
      <c r="AI3518" s="750"/>
      <c r="AJ3518" s="750"/>
      <c r="AK3518" s="750"/>
      <c r="AL3518" s="750"/>
      <c r="AM3518" s="750"/>
      <c r="AN3518" s="750"/>
      <c r="AO3518" s="750"/>
      <c r="AP3518" s="750"/>
      <c r="AQ3518" s="750"/>
      <c r="AR3518" s="750"/>
      <c r="AS3518" s="750"/>
      <c r="AT3518" s="750"/>
      <c r="AU3518" s="750"/>
      <c r="AV3518" s="750"/>
      <c r="AW3518" s="750"/>
      <c r="AX3518" s="750"/>
      <c r="AY3518" s="750"/>
      <c r="AZ3518" s="750"/>
      <c r="BA3518" s="750"/>
      <c r="BB3518" s="750"/>
      <c r="BC3518" s="750"/>
      <c r="BD3518" s="750"/>
      <c r="BE3518" s="750"/>
      <c r="BF3518" s="750"/>
      <c r="BG3518" s="750"/>
      <c r="BH3518" s="750"/>
      <c r="BI3518" s="750"/>
      <c r="BJ3518" s="750"/>
      <c r="BK3518" s="750"/>
      <c r="BL3518" s="750"/>
      <c r="BM3518" s="750"/>
      <c r="BN3518" s="750"/>
      <c r="BO3518" s="750"/>
      <c r="BP3518" s="750"/>
      <c r="BQ3518" s="750"/>
    </row>
    <row r="3519" spans="3:69">
      <c r="C3519" s="853"/>
      <c r="D3519" s="853"/>
      <c r="E3519" s="853"/>
      <c r="F3519" s="853"/>
      <c r="G3519" s="853"/>
      <c r="H3519" s="853"/>
      <c r="I3519" s="848"/>
      <c r="J3519" s="848"/>
      <c r="K3519" s="1295"/>
      <c r="L3519" s="1295"/>
      <c r="M3519" s="1295"/>
      <c r="N3519" s="1295"/>
      <c r="O3519" s="1295"/>
      <c r="P3519" s="853"/>
      <c r="Q3519" s="1295"/>
      <c r="R3519" s="848"/>
      <c r="S3519" s="848"/>
      <c r="T3519" s="848"/>
      <c r="U3519" s="848"/>
      <c r="V3519" s="1296"/>
      <c r="W3519" s="848"/>
      <c r="X3519" s="848"/>
      <c r="Y3519" s="1295"/>
      <c r="Z3519" s="1296"/>
      <c r="AA3519" s="1295"/>
      <c r="AB3519" s="1296"/>
      <c r="AC3519" s="1295"/>
      <c r="AD3519" s="1295"/>
      <c r="AE3519" s="2556"/>
      <c r="AF3519" s="750"/>
      <c r="AG3519" s="750"/>
      <c r="AH3519" s="750"/>
      <c r="AI3519" s="750"/>
      <c r="AJ3519" s="750"/>
      <c r="AK3519" s="750"/>
      <c r="AL3519" s="750"/>
      <c r="AM3519" s="750"/>
      <c r="AN3519" s="750"/>
      <c r="AO3519" s="750"/>
      <c r="AP3519" s="750"/>
      <c r="AQ3519" s="750"/>
      <c r="AR3519" s="750"/>
      <c r="AS3519" s="750"/>
      <c r="AT3519" s="750"/>
      <c r="AU3519" s="750"/>
      <c r="AV3519" s="750"/>
      <c r="AW3519" s="750"/>
      <c r="AX3519" s="750"/>
      <c r="AY3519" s="750"/>
      <c r="AZ3519" s="750"/>
      <c r="BA3519" s="750"/>
      <c r="BB3519" s="750"/>
      <c r="BC3519" s="750"/>
      <c r="BD3519" s="750"/>
      <c r="BE3519" s="750"/>
      <c r="BF3519" s="750"/>
      <c r="BG3519" s="750"/>
      <c r="BH3519" s="750"/>
      <c r="BI3519" s="750"/>
      <c r="BJ3519" s="750"/>
      <c r="BK3519" s="750"/>
      <c r="BL3519" s="750"/>
      <c r="BM3519" s="750"/>
      <c r="BN3519" s="750"/>
      <c r="BO3519" s="750"/>
      <c r="BP3519" s="750"/>
      <c r="BQ3519" s="750"/>
    </row>
    <row r="3520" spans="3:69">
      <c r="C3520" s="853"/>
      <c r="D3520" s="853"/>
      <c r="E3520" s="853"/>
      <c r="F3520" s="853"/>
      <c r="G3520" s="853"/>
      <c r="H3520" s="853"/>
      <c r="I3520" s="848"/>
      <c r="J3520" s="848"/>
      <c r="K3520" s="1295"/>
      <c r="L3520" s="1295"/>
      <c r="M3520" s="1295"/>
      <c r="N3520" s="1295"/>
      <c r="O3520" s="1295"/>
      <c r="P3520" s="853"/>
      <c r="Q3520" s="1295"/>
      <c r="R3520" s="848"/>
      <c r="S3520" s="848"/>
      <c r="T3520" s="848"/>
      <c r="U3520" s="848"/>
      <c r="V3520" s="1296"/>
      <c r="W3520" s="848"/>
      <c r="X3520" s="848"/>
      <c r="Y3520" s="1295"/>
      <c r="Z3520" s="1296"/>
      <c r="AA3520" s="1295"/>
      <c r="AB3520" s="1296"/>
      <c r="AC3520" s="1295"/>
      <c r="AD3520" s="1295"/>
      <c r="AE3520" s="2556"/>
      <c r="AF3520" s="750"/>
      <c r="AG3520" s="750"/>
      <c r="AH3520" s="750"/>
      <c r="AI3520" s="750"/>
      <c r="AJ3520" s="750"/>
      <c r="AK3520" s="750"/>
      <c r="AL3520" s="750"/>
      <c r="AM3520" s="750"/>
      <c r="AN3520" s="750"/>
      <c r="AO3520" s="750"/>
      <c r="AP3520" s="750"/>
      <c r="AQ3520" s="750"/>
      <c r="AR3520" s="750"/>
      <c r="AS3520" s="750"/>
      <c r="AT3520" s="750"/>
      <c r="AU3520" s="750"/>
      <c r="AV3520" s="750"/>
      <c r="AW3520" s="750"/>
      <c r="AX3520" s="750"/>
      <c r="AY3520" s="750"/>
      <c r="AZ3520" s="750"/>
      <c r="BA3520" s="750"/>
      <c r="BB3520" s="750"/>
      <c r="BC3520" s="750"/>
      <c r="BD3520" s="750"/>
      <c r="BE3520" s="750"/>
      <c r="BF3520" s="750"/>
      <c r="BG3520" s="750"/>
      <c r="BH3520" s="750"/>
      <c r="BI3520" s="750"/>
      <c r="BJ3520" s="750"/>
      <c r="BK3520" s="750"/>
      <c r="BL3520" s="750"/>
      <c r="BM3520" s="750"/>
      <c r="BN3520" s="750"/>
      <c r="BO3520" s="750"/>
      <c r="BP3520" s="750"/>
      <c r="BQ3520" s="750"/>
    </row>
    <row r="3521" spans="3:69">
      <c r="C3521" s="853"/>
      <c r="D3521" s="853"/>
      <c r="E3521" s="853"/>
      <c r="F3521" s="853"/>
      <c r="G3521" s="853"/>
      <c r="H3521" s="853"/>
      <c r="I3521" s="848"/>
      <c r="J3521" s="848"/>
      <c r="K3521" s="1295"/>
      <c r="L3521" s="1295"/>
      <c r="M3521" s="1295"/>
      <c r="N3521" s="1295"/>
      <c r="O3521" s="1295"/>
      <c r="P3521" s="853"/>
      <c r="Q3521" s="1295"/>
      <c r="R3521" s="848"/>
      <c r="S3521" s="848"/>
      <c r="T3521" s="848"/>
      <c r="U3521" s="848"/>
      <c r="V3521" s="1296"/>
      <c r="W3521" s="848"/>
      <c r="X3521" s="848"/>
      <c r="Y3521" s="1295"/>
      <c r="Z3521" s="1296"/>
      <c r="AA3521" s="1295"/>
      <c r="AB3521" s="1296"/>
      <c r="AC3521" s="1295"/>
      <c r="AD3521" s="1295"/>
      <c r="AE3521" s="2556"/>
      <c r="AF3521" s="750"/>
      <c r="AG3521" s="750"/>
      <c r="AH3521" s="750"/>
      <c r="AI3521" s="750"/>
      <c r="AJ3521" s="750"/>
      <c r="AK3521" s="750"/>
      <c r="AL3521" s="750"/>
      <c r="AM3521" s="750"/>
      <c r="AN3521" s="750"/>
      <c r="AO3521" s="750"/>
      <c r="AP3521" s="750"/>
      <c r="AQ3521" s="750"/>
      <c r="AR3521" s="750"/>
      <c r="AS3521" s="750"/>
      <c r="AT3521" s="750"/>
      <c r="AU3521" s="750"/>
      <c r="AV3521" s="750"/>
      <c r="AW3521" s="750"/>
      <c r="AX3521" s="750"/>
      <c r="AY3521" s="750"/>
      <c r="AZ3521" s="750"/>
      <c r="BA3521" s="750"/>
      <c r="BB3521" s="750"/>
      <c r="BC3521" s="750"/>
      <c r="BD3521" s="750"/>
      <c r="BE3521" s="750"/>
      <c r="BF3521" s="750"/>
      <c r="BG3521" s="750"/>
      <c r="BH3521" s="750"/>
      <c r="BI3521" s="750"/>
      <c r="BJ3521" s="750"/>
      <c r="BK3521" s="750"/>
      <c r="BL3521" s="750"/>
      <c r="BM3521" s="750"/>
      <c r="BN3521" s="750"/>
      <c r="BO3521" s="750"/>
      <c r="BP3521" s="750"/>
      <c r="BQ3521" s="750"/>
    </row>
    <row r="3522" spans="3:69">
      <c r="C3522" s="853"/>
      <c r="D3522" s="853"/>
      <c r="E3522" s="853"/>
      <c r="F3522" s="853"/>
      <c r="G3522" s="853"/>
      <c r="H3522" s="853"/>
      <c r="I3522" s="848"/>
      <c r="J3522" s="848"/>
      <c r="K3522" s="1295"/>
      <c r="L3522" s="1295"/>
      <c r="M3522" s="1295"/>
      <c r="N3522" s="1295"/>
      <c r="O3522" s="1295"/>
      <c r="P3522" s="853"/>
      <c r="Q3522" s="1295"/>
      <c r="R3522" s="848"/>
      <c r="S3522" s="848"/>
      <c r="T3522" s="848"/>
      <c r="U3522" s="848"/>
      <c r="V3522" s="1296"/>
      <c r="W3522" s="848"/>
      <c r="X3522" s="848"/>
      <c r="Y3522" s="1295"/>
      <c r="Z3522" s="1296"/>
      <c r="AA3522" s="1295"/>
      <c r="AB3522" s="1296"/>
      <c r="AC3522" s="1295"/>
      <c r="AD3522" s="1295"/>
      <c r="AE3522" s="2556"/>
      <c r="AF3522" s="750"/>
      <c r="AG3522" s="750"/>
      <c r="AH3522" s="750"/>
      <c r="AI3522" s="750"/>
      <c r="AJ3522" s="750"/>
      <c r="AK3522" s="750"/>
      <c r="AL3522" s="750"/>
      <c r="AM3522" s="750"/>
      <c r="AN3522" s="750"/>
      <c r="AO3522" s="750"/>
      <c r="AP3522" s="750"/>
      <c r="AQ3522" s="750"/>
      <c r="AR3522" s="750"/>
      <c r="AS3522" s="750"/>
      <c r="AT3522" s="750"/>
      <c r="AU3522" s="750"/>
      <c r="AV3522" s="750"/>
      <c r="AW3522" s="750"/>
      <c r="AX3522" s="750"/>
      <c r="AY3522" s="750"/>
      <c r="AZ3522" s="750"/>
      <c r="BA3522" s="750"/>
      <c r="BB3522" s="750"/>
      <c r="BC3522" s="750"/>
      <c r="BD3522" s="750"/>
      <c r="BE3522" s="750"/>
      <c r="BF3522" s="750"/>
      <c r="BG3522" s="750"/>
      <c r="BH3522" s="750"/>
      <c r="BI3522" s="750"/>
      <c r="BJ3522" s="750"/>
      <c r="BK3522" s="750"/>
      <c r="BL3522" s="750"/>
      <c r="BM3522" s="750"/>
      <c r="BN3522" s="750"/>
      <c r="BO3522" s="750"/>
      <c r="BP3522" s="750"/>
      <c r="BQ3522" s="750"/>
    </row>
    <row r="3523" spans="3:69">
      <c r="C3523" s="853"/>
      <c r="D3523" s="853"/>
      <c r="E3523" s="853"/>
      <c r="F3523" s="853"/>
      <c r="G3523" s="853"/>
      <c r="H3523" s="853"/>
      <c r="I3523" s="848"/>
      <c r="J3523" s="848"/>
      <c r="K3523" s="1295"/>
      <c r="L3523" s="1295"/>
      <c r="M3523" s="1295"/>
      <c r="N3523" s="1295"/>
      <c r="O3523" s="1295"/>
      <c r="P3523" s="853"/>
      <c r="Q3523" s="1295"/>
      <c r="R3523" s="848"/>
      <c r="S3523" s="848"/>
      <c r="T3523" s="848"/>
      <c r="U3523" s="848"/>
      <c r="V3523" s="1296"/>
      <c r="W3523" s="848"/>
      <c r="X3523" s="848"/>
      <c r="Y3523" s="1295"/>
      <c r="Z3523" s="1296"/>
      <c r="AA3523" s="1295"/>
      <c r="AB3523" s="1296"/>
      <c r="AC3523" s="1295"/>
      <c r="AD3523" s="1295"/>
      <c r="AE3523" s="2556"/>
      <c r="AF3523" s="750"/>
      <c r="AG3523" s="750"/>
      <c r="AH3523" s="750"/>
      <c r="AI3523" s="750"/>
      <c r="AJ3523" s="750"/>
      <c r="AK3523" s="750"/>
      <c r="AL3523" s="750"/>
      <c r="AM3523" s="750"/>
      <c r="AN3523" s="750"/>
      <c r="AO3523" s="750"/>
      <c r="AP3523" s="750"/>
      <c r="AQ3523" s="750"/>
      <c r="AR3523" s="750"/>
      <c r="AS3523" s="750"/>
      <c r="AT3523" s="750"/>
      <c r="AU3523" s="750"/>
      <c r="AV3523" s="750"/>
      <c r="AW3523" s="750"/>
      <c r="AX3523" s="750"/>
      <c r="AY3523" s="750"/>
      <c r="AZ3523" s="750"/>
      <c r="BA3523" s="750"/>
      <c r="BB3523" s="750"/>
      <c r="BC3523" s="750"/>
      <c r="BD3523" s="750"/>
      <c r="BE3523" s="750"/>
      <c r="BF3523" s="750"/>
      <c r="BG3523" s="750"/>
      <c r="BH3523" s="750"/>
      <c r="BI3523" s="750"/>
      <c r="BJ3523" s="750"/>
      <c r="BK3523" s="750"/>
      <c r="BL3523" s="750"/>
      <c r="BM3523" s="750"/>
      <c r="BN3523" s="750"/>
      <c r="BO3523" s="750"/>
      <c r="BP3523" s="750"/>
      <c r="BQ3523" s="750"/>
    </row>
    <row r="3524" spans="3:69">
      <c r="C3524" s="853"/>
      <c r="D3524" s="853"/>
      <c r="E3524" s="853"/>
      <c r="F3524" s="853"/>
      <c r="G3524" s="853"/>
      <c r="H3524" s="853"/>
      <c r="I3524" s="848"/>
      <c r="J3524" s="848"/>
      <c r="K3524" s="1295"/>
      <c r="L3524" s="1295"/>
      <c r="M3524" s="1295"/>
      <c r="N3524" s="1295"/>
      <c r="O3524" s="1295"/>
      <c r="P3524" s="853"/>
      <c r="Q3524" s="1295"/>
      <c r="R3524" s="848"/>
      <c r="S3524" s="848"/>
      <c r="T3524" s="848"/>
      <c r="U3524" s="848"/>
      <c r="V3524" s="1296"/>
      <c r="W3524" s="848"/>
      <c r="X3524" s="848"/>
      <c r="Y3524" s="1295"/>
      <c r="Z3524" s="1296"/>
      <c r="AA3524" s="1295"/>
      <c r="AB3524" s="1296"/>
      <c r="AC3524" s="1295"/>
      <c r="AD3524" s="1295"/>
      <c r="AE3524" s="2556"/>
      <c r="AF3524" s="750"/>
      <c r="AG3524" s="750"/>
      <c r="AH3524" s="750"/>
      <c r="AI3524" s="750"/>
      <c r="AJ3524" s="750"/>
      <c r="AK3524" s="750"/>
      <c r="AL3524" s="750"/>
      <c r="AM3524" s="750"/>
      <c r="AN3524" s="750"/>
      <c r="AO3524" s="750"/>
      <c r="AP3524" s="750"/>
      <c r="AQ3524" s="750"/>
      <c r="AR3524" s="750"/>
      <c r="AS3524" s="750"/>
      <c r="AT3524" s="750"/>
      <c r="AU3524" s="750"/>
      <c r="AV3524" s="750"/>
      <c r="AW3524" s="750"/>
      <c r="AX3524" s="750"/>
      <c r="AY3524" s="750"/>
      <c r="AZ3524" s="750"/>
      <c r="BA3524" s="750"/>
      <c r="BB3524" s="750"/>
      <c r="BC3524" s="750"/>
      <c r="BD3524" s="750"/>
      <c r="BE3524" s="750"/>
      <c r="BF3524" s="750"/>
      <c r="BG3524" s="750"/>
      <c r="BH3524" s="750"/>
      <c r="BI3524" s="750"/>
      <c r="BJ3524" s="750"/>
      <c r="BK3524" s="750"/>
      <c r="BL3524" s="750"/>
      <c r="BM3524" s="750"/>
      <c r="BN3524" s="750"/>
      <c r="BO3524" s="750"/>
      <c r="BP3524" s="750"/>
      <c r="BQ3524" s="750"/>
    </row>
    <row r="3525" spans="3:69">
      <c r="C3525" s="853"/>
      <c r="D3525" s="853"/>
      <c r="E3525" s="853"/>
      <c r="F3525" s="853"/>
      <c r="G3525" s="853"/>
      <c r="H3525" s="853"/>
      <c r="I3525" s="848"/>
      <c r="J3525" s="848"/>
      <c r="K3525" s="1295"/>
      <c r="L3525" s="1295"/>
      <c r="M3525" s="1295"/>
      <c r="N3525" s="1295"/>
      <c r="O3525" s="1295"/>
      <c r="P3525" s="853"/>
      <c r="Q3525" s="1295"/>
      <c r="R3525" s="848"/>
      <c r="S3525" s="848"/>
      <c r="T3525" s="848"/>
      <c r="U3525" s="848"/>
      <c r="V3525" s="1296"/>
      <c r="W3525" s="848"/>
      <c r="X3525" s="848"/>
      <c r="Y3525" s="1295"/>
      <c r="Z3525" s="1296"/>
      <c r="AA3525" s="1295"/>
      <c r="AB3525" s="1296"/>
      <c r="AC3525" s="1295"/>
      <c r="AD3525" s="1295"/>
      <c r="AE3525" s="2556"/>
      <c r="AF3525" s="750"/>
      <c r="AG3525" s="750"/>
      <c r="AH3525" s="750"/>
      <c r="AI3525" s="750"/>
      <c r="AJ3525" s="750"/>
      <c r="AK3525" s="750"/>
      <c r="AL3525" s="750"/>
      <c r="AM3525" s="750"/>
      <c r="AN3525" s="750"/>
      <c r="AO3525" s="750"/>
      <c r="AP3525" s="750"/>
      <c r="AQ3525" s="750"/>
      <c r="AR3525" s="750"/>
      <c r="AS3525" s="750"/>
      <c r="AT3525" s="750"/>
      <c r="AU3525" s="750"/>
      <c r="AV3525" s="750"/>
      <c r="AW3525" s="750"/>
      <c r="AX3525" s="750"/>
      <c r="AY3525" s="750"/>
      <c r="AZ3525" s="750"/>
      <c r="BA3525" s="750"/>
      <c r="BB3525" s="750"/>
      <c r="BC3525" s="750"/>
      <c r="BD3525" s="750"/>
      <c r="BE3525" s="750"/>
      <c r="BF3525" s="750"/>
      <c r="BG3525" s="750"/>
      <c r="BH3525" s="750"/>
      <c r="BI3525" s="750"/>
      <c r="BJ3525" s="750"/>
      <c r="BK3525" s="750"/>
      <c r="BL3525" s="750"/>
      <c r="BM3525" s="750"/>
      <c r="BN3525" s="750"/>
      <c r="BO3525" s="750"/>
      <c r="BP3525" s="750"/>
      <c r="BQ3525" s="750"/>
    </row>
    <row r="3526" spans="3:69">
      <c r="C3526" s="853"/>
      <c r="D3526" s="853"/>
      <c r="E3526" s="853"/>
      <c r="F3526" s="853"/>
      <c r="G3526" s="853"/>
      <c r="H3526" s="853"/>
      <c r="I3526" s="848"/>
      <c r="J3526" s="848"/>
      <c r="K3526" s="1295"/>
      <c r="L3526" s="1295"/>
      <c r="M3526" s="1295"/>
      <c r="N3526" s="1295"/>
      <c r="O3526" s="1295"/>
      <c r="P3526" s="853"/>
      <c r="Q3526" s="1295"/>
      <c r="R3526" s="848"/>
      <c r="S3526" s="848"/>
      <c r="T3526" s="848"/>
      <c r="U3526" s="848"/>
      <c r="V3526" s="1296"/>
      <c r="W3526" s="848"/>
      <c r="X3526" s="848"/>
      <c r="Y3526" s="1295"/>
      <c r="Z3526" s="1296"/>
      <c r="AA3526" s="1295"/>
      <c r="AB3526" s="1296"/>
      <c r="AC3526" s="1295"/>
      <c r="AD3526" s="1295"/>
      <c r="AE3526" s="2556"/>
      <c r="AF3526" s="750"/>
      <c r="AG3526" s="750"/>
      <c r="AH3526" s="750"/>
      <c r="AI3526" s="750"/>
      <c r="AJ3526" s="750"/>
      <c r="AK3526" s="750"/>
      <c r="AL3526" s="750"/>
      <c r="AM3526" s="750"/>
      <c r="AN3526" s="750"/>
      <c r="AO3526" s="750"/>
      <c r="AP3526" s="750"/>
      <c r="AQ3526" s="750"/>
      <c r="AR3526" s="750"/>
      <c r="AS3526" s="750"/>
      <c r="AT3526" s="750"/>
      <c r="AU3526" s="750"/>
      <c r="AV3526" s="750"/>
      <c r="AW3526" s="750"/>
      <c r="AX3526" s="750"/>
      <c r="AY3526" s="750"/>
      <c r="AZ3526" s="750"/>
      <c r="BA3526" s="750"/>
      <c r="BB3526" s="750"/>
      <c r="BC3526" s="750"/>
      <c r="BD3526" s="750"/>
      <c r="BE3526" s="750"/>
      <c r="BF3526" s="750"/>
      <c r="BG3526" s="750"/>
      <c r="BH3526" s="750"/>
      <c r="BI3526" s="750"/>
      <c r="BJ3526" s="750"/>
      <c r="BK3526" s="750"/>
      <c r="BL3526" s="750"/>
      <c r="BM3526" s="750"/>
      <c r="BN3526" s="750"/>
      <c r="BO3526" s="750"/>
      <c r="BP3526" s="750"/>
      <c r="BQ3526" s="750"/>
    </row>
    <row r="3527" spans="3:69">
      <c r="C3527" s="853"/>
      <c r="D3527" s="853"/>
      <c r="E3527" s="853"/>
      <c r="F3527" s="853"/>
      <c r="G3527" s="853"/>
      <c r="H3527" s="853"/>
      <c r="I3527" s="848"/>
      <c r="J3527" s="848"/>
      <c r="K3527" s="1295"/>
      <c r="L3527" s="1295"/>
      <c r="M3527" s="1295"/>
      <c r="N3527" s="1295"/>
      <c r="O3527" s="1295"/>
      <c r="P3527" s="853"/>
      <c r="Q3527" s="1295"/>
      <c r="R3527" s="848"/>
      <c r="S3527" s="848"/>
      <c r="T3527" s="848"/>
      <c r="U3527" s="848"/>
      <c r="V3527" s="1296"/>
      <c r="W3527" s="848"/>
      <c r="X3527" s="848"/>
      <c r="Y3527" s="1295"/>
      <c r="Z3527" s="1296"/>
      <c r="AA3527" s="1295"/>
      <c r="AB3527" s="1296"/>
      <c r="AC3527" s="1295"/>
      <c r="AD3527" s="1295"/>
      <c r="AE3527" s="2556"/>
      <c r="AF3527" s="750"/>
      <c r="AG3527" s="750"/>
      <c r="AH3527" s="750"/>
      <c r="AI3527" s="750"/>
      <c r="AJ3527" s="750"/>
      <c r="AK3527" s="750"/>
      <c r="AL3527" s="750"/>
      <c r="AM3527" s="750"/>
      <c r="AN3527" s="750"/>
      <c r="AO3527" s="750"/>
      <c r="AP3527" s="750"/>
      <c r="AQ3527" s="750"/>
      <c r="AR3527" s="750"/>
      <c r="AS3527" s="750"/>
      <c r="AT3527" s="750"/>
      <c r="AU3527" s="750"/>
      <c r="AV3527" s="750"/>
      <c r="AW3527" s="750"/>
      <c r="AX3527" s="750"/>
      <c r="AY3527" s="750"/>
      <c r="AZ3527" s="750"/>
      <c r="BA3527" s="750"/>
      <c r="BB3527" s="750"/>
      <c r="BC3527" s="750"/>
      <c r="BD3527" s="750"/>
      <c r="BE3527" s="750"/>
      <c r="BF3527" s="750"/>
      <c r="BG3527" s="750"/>
      <c r="BH3527" s="750"/>
      <c r="BI3527" s="750"/>
      <c r="BJ3527" s="750"/>
      <c r="BK3527" s="750"/>
      <c r="BL3527" s="750"/>
      <c r="BM3527" s="750"/>
      <c r="BN3527" s="750"/>
      <c r="BO3527" s="750"/>
      <c r="BP3527" s="750"/>
      <c r="BQ3527" s="750"/>
    </row>
    <row r="3528" spans="3:69">
      <c r="C3528" s="853"/>
      <c r="D3528" s="853"/>
      <c r="E3528" s="853"/>
      <c r="F3528" s="853"/>
      <c r="G3528" s="853"/>
      <c r="H3528" s="853"/>
      <c r="I3528" s="848"/>
      <c r="J3528" s="848"/>
      <c r="K3528" s="1295"/>
      <c r="L3528" s="1295"/>
      <c r="M3528" s="1295"/>
      <c r="N3528" s="1295"/>
      <c r="O3528" s="1295"/>
      <c r="P3528" s="853"/>
      <c r="Q3528" s="1295"/>
      <c r="R3528" s="848"/>
      <c r="S3528" s="848"/>
      <c r="T3528" s="848"/>
      <c r="U3528" s="848"/>
      <c r="V3528" s="1296"/>
      <c r="W3528" s="848"/>
      <c r="X3528" s="848"/>
      <c r="Y3528" s="1295"/>
      <c r="Z3528" s="1296"/>
      <c r="AA3528" s="1295"/>
      <c r="AB3528" s="1296"/>
      <c r="AC3528" s="1295"/>
      <c r="AD3528" s="1295"/>
      <c r="AE3528" s="2556"/>
      <c r="AF3528" s="750"/>
      <c r="AG3528" s="750"/>
      <c r="AH3528" s="750"/>
      <c r="AI3528" s="750"/>
      <c r="AJ3528" s="750"/>
      <c r="AK3528" s="750"/>
      <c r="AL3528" s="750"/>
      <c r="AM3528" s="750"/>
      <c r="AN3528" s="750"/>
      <c r="AO3528" s="750"/>
      <c r="AP3528" s="750"/>
      <c r="AQ3528" s="750"/>
      <c r="AR3528" s="750"/>
      <c r="AS3528" s="750"/>
      <c r="AT3528" s="750"/>
      <c r="AU3528" s="750"/>
      <c r="AV3528" s="750"/>
      <c r="AW3528" s="750"/>
      <c r="AX3528" s="750"/>
      <c r="AY3528" s="750"/>
      <c r="AZ3528" s="750"/>
      <c r="BA3528" s="750"/>
      <c r="BB3528" s="750"/>
      <c r="BC3528" s="750"/>
      <c r="BD3528" s="750"/>
      <c r="BE3528" s="750"/>
      <c r="BF3528" s="750"/>
      <c r="BG3528" s="750"/>
      <c r="BH3528" s="750"/>
      <c r="BI3528" s="750"/>
      <c r="BJ3528" s="750"/>
      <c r="BK3528" s="750"/>
      <c r="BL3528" s="750"/>
      <c r="BM3528" s="750"/>
      <c r="BN3528" s="750"/>
      <c r="BO3528" s="750"/>
      <c r="BP3528" s="750"/>
      <c r="BQ3528" s="750"/>
    </row>
    <row r="3529" spans="3:69">
      <c r="C3529" s="853"/>
      <c r="D3529" s="853"/>
      <c r="E3529" s="853"/>
      <c r="F3529" s="853"/>
      <c r="G3529" s="853"/>
      <c r="H3529" s="853"/>
      <c r="I3529" s="848"/>
      <c r="J3529" s="848"/>
      <c r="K3529" s="1295"/>
      <c r="L3529" s="1295"/>
      <c r="M3529" s="1295"/>
      <c r="N3529" s="1295"/>
      <c r="O3529" s="1295"/>
      <c r="P3529" s="853"/>
      <c r="Q3529" s="1295"/>
      <c r="R3529" s="848"/>
      <c r="S3529" s="848"/>
      <c r="T3529" s="848"/>
      <c r="U3529" s="848"/>
      <c r="V3529" s="1296"/>
      <c r="W3529" s="848"/>
      <c r="X3529" s="848"/>
      <c r="Y3529" s="1295"/>
      <c r="Z3529" s="1296"/>
      <c r="AA3529" s="1295"/>
      <c r="AB3529" s="1296"/>
      <c r="AC3529" s="1295"/>
      <c r="AD3529" s="1295"/>
      <c r="AE3529" s="2556"/>
      <c r="AF3529" s="750"/>
      <c r="AG3529" s="750"/>
      <c r="AH3529" s="750"/>
      <c r="AI3529" s="750"/>
      <c r="AJ3529" s="750"/>
      <c r="AK3529" s="750"/>
      <c r="AL3529" s="750"/>
      <c r="AM3529" s="750"/>
      <c r="AN3529" s="750"/>
      <c r="AO3529" s="750"/>
      <c r="AP3529" s="750"/>
      <c r="AQ3529" s="750"/>
      <c r="AR3529" s="750"/>
      <c r="AS3529" s="750"/>
      <c r="AT3529" s="750"/>
      <c r="AU3529" s="750"/>
      <c r="AV3529" s="750"/>
      <c r="AW3529" s="750"/>
      <c r="AX3529" s="750"/>
      <c r="AY3529" s="750"/>
      <c r="AZ3529" s="750"/>
      <c r="BA3529" s="750"/>
      <c r="BB3529" s="750"/>
      <c r="BC3529" s="750"/>
      <c r="BD3529" s="750"/>
      <c r="BE3529" s="750"/>
      <c r="BF3529" s="750"/>
      <c r="BG3529" s="750"/>
      <c r="BH3529" s="750"/>
      <c r="BI3529" s="750"/>
      <c r="BJ3529" s="750"/>
      <c r="BK3529" s="750"/>
      <c r="BL3529" s="750"/>
      <c r="BM3529" s="750"/>
      <c r="BN3529" s="750"/>
      <c r="BO3529" s="750"/>
      <c r="BP3529" s="750"/>
      <c r="BQ3529" s="750"/>
    </row>
    <row r="3530" spans="3:69">
      <c r="C3530" s="853"/>
      <c r="D3530" s="853"/>
      <c r="E3530" s="853"/>
      <c r="F3530" s="853"/>
      <c r="G3530" s="853"/>
      <c r="H3530" s="853"/>
      <c r="I3530" s="848"/>
      <c r="J3530" s="848"/>
      <c r="K3530" s="1295"/>
      <c r="L3530" s="1295"/>
      <c r="M3530" s="1295"/>
      <c r="N3530" s="1295"/>
      <c r="O3530" s="1295"/>
      <c r="P3530" s="853"/>
      <c r="Q3530" s="1295"/>
      <c r="R3530" s="848"/>
      <c r="S3530" s="848"/>
      <c r="T3530" s="848"/>
      <c r="U3530" s="848"/>
      <c r="V3530" s="1296"/>
      <c r="W3530" s="848"/>
      <c r="X3530" s="848"/>
      <c r="Y3530" s="1295"/>
      <c r="Z3530" s="1296"/>
      <c r="AA3530" s="1295"/>
      <c r="AB3530" s="1296"/>
      <c r="AC3530" s="1295"/>
      <c r="AD3530" s="1295"/>
      <c r="AE3530" s="2556"/>
      <c r="AF3530" s="750"/>
      <c r="AG3530" s="750"/>
      <c r="AH3530" s="750"/>
      <c r="AI3530" s="750"/>
      <c r="AJ3530" s="750"/>
      <c r="AK3530" s="750"/>
      <c r="AL3530" s="750"/>
      <c r="AM3530" s="750"/>
      <c r="AN3530" s="750"/>
      <c r="AO3530" s="750"/>
      <c r="AP3530" s="750"/>
      <c r="AQ3530" s="750"/>
      <c r="AR3530" s="750"/>
      <c r="AS3530" s="750"/>
      <c r="AT3530" s="750"/>
      <c r="AU3530" s="750"/>
      <c r="AV3530" s="750"/>
      <c r="AW3530" s="750"/>
      <c r="AX3530" s="750"/>
      <c r="AY3530" s="750"/>
      <c r="AZ3530" s="750"/>
      <c r="BA3530" s="750"/>
      <c r="BB3530" s="750"/>
      <c r="BC3530" s="750"/>
      <c r="BD3530" s="750"/>
      <c r="BE3530" s="750"/>
      <c r="BF3530" s="750"/>
      <c r="BG3530" s="750"/>
      <c r="BH3530" s="750"/>
      <c r="BI3530" s="750"/>
      <c r="BJ3530" s="750"/>
      <c r="BK3530" s="750"/>
      <c r="BL3530" s="750"/>
      <c r="BM3530" s="750"/>
      <c r="BN3530" s="750"/>
      <c r="BO3530" s="750"/>
      <c r="BP3530" s="750"/>
      <c r="BQ3530" s="750"/>
    </row>
    <row r="3531" spans="3:69">
      <c r="C3531" s="853"/>
      <c r="D3531" s="853"/>
      <c r="E3531" s="853"/>
      <c r="F3531" s="853"/>
      <c r="G3531" s="853"/>
      <c r="H3531" s="853"/>
      <c r="I3531" s="848"/>
      <c r="J3531" s="848"/>
      <c r="K3531" s="1295"/>
      <c r="L3531" s="1295"/>
      <c r="M3531" s="1295"/>
      <c r="N3531" s="1295"/>
      <c r="O3531" s="1295"/>
      <c r="P3531" s="853"/>
      <c r="Q3531" s="1295"/>
      <c r="R3531" s="848"/>
      <c r="S3531" s="848"/>
      <c r="T3531" s="848"/>
      <c r="U3531" s="848"/>
      <c r="V3531" s="1296"/>
      <c r="W3531" s="848"/>
      <c r="X3531" s="848"/>
      <c r="Y3531" s="1295"/>
      <c r="Z3531" s="1296"/>
      <c r="AA3531" s="1295"/>
      <c r="AB3531" s="1296"/>
      <c r="AC3531" s="1295"/>
      <c r="AD3531" s="1295"/>
      <c r="AE3531" s="2556"/>
      <c r="AF3531" s="750"/>
      <c r="AG3531" s="750"/>
      <c r="AH3531" s="750"/>
      <c r="AI3531" s="750"/>
      <c r="AJ3531" s="750"/>
      <c r="AK3531" s="750"/>
      <c r="AL3531" s="750"/>
      <c r="AM3531" s="750"/>
      <c r="AN3531" s="750"/>
      <c r="AO3531" s="750"/>
      <c r="AP3531" s="750"/>
      <c r="AQ3531" s="750"/>
      <c r="AR3531" s="750"/>
      <c r="AS3531" s="750"/>
      <c r="AT3531" s="750"/>
      <c r="AU3531" s="750"/>
      <c r="AV3531" s="750"/>
      <c r="AW3531" s="750"/>
      <c r="AX3531" s="750"/>
      <c r="AY3531" s="750"/>
      <c r="AZ3531" s="750"/>
      <c r="BA3531" s="750"/>
      <c r="BB3531" s="750"/>
      <c r="BC3531" s="750"/>
      <c r="BD3531" s="750"/>
      <c r="BE3531" s="750"/>
      <c r="BF3531" s="750"/>
      <c r="BG3531" s="750"/>
      <c r="BH3531" s="750"/>
      <c r="BI3531" s="750"/>
      <c r="BJ3531" s="750"/>
      <c r="BK3531" s="750"/>
      <c r="BL3531" s="750"/>
      <c r="BM3531" s="750"/>
      <c r="BN3531" s="750"/>
      <c r="BO3531" s="750"/>
      <c r="BP3531" s="750"/>
      <c r="BQ3531" s="750"/>
    </row>
    <row r="3532" spans="3:69">
      <c r="C3532" s="853"/>
      <c r="D3532" s="853"/>
      <c r="E3532" s="853"/>
      <c r="F3532" s="853"/>
      <c r="G3532" s="853"/>
      <c r="H3532" s="853"/>
      <c r="I3532" s="848"/>
      <c r="J3532" s="848"/>
      <c r="K3532" s="1295"/>
      <c r="L3532" s="1295"/>
      <c r="M3532" s="1295"/>
      <c r="N3532" s="1295"/>
      <c r="O3532" s="1295"/>
      <c r="P3532" s="853"/>
      <c r="Q3532" s="1295"/>
      <c r="R3532" s="848"/>
      <c r="S3532" s="848"/>
      <c r="T3532" s="848"/>
      <c r="U3532" s="848"/>
      <c r="V3532" s="1296"/>
      <c r="W3532" s="848"/>
      <c r="X3532" s="848"/>
      <c r="Y3532" s="1295"/>
      <c r="Z3532" s="1296"/>
      <c r="AA3532" s="1295"/>
      <c r="AB3532" s="1296"/>
      <c r="AC3532" s="1295"/>
      <c r="AD3532" s="1295"/>
      <c r="AE3532" s="2556"/>
      <c r="AF3532" s="750"/>
      <c r="AG3532" s="750"/>
      <c r="AH3532" s="750"/>
      <c r="AI3532" s="750"/>
      <c r="AJ3532" s="750"/>
      <c r="AK3532" s="750"/>
      <c r="AL3532" s="750"/>
      <c r="AM3532" s="750"/>
      <c r="AN3532" s="750"/>
      <c r="AO3532" s="750"/>
      <c r="AP3532" s="750"/>
      <c r="AQ3532" s="750"/>
      <c r="AR3532" s="750"/>
      <c r="AS3532" s="750"/>
      <c r="AT3532" s="750"/>
      <c r="AU3532" s="750"/>
      <c r="AV3532" s="750"/>
      <c r="AW3532" s="750"/>
      <c r="AX3532" s="750"/>
      <c r="AY3532" s="750"/>
      <c r="AZ3532" s="750"/>
      <c r="BA3532" s="750"/>
      <c r="BB3532" s="750"/>
      <c r="BC3532" s="750"/>
      <c r="BD3532" s="750"/>
      <c r="BE3532" s="750"/>
      <c r="BF3532" s="750"/>
      <c r="BG3532" s="750"/>
      <c r="BH3532" s="750"/>
      <c r="BI3532" s="750"/>
      <c r="BJ3532" s="750"/>
      <c r="BK3532" s="750"/>
      <c r="BL3532" s="750"/>
      <c r="BM3532" s="750"/>
      <c r="BN3532" s="750"/>
      <c r="BO3532" s="750"/>
      <c r="BP3532" s="750"/>
      <c r="BQ3532" s="750"/>
    </row>
    <row r="3533" spans="3:69">
      <c r="C3533" s="853"/>
      <c r="D3533" s="853"/>
      <c r="E3533" s="853"/>
      <c r="F3533" s="853"/>
      <c r="G3533" s="853"/>
      <c r="H3533" s="853"/>
      <c r="I3533" s="848"/>
      <c r="J3533" s="848"/>
      <c r="K3533" s="1295"/>
      <c r="L3533" s="1295"/>
      <c r="M3533" s="1295"/>
      <c r="N3533" s="1295"/>
      <c r="O3533" s="1295"/>
      <c r="P3533" s="853"/>
      <c r="Q3533" s="1295"/>
      <c r="R3533" s="848"/>
      <c r="S3533" s="848"/>
      <c r="T3533" s="848"/>
      <c r="U3533" s="848"/>
      <c r="V3533" s="1296"/>
      <c r="W3533" s="848"/>
      <c r="X3533" s="848"/>
      <c r="Y3533" s="1295"/>
      <c r="Z3533" s="1296"/>
      <c r="AA3533" s="1295"/>
      <c r="AB3533" s="1296"/>
      <c r="AC3533" s="1295"/>
      <c r="AD3533" s="1295"/>
      <c r="AE3533" s="2556"/>
      <c r="AF3533" s="750"/>
      <c r="AG3533" s="750"/>
      <c r="AH3533" s="750"/>
      <c r="AI3533" s="750"/>
      <c r="AJ3533" s="750"/>
      <c r="AK3533" s="750"/>
      <c r="AL3533" s="750"/>
      <c r="AM3533" s="750"/>
      <c r="AN3533" s="750"/>
      <c r="AO3533" s="750"/>
      <c r="AP3533" s="750"/>
      <c r="AQ3533" s="750"/>
      <c r="AR3533" s="750"/>
      <c r="AS3533" s="750"/>
      <c r="AT3533" s="750"/>
      <c r="AU3533" s="750"/>
      <c r="AV3533" s="750"/>
      <c r="AW3533" s="750"/>
      <c r="AX3533" s="750"/>
      <c r="AY3533" s="750"/>
      <c r="AZ3533" s="750"/>
      <c r="BA3533" s="750"/>
      <c r="BB3533" s="750"/>
      <c r="BC3533" s="750"/>
      <c r="BD3533" s="750"/>
      <c r="BE3533" s="750"/>
      <c r="BF3533" s="750"/>
      <c r="BG3533" s="750"/>
      <c r="BH3533" s="750"/>
      <c r="BI3533" s="750"/>
      <c r="BJ3533" s="750"/>
      <c r="BK3533" s="750"/>
      <c r="BL3533" s="750"/>
      <c r="BM3533" s="750"/>
      <c r="BN3533" s="750"/>
      <c r="BO3533" s="750"/>
      <c r="BP3533" s="750"/>
      <c r="BQ3533" s="750"/>
    </row>
    <row r="3534" spans="3:69">
      <c r="C3534" s="853"/>
      <c r="D3534" s="853"/>
      <c r="E3534" s="853"/>
      <c r="F3534" s="853"/>
      <c r="G3534" s="853"/>
      <c r="H3534" s="853"/>
      <c r="I3534" s="848"/>
      <c r="J3534" s="848"/>
      <c r="K3534" s="1295"/>
      <c r="L3534" s="1295"/>
      <c r="M3534" s="1295"/>
      <c r="N3534" s="1295"/>
      <c r="O3534" s="1295"/>
      <c r="P3534" s="853"/>
      <c r="Q3534" s="1295"/>
      <c r="R3534" s="848"/>
      <c r="S3534" s="848"/>
      <c r="T3534" s="848"/>
      <c r="U3534" s="848"/>
      <c r="V3534" s="1296"/>
      <c r="W3534" s="848"/>
      <c r="X3534" s="848"/>
      <c r="Y3534" s="1295"/>
      <c r="Z3534" s="1296"/>
      <c r="AA3534" s="1295"/>
      <c r="AB3534" s="1296"/>
      <c r="AC3534" s="1295"/>
      <c r="AD3534" s="1295"/>
      <c r="AE3534" s="2556"/>
      <c r="AF3534" s="750"/>
      <c r="AG3534" s="750"/>
      <c r="AH3534" s="750"/>
      <c r="AI3534" s="750"/>
      <c r="AJ3534" s="750"/>
      <c r="AK3534" s="750"/>
      <c r="AL3534" s="750"/>
      <c r="AM3534" s="750"/>
      <c r="AN3534" s="750"/>
      <c r="AO3534" s="750"/>
      <c r="AP3534" s="750"/>
      <c r="AQ3534" s="750"/>
      <c r="AR3534" s="750"/>
      <c r="AS3534" s="750"/>
      <c r="AT3534" s="750"/>
      <c r="AU3534" s="750"/>
      <c r="AV3534" s="750"/>
      <c r="AW3534" s="750"/>
      <c r="AX3534" s="750"/>
      <c r="AY3534" s="750"/>
      <c r="AZ3534" s="750"/>
      <c r="BA3534" s="750"/>
      <c r="BB3534" s="750"/>
      <c r="BC3534" s="750"/>
      <c r="BD3534" s="750"/>
      <c r="BE3534" s="750"/>
      <c r="BF3534" s="750"/>
      <c r="BG3534" s="750"/>
      <c r="BH3534" s="750"/>
      <c r="BI3534" s="750"/>
      <c r="BJ3534" s="750"/>
      <c r="BK3534" s="750"/>
      <c r="BL3534" s="750"/>
      <c r="BM3534" s="750"/>
      <c r="BN3534" s="750"/>
      <c r="BO3534" s="750"/>
      <c r="BP3534" s="750"/>
      <c r="BQ3534" s="750"/>
    </row>
    <row r="3535" spans="3:69">
      <c r="C3535" s="853"/>
      <c r="D3535" s="853"/>
      <c r="E3535" s="853"/>
      <c r="F3535" s="853"/>
      <c r="G3535" s="853"/>
      <c r="H3535" s="853"/>
      <c r="I3535" s="848"/>
      <c r="J3535" s="848"/>
      <c r="K3535" s="1295"/>
      <c r="L3535" s="1295"/>
      <c r="M3535" s="1295"/>
      <c r="N3535" s="1295"/>
      <c r="O3535" s="1295"/>
      <c r="P3535" s="853"/>
      <c r="Q3535" s="1295"/>
      <c r="R3535" s="848"/>
      <c r="S3535" s="848"/>
      <c r="T3535" s="848"/>
      <c r="U3535" s="848"/>
      <c r="V3535" s="1296"/>
      <c r="W3535" s="848"/>
      <c r="X3535" s="848"/>
      <c r="Y3535" s="1295"/>
      <c r="Z3535" s="1296"/>
      <c r="AA3535" s="1295"/>
      <c r="AB3535" s="1296"/>
      <c r="AC3535" s="1295"/>
      <c r="AD3535" s="1295"/>
      <c r="AE3535" s="2556"/>
      <c r="AF3535" s="750"/>
      <c r="AG3535" s="750"/>
      <c r="AH3535" s="750"/>
      <c r="AI3535" s="750"/>
      <c r="AJ3535" s="750"/>
      <c r="AK3535" s="750"/>
      <c r="AL3535" s="750"/>
      <c r="AM3535" s="750"/>
      <c r="AN3535" s="750"/>
      <c r="AO3535" s="750"/>
      <c r="AP3535" s="750"/>
      <c r="AQ3535" s="750"/>
      <c r="AR3535" s="750"/>
      <c r="AS3535" s="750"/>
      <c r="AT3535" s="750"/>
      <c r="AU3535" s="750"/>
      <c r="AV3535" s="750"/>
      <c r="AW3535" s="750"/>
      <c r="AX3535" s="750"/>
      <c r="AY3535" s="750"/>
      <c r="AZ3535" s="750"/>
      <c r="BA3535" s="750"/>
      <c r="BB3535" s="750"/>
      <c r="BC3535" s="750"/>
      <c r="BD3535" s="750"/>
      <c r="BE3535" s="750"/>
      <c r="BF3535" s="750"/>
      <c r="BG3535" s="750"/>
      <c r="BH3535" s="750"/>
      <c r="BI3535" s="750"/>
      <c r="BJ3535" s="750"/>
      <c r="BK3535" s="750"/>
      <c r="BL3535" s="750"/>
      <c r="BM3535" s="750"/>
      <c r="BN3535" s="750"/>
      <c r="BO3535" s="750"/>
      <c r="BP3535" s="750"/>
      <c r="BQ3535" s="750"/>
    </row>
    <row r="3536" spans="3:69">
      <c r="C3536" s="853"/>
      <c r="D3536" s="853"/>
      <c r="E3536" s="853"/>
      <c r="F3536" s="853"/>
      <c r="G3536" s="853"/>
      <c r="H3536" s="853"/>
      <c r="I3536" s="848"/>
      <c r="J3536" s="848"/>
      <c r="K3536" s="1295"/>
      <c r="L3536" s="1295"/>
      <c r="M3536" s="1295"/>
      <c r="N3536" s="1295"/>
      <c r="O3536" s="1295"/>
      <c r="P3536" s="853"/>
      <c r="Q3536" s="1295"/>
      <c r="R3536" s="848"/>
      <c r="S3536" s="848"/>
      <c r="T3536" s="848"/>
      <c r="U3536" s="848"/>
      <c r="V3536" s="1296"/>
      <c r="W3536" s="848"/>
      <c r="X3536" s="848"/>
      <c r="Y3536" s="1295"/>
      <c r="Z3536" s="1296"/>
      <c r="AA3536" s="1295"/>
      <c r="AB3536" s="1296"/>
      <c r="AC3536" s="1295"/>
      <c r="AD3536" s="1295"/>
      <c r="AE3536" s="2556"/>
      <c r="AF3536" s="750"/>
      <c r="AG3536" s="750"/>
      <c r="AH3536" s="750"/>
      <c r="AI3536" s="750"/>
      <c r="AJ3536" s="750"/>
      <c r="AK3536" s="750"/>
      <c r="AL3536" s="750"/>
      <c r="AM3536" s="750"/>
      <c r="AN3536" s="750"/>
      <c r="AO3536" s="750"/>
      <c r="AP3536" s="750"/>
      <c r="AQ3536" s="750"/>
      <c r="AR3536" s="750"/>
      <c r="AS3536" s="750"/>
      <c r="AT3536" s="750"/>
      <c r="AU3536" s="750"/>
      <c r="AV3536" s="750"/>
      <c r="AW3536" s="750"/>
      <c r="AX3536" s="750"/>
      <c r="AY3536" s="750"/>
      <c r="AZ3536" s="750"/>
      <c r="BA3536" s="750"/>
      <c r="BB3536" s="750"/>
      <c r="BC3536" s="750"/>
      <c r="BD3536" s="750"/>
      <c r="BE3536" s="750"/>
      <c r="BF3536" s="750"/>
      <c r="BG3536" s="750"/>
      <c r="BH3536" s="750"/>
      <c r="BI3536" s="750"/>
      <c r="BJ3536" s="750"/>
      <c r="BK3536" s="750"/>
      <c r="BL3536" s="750"/>
      <c r="BM3536" s="750"/>
      <c r="BN3536" s="750"/>
      <c r="BO3536" s="750"/>
      <c r="BP3536" s="750"/>
      <c r="BQ3536" s="750"/>
    </row>
    <row r="3537" spans="3:69">
      <c r="C3537" s="853"/>
      <c r="D3537" s="853"/>
      <c r="E3537" s="853"/>
      <c r="F3537" s="853"/>
      <c r="G3537" s="853"/>
      <c r="H3537" s="853"/>
      <c r="I3537" s="848"/>
      <c r="J3537" s="848"/>
      <c r="K3537" s="1295"/>
      <c r="L3537" s="1295"/>
      <c r="M3537" s="1295"/>
      <c r="N3537" s="1295"/>
      <c r="O3537" s="1295"/>
      <c r="P3537" s="853"/>
      <c r="Q3537" s="1295"/>
      <c r="R3537" s="848"/>
      <c r="S3537" s="848"/>
      <c r="T3537" s="848"/>
      <c r="U3537" s="848"/>
      <c r="V3537" s="1296"/>
      <c r="W3537" s="848"/>
      <c r="X3537" s="848"/>
      <c r="Y3537" s="1295"/>
      <c r="Z3537" s="1296"/>
      <c r="AA3537" s="1295"/>
      <c r="AB3537" s="1296"/>
      <c r="AC3537" s="1295"/>
      <c r="AD3537" s="1295"/>
      <c r="AE3537" s="2556"/>
      <c r="AF3537" s="750"/>
      <c r="AG3537" s="750"/>
      <c r="AH3537" s="750"/>
      <c r="AI3537" s="750"/>
      <c r="AJ3537" s="750"/>
      <c r="AK3537" s="750"/>
      <c r="AL3537" s="750"/>
      <c r="AM3537" s="750"/>
      <c r="AN3537" s="750"/>
      <c r="AO3537" s="750"/>
      <c r="AP3537" s="750"/>
      <c r="AQ3537" s="750"/>
      <c r="AR3537" s="750"/>
      <c r="AS3537" s="750"/>
      <c r="AT3537" s="750"/>
      <c r="AU3537" s="750"/>
      <c r="AV3537" s="750"/>
      <c r="AW3537" s="750"/>
      <c r="AX3537" s="750"/>
      <c r="AY3537" s="750"/>
      <c r="AZ3537" s="750"/>
      <c r="BA3537" s="750"/>
      <c r="BB3537" s="750"/>
      <c r="BC3537" s="750"/>
      <c r="BD3537" s="750"/>
      <c r="BE3537" s="750"/>
      <c r="BF3537" s="750"/>
      <c r="BG3537" s="750"/>
      <c r="BH3537" s="750"/>
      <c r="BI3537" s="750"/>
      <c r="BJ3537" s="750"/>
      <c r="BK3537" s="750"/>
      <c r="BL3537" s="750"/>
      <c r="BM3537" s="750"/>
      <c r="BN3537" s="750"/>
      <c r="BO3537" s="750"/>
      <c r="BP3537" s="750"/>
      <c r="BQ3537" s="750"/>
    </row>
    <row r="3538" spans="3:69">
      <c r="C3538" s="853"/>
      <c r="D3538" s="853"/>
      <c r="E3538" s="853"/>
      <c r="F3538" s="853"/>
      <c r="G3538" s="853"/>
      <c r="H3538" s="853"/>
      <c r="I3538" s="848"/>
      <c r="J3538" s="848"/>
      <c r="K3538" s="1295"/>
      <c r="L3538" s="1295"/>
      <c r="M3538" s="1295"/>
      <c r="N3538" s="1295"/>
      <c r="O3538" s="1295"/>
      <c r="P3538" s="853"/>
      <c r="Q3538" s="1295"/>
      <c r="R3538" s="848"/>
      <c r="S3538" s="848"/>
      <c r="T3538" s="848"/>
      <c r="U3538" s="848"/>
      <c r="V3538" s="1296"/>
      <c r="W3538" s="848"/>
      <c r="X3538" s="848"/>
      <c r="Y3538" s="1295"/>
      <c r="Z3538" s="1296"/>
      <c r="AA3538" s="1295"/>
      <c r="AB3538" s="1296"/>
      <c r="AC3538" s="1295"/>
      <c r="AD3538" s="1295"/>
      <c r="AE3538" s="2556"/>
      <c r="AF3538" s="750"/>
      <c r="AG3538" s="750"/>
      <c r="AH3538" s="750"/>
      <c r="AI3538" s="750"/>
      <c r="AJ3538" s="750"/>
      <c r="AK3538" s="750"/>
      <c r="AL3538" s="750"/>
      <c r="AM3538" s="750"/>
      <c r="AN3538" s="750"/>
      <c r="AO3538" s="750"/>
      <c r="AP3538" s="750"/>
      <c r="AQ3538" s="750"/>
      <c r="AR3538" s="750"/>
      <c r="AS3538" s="750"/>
      <c r="AT3538" s="750"/>
      <c r="AU3538" s="750"/>
      <c r="AV3538" s="750"/>
      <c r="AW3538" s="750"/>
      <c r="AX3538" s="750"/>
      <c r="AY3538" s="750"/>
      <c r="AZ3538" s="750"/>
      <c r="BA3538" s="750"/>
      <c r="BB3538" s="750"/>
      <c r="BC3538" s="750"/>
      <c r="BD3538" s="750"/>
      <c r="BE3538" s="750"/>
      <c r="BF3538" s="750"/>
      <c r="BG3538" s="750"/>
      <c r="BH3538" s="750"/>
      <c r="BI3538" s="750"/>
      <c r="BJ3538" s="750"/>
      <c r="BK3538" s="750"/>
      <c r="BL3538" s="750"/>
      <c r="BM3538" s="750"/>
      <c r="BN3538" s="750"/>
      <c r="BO3538" s="750"/>
      <c r="BP3538" s="750"/>
      <c r="BQ3538" s="750"/>
    </row>
    <row r="3539" spans="3:69">
      <c r="C3539" s="853"/>
      <c r="D3539" s="853"/>
      <c r="E3539" s="853"/>
      <c r="F3539" s="853"/>
      <c r="G3539" s="853"/>
      <c r="H3539" s="853"/>
      <c r="I3539" s="848"/>
      <c r="J3539" s="848"/>
      <c r="K3539" s="1295"/>
      <c r="L3539" s="1295"/>
      <c r="M3539" s="1295"/>
      <c r="N3539" s="1295"/>
      <c r="O3539" s="1295"/>
      <c r="P3539" s="853"/>
      <c r="Q3539" s="1295"/>
      <c r="R3539" s="848"/>
      <c r="S3539" s="848"/>
      <c r="T3539" s="848"/>
      <c r="U3539" s="848"/>
      <c r="V3539" s="1296"/>
      <c r="W3539" s="848"/>
      <c r="X3539" s="848"/>
      <c r="Y3539" s="1295"/>
      <c r="Z3539" s="1296"/>
      <c r="AA3539" s="1295"/>
      <c r="AB3539" s="1296"/>
      <c r="AC3539" s="1295"/>
      <c r="AD3539" s="1295"/>
      <c r="AE3539" s="2556"/>
      <c r="AF3539" s="750"/>
      <c r="AG3539" s="750"/>
      <c r="AH3539" s="750"/>
      <c r="AI3539" s="750"/>
      <c r="AJ3539" s="750"/>
      <c r="AK3539" s="750"/>
      <c r="AL3539" s="750"/>
      <c r="AM3539" s="750"/>
      <c r="AN3539" s="750"/>
      <c r="AO3539" s="750"/>
      <c r="AP3539" s="750"/>
      <c r="AQ3539" s="750"/>
      <c r="AR3539" s="750"/>
      <c r="AS3539" s="750"/>
      <c r="AT3539" s="750"/>
      <c r="AU3539" s="750"/>
      <c r="AV3539" s="750"/>
      <c r="AW3539" s="750"/>
      <c r="AX3539" s="750"/>
      <c r="AY3539" s="750"/>
      <c r="AZ3539" s="750"/>
      <c r="BA3539" s="750"/>
      <c r="BB3539" s="750"/>
      <c r="BC3539" s="750"/>
      <c r="BD3539" s="750"/>
      <c r="BE3539" s="750"/>
      <c r="BF3539" s="750"/>
      <c r="BG3539" s="750"/>
      <c r="BH3539" s="750"/>
      <c r="BI3539" s="750"/>
      <c r="BJ3539" s="750"/>
      <c r="BK3539" s="750"/>
      <c r="BL3539" s="750"/>
      <c r="BM3539" s="750"/>
      <c r="BN3539" s="750"/>
      <c r="BO3539" s="750"/>
      <c r="BP3539" s="750"/>
      <c r="BQ3539" s="750"/>
    </row>
    <row r="3540" spans="3:69">
      <c r="C3540" s="853"/>
      <c r="D3540" s="853"/>
      <c r="E3540" s="853"/>
      <c r="F3540" s="853"/>
      <c r="G3540" s="853"/>
      <c r="H3540" s="853"/>
      <c r="I3540" s="848"/>
      <c r="J3540" s="848"/>
      <c r="K3540" s="1295"/>
      <c r="L3540" s="1295"/>
      <c r="M3540" s="1295"/>
      <c r="N3540" s="1295"/>
      <c r="O3540" s="1295"/>
      <c r="P3540" s="853"/>
      <c r="Q3540" s="1295"/>
      <c r="R3540" s="848"/>
      <c r="S3540" s="848"/>
      <c r="T3540" s="848"/>
      <c r="U3540" s="848"/>
      <c r="V3540" s="1296"/>
      <c r="W3540" s="848"/>
      <c r="X3540" s="848"/>
      <c r="Y3540" s="1295"/>
      <c r="Z3540" s="1296"/>
      <c r="AA3540" s="1295"/>
      <c r="AB3540" s="1296"/>
      <c r="AC3540" s="1295"/>
      <c r="AD3540" s="1295"/>
      <c r="AE3540" s="2556"/>
      <c r="AF3540" s="750"/>
      <c r="AG3540" s="750"/>
      <c r="AH3540" s="750"/>
      <c r="AI3540" s="750"/>
      <c r="AJ3540" s="750"/>
      <c r="AK3540" s="750"/>
      <c r="AL3540" s="750"/>
      <c r="AM3540" s="750"/>
      <c r="AN3540" s="750"/>
      <c r="AO3540" s="750"/>
      <c r="AP3540" s="750"/>
      <c r="AQ3540" s="750"/>
      <c r="AR3540" s="750"/>
      <c r="AS3540" s="750"/>
      <c r="AT3540" s="750"/>
      <c r="AU3540" s="750"/>
      <c r="AV3540" s="750"/>
      <c r="AW3540" s="750"/>
      <c r="AX3540" s="750"/>
      <c r="AY3540" s="750"/>
      <c r="AZ3540" s="750"/>
      <c r="BA3540" s="750"/>
      <c r="BB3540" s="750"/>
      <c r="BC3540" s="750"/>
      <c r="BD3540" s="750"/>
      <c r="BE3540" s="750"/>
      <c r="BF3540" s="750"/>
      <c r="BG3540" s="750"/>
      <c r="BH3540" s="750"/>
      <c r="BI3540" s="750"/>
      <c r="BJ3540" s="750"/>
      <c r="BK3540" s="750"/>
      <c r="BL3540" s="750"/>
      <c r="BM3540" s="750"/>
      <c r="BN3540" s="750"/>
      <c r="BO3540" s="750"/>
      <c r="BP3540" s="750"/>
      <c r="BQ3540" s="750"/>
    </row>
    <row r="3541" spans="3:69">
      <c r="C3541" s="853"/>
      <c r="D3541" s="853"/>
      <c r="E3541" s="853"/>
      <c r="F3541" s="853"/>
      <c r="G3541" s="853"/>
      <c r="H3541" s="853"/>
      <c r="I3541" s="848"/>
      <c r="J3541" s="848"/>
      <c r="K3541" s="1295"/>
      <c r="L3541" s="1295"/>
      <c r="M3541" s="1295"/>
      <c r="N3541" s="1295"/>
      <c r="O3541" s="1295"/>
      <c r="P3541" s="853"/>
      <c r="Q3541" s="1295"/>
      <c r="R3541" s="848"/>
      <c r="S3541" s="848"/>
      <c r="T3541" s="848"/>
      <c r="U3541" s="848"/>
      <c r="V3541" s="1296"/>
      <c r="W3541" s="848"/>
      <c r="X3541" s="848"/>
      <c r="Y3541" s="1295"/>
      <c r="Z3541" s="1296"/>
      <c r="AA3541" s="1295"/>
      <c r="AB3541" s="1296"/>
      <c r="AC3541" s="1295"/>
      <c r="AD3541" s="1295"/>
      <c r="AE3541" s="2556"/>
      <c r="AF3541" s="750"/>
      <c r="AG3541" s="750"/>
      <c r="AH3541" s="750"/>
      <c r="AI3541" s="750"/>
      <c r="AJ3541" s="750"/>
      <c r="AK3541" s="750"/>
      <c r="AL3541" s="750"/>
      <c r="AM3541" s="750"/>
      <c r="AN3541" s="750"/>
      <c r="AO3541" s="750"/>
      <c r="AP3541" s="750"/>
      <c r="AQ3541" s="750"/>
      <c r="AR3541" s="750"/>
      <c r="AS3541" s="750"/>
      <c r="AT3541" s="750"/>
      <c r="AU3541" s="750"/>
      <c r="AV3541" s="750"/>
      <c r="AW3541" s="750"/>
      <c r="AX3541" s="750"/>
      <c r="AY3541" s="750"/>
      <c r="AZ3541" s="750"/>
      <c r="BA3541" s="750"/>
      <c r="BB3541" s="750"/>
      <c r="BC3541" s="750"/>
      <c r="BD3541" s="750"/>
      <c r="BE3541" s="750"/>
      <c r="BF3541" s="750"/>
      <c r="BG3541" s="750"/>
      <c r="BH3541" s="750"/>
      <c r="BI3541" s="750"/>
      <c r="BJ3541" s="750"/>
      <c r="BK3541" s="750"/>
      <c r="BL3541" s="750"/>
      <c r="BM3541" s="750"/>
      <c r="BN3541" s="750"/>
      <c r="BO3541" s="750"/>
      <c r="BP3541" s="750"/>
      <c r="BQ3541" s="750"/>
    </row>
    <row r="3542" spans="3:69">
      <c r="C3542" s="853"/>
      <c r="D3542" s="853"/>
      <c r="E3542" s="853"/>
      <c r="F3542" s="853"/>
      <c r="G3542" s="853"/>
      <c r="H3542" s="853"/>
      <c r="I3542" s="848"/>
      <c r="J3542" s="848"/>
      <c r="K3542" s="1295"/>
      <c r="L3542" s="1295"/>
      <c r="M3542" s="1295"/>
      <c r="N3542" s="1295"/>
      <c r="O3542" s="1295"/>
      <c r="P3542" s="853"/>
      <c r="Q3542" s="1295"/>
      <c r="R3542" s="848"/>
      <c r="S3542" s="848"/>
      <c r="T3542" s="848"/>
      <c r="U3542" s="848"/>
      <c r="V3542" s="1296"/>
      <c r="W3542" s="848"/>
      <c r="X3542" s="848"/>
      <c r="Y3542" s="1295"/>
      <c r="Z3542" s="1296"/>
      <c r="AA3542" s="1295"/>
      <c r="AB3542" s="1296"/>
      <c r="AC3542" s="1295"/>
      <c r="AD3542" s="1295"/>
      <c r="AE3542" s="2556"/>
      <c r="AF3542" s="750"/>
      <c r="AG3542" s="750"/>
      <c r="AH3542" s="750"/>
      <c r="AI3542" s="750"/>
      <c r="AJ3542" s="750"/>
      <c r="AK3542" s="750"/>
      <c r="AL3542" s="750"/>
      <c r="AM3542" s="750"/>
      <c r="AN3542" s="750"/>
      <c r="AO3542" s="750"/>
      <c r="AP3542" s="750"/>
      <c r="AQ3542" s="750"/>
      <c r="AR3542" s="750"/>
      <c r="AS3542" s="750"/>
      <c r="AT3542" s="750"/>
      <c r="AU3542" s="750"/>
      <c r="AV3542" s="750"/>
      <c r="AW3542" s="750"/>
      <c r="AX3542" s="750"/>
      <c r="AY3542" s="750"/>
      <c r="AZ3542" s="750"/>
      <c r="BA3542" s="750"/>
      <c r="BB3542" s="750"/>
      <c r="BC3542" s="750"/>
      <c r="BD3542" s="750"/>
      <c r="BE3542" s="750"/>
      <c r="BF3542" s="750"/>
      <c r="BG3542" s="750"/>
      <c r="BH3542" s="750"/>
      <c r="BI3542" s="750"/>
      <c r="BJ3542" s="750"/>
      <c r="BK3542" s="750"/>
      <c r="BL3542" s="750"/>
      <c r="BM3542" s="750"/>
      <c r="BN3542" s="750"/>
      <c r="BO3542" s="750"/>
      <c r="BP3542" s="750"/>
      <c r="BQ3542" s="750"/>
    </row>
    <row r="3543" spans="3:69">
      <c r="C3543" s="853"/>
      <c r="D3543" s="853"/>
      <c r="E3543" s="853"/>
      <c r="F3543" s="853"/>
      <c r="G3543" s="853"/>
      <c r="H3543" s="853"/>
      <c r="I3543" s="848"/>
      <c r="J3543" s="848"/>
      <c r="K3543" s="1295"/>
      <c r="L3543" s="1295"/>
      <c r="M3543" s="1295"/>
      <c r="N3543" s="1295"/>
      <c r="O3543" s="1295"/>
      <c r="P3543" s="853"/>
      <c r="Q3543" s="1295"/>
      <c r="R3543" s="848"/>
      <c r="S3543" s="848"/>
      <c r="T3543" s="848"/>
      <c r="U3543" s="848"/>
      <c r="V3543" s="1296"/>
      <c r="W3543" s="848"/>
      <c r="X3543" s="848"/>
      <c r="Y3543" s="1295"/>
      <c r="Z3543" s="1296"/>
      <c r="AA3543" s="1295"/>
      <c r="AB3543" s="1296"/>
      <c r="AC3543" s="1295"/>
      <c r="AD3543" s="1295"/>
      <c r="AE3543" s="2556"/>
      <c r="AF3543" s="750"/>
      <c r="AG3543" s="750"/>
      <c r="AH3543" s="750"/>
      <c r="AI3543" s="750"/>
      <c r="AJ3543" s="750"/>
      <c r="AK3543" s="750"/>
      <c r="AL3543" s="750"/>
      <c r="AM3543" s="750"/>
      <c r="AN3543" s="750"/>
      <c r="AO3543" s="750"/>
      <c r="AP3543" s="750"/>
      <c r="AQ3543" s="750"/>
      <c r="AR3543" s="750"/>
      <c r="AS3543" s="750"/>
      <c r="AT3543" s="750"/>
      <c r="AU3543" s="750"/>
      <c r="AV3543" s="750"/>
      <c r="AW3543" s="750"/>
      <c r="AX3543" s="750"/>
      <c r="AY3543" s="750"/>
      <c r="AZ3543" s="750"/>
      <c r="BA3543" s="750"/>
      <c r="BB3543" s="750"/>
      <c r="BC3543" s="750"/>
      <c r="BD3543" s="750"/>
      <c r="BE3543" s="750"/>
      <c r="BF3543" s="750"/>
      <c r="BG3543" s="750"/>
      <c r="BH3543" s="750"/>
      <c r="BI3543" s="750"/>
      <c r="BJ3543" s="750"/>
      <c r="BK3543" s="750"/>
      <c r="BL3543" s="750"/>
      <c r="BM3543" s="750"/>
      <c r="BN3543" s="750"/>
      <c r="BO3543" s="750"/>
      <c r="BP3543" s="750"/>
      <c r="BQ3543" s="750"/>
    </row>
    <row r="3544" spans="3:69">
      <c r="C3544" s="853"/>
      <c r="D3544" s="853"/>
      <c r="E3544" s="853"/>
      <c r="F3544" s="853"/>
      <c r="G3544" s="853"/>
      <c r="H3544" s="853"/>
      <c r="I3544" s="848"/>
      <c r="J3544" s="848"/>
      <c r="K3544" s="1295"/>
      <c r="L3544" s="1295"/>
      <c r="M3544" s="1295"/>
      <c r="N3544" s="1295"/>
      <c r="O3544" s="1295"/>
      <c r="P3544" s="853"/>
      <c r="Q3544" s="1295"/>
      <c r="R3544" s="848"/>
      <c r="S3544" s="848"/>
      <c r="T3544" s="848"/>
      <c r="U3544" s="848"/>
      <c r="V3544" s="1296"/>
      <c r="W3544" s="848"/>
      <c r="X3544" s="848"/>
      <c r="Y3544" s="1295"/>
      <c r="Z3544" s="1296"/>
      <c r="AA3544" s="1295"/>
      <c r="AB3544" s="1296"/>
      <c r="AC3544" s="1295"/>
      <c r="AD3544" s="1295"/>
      <c r="AE3544" s="2556"/>
      <c r="AF3544" s="750"/>
      <c r="AG3544" s="750"/>
      <c r="AH3544" s="750"/>
      <c r="AI3544" s="750"/>
      <c r="AJ3544" s="750"/>
      <c r="AK3544" s="750"/>
      <c r="AL3544" s="750"/>
      <c r="AM3544" s="750"/>
      <c r="AN3544" s="750"/>
      <c r="AO3544" s="750"/>
      <c r="AP3544" s="750"/>
      <c r="AQ3544" s="750"/>
      <c r="AR3544" s="750"/>
      <c r="AS3544" s="750"/>
      <c r="AT3544" s="750"/>
      <c r="AU3544" s="750"/>
      <c r="AV3544" s="750"/>
      <c r="AW3544" s="750"/>
      <c r="AX3544" s="750"/>
      <c r="AY3544" s="750"/>
      <c r="AZ3544" s="750"/>
      <c r="BA3544" s="750"/>
      <c r="BB3544" s="750"/>
      <c r="BC3544" s="750"/>
      <c r="BD3544" s="750"/>
      <c r="BE3544" s="750"/>
      <c r="BF3544" s="750"/>
      <c r="BG3544" s="750"/>
      <c r="BH3544" s="750"/>
      <c r="BI3544" s="750"/>
      <c r="BJ3544" s="750"/>
      <c r="BK3544" s="750"/>
      <c r="BL3544" s="750"/>
      <c r="BM3544" s="750"/>
      <c r="BN3544" s="750"/>
      <c r="BO3544" s="750"/>
      <c r="BP3544" s="750"/>
      <c r="BQ3544" s="750"/>
    </row>
    <row r="3545" spans="3:69">
      <c r="C3545" s="853"/>
      <c r="D3545" s="853"/>
      <c r="E3545" s="853"/>
      <c r="F3545" s="853"/>
      <c r="G3545" s="853"/>
      <c r="H3545" s="853"/>
      <c r="I3545" s="848"/>
      <c r="J3545" s="848"/>
      <c r="K3545" s="1295"/>
      <c r="L3545" s="1295"/>
      <c r="M3545" s="1295"/>
      <c r="N3545" s="1295"/>
      <c r="O3545" s="1295"/>
      <c r="P3545" s="853"/>
      <c r="Q3545" s="1295"/>
      <c r="R3545" s="848"/>
      <c r="S3545" s="848"/>
      <c r="T3545" s="848"/>
      <c r="U3545" s="848"/>
      <c r="V3545" s="1296"/>
      <c r="W3545" s="848"/>
      <c r="X3545" s="848"/>
      <c r="Y3545" s="1295"/>
      <c r="Z3545" s="1296"/>
      <c r="AA3545" s="1295"/>
      <c r="AB3545" s="1296"/>
      <c r="AC3545" s="1295"/>
      <c r="AD3545" s="1295"/>
      <c r="AE3545" s="2556"/>
      <c r="AF3545" s="750"/>
      <c r="AG3545" s="750"/>
      <c r="AH3545" s="750"/>
      <c r="AI3545" s="750"/>
      <c r="AJ3545" s="750"/>
      <c r="AK3545" s="750"/>
      <c r="AL3545" s="750"/>
      <c r="AM3545" s="750"/>
      <c r="AN3545" s="750"/>
      <c r="AO3545" s="750"/>
      <c r="AP3545" s="750"/>
      <c r="AQ3545" s="750"/>
      <c r="AR3545" s="750"/>
      <c r="AS3545" s="750"/>
      <c r="AT3545" s="750"/>
      <c r="AU3545" s="750"/>
      <c r="AV3545" s="750"/>
      <c r="AW3545" s="750"/>
      <c r="AX3545" s="750"/>
      <c r="AY3545" s="750"/>
      <c r="AZ3545" s="750"/>
      <c r="BA3545" s="750"/>
      <c r="BB3545" s="750"/>
      <c r="BC3545" s="750"/>
      <c r="BD3545" s="750"/>
      <c r="BE3545" s="750"/>
      <c r="BF3545" s="750"/>
      <c r="BG3545" s="750"/>
      <c r="BH3545" s="750"/>
      <c r="BI3545" s="750"/>
      <c r="BJ3545" s="750"/>
      <c r="BK3545" s="750"/>
      <c r="BL3545" s="750"/>
      <c r="BM3545" s="750"/>
      <c r="BN3545" s="750"/>
      <c r="BO3545" s="750"/>
      <c r="BP3545" s="750"/>
      <c r="BQ3545" s="750"/>
    </row>
    <row r="3546" spans="3:69">
      <c r="C3546" s="853"/>
      <c r="D3546" s="853"/>
      <c r="E3546" s="853"/>
      <c r="F3546" s="853"/>
      <c r="G3546" s="853"/>
      <c r="H3546" s="853"/>
      <c r="I3546" s="848"/>
      <c r="J3546" s="848"/>
      <c r="K3546" s="1295"/>
      <c r="L3546" s="1295"/>
      <c r="M3546" s="1295"/>
      <c r="N3546" s="1295"/>
      <c r="O3546" s="1295"/>
      <c r="P3546" s="853"/>
      <c r="Q3546" s="1295"/>
      <c r="R3546" s="848"/>
      <c r="S3546" s="848"/>
      <c r="T3546" s="848"/>
      <c r="U3546" s="848"/>
      <c r="V3546" s="1296"/>
      <c r="W3546" s="848"/>
      <c r="X3546" s="848"/>
      <c r="Y3546" s="1295"/>
      <c r="Z3546" s="1296"/>
      <c r="AA3546" s="1295"/>
      <c r="AB3546" s="1296"/>
      <c r="AC3546" s="1295"/>
      <c r="AD3546" s="1295"/>
      <c r="AE3546" s="2556"/>
      <c r="AF3546" s="750"/>
      <c r="AG3546" s="750"/>
      <c r="AH3546" s="750"/>
      <c r="AI3546" s="750"/>
      <c r="AJ3546" s="750"/>
      <c r="AK3546" s="750"/>
      <c r="AL3546" s="750"/>
      <c r="AM3546" s="750"/>
      <c r="AN3546" s="750"/>
      <c r="AO3546" s="750"/>
      <c r="AP3546" s="750"/>
      <c r="AQ3546" s="750"/>
      <c r="AR3546" s="750"/>
      <c r="AS3546" s="750"/>
      <c r="AT3546" s="750"/>
      <c r="AU3546" s="750"/>
      <c r="AV3546" s="750"/>
      <c r="AW3546" s="750"/>
      <c r="AX3546" s="750"/>
      <c r="AY3546" s="750"/>
      <c r="AZ3546" s="750"/>
      <c r="BA3546" s="750"/>
      <c r="BB3546" s="750"/>
      <c r="BC3546" s="750"/>
      <c r="BD3546" s="750"/>
      <c r="BE3546" s="750"/>
      <c r="BF3546" s="750"/>
      <c r="BG3546" s="750"/>
      <c r="BH3546" s="750"/>
      <c r="BI3546" s="750"/>
      <c r="BJ3546" s="750"/>
      <c r="BK3546" s="750"/>
      <c r="BL3546" s="750"/>
      <c r="BM3546" s="750"/>
      <c r="BN3546" s="750"/>
      <c r="BO3546" s="750"/>
      <c r="BP3546" s="750"/>
      <c r="BQ3546" s="750"/>
    </row>
    <row r="3547" spans="3:69">
      <c r="C3547" s="853"/>
      <c r="D3547" s="853"/>
      <c r="E3547" s="853"/>
      <c r="F3547" s="853"/>
      <c r="G3547" s="853"/>
      <c r="H3547" s="853"/>
      <c r="I3547" s="848"/>
      <c r="J3547" s="848"/>
      <c r="K3547" s="1295"/>
      <c r="L3547" s="1295"/>
      <c r="M3547" s="1295"/>
      <c r="N3547" s="1295"/>
      <c r="O3547" s="1295"/>
      <c r="P3547" s="853"/>
      <c r="Q3547" s="1295"/>
      <c r="R3547" s="848"/>
      <c r="S3547" s="848"/>
      <c r="T3547" s="848"/>
      <c r="U3547" s="848"/>
      <c r="V3547" s="1296"/>
      <c r="W3547" s="848"/>
      <c r="X3547" s="848"/>
      <c r="Y3547" s="1295"/>
      <c r="Z3547" s="1296"/>
      <c r="AA3547" s="1295"/>
      <c r="AB3547" s="1296"/>
      <c r="AC3547" s="1295"/>
      <c r="AD3547" s="1295"/>
      <c r="AE3547" s="2556"/>
      <c r="AF3547" s="750"/>
      <c r="AG3547" s="750"/>
      <c r="AH3547" s="750"/>
      <c r="AI3547" s="750"/>
      <c r="AJ3547" s="750"/>
      <c r="AK3547" s="750"/>
      <c r="AL3547" s="750"/>
      <c r="AM3547" s="750"/>
      <c r="AN3547" s="750"/>
      <c r="AO3547" s="750"/>
      <c r="AP3547" s="750"/>
      <c r="AQ3547" s="750"/>
      <c r="AR3547" s="750"/>
      <c r="AS3547" s="750"/>
      <c r="AT3547" s="750"/>
      <c r="AU3547" s="750"/>
      <c r="AV3547" s="750"/>
      <c r="AW3547" s="750"/>
      <c r="AX3547" s="750"/>
      <c r="AY3547" s="750"/>
      <c r="AZ3547" s="750"/>
      <c r="BA3547" s="750"/>
      <c r="BB3547" s="750"/>
      <c r="BC3547" s="750"/>
      <c r="BD3547" s="750"/>
      <c r="BE3547" s="750"/>
      <c r="BF3547" s="750"/>
      <c r="BG3547" s="750"/>
      <c r="BH3547" s="750"/>
      <c r="BI3547" s="750"/>
      <c r="BJ3547" s="750"/>
      <c r="BK3547" s="750"/>
      <c r="BL3547" s="750"/>
      <c r="BM3547" s="750"/>
      <c r="BN3547" s="750"/>
      <c r="BO3547" s="750"/>
      <c r="BP3547" s="750"/>
      <c r="BQ3547" s="750"/>
    </row>
    <row r="3548" spans="3:69">
      <c r="C3548" s="853"/>
      <c r="D3548" s="853"/>
      <c r="E3548" s="853"/>
      <c r="F3548" s="853"/>
      <c r="G3548" s="853"/>
      <c r="H3548" s="853"/>
      <c r="I3548" s="848"/>
      <c r="J3548" s="848"/>
      <c r="K3548" s="1295"/>
      <c r="L3548" s="1295"/>
      <c r="M3548" s="1295"/>
      <c r="N3548" s="1295"/>
      <c r="O3548" s="1295"/>
      <c r="P3548" s="853"/>
      <c r="Q3548" s="1295"/>
      <c r="R3548" s="848"/>
      <c r="S3548" s="848"/>
      <c r="T3548" s="848"/>
      <c r="U3548" s="848"/>
      <c r="V3548" s="1296"/>
      <c r="W3548" s="848"/>
      <c r="X3548" s="848"/>
      <c r="Y3548" s="1295"/>
      <c r="Z3548" s="1296"/>
      <c r="AA3548" s="1295"/>
      <c r="AB3548" s="1296"/>
      <c r="AC3548" s="1295"/>
      <c r="AD3548" s="1295"/>
      <c r="AE3548" s="2556"/>
      <c r="AF3548" s="750"/>
      <c r="AG3548" s="750"/>
      <c r="AH3548" s="750"/>
      <c r="AI3548" s="750"/>
      <c r="AJ3548" s="750"/>
      <c r="AK3548" s="750"/>
      <c r="AL3548" s="750"/>
      <c r="AM3548" s="750"/>
      <c r="AN3548" s="750"/>
      <c r="AO3548" s="750"/>
      <c r="AP3548" s="750"/>
      <c r="AQ3548" s="750"/>
      <c r="AR3548" s="750"/>
      <c r="AS3548" s="750"/>
      <c r="AT3548" s="750"/>
      <c r="AU3548" s="750"/>
      <c r="AV3548" s="750"/>
      <c r="AW3548" s="750"/>
      <c r="AX3548" s="750"/>
      <c r="AY3548" s="750"/>
      <c r="AZ3548" s="750"/>
      <c r="BA3548" s="750"/>
      <c r="BB3548" s="750"/>
      <c r="BC3548" s="750"/>
      <c r="BD3548" s="750"/>
      <c r="BE3548" s="750"/>
      <c r="BF3548" s="750"/>
      <c r="BG3548" s="750"/>
      <c r="BH3548" s="750"/>
      <c r="BI3548" s="750"/>
      <c r="BJ3548" s="750"/>
      <c r="BK3548" s="750"/>
      <c r="BL3548" s="750"/>
      <c r="BM3548" s="750"/>
      <c r="BN3548" s="750"/>
      <c r="BO3548" s="750"/>
      <c r="BP3548" s="750"/>
      <c r="BQ3548" s="750"/>
    </row>
    <row r="3549" spans="3:69">
      <c r="C3549" s="853"/>
      <c r="D3549" s="853"/>
      <c r="E3549" s="853"/>
      <c r="F3549" s="853"/>
      <c r="G3549" s="853"/>
      <c r="H3549" s="853"/>
      <c r="I3549" s="848"/>
      <c r="J3549" s="848"/>
      <c r="K3549" s="1295"/>
      <c r="L3549" s="1295"/>
      <c r="M3549" s="1295"/>
      <c r="N3549" s="1295"/>
      <c r="O3549" s="1295"/>
      <c r="P3549" s="853"/>
      <c r="Q3549" s="1295"/>
      <c r="R3549" s="848"/>
      <c r="S3549" s="848"/>
      <c r="T3549" s="848"/>
      <c r="U3549" s="848"/>
      <c r="V3549" s="1296"/>
      <c r="W3549" s="848"/>
      <c r="X3549" s="848"/>
      <c r="Y3549" s="1295"/>
      <c r="Z3549" s="1296"/>
      <c r="AA3549" s="1295"/>
      <c r="AB3549" s="1296"/>
      <c r="AC3549" s="1295"/>
      <c r="AD3549" s="1295"/>
      <c r="AE3549" s="2556"/>
      <c r="AF3549" s="750"/>
      <c r="AG3549" s="750"/>
      <c r="AH3549" s="750"/>
      <c r="AI3549" s="750"/>
      <c r="AJ3549" s="750"/>
      <c r="AK3549" s="750"/>
      <c r="AL3549" s="750"/>
      <c r="AM3549" s="750"/>
      <c r="AN3549" s="750"/>
      <c r="AO3549" s="750"/>
      <c r="AP3549" s="750"/>
      <c r="AQ3549" s="750"/>
      <c r="AR3549" s="750"/>
      <c r="AS3549" s="750"/>
      <c r="AT3549" s="750"/>
      <c r="AU3549" s="750"/>
      <c r="AV3549" s="750"/>
      <c r="AW3549" s="750"/>
      <c r="AX3549" s="750"/>
      <c r="AY3549" s="750"/>
      <c r="AZ3549" s="750"/>
      <c r="BA3549" s="750"/>
      <c r="BB3549" s="750"/>
      <c r="BC3549" s="750"/>
      <c r="BD3549" s="750"/>
      <c r="BE3549" s="750"/>
      <c r="BF3549" s="750"/>
      <c r="BG3549" s="750"/>
      <c r="BH3549" s="750"/>
      <c r="BI3549" s="750"/>
      <c r="BJ3549" s="750"/>
      <c r="BK3549" s="750"/>
      <c r="BL3549" s="750"/>
      <c r="BM3549" s="750"/>
      <c r="BN3549" s="750"/>
      <c r="BO3549" s="750"/>
      <c r="BP3549" s="750"/>
      <c r="BQ3549" s="750"/>
    </row>
    <row r="3550" spans="3:69">
      <c r="C3550" s="853"/>
      <c r="D3550" s="853"/>
      <c r="E3550" s="853"/>
      <c r="F3550" s="853"/>
      <c r="G3550" s="853"/>
      <c r="H3550" s="853"/>
      <c r="I3550" s="848"/>
      <c r="J3550" s="848"/>
      <c r="K3550" s="1295"/>
      <c r="L3550" s="1295"/>
      <c r="M3550" s="1295"/>
      <c r="N3550" s="1295"/>
      <c r="O3550" s="1295"/>
      <c r="P3550" s="853"/>
      <c r="Q3550" s="1295"/>
      <c r="R3550" s="848"/>
      <c r="S3550" s="848"/>
      <c r="T3550" s="848"/>
      <c r="U3550" s="848"/>
      <c r="V3550" s="1296"/>
      <c r="W3550" s="848"/>
      <c r="X3550" s="848"/>
      <c r="Y3550" s="1295"/>
      <c r="Z3550" s="1296"/>
      <c r="AA3550" s="1295"/>
      <c r="AB3550" s="1296"/>
      <c r="AC3550" s="1295"/>
      <c r="AD3550" s="1295"/>
      <c r="AE3550" s="2556"/>
      <c r="AF3550" s="750"/>
      <c r="AG3550" s="750"/>
      <c r="AH3550" s="750"/>
      <c r="AI3550" s="750"/>
      <c r="AJ3550" s="750"/>
      <c r="AK3550" s="750"/>
      <c r="AL3550" s="750"/>
      <c r="AM3550" s="750"/>
      <c r="AN3550" s="750"/>
      <c r="AO3550" s="750"/>
      <c r="AP3550" s="750"/>
      <c r="AQ3550" s="750"/>
      <c r="AR3550" s="750"/>
      <c r="AS3550" s="750"/>
      <c r="AT3550" s="750"/>
      <c r="AU3550" s="750"/>
      <c r="AV3550" s="750"/>
      <c r="AW3550" s="750"/>
      <c r="AX3550" s="750"/>
      <c r="AY3550" s="750"/>
      <c r="AZ3550" s="750"/>
      <c r="BA3550" s="750"/>
      <c r="BB3550" s="750"/>
      <c r="BC3550" s="750"/>
      <c r="BD3550" s="750"/>
      <c r="BE3550" s="750"/>
      <c r="BF3550" s="750"/>
      <c r="BG3550" s="750"/>
      <c r="BH3550" s="750"/>
      <c r="BI3550" s="750"/>
      <c r="BJ3550" s="750"/>
      <c r="BK3550" s="750"/>
      <c r="BL3550" s="750"/>
      <c r="BM3550" s="750"/>
      <c r="BN3550" s="750"/>
      <c r="BO3550" s="750"/>
      <c r="BP3550" s="750"/>
      <c r="BQ3550" s="750"/>
    </row>
    <row r="3551" spans="3:69">
      <c r="C3551" s="853"/>
      <c r="D3551" s="853"/>
      <c r="E3551" s="853"/>
      <c r="F3551" s="853"/>
      <c r="G3551" s="853"/>
      <c r="H3551" s="853"/>
      <c r="I3551" s="848"/>
      <c r="J3551" s="848"/>
      <c r="K3551" s="1295"/>
      <c r="L3551" s="1295"/>
      <c r="M3551" s="1295"/>
      <c r="N3551" s="1295"/>
      <c r="O3551" s="1295"/>
      <c r="P3551" s="853"/>
      <c r="Q3551" s="1295"/>
      <c r="R3551" s="848"/>
      <c r="S3551" s="848"/>
      <c r="T3551" s="848"/>
      <c r="U3551" s="848"/>
      <c r="V3551" s="1296"/>
      <c r="W3551" s="848"/>
      <c r="X3551" s="848"/>
      <c r="Y3551" s="1295"/>
      <c r="Z3551" s="1296"/>
      <c r="AA3551" s="1295"/>
      <c r="AB3551" s="1296"/>
      <c r="AC3551" s="1295"/>
      <c r="AD3551" s="1295"/>
      <c r="AE3551" s="2556"/>
      <c r="AF3551" s="750"/>
      <c r="AG3551" s="750"/>
      <c r="AH3551" s="750"/>
      <c r="AI3551" s="750"/>
      <c r="AJ3551" s="750"/>
      <c r="AK3551" s="750"/>
      <c r="AL3551" s="750"/>
      <c r="AM3551" s="750"/>
      <c r="AN3551" s="750"/>
      <c r="AO3551" s="750"/>
      <c r="AP3551" s="750"/>
      <c r="AQ3551" s="750"/>
      <c r="AR3551" s="750"/>
      <c r="AS3551" s="750"/>
      <c r="AT3551" s="750"/>
      <c r="AU3551" s="750"/>
      <c r="AV3551" s="750"/>
      <c r="AW3551" s="750"/>
      <c r="AX3551" s="750"/>
      <c r="AY3551" s="750"/>
      <c r="AZ3551" s="750"/>
      <c r="BA3551" s="750"/>
      <c r="BB3551" s="750"/>
      <c r="BC3551" s="750"/>
      <c r="BD3551" s="750"/>
      <c r="BE3551" s="750"/>
      <c r="BF3551" s="750"/>
      <c r="BG3551" s="750"/>
      <c r="BH3551" s="750"/>
      <c r="BI3551" s="750"/>
      <c r="BJ3551" s="750"/>
      <c r="BK3551" s="750"/>
      <c r="BL3551" s="750"/>
      <c r="BM3551" s="750"/>
      <c r="BN3551" s="750"/>
      <c r="BO3551" s="750"/>
      <c r="BP3551" s="750"/>
      <c r="BQ3551" s="750"/>
    </row>
    <row r="3552" spans="3:69">
      <c r="C3552" s="853"/>
      <c r="D3552" s="853"/>
      <c r="E3552" s="853"/>
      <c r="F3552" s="853"/>
      <c r="G3552" s="853"/>
      <c r="H3552" s="853"/>
      <c r="I3552" s="848"/>
      <c r="J3552" s="848"/>
      <c r="K3552" s="1295"/>
      <c r="L3552" s="1295"/>
      <c r="M3552" s="1295"/>
      <c r="N3552" s="1295"/>
      <c r="O3552" s="1295"/>
      <c r="P3552" s="853"/>
      <c r="Q3552" s="1295"/>
      <c r="R3552" s="848"/>
      <c r="S3552" s="848"/>
      <c r="T3552" s="848"/>
      <c r="U3552" s="848"/>
      <c r="V3552" s="1296"/>
      <c r="W3552" s="848"/>
      <c r="X3552" s="848"/>
      <c r="Y3552" s="1295"/>
      <c r="Z3552" s="1296"/>
      <c r="AA3552" s="1295"/>
      <c r="AB3552" s="1296"/>
      <c r="AC3552" s="1295"/>
      <c r="AD3552" s="1295"/>
      <c r="AE3552" s="2556"/>
      <c r="AF3552" s="750"/>
      <c r="AG3552" s="750"/>
      <c r="AH3552" s="750"/>
      <c r="AI3552" s="750"/>
      <c r="AJ3552" s="750"/>
      <c r="AK3552" s="750"/>
      <c r="AL3552" s="750"/>
      <c r="AM3552" s="750"/>
      <c r="AN3552" s="750"/>
      <c r="AO3552" s="750"/>
      <c r="AP3552" s="750"/>
      <c r="AQ3552" s="750"/>
      <c r="AR3552" s="750"/>
      <c r="AS3552" s="750"/>
      <c r="AT3552" s="750"/>
      <c r="AU3552" s="750"/>
      <c r="AV3552" s="750"/>
      <c r="AW3552" s="750"/>
      <c r="AX3552" s="750"/>
      <c r="AY3552" s="750"/>
      <c r="AZ3552" s="750"/>
      <c r="BA3552" s="750"/>
      <c r="BB3552" s="750"/>
      <c r="BC3552" s="750"/>
      <c r="BD3552" s="750"/>
      <c r="BE3552" s="750"/>
      <c r="BF3552" s="750"/>
      <c r="BG3552" s="750"/>
      <c r="BH3552" s="750"/>
      <c r="BI3552" s="750"/>
      <c r="BJ3552" s="750"/>
      <c r="BK3552" s="750"/>
      <c r="BL3552" s="750"/>
      <c r="BM3552" s="750"/>
      <c r="BN3552" s="750"/>
      <c r="BO3552" s="750"/>
      <c r="BP3552" s="750"/>
      <c r="BQ3552" s="750"/>
    </row>
    <row r="3553" spans="3:69">
      <c r="C3553" s="853"/>
      <c r="D3553" s="853"/>
      <c r="E3553" s="853"/>
      <c r="F3553" s="853"/>
      <c r="G3553" s="853"/>
      <c r="H3553" s="853"/>
      <c r="I3553" s="848"/>
      <c r="J3553" s="848"/>
      <c r="K3553" s="1295"/>
      <c r="L3553" s="1295"/>
      <c r="M3553" s="1295"/>
      <c r="N3553" s="1295"/>
      <c r="O3553" s="1295"/>
      <c r="P3553" s="853"/>
      <c r="Q3553" s="1295"/>
      <c r="R3553" s="848"/>
      <c r="S3553" s="848"/>
      <c r="T3553" s="848"/>
      <c r="U3553" s="848"/>
      <c r="V3553" s="1296"/>
      <c r="W3553" s="848"/>
      <c r="X3553" s="848"/>
      <c r="Y3553" s="1295"/>
      <c r="Z3553" s="1296"/>
      <c r="AA3553" s="1295"/>
      <c r="AB3553" s="1296"/>
      <c r="AC3553" s="1295"/>
      <c r="AD3553" s="1295"/>
      <c r="AE3553" s="2556"/>
      <c r="AF3553" s="750"/>
      <c r="AG3553" s="750"/>
      <c r="AH3553" s="750"/>
      <c r="AI3553" s="750"/>
      <c r="AJ3553" s="750"/>
      <c r="AK3553" s="750"/>
      <c r="AL3553" s="750"/>
      <c r="AM3553" s="750"/>
      <c r="AN3553" s="750"/>
      <c r="AO3553" s="750"/>
      <c r="AP3553" s="750"/>
      <c r="AQ3553" s="750"/>
      <c r="AR3553" s="750"/>
      <c r="AS3553" s="750"/>
      <c r="AT3553" s="750"/>
      <c r="AU3553" s="750"/>
      <c r="AV3553" s="750"/>
      <c r="AW3553" s="750"/>
      <c r="AX3553" s="750"/>
      <c r="AY3553" s="750"/>
      <c r="AZ3553" s="750"/>
      <c r="BA3553" s="750"/>
      <c r="BB3553" s="750"/>
      <c r="BC3553" s="750"/>
      <c r="BD3553" s="750"/>
      <c r="BE3553" s="750"/>
      <c r="BF3553" s="750"/>
      <c r="BG3553" s="750"/>
      <c r="BH3553" s="750"/>
      <c r="BI3553" s="750"/>
      <c r="BJ3553" s="750"/>
      <c r="BK3553" s="750"/>
      <c r="BL3553" s="750"/>
      <c r="BM3553" s="750"/>
      <c r="BN3553" s="750"/>
      <c r="BO3553" s="750"/>
      <c r="BP3553" s="750"/>
      <c r="BQ3553" s="750"/>
    </row>
    <row r="3554" spans="3:69">
      <c r="C3554" s="853"/>
      <c r="D3554" s="853"/>
      <c r="E3554" s="853"/>
      <c r="F3554" s="853"/>
      <c r="G3554" s="853"/>
      <c r="H3554" s="853"/>
      <c r="I3554" s="848"/>
      <c r="J3554" s="848"/>
      <c r="K3554" s="1295"/>
      <c r="L3554" s="1295"/>
      <c r="M3554" s="1295"/>
      <c r="N3554" s="1295"/>
      <c r="O3554" s="1295"/>
      <c r="P3554" s="853"/>
      <c r="Q3554" s="1295"/>
      <c r="R3554" s="848"/>
      <c r="S3554" s="848"/>
      <c r="T3554" s="848"/>
      <c r="U3554" s="848"/>
      <c r="V3554" s="1296"/>
      <c r="W3554" s="848"/>
      <c r="X3554" s="848"/>
      <c r="Y3554" s="1295"/>
      <c r="Z3554" s="1296"/>
      <c r="AA3554" s="1295"/>
      <c r="AB3554" s="1296"/>
      <c r="AC3554" s="1295"/>
      <c r="AD3554" s="1295"/>
      <c r="AE3554" s="2556"/>
      <c r="AF3554" s="750"/>
      <c r="AG3554" s="750"/>
      <c r="AH3554" s="750"/>
      <c r="AI3554" s="750"/>
      <c r="AJ3554" s="750"/>
      <c r="AK3554" s="750"/>
      <c r="AL3554" s="750"/>
      <c r="AM3554" s="750"/>
      <c r="AN3554" s="750"/>
      <c r="AO3554" s="750"/>
      <c r="AP3554" s="750"/>
      <c r="AQ3554" s="750"/>
      <c r="AR3554" s="750"/>
      <c r="AS3554" s="750"/>
      <c r="AT3554" s="750"/>
      <c r="AU3554" s="750"/>
      <c r="AV3554" s="750"/>
      <c r="AW3554" s="750"/>
      <c r="AX3554" s="750"/>
      <c r="AY3554" s="750"/>
      <c r="AZ3554" s="750"/>
      <c r="BA3554" s="750"/>
      <c r="BB3554" s="750"/>
      <c r="BC3554" s="750"/>
      <c r="BD3554" s="750"/>
      <c r="BE3554" s="750"/>
      <c r="BF3554" s="750"/>
      <c r="BG3554" s="750"/>
      <c r="BH3554" s="750"/>
      <c r="BI3554" s="750"/>
      <c r="BJ3554" s="750"/>
      <c r="BK3554" s="750"/>
      <c r="BL3554" s="750"/>
      <c r="BM3554" s="750"/>
      <c r="BN3554" s="750"/>
      <c r="BO3554" s="750"/>
      <c r="BP3554" s="750"/>
      <c r="BQ3554" s="750"/>
    </row>
    <row r="3555" spans="3:69">
      <c r="C3555" s="853"/>
      <c r="D3555" s="853"/>
      <c r="E3555" s="853"/>
      <c r="F3555" s="853"/>
      <c r="G3555" s="853"/>
      <c r="H3555" s="853"/>
      <c r="I3555" s="848"/>
      <c r="J3555" s="848"/>
      <c r="K3555" s="1295"/>
      <c r="L3555" s="1295"/>
      <c r="M3555" s="1295"/>
      <c r="N3555" s="1295"/>
      <c r="O3555" s="1295"/>
      <c r="P3555" s="853"/>
      <c r="Q3555" s="1295"/>
      <c r="R3555" s="848"/>
      <c r="S3555" s="848"/>
      <c r="T3555" s="848"/>
      <c r="U3555" s="848"/>
      <c r="V3555" s="1296"/>
      <c r="W3555" s="848"/>
      <c r="X3555" s="848"/>
      <c r="Y3555" s="1295"/>
      <c r="Z3555" s="1296"/>
      <c r="AA3555" s="1295"/>
      <c r="AB3555" s="1296"/>
      <c r="AC3555" s="1295"/>
      <c r="AD3555" s="1295"/>
      <c r="AE3555" s="2556"/>
      <c r="AF3555" s="750"/>
      <c r="AG3555" s="750"/>
      <c r="AH3555" s="750"/>
      <c r="AI3555" s="750"/>
      <c r="AJ3555" s="750"/>
      <c r="AK3555" s="750"/>
      <c r="AL3555" s="750"/>
      <c r="AM3555" s="750"/>
      <c r="AN3555" s="750"/>
      <c r="AO3555" s="750"/>
      <c r="AP3555" s="750"/>
      <c r="AQ3555" s="750"/>
      <c r="AR3555" s="750"/>
      <c r="AS3555" s="750"/>
      <c r="AT3555" s="750"/>
      <c r="AU3555" s="750"/>
      <c r="AV3555" s="750"/>
      <c r="AW3555" s="750"/>
      <c r="AX3555" s="750"/>
      <c r="AY3555" s="750"/>
      <c r="AZ3555" s="750"/>
      <c r="BA3555" s="750"/>
      <c r="BB3555" s="750"/>
      <c r="BC3555" s="750"/>
      <c r="BD3555" s="750"/>
      <c r="BE3555" s="750"/>
      <c r="BF3555" s="750"/>
      <c r="BG3555" s="750"/>
      <c r="BH3555" s="750"/>
      <c r="BI3555" s="750"/>
      <c r="BJ3555" s="750"/>
      <c r="BK3555" s="750"/>
      <c r="BL3555" s="750"/>
      <c r="BM3555" s="750"/>
      <c r="BN3555" s="750"/>
      <c r="BO3555" s="750"/>
      <c r="BP3555" s="750"/>
      <c r="BQ3555" s="750"/>
    </row>
    <row r="3556" spans="3:69">
      <c r="C3556" s="853"/>
      <c r="D3556" s="853"/>
      <c r="E3556" s="853"/>
      <c r="F3556" s="853"/>
      <c r="G3556" s="853"/>
      <c r="H3556" s="853"/>
      <c r="I3556" s="848"/>
      <c r="J3556" s="848"/>
      <c r="K3556" s="1295"/>
      <c r="L3556" s="1295"/>
      <c r="M3556" s="1295"/>
      <c r="N3556" s="1295"/>
      <c r="O3556" s="1295"/>
      <c r="P3556" s="853"/>
      <c r="Q3556" s="1295"/>
      <c r="R3556" s="848"/>
      <c r="S3556" s="848"/>
      <c r="T3556" s="848"/>
      <c r="U3556" s="848"/>
      <c r="V3556" s="1296"/>
      <c r="W3556" s="848"/>
      <c r="X3556" s="848"/>
      <c r="Y3556" s="1295"/>
      <c r="Z3556" s="1296"/>
      <c r="AA3556" s="1295"/>
      <c r="AB3556" s="1296"/>
      <c r="AC3556" s="1295"/>
      <c r="AD3556" s="1295"/>
      <c r="AE3556" s="2556"/>
      <c r="AF3556" s="750"/>
      <c r="AG3556" s="750"/>
      <c r="AH3556" s="750"/>
      <c r="AI3556" s="750"/>
      <c r="AJ3556" s="750"/>
      <c r="AK3556" s="750"/>
      <c r="AL3556" s="750"/>
      <c r="AM3556" s="750"/>
      <c r="AN3556" s="750"/>
      <c r="AO3556" s="750"/>
      <c r="AP3556" s="750"/>
      <c r="AQ3556" s="750"/>
      <c r="AR3556" s="750"/>
      <c r="AS3556" s="750"/>
      <c r="AT3556" s="750"/>
      <c r="AU3556" s="750"/>
      <c r="AV3556" s="750"/>
      <c r="AW3556" s="750"/>
      <c r="AX3556" s="750"/>
      <c r="AY3556" s="750"/>
      <c r="AZ3556" s="750"/>
      <c r="BA3556" s="750"/>
      <c r="BB3556" s="750"/>
      <c r="BC3556" s="750"/>
      <c r="BD3556" s="750"/>
      <c r="BE3556" s="750"/>
      <c r="BF3556" s="750"/>
      <c r="BG3556" s="750"/>
      <c r="BH3556" s="750"/>
      <c r="BI3556" s="750"/>
      <c r="BJ3556" s="750"/>
      <c r="BK3556" s="750"/>
      <c r="BL3556" s="750"/>
      <c r="BM3556" s="750"/>
      <c r="BN3556" s="750"/>
      <c r="BO3556" s="750"/>
      <c r="BP3556" s="750"/>
      <c r="BQ3556" s="750"/>
    </row>
    <row r="3557" spans="3:69">
      <c r="C3557" s="853"/>
      <c r="D3557" s="853"/>
      <c r="E3557" s="853"/>
      <c r="F3557" s="853"/>
      <c r="G3557" s="853"/>
      <c r="H3557" s="853"/>
      <c r="I3557" s="848"/>
      <c r="J3557" s="848"/>
      <c r="K3557" s="1295"/>
      <c r="L3557" s="1295"/>
      <c r="M3557" s="1295"/>
      <c r="N3557" s="1295"/>
      <c r="O3557" s="1295"/>
      <c r="P3557" s="853"/>
      <c r="Q3557" s="1295"/>
      <c r="R3557" s="848"/>
      <c r="S3557" s="848"/>
      <c r="T3557" s="848"/>
      <c r="U3557" s="848"/>
      <c r="V3557" s="1296"/>
      <c r="W3557" s="848"/>
      <c r="X3557" s="848"/>
      <c r="Y3557" s="1295"/>
      <c r="Z3557" s="1296"/>
      <c r="AA3557" s="1295"/>
      <c r="AB3557" s="1296"/>
      <c r="AC3557" s="1295"/>
      <c r="AD3557" s="1295"/>
      <c r="AE3557" s="2556"/>
      <c r="AF3557" s="750"/>
      <c r="AG3557" s="750"/>
      <c r="AH3557" s="750"/>
      <c r="AI3557" s="750"/>
      <c r="AJ3557" s="750"/>
      <c r="AK3557" s="750"/>
      <c r="AL3557" s="750"/>
      <c r="AM3557" s="750"/>
      <c r="AN3557" s="750"/>
      <c r="AO3557" s="750"/>
      <c r="AP3557" s="750"/>
      <c r="AQ3557" s="750"/>
      <c r="AR3557" s="750"/>
      <c r="AS3557" s="750"/>
      <c r="AT3557" s="750"/>
      <c r="AU3557" s="750"/>
      <c r="AV3557" s="750"/>
      <c r="AW3557" s="750"/>
      <c r="AX3557" s="750"/>
      <c r="AY3557" s="750"/>
      <c r="AZ3557" s="750"/>
      <c r="BA3557" s="750"/>
      <c r="BB3557" s="750"/>
      <c r="BC3557" s="750"/>
      <c r="BD3557" s="750"/>
      <c r="BE3557" s="750"/>
      <c r="BF3557" s="750"/>
      <c r="BG3557" s="750"/>
      <c r="BH3557" s="750"/>
      <c r="BI3557" s="750"/>
      <c r="BJ3557" s="750"/>
      <c r="BK3557" s="750"/>
      <c r="BL3557" s="750"/>
      <c r="BM3557" s="750"/>
      <c r="BN3557" s="750"/>
      <c r="BO3557" s="750"/>
      <c r="BP3557" s="750"/>
      <c r="BQ3557" s="750"/>
    </row>
    <row r="3558" spans="3:69">
      <c r="C3558" s="853"/>
      <c r="D3558" s="853"/>
      <c r="E3558" s="853"/>
      <c r="F3558" s="853"/>
      <c r="G3558" s="853"/>
      <c r="H3558" s="853"/>
      <c r="I3558" s="848"/>
      <c r="J3558" s="848"/>
      <c r="K3558" s="1295"/>
      <c r="L3558" s="1295"/>
      <c r="M3558" s="1295"/>
      <c r="N3558" s="1295"/>
      <c r="O3558" s="1295"/>
      <c r="P3558" s="853"/>
      <c r="Q3558" s="1295"/>
      <c r="R3558" s="848"/>
      <c r="S3558" s="848"/>
      <c r="T3558" s="848"/>
      <c r="U3558" s="848"/>
      <c r="V3558" s="1296"/>
      <c r="W3558" s="848"/>
      <c r="X3558" s="848"/>
      <c r="Y3558" s="1295"/>
      <c r="Z3558" s="1296"/>
      <c r="AA3558" s="1295"/>
      <c r="AB3558" s="1296"/>
      <c r="AC3558" s="1295"/>
      <c r="AD3558" s="1295"/>
      <c r="AE3558" s="2556"/>
      <c r="AF3558" s="750"/>
      <c r="AG3558" s="750"/>
      <c r="AH3558" s="750"/>
      <c r="AI3558" s="750"/>
      <c r="AJ3558" s="750"/>
      <c r="AK3558" s="750"/>
      <c r="AL3558" s="750"/>
      <c r="AM3558" s="750"/>
      <c r="AN3558" s="750"/>
      <c r="AO3558" s="750"/>
      <c r="AP3558" s="750"/>
      <c r="AQ3558" s="750"/>
      <c r="AR3558" s="750"/>
      <c r="AS3558" s="750"/>
      <c r="AT3558" s="750"/>
      <c r="AU3558" s="750"/>
      <c r="AV3558" s="750"/>
      <c r="AW3558" s="750"/>
      <c r="AX3558" s="750"/>
      <c r="AY3558" s="750"/>
      <c r="AZ3558" s="750"/>
      <c r="BA3558" s="750"/>
      <c r="BB3558" s="750"/>
      <c r="BC3558" s="750"/>
      <c r="BD3558" s="750"/>
      <c r="BE3558" s="750"/>
      <c r="BF3558" s="750"/>
      <c r="BG3558" s="750"/>
      <c r="BH3558" s="750"/>
      <c r="BI3558" s="750"/>
      <c r="BJ3558" s="750"/>
      <c r="BK3558" s="750"/>
      <c r="BL3558" s="750"/>
      <c r="BM3558" s="750"/>
      <c r="BN3558" s="750"/>
      <c r="BO3558" s="750"/>
      <c r="BP3558" s="750"/>
      <c r="BQ3558" s="750"/>
    </row>
    <row r="3559" spans="3:69">
      <c r="C3559" s="853"/>
      <c r="D3559" s="853"/>
      <c r="E3559" s="853"/>
      <c r="F3559" s="853"/>
      <c r="G3559" s="853"/>
      <c r="H3559" s="853"/>
      <c r="I3559" s="848"/>
      <c r="J3559" s="848"/>
      <c r="K3559" s="1295"/>
      <c r="L3559" s="1295"/>
      <c r="M3559" s="1295"/>
      <c r="N3559" s="1295"/>
      <c r="O3559" s="1295"/>
      <c r="P3559" s="853"/>
      <c r="Q3559" s="1295"/>
      <c r="R3559" s="848"/>
      <c r="S3559" s="848"/>
      <c r="T3559" s="848"/>
      <c r="U3559" s="848"/>
      <c r="V3559" s="1296"/>
      <c r="W3559" s="848"/>
      <c r="X3559" s="848"/>
      <c r="Y3559" s="1295"/>
      <c r="Z3559" s="1296"/>
      <c r="AA3559" s="1295"/>
      <c r="AB3559" s="1296"/>
      <c r="AC3559" s="1295"/>
      <c r="AD3559" s="1295"/>
      <c r="AE3559" s="2556"/>
      <c r="AF3559" s="750"/>
      <c r="AG3559" s="750"/>
      <c r="AH3559" s="750"/>
      <c r="AI3559" s="750"/>
      <c r="AJ3559" s="750"/>
      <c r="AK3559" s="750"/>
      <c r="AL3559" s="750"/>
      <c r="AM3559" s="750"/>
      <c r="AN3559" s="750"/>
      <c r="AO3559" s="750"/>
      <c r="AP3559" s="750"/>
      <c r="AQ3559" s="750"/>
      <c r="AR3559" s="750"/>
      <c r="AS3559" s="750"/>
      <c r="AT3559" s="750"/>
      <c r="AU3559" s="750"/>
      <c r="AV3559" s="750"/>
      <c r="AW3559" s="750"/>
      <c r="AX3559" s="750"/>
      <c r="AY3559" s="750"/>
      <c r="AZ3559" s="750"/>
      <c r="BA3559" s="750"/>
      <c r="BB3559" s="750"/>
      <c r="BC3559" s="750"/>
      <c r="BD3559" s="750"/>
      <c r="BE3559" s="750"/>
      <c r="BF3559" s="750"/>
      <c r="BG3559" s="750"/>
      <c r="BH3559" s="750"/>
      <c r="BI3559" s="750"/>
      <c r="BJ3559" s="750"/>
      <c r="BK3559" s="750"/>
      <c r="BL3559" s="750"/>
      <c r="BM3559" s="750"/>
      <c r="BN3559" s="750"/>
      <c r="BO3559" s="750"/>
      <c r="BP3559" s="750"/>
      <c r="BQ3559" s="750"/>
    </row>
    <row r="3560" spans="3:69">
      <c r="C3560" s="853"/>
      <c r="D3560" s="853"/>
      <c r="E3560" s="853"/>
      <c r="F3560" s="853"/>
      <c r="G3560" s="853"/>
      <c r="H3560" s="853"/>
      <c r="I3560" s="848"/>
      <c r="J3560" s="848"/>
      <c r="K3560" s="1295"/>
      <c r="L3560" s="1295"/>
      <c r="M3560" s="1295"/>
      <c r="N3560" s="1295"/>
      <c r="O3560" s="1295"/>
      <c r="P3560" s="853"/>
      <c r="Q3560" s="1295"/>
      <c r="R3560" s="848"/>
      <c r="S3560" s="848"/>
      <c r="T3560" s="848"/>
      <c r="U3560" s="848"/>
      <c r="V3560" s="1296"/>
      <c r="W3560" s="848"/>
      <c r="X3560" s="848"/>
      <c r="Y3560" s="1295"/>
      <c r="Z3560" s="1296"/>
      <c r="AA3560" s="1295"/>
      <c r="AB3560" s="1296"/>
      <c r="AC3560" s="1295"/>
      <c r="AD3560" s="1295"/>
      <c r="AE3560" s="2556"/>
      <c r="AF3560" s="750"/>
      <c r="AG3560" s="750"/>
      <c r="AH3560" s="750"/>
      <c r="AI3560" s="750"/>
      <c r="AJ3560" s="750"/>
      <c r="AK3560" s="750"/>
      <c r="AL3560" s="750"/>
      <c r="AM3560" s="750"/>
      <c r="AN3560" s="750"/>
      <c r="AO3560" s="750"/>
      <c r="AP3560" s="750"/>
      <c r="AQ3560" s="750"/>
      <c r="AR3560" s="750"/>
      <c r="AS3560" s="750"/>
      <c r="AT3560" s="750"/>
      <c r="AU3560" s="750"/>
      <c r="AV3560" s="750"/>
      <c r="AW3560" s="750"/>
      <c r="AX3560" s="750"/>
      <c r="AY3560" s="750"/>
      <c r="AZ3560" s="750"/>
      <c r="BA3560" s="750"/>
      <c r="BB3560" s="750"/>
      <c r="BC3560" s="750"/>
      <c r="BD3560" s="750"/>
      <c r="BE3560" s="750"/>
      <c r="BF3560" s="750"/>
      <c r="BG3560" s="750"/>
      <c r="BH3560" s="750"/>
      <c r="BI3560" s="750"/>
      <c r="BJ3560" s="750"/>
      <c r="BK3560" s="750"/>
      <c r="BL3560" s="750"/>
      <c r="BM3560" s="750"/>
      <c r="BN3560" s="750"/>
      <c r="BO3560" s="750"/>
      <c r="BP3560" s="750"/>
      <c r="BQ3560" s="750"/>
    </row>
    <row r="3561" spans="3:69">
      <c r="C3561" s="853"/>
      <c r="D3561" s="853"/>
      <c r="E3561" s="853"/>
      <c r="F3561" s="853"/>
      <c r="G3561" s="853"/>
      <c r="H3561" s="853"/>
      <c r="I3561" s="848"/>
      <c r="J3561" s="848"/>
      <c r="K3561" s="1295"/>
      <c r="L3561" s="1295"/>
      <c r="M3561" s="1295"/>
      <c r="N3561" s="1295"/>
      <c r="O3561" s="1295"/>
      <c r="P3561" s="853"/>
      <c r="Q3561" s="1295"/>
      <c r="R3561" s="848"/>
      <c r="S3561" s="848"/>
      <c r="T3561" s="848"/>
      <c r="U3561" s="848"/>
      <c r="V3561" s="1296"/>
      <c r="W3561" s="848"/>
      <c r="X3561" s="848"/>
      <c r="Y3561" s="1295"/>
      <c r="Z3561" s="1296"/>
      <c r="AA3561" s="1295"/>
      <c r="AB3561" s="1296"/>
      <c r="AC3561" s="1295"/>
      <c r="AD3561" s="1295"/>
      <c r="AE3561" s="2556"/>
      <c r="AF3561" s="750"/>
      <c r="AG3561" s="750"/>
      <c r="AH3561" s="750"/>
      <c r="AI3561" s="750"/>
      <c r="AJ3561" s="750"/>
      <c r="AK3561" s="750"/>
      <c r="AL3561" s="750"/>
      <c r="AM3561" s="750"/>
      <c r="AN3561" s="750"/>
      <c r="AO3561" s="750"/>
      <c r="AP3561" s="750"/>
      <c r="AQ3561" s="750"/>
      <c r="AR3561" s="750"/>
      <c r="AS3561" s="750"/>
      <c r="AT3561" s="750"/>
      <c r="AU3561" s="750"/>
      <c r="AV3561" s="750"/>
      <c r="AW3561" s="750"/>
      <c r="AX3561" s="750"/>
      <c r="AY3561" s="750"/>
      <c r="AZ3561" s="750"/>
      <c r="BA3561" s="750"/>
      <c r="BB3561" s="750"/>
      <c r="BC3561" s="750"/>
      <c r="BD3561" s="750"/>
      <c r="BE3561" s="750"/>
      <c r="BF3561" s="750"/>
      <c r="BG3561" s="750"/>
      <c r="BH3561" s="750"/>
      <c r="BI3561" s="750"/>
      <c r="BJ3561" s="750"/>
      <c r="BK3561" s="750"/>
      <c r="BL3561" s="750"/>
      <c r="BM3561" s="750"/>
      <c r="BN3561" s="750"/>
      <c r="BO3561" s="750"/>
      <c r="BP3561" s="750"/>
      <c r="BQ3561" s="750"/>
    </row>
    <row r="3562" spans="3:69">
      <c r="C3562" s="853"/>
      <c r="D3562" s="853"/>
      <c r="E3562" s="853"/>
      <c r="F3562" s="853"/>
      <c r="G3562" s="853"/>
      <c r="H3562" s="853"/>
      <c r="I3562" s="848"/>
      <c r="J3562" s="848"/>
      <c r="K3562" s="1295"/>
      <c r="L3562" s="1295"/>
      <c r="M3562" s="1295"/>
      <c r="N3562" s="1295"/>
      <c r="O3562" s="1295"/>
      <c r="P3562" s="853"/>
      <c r="Q3562" s="1295"/>
      <c r="R3562" s="848"/>
      <c r="S3562" s="848"/>
      <c r="T3562" s="848"/>
      <c r="U3562" s="848"/>
      <c r="V3562" s="1296"/>
      <c r="W3562" s="848"/>
      <c r="X3562" s="848"/>
      <c r="Y3562" s="1295"/>
      <c r="Z3562" s="1296"/>
      <c r="AA3562" s="1295"/>
      <c r="AB3562" s="1296"/>
      <c r="AC3562" s="1295"/>
      <c r="AD3562" s="1295"/>
      <c r="AE3562" s="2556"/>
      <c r="AF3562" s="750"/>
      <c r="AG3562" s="750"/>
      <c r="AH3562" s="750"/>
      <c r="AI3562" s="750"/>
      <c r="AJ3562" s="750"/>
      <c r="AK3562" s="750"/>
      <c r="AL3562" s="750"/>
      <c r="AM3562" s="750"/>
      <c r="AN3562" s="750"/>
      <c r="AO3562" s="750"/>
      <c r="AP3562" s="750"/>
      <c r="AQ3562" s="750"/>
      <c r="AR3562" s="750"/>
      <c r="AS3562" s="750"/>
      <c r="AT3562" s="750"/>
      <c r="AU3562" s="750"/>
      <c r="AV3562" s="750"/>
      <c r="AW3562" s="750"/>
      <c r="AX3562" s="750"/>
      <c r="AY3562" s="750"/>
      <c r="AZ3562" s="750"/>
      <c r="BA3562" s="750"/>
      <c r="BB3562" s="750"/>
      <c r="BC3562" s="750"/>
      <c r="BD3562" s="750"/>
      <c r="BE3562" s="750"/>
      <c r="BF3562" s="750"/>
      <c r="BG3562" s="750"/>
      <c r="BH3562" s="750"/>
      <c r="BI3562" s="750"/>
      <c r="BJ3562" s="750"/>
      <c r="BK3562" s="750"/>
      <c r="BL3562" s="750"/>
      <c r="BM3562" s="750"/>
      <c r="BN3562" s="750"/>
      <c r="BO3562" s="750"/>
      <c r="BP3562" s="750"/>
      <c r="BQ3562" s="750"/>
    </row>
    <row r="3563" spans="3:69">
      <c r="C3563" s="853"/>
      <c r="D3563" s="853"/>
      <c r="E3563" s="853"/>
      <c r="F3563" s="853"/>
      <c r="G3563" s="853"/>
      <c r="H3563" s="853"/>
      <c r="I3563" s="848"/>
      <c r="J3563" s="848"/>
      <c r="K3563" s="1295"/>
      <c r="L3563" s="1295"/>
      <c r="M3563" s="1295"/>
      <c r="N3563" s="1295"/>
      <c r="O3563" s="1295"/>
      <c r="P3563" s="853"/>
      <c r="Q3563" s="1295"/>
      <c r="R3563" s="848"/>
      <c r="S3563" s="848"/>
      <c r="T3563" s="848"/>
      <c r="U3563" s="848"/>
      <c r="V3563" s="1296"/>
      <c r="W3563" s="848"/>
      <c r="X3563" s="848"/>
      <c r="Y3563" s="1295"/>
      <c r="Z3563" s="1296"/>
      <c r="AA3563" s="1295"/>
      <c r="AB3563" s="1296"/>
      <c r="AC3563" s="1295"/>
      <c r="AD3563" s="1295"/>
      <c r="AE3563" s="2556"/>
      <c r="AF3563" s="750"/>
      <c r="AG3563" s="750"/>
      <c r="AH3563" s="750"/>
      <c r="AI3563" s="750"/>
      <c r="AJ3563" s="750"/>
      <c r="AK3563" s="750"/>
      <c r="AL3563" s="750"/>
      <c r="AM3563" s="750"/>
      <c r="AN3563" s="750"/>
      <c r="AO3563" s="750"/>
      <c r="AP3563" s="750"/>
      <c r="AQ3563" s="750"/>
      <c r="AR3563" s="750"/>
      <c r="AS3563" s="750"/>
      <c r="AT3563" s="750"/>
      <c r="AU3563" s="750"/>
      <c r="AV3563" s="750"/>
      <c r="AW3563" s="750"/>
      <c r="AX3563" s="750"/>
      <c r="AY3563" s="750"/>
      <c r="AZ3563" s="750"/>
      <c r="BA3563" s="750"/>
      <c r="BB3563" s="750"/>
      <c r="BC3563" s="750"/>
      <c r="BD3563" s="750"/>
      <c r="BE3563" s="750"/>
      <c r="BF3563" s="750"/>
      <c r="BG3563" s="750"/>
      <c r="BH3563" s="750"/>
      <c r="BI3563" s="750"/>
      <c r="BJ3563" s="750"/>
      <c r="BK3563" s="750"/>
      <c r="BL3563" s="750"/>
      <c r="BM3563" s="750"/>
      <c r="BN3563" s="750"/>
      <c r="BO3563" s="750"/>
      <c r="BP3563" s="750"/>
      <c r="BQ3563" s="750"/>
    </row>
    <row r="3564" spans="3:69">
      <c r="C3564" s="853"/>
      <c r="D3564" s="853"/>
      <c r="E3564" s="853"/>
      <c r="F3564" s="853"/>
      <c r="G3564" s="853"/>
      <c r="H3564" s="853"/>
      <c r="I3564" s="848"/>
      <c r="J3564" s="848"/>
      <c r="K3564" s="1295"/>
      <c r="L3564" s="1295"/>
      <c r="M3564" s="1295"/>
      <c r="N3564" s="1295"/>
      <c r="O3564" s="1295"/>
      <c r="P3564" s="853"/>
      <c r="Q3564" s="1295"/>
      <c r="R3564" s="848"/>
      <c r="S3564" s="848"/>
      <c r="T3564" s="848"/>
      <c r="U3564" s="848"/>
      <c r="V3564" s="1296"/>
      <c r="W3564" s="848"/>
      <c r="X3564" s="848"/>
      <c r="Y3564" s="1295"/>
      <c r="Z3564" s="1296"/>
      <c r="AA3564" s="1295"/>
      <c r="AB3564" s="1296"/>
      <c r="AC3564" s="1295"/>
      <c r="AD3564" s="1295"/>
      <c r="AE3564" s="2556"/>
      <c r="AF3564" s="750"/>
      <c r="AG3564" s="750"/>
      <c r="AH3564" s="750"/>
      <c r="AI3564" s="750"/>
      <c r="AJ3564" s="750"/>
      <c r="AK3564" s="750"/>
      <c r="AL3564" s="750"/>
      <c r="AM3564" s="750"/>
      <c r="AN3564" s="750"/>
      <c r="AO3564" s="750"/>
      <c r="AP3564" s="750"/>
      <c r="AQ3564" s="750"/>
      <c r="AR3564" s="750"/>
      <c r="AS3564" s="750"/>
      <c r="AT3564" s="750"/>
      <c r="AU3564" s="750"/>
      <c r="AV3564" s="750"/>
      <c r="AW3564" s="750"/>
      <c r="AX3564" s="750"/>
      <c r="AY3564" s="750"/>
      <c r="AZ3564" s="750"/>
      <c r="BA3564" s="750"/>
      <c r="BB3564" s="750"/>
      <c r="BC3564" s="750"/>
      <c r="BD3564" s="750"/>
      <c r="BE3564" s="750"/>
      <c r="BF3564" s="750"/>
      <c r="BG3564" s="750"/>
      <c r="BH3564" s="750"/>
      <c r="BI3564" s="750"/>
      <c r="BJ3564" s="750"/>
      <c r="BK3564" s="750"/>
      <c r="BL3564" s="750"/>
      <c r="BM3564" s="750"/>
      <c r="BN3564" s="750"/>
      <c r="BO3564" s="750"/>
      <c r="BP3564" s="750"/>
      <c r="BQ3564" s="750"/>
    </row>
    <row r="3565" spans="3:69">
      <c r="C3565" s="853"/>
      <c r="D3565" s="853"/>
      <c r="E3565" s="853"/>
      <c r="F3565" s="853"/>
      <c r="G3565" s="853"/>
      <c r="H3565" s="853"/>
      <c r="I3565" s="848"/>
      <c r="J3565" s="848"/>
      <c r="K3565" s="1295"/>
      <c r="L3565" s="1295"/>
      <c r="M3565" s="1295"/>
      <c r="N3565" s="1295"/>
      <c r="O3565" s="1295"/>
      <c r="P3565" s="853"/>
      <c r="Q3565" s="1295"/>
      <c r="R3565" s="848"/>
      <c r="S3565" s="848"/>
      <c r="T3565" s="848"/>
      <c r="U3565" s="848"/>
      <c r="V3565" s="1296"/>
      <c r="W3565" s="848"/>
      <c r="X3565" s="848"/>
      <c r="Y3565" s="1295"/>
      <c r="Z3565" s="1296"/>
      <c r="AA3565" s="1295"/>
      <c r="AB3565" s="1296"/>
      <c r="AC3565" s="1295"/>
      <c r="AD3565" s="1295"/>
      <c r="AE3565" s="2556"/>
      <c r="AF3565" s="750"/>
      <c r="AG3565" s="750"/>
      <c r="AH3565" s="750"/>
      <c r="AI3565" s="750"/>
      <c r="AJ3565" s="750"/>
      <c r="AK3565" s="750"/>
      <c r="AL3565" s="750"/>
      <c r="AM3565" s="750"/>
      <c r="AN3565" s="750"/>
      <c r="AO3565" s="750"/>
      <c r="AP3565" s="750"/>
      <c r="AQ3565" s="750"/>
      <c r="AR3565" s="750"/>
      <c r="AS3565" s="750"/>
      <c r="AT3565" s="750"/>
      <c r="AU3565" s="750"/>
      <c r="AV3565" s="750"/>
      <c r="AW3565" s="750"/>
      <c r="AX3565" s="750"/>
      <c r="AY3565" s="750"/>
      <c r="AZ3565" s="750"/>
      <c r="BA3565" s="750"/>
      <c r="BB3565" s="750"/>
      <c r="BC3565" s="750"/>
      <c r="BD3565" s="750"/>
      <c r="BE3565" s="750"/>
      <c r="BF3565" s="750"/>
      <c r="BG3565" s="750"/>
      <c r="BH3565" s="750"/>
      <c r="BI3565" s="750"/>
      <c r="BJ3565" s="750"/>
      <c r="BK3565" s="750"/>
      <c r="BL3565" s="750"/>
      <c r="BM3565" s="750"/>
      <c r="BN3565" s="750"/>
      <c r="BO3565" s="750"/>
      <c r="BP3565" s="750"/>
      <c r="BQ3565" s="750"/>
    </row>
    <row r="3566" spans="3:69">
      <c r="C3566" s="853"/>
      <c r="D3566" s="853"/>
      <c r="E3566" s="853"/>
      <c r="F3566" s="853"/>
      <c r="G3566" s="853"/>
      <c r="H3566" s="853"/>
      <c r="I3566" s="848"/>
      <c r="J3566" s="848"/>
      <c r="K3566" s="1295"/>
      <c r="L3566" s="1295"/>
      <c r="M3566" s="1295"/>
      <c r="N3566" s="1295"/>
      <c r="O3566" s="1295"/>
      <c r="P3566" s="853"/>
      <c r="Q3566" s="1295"/>
      <c r="R3566" s="848"/>
      <c r="S3566" s="848"/>
      <c r="T3566" s="848"/>
      <c r="U3566" s="848"/>
      <c r="V3566" s="1296"/>
      <c r="W3566" s="848"/>
      <c r="X3566" s="848"/>
      <c r="Y3566" s="1295"/>
      <c r="Z3566" s="1296"/>
      <c r="AA3566" s="1295"/>
      <c r="AB3566" s="1296"/>
      <c r="AC3566" s="1295"/>
      <c r="AD3566" s="1295"/>
      <c r="AE3566" s="2556"/>
      <c r="AF3566" s="750"/>
      <c r="AG3566" s="750"/>
      <c r="AH3566" s="750"/>
      <c r="AI3566" s="750"/>
      <c r="AJ3566" s="750"/>
      <c r="AK3566" s="750"/>
      <c r="AL3566" s="750"/>
      <c r="AM3566" s="750"/>
      <c r="AN3566" s="750"/>
      <c r="AO3566" s="750"/>
      <c r="AP3566" s="750"/>
      <c r="AQ3566" s="750"/>
      <c r="AR3566" s="750"/>
      <c r="AS3566" s="750"/>
      <c r="AT3566" s="750"/>
      <c r="AU3566" s="750"/>
      <c r="AV3566" s="750"/>
      <c r="AW3566" s="750"/>
      <c r="AX3566" s="750"/>
      <c r="AY3566" s="750"/>
      <c r="AZ3566" s="750"/>
      <c r="BA3566" s="750"/>
      <c r="BB3566" s="750"/>
      <c r="BC3566" s="750"/>
      <c r="BD3566" s="750"/>
      <c r="BE3566" s="750"/>
      <c r="BF3566" s="750"/>
      <c r="BG3566" s="750"/>
      <c r="BH3566" s="750"/>
      <c r="BI3566" s="750"/>
      <c r="BJ3566" s="750"/>
      <c r="BK3566" s="750"/>
      <c r="BL3566" s="750"/>
      <c r="BM3566" s="750"/>
      <c r="BN3566" s="750"/>
      <c r="BO3566" s="750"/>
      <c r="BP3566" s="750"/>
      <c r="BQ3566" s="750"/>
    </row>
    <row r="3567" spans="3:69">
      <c r="C3567" s="853"/>
      <c r="D3567" s="853"/>
      <c r="E3567" s="853"/>
      <c r="F3567" s="853"/>
      <c r="G3567" s="853"/>
      <c r="H3567" s="853"/>
      <c r="I3567" s="848"/>
      <c r="J3567" s="848"/>
      <c r="K3567" s="1295"/>
      <c r="L3567" s="1295"/>
      <c r="M3567" s="1295"/>
      <c r="N3567" s="1295"/>
      <c r="O3567" s="1295"/>
      <c r="P3567" s="853"/>
      <c r="Q3567" s="1295"/>
      <c r="R3567" s="848"/>
      <c r="S3567" s="848"/>
      <c r="T3567" s="848"/>
      <c r="U3567" s="848"/>
      <c r="V3567" s="1296"/>
      <c r="W3567" s="848"/>
      <c r="X3567" s="848"/>
      <c r="Y3567" s="1295"/>
      <c r="Z3567" s="1296"/>
      <c r="AA3567" s="1295"/>
      <c r="AB3567" s="1296"/>
      <c r="AC3567" s="1295"/>
      <c r="AD3567" s="1295"/>
      <c r="AE3567" s="2556"/>
      <c r="AF3567" s="750"/>
      <c r="AG3567" s="750"/>
      <c r="AH3567" s="750"/>
      <c r="AI3567" s="750"/>
      <c r="AJ3567" s="750"/>
      <c r="AK3567" s="750"/>
      <c r="AL3567" s="750"/>
      <c r="AM3567" s="750"/>
      <c r="AN3567" s="750"/>
      <c r="AO3567" s="750"/>
      <c r="AP3567" s="750"/>
      <c r="AQ3567" s="750"/>
      <c r="AR3567" s="750"/>
      <c r="AS3567" s="750"/>
      <c r="AT3567" s="750"/>
      <c r="AU3567" s="750"/>
      <c r="AV3567" s="750"/>
      <c r="AW3567" s="750"/>
      <c r="AX3567" s="750"/>
      <c r="AY3567" s="750"/>
      <c r="AZ3567" s="750"/>
      <c r="BA3567" s="750"/>
      <c r="BB3567" s="750"/>
      <c r="BC3567" s="750"/>
      <c r="BD3567" s="750"/>
      <c r="BE3567" s="750"/>
      <c r="BF3567" s="750"/>
      <c r="BG3567" s="750"/>
      <c r="BH3567" s="750"/>
      <c r="BI3567" s="750"/>
      <c r="BJ3567" s="750"/>
      <c r="BK3567" s="750"/>
      <c r="BL3567" s="750"/>
      <c r="BM3567" s="750"/>
      <c r="BN3567" s="750"/>
      <c r="BO3567" s="750"/>
      <c r="BP3567" s="750"/>
      <c r="BQ3567" s="750"/>
    </row>
    <row r="3568" spans="3:69">
      <c r="C3568" s="853"/>
      <c r="D3568" s="853"/>
      <c r="E3568" s="853"/>
      <c r="F3568" s="853"/>
      <c r="G3568" s="853"/>
      <c r="H3568" s="853"/>
      <c r="I3568" s="848"/>
      <c r="J3568" s="848"/>
      <c r="K3568" s="1295"/>
      <c r="L3568" s="1295"/>
      <c r="M3568" s="1295"/>
      <c r="N3568" s="1295"/>
      <c r="O3568" s="1295"/>
      <c r="P3568" s="853"/>
      <c r="Q3568" s="1295"/>
      <c r="R3568" s="848"/>
      <c r="S3568" s="848"/>
      <c r="T3568" s="848"/>
      <c r="U3568" s="848"/>
      <c r="V3568" s="1296"/>
      <c r="W3568" s="848"/>
      <c r="X3568" s="848"/>
      <c r="Y3568" s="1295"/>
      <c r="Z3568" s="1296"/>
      <c r="AA3568" s="1295"/>
      <c r="AB3568" s="1296"/>
      <c r="AC3568" s="1295"/>
      <c r="AD3568" s="1295"/>
      <c r="AE3568" s="2556"/>
      <c r="AF3568" s="750"/>
      <c r="AG3568" s="750"/>
      <c r="AH3568" s="750"/>
      <c r="AI3568" s="750"/>
      <c r="AJ3568" s="750"/>
      <c r="AK3568" s="750"/>
      <c r="AL3568" s="750"/>
      <c r="AM3568" s="750"/>
      <c r="AN3568" s="750"/>
      <c r="AO3568" s="750"/>
      <c r="AP3568" s="750"/>
      <c r="AQ3568" s="750"/>
      <c r="AR3568" s="750"/>
      <c r="AS3568" s="750"/>
      <c r="AT3568" s="750"/>
      <c r="AU3568" s="750"/>
      <c r="AV3568" s="750"/>
      <c r="AW3568" s="750"/>
      <c r="AX3568" s="750"/>
      <c r="AY3568" s="750"/>
      <c r="AZ3568" s="750"/>
      <c r="BA3568" s="750"/>
      <c r="BB3568" s="750"/>
      <c r="BC3568" s="750"/>
      <c r="BD3568" s="750"/>
      <c r="BE3568" s="750"/>
      <c r="BF3568" s="750"/>
      <c r="BG3568" s="750"/>
      <c r="BH3568" s="750"/>
      <c r="BI3568" s="750"/>
      <c r="BJ3568" s="750"/>
      <c r="BK3568" s="750"/>
      <c r="BL3568" s="750"/>
      <c r="BM3568" s="750"/>
      <c r="BN3568" s="750"/>
      <c r="BO3568" s="750"/>
      <c r="BP3568" s="750"/>
      <c r="BQ3568" s="750"/>
    </row>
    <row r="3569" spans="3:69">
      <c r="C3569" s="853"/>
      <c r="D3569" s="853"/>
      <c r="E3569" s="853"/>
      <c r="F3569" s="853"/>
      <c r="G3569" s="853"/>
      <c r="H3569" s="853"/>
      <c r="I3569" s="848"/>
      <c r="J3569" s="848"/>
      <c r="K3569" s="1295"/>
      <c r="L3569" s="1295"/>
      <c r="M3569" s="1295"/>
      <c r="N3569" s="1295"/>
      <c r="O3569" s="1295"/>
      <c r="P3569" s="853"/>
      <c r="Q3569" s="1295"/>
      <c r="R3569" s="848"/>
      <c r="S3569" s="848"/>
      <c r="T3569" s="848"/>
      <c r="U3569" s="848"/>
      <c r="V3569" s="1296"/>
      <c r="W3569" s="848"/>
      <c r="X3569" s="848"/>
      <c r="Y3569" s="1295"/>
      <c r="Z3569" s="1296"/>
      <c r="AA3569" s="1295"/>
      <c r="AB3569" s="1296"/>
      <c r="AC3569" s="1295"/>
      <c r="AD3569" s="1295"/>
      <c r="AE3569" s="2556"/>
      <c r="AF3569" s="750"/>
      <c r="AG3569" s="750"/>
      <c r="AH3569" s="750"/>
      <c r="AI3569" s="750"/>
      <c r="AJ3569" s="750"/>
      <c r="AK3569" s="750"/>
      <c r="AL3569" s="750"/>
      <c r="AM3569" s="750"/>
      <c r="AN3569" s="750"/>
      <c r="AO3569" s="750"/>
      <c r="AP3569" s="750"/>
      <c r="AQ3569" s="750"/>
      <c r="AR3569" s="750"/>
      <c r="AS3569" s="750"/>
      <c r="AT3569" s="750"/>
      <c r="AU3569" s="750"/>
      <c r="AV3569" s="750"/>
      <c r="AW3569" s="750"/>
      <c r="AX3569" s="750"/>
      <c r="AY3569" s="750"/>
      <c r="AZ3569" s="750"/>
      <c r="BA3569" s="750"/>
      <c r="BB3569" s="750"/>
      <c r="BC3569" s="750"/>
      <c r="BD3569" s="750"/>
      <c r="BE3569" s="750"/>
      <c r="BF3569" s="750"/>
      <c r="BG3569" s="750"/>
      <c r="BH3569" s="750"/>
      <c r="BI3569" s="750"/>
      <c r="BJ3569" s="750"/>
      <c r="BK3569" s="750"/>
      <c r="BL3569" s="750"/>
      <c r="BM3569" s="750"/>
      <c r="BN3569" s="750"/>
      <c r="BO3569" s="750"/>
      <c r="BP3569" s="750"/>
      <c r="BQ3569" s="750"/>
    </row>
    <row r="3570" spans="3:69">
      <c r="C3570" s="853"/>
      <c r="D3570" s="853"/>
      <c r="E3570" s="853"/>
      <c r="F3570" s="853"/>
      <c r="G3570" s="853"/>
      <c r="H3570" s="853"/>
      <c r="I3570" s="848"/>
      <c r="J3570" s="848"/>
      <c r="K3570" s="1295"/>
      <c r="L3570" s="1295"/>
      <c r="M3570" s="1295"/>
      <c r="N3570" s="1295"/>
      <c r="O3570" s="1295"/>
      <c r="P3570" s="853"/>
      <c r="Q3570" s="1295"/>
      <c r="R3570" s="848"/>
      <c r="S3570" s="848"/>
      <c r="T3570" s="848"/>
      <c r="U3570" s="848"/>
      <c r="V3570" s="1296"/>
      <c r="W3570" s="848"/>
      <c r="X3570" s="848"/>
      <c r="Y3570" s="1295"/>
      <c r="Z3570" s="1296"/>
      <c r="AA3570" s="1295"/>
      <c r="AB3570" s="1296"/>
      <c r="AC3570" s="1295"/>
      <c r="AD3570" s="1295"/>
      <c r="AE3570" s="2556"/>
      <c r="AF3570" s="750"/>
      <c r="AG3570" s="750"/>
      <c r="AH3570" s="750"/>
      <c r="AI3570" s="750"/>
      <c r="AJ3570" s="750"/>
      <c r="AK3570" s="750"/>
      <c r="AL3570" s="750"/>
      <c r="AM3570" s="750"/>
      <c r="AN3570" s="750"/>
      <c r="AO3570" s="750"/>
      <c r="AP3570" s="750"/>
      <c r="AQ3570" s="750"/>
      <c r="AR3570" s="750"/>
      <c r="AS3570" s="750"/>
      <c r="AT3570" s="750"/>
      <c r="AU3570" s="750"/>
      <c r="AV3570" s="750"/>
      <c r="AW3570" s="750"/>
      <c r="AX3570" s="750"/>
      <c r="AY3570" s="750"/>
      <c r="AZ3570" s="750"/>
      <c r="BA3570" s="750"/>
      <c r="BB3570" s="750"/>
      <c r="BC3570" s="750"/>
      <c r="BD3570" s="750"/>
      <c r="BE3570" s="750"/>
      <c r="BF3570" s="750"/>
      <c r="BG3570" s="750"/>
      <c r="BH3570" s="750"/>
      <c r="BI3570" s="750"/>
      <c r="BJ3570" s="750"/>
      <c r="BK3570" s="750"/>
      <c r="BL3570" s="750"/>
      <c r="BM3570" s="750"/>
      <c r="BN3570" s="750"/>
      <c r="BO3570" s="750"/>
      <c r="BP3570" s="750"/>
      <c r="BQ3570" s="750"/>
    </row>
    <row r="3571" spans="3:69">
      <c r="C3571" s="853"/>
      <c r="D3571" s="853"/>
      <c r="E3571" s="853"/>
      <c r="F3571" s="853"/>
      <c r="G3571" s="853"/>
      <c r="H3571" s="853"/>
      <c r="I3571" s="848"/>
      <c r="J3571" s="848"/>
      <c r="K3571" s="1295"/>
      <c r="L3571" s="1295"/>
      <c r="M3571" s="1295"/>
      <c r="N3571" s="1295"/>
      <c r="O3571" s="1295"/>
      <c r="P3571" s="853"/>
      <c r="Q3571" s="1295"/>
      <c r="R3571" s="848"/>
      <c r="S3571" s="848"/>
      <c r="T3571" s="848"/>
      <c r="U3571" s="848"/>
      <c r="V3571" s="1296"/>
      <c r="W3571" s="848"/>
      <c r="X3571" s="848"/>
      <c r="Y3571" s="1295"/>
      <c r="Z3571" s="1296"/>
      <c r="AA3571" s="1295"/>
      <c r="AB3571" s="1296"/>
      <c r="AC3571" s="1295"/>
      <c r="AD3571" s="1295"/>
      <c r="AE3571" s="2556"/>
      <c r="AF3571" s="750"/>
      <c r="AG3571" s="750"/>
      <c r="AH3571" s="750"/>
      <c r="AI3571" s="750"/>
      <c r="AJ3571" s="750"/>
      <c r="AK3571" s="750"/>
      <c r="AL3571" s="750"/>
      <c r="AM3571" s="750"/>
      <c r="AN3571" s="750"/>
      <c r="AO3571" s="750"/>
      <c r="AP3571" s="750"/>
      <c r="AQ3571" s="750"/>
      <c r="AR3571" s="750"/>
      <c r="AS3571" s="750"/>
      <c r="AT3571" s="750"/>
      <c r="AU3571" s="750"/>
      <c r="AV3571" s="750"/>
      <c r="AW3571" s="750"/>
      <c r="AX3571" s="750"/>
      <c r="AY3571" s="750"/>
      <c r="AZ3571" s="750"/>
      <c r="BA3571" s="750"/>
      <c r="BB3571" s="750"/>
      <c r="BC3571" s="750"/>
      <c r="BD3571" s="750"/>
      <c r="BE3571" s="750"/>
      <c r="BF3571" s="750"/>
      <c r="BG3571" s="750"/>
      <c r="BH3571" s="750"/>
      <c r="BI3571" s="750"/>
      <c r="BJ3571" s="750"/>
      <c r="BK3571" s="750"/>
      <c r="BL3571" s="750"/>
      <c r="BM3571" s="750"/>
      <c r="BN3571" s="750"/>
      <c r="BO3571" s="750"/>
      <c r="BP3571" s="750"/>
      <c r="BQ3571" s="750"/>
    </row>
    <row r="3572" spans="3:69">
      <c r="C3572" s="853"/>
      <c r="D3572" s="853"/>
      <c r="E3572" s="853"/>
      <c r="F3572" s="853"/>
      <c r="G3572" s="853"/>
      <c r="H3572" s="853"/>
      <c r="I3572" s="848"/>
      <c r="J3572" s="848"/>
      <c r="K3572" s="1295"/>
      <c r="L3572" s="1295"/>
      <c r="M3572" s="1295"/>
      <c r="N3572" s="1295"/>
      <c r="O3572" s="1295"/>
      <c r="P3572" s="853"/>
      <c r="Q3572" s="1295"/>
      <c r="R3572" s="848"/>
      <c r="S3572" s="848"/>
      <c r="T3572" s="848"/>
      <c r="U3572" s="848"/>
      <c r="V3572" s="1296"/>
      <c r="W3572" s="848"/>
      <c r="X3572" s="848"/>
      <c r="Y3572" s="1295"/>
      <c r="Z3572" s="1296"/>
      <c r="AA3572" s="1295"/>
      <c r="AB3572" s="1296"/>
      <c r="AC3572" s="1295"/>
      <c r="AD3572" s="1295"/>
      <c r="AE3572" s="2556"/>
      <c r="AF3572" s="750"/>
      <c r="AG3572" s="750"/>
      <c r="AH3572" s="750"/>
      <c r="AI3572" s="750"/>
      <c r="AJ3572" s="750"/>
      <c r="AK3572" s="750"/>
      <c r="AL3572" s="750"/>
      <c r="AM3572" s="750"/>
      <c r="AN3572" s="750"/>
      <c r="AO3572" s="750"/>
      <c r="AP3572" s="750"/>
      <c r="AQ3572" s="750"/>
      <c r="AR3572" s="750"/>
      <c r="AS3572" s="750"/>
      <c r="AT3572" s="750"/>
      <c r="AU3572" s="750"/>
      <c r="AV3572" s="750"/>
      <c r="AW3572" s="750"/>
      <c r="AX3572" s="750"/>
      <c r="AY3572" s="750"/>
      <c r="AZ3572" s="750"/>
      <c r="BA3572" s="750"/>
      <c r="BB3572" s="750"/>
      <c r="BC3572" s="750"/>
      <c r="BD3572" s="750"/>
      <c r="BE3572" s="750"/>
      <c r="BF3572" s="750"/>
      <c r="BG3572" s="750"/>
      <c r="BH3572" s="750"/>
      <c r="BI3572" s="750"/>
      <c r="BJ3572" s="750"/>
      <c r="BK3572" s="750"/>
      <c r="BL3572" s="750"/>
      <c r="BM3572" s="750"/>
      <c r="BN3572" s="750"/>
      <c r="BO3572" s="750"/>
      <c r="BP3572" s="750"/>
      <c r="BQ3572" s="750"/>
    </row>
    <row r="3573" spans="3:69">
      <c r="C3573" s="853"/>
      <c r="D3573" s="853"/>
      <c r="E3573" s="853"/>
      <c r="F3573" s="853"/>
      <c r="G3573" s="853"/>
      <c r="H3573" s="853"/>
      <c r="I3573" s="848"/>
      <c r="J3573" s="848"/>
      <c r="K3573" s="1295"/>
      <c r="L3573" s="1295"/>
      <c r="M3573" s="1295"/>
      <c r="N3573" s="1295"/>
      <c r="O3573" s="1295"/>
      <c r="P3573" s="853"/>
      <c r="Q3573" s="1295"/>
      <c r="R3573" s="848"/>
      <c r="S3573" s="848"/>
      <c r="T3573" s="848"/>
      <c r="U3573" s="848"/>
      <c r="V3573" s="1296"/>
      <c r="W3573" s="848"/>
      <c r="X3573" s="848"/>
      <c r="Y3573" s="1295"/>
      <c r="Z3573" s="1296"/>
      <c r="AA3573" s="1295"/>
      <c r="AB3573" s="1296"/>
      <c r="AC3573" s="1295"/>
      <c r="AD3573" s="1295"/>
      <c r="AE3573" s="2556"/>
      <c r="AF3573" s="750"/>
      <c r="AG3573" s="750"/>
      <c r="AH3573" s="750"/>
      <c r="AI3573" s="750"/>
      <c r="AJ3573" s="750"/>
      <c r="AK3573" s="750"/>
      <c r="AL3573" s="750"/>
      <c r="AM3573" s="750"/>
      <c r="AN3573" s="750"/>
      <c r="AO3573" s="750"/>
      <c r="AP3573" s="750"/>
      <c r="AQ3573" s="750"/>
      <c r="AR3573" s="750"/>
      <c r="AS3573" s="750"/>
      <c r="AT3573" s="750"/>
      <c r="AU3573" s="750"/>
      <c r="AV3573" s="750"/>
      <c r="AW3573" s="750"/>
      <c r="AX3573" s="750"/>
      <c r="AY3573" s="750"/>
      <c r="AZ3573" s="750"/>
      <c r="BA3573" s="750"/>
      <c r="BB3573" s="750"/>
      <c r="BC3573" s="750"/>
      <c r="BD3573" s="750"/>
      <c r="BE3573" s="750"/>
      <c r="BF3573" s="750"/>
      <c r="BG3573" s="750"/>
      <c r="BH3573" s="750"/>
      <c r="BI3573" s="750"/>
      <c r="BJ3573" s="750"/>
      <c r="BK3573" s="750"/>
      <c r="BL3573" s="750"/>
      <c r="BM3573" s="750"/>
      <c r="BN3573" s="750"/>
      <c r="BO3573" s="750"/>
      <c r="BP3573" s="750"/>
      <c r="BQ3573" s="750"/>
    </row>
    <row r="3574" spans="3:69">
      <c r="C3574" s="853"/>
      <c r="D3574" s="853"/>
      <c r="E3574" s="853"/>
      <c r="F3574" s="853"/>
      <c r="G3574" s="853"/>
      <c r="H3574" s="853"/>
      <c r="I3574" s="848"/>
      <c r="J3574" s="848"/>
      <c r="K3574" s="1295"/>
      <c r="L3574" s="1295"/>
      <c r="M3574" s="1295"/>
      <c r="N3574" s="1295"/>
      <c r="O3574" s="1295"/>
      <c r="P3574" s="853"/>
      <c r="Q3574" s="1295"/>
      <c r="R3574" s="848"/>
      <c r="S3574" s="848"/>
      <c r="T3574" s="848"/>
      <c r="U3574" s="848"/>
      <c r="V3574" s="1296"/>
      <c r="W3574" s="848"/>
      <c r="X3574" s="848"/>
      <c r="Y3574" s="1295"/>
      <c r="Z3574" s="1296"/>
      <c r="AA3574" s="1295"/>
      <c r="AB3574" s="1296"/>
      <c r="AC3574" s="1295"/>
      <c r="AD3574" s="1295"/>
      <c r="AE3574" s="2556"/>
      <c r="AF3574" s="750"/>
      <c r="AG3574" s="750"/>
      <c r="AH3574" s="750"/>
      <c r="AI3574" s="750"/>
      <c r="AJ3574" s="750"/>
      <c r="AK3574" s="750"/>
      <c r="AL3574" s="750"/>
      <c r="AM3574" s="750"/>
      <c r="AN3574" s="750"/>
      <c r="AO3574" s="750"/>
      <c r="AP3574" s="750"/>
      <c r="AQ3574" s="750"/>
      <c r="AR3574" s="750"/>
      <c r="AS3574" s="750"/>
      <c r="AT3574" s="750"/>
      <c r="AU3574" s="750"/>
      <c r="AV3574" s="750"/>
      <c r="AW3574" s="750"/>
      <c r="AX3574" s="750"/>
      <c r="AY3574" s="750"/>
      <c r="AZ3574" s="750"/>
      <c r="BA3574" s="750"/>
      <c r="BB3574" s="750"/>
      <c r="BC3574" s="750"/>
      <c r="BD3574" s="750"/>
      <c r="BE3574" s="750"/>
      <c r="BF3574" s="750"/>
      <c r="BG3574" s="750"/>
      <c r="BH3574" s="750"/>
      <c r="BI3574" s="750"/>
      <c r="BJ3574" s="750"/>
      <c r="BK3574" s="750"/>
      <c r="BL3574" s="750"/>
      <c r="BM3574" s="750"/>
      <c r="BN3574" s="750"/>
      <c r="BO3574" s="750"/>
      <c r="BP3574" s="750"/>
      <c r="BQ3574" s="750"/>
    </row>
    <row r="3575" spans="3:69">
      <c r="C3575" s="853"/>
      <c r="D3575" s="853"/>
      <c r="E3575" s="853"/>
      <c r="F3575" s="853"/>
      <c r="G3575" s="853"/>
      <c r="H3575" s="853"/>
      <c r="I3575" s="848"/>
      <c r="J3575" s="848"/>
      <c r="K3575" s="1295"/>
      <c r="L3575" s="1295"/>
      <c r="M3575" s="1295"/>
      <c r="N3575" s="1295"/>
      <c r="O3575" s="1295"/>
      <c r="P3575" s="853"/>
      <c r="Q3575" s="1295"/>
      <c r="R3575" s="848"/>
      <c r="S3575" s="848"/>
      <c r="T3575" s="848"/>
      <c r="U3575" s="848"/>
      <c r="V3575" s="1296"/>
      <c r="W3575" s="848"/>
      <c r="X3575" s="848"/>
      <c r="Y3575" s="1295"/>
      <c r="Z3575" s="1296"/>
      <c r="AA3575" s="1295"/>
      <c r="AB3575" s="1296"/>
      <c r="AC3575" s="1295"/>
      <c r="AD3575" s="1295"/>
      <c r="AE3575" s="2556"/>
      <c r="AF3575" s="750"/>
      <c r="AG3575" s="750"/>
      <c r="AH3575" s="750"/>
      <c r="AI3575" s="750"/>
      <c r="AJ3575" s="750"/>
      <c r="AK3575" s="750"/>
      <c r="AL3575" s="750"/>
      <c r="AM3575" s="750"/>
      <c r="AN3575" s="750"/>
      <c r="AO3575" s="750"/>
      <c r="AP3575" s="750"/>
      <c r="AQ3575" s="750"/>
      <c r="AR3575" s="750"/>
      <c r="AS3575" s="750"/>
      <c r="AT3575" s="750"/>
      <c r="AU3575" s="750"/>
      <c r="AV3575" s="750"/>
      <c r="AW3575" s="750"/>
      <c r="AX3575" s="750"/>
      <c r="AY3575" s="750"/>
      <c r="AZ3575" s="750"/>
      <c r="BA3575" s="750"/>
      <c r="BB3575" s="750"/>
      <c r="BC3575" s="750"/>
      <c r="BD3575" s="750"/>
      <c r="BE3575" s="750"/>
      <c r="BF3575" s="750"/>
      <c r="BG3575" s="750"/>
      <c r="BH3575" s="750"/>
      <c r="BI3575" s="750"/>
      <c r="BJ3575" s="750"/>
      <c r="BK3575" s="750"/>
      <c r="BL3575" s="750"/>
      <c r="BM3575" s="750"/>
      <c r="BN3575" s="750"/>
      <c r="BO3575" s="750"/>
      <c r="BP3575" s="750"/>
      <c r="BQ3575" s="750"/>
    </row>
    <row r="3576" spans="3:69">
      <c r="C3576" s="853"/>
      <c r="D3576" s="853"/>
      <c r="E3576" s="853"/>
      <c r="F3576" s="853"/>
      <c r="G3576" s="853"/>
      <c r="H3576" s="853"/>
      <c r="I3576" s="848"/>
      <c r="J3576" s="848"/>
      <c r="K3576" s="1295"/>
      <c r="L3576" s="1295"/>
      <c r="M3576" s="1295"/>
      <c r="N3576" s="1295"/>
      <c r="O3576" s="1295"/>
      <c r="P3576" s="853"/>
      <c r="Q3576" s="1295"/>
      <c r="R3576" s="848"/>
      <c r="S3576" s="848"/>
      <c r="T3576" s="848"/>
      <c r="U3576" s="848"/>
      <c r="V3576" s="1296"/>
      <c r="W3576" s="848"/>
      <c r="X3576" s="848"/>
      <c r="Y3576" s="1295"/>
      <c r="Z3576" s="1296"/>
      <c r="AA3576" s="1295"/>
      <c r="AB3576" s="1296"/>
      <c r="AC3576" s="1295"/>
      <c r="AD3576" s="1295"/>
      <c r="AE3576" s="2556"/>
      <c r="AF3576" s="750"/>
      <c r="AG3576" s="750"/>
      <c r="AH3576" s="750"/>
      <c r="AI3576" s="750"/>
      <c r="AJ3576" s="750"/>
      <c r="AK3576" s="750"/>
      <c r="AL3576" s="750"/>
      <c r="AM3576" s="750"/>
      <c r="AN3576" s="750"/>
      <c r="AO3576" s="750"/>
      <c r="AP3576" s="750"/>
      <c r="AQ3576" s="750"/>
      <c r="AR3576" s="750"/>
      <c r="AS3576" s="750"/>
      <c r="AT3576" s="750"/>
      <c r="AU3576" s="750"/>
      <c r="AV3576" s="750"/>
      <c r="AW3576" s="750"/>
      <c r="AX3576" s="750"/>
      <c r="AY3576" s="750"/>
      <c r="AZ3576" s="750"/>
      <c r="BA3576" s="750"/>
      <c r="BB3576" s="750"/>
      <c r="BC3576" s="750"/>
      <c r="BD3576" s="750"/>
      <c r="BE3576" s="750"/>
      <c r="BF3576" s="750"/>
      <c r="BG3576" s="750"/>
      <c r="BH3576" s="750"/>
      <c r="BI3576" s="750"/>
      <c r="BJ3576" s="750"/>
      <c r="BK3576" s="750"/>
      <c r="BL3576" s="750"/>
      <c r="BM3576" s="750"/>
      <c r="BN3576" s="750"/>
      <c r="BO3576" s="750"/>
      <c r="BP3576" s="750"/>
      <c r="BQ3576" s="750"/>
    </row>
    <row r="3577" spans="3:69">
      <c r="C3577" s="853"/>
      <c r="D3577" s="853"/>
      <c r="E3577" s="853"/>
      <c r="F3577" s="853"/>
      <c r="G3577" s="853"/>
      <c r="H3577" s="853"/>
      <c r="I3577" s="848"/>
      <c r="J3577" s="848"/>
      <c r="K3577" s="1295"/>
      <c r="L3577" s="1295"/>
      <c r="M3577" s="1295"/>
      <c r="N3577" s="1295"/>
      <c r="O3577" s="1295"/>
      <c r="P3577" s="853"/>
      <c r="Q3577" s="1295"/>
      <c r="R3577" s="848"/>
      <c r="S3577" s="848"/>
      <c r="T3577" s="848"/>
      <c r="U3577" s="848"/>
      <c r="V3577" s="1296"/>
      <c r="W3577" s="848"/>
      <c r="X3577" s="848"/>
      <c r="Y3577" s="1295"/>
      <c r="Z3577" s="1296"/>
      <c r="AA3577" s="1295"/>
      <c r="AB3577" s="1296"/>
      <c r="AC3577" s="1295"/>
      <c r="AD3577" s="1295"/>
      <c r="AE3577" s="2556"/>
      <c r="AF3577" s="750"/>
      <c r="AG3577" s="750"/>
      <c r="AH3577" s="750"/>
      <c r="AI3577" s="750"/>
      <c r="AJ3577" s="750"/>
      <c r="AK3577" s="750"/>
      <c r="AL3577" s="750"/>
      <c r="AM3577" s="750"/>
      <c r="AN3577" s="750"/>
      <c r="AO3577" s="750"/>
      <c r="AP3577" s="750"/>
      <c r="AQ3577" s="750"/>
      <c r="AR3577" s="750"/>
      <c r="AS3577" s="750"/>
      <c r="AT3577" s="750"/>
      <c r="AU3577" s="750"/>
      <c r="AV3577" s="750"/>
      <c r="AW3577" s="750"/>
      <c r="AX3577" s="750"/>
      <c r="AY3577" s="750"/>
      <c r="AZ3577" s="750"/>
      <c r="BA3577" s="750"/>
      <c r="BB3577" s="750"/>
      <c r="BC3577" s="750"/>
      <c r="BD3577" s="750"/>
      <c r="BE3577" s="750"/>
      <c r="BF3577" s="750"/>
      <c r="BG3577" s="750"/>
      <c r="BH3577" s="750"/>
      <c r="BI3577" s="750"/>
      <c r="BJ3577" s="750"/>
      <c r="BK3577" s="750"/>
      <c r="BL3577" s="750"/>
      <c r="BM3577" s="750"/>
      <c r="BN3577" s="750"/>
      <c r="BO3577" s="750"/>
      <c r="BP3577" s="750"/>
      <c r="BQ3577" s="750"/>
    </row>
    <row r="3578" spans="3:69">
      <c r="C3578" s="853"/>
      <c r="D3578" s="853"/>
      <c r="E3578" s="853"/>
      <c r="F3578" s="853"/>
      <c r="G3578" s="853"/>
      <c r="H3578" s="853"/>
      <c r="I3578" s="848"/>
      <c r="J3578" s="848"/>
      <c r="K3578" s="1295"/>
      <c r="L3578" s="1295"/>
      <c r="M3578" s="1295"/>
      <c r="N3578" s="1295"/>
      <c r="O3578" s="1295"/>
      <c r="P3578" s="853"/>
      <c r="Q3578" s="1295"/>
      <c r="R3578" s="848"/>
      <c r="S3578" s="848"/>
      <c r="T3578" s="848"/>
      <c r="U3578" s="848"/>
      <c r="V3578" s="1296"/>
      <c r="W3578" s="848"/>
      <c r="X3578" s="848"/>
      <c r="Y3578" s="1295"/>
      <c r="Z3578" s="1296"/>
      <c r="AA3578" s="1295"/>
      <c r="AB3578" s="1296"/>
      <c r="AC3578" s="1295"/>
      <c r="AD3578" s="1295"/>
      <c r="AE3578" s="2556"/>
      <c r="AF3578" s="750"/>
      <c r="AG3578" s="750"/>
      <c r="AH3578" s="750"/>
      <c r="AI3578" s="750"/>
      <c r="AJ3578" s="750"/>
      <c r="AK3578" s="750"/>
      <c r="AL3578" s="750"/>
      <c r="AM3578" s="750"/>
      <c r="AN3578" s="750"/>
      <c r="AO3578" s="750"/>
      <c r="AP3578" s="750"/>
      <c r="AQ3578" s="750"/>
      <c r="AR3578" s="750"/>
      <c r="AS3578" s="750"/>
      <c r="AT3578" s="750"/>
      <c r="AU3578" s="750"/>
      <c r="AV3578" s="750"/>
      <c r="AW3578" s="750"/>
      <c r="AX3578" s="750"/>
      <c r="AY3578" s="750"/>
      <c r="AZ3578" s="750"/>
      <c r="BA3578" s="750"/>
      <c r="BB3578" s="750"/>
      <c r="BC3578" s="750"/>
      <c r="BD3578" s="750"/>
      <c r="BE3578" s="750"/>
      <c r="BF3578" s="750"/>
      <c r="BG3578" s="750"/>
      <c r="BH3578" s="750"/>
      <c r="BI3578" s="750"/>
      <c r="BJ3578" s="750"/>
      <c r="BK3578" s="750"/>
      <c r="BL3578" s="750"/>
      <c r="BM3578" s="750"/>
      <c r="BN3578" s="750"/>
      <c r="BO3578" s="750"/>
      <c r="BP3578" s="750"/>
      <c r="BQ3578" s="750"/>
    </row>
    <row r="3579" spans="3:69">
      <c r="C3579" s="853"/>
      <c r="D3579" s="853"/>
      <c r="E3579" s="853"/>
      <c r="F3579" s="853"/>
      <c r="G3579" s="853"/>
      <c r="H3579" s="853"/>
      <c r="I3579" s="848"/>
      <c r="J3579" s="848"/>
      <c r="K3579" s="1295"/>
      <c r="L3579" s="1295"/>
      <c r="M3579" s="1295"/>
      <c r="N3579" s="1295"/>
      <c r="O3579" s="1295"/>
      <c r="P3579" s="853"/>
      <c r="Q3579" s="1295"/>
      <c r="R3579" s="848"/>
      <c r="S3579" s="848"/>
      <c r="T3579" s="848"/>
      <c r="U3579" s="848"/>
      <c r="V3579" s="1296"/>
      <c r="W3579" s="848"/>
      <c r="X3579" s="848"/>
      <c r="Y3579" s="1295"/>
      <c r="Z3579" s="1296"/>
      <c r="AA3579" s="1295"/>
      <c r="AB3579" s="1296"/>
      <c r="AC3579" s="1295"/>
      <c r="AD3579" s="1295"/>
      <c r="AE3579" s="2556"/>
      <c r="AF3579" s="750"/>
      <c r="AG3579" s="750"/>
      <c r="AH3579" s="750"/>
      <c r="AI3579" s="750"/>
      <c r="AJ3579" s="750"/>
      <c r="AK3579" s="750"/>
      <c r="AL3579" s="750"/>
      <c r="AM3579" s="750"/>
      <c r="AN3579" s="750"/>
      <c r="AO3579" s="750"/>
      <c r="AP3579" s="750"/>
      <c r="AQ3579" s="750"/>
      <c r="AR3579" s="750"/>
      <c r="AS3579" s="750"/>
      <c r="AT3579" s="750"/>
      <c r="AU3579" s="750"/>
      <c r="AV3579" s="750"/>
      <c r="AW3579" s="750"/>
      <c r="AX3579" s="750"/>
      <c r="AY3579" s="750"/>
      <c r="AZ3579" s="750"/>
      <c r="BA3579" s="750"/>
      <c r="BB3579" s="750"/>
      <c r="BC3579" s="750"/>
      <c r="BD3579" s="750"/>
      <c r="BE3579" s="750"/>
      <c r="BF3579" s="750"/>
      <c r="BG3579" s="750"/>
      <c r="BH3579" s="750"/>
      <c r="BI3579" s="750"/>
      <c r="BJ3579" s="750"/>
      <c r="BK3579" s="750"/>
      <c r="BL3579" s="750"/>
      <c r="BM3579" s="750"/>
      <c r="BN3579" s="750"/>
      <c r="BO3579" s="750"/>
      <c r="BP3579" s="750"/>
      <c r="BQ3579" s="750"/>
    </row>
    <row r="3580" spans="3:69">
      <c r="C3580" s="853"/>
      <c r="D3580" s="853"/>
      <c r="E3580" s="853"/>
      <c r="F3580" s="853"/>
      <c r="G3580" s="853"/>
      <c r="H3580" s="853"/>
      <c r="I3580" s="848"/>
      <c r="J3580" s="848"/>
      <c r="K3580" s="1295"/>
      <c r="L3580" s="1295"/>
      <c r="M3580" s="1295"/>
      <c r="N3580" s="1295"/>
      <c r="O3580" s="1295"/>
      <c r="P3580" s="853"/>
      <c r="Q3580" s="1295"/>
      <c r="R3580" s="848"/>
      <c r="S3580" s="848"/>
      <c r="T3580" s="848"/>
      <c r="U3580" s="848"/>
      <c r="V3580" s="1296"/>
      <c r="W3580" s="848"/>
      <c r="X3580" s="848"/>
      <c r="Y3580" s="1295"/>
      <c r="Z3580" s="1296"/>
      <c r="AA3580" s="1295"/>
      <c r="AB3580" s="1296"/>
      <c r="AC3580" s="1295"/>
      <c r="AD3580" s="1295"/>
      <c r="AE3580" s="2556"/>
      <c r="AF3580" s="750"/>
      <c r="AG3580" s="750"/>
      <c r="AH3580" s="750"/>
      <c r="AI3580" s="750"/>
      <c r="AJ3580" s="750"/>
      <c r="AK3580" s="750"/>
      <c r="AL3580" s="750"/>
      <c r="AM3580" s="750"/>
      <c r="AN3580" s="750"/>
      <c r="AO3580" s="750"/>
      <c r="AP3580" s="750"/>
      <c r="AQ3580" s="750"/>
      <c r="AR3580" s="750"/>
      <c r="AS3580" s="750"/>
      <c r="AT3580" s="750"/>
      <c r="AU3580" s="750"/>
      <c r="AV3580" s="750"/>
      <c r="AW3580" s="750"/>
      <c r="AX3580" s="750"/>
      <c r="AY3580" s="750"/>
      <c r="AZ3580" s="750"/>
      <c r="BA3580" s="750"/>
      <c r="BB3580" s="750"/>
      <c r="BC3580" s="750"/>
      <c r="BD3580" s="750"/>
      <c r="BE3580" s="750"/>
      <c r="BF3580" s="750"/>
      <c r="BG3580" s="750"/>
      <c r="BH3580" s="750"/>
      <c r="BI3580" s="750"/>
      <c r="BJ3580" s="750"/>
      <c r="BK3580" s="750"/>
      <c r="BL3580" s="750"/>
      <c r="BM3580" s="750"/>
      <c r="BN3580" s="750"/>
      <c r="BO3580" s="750"/>
      <c r="BP3580" s="750"/>
      <c r="BQ3580" s="750"/>
    </row>
    <row r="3581" spans="3:69">
      <c r="C3581" s="853"/>
      <c r="D3581" s="853"/>
      <c r="E3581" s="853"/>
      <c r="F3581" s="853"/>
      <c r="G3581" s="853"/>
      <c r="H3581" s="853"/>
      <c r="I3581" s="848"/>
      <c r="J3581" s="848"/>
      <c r="K3581" s="1295"/>
      <c r="L3581" s="1295"/>
      <c r="M3581" s="1295"/>
      <c r="N3581" s="1295"/>
      <c r="O3581" s="1295"/>
      <c r="P3581" s="853"/>
      <c r="Q3581" s="1295"/>
      <c r="R3581" s="848"/>
      <c r="S3581" s="848"/>
      <c r="T3581" s="848"/>
      <c r="U3581" s="848"/>
      <c r="V3581" s="1296"/>
      <c r="W3581" s="848"/>
      <c r="X3581" s="848"/>
      <c r="Y3581" s="1295"/>
      <c r="Z3581" s="1296"/>
      <c r="AA3581" s="1295"/>
      <c r="AB3581" s="1296"/>
      <c r="AC3581" s="1295"/>
      <c r="AD3581" s="1295"/>
      <c r="AE3581" s="2556"/>
      <c r="AF3581" s="750"/>
      <c r="AG3581" s="750"/>
      <c r="AH3581" s="750"/>
      <c r="AI3581" s="750"/>
      <c r="AJ3581" s="750"/>
      <c r="AK3581" s="750"/>
      <c r="AL3581" s="750"/>
      <c r="AM3581" s="750"/>
      <c r="AN3581" s="750"/>
      <c r="AO3581" s="750"/>
      <c r="AP3581" s="750"/>
      <c r="AQ3581" s="750"/>
      <c r="AR3581" s="750"/>
      <c r="AS3581" s="750"/>
      <c r="AT3581" s="750"/>
      <c r="AU3581" s="750"/>
      <c r="AV3581" s="750"/>
      <c r="AW3581" s="750"/>
      <c r="AX3581" s="750"/>
      <c r="AY3581" s="750"/>
      <c r="AZ3581" s="750"/>
      <c r="BA3581" s="750"/>
      <c r="BB3581" s="750"/>
      <c r="BC3581" s="750"/>
      <c r="BD3581" s="750"/>
      <c r="BE3581" s="750"/>
      <c r="BF3581" s="750"/>
      <c r="BG3581" s="750"/>
      <c r="BH3581" s="750"/>
      <c r="BI3581" s="750"/>
      <c r="BJ3581" s="750"/>
      <c r="BK3581" s="750"/>
      <c r="BL3581" s="750"/>
      <c r="BM3581" s="750"/>
      <c r="BN3581" s="750"/>
      <c r="BO3581" s="750"/>
      <c r="BP3581" s="750"/>
      <c r="BQ3581" s="750"/>
    </row>
    <row r="3582" spans="3:69">
      <c r="C3582" s="853"/>
      <c r="D3582" s="853"/>
      <c r="E3582" s="853"/>
      <c r="F3582" s="853"/>
      <c r="G3582" s="853"/>
      <c r="H3582" s="853"/>
      <c r="I3582" s="848"/>
      <c r="J3582" s="848"/>
      <c r="K3582" s="1295"/>
      <c r="L3582" s="1295"/>
      <c r="M3582" s="1295"/>
      <c r="N3582" s="1295"/>
      <c r="O3582" s="1295"/>
      <c r="P3582" s="853"/>
      <c r="Q3582" s="1295"/>
      <c r="R3582" s="848"/>
      <c r="S3582" s="848"/>
      <c r="T3582" s="848"/>
      <c r="U3582" s="848"/>
      <c r="V3582" s="1296"/>
      <c r="W3582" s="848"/>
      <c r="X3582" s="848"/>
      <c r="Y3582" s="1295"/>
      <c r="Z3582" s="1296"/>
      <c r="AA3582" s="1295"/>
      <c r="AB3582" s="1296"/>
      <c r="AC3582" s="1295"/>
      <c r="AD3582" s="1295"/>
      <c r="AE3582" s="2556"/>
      <c r="AF3582" s="750"/>
      <c r="AG3582" s="750"/>
      <c r="AH3582" s="750"/>
      <c r="AI3582" s="750"/>
      <c r="AJ3582" s="750"/>
      <c r="AK3582" s="750"/>
      <c r="AL3582" s="750"/>
      <c r="AM3582" s="750"/>
      <c r="AN3582" s="750"/>
      <c r="AO3582" s="750"/>
      <c r="AP3582" s="750"/>
      <c r="AQ3582" s="750"/>
      <c r="AR3582" s="750"/>
      <c r="AS3582" s="750"/>
      <c r="AT3582" s="750"/>
      <c r="AU3582" s="750"/>
      <c r="AV3582" s="750"/>
      <c r="AW3582" s="750"/>
      <c r="AX3582" s="750"/>
      <c r="AY3582" s="750"/>
      <c r="AZ3582" s="750"/>
      <c r="BA3582" s="750"/>
      <c r="BB3582" s="750"/>
      <c r="BC3582" s="750"/>
      <c r="BD3582" s="750"/>
      <c r="BE3582" s="750"/>
      <c r="BF3582" s="750"/>
      <c r="BG3582" s="750"/>
      <c r="BH3582" s="750"/>
      <c r="BI3582" s="750"/>
      <c r="BJ3582" s="750"/>
      <c r="BK3582" s="750"/>
      <c r="BL3582" s="750"/>
      <c r="BM3582" s="750"/>
      <c r="BN3582" s="750"/>
      <c r="BO3582" s="750"/>
      <c r="BP3582" s="750"/>
      <c r="BQ3582" s="750"/>
    </row>
    <row r="3583" spans="3:69">
      <c r="C3583" s="853"/>
      <c r="D3583" s="853"/>
      <c r="E3583" s="853"/>
      <c r="F3583" s="853"/>
      <c r="G3583" s="853"/>
      <c r="H3583" s="853"/>
      <c r="I3583" s="848"/>
      <c r="J3583" s="848"/>
      <c r="K3583" s="1295"/>
      <c r="L3583" s="1295"/>
      <c r="M3583" s="1295"/>
      <c r="N3583" s="1295"/>
      <c r="O3583" s="1295"/>
      <c r="P3583" s="853"/>
      <c r="Q3583" s="1295"/>
      <c r="R3583" s="848"/>
      <c r="S3583" s="848"/>
      <c r="T3583" s="848"/>
      <c r="U3583" s="848"/>
      <c r="V3583" s="1296"/>
      <c r="W3583" s="848"/>
      <c r="X3583" s="848"/>
      <c r="Y3583" s="1295"/>
      <c r="Z3583" s="1296"/>
      <c r="AA3583" s="1295"/>
      <c r="AB3583" s="1296"/>
      <c r="AC3583" s="1295"/>
      <c r="AD3583" s="1295"/>
      <c r="AE3583" s="2556"/>
      <c r="AF3583" s="750"/>
      <c r="AG3583" s="750"/>
      <c r="AH3583" s="750"/>
      <c r="AI3583" s="750"/>
      <c r="AJ3583" s="750"/>
      <c r="AK3583" s="750"/>
      <c r="AL3583" s="750"/>
      <c r="AM3583" s="750"/>
      <c r="AN3583" s="750"/>
      <c r="AO3583" s="750"/>
      <c r="AP3583" s="750"/>
      <c r="AQ3583" s="750"/>
      <c r="AR3583" s="750"/>
      <c r="AS3583" s="750"/>
      <c r="AT3583" s="750"/>
      <c r="AU3583" s="750"/>
      <c r="AV3583" s="750"/>
      <c r="AW3583" s="750"/>
      <c r="AX3583" s="750"/>
      <c r="AY3583" s="750"/>
      <c r="AZ3583" s="750"/>
      <c r="BA3583" s="750"/>
      <c r="BB3583" s="750"/>
      <c r="BC3583" s="750"/>
      <c r="BD3583" s="750"/>
      <c r="BE3583" s="750"/>
      <c r="BF3583" s="750"/>
      <c r="BG3583" s="750"/>
      <c r="BH3583" s="750"/>
      <c r="BI3583" s="750"/>
      <c r="BJ3583" s="750"/>
      <c r="BK3583" s="750"/>
      <c r="BL3583" s="750"/>
      <c r="BM3583" s="750"/>
      <c r="BN3583" s="750"/>
      <c r="BO3583" s="750"/>
      <c r="BP3583" s="750"/>
      <c r="BQ3583" s="750"/>
    </row>
    <row r="3584" spans="3:69">
      <c r="C3584" s="853"/>
      <c r="D3584" s="853"/>
      <c r="E3584" s="853"/>
      <c r="F3584" s="853"/>
      <c r="G3584" s="853"/>
      <c r="H3584" s="853"/>
      <c r="I3584" s="848"/>
      <c r="J3584" s="848"/>
      <c r="K3584" s="1295"/>
      <c r="L3584" s="1295"/>
      <c r="M3584" s="1295"/>
      <c r="N3584" s="1295"/>
      <c r="O3584" s="1295"/>
      <c r="P3584" s="853"/>
      <c r="Q3584" s="1295"/>
      <c r="R3584" s="848"/>
      <c r="S3584" s="848"/>
      <c r="T3584" s="848"/>
      <c r="U3584" s="848"/>
      <c r="V3584" s="1296"/>
      <c r="W3584" s="848"/>
      <c r="X3584" s="848"/>
      <c r="Y3584" s="1295"/>
      <c r="Z3584" s="1296"/>
      <c r="AA3584" s="1295"/>
      <c r="AB3584" s="1296"/>
      <c r="AC3584" s="1295"/>
      <c r="AD3584" s="1295"/>
      <c r="AE3584" s="2556"/>
      <c r="AF3584" s="750"/>
      <c r="AG3584" s="750"/>
      <c r="AH3584" s="750"/>
      <c r="AI3584" s="750"/>
      <c r="AJ3584" s="750"/>
      <c r="AK3584" s="750"/>
      <c r="AL3584" s="750"/>
      <c r="AM3584" s="750"/>
      <c r="AN3584" s="750"/>
      <c r="AO3584" s="750"/>
      <c r="AP3584" s="750"/>
      <c r="AQ3584" s="750"/>
      <c r="AR3584" s="750"/>
      <c r="AS3584" s="750"/>
      <c r="AT3584" s="750"/>
      <c r="AU3584" s="750"/>
      <c r="AV3584" s="750"/>
      <c r="AW3584" s="750"/>
      <c r="AX3584" s="750"/>
      <c r="AY3584" s="750"/>
      <c r="AZ3584" s="750"/>
      <c r="BA3584" s="750"/>
      <c r="BB3584" s="750"/>
      <c r="BC3584" s="750"/>
      <c r="BD3584" s="750"/>
      <c r="BE3584" s="750"/>
      <c r="BF3584" s="750"/>
      <c r="BG3584" s="750"/>
      <c r="BH3584" s="750"/>
      <c r="BI3584" s="750"/>
      <c r="BJ3584" s="750"/>
      <c r="BK3584" s="750"/>
      <c r="BL3584" s="750"/>
      <c r="BM3584" s="750"/>
      <c r="BN3584" s="750"/>
      <c r="BO3584" s="750"/>
      <c r="BP3584" s="750"/>
      <c r="BQ3584" s="750"/>
    </row>
    <row r="3585" spans="3:69">
      <c r="C3585" s="853"/>
      <c r="D3585" s="853"/>
      <c r="E3585" s="853"/>
      <c r="F3585" s="853"/>
      <c r="G3585" s="853"/>
      <c r="H3585" s="853"/>
      <c r="I3585" s="848"/>
      <c r="J3585" s="848"/>
      <c r="K3585" s="1295"/>
      <c r="L3585" s="1295"/>
      <c r="M3585" s="1295"/>
      <c r="N3585" s="1295"/>
      <c r="O3585" s="1295"/>
      <c r="P3585" s="853"/>
      <c r="Q3585" s="1295"/>
      <c r="R3585" s="848"/>
      <c r="S3585" s="848"/>
      <c r="T3585" s="848"/>
      <c r="U3585" s="848"/>
      <c r="V3585" s="1296"/>
      <c r="W3585" s="848"/>
      <c r="X3585" s="848"/>
      <c r="Y3585" s="1295"/>
      <c r="Z3585" s="1296"/>
      <c r="AA3585" s="1295"/>
      <c r="AB3585" s="1296"/>
      <c r="AC3585" s="1295"/>
      <c r="AD3585" s="1295"/>
      <c r="AE3585" s="2556"/>
      <c r="AF3585" s="750"/>
      <c r="AG3585" s="750"/>
      <c r="AH3585" s="750"/>
      <c r="AI3585" s="750"/>
      <c r="AJ3585" s="750"/>
      <c r="AK3585" s="750"/>
      <c r="AL3585" s="750"/>
      <c r="AM3585" s="750"/>
      <c r="AN3585" s="750"/>
      <c r="AO3585" s="750"/>
      <c r="AP3585" s="750"/>
      <c r="AQ3585" s="750"/>
      <c r="AR3585" s="750"/>
      <c r="AS3585" s="750"/>
      <c r="AT3585" s="750"/>
      <c r="AU3585" s="750"/>
      <c r="AV3585" s="750"/>
      <c r="AW3585" s="750"/>
      <c r="AX3585" s="750"/>
      <c r="AY3585" s="750"/>
      <c r="AZ3585" s="750"/>
      <c r="BA3585" s="750"/>
      <c r="BB3585" s="750"/>
      <c r="BC3585" s="750"/>
      <c r="BD3585" s="750"/>
      <c r="BE3585" s="750"/>
      <c r="BF3585" s="750"/>
      <c r="BG3585" s="750"/>
      <c r="BH3585" s="750"/>
      <c r="BI3585" s="750"/>
      <c r="BJ3585" s="750"/>
      <c r="BK3585" s="750"/>
      <c r="BL3585" s="750"/>
      <c r="BM3585" s="750"/>
      <c r="BN3585" s="750"/>
      <c r="BO3585" s="750"/>
      <c r="BP3585" s="750"/>
      <c r="BQ3585" s="750"/>
    </row>
    <row r="3586" spans="3:69">
      <c r="C3586" s="853"/>
      <c r="D3586" s="853"/>
      <c r="E3586" s="853"/>
      <c r="F3586" s="853"/>
      <c r="G3586" s="853"/>
      <c r="H3586" s="853"/>
      <c r="I3586" s="848"/>
      <c r="J3586" s="848"/>
      <c r="K3586" s="1295"/>
      <c r="L3586" s="1295"/>
      <c r="M3586" s="1295"/>
      <c r="N3586" s="1295"/>
      <c r="O3586" s="1295"/>
      <c r="P3586" s="853"/>
      <c r="Q3586" s="1295"/>
      <c r="R3586" s="848"/>
      <c r="S3586" s="848"/>
      <c r="T3586" s="848"/>
      <c r="U3586" s="848"/>
      <c r="V3586" s="1296"/>
      <c r="W3586" s="848"/>
      <c r="X3586" s="848"/>
      <c r="Y3586" s="1295"/>
      <c r="Z3586" s="1296"/>
      <c r="AA3586" s="1295"/>
      <c r="AB3586" s="1296"/>
      <c r="AC3586" s="1295"/>
      <c r="AD3586" s="1295"/>
      <c r="AE3586" s="2556"/>
      <c r="AF3586" s="750"/>
      <c r="AG3586" s="750"/>
      <c r="AH3586" s="750"/>
      <c r="AI3586" s="750"/>
      <c r="AJ3586" s="750"/>
      <c r="AK3586" s="750"/>
      <c r="AL3586" s="750"/>
      <c r="AM3586" s="750"/>
      <c r="AN3586" s="750"/>
      <c r="AO3586" s="750"/>
      <c r="AP3586" s="750"/>
      <c r="AQ3586" s="750"/>
      <c r="AR3586" s="750"/>
      <c r="AS3586" s="750"/>
      <c r="AT3586" s="750"/>
      <c r="AU3586" s="750"/>
      <c r="AV3586" s="750"/>
      <c r="AW3586" s="750"/>
      <c r="AX3586" s="750"/>
      <c r="AY3586" s="750"/>
      <c r="AZ3586" s="750"/>
      <c r="BA3586" s="750"/>
      <c r="BB3586" s="750"/>
      <c r="BC3586" s="750"/>
      <c r="BD3586" s="750"/>
      <c r="BE3586" s="750"/>
      <c r="BF3586" s="750"/>
      <c r="BG3586" s="750"/>
      <c r="BH3586" s="750"/>
      <c r="BI3586" s="750"/>
      <c r="BJ3586" s="750"/>
      <c r="BK3586" s="750"/>
      <c r="BL3586" s="750"/>
      <c r="BM3586" s="750"/>
      <c r="BN3586" s="750"/>
      <c r="BO3586" s="750"/>
      <c r="BP3586" s="750"/>
      <c r="BQ3586" s="750"/>
    </row>
    <row r="3587" spans="3:69">
      <c r="C3587" s="853"/>
      <c r="D3587" s="853"/>
      <c r="E3587" s="853"/>
      <c r="F3587" s="853"/>
      <c r="G3587" s="853"/>
      <c r="H3587" s="853"/>
      <c r="I3587" s="848"/>
      <c r="J3587" s="848"/>
      <c r="K3587" s="1295"/>
      <c r="L3587" s="1295"/>
      <c r="M3587" s="1295"/>
      <c r="N3587" s="1295"/>
      <c r="O3587" s="1295"/>
      <c r="P3587" s="853"/>
      <c r="Q3587" s="1295"/>
      <c r="R3587" s="848"/>
      <c r="S3587" s="848"/>
      <c r="T3587" s="848"/>
      <c r="U3587" s="848"/>
      <c r="V3587" s="1296"/>
      <c r="W3587" s="848"/>
      <c r="X3587" s="848"/>
      <c r="Y3587" s="1295"/>
      <c r="Z3587" s="1296"/>
      <c r="AA3587" s="1295"/>
      <c r="AB3587" s="1296"/>
      <c r="AC3587" s="1295"/>
      <c r="AD3587" s="1295"/>
      <c r="AE3587" s="2556"/>
      <c r="AF3587" s="750"/>
      <c r="AG3587" s="750"/>
      <c r="AH3587" s="750"/>
      <c r="AI3587" s="750"/>
      <c r="AJ3587" s="750"/>
      <c r="AK3587" s="750"/>
      <c r="AL3587" s="750"/>
      <c r="AM3587" s="750"/>
      <c r="AN3587" s="750"/>
      <c r="AO3587" s="750"/>
      <c r="AP3587" s="750"/>
      <c r="AQ3587" s="750"/>
      <c r="AR3587" s="750"/>
      <c r="AS3587" s="750"/>
      <c r="AT3587" s="750"/>
      <c r="AU3587" s="750"/>
      <c r="AV3587" s="750"/>
      <c r="AW3587" s="750"/>
      <c r="AX3587" s="750"/>
      <c r="AY3587" s="750"/>
      <c r="AZ3587" s="750"/>
      <c r="BA3587" s="750"/>
      <c r="BB3587" s="750"/>
      <c r="BC3587" s="750"/>
      <c r="BD3587" s="750"/>
      <c r="BE3587" s="750"/>
      <c r="BF3587" s="750"/>
      <c r="BG3587" s="750"/>
      <c r="BH3587" s="750"/>
      <c r="BI3587" s="750"/>
      <c r="BJ3587" s="750"/>
      <c r="BK3587" s="750"/>
      <c r="BL3587" s="750"/>
      <c r="BM3587" s="750"/>
      <c r="BN3587" s="750"/>
      <c r="BO3587" s="750"/>
      <c r="BP3587" s="750"/>
      <c r="BQ3587" s="750"/>
    </row>
    <row r="3588" spans="3:69">
      <c r="C3588" s="853"/>
      <c r="D3588" s="853"/>
      <c r="E3588" s="853"/>
      <c r="F3588" s="853"/>
      <c r="G3588" s="853"/>
      <c r="H3588" s="853"/>
      <c r="I3588" s="848"/>
      <c r="J3588" s="848"/>
      <c r="K3588" s="1295"/>
      <c r="L3588" s="1295"/>
      <c r="M3588" s="1295"/>
      <c r="N3588" s="1295"/>
      <c r="O3588" s="1295"/>
      <c r="P3588" s="853"/>
      <c r="Q3588" s="1295"/>
      <c r="R3588" s="848"/>
      <c r="S3588" s="848"/>
      <c r="T3588" s="848"/>
      <c r="U3588" s="848"/>
      <c r="V3588" s="1296"/>
      <c r="W3588" s="848"/>
      <c r="X3588" s="848"/>
      <c r="Y3588" s="1295"/>
      <c r="Z3588" s="1296"/>
      <c r="AA3588" s="1295"/>
      <c r="AB3588" s="1296"/>
      <c r="AC3588" s="1295"/>
      <c r="AD3588" s="1295"/>
      <c r="AE3588" s="2556"/>
      <c r="AF3588" s="750"/>
      <c r="AG3588" s="750"/>
      <c r="AH3588" s="750"/>
      <c r="AI3588" s="750"/>
      <c r="AJ3588" s="750"/>
      <c r="AK3588" s="750"/>
      <c r="AL3588" s="750"/>
      <c r="AM3588" s="750"/>
      <c r="AN3588" s="750"/>
      <c r="AO3588" s="750"/>
      <c r="AP3588" s="750"/>
      <c r="AQ3588" s="750"/>
      <c r="AR3588" s="750"/>
      <c r="AS3588" s="750"/>
      <c r="AT3588" s="750"/>
      <c r="AU3588" s="750"/>
      <c r="AV3588" s="750"/>
      <c r="AW3588" s="750"/>
      <c r="AX3588" s="750"/>
      <c r="AY3588" s="750"/>
      <c r="AZ3588" s="750"/>
      <c r="BA3588" s="750"/>
      <c r="BB3588" s="750"/>
      <c r="BC3588" s="750"/>
      <c r="BD3588" s="750"/>
      <c r="BE3588" s="750"/>
      <c r="BF3588" s="750"/>
      <c r="BG3588" s="750"/>
      <c r="BH3588" s="750"/>
      <c r="BI3588" s="750"/>
      <c r="BJ3588" s="750"/>
      <c r="BK3588" s="750"/>
      <c r="BL3588" s="750"/>
      <c r="BM3588" s="750"/>
      <c r="BN3588" s="750"/>
      <c r="BO3588" s="750"/>
      <c r="BP3588" s="750"/>
      <c r="BQ3588" s="750"/>
    </row>
    <row r="3589" spans="3:69">
      <c r="C3589" s="853"/>
      <c r="D3589" s="853"/>
      <c r="E3589" s="853"/>
      <c r="F3589" s="853"/>
      <c r="G3589" s="853"/>
      <c r="H3589" s="853"/>
      <c r="I3589" s="848"/>
      <c r="J3589" s="848"/>
      <c r="K3589" s="1295"/>
      <c r="L3589" s="1295"/>
      <c r="M3589" s="1295"/>
      <c r="N3589" s="1295"/>
      <c r="O3589" s="1295"/>
      <c r="P3589" s="853"/>
      <c r="Q3589" s="1295"/>
      <c r="R3589" s="848"/>
      <c r="S3589" s="848"/>
      <c r="T3589" s="848"/>
      <c r="U3589" s="848"/>
      <c r="V3589" s="1296"/>
      <c r="W3589" s="848"/>
      <c r="X3589" s="848"/>
      <c r="Y3589" s="1295"/>
      <c r="Z3589" s="1296"/>
      <c r="AA3589" s="1295"/>
      <c r="AB3589" s="1296"/>
      <c r="AC3589" s="1295"/>
      <c r="AD3589" s="1295"/>
      <c r="AE3589" s="2556"/>
      <c r="AF3589" s="750"/>
      <c r="AG3589" s="750"/>
      <c r="AH3589" s="750"/>
      <c r="AI3589" s="750"/>
      <c r="AJ3589" s="750"/>
      <c r="AK3589" s="750"/>
      <c r="AL3589" s="750"/>
      <c r="AM3589" s="750"/>
      <c r="AN3589" s="750"/>
      <c r="AO3589" s="750"/>
      <c r="AP3589" s="750"/>
      <c r="AQ3589" s="750"/>
      <c r="AR3589" s="750"/>
      <c r="AS3589" s="750"/>
      <c r="AT3589" s="750"/>
      <c r="AU3589" s="750"/>
      <c r="AV3589" s="750"/>
      <c r="AW3589" s="750"/>
      <c r="AX3589" s="750"/>
      <c r="AY3589" s="750"/>
      <c r="AZ3589" s="750"/>
      <c r="BA3589" s="750"/>
      <c r="BB3589" s="750"/>
      <c r="BC3589" s="750"/>
      <c r="BD3589" s="750"/>
      <c r="BE3589" s="750"/>
      <c r="BF3589" s="750"/>
      <c r="BG3589" s="750"/>
      <c r="BH3589" s="750"/>
      <c r="BI3589" s="750"/>
      <c r="BJ3589" s="750"/>
      <c r="BK3589" s="750"/>
      <c r="BL3589" s="750"/>
      <c r="BM3589" s="750"/>
      <c r="BN3589" s="750"/>
      <c r="BO3589" s="750"/>
      <c r="BP3589" s="750"/>
      <c r="BQ3589" s="750"/>
    </row>
    <row r="3590" spans="3:69">
      <c r="C3590" s="853"/>
      <c r="D3590" s="853"/>
      <c r="E3590" s="853"/>
      <c r="F3590" s="853"/>
      <c r="G3590" s="853"/>
      <c r="H3590" s="853"/>
      <c r="I3590" s="848"/>
      <c r="J3590" s="848"/>
      <c r="K3590" s="1295"/>
      <c r="L3590" s="1295"/>
      <c r="M3590" s="1295"/>
      <c r="N3590" s="1295"/>
      <c r="O3590" s="1295"/>
      <c r="P3590" s="853"/>
      <c r="Q3590" s="1295"/>
      <c r="R3590" s="848"/>
      <c r="S3590" s="848"/>
      <c r="T3590" s="848"/>
      <c r="U3590" s="848"/>
      <c r="V3590" s="1296"/>
      <c r="W3590" s="848"/>
      <c r="X3590" s="848"/>
      <c r="Y3590" s="1295"/>
      <c r="Z3590" s="1296"/>
      <c r="AA3590" s="1295"/>
      <c r="AB3590" s="1296"/>
      <c r="AC3590" s="1295"/>
      <c r="AD3590" s="1295"/>
      <c r="AE3590" s="2556"/>
      <c r="AF3590" s="750"/>
      <c r="AG3590" s="750"/>
      <c r="AH3590" s="750"/>
      <c r="AI3590" s="750"/>
      <c r="AJ3590" s="750"/>
      <c r="AK3590" s="750"/>
      <c r="AL3590" s="750"/>
      <c r="AM3590" s="750"/>
      <c r="AN3590" s="750"/>
      <c r="AO3590" s="750"/>
      <c r="AP3590" s="750"/>
      <c r="AQ3590" s="750"/>
      <c r="AR3590" s="750"/>
      <c r="AS3590" s="750"/>
      <c r="AT3590" s="750"/>
      <c r="AU3590" s="750"/>
      <c r="AV3590" s="750"/>
      <c r="AW3590" s="750"/>
      <c r="AX3590" s="750"/>
      <c r="AY3590" s="750"/>
      <c r="AZ3590" s="750"/>
      <c r="BA3590" s="750"/>
      <c r="BB3590" s="750"/>
      <c r="BC3590" s="750"/>
      <c r="BD3590" s="750"/>
      <c r="BE3590" s="750"/>
      <c r="BF3590" s="750"/>
      <c r="BG3590" s="750"/>
      <c r="BH3590" s="750"/>
      <c r="BI3590" s="750"/>
      <c r="BJ3590" s="750"/>
      <c r="BK3590" s="750"/>
      <c r="BL3590" s="750"/>
      <c r="BM3590" s="750"/>
      <c r="BN3590" s="750"/>
      <c r="BO3590" s="750"/>
      <c r="BP3590" s="750"/>
      <c r="BQ3590" s="750"/>
    </row>
    <row r="3591" spans="3:69">
      <c r="C3591" s="853"/>
      <c r="D3591" s="853"/>
      <c r="E3591" s="853"/>
      <c r="F3591" s="853"/>
      <c r="G3591" s="853"/>
      <c r="H3591" s="853"/>
      <c r="I3591" s="848"/>
      <c r="J3591" s="848"/>
      <c r="K3591" s="1295"/>
      <c r="L3591" s="1295"/>
      <c r="M3591" s="1295"/>
      <c r="N3591" s="1295"/>
      <c r="O3591" s="1295"/>
      <c r="P3591" s="853"/>
      <c r="Q3591" s="1295"/>
      <c r="R3591" s="848"/>
      <c r="S3591" s="848"/>
      <c r="T3591" s="848"/>
      <c r="U3591" s="848"/>
      <c r="V3591" s="1296"/>
      <c r="W3591" s="848"/>
      <c r="X3591" s="848"/>
      <c r="Y3591" s="1295"/>
      <c r="Z3591" s="1296"/>
      <c r="AA3591" s="1295"/>
      <c r="AB3591" s="1296"/>
      <c r="AC3591" s="1295"/>
      <c r="AD3591" s="1295"/>
      <c r="AE3591" s="2556"/>
      <c r="AF3591" s="750"/>
      <c r="AG3591" s="750"/>
      <c r="AH3591" s="750"/>
      <c r="AI3591" s="750"/>
      <c r="AJ3591" s="750"/>
      <c r="AK3591" s="750"/>
      <c r="AL3591" s="750"/>
      <c r="AM3591" s="750"/>
      <c r="AN3591" s="750"/>
      <c r="AO3591" s="750"/>
      <c r="AP3591" s="750"/>
      <c r="AQ3591" s="750"/>
      <c r="AR3591" s="750"/>
      <c r="AS3591" s="750"/>
      <c r="AT3591" s="750"/>
      <c r="AU3591" s="750"/>
      <c r="AV3591" s="750"/>
      <c r="AW3591" s="750"/>
      <c r="AX3591" s="750"/>
      <c r="AY3591" s="750"/>
      <c r="AZ3591" s="750"/>
      <c r="BA3591" s="750"/>
      <c r="BB3591" s="750"/>
      <c r="BC3591" s="750"/>
      <c r="BD3591" s="750"/>
      <c r="BE3591" s="750"/>
      <c r="BF3591" s="750"/>
      <c r="BG3591" s="750"/>
      <c r="BH3591" s="750"/>
      <c r="BI3591" s="750"/>
      <c r="BJ3591" s="750"/>
      <c r="BK3591" s="750"/>
      <c r="BL3591" s="750"/>
      <c r="BM3591" s="750"/>
      <c r="BN3591" s="750"/>
      <c r="BO3591" s="750"/>
      <c r="BP3591" s="750"/>
      <c r="BQ3591" s="750"/>
    </row>
    <row r="3592" spans="3:69">
      <c r="C3592" s="853"/>
      <c r="D3592" s="853"/>
      <c r="E3592" s="853"/>
      <c r="F3592" s="853"/>
      <c r="G3592" s="853"/>
      <c r="H3592" s="853"/>
      <c r="I3592" s="848"/>
      <c r="J3592" s="848"/>
      <c r="K3592" s="1295"/>
      <c r="L3592" s="1295"/>
      <c r="M3592" s="1295"/>
      <c r="N3592" s="1295"/>
      <c r="O3592" s="1295"/>
      <c r="P3592" s="853"/>
      <c r="Q3592" s="1295"/>
      <c r="R3592" s="848"/>
      <c r="S3592" s="848"/>
      <c r="T3592" s="848"/>
      <c r="U3592" s="848"/>
      <c r="V3592" s="1296"/>
      <c r="W3592" s="848"/>
      <c r="X3592" s="848"/>
      <c r="Y3592" s="1295"/>
      <c r="Z3592" s="1296"/>
      <c r="AA3592" s="1295"/>
      <c r="AB3592" s="1296"/>
      <c r="AC3592" s="1295"/>
      <c r="AD3592" s="1295"/>
      <c r="AE3592" s="2556"/>
      <c r="AF3592" s="750"/>
      <c r="AG3592" s="750"/>
      <c r="AH3592" s="750"/>
      <c r="AI3592" s="750"/>
      <c r="AJ3592" s="750"/>
      <c r="AK3592" s="750"/>
      <c r="AL3592" s="750"/>
      <c r="AM3592" s="750"/>
      <c r="AN3592" s="750"/>
      <c r="AO3592" s="750"/>
      <c r="AP3592" s="750"/>
      <c r="AQ3592" s="750"/>
      <c r="AR3592" s="750"/>
      <c r="AS3592" s="750"/>
      <c r="AT3592" s="750"/>
      <c r="AU3592" s="750"/>
      <c r="AV3592" s="750"/>
      <c r="AW3592" s="750"/>
      <c r="AX3592" s="750"/>
      <c r="AY3592" s="750"/>
      <c r="AZ3592" s="750"/>
      <c r="BA3592" s="750"/>
      <c r="BB3592" s="750"/>
      <c r="BC3592" s="750"/>
      <c r="BD3592" s="750"/>
      <c r="BE3592" s="750"/>
      <c r="BF3592" s="750"/>
      <c r="BG3592" s="750"/>
      <c r="BH3592" s="750"/>
      <c r="BI3592" s="750"/>
      <c r="BJ3592" s="750"/>
      <c r="BK3592" s="750"/>
      <c r="BL3592" s="750"/>
      <c r="BM3592" s="750"/>
      <c r="BN3592" s="750"/>
      <c r="BO3592" s="750"/>
      <c r="BP3592" s="750"/>
      <c r="BQ3592" s="750"/>
    </row>
    <row r="3593" spans="3:69">
      <c r="C3593" s="853"/>
      <c r="D3593" s="853"/>
      <c r="E3593" s="853"/>
      <c r="F3593" s="853"/>
      <c r="G3593" s="853"/>
      <c r="H3593" s="853"/>
      <c r="I3593" s="848"/>
      <c r="J3593" s="848"/>
      <c r="K3593" s="1295"/>
      <c r="L3593" s="1295"/>
      <c r="M3593" s="1295"/>
      <c r="N3593" s="1295"/>
      <c r="O3593" s="1295"/>
      <c r="P3593" s="853"/>
      <c r="Q3593" s="1295"/>
      <c r="R3593" s="848"/>
      <c r="S3593" s="848"/>
      <c r="T3593" s="848"/>
      <c r="U3593" s="848"/>
      <c r="V3593" s="1296"/>
      <c r="W3593" s="848"/>
      <c r="X3593" s="848"/>
      <c r="Y3593" s="1295"/>
      <c r="Z3593" s="1296"/>
      <c r="AA3593" s="1295"/>
      <c r="AB3593" s="1296"/>
      <c r="AC3593" s="1295"/>
      <c r="AD3593" s="1295"/>
      <c r="AE3593" s="2556"/>
      <c r="AF3593" s="750"/>
      <c r="AG3593" s="750"/>
      <c r="AH3593" s="750"/>
      <c r="AI3593" s="750"/>
      <c r="AJ3593" s="750"/>
      <c r="AK3593" s="750"/>
      <c r="AL3593" s="750"/>
      <c r="AM3593" s="750"/>
      <c r="AN3593" s="750"/>
      <c r="AO3593" s="750"/>
      <c r="AP3593" s="750"/>
      <c r="AQ3593" s="750"/>
      <c r="AR3593" s="750"/>
      <c r="AS3593" s="750"/>
      <c r="AT3593" s="750"/>
      <c r="AU3593" s="750"/>
      <c r="AV3593" s="750"/>
      <c r="AW3593" s="750"/>
      <c r="AX3593" s="750"/>
      <c r="AY3593" s="750"/>
      <c r="AZ3593" s="750"/>
      <c r="BA3593" s="750"/>
      <c r="BB3593" s="750"/>
      <c r="BC3593" s="750"/>
      <c r="BD3593" s="750"/>
      <c r="BE3593" s="750"/>
      <c r="BF3593" s="750"/>
      <c r="BG3593" s="750"/>
      <c r="BH3593" s="750"/>
      <c r="BI3593" s="750"/>
      <c r="BJ3593" s="750"/>
      <c r="BK3593" s="750"/>
      <c r="BL3593" s="750"/>
      <c r="BM3593" s="750"/>
      <c r="BN3593" s="750"/>
      <c r="BO3593" s="750"/>
      <c r="BP3593" s="750"/>
      <c r="BQ3593" s="750"/>
    </row>
    <row r="3594" spans="3:69">
      <c r="C3594" s="853"/>
      <c r="D3594" s="853"/>
      <c r="E3594" s="853"/>
      <c r="F3594" s="853"/>
      <c r="G3594" s="853"/>
      <c r="H3594" s="853"/>
      <c r="I3594" s="848"/>
      <c r="J3594" s="848"/>
      <c r="K3594" s="1295"/>
      <c r="L3594" s="1295"/>
      <c r="M3594" s="1295"/>
      <c r="N3594" s="1295"/>
      <c r="O3594" s="1295"/>
      <c r="P3594" s="853"/>
      <c r="Q3594" s="1295"/>
      <c r="R3594" s="848"/>
      <c r="S3594" s="848"/>
      <c r="T3594" s="848"/>
      <c r="U3594" s="848"/>
      <c r="V3594" s="1296"/>
      <c r="W3594" s="848"/>
      <c r="X3594" s="848"/>
      <c r="Y3594" s="1295"/>
      <c r="Z3594" s="1296"/>
      <c r="AA3594" s="1295"/>
      <c r="AB3594" s="1296"/>
      <c r="AC3594" s="1295"/>
      <c r="AD3594" s="1295"/>
      <c r="AE3594" s="2556"/>
      <c r="AF3594" s="750"/>
      <c r="AG3594" s="750"/>
      <c r="AH3594" s="750"/>
      <c r="AI3594" s="750"/>
      <c r="AJ3594" s="750"/>
      <c r="AK3594" s="750"/>
      <c r="AL3594" s="750"/>
      <c r="AM3594" s="750"/>
      <c r="AN3594" s="750"/>
      <c r="AO3594" s="750"/>
      <c r="AP3594" s="750"/>
      <c r="AQ3594" s="750"/>
      <c r="AR3594" s="750"/>
      <c r="AS3594" s="750"/>
      <c r="AT3594" s="750"/>
      <c r="AU3594" s="750"/>
      <c r="AV3594" s="750"/>
      <c r="AW3594" s="750"/>
      <c r="AX3594" s="750"/>
      <c r="AY3594" s="750"/>
      <c r="AZ3594" s="750"/>
      <c r="BA3594" s="750"/>
      <c r="BB3594" s="750"/>
      <c r="BC3594" s="750"/>
      <c r="BD3594" s="750"/>
      <c r="BE3594" s="750"/>
      <c r="BF3594" s="750"/>
      <c r="BG3594" s="750"/>
      <c r="BH3594" s="750"/>
      <c r="BI3594" s="750"/>
      <c r="BJ3594" s="750"/>
      <c r="BK3594" s="750"/>
      <c r="BL3594" s="750"/>
      <c r="BM3594" s="750"/>
      <c r="BN3594" s="750"/>
      <c r="BO3594" s="750"/>
      <c r="BP3594" s="750"/>
      <c r="BQ3594" s="750"/>
    </row>
    <row r="3595" spans="3:69">
      <c r="C3595" s="853"/>
      <c r="D3595" s="853"/>
      <c r="E3595" s="853"/>
      <c r="F3595" s="853"/>
      <c r="G3595" s="853"/>
      <c r="H3595" s="853"/>
      <c r="I3595" s="848"/>
      <c r="J3595" s="848"/>
      <c r="K3595" s="1295"/>
      <c r="L3595" s="1295"/>
      <c r="M3595" s="1295"/>
      <c r="N3595" s="1295"/>
      <c r="O3595" s="1295"/>
      <c r="P3595" s="853"/>
      <c r="Q3595" s="1295"/>
      <c r="R3595" s="848"/>
      <c r="S3595" s="848"/>
      <c r="T3595" s="848"/>
      <c r="U3595" s="848"/>
      <c r="V3595" s="1296"/>
      <c r="W3595" s="848"/>
      <c r="X3595" s="848"/>
      <c r="Y3595" s="1295"/>
      <c r="Z3595" s="1296"/>
      <c r="AA3595" s="1295"/>
      <c r="AB3595" s="1296"/>
      <c r="AC3595" s="1295"/>
      <c r="AD3595" s="1295"/>
      <c r="AE3595" s="2556"/>
      <c r="AF3595" s="750"/>
      <c r="AG3595" s="750"/>
      <c r="AH3595" s="750"/>
      <c r="AI3595" s="750"/>
      <c r="AJ3595" s="750"/>
      <c r="AK3595" s="750"/>
      <c r="AL3595" s="750"/>
      <c r="AM3595" s="750"/>
      <c r="AN3595" s="750"/>
      <c r="AO3595" s="750"/>
      <c r="AP3595" s="750"/>
      <c r="AQ3595" s="750"/>
      <c r="AR3595" s="750"/>
      <c r="AS3595" s="750"/>
      <c r="AT3595" s="750"/>
      <c r="AU3595" s="750"/>
      <c r="AV3595" s="750"/>
      <c r="AW3595" s="750"/>
      <c r="AX3595" s="750"/>
      <c r="AY3595" s="750"/>
      <c r="AZ3595" s="750"/>
      <c r="BA3595" s="750"/>
      <c r="BB3595" s="750"/>
      <c r="BC3595" s="750"/>
      <c r="BD3595" s="750"/>
      <c r="BE3595" s="750"/>
      <c r="BF3595" s="750"/>
      <c r="BG3595" s="750"/>
      <c r="BH3595" s="750"/>
      <c r="BI3595" s="750"/>
      <c r="BJ3595" s="750"/>
      <c r="BK3595" s="750"/>
      <c r="BL3595" s="750"/>
      <c r="BM3595" s="750"/>
      <c r="BN3595" s="750"/>
      <c r="BO3595" s="750"/>
      <c r="BP3595" s="750"/>
      <c r="BQ3595" s="750"/>
    </row>
    <row r="3596" spans="3:69">
      <c r="C3596" s="853"/>
      <c r="D3596" s="853"/>
      <c r="E3596" s="853"/>
      <c r="F3596" s="853"/>
      <c r="G3596" s="853"/>
      <c r="H3596" s="853"/>
      <c r="I3596" s="848"/>
      <c r="J3596" s="848"/>
      <c r="K3596" s="1295"/>
      <c r="L3596" s="1295"/>
      <c r="M3596" s="1295"/>
      <c r="N3596" s="1295"/>
      <c r="O3596" s="1295"/>
      <c r="P3596" s="853"/>
      <c r="Q3596" s="1295"/>
      <c r="R3596" s="848"/>
      <c r="S3596" s="848"/>
      <c r="T3596" s="848"/>
      <c r="U3596" s="848"/>
      <c r="V3596" s="1296"/>
      <c r="W3596" s="848"/>
      <c r="X3596" s="848"/>
      <c r="Y3596" s="1295"/>
      <c r="Z3596" s="1296"/>
      <c r="AA3596" s="1295"/>
      <c r="AB3596" s="1296"/>
      <c r="AC3596" s="1295"/>
      <c r="AD3596" s="1295"/>
      <c r="AE3596" s="2556"/>
      <c r="AF3596" s="750"/>
      <c r="AG3596" s="750"/>
      <c r="AH3596" s="750"/>
      <c r="AI3596" s="750"/>
      <c r="AJ3596" s="750"/>
      <c r="AK3596" s="750"/>
      <c r="AL3596" s="750"/>
      <c r="AM3596" s="750"/>
      <c r="AN3596" s="750"/>
      <c r="AO3596" s="750"/>
      <c r="AP3596" s="750"/>
      <c r="AQ3596" s="750"/>
      <c r="AR3596" s="750"/>
      <c r="AS3596" s="750"/>
      <c r="AT3596" s="750"/>
      <c r="AU3596" s="750"/>
      <c r="AV3596" s="750"/>
      <c r="AW3596" s="750"/>
      <c r="AX3596" s="750"/>
      <c r="AY3596" s="750"/>
      <c r="AZ3596" s="750"/>
      <c r="BA3596" s="750"/>
      <c r="BB3596" s="750"/>
      <c r="BC3596" s="750"/>
      <c r="BD3596" s="750"/>
      <c r="BE3596" s="750"/>
      <c r="BF3596" s="750"/>
      <c r="BG3596" s="750"/>
      <c r="BH3596" s="750"/>
      <c r="BI3596" s="750"/>
      <c r="BJ3596" s="750"/>
      <c r="BK3596" s="750"/>
      <c r="BL3596" s="750"/>
      <c r="BM3596" s="750"/>
      <c r="BN3596" s="750"/>
      <c r="BO3596" s="750"/>
      <c r="BP3596" s="750"/>
      <c r="BQ3596" s="750"/>
    </row>
    <row r="3597" spans="3:69">
      <c r="C3597" s="853"/>
      <c r="D3597" s="853"/>
      <c r="E3597" s="853"/>
      <c r="F3597" s="853"/>
      <c r="G3597" s="853"/>
      <c r="H3597" s="853"/>
      <c r="I3597" s="848"/>
      <c r="J3597" s="848"/>
      <c r="K3597" s="1295"/>
      <c r="L3597" s="1295"/>
      <c r="M3597" s="1295"/>
      <c r="N3597" s="1295"/>
      <c r="O3597" s="1295"/>
      <c r="P3597" s="853"/>
      <c r="Q3597" s="1295"/>
      <c r="R3597" s="848"/>
      <c r="S3597" s="848"/>
      <c r="T3597" s="848"/>
      <c r="U3597" s="848"/>
      <c r="V3597" s="1296"/>
      <c r="W3597" s="848"/>
      <c r="X3597" s="848"/>
      <c r="Y3597" s="1295"/>
      <c r="Z3597" s="1296"/>
      <c r="AA3597" s="1295"/>
      <c r="AB3597" s="1296"/>
      <c r="AC3597" s="1295"/>
      <c r="AD3597" s="1295"/>
      <c r="AE3597" s="2556"/>
      <c r="AF3597" s="750"/>
      <c r="AG3597" s="750"/>
      <c r="AH3597" s="750"/>
      <c r="AI3597" s="750"/>
      <c r="AJ3597" s="750"/>
      <c r="AK3597" s="750"/>
      <c r="AL3597" s="750"/>
      <c r="AM3597" s="750"/>
      <c r="AN3597" s="750"/>
      <c r="AO3597" s="750"/>
      <c r="AP3597" s="750"/>
      <c r="AQ3597" s="750"/>
      <c r="AR3597" s="750"/>
      <c r="AS3597" s="750"/>
      <c r="AT3597" s="750"/>
      <c r="AU3597" s="750"/>
      <c r="AV3597" s="750"/>
      <c r="AW3597" s="750"/>
      <c r="AX3597" s="750"/>
      <c r="AY3597" s="750"/>
      <c r="AZ3597" s="750"/>
      <c r="BA3597" s="750"/>
      <c r="BB3597" s="750"/>
      <c r="BC3597" s="750"/>
      <c r="BD3597" s="750"/>
      <c r="BE3597" s="750"/>
      <c r="BF3597" s="750"/>
      <c r="BG3597" s="750"/>
      <c r="BH3597" s="750"/>
      <c r="BI3597" s="750"/>
      <c r="BJ3597" s="750"/>
      <c r="BK3597" s="750"/>
      <c r="BL3597" s="750"/>
      <c r="BM3597" s="750"/>
      <c r="BN3597" s="750"/>
      <c r="BO3597" s="750"/>
      <c r="BP3597" s="750"/>
      <c r="BQ3597" s="750"/>
    </row>
    <row r="3598" spans="3:69">
      <c r="C3598" s="853"/>
      <c r="D3598" s="853"/>
      <c r="E3598" s="853"/>
      <c r="F3598" s="853"/>
      <c r="G3598" s="853"/>
      <c r="H3598" s="853"/>
      <c r="I3598" s="848"/>
      <c r="J3598" s="848"/>
      <c r="K3598" s="1295"/>
      <c r="L3598" s="1295"/>
      <c r="M3598" s="1295"/>
      <c r="N3598" s="1295"/>
      <c r="O3598" s="1295"/>
      <c r="P3598" s="853"/>
      <c r="Q3598" s="1295"/>
      <c r="R3598" s="848"/>
      <c r="S3598" s="848"/>
      <c r="T3598" s="848"/>
      <c r="U3598" s="848"/>
      <c r="V3598" s="1296"/>
      <c r="W3598" s="848"/>
      <c r="X3598" s="848"/>
      <c r="Y3598" s="1295"/>
      <c r="Z3598" s="1296"/>
      <c r="AA3598" s="1295"/>
      <c r="AB3598" s="1296"/>
      <c r="AC3598" s="1295"/>
      <c r="AD3598" s="1295"/>
      <c r="AE3598" s="2556"/>
      <c r="AF3598" s="750"/>
      <c r="AG3598" s="750"/>
      <c r="AH3598" s="750"/>
      <c r="AI3598" s="750"/>
      <c r="AJ3598" s="750"/>
      <c r="AK3598" s="750"/>
      <c r="AL3598" s="750"/>
      <c r="AM3598" s="750"/>
      <c r="AN3598" s="750"/>
      <c r="AO3598" s="750"/>
      <c r="AP3598" s="750"/>
      <c r="AQ3598" s="750"/>
      <c r="AR3598" s="750"/>
      <c r="AS3598" s="750"/>
      <c r="AT3598" s="750"/>
      <c r="AU3598" s="750"/>
      <c r="AV3598" s="750"/>
      <c r="AW3598" s="750"/>
      <c r="AX3598" s="750"/>
      <c r="AY3598" s="750"/>
      <c r="AZ3598" s="750"/>
      <c r="BA3598" s="750"/>
      <c r="BB3598" s="750"/>
      <c r="BC3598" s="750"/>
      <c r="BD3598" s="750"/>
      <c r="BE3598" s="750"/>
      <c r="BF3598" s="750"/>
      <c r="BG3598" s="750"/>
      <c r="BH3598" s="750"/>
      <c r="BI3598" s="750"/>
      <c r="BJ3598" s="750"/>
      <c r="BK3598" s="750"/>
      <c r="BL3598" s="750"/>
      <c r="BM3598" s="750"/>
      <c r="BN3598" s="750"/>
      <c r="BO3598" s="750"/>
      <c r="BP3598" s="750"/>
      <c r="BQ3598" s="750"/>
    </row>
    <row r="3599" spans="3:69">
      <c r="C3599" s="853"/>
      <c r="D3599" s="853"/>
      <c r="E3599" s="853"/>
      <c r="F3599" s="853"/>
      <c r="G3599" s="853"/>
      <c r="H3599" s="853"/>
      <c r="I3599" s="848"/>
      <c r="J3599" s="848"/>
      <c r="K3599" s="1295"/>
      <c r="L3599" s="1295"/>
      <c r="M3599" s="1295"/>
      <c r="N3599" s="1295"/>
      <c r="O3599" s="1295"/>
      <c r="P3599" s="853"/>
      <c r="Q3599" s="1295"/>
      <c r="R3599" s="848"/>
      <c r="S3599" s="848"/>
      <c r="T3599" s="848"/>
      <c r="U3599" s="848"/>
      <c r="V3599" s="1296"/>
      <c r="W3599" s="848"/>
      <c r="X3599" s="848"/>
      <c r="Y3599" s="1295"/>
      <c r="Z3599" s="1296"/>
      <c r="AA3599" s="1295"/>
      <c r="AB3599" s="1296"/>
      <c r="AC3599" s="1295"/>
      <c r="AD3599" s="1295"/>
      <c r="AE3599" s="2556"/>
      <c r="AF3599" s="750"/>
      <c r="AG3599" s="750"/>
      <c r="AH3599" s="750"/>
      <c r="AI3599" s="750"/>
      <c r="AJ3599" s="750"/>
      <c r="AK3599" s="750"/>
      <c r="AL3599" s="750"/>
      <c r="AM3599" s="750"/>
      <c r="AN3599" s="750"/>
      <c r="AO3599" s="750"/>
      <c r="AP3599" s="750"/>
      <c r="AQ3599" s="750"/>
      <c r="AR3599" s="750"/>
      <c r="AS3599" s="750"/>
      <c r="AT3599" s="750"/>
      <c r="AU3599" s="750"/>
      <c r="AV3599" s="750"/>
      <c r="AW3599" s="750"/>
      <c r="AX3599" s="750"/>
      <c r="AY3599" s="750"/>
      <c r="AZ3599" s="750"/>
      <c r="BA3599" s="750"/>
      <c r="BB3599" s="750"/>
      <c r="BC3599" s="750"/>
      <c r="BD3599" s="750"/>
      <c r="BE3599" s="750"/>
      <c r="BF3599" s="750"/>
      <c r="BG3599" s="750"/>
      <c r="BH3599" s="750"/>
      <c r="BI3599" s="750"/>
      <c r="BJ3599" s="750"/>
      <c r="BK3599" s="750"/>
      <c r="BL3599" s="750"/>
      <c r="BM3599" s="750"/>
      <c r="BN3599" s="750"/>
      <c r="BO3599" s="750"/>
      <c r="BP3599" s="750"/>
      <c r="BQ3599" s="750"/>
    </row>
    <row r="3600" spans="3:69">
      <c r="C3600" s="853"/>
      <c r="D3600" s="853"/>
      <c r="E3600" s="853"/>
      <c r="F3600" s="853"/>
      <c r="G3600" s="853"/>
      <c r="H3600" s="853"/>
      <c r="I3600" s="848"/>
      <c r="J3600" s="848"/>
      <c r="K3600" s="1295"/>
      <c r="L3600" s="1295"/>
      <c r="M3600" s="1295"/>
      <c r="N3600" s="1295"/>
      <c r="O3600" s="1295"/>
      <c r="P3600" s="853"/>
      <c r="Q3600" s="1295"/>
      <c r="R3600" s="848"/>
      <c r="S3600" s="848"/>
      <c r="T3600" s="848"/>
      <c r="U3600" s="848"/>
      <c r="V3600" s="1296"/>
      <c r="W3600" s="848"/>
      <c r="X3600" s="848"/>
      <c r="Y3600" s="1295"/>
      <c r="Z3600" s="1296"/>
      <c r="AA3600" s="1295"/>
      <c r="AB3600" s="1296"/>
      <c r="AC3600" s="1295"/>
      <c r="AD3600" s="1295"/>
      <c r="AE3600" s="2556"/>
      <c r="AF3600" s="750"/>
      <c r="AG3600" s="750"/>
      <c r="AH3600" s="750"/>
      <c r="AI3600" s="750"/>
      <c r="AJ3600" s="750"/>
      <c r="AK3600" s="750"/>
      <c r="AL3600" s="750"/>
      <c r="AM3600" s="750"/>
      <c r="AN3600" s="750"/>
      <c r="AO3600" s="750"/>
      <c r="AP3600" s="750"/>
      <c r="AQ3600" s="750"/>
      <c r="AR3600" s="750"/>
      <c r="AS3600" s="750"/>
      <c r="AT3600" s="750"/>
      <c r="AU3600" s="750"/>
      <c r="AV3600" s="750"/>
      <c r="AW3600" s="750"/>
      <c r="AX3600" s="750"/>
      <c r="AY3600" s="750"/>
      <c r="AZ3600" s="750"/>
      <c r="BA3600" s="750"/>
      <c r="BB3600" s="750"/>
      <c r="BC3600" s="750"/>
      <c r="BD3600" s="750"/>
      <c r="BE3600" s="750"/>
      <c r="BF3600" s="750"/>
      <c r="BG3600" s="750"/>
      <c r="BH3600" s="750"/>
      <c r="BI3600" s="750"/>
      <c r="BJ3600" s="750"/>
      <c r="BK3600" s="750"/>
      <c r="BL3600" s="750"/>
      <c r="BM3600" s="750"/>
      <c r="BN3600" s="750"/>
      <c r="BO3600" s="750"/>
      <c r="BP3600" s="750"/>
      <c r="BQ3600" s="750"/>
    </row>
    <row r="3601" spans="3:69">
      <c r="C3601" s="853"/>
      <c r="D3601" s="853"/>
      <c r="E3601" s="853"/>
      <c r="F3601" s="853"/>
      <c r="G3601" s="853"/>
      <c r="H3601" s="853"/>
      <c r="I3601" s="848"/>
      <c r="J3601" s="848"/>
      <c r="K3601" s="1295"/>
      <c r="L3601" s="1295"/>
      <c r="M3601" s="1295"/>
      <c r="N3601" s="1295"/>
      <c r="O3601" s="1295"/>
      <c r="P3601" s="853"/>
      <c r="Q3601" s="1295"/>
      <c r="R3601" s="848"/>
      <c r="S3601" s="848"/>
      <c r="T3601" s="848"/>
      <c r="U3601" s="848"/>
      <c r="V3601" s="1296"/>
      <c r="W3601" s="848"/>
      <c r="X3601" s="848"/>
      <c r="Y3601" s="1295"/>
      <c r="Z3601" s="1296"/>
      <c r="AA3601" s="1295"/>
      <c r="AB3601" s="1296"/>
      <c r="AC3601" s="1295"/>
      <c r="AD3601" s="1295"/>
      <c r="AE3601" s="2556"/>
      <c r="AF3601" s="750"/>
      <c r="AG3601" s="750"/>
      <c r="AH3601" s="750"/>
      <c r="AI3601" s="750"/>
      <c r="AJ3601" s="750"/>
      <c r="AK3601" s="750"/>
      <c r="AL3601" s="750"/>
      <c r="AM3601" s="750"/>
      <c r="AN3601" s="750"/>
      <c r="AO3601" s="750"/>
      <c r="AP3601" s="750"/>
      <c r="AQ3601" s="750"/>
      <c r="AR3601" s="750"/>
      <c r="AS3601" s="750"/>
      <c r="AT3601" s="750"/>
      <c r="AU3601" s="750"/>
      <c r="AV3601" s="750"/>
      <c r="AW3601" s="750"/>
      <c r="AX3601" s="750"/>
      <c r="AY3601" s="750"/>
      <c r="AZ3601" s="750"/>
      <c r="BA3601" s="750"/>
      <c r="BB3601" s="750"/>
      <c r="BC3601" s="750"/>
      <c r="BD3601" s="750"/>
      <c r="BE3601" s="750"/>
      <c r="BF3601" s="750"/>
      <c r="BG3601" s="750"/>
      <c r="BH3601" s="750"/>
      <c r="BI3601" s="750"/>
      <c r="BJ3601" s="750"/>
      <c r="BK3601" s="750"/>
      <c r="BL3601" s="750"/>
      <c r="BM3601" s="750"/>
      <c r="BN3601" s="750"/>
      <c r="BO3601" s="750"/>
      <c r="BP3601" s="750"/>
      <c r="BQ3601" s="750"/>
    </row>
    <row r="3602" spans="3:69">
      <c r="C3602" s="853"/>
      <c r="D3602" s="853"/>
      <c r="E3602" s="853"/>
      <c r="F3602" s="853"/>
      <c r="G3602" s="853"/>
      <c r="H3602" s="853"/>
      <c r="I3602" s="848"/>
      <c r="J3602" s="848"/>
      <c r="K3602" s="1295"/>
      <c r="L3602" s="1295"/>
      <c r="M3602" s="1295"/>
      <c r="N3602" s="1295"/>
      <c r="O3602" s="1295"/>
      <c r="P3602" s="853"/>
      <c r="Q3602" s="1295"/>
      <c r="R3602" s="848"/>
      <c r="S3602" s="848"/>
      <c r="T3602" s="848"/>
      <c r="U3602" s="848"/>
      <c r="V3602" s="1296"/>
      <c r="W3602" s="848"/>
      <c r="X3602" s="848"/>
      <c r="Y3602" s="1295"/>
      <c r="Z3602" s="1296"/>
      <c r="AA3602" s="1295"/>
      <c r="AB3602" s="1296"/>
      <c r="AC3602" s="1295"/>
      <c r="AD3602" s="1295"/>
      <c r="AE3602" s="2556"/>
      <c r="AF3602" s="750"/>
      <c r="AG3602" s="750"/>
      <c r="AH3602" s="750"/>
      <c r="AI3602" s="750"/>
      <c r="AJ3602" s="750"/>
      <c r="AK3602" s="750"/>
      <c r="AL3602" s="750"/>
      <c r="AM3602" s="750"/>
      <c r="AN3602" s="750"/>
      <c r="AO3602" s="750"/>
      <c r="AP3602" s="750"/>
      <c r="AQ3602" s="750"/>
      <c r="AR3602" s="750"/>
      <c r="AS3602" s="750"/>
      <c r="AT3602" s="750"/>
      <c r="AU3602" s="750"/>
      <c r="AV3602" s="750"/>
      <c r="AW3602" s="750"/>
      <c r="AX3602" s="750"/>
      <c r="AY3602" s="750"/>
      <c r="AZ3602" s="750"/>
      <c r="BA3602" s="750"/>
      <c r="BB3602" s="750"/>
      <c r="BC3602" s="750"/>
      <c r="BD3602" s="750"/>
      <c r="BE3602" s="750"/>
      <c r="BF3602" s="750"/>
      <c r="BG3602" s="750"/>
      <c r="BH3602" s="750"/>
      <c r="BI3602" s="750"/>
      <c r="BJ3602" s="750"/>
      <c r="BK3602" s="750"/>
      <c r="BL3602" s="750"/>
      <c r="BM3602" s="750"/>
      <c r="BN3602" s="750"/>
      <c r="BO3602" s="750"/>
      <c r="BP3602" s="750"/>
      <c r="BQ3602" s="750"/>
    </row>
    <row r="3603" spans="3:69">
      <c r="C3603" s="853"/>
      <c r="D3603" s="853"/>
      <c r="E3603" s="853"/>
      <c r="F3603" s="853"/>
      <c r="G3603" s="853"/>
      <c r="H3603" s="853"/>
      <c r="I3603" s="848"/>
      <c r="J3603" s="848"/>
      <c r="K3603" s="1295"/>
      <c r="L3603" s="1295"/>
      <c r="M3603" s="1295"/>
      <c r="N3603" s="1295"/>
      <c r="O3603" s="1295"/>
      <c r="P3603" s="853"/>
      <c r="Q3603" s="1295"/>
      <c r="R3603" s="848"/>
      <c r="S3603" s="848"/>
      <c r="T3603" s="848"/>
      <c r="U3603" s="848"/>
      <c r="V3603" s="1296"/>
      <c r="W3603" s="848"/>
      <c r="X3603" s="848"/>
      <c r="Y3603" s="1295"/>
      <c r="Z3603" s="1296"/>
      <c r="AA3603" s="1295"/>
      <c r="AB3603" s="1296"/>
      <c r="AC3603" s="1295"/>
      <c r="AD3603" s="1295"/>
      <c r="AE3603" s="2556"/>
      <c r="AF3603" s="750"/>
      <c r="AG3603" s="750"/>
      <c r="AH3603" s="750"/>
      <c r="AI3603" s="750"/>
      <c r="AJ3603" s="750"/>
      <c r="AK3603" s="750"/>
      <c r="AL3603" s="750"/>
      <c r="AM3603" s="750"/>
      <c r="AN3603" s="750"/>
      <c r="AO3603" s="750"/>
      <c r="AP3603" s="750"/>
      <c r="AQ3603" s="750"/>
      <c r="AR3603" s="750"/>
      <c r="AS3603" s="750"/>
      <c r="AT3603" s="750"/>
      <c r="AU3603" s="750"/>
      <c r="AV3603" s="750"/>
      <c r="AW3603" s="750"/>
      <c r="AX3603" s="750"/>
      <c r="AY3603" s="750"/>
      <c r="AZ3603" s="750"/>
      <c r="BA3603" s="750"/>
      <c r="BB3603" s="750"/>
      <c r="BC3603" s="750"/>
      <c r="BD3603" s="750"/>
      <c r="BE3603" s="750"/>
      <c r="BF3603" s="750"/>
      <c r="BG3603" s="750"/>
      <c r="BH3603" s="750"/>
      <c r="BI3603" s="750"/>
      <c r="BJ3603" s="750"/>
      <c r="BK3603" s="750"/>
      <c r="BL3603" s="750"/>
      <c r="BM3603" s="750"/>
      <c r="BN3603" s="750"/>
      <c r="BO3603" s="750"/>
      <c r="BP3603" s="750"/>
      <c r="BQ3603" s="750"/>
    </row>
    <row r="3604" spans="3:69">
      <c r="C3604" s="853"/>
      <c r="D3604" s="853"/>
      <c r="E3604" s="853"/>
      <c r="F3604" s="853"/>
      <c r="G3604" s="853"/>
      <c r="H3604" s="853"/>
      <c r="I3604" s="848"/>
      <c r="J3604" s="848"/>
      <c r="K3604" s="1295"/>
      <c r="L3604" s="1295"/>
      <c r="M3604" s="1295"/>
      <c r="N3604" s="1295"/>
      <c r="O3604" s="1295"/>
      <c r="P3604" s="853"/>
      <c r="Q3604" s="1295"/>
      <c r="R3604" s="848"/>
      <c r="S3604" s="848"/>
      <c r="T3604" s="848"/>
      <c r="U3604" s="848"/>
      <c r="V3604" s="1296"/>
      <c r="W3604" s="848"/>
      <c r="X3604" s="848"/>
      <c r="Y3604" s="1295"/>
      <c r="Z3604" s="1296"/>
      <c r="AA3604" s="1295"/>
      <c r="AB3604" s="1296"/>
      <c r="AC3604" s="1295"/>
      <c r="AD3604" s="1295"/>
      <c r="AE3604" s="2556"/>
      <c r="AF3604" s="750"/>
      <c r="AG3604" s="750"/>
      <c r="AH3604" s="750"/>
      <c r="AI3604" s="750"/>
      <c r="AJ3604" s="750"/>
      <c r="AK3604" s="750"/>
      <c r="AL3604" s="750"/>
      <c r="AM3604" s="750"/>
      <c r="AN3604" s="750"/>
      <c r="AO3604" s="750"/>
      <c r="AP3604" s="750"/>
      <c r="AQ3604" s="750"/>
      <c r="AR3604" s="750"/>
      <c r="AS3604" s="750"/>
      <c r="AT3604" s="750"/>
      <c r="AU3604" s="750"/>
      <c r="AV3604" s="750"/>
      <c r="AW3604" s="750"/>
      <c r="AX3604" s="750"/>
      <c r="AY3604" s="750"/>
      <c r="AZ3604" s="750"/>
      <c r="BA3604" s="750"/>
      <c r="BB3604" s="750"/>
      <c r="BC3604" s="750"/>
      <c r="BD3604" s="750"/>
      <c r="BE3604" s="750"/>
      <c r="BF3604" s="750"/>
      <c r="BG3604" s="750"/>
      <c r="BH3604" s="750"/>
      <c r="BI3604" s="750"/>
      <c r="BJ3604" s="750"/>
      <c r="BK3604" s="750"/>
      <c r="BL3604" s="750"/>
      <c r="BM3604" s="750"/>
      <c r="BN3604" s="750"/>
      <c r="BO3604" s="750"/>
      <c r="BP3604" s="750"/>
      <c r="BQ3604" s="750"/>
    </row>
    <row r="3605" spans="3:69">
      <c r="C3605" s="853"/>
      <c r="D3605" s="853"/>
      <c r="E3605" s="853"/>
      <c r="F3605" s="853"/>
      <c r="G3605" s="853"/>
      <c r="H3605" s="853"/>
      <c r="I3605" s="848"/>
      <c r="J3605" s="848"/>
      <c r="K3605" s="1295"/>
      <c r="L3605" s="1295"/>
      <c r="M3605" s="1295"/>
      <c r="N3605" s="1295"/>
      <c r="O3605" s="1295"/>
      <c r="P3605" s="853"/>
      <c r="Q3605" s="1295"/>
      <c r="R3605" s="848"/>
      <c r="S3605" s="848"/>
      <c r="T3605" s="848"/>
      <c r="U3605" s="848"/>
      <c r="V3605" s="1296"/>
      <c r="W3605" s="848"/>
      <c r="X3605" s="848"/>
      <c r="Y3605" s="1295"/>
      <c r="Z3605" s="1296"/>
      <c r="AA3605" s="1295"/>
      <c r="AB3605" s="1296"/>
      <c r="AC3605" s="1295"/>
      <c r="AD3605" s="1295"/>
      <c r="AE3605" s="2556"/>
      <c r="AF3605" s="750"/>
      <c r="AG3605" s="750"/>
      <c r="AH3605" s="750"/>
      <c r="AI3605" s="750"/>
      <c r="AJ3605" s="750"/>
      <c r="AK3605" s="750"/>
      <c r="AL3605" s="750"/>
      <c r="AM3605" s="750"/>
      <c r="AN3605" s="750"/>
      <c r="AO3605" s="750"/>
      <c r="AP3605" s="750"/>
      <c r="AQ3605" s="750"/>
      <c r="AR3605" s="750"/>
      <c r="AS3605" s="750"/>
      <c r="AT3605" s="750"/>
      <c r="AU3605" s="750"/>
      <c r="AV3605" s="750"/>
      <c r="AW3605" s="750"/>
      <c r="AX3605" s="750"/>
      <c r="AY3605" s="750"/>
      <c r="AZ3605" s="750"/>
      <c r="BA3605" s="750"/>
      <c r="BB3605" s="750"/>
      <c r="BC3605" s="750"/>
      <c r="BD3605" s="750"/>
      <c r="BE3605" s="750"/>
      <c r="BF3605" s="750"/>
      <c r="BG3605" s="750"/>
      <c r="BH3605" s="750"/>
      <c r="BI3605" s="750"/>
      <c r="BJ3605" s="750"/>
      <c r="BK3605" s="750"/>
      <c r="BL3605" s="750"/>
      <c r="BM3605" s="750"/>
      <c r="BN3605" s="750"/>
      <c r="BO3605" s="750"/>
      <c r="BP3605" s="750"/>
      <c r="BQ3605" s="750"/>
    </row>
    <row r="3606" spans="3:69">
      <c r="C3606" s="853"/>
      <c r="D3606" s="853"/>
      <c r="E3606" s="853"/>
      <c r="F3606" s="853"/>
      <c r="G3606" s="853"/>
      <c r="H3606" s="853"/>
      <c r="I3606" s="848"/>
      <c r="J3606" s="848"/>
      <c r="K3606" s="1295"/>
      <c r="L3606" s="1295"/>
      <c r="M3606" s="1295"/>
      <c r="N3606" s="1295"/>
      <c r="O3606" s="1295"/>
      <c r="P3606" s="853"/>
      <c r="Q3606" s="1295"/>
      <c r="R3606" s="848"/>
      <c r="S3606" s="848"/>
      <c r="T3606" s="848"/>
      <c r="U3606" s="848"/>
      <c r="V3606" s="1296"/>
      <c r="W3606" s="848"/>
      <c r="X3606" s="848"/>
      <c r="Y3606" s="1295"/>
      <c r="Z3606" s="1296"/>
      <c r="AA3606" s="1295"/>
      <c r="AB3606" s="1296"/>
      <c r="AC3606" s="1295"/>
      <c r="AD3606" s="1295"/>
      <c r="AE3606" s="2556"/>
      <c r="AF3606" s="750"/>
      <c r="AG3606" s="750"/>
      <c r="AH3606" s="750"/>
      <c r="AI3606" s="750"/>
      <c r="AJ3606" s="750"/>
      <c r="AK3606" s="750"/>
      <c r="AL3606" s="750"/>
      <c r="AM3606" s="750"/>
      <c r="AN3606" s="750"/>
      <c r="AO3606" s="750"/>
      <c r="AP3606" s="750"/>
      <c r="AQ3606" s="750"/>
      <c r="AR3606" s="750"/>
      <c r="AS3606" s="750"/>
      <c r="AT3606" s="750"/>
      <c r="AU3606" s="750"/>
      <c r="AV3606" s="750"/>
      <c r="AW3606" s="750"/>
      <c r="AX3606" s="750"/>
      <c r="AY3606" s="750"/>
      <c r="AZ3606" s="750"/>
      <c r="BA3606" s="750"/>
      <c r="BB3606" s="750"/>
      <c r="BC3606" s="750"/>
      <c r="BD3606" s="750"/>
      <c r="BE3606" s="750"/>
      <c r="BF3606" s="750"/>
      <c r="BG3606" s="750"/>
      <c r="BH3606" s="750"/>
      <c r="BI3606" s="750"/>
      <c r="BJ3606" s="750"/>
      <c r="BK3606" s="750"/>
      <c r="BL3606" s="750"/>
      <c r="BM3606" s="750"/>
      <c r="BN3606" s="750"/>
      <c r="BO3606" s="750"/>
      <c r="BP3606" s="750"/>
      <c r="BQ3606" s="750"/>
    </row>
    <row r="3607" spans="3:69">
      <c r="C3607" s="853"/>
      <c r="D3607" s="853"/>
      <c r="E3607" s="853"/>
      <c r="F3607" s="853"/>
      <c r="G3607" s="853"/>
      <c r="H3607" s="853"/>
      <c r="I3607" s="848"/>
      <c r="J3607" s="848"/>
      <c r="K3607" s="1295"/>
      <c r="L3607" s="1295"/>
      <c r="M3607" s="1295"/>
      <c r="N3607" s="1295"/>
      <c r="O3607" s="1295"/>
      <c r="P3607" s="853"/>
      <c r="Q3607" s="1295"/>
      <c r="R3607" s="848"/>
      <c r="S3607" s="848"/>
      <c r="T3607" s="848"/>
      <c r="U3607" s="848"/>
      <c r="V3607" s="1296"/>
      <c r="W3607" s="848"/>
      <c r="X3607" s="848"/>
      <c r="Y3607" s="1295"/>
      <c r="Z3607" s="1296"/>
      <c r="AA3607" s="1295"/>
      <c r="AB3607" s="1296"/>
      <c r="AC3607" s="1295"/>
      <c r="AD3607" s="1295"/>
      <c r="AE3607" s="2556"/>
      <c r="AF3607" s="750"/>
      <c r="AG3607" s="750"/>
      <c r="AH3607" s="750"/>
      <c r="AI3607" s="750"/>
      <c r="AJ3607" s="750"/>
      <c r="AK3607" s="750"/>
      <c r="AL3607" s="750"/>
      <c r="AM3607" s="750"/>
      <c r="AN3607" s="750"/>
      <c r="AO3607" s="750"/>
      <c r="AP3607" s="750"/>
      <c r="AQ3607" s="750"/>
      <c r="AR3607" s="750"/>
      <c r="AS3607" s="750"/>
      <c r="AT3607" s="750"/>
      <c r="AU3607" s="750"/>
      <c r="AV3607" s="750"/>
      <c r="AW3607" s="750"/>
      <c r="AX3607" s="750"/>
      <c r="AY3607" s="750"/>
      <c r="AZ3607" s="750"/>
      <c r="BA3607" s="750"/>
      <c r="BB3607" s="750"/>
      <c r="BC3607" s="750"/>
      <c r="BD3607" s="750"/>
      <c r="BE3607" s="750"/>
      <c r="BF3607" s="750"/>
      <c r="BG3607" s="750"/>
      <c r="BH3607" s="750"/>
      <c r="BI3607" s="750"/>
      <c r="BJ3607" s="750"/>
      <c r="BK3607" s="750"/>
      <c r="BL3607" s="750"/>
      <c r="BM3607" s="750"/>
      <c r="BN3607" s="750"/>
      <c r="BO3607" s="750"/>
      <c r="BP3607" s="750"/>
      <c r="BQ3607" s="750"/>
    </row>
    <row r="3608" spans="3:69">
      <c r="C3608" s="853"/>
      <c r="D3608" s="853"/>
      <c r="E3608" s="853"/>
      <c r="F3608" s="853"/>
      <c r="G3608" s="853"/>
      <c r="H3608" s="853"/>
      <c r="I3608" s="848"/>
      <c r="J3608" s="848"/>
      <c r="K3608" s="1295"/>
      <c r="L3608" s="1295"/>
      <c r="M3608" s="1295"/>
      <c r="N3608" s="1295"/>
      <c r="O3608" s="1295"/>
      <c r="P3608" s="853"/>
      <c r="Q3608" s="1295"/>
      <c r="R3608" s="848"/>
      <c r="S3608" s="848"/>
      <c r="T3608" s="848"/>
      <c r="U3608" s="848"/>
      <c r="V3608" s="1296"/>
      <c r="W3608" s="848"/>
      <c r="X3608" s="848"/>
      <c r="Y3608" s="1295"/>
      <c r="Z3608" s="1296"/>
      <c r="AA3608" s="1295"/>
      <c r="AB3608" s="1296"/>
      <c r="AC3608" s="1295"/>
      <c r="AD3608" s="1295"/>
      <c r="AE3608" s="2556"/>
      <c r="AF3608" s="750"/>
      <c r="AG3608" s="750"/>
      <c r="AH3608" s="750"/>
      <c r="AI3608" s="750"/>
      <c r="AJ3608" s="750"/>
      <c r="AK3608" s="750"/>
      <c r="AL3608" s="750"/>
      <c r="AM3608" s="750"/>
      <c r="AN3608" s="750"/>
      <c r="AO3608" s="750"/>
      <c r="AP3608" s="750"/>
      <c r="AQ3608" s="750"/>
      <c r="AR3608" s="750"/>
      <c r="AS3608" s="750"/>
      <c r="AT3608" s="750"/>
      <c r="AU3608" s="750"/>
      <c r="AV3608" s="750"/>
      <c r="AW3608" s="750"/>
      <c r="AX3608" s="750"/>
      <c r="AY3608" s="750"/>
      <c r="AZ3608" s="750"/>
      <c r="BA3608" s="750"/>
      <c r="BB3608" s="750"/>
      <c r="BC3608" s="750"/>
      <c r="BD3608" s="750"/>
      <c r="BE3608" s="750"/>
      <c r="BF3608" s="750"/>
      <c r="BG3608" s="750"/>
      <c r="BH3608" s="750"/>
      <c r="BI3608" s="750"/>
      <c r="BJ3608" s="750"/>
      <c r="BK3608" s="750"/>
      <c r="BL3608" s="750"/>
      <c r="BM3608" s="750"/>
      <c r="BN3608" s="750"/>
      <c r="BO3608" s="750"/>
      <c r="BP3608" s="750"/>
      <c r="BQ3608" s="750"/>
    </row>
    <row r="3609" spans="3:69">
      <c r="C3609" s="853"/>
      <c r="D3609" s="853"/>
      <c r="E3609" s="853"/>
      <c r="F3609" s="853"/>
      <c r="G3609" s="853"/>
      <c r="H3609" s="853"/>
      <c r="I3609" s="848"/>
      <c r="J3609" s="848"/>
      <c r="K3609" s="1295"/>
      <c r="L3609" s="1295"/>
      <c r="M3609" s="1295"/>
      <c r="N3609" s="1295"/>
      <c r="O3609" s="1295"/>
      <c r="P3609" s="853"/>
      <c r="Q3609" s="1295"/>
      <c r="R3609" s="848"/>
      <c r="S3609" s="848"/>
      <c r="T3609" s="848"/>
      <c r="U3609" s="848"/>
      <c r="V3609" s="1296"/>
      <c r="W3609" s="848"/>
      <c r="X3609" s="848"/>
      <c r="Y3609" s="1295"/>
      <c r="Z3609" s="1296"/>
      <c r="AA3609" s="1295"/>
      <c r="AB3609" s="1296"/>
      <c r="AC3609" s="1295"/>
      <c r="AD3609" s="1295"/>
      <c r="AE3609" s="2556"/>
      <c r="AF3609" s="750"/>
      <c r="AG3609" s="750"/>
      <c r="AH3609" s="750"/>
      <c r="AI3609" s="750"/>
      <c r="AJ3609" s="750"/>
      <c r="AK3609" s="750"/>
      <c r="AL3609" s="750"/>
      <c r="AM3609" s="750"/>
      <c r="AN3609" s="750"/>
      <c r="AO3609" s="750"/>
      <c r="AP3609" s="750"/>
      <c r="AQ3609" s="750"/>
      <c r="AR3609" s="750"/>
      <c r="AS3609" s="750"/>
      <c r="AT3609" s="750"/>
      <c r="AU3609" s="750"/>
      <c r="AV3609" s="750"/>
      <c r="AW3609" s="750"/>
      <c r="AX3609" s="750"/>
      <c r="AY3609" s="750"/>
      <c r="AZ3609" s="750"/>
      <c r="BA3609" s="750"/>
      <c r="BB3609" s="750"/>
      <c r="BC3609" s="750"/>
      <c r="BD3609" s="750"/>
      <c r="BE3609" s="750"/>
      <c r="BF3609" s="750"/>
      <c r="BG3609" s="750"/>
      <c r="BH3609" s="750"/>
      <c r="BI3609" s="750"/>
      <c r="BJ3609" s="750"/>
      <c r="BK3609" s="750"/>
      <c r="BL3609" s="750"/>
      <c r="BM3609" s="750"/>
      <c r="BN3609" s="750"/>
      <c r="BO3609" s="750"/>
      <c r="BP3609" s="750"/>
      <c r="BQ3609" s="750"/>
    </row>
    <row r="3610" spans="3:69">
      <c r="C3610" s="853"/>
      <c r="D3610" s="853"/>
      <c r="E3610" s="853"/>
      <c r="F3610" s="853"/>
      <c r="G3610" s="853"/>
      <c r="H3610" s="853"/>
      <c r="I3610" s="848"/>
      <c r="J3610" s="848"/>
      <c r="K3610" s="1295"/>
      <c r="L3610" s="1295"/>
      <c r="M3610" s="1295"/>
      <c r="N3610" s="1295"/>
      <c r="O3610" s="1295"/>
      <c r="P3610" s="853"/>
      <c r="Q3610" s="1295"/>
      <c r="R3610" s="848"/>
      <c r="S3610" s="848"/>
      <c r="T3610" s="848"/>
      <c r="U3610" s="848"/>
      <c r="V3610" s="1296"/>
      <c r="W3610" s="848"/>
      <c r="X3610" s="848"/>
      <c r="Y3610" s="1295"/>
      <c r="Z3610" s="1296"/>
      <c r="AA3610" s="1295"/>
      <c r="AB3610" s="1296"/>
      <c r="AC3610" s="1295"/>
      <c r="AD3610" s="1295"/>
      <c r="AE3610" s="2556"/>
      <c r="AF3610" s="750"/>
      <c r="AG3610" s="750"/>
      <c r="AH3610" s="750"/>
      <c r="AI3610" s="750"/>
      <c r="AJ3610" s="750"/>
      <c r="AK3610" s="750"/>
      <c r="AL3610" s="750"/>
      <c r="AM3610" s="750"/>
      <c r="AN3610" s="750"/>
      <c r="AO3610" s="750"/>
      <c r="AP3610" s="750"/>
      <c r="AQ3610" s="750"/>
      <c r="AR3610" s="750"/>
      <c r="AS3610" s="750"/>
      <c r="AT3610" s="750"/>
      <c r="AU3610" s="750"/>
      <c r="AV3610" s="750"/>
      <c r="AW3610" s="750"/>
      <c r="AX3610" s="750"/>
      <c r="AY3610" s="750"/>
      <c r="AZ3610" s="750"/>
      <c r="BA3610" s="750"/>
      <c r="BB3610" s="750"/>
      <c r="BC3610" s="750"/>
      <c r="BD3610" s="750"/>
      <c r="BE3610" s="750"/>
      <c r="BF3610" s="750"/>
      <c r="BG3610" s="750"/>
      <c r="BH3610" s="750"/>
      <c r="BI3610" s="750"/>
      <c r="BJ3610" s="750"/>
      <c r="BK3610" s="750"/>
      <c r="BL3610" s="750"/>
      <c r="BM3610" s="750"/>
      <c r="BN3610" s="750"/>
      <c r="BO3610" s="750"/>
      <c r="BP3610" s="750"/>
      <c r="BQ3610" s="750"/>
    </row>
    <row r="3611" spans="3:69">
      <c r="C3611" s="853"/>
      <c r="D3611" s="853"/>
      <c r="E3611" s="853"/>
      <c r="F3611" s="853"/>
      <c r="G3611" s="853"/>
      <c r="H3611" s="853"/>
      <c r="I3611" s="848"/>
      <c r="J3611" s="848"/>
      <c r="K3611" s="1295"/>
      <c r="L3611" s="1295"/>
      <c r="M3611" s="1295"/>
      <c r="N3611" s="1295"/>
      <c r="O3611" s="1295"/>
      <c r="P3611" s="853"/>
      <c r="Q3611" s="1295"/>
      <c r="R3611" s="848"/>
      <c r="S3611" s="848"/>
      <c r="T3611" s="848"/>
      <c r="U3611" s="848"/>
      <c r="V3611" s="1296"/>
      <c r="W3611" s="848"/>
      <c r="X3611" s="848"/>
      <c r="Y3611" s="1295"/>
      <c r="Z3611" s="1296"/>
      <c r="AA3611" s="1295"/>
      <c r="AB3611" s="1296"/>
      <c r="AC3611" s="1295"/>
      <c r="AD3611" s="1295"/>
      <c r="AE3611" s="2556"/>
      <c r="AF3611" s="750"/>
      <c r="AG3611" s="750"/>
      <c r="AH3611" s="750"/>
      <c r="AI3611" s="750"/>
      <c r="AJ3611" s="750"/>
      <c r="AK3611" s="750"/>
      <c r="AL3611" s="750"/>
      <c r="AM3611" s="750"/>
      <c r="AN3611" s="750"/>
      <c r="AO3611" s="750"/>
      <c r="AP3611" s="750"/>
      <c r="AQ3611" s="750"/>
      <c r="AR3611" s="750"/>
      <c r="AS3611" s="750"/>
      <c r="AT3611" s="750"/>
      <c r="AU3611" s="750"/>
      <c r="AV3611" s="750"/>
      <c r="AW3611" s="750"/>
      <c r="AX3611" s="750"/>
      <c r="AY3611" s="750"/>
      <c r="AZ3611" s="750"/>
      <c r="BA3611" s="750"/>
      <c r="BB3611" s="750"/>
      <c r="BC3611" s="750"/>
      <c r="BD3611" s="750"/>
      <c r="BE3611" s="750"/>
      <c r="BF3611" s="750"/>
      <c r="BG3611" s="750"/>
      <c r="BH3611" s="750"/>
      <c r="BI3611" s="750"/>
      <c r="BJ3611" s="750"/>
      <c r="BK3611" s="750"/>
      <c r="BL3611" s="750"/>
      <c r="BM3611" s="750"/>
      <c r="BN3611" s="750"/>
      <c r="BO3611" s="750"/>
      <c r="BP3611" s="750"/>
      <c r="BQ3611" s="750"/>
    </row>
    <row r="3612" spans="3:69">
      <c r="C3612" s="853"/>
      <c r="D3612" s="853"/>
      <c r="E3612" s="853"/>
      <c r="F3612" s="853"/>
      <c r="G3612" s="853"/>
      <c r="H3612" s="853"/>
      <c r="I3612" s="848"/>
      <c r="J3612" s="848"/>
      <c r="K3612" s="1295"/>
      <c r="L3612" s="1295"/>
      <c r="M3612" s="1295"/>
      <c r="N3612" s="1295"/>
      <c r="O3612" s="1295"/>
      <c r="P3612" s="853"/>
      <c r="Q3612" s="1295"/>
      <c r="R3612" s="848"/>
      <c r="S3612" s="848"/>
      <c r="T3612" s="848"/>
      <c r="U3612" s="848"/>
      <c r="V3612" s="1296"/>
      <c r="W3612" s="848"/>
      <c r="X3612" s="848"/>
      <c r="Y3612" s="1295"/>
      <c r="Z3612" s="1296"/>
      <c r="AA3612" s="1295"/>
      <c r="AB3612" s="1296"/>
      <c r="AC3612" s="1295"/>
      <c r="AD3612" s="1295"/>
      <c r="AE3612" s="2556"/>
      <c r="AF3612" s="750"/>
      <c r="AG3612" s="750"/>
      <c r="AH3612" s="750"/>
      <c r="AI3612" s="750"/>
      <c r="AJ3612" s="750"/>
      <c r="AK3612" s="750"/>
      <c r="AL3612" s="750"/>
      <c r="AM3612" s="750"/>
      <c r="AN3612" s="750"/>
      <c r="AO3612" s="750"/>
      <c r="AP3612" s="750"/>
      <c r="AQ3612" s="750"/>
      <c r="AR3612" s="750"/>
      <c r="AS3612" s="750"/>
      <c r="AT3612" s="750"/>
      <c r="AU3612" s="750"/>
      <c r="AV3612" s="750"/>
      <c r="AW3612" s="750"/>
      <c r="AX3612" s="750"/>
      <c r="AY3612" s="750"/>
      <c r="AZ3612" s="750"/>
      <c r="BA3612" s="750"/>
      <c r="BB3612" s="750"/>
      <c r="BC3612" s="750"/>
      <c r="BD3612" s="750"/>
      <c r="BE3612" s="750"/>
      <c r="BF3612" s="750"/>
      <c r="BG3612" s="750"/>
      <c r="BH3612" s="750"/>
      <c r="BI3612" s="750"/>
      <c r="BJ3612" s="750"/>
      <c r="BK3612" s="750"/>
      <c r="BL3612" s="750"/>
      <c r="BM3612" s="750"/>
      <c r="BN3612" s="750"/>
      <c r="BO3612" s="750"/>
      <c r="BP3612" s="750"/>
      <c r="BQ3612" s="750"/>
    </row>
    <row r="3613" spans="3:69">
      <c r="C3613" s="853"/>
      <c r="D3613" s="853"/>
      <c r="E3613" s="853"/>
      <c r="F3613" s="853"/>
      <c r="G3613" s="853"/>
      <c r="H3613" s="853"/>
      <c r="I3613" s="848"/>
      <c r="J3613" s="848"/>
      <c r="K3613" s="1295"/>
      <c r="L3613" s="1295"/>
      <c r="M3613" s="1295"/>
      <c r="N3613" s="1295"/>
      <c r="O3613" s="1295"/>
      <c r="P3613" s="853"/>
      <c r="Q3613" s="1295"/>
      <c r="R3613" s="848"/>
      <c r="S3613" s="848"/>
      <c r="T3613" s="848"/>
      <c r="U3613" s="848"/>
      <c r="V3613" s="1296"/>
      <c r="W3613" s="848"/>
      <c r="X3613" s="848"/>
      <c r="Y3613" s="1295"/>
      <c r="Z3613" s="1296"/>
      <c r="AA3613" s="1295"/>
      <c r="AB3613" s="1296"/>
      <c r="AC3613" s="1295"/>
      <c r="AD3613" s="1295"/>
      <c r="AE3613" s="2556"/>
      <c r="AF3613" s="750"/>
      <c r="AG3613" s="750"/>
      <c r="AH3613" s="750"/>
      <c r="AI3613" s="750"/>
      <c r="AJ3613" s="750"/>
      <c r="AK3613" s="750"/>
      <c r="AL3613" s="750"/>
      <c r="AM3613" s="750"/>
      <c r="AN3613" s="750"/>
      <c r="AO3613" s="750"/>
      <c r="AP3613" s="750"/>
      <c r="AQ3613" s="750"/>
      <c r="AR3613" s="750"/>
      <c r="AS3613" s="750"/>
      <c r="AT3613" s="750"/>
      <c r="AU3613" s="750"/>
      <c r="AV3613" s="750"/>
      <c r="AW3613" s="750"/>
      <c r="AX3613" s="750"/>
      <c r="AY3613" s="750"/>
      <c r="AZ3613" s="750"/>
      <c r="BA3613" s="750"/>
      <c r="BB3613" s="750"/>
      <c r="BC3613" s="750"/>
      <c r="BD3613" s="750"/>
      <c r="BE3613" s="750"/>
      <c r="BF3613" s="750"/>
      <c r="BG3613" s="750"/>
      <c r="BH3613" s="750"/>
      <c r="BI3613" s="750"/>
      <c r="BJ3613" s="750"/>
      <c r="BK3613" s="750"/>
      <c r="BL3613" s="750"/>
      <c r="BM3613" s="750"/>
      <c r="BN3613" s="750"/>
      <c r="BO3613" s="750"/>
      <c r="BP3613" s="750"/>
      <c r="BQ3613" s="750"/>
    </row>
    <row r="3614" spans="3:69">
      <c r="C3614" s="853"/>
      <c r="D3614" s="853"/>
      <c r="E3614" s="853"/>
      <c r="F3614" s="853"/>
      <c r="G3614" s="853"/>
      <c r="H3614" s="853"/>
      <c r="I3614" s="848"/>
      <c r="J3614" s="848"/>
      <c r="K3614" s="1295"/>
      <c r="L3614" s="1295"/>
      <c r="M3614" s="1295"/>
      <c r="N3614" s="1295"/>
      <c r="O3614" s="1295"/>
      <c r="P3614" s="853"/>
      <c r="Q3614" s="1295"/>
      <c r="R3614" s="848"/>
      <c r="S3614" s="848"/>
      <c r="T3614" s="848"/>
      <c r="U3614" s="848"/>
      <c r="V3614" s="1296"/>
      <c r="W3614" s="848"/>
      <c r="X3614" s="848"/>
      <c r="Y3614" s="1295"/>
      <c r="Z3614" s="1296"/>
      <c r="AA3614" s="1295"/>
      <c r="AB3614" s="1296"/>
      <c r="AC3614" s="1295"/>
      <c r="AD3614" s="1295"/>
      <c r="AE3614" s="2556"/>
      <c r="AF3614" s="750"/>
      <c r="AG3614" s="750"/>
      <c r="AH3614" s="750"/>
      <c r="AI3614" s="750"/>
      <c r="AJ3614" s="750"/>
      <c r="AK3614" s="750"/>
      <c r="AL3614" s="750"/>
      <c r="AM3614" s="750"/>
      <c r="AN3614" s="750"/>
      <c r="AO3614" s="750"/>
      <c r="AP3614" s="750"/>
      <c r="AQ3614" s="750"/>
      <c r="AR3614" s="750"/>
      <c r="AS3614" s="750"/>
      <c r="AT3614" s="750"/>
      <c r="AU3614" s="750"/>
      <c r="AV3614" s="750"/>
      <c r="AW3614" s="750"/>
      <c r="AX3614" s="750"/>
      <c r="AY3614" s="750"/>
      <c r="AZ3614" s="750"/>
      <c r="BA3614" s="750"/>
      <c r="BB3614" s="750"/>
      <c r="BC3614" s="750"/>
      <c r="BD3614" s="750"/>
      <c r="BE3614" s="750"/>
      <c r="BF3614" s="750"/>
      <c r="BG3614" s="750"/>
      <c r="BH3614" s="750"/>
      <c r="BI3614" s="750"/>
      <c r="BJ3614" s="750"/>
      <c r="BK3614" s="750"/>
      <c r="BL3614" s="750"/>
      <c r="BM3614" s="750"/>
      <c r="BN3614" s="750"/>
      <c r="BO3614" s="750"/>
      <c r="BP3614" s="750"/>
      <c r="BQ3614" s="750"/>
    </row>
    <row r="3615" spans="3:69">
      <c r="C3615" s="853"/>
      <c r="D3615" s="853"/>
      <c r="E3615" s="853"/>
      <c r="F3615" s="853"/>
      <c r="G3615" s="853"/>
      <c r="H3615" s="853"/>
      <c r="I3615" s="848"/>
      <c r="J3615" s="848"/>
      <c r="K3615" s="1295"/>
      <c r="L3615" s="1295"/>
      <c r="M3615" s="1295"/>
      <c r="N3615" s="1295"/>
      <c r="O3615" s="1295"/>
      <c r="P3615" s="853"/>
      <c r="Q3615" s="1295"/>
      <c r="R3615" s="848"/>
      <c r="S3615" s="848"/>
      <c r="T3615" s="848"/>
      <c r="U3615" s="848"/>
      <c r="V3615" s="1296"/>
      <c r="W3615" s="848"/>
      <c r="X3615" s="848"/>
      <c r="Y3615" s="1295"/>
      <c r="Z3615" s="1296"/>
      <c r="AA3615" s="1295"/>
      <c r="AB3615" s="1296"/>
      <c r="AC3615" s="1295"/>
      <c r="AD3615" s="1295"/>
      <c r="AE3615" s="2556"/>
      <c r="AF3615" s="750"/>
      <c r="AG3615" s="750"/>
      <c r="AH3615" s="750"/>
      <c r="AI3615" s="750"/>
      <c r="AJ3615" s="750"/>
      <c r="AK3615" s="750"/>
      <c r="AL3615" s="750"/>
      <c r="AM3615" s="750"/>
      <c r="AN3615" s="750"/>
      <c r="AO3615" s="750"/>
      <c r="AP3615" s="750"/>
      <c r="AQ3615" s="750"/>
      <c r="AR3615" s="750"/>
      <c r="AS3615" s="750"/>
      <c r="AT3615" s="750"/>
      <c r="AU3615" s="750"/>
      <c r="AV3615" s="750"/>
      <c r="AW3615" s="750"/>
      <c r="AX3615" s="750"/>
      <c r="AY3615" s="750"/>
      <c r="AZ3615" s="750"/>
      <c r="BA3615" s="750"/>
      <c r="BB3615" s="750"/>
      <c r="BC3615" s="750"/>
      <c r="BD3615" s="750"/>
      <c r="BE3615" s="750"/>
      <c r="BF3615" s="750"/>
      <c r="BG3615" s="750"/>
      <c r="BH3615" s="750"/>
      <c r="BI3615" s="750"/>
      <c r="BJ3615" s="750"/>
      <c r="BK3615" s="750"/>
      <c r="BL3615" s="750"/>
      <c r="BM3615" s="750"/>
      <c r="BN3615" s="750"/>
      <c r="BO3615" s="750"/>
      <c r="BP3615" s="750"/>
      <c r="BQ3615" s="750"/>
    </row>
    <row r="3616" spans="3:69">
      <c r="C3616" s="853"/>
      <c r="D3616" s="853"/>
      <c r="E3616" s="853"/>
      <c r="F3616" s="853"/>
      <c r="G3616" s="853"/>
      <c r="H3616" s="853"/>
      <c r="I3616" s="848"/>
      <c r="J3616" s="848"/>
      <c r="K3616" s="1295"/>
      <c r="L3616" s="1295"/>
      <c r="M3616" s="1295"/>
      <c r="N3616" s="1295"/>
      <c r="O3616" s="1295"/>
      <c r="P3616" s="853"/>
      <c r="Q3616" s="1295"/>
      <c r="R3616" s="848"/>
      <c r="S3616" s="848"/>
      <c r="T3616" s="848"/>
      <c r="U3616" s="848"/>
      <c r="V3616" s="1296"/>
      <c r="W3616" s="848"/>
      <c r="X3616" s="848"/>
      <c r="Y3616" s="1295"/>
      <c r="Z3616" s="1296"/>
      <c r="AA3616" s="1295"/>
      <c r="AB3616" s="1296"/>
      <c r="AC3616" s="1295"/>
      <c r="AD3616" s="1295"/>
      <c r="AE3616" s="2556"/>
      <c r="AF3616" s="750"/>
      <c r="AG3616" s="750"/>
      <c r="AH3616" s="750"/>
      <c r="AI3616" s="750"/>
      <c r="AJ3616" s="750"/>
      <c r="AK3616" s="750"/>
      <c r="AL3616" s="750"/>
      <c r="AM3616" s="750"/>
      <c r="AN3616" s="750"/>
      <c r="AO3616" s="750"/>
      <c r="AP3616" s="750"/>
      <c r="AQ3616" s="750"/>
      <c r="AR3616" s="750"/>
      <c r="AS3616" s="750"/>
      <c r="AT3616" s="750"/>
      <c r="AU3616" s="750"/>
      <c r="AV3616" s="750"/>
      <c r="AW3616" s="750"/>
      <c r="AX3616" s="750"/>
      <c r="AY3616" s="750"/>
      <c r="AZ3616" s="750"/>
      <c r="BA3616" s="750"/>
      <c r="BB3616" s="750"/>
      <c r="BC3616" s="750"/>
      <c r="BD3616" s="750"/>
      <c r="BE3616" s="750"/>
      <c r="BF3616" s="750"/>
      <c r="BG3616" s="750"/>
      <c r="BH3616" s="750"/>
      <c r="BI3616" s="750"/>
      <c r="BJ3616" s="750"/>
      <c r="BK3616" s="750"/>
      <c r="BL3616" s="750"/>
      <c r="BM3616" s="750"/>
      <c r="BN3616" s="750"/>
      <c r="BO3616" s="750"/>
      <c r="BP3616" s="750"/>
      <c r="BQ3616" s="750"/>
    </row>
    <row r="3617" spans="3:69">
      <c r="C3617" s="853"/>
      <c r="D3617" s="853"/>
      <c r="E3617" s="853"/>
      <c r="F3617" s="853"/>
      <c r="G3617" s="853"/>
      <c r="H3617" s="853"/>
      <c r="I3617" s="848"/>
      <c r="J3617" s="848"/>
      <c r="K3617" s="1295"/>
      <c r="L3617" s="1295"/>
      <c r="M3617" s="1295"/>
      <c r="N3617" s="1295"/>
      <c r="O3617" s="1295"/>
      <c r="P3617" s="853"/>
      <c r="Q3617" s="1295"/>
      <c r="R3617" s="848"/>
      <c r="S3617" s="848"/>
      <c r="T3617" s="848"/>
      <c r="U3617" s="848"/>
      <c r="V3617" s="1296"/>
      <c r="W3617" s="848"/>
      <c r="X3617" s="848"/>
      <c r="Y3617" s="1295"/>
      <c r="Z3617" s="1296"/>
      <c r="AA3617" s="1295"/>
      <c r="AB3617" s="1296"/>
      <c r="AC3617" s="1295"/>
      <c r="AD3617" s="1295"/>
      <c r="AE3617" s="2556"/>
      <c r="AF3617" s="750"/>
      <c r="AG3617" s="750"/>
      <c r="AH3617" s="750"/>
      <c r="AI3617" s="750"/>
      <c r="AJ3617" s="750"/>
      <c r="AK3617" s="750"/>
      <c r="AL3617" s="750"/>
      <c r="AM3617" s="750"/>
      <c r="AN3617" s="750"/>
      <c r="AO3617" s="750"/>
      <c r="AP3617" s="750"/>
      <c r="AQ3617" s="750"/>
      <c r="AR3617" s="750"/>
      <c r="AS3617" s="750"/>
      <c r="AT3617" s="750"/>
      <c r="AU3617" s="750"/>
      <c r="AV3617" s="750"/>
      <c r="AW3617" s="750"/>
      <c r="AX3617" s="750"/>
      <c r="AY3617" s="750"/>
      <c r="AZ3617" s="750"/>
      <c r="BA3617" s="750"/>
      <c r="BB3617" s="750"/>
      <c r="BC3617" s="750"/>
      <c r="BD3617" s="750"/>
      <c r="BE3617" s="750"/>
      <c r="BF3617" s="750"/>
      <c r="BG3617" s="750"/>
      <c r="BH3617" s="750"/>
      <c r="BI3617" s="750"/>
      <c r="BJ3617" s="750"/>
      <c r="BK3617" s="750"/>
      <c r="BL3617" s="750"/>
      <c r="BM3617" s="750"/>
      <c r="BN3617" s="750"/>
      <c r="BO3617" s="750"/>
      <c r="BP3617" s="750"/>
      <c r="BQ3617" s="750"/>
    </row>
    <row r="3618" spans="3:69">
      <c r="C3618" s="853"/>
      <c r="D3618" s="853"/>
      <c r="E3618" s="853"/>
      <c r="F3618" s="853"/>
      <c r="G3618" s="853"/>
      <c r="H3618" s="853"/>
      <c r="I3618" s="848"/>
      <c r="J3618" s="848"/>
      <c r="K3618" s="1295"/>
      <c r="L3618" s="1295"/>
      <c r="M3618" s="1295"/>
      <c r="N3618" s="1295"/>
      <c r="O3618" s="1295"/>
      <c r="P3618" s="853"/>
      <c r="Q3618" s="1295"/>
      <c r="R3618" s="848"/>
      <c r="S3618" s="848"/>
      <c r="T3618" s="848"/>
      <c r="U3618" s="848"/>
      <c r="V3618" s="1296"/>
      <c r="W3618" s="848"/>
      <c r="X3618" s="848"/>
      <c r="Y3618" s="1295"/>
      <c r="Z3618" s="1296"/>
      <c r="AA3618" s="1295"/>
      <c r="AB3618" s="1296"/>
      <c r="AC3618" s="1295"/>
      <c r="AD3618" s="1295"/>
      <c r="AE3618" s="2556"/>
      <c r="AF3618" s="750"/>
      <c r="AG3618" s="750"/>
      <c r="AH3618" s="750"/>
      <c r="AI3618" s="750"/>
      <c r="AJ3618" s="750"/>
      <c r="AK3618" s="750"/>
      <c r="AL3618" s="750"/>
      <c r="AM3618" s="750"/>
      <c r="AN3618" s="750"/>
      <c r="AO3618" s="750"/>
      <c r="AP3618" s="750"/>
      <c r="AQ3618" s="750"/>
      <c r="AR3618" s="750"/>
      <c r="AS3618" s="750"/>
      <c r="AT3618" s="750"/>
      <c r="AU3618" s="750"/>
      <c r="AV3618" s="750"/>
      <c r="AW3618" s="750"/>
      <c r="AX3618" s="750"/>
      <c r="AY3618" s="750"/>
      <c r="AZ3618" s="750"/>
      <c r="BA3618" s="750"/>
      <c r="BB3618" s="750"/>
      <c r="BC3618" s="750"/>
      <c r="BD3618" s="750"/>
      <c r="BE3618" s="750"/>
      <c r="BF3618" s="750"/>
      <c r="BG3618" s="750"/>
      <c r="BH3618" s="750"/>
      <c r="BI3618" s="750"/>
      <c r="BJ3618" s="750"/>
      <c r="BK3618" s="750"/>
      <c r="BL3618" s="750"/>
      <c r="BM3618" s="750"/>
      <c r="BN3618" s="750"/>
      <c r="BO3618" s="750"/>
      <c r="BP3618" s="750"/>
      <c r="BQ3618" s="750"/>
    </row>
    <row r="3619" spans="3:69">
      <c r="C3619" s="853"/>
      <c r="D3619" s="853"/>
      <c r="E3619" s="853"/>
      <c r="F3619" s="853"/>
      <c r="G3619" s="853"/>
      <c r="H3619" s="853"/>
      <c r="I3619" s="848"/>
      <c r="J3619" s="848"/>
      <c r="K3619" s="1295"/>
      <c r="L3619" s="1295"/>
      <c r="M3619" s="1295"/>
      <c r="N3619" s="1295"/>
      <c r="O3619" s="1295"/>
      <c r="P3619" s="853"/>
      <c r="Q3619" s="1295"/>
      <c r="R3619" s="848"/>
      <c r="S3619" s="848"/>
      <c r="T3619" s="848"/>
      <c r="U3619" s="848"/>
      <c r="V3619" s="1296"/>
      <c r="W3619" s="848"/>
      <c r="X3619" s="848"/>
      <c r="Y3619" s="1295"/>
      <c r="Z3619" s="1296"/>
      <c r="AA3619" s="1295"/>
      <c r="AB3619" s="1296"/>
      <c r="AC3619" s="1295"/>
      <c r="AD3619" s="1295"/>
      <c r="AE3619" s="2556"/>
      <c r="AF3619" s="750"/>
      <c r="AG3619" s="750"/>
      <c r="AH3619" s="750"/>
      <c r="AI3619" s="750"/>
      <c r="AJ3619" s="750"/>
      <c r="AK3619" s="750"/>
      <c r="AL3619" s="750"/>
      <c r="AM3619" s="750"/>
      <c r="AN3619" s="750"/>
      <c r="AO3619" s="750"/>
      <c r="AP3619" s="750"/>
      <c r="AQ3619" s="750"/>
      <c r="AR3619" s="750"/>
      <c r="AS3619" s="750"/>
      <c r="AT3619" s="750"/>
      <c r="AU3619" s="750"/>
      <c r="AV3619" s="750"/>
      <c r="AW3619" s="750"/>
      <c r="AX3619" s="750"/>
      <c r="AY3619" s="750"/>
      <c r="AZ3619" s="750"/>
      <c r="BA3619" s="750"/>
      <c r="BB3619" s="750"/>
      <c r="BC3619" s="750"/>
      <c r="BD3619" s="750"/>
      <c r="BE3619" s="750"/>
      <c r="BF3619" s="750"/>
      <c r="BG3619" s="750"/>
      <c r="BH3619" s="750"/>
      <c r="BI3619" s="750"/>
      <c r="BJ3619" s="750"/>
      <c r="BK3619" s="750"/>
      <c r="BL3619" s="750"/>
      <c r="BM3619" s="750"/>
      <c r="BN3619" s="750"/>
      <c r="BO3619" s="750"/>
      <c r="BP3619" s="750"/>
      <c r="BQ3619" s="750"/>
    </row>
    <row r="3620" spans="3:69">
      <c r="C3620" s="853"/>
      <c r="D3620" s="853"/>
      <c r="E3620" s="853"/>
      <c r="F3620" s="853"/>
      <c r="G3620" s="853"/>
      <c r="H3620" s="853"/>
      <c r="I3620" s="848"/>
      <c r="J3620" s="848"/>
      <c r="K3620" s="1295"/>
      <c r="L3620" s="1295"/>
      <c r="M3620" s="1295"/>
      <c r="N3620" s="1295"/>
      <c r="O3620" s="1295"/>
      <c r="P3620" s="853"/>
      <c r="Q3620" s="1295"/>
      <c r="R3620" s="848"/>
      <c r="S3620" s="848"/>
      <c r="T3620" s="848"/>
      <c r="U3620" s="848"/>
      <c r="V3620" s="1296"/>
      <c r="W3620" s="848"/>
      <c r="X3620" s="848"/>
      <c r="Y3620" s="1295"/>
      <c r="Z3620" s="1296"/>
      <c r="AA3620" s="1295"/>
      <c r="AB3620" s="1296"/>
      <c r="AC3620" s="1295"/>
      <c r="AD3620" s="1295"/>
      <c r="AE3620" s="2556"/>
      <c r="AF3620" s="750"/>
      <c r="AG3620" s="750"/>
      <c r="AH3620" s="750"/>
      <c r="AI3620" s="750"/>
      <c r="AJ3620" s="750"/>
      <c r="AK3620" s="750"/>
      <c r="AL3620" s="750"/>
      <c r="AM3620" s="750"/>
      <c r="AN3620" s="750"/>
      <c r="AO3620" s="750"/>
      <c r="AP3620" s="750"/>
      <c r="AQ3620" s="750"/>
      <c r="AR3620" s="750"/>
      <c r="AS3620" s="750"/>
      <c r="AT3620" s="750"/>
      <c r="AU3620" s="750"/>
      <c r="AV3620" s="750"/>
      <c r="AW3620" s="750"/>
      <c r="AX3620" s="750"/>
      <c r="AY3620" s="750"/>
      <c r="AZ3620" s="750"/>
      <c r="BA3620" s="750"/>
      <c r="BB3620" s="750"/>
      <c r="BC3620" s="750"/>
      <c r="BD3620" s="750"/>
      <c r="BE3620" s="750"/>
      <c r="BF3620" s="750"/>
      <c r="BG3620" s="750"/>
      <c r="BH3620" s="750"/>
      <c r="BI3620" s="750"/>
      <c r="BJ3620" s="750"/>
      <c r="BK3620" s="750"/>
      <c r="BL3620" s="750"/>
      <c r="BM3620" s="750"/>
      <c r="BN3620" s="750"/>
      <c r="BO3620" s="750"/>
      <c r="BP3620" s="750"/>
      <c r="BQ3620" s="750"/>
    </row>
    <row r="3621" spans="3:69">
      <c r="C3621" s="853"/>
      <c r="D3621" s="853"/>
      <c r="E3621" s="853"/>
      <c r="F3621" s="853"/>
      <c r="G3621" s="853"/>
      <c r="H3621" s="853"/>
      <c r="I3621" s="848"/>
      <c r="J3621" s="848"/>
      <c r="K3621" s="1295"/>
      <c r="L3621" s="1295"/>
      <c r="M3621" s="1295"/>
      <c r="N3621" s="1295"/>
      <c r="O3621" s="1295"/>
      <c r="P3621" s="853"/>
      <c r="Q3621" s="1295"/>
      <c r="R3621" s="848"/>
      <c r="S3621" s="848"/>
      <c r="T3621" s="848"/>
      <c r="U3621" s="848"/>
      <c r="V3621" s="1296"/>
      <c r="W3621" s="848"/>
      <c r="X3621" s="848"/>
      <c r="Y3621" s="1295"/>
      <c r="Z3621" s="1296"/>
      <c r="AA3621" s="1295"/>
      <c r="AB3621" s="1296"/>
      <c r="AC3621" s="1295"/>
      <c r="AD3621" s="1295"/>
      <c r="AE3621" s="2556"/>
      <c r="AF3621" s="750"/>
      <c r="AG3621" s="750"/>
      <c r="AH3621" s="750"/>
      <c r="AI3621" s="750"/>
      <c r="AJ3621" s="750"/>
      <c r="AK3621" s="750"/>
      <c r="AL3621" s="750"/>
      <c r="AM3621" s="750"/>
      <c r="AN3621" s="750"/>
      <c r="AO3621" s="750"/>
      <c r="AP3621" s="750"/>
      <c r="AQ3621" s="750"/>
      <c r="AR3621" s="750"/>
      <c r="AS3621" s="750"/>
      <c r="AT3621" s="750"/>
      <c r="AU3621" s="750"/>
      <c r="AV3621" s="750"/>
      <c r="AW3621" s="750"/>
      <c r="AX3621" s="750"/>
      <c r="AY3621" s="750"/>
      <c r="AZ3621" s="750"/>
      <c r="BA3621" s="750"/>
      <c r="BB3621" s="750"/>
      <c r="BC3621" s="750"/>
      <c r="BD3621" s="750"/>
      <c r="BE3621" s="750"/>
      <c r="BF3621" s="750"/>
      <c r="BG3621" s="750"/>
      <c r="BH3621" s="750"/>
      <c r="BI3621" s="750"/>
      <c r="BJ3621" s="750"/>
      <c r="BK3621" s="750"/>
      <c r="BL3621" s="750"/>
      <c r="BM3621" s="750"/>
      <c r="BN3621" s="750"/>
      <c r="BO3621" s="750"/>
      <c r="BP3621" s="750"/>
      <c r="BQ3621" s="750"/>
    </row>
    <row r="3622" spans="3:69">
      <c r="C3622" s="853"/>
      <c r="D3622" s="853"/>
      <c r="E3622" s="853"/>
      <c r="F3622" s="853"/>
      <c r="G3622" s="853"/>
      <c r="H3622" s="853"/>
      <c r="I3622" s="848"/>
      <c r="J3622" s="848"/>
      <c r="K3622" s="1295"/>
      <c r="L3622" s="1295"/>
      <c r="M3622" s="1295"/>
      <c r="N3622" s="1295"/>
      <c r="O3622" s="1295"/>
      <c r="P3622" s="853"/>
      <c r="Q3622" s="1295"/>
      <c r="R3622" s="848"/>
      <c r="S3622" s="848"/>
      <c r="T3622" s="848"/>
      <c r="U3622" s="848"/>
      <c r="V3622" s="1296"/>
      <c r="W3622" s="848"/>
      <c r="X3622" s="848"/>
      <c r="Y3622" s="1295"/>
      <c r="Z3622" s="1296"/>
      <c r="AA3622" s="1295"/>
      <c r="AB3622" s="1296"/>
      <c r="AC3622" s="1295"/>
      <c r="AD3622" s="1295"/>
      <c r="AE3622" s="2556"/>
      <c r="AF3622" s="750"/>
      <c r="AG3622" s="750"/>
      <c r="AH3622" s="750"/>
      <c r="AI3622" s="750"/>
      <c r="AJ3622" s="750"/>
      <c r="AK3622" s="750"/>
      <c r="AL3622" s="750"/>
      <c r="AM3622" s="750"/>
      <c r="AN3622" s="750"/>
      <c r="AO3622" s="750"/>
      <c r="AP3622" s="750"/>
      <c r="AQ3622" s="750"/>
      <c r="AR3622" s="750"/>
      <c r="AS3622" s="750"/>
      <c r="AT3622" s="750"/>
      <c r="AU3622" s="750"/>
      <c r="AV3622" s="750"/>
      <c r="AW3622" s="750"/>
      <c r="AX3622" s="750"/>
      <c r="AY3622" s="750"/>
      <c r="AZ3622" s="750"/>
      <c r="BA3622" s="750"/>
      <c r="BB3622" s="750"/>
      <c r="BC3622" s="750"/>
      <c r="BD3622" s="750"/>
      <c r="BE3622" s="750"/>
      <c r="BF3622" s="750"/>
      <c r="BG3622" s="750"/>
      <c r="BH3622" s="750"/>
      <c r="BI3622" s="750"/>
      <c r="BJ3622" s="750"/>
      <c r="BK3622" s="750"/>
      <c r="BL3622" s="750"/>
      <c r="BM3622" s="750"/>
      <c r="BN3622" s="750"/>
      <c r="BO3622" s="750"/>
      <c r="BP3622" s="750"/>
      <c r="BQ3622" s="750"/>
    </row>
    <row r="3623" spans="3:69">
      <c r="C3623" s="853"/>
      <c r="D3623" s="853"/>
      <c r="E3623" s="853"/>
      <c r="F3623" s="853"/>
      <c r="G3623" s="853"/>
      <c r="H3623" s="853"/>
      <c r="I3623" s="848"/>
      <c r="J3623" s="848"/>
      <c r="K3623" s="1295"/>
      <c r="L3623" s="1295"/>
      <c r="M3623" s="1295"/>
      <c r="N3623" s="1295"/>
      <c r="O3623" s="1295"/>
      <c r="P3623" s="853"/>
      <c r="Q3623" s="1295"/>
      <c r="R3623" s="848"/>
      <c r="S3623" s="848"/>
      <c r="T3623" s="848"/>
      <c r="U3623" s="848"/>
      <c r="V3623" s="1296"/>
      <c r="W3623" s="848"/>
      <c r="X3623" s="848"/>
      <c r="Y3623" s="1295"/>
      <c r="Z3623" s="1296"/>
      <c r="AA3623" s="1295"/>
      <c r="AB3623" s="1296"/>
      <c r="AC3623" s="1295"/>
      <c r="AD3623" s="1295"/>
      <c r="AE3623" s="2556"/>
      <c r="AF3623" s="750"/>
      <c r="AG3623" s="750"/>
      <c r="AH3623" s="750"/>
      <c r="AI3623" s="750"/>
      <c r="AJ3623" s="750"/>
      <c r="AK3623" s="750"/>
      <c r="AL3623" s="750"/>
      <c r="AM3623" s="750"/>
      <c r="AN3623" s="750"/>
      <c r="AO3623" s="750"/>
      <c r="AP3623" s="750"/>
      <c r="AQ3623" s="750"/>
      <c r="AR3623" s="750"/>
      <c r="AS3623" s="750"/>
      <c r="AT3623" s="750"/>
      <c r="AU3623" s="750"/>
      <c r="AV3623" s="750"/>
      <c r="AW3623" s="750"/>
      <c r="AX3623" s="750"/>
      <c r="AY3623" s="750"/>
      <c r="AZ3623" s="750"/>
      <c r="BA3623" s="750"/>
      <c r="BB3623" s="750"/>
      <c r="BC3623" s="750"/>
      <c r="BD3623" s="750"/>
      <c r="BE3623" s="750"/>
      <c r="BF3623" s="750"/>
      <c r="BG3623" s="750"/>
      <c r="BH3623" s="750"/>
      <c r="BI3623" s="750"/>
      <c r="BJ3623" s="750"/>
      <c r="BK3623" s="750"/>
      <c r="BL3623" s="750"/>
      <c r="BM3623" s="750"/>
      <c r="BN3623" s="750"/>
      <c r="BO3623" s="750"/>
      <c r="BP3623" s="750"/>
      <c r="BQ3623" s="750"/>
    </row>
    <row r="3624" spans="3:69">
      <c r="C3624" s="853"/>
      <c r="D3624" s="853"/>
      <c r="E3624" s="853"/>
      <c r="F3624" s="853"/>
      <c r="G3624" s="853"/>
      <c r="H3624" s="853"/>
      <c r="I3624" s="848"/>
      <c r="J3624" s="848"/>
      <c r="K3624" s="1295"/>
      <c r="L3624" s="1295"/>
      <c r="M3624" s="1295"/>
      <c r="N3624" s="1295"/>
      <c r="O3624" s="1295"/>
      <c r="P3624" s="853"/>
      <c r="Q3624" s="1295"/>
      <c r="R3624" s="848"/>
      <c r="S3624" s="848"/>
      <c r="T3624" s="848"/>
      <c r="U3624" s="848"/>
      <c r="V3624" s="1296"/>
      <c r="W3624" s="848"/>
      <c r="X3624" s="848"/>
      <c r="Y3624" s="1295"/>
      <c r="Z3624" s="1296"/>
      <c r="AA3624" s="1295"/>
      <c r="AB3624" s="1296"/>
      <c r="AC3624" s="1295"/>
      <c r="AD3624" s="1295"/>
      <c r="AE3624" s="2556"/>
      <c r="AF3624" s="750"/>
      <c r="AG3624" s="750"/>
      <c r="AH3624" s="750"/>
      <c r="AI3624" s="750"/>
      <c r="AJ3624" s="750"/>
      <c r="AK3624" s="750"/>
      <c r="AL3624" s="750"/>
      <c r="AM3624" s="750"/>
      <c r="AN3624" s="750"/>
      <c r="AO3624" s="750"/>
      <c r="AP3624" s="750"/>
      <c r="AQ3624" s="750"/>
      <c r="AR3624" s="750"/>
      <c r="AS3624" s="750"/>
      <c r="AT3624" s="750"/>
      <c r="AU3624" s="750"/>
      <c r="AV3624" s="750"/>
      <c r="AW3624" s="750"/>
      <c r="AX3624" s="750"/>
      <c r="AY3624" s="750"/>
      <c r="AZ3624" s="750"/>
      <c r="BA3624" s="750"/>
      <c r="BB3624" s="750"/>
      <c r="BC3624" s="750"/>
      <c r="BD3624" s="750"/>
      <c r="BE3624" s="750"/>
      <c r="BF3624" s="750"/>
      <c r="BG3624" s="750"/>
      <c r="BH3624" s="750"/>
      <c r="BI3624" s="750"/>
      <c r="BJ3624" s="750"/>
      <c r="BK3624" s="750"/>
      <c r="BL3624" s="750"/>
      <c r="BM3624" s="750"/>
      <c r="BN3624" s="750"/>
      <c r="BO3624" s="750"/>
      <c r="BP3624" s="750"/>
      <c r="BQ3624" s="750"/>
    </row>
    <row r="3625" spans="3:69">
      <c r="C3625" s="853"/>
      <c r="D3625" s="853"/>
      <c r="E3625" s="853"/>
      <c r="F3625" s="853"/>
      <c r="G3625" s="853"/>
      <c r="H3625" s="853"/>
      <c r="I3625" s="848"/>
      <c r="J3625" s="848"/>
      <c r="K3625" s="1295"/>
      <c r="L3625" s="1295"/>
      <c r="M3625" s="1295"/>
      <c r="N3625" s="1295"/>
      <c r="O3625" s="1295"/>
      <c r="P3625" s="853"/>
      <c r="Q3625" s="1295"/>
      <c r="R3625" s="848"/>
      <c r="S3625" s="848"/>
      <c r="T3625" s="848"/>
      <c r="U3625" s="848"/>
      <c r="V3625" s="1296"/>
      <c r="W3625" s="848"/>
      <c r="X3625" s="848"/>
      <c r="Y3625" s="1295"/>
      <c r="Z3625" s="1296"/>
      <c r="AA3625" s="1295"/>
      <c r="AB3625" s="1296"/>
      <c r="AC3625" s="1295"/>
      <c r="AD3625" s="1295"/>
      <c r="AE3625" s="2556"/>
      <c r="AF3625" s="750"/>
      <c r="AG3625" s="750"/>
      <c r="AH3625" s="750"/>
      <c r="AI3625" s="750"/>
      <c r="AJ3625" s="750"/>
      <c r="AK3625" s="750"/>
      <c r="AL3625" s="750"/>
      <c r="AM3625" s="750"/>
      <c r="AN3625" s="750"/>
      <c r="AO3625" s="750"/>
      <c r="AP3625" s="750"/>
      <c r="AQ3625" s="750"/>
      <c r="AR3625" s="750"/>
      <c r="AS3625" s="750"/>
      <c r="AT3625" s="750"/>
      <c r="AU3625" s="750"/>
      <c r="AV3625" s="750"/>
      <c r="AW3625" s="750"/>
      <c r="AX3625" s="750"/>
      <c r="AY3625" s="750"/>
      <c r="AZ3625" s="750"/>
      <c r="BA3625" s="750"/>
      <c r="BB3625" s="750"/>
      <c r="BC3625" s="750"/>
      <c r="BD3625" s="750"/>
      <c r="BE3625" s="750"/>
      <c r="BF3625" s="750"/>
      <c r="BG3625" s="750"/>
      <c r="BH3625" s="750"/>
      <c r="BI3625" s="750"/>
      <c r="BJ3625" s="750"/>
      <c r="BK3625" s="750"/>
      <c r="BL3625" s="750"/>
      <c r="BM3625" s="750"/>
      <c r="BN3625" s="750"/>
      <c r="BO3625" s="750"/>
      <c r="BP3625" s="750"/>
      <c r="BQ3625" s="750"/>
    </row>
    <row r="3626" spans="3:69">
      <c r="C3626" s="853"/>
      <c r="D3626" s="853"/>
      <c r="E3626" s="853"/>
      <c r="F3626" s="853"/>
      <c r="G3626" s="853"/>
      <c r="H3626" s="853"/>
      <c r="I3626" s="848"/>
      <c r="J3626" s="848"/>
      <c r="K3626" s="1295"/>
      <c r="L3626" s="1295"/>
      <c r="M3626" s="1295"/>
      <c r="N3626" s="1295"/>
      <c r="O3626" s="1295"/>
      <c r="P3626" s="853"/>
      <c r="Q3626" s="1295"/>
      <c r="R3626" s="848"/>
      <c r="S3626" s="848"/>
      <c r="T3626" s="848"/>
      <c r="U3626" s="848"/>
      <c r="V3626" s="1296"/>
      <c r="W3626" s="848"/>
      <c r="X3626" s="848"/>
      <c r="Y3626" s="1295"/>
      <c r="Z3626" s="1296"/>
      <c r="AA3626" s="1295"/>
      <c r="AB3626" s="1296"/>
      <c r="AC3626" s="1295"/>
      <c r="AD3626" s="1295"/>
      <c r="AE3626" s="2556"/>
      <c r="AF3626" s="750"/>
      <c r="AG3626" s="750"/>
      <c r="AH3626" s="750"/>
      <c r="AI3626" s="750"/>
      <c r="AJ3626" s="750"/>
      <c r="AK3626" s="750"/>
      <c r="AL3626" s="750"/>
      <c r="AM3626" s="750"/>
      <c r="AN3626" s="750"/>
      <c r="AO3626" s="750"/>
      <c r="AP3626" s="750"/>
      <c r="AQ3626" s="750"/>
      <c r="AR3626" s="750"/>
      <c r="AS3626" s="750"/>
      <c r="AT3626" s="750"/>
      <c r="AU3626" s="750"/>
      <c r="AV3626" s="750"/>
      <c r="AW3626" s="750"/>
      <c r="AX3626" s="750"/>
      <c r="AY3626" s="750"/>
      <c r="AZ3626" s="750"/>
      <c r="BA3626" s="750"/>
      <c r="BB3626" s="750"/>
      <c r="BC3626" s="750"/>
      <c r="BD3626" s="750"/>
      <c r="BE3626" s="750"/>
      <c r="BF3626" s="750"/>
      <c r="BG3626" s="750"/>
      <c r="BH3626" s="750"/>
      <c r="BI3626" s="750"/>
      <c r="BJ3626" s="750"/>
      <c r="BK3626" s="750"/>
      <c r="BL3626" s="750"/>
      <c r="BM3626" s="750"/>
      <c r="BN3626" s="750"/>
      <c r="BO3626" s="750"/>
      <c r="BP3626" s="750"/>
      <c r="BQ3626" s="750"/>
    </row>
    <row r="3627" spans="3:69">
      <c r="C3627" s="853"/>
      <c r="D3627" s="853"/>
      <c r="E3627" s="853"/>
      <c r="F3627" s="853"/>
      <c r="G3627" s="853"/>
      <c r="H3627" s="853"/>
      <c r="I3627" s="848"/>
      <c r="J3627" s="848"/>
      <c r="K3627" s="1295"/>
      <c r="L3627" s="1295"/>
      <c r="M3627" s="1295"/>
      <c r="N3627" s="1295"/>
      <c r="O3627" s="1295"/>
      <c r="P3627" s="853"/>
      <c r="Q3627" s="1295"/>
      <c r="R3627" s="848"/>
      <c r="S3627" s="848"/>
      <c r="T3627" s="848"/>
      <c r="U3627" s="848"/>
      <c r="V3627" s="1296"/>
      <c r="W3627" s="848"/>
      <c r="X3627" s="848"/>
      <c r="Y3627" s="1295"/>
      <c r="Z3627" s="1296"/>
      <c r="AA3627" s="1295"/>
      <c r="AB3627" s="1296"/>
      <c r="AC3627" s="1295"/>
      <c r="AD3627" s="1295"/>
      <c r="AE3627" s="2556"/>
      <c r="AF3627" s="750"/>
      <c r="AG3627" s="750"/>
      <c r="AH3627" s="750"/>
      <c r="AI3627" s="750"/>
      <c r="AJ3627" s="750"/>
      <c r="AK3627" s="750"/>
      <c r="AL3627" s="750"/>
      <c r="AM3627" s="750"/>
      <c r="AN3627" s="750"/>
      <c r="AO3627" s="750"/>
      <c r="AP3627" s="750"/>
      <c r="AQ3627" s="750"/>
      <c r="AR3627" s="750"/>
      <c r="AS3627" s="750"/>
      <c r="AT3627" s="750"/>
      <c r="AU3627" s="750"/>
      <c r="AV3627" s="750"/>
      <c r="AW3627" s="750"/>
      <c r="AX3627" s="750"/>
      <c r="AY3627" s="750"/>
      <c r="AZ3627" s="750"/>
      <c r="BA3627" s="750"/>
      <c r="BB3627" s="750"/>
      <c r="BC3627" s="750"/>
      <c r="BD3627" s="750"/>
      <c r="BE3627" s="750"/>
      <c r="BF3627" s="750"/>
      <c r="BG3627" s="750"/>
      <c r="BH3627" s="750"/>
      <c r="BI3627" s="750"/>
      <c r="BJ3627" s="750"/>
      <c r="BK3627" s="750"/>
      <c r="BL3627" s="750"/>
      <c r="BM3627" s="750"/>
      <c r="BN3627" s="750"/>
      <c r="BO3627" s="750"/>
      <c r="BP3627" s="750"/>
      <c r="BQ3627" s="750"/>
    </row>
    <row r="3628" spans="3:69">
      <c r="C3628" s="853"/>
      <c r="D3628" s="853"/>
      <c r="E3628" s="853"/>
      <c r="F3628" s="853"/>
      <c r="G3628" s="853"/>
      <c r="H3628" s="853"/>
      <c r="I3628" s="848"/>
      <c r="J3628" s="848"/>
      <c r="K3628" s="1295"/>
      <c r="L3628" s="1295"/>
      <c r="M3628" s="1295"/>
      <c r="N3628" s="1295"/>
      <c r="O3628" s="1295"/>
      <c r="P3628" s="853"/>
      <c r="Q3628" s="1295"/>
      <c r="R3628" s="848"/>
      <c r="S3628" s="848"/>
      <c r="T3628" s="848"/>
      <c r="U3628" s="848"/>
      <c r="V3628" s="1296"/>
      <c r="W3628" s="848"/>
      <c r="X3628" s="848"/>
      <c r="Y3628" s="1295"/>
      <c r="Z3628" s="1296"/>
      <c r="AA3628" s="1295"/>
      <c r="AB3628" s="1296"/>
      <c r="AC3628" s="1295"/>
      <c r="AD3628" s="1295"/>
      <c r="AE3628" s="2556"/>
      <c r="AF3628" s="750"/>
      <c r="AG3628" s="750"/>
      <c r="AH3628" s="750"/>
      <c r="AI3628" s="750"/>
      <c r="AJ3628" s="750"/>
      <c r="AK3628" s="750"/>
      <c r="AL3628" s="750"/>
      <c r="AM3628" s="750"/>
      <c r="AN3628" s="750"/>
      <c r="AO3628" s="750"/>
      <c r="AP3628" s="750"/>
      <c r="AQ3628" s="750"/>
      <c r="AR3628" s="750"/>
      <c r="AS3628" s="750"/>
      <c r="AT3628" s="750"/>
      <c r="AU3628" s="750"/>
      <c r="AV3628" s="750"/>
      <c r="AW3628" s="750"/>
      <c r="AX3628" s="750"/>
      <c r="AY3628" s="750"/>
      <c r="AZ3628" s="750"/>
      <c r="BA3628" s="750"/>
      <c r="BB3628" s="750"/>
      <c r="BC3628" s="750"/>
      <c r="BD3628" s="750"/>
      <c r="BE3628" s="750"/>
      <c r="BF3628" s="750"/>
      <c r="BG3628" s="750"/>
      <c r="BH3628" s="750"/>
      <c r="BI3628" s="750"/>
      <c r="BJ3628" s="750"/>
      <c r="BK3628" s="750"/>
      <c r="BL3628" s="750"/>
      <c r="BM3628" s="750"/>
      <c r="BN3628" s="750"/>
      <c r="BO3628" s="750"/>
      <c r="BP3628" s="750"/>
      <c r="BQ3628" s="750"/>
    </row>
    <row r="3629" spans="3:69">
      <c r="C3629" s="853"/>
      <c r="D3629" s="853"/>
      <c r="E3629" s="853"/>
      <c r="F3629" s="853"/>
      <c r="G3629" s="853"/>
      <c r="H3629" s="853"/>
      <c r="I3629" s="848"/>
      <c r="J3629" s="848"/>
      <c r="K3629" s="1295"/>
      <c r="L3629" s="1295"/>
      <c r="M3629" s="1295"/>
      <c r="N3629" s="1295"/>
      <c r="O3629" s="1295"/>
      <c r="P3629" s="853"/>
      <c r="Q3629" s="1295"/>
      <c r="R3629" s="848"/>
      <c r="S3629" s="848"/>
      <c r="T3629" s="848"/>
      <c r="U3629" s="848"/>
      <c r="V3629" s="1296"/>
      <c r="W3629" s="848"/>
      <c r="X3629" s="848"/>
      <c r="Y3629" s="1295"/>
      <c r="Z3629" s="1296"/>
      <c r="AA3629" s="1295"/>
      <c r="AB3629" s="1296"/>
      <c r="AC3629" s="1295"/>
      <c r="AD3629" s="1295"/>
      <c r="AE3629" s="2556"/>
      <c r="AF3629" s="750"/>
      <c r="AG3629" s="750"/>
      <c r="AH3629" s="750"/>
      <c r="AI3629" s="750"/>
      <c r="AJ3629" s="750"/>
      <c r="AK3629" s="750"/>
      <c r="AL3629" s="750"/>
      <c r="AM3629" s="750"/>
      <c r="AN3629" s="750"/>
      <c r="AO3629" s="750"/>
      <c r="AP3629" s="750"/>
      <c r="AQ3629" s="750"/>
      <c r="AR3629" s="750"/>
      <c r="AS3629" s="750"/>
      <c r="AT3629" s="750"/>
      <c r="AU3629" s="750"/>
      <c r="AV3629" s="750"/>
      <c r="AW3629" s="750"/>
      <c r="AX3629" s="750"/>
      <c r="AY3629" s="750"/>
      <c r="AZ3629" s="750"/>
      <c r="BA3629" s="750"/>
      <c r="BB3629" s="750"/>
      <c r="BC3629" s="750"/>
      <c r="BD3629" s="750"/>
      <c r="BE3629" s="750"/>
      <c r="BF3629" s="750"/>
      <c r="BG3629" s="750"/>
      <c r="BH3629" s="750"/>
      <c r="BI3629" s="750"/>
      <c r="BJ3629" s="750"/>
      <c r="BK3629" s="750"/>
      <c r="BL3629" s="750"/>
      <c r="BM3629" s="750"/>
      <c r="BN3629" s="750"/>
      <c r="BO3629" s="750"/>
      <c r="BP3629" s="750"/>
      <c r="BQ3629" s="750"/>
    </row>
    <row r="3630" spans="3:69">
      <c r="C3630" s="853"/>
      <c r="D3630" s="853"/>
      <c r="E3630" s="853"/>
      <c r="F3630" s="853"/>
      <c r="G3630" s="853"/>
      <c r="H3630" s="853"/>
      <c r="I3630" s="848"/>
      <c r="J3630" s="848"/>
      <c r="K3630" s="1295"/>
      <c r="L3630" s="1295"/>
      <c r="M3630" s="1295"/>
      <c r="N3630" s="1295"/>
      <c r="O3630" s="1295"/>
      <c r="P3630" s="853"/>
      <c r="Q3630" s="1295"/>
      <c r="R3630" s="848"/>
      <c r="S3630" s="848"/>
      <c r="T3630" s="848"/>
      <c r="U3630" s="848"/>
      <c r="V3630" s="1296"/>
      <c r="W3630" s="848"/>
      <c r="X3630" s="848"/>
      <c r="Y3630" s="1295"/>
      <c r="Z3630" s="1296"/>
      <c r="AA3630" s="1295"/>
      <c r="AB3630" s="1296"/>
      <c r="AC3630" s="1295"/>
      <c r="AD3630" s="1295"/>
      <c r="AE3630" s="2556"/>
      <c r="AF3630" s="750"/>
      <c r="AG3630" s="750"/>
      <c r="AH3630" s="750"/>
      <c r="AI3630" s="750"/>
      <c r="AJ3630" s="750"/>
      <c r="AK3630" s="750"/>
      <c r="AL3630" s="750"/>
      <c r="AM3630" s="750"/>
      <c r="AN3630" s="750"/>
      <c r="AO3630" s="750"/>
      <c r="AP3630" s="750"/>
      <c r="AQ3630" s="750"/>
      <c r="AR3630" s="750"/>
      <c r="AS3630" s="750"/>
      <c r="AT3630" s="750"/>
      <c r="AU3630" s="750"/>
      <c r="AV3630" s="750"/>
      <c r="AW3630" s="750"/>
      <c r="AX3630" s="750"/>
      <c r="AY3630" s="750"/>
      <c r="AZ3630" s="750"/>
      <c r="BA3630" s="750"/>
      <c r="BB3630" s="750"/>
      <c r="BC3630" s="750"/>
      <c r="BD3630" s="750"/>
      <c r="BE3630" s="750"/>
      <c r="BF3630" s="750"/>
      <c r="BG3630" s="750"/>
      <c r="BH3630" s="750"/>
      <c r="BI3630" s="750"/>
      <c r="BJ3630" s="750"/>
      <c r="BK3630" s="750"/>
      <c r="BL3630" s="750"/>
      <c r="BM3630" s="750"/>
      <c r="BN3630" s="750"/>
      <c r="BO3630" s="750"/>
      <c r="BP3630" s="750"/>
      <c r="BQ3630" s="750"/>
    </row>
    <row r="3631" spans="3:69">
      <c r="C3631" s="853"/>
      <c r="D3631" s="853"/>
      <c r="E3631" s="853"/>
      <c r="F3631" s="853"/>
      <c r="G3631" s="853"/>
      <c r="H3631" s="853"/>
      <c r="I3631" s="848"/>
      <c r="J3631" s="848"/>
      <c r="K3631" s="1295"/>
      <c r="L3631" s="1295"/>
      <c r="M3631" s="1295"/>
      <c r="N3631" s="1295"/>
      <c r="O3631" s="1295"/>
      <c r="P3631" s="853"/>
      <c r="Q3631" s="1295"/>
      <c r="R3631" s="848"/>
      <c r="S3631" s="848"/>
      <c r="T3631" s="848"/>
      <c r="U3631" s="848"/>
      <c r="V3631" s="1296"/>
      <c r="W3631" s="848"/>
      <c r="X3631" s="848"/>
      <c r="Y3631" s="1295"/>
      <c r="Z3631" s="1296"/>
      <c r="AA3631" s="1295"/>
      <c r="AB3631" s="1296"/>
      <c r="AC3631" s="1295"/>
      <c r="AD3631" s="1295"/>
      <c r="AE3631" s="2556"/>
      <c r="AF3631" s="750"/>
      <c r="AG3631" s="750"/>
      <c r="AH3631" s="750"/>
      <c r="AI3631" s="750"/>
      <c r="AJ3631" s="750"/>
      <c r="AK3631" s="750"/>
      <c r="AL3631" s="750"/>
      <c r="AM3631" s="750"/>
      <c r="AN3631" s="750"/>
      <c r="AO3631" s="750"/>
      <c r="AP3631" s="750"/>
      <c r="AQ3631" s="750"/>
      <c r="AR3631" s="750"/>
      <c r="AS3631" s="750"/>
      <c r="AT3631" s="750"/>
      <c r="AU3631" s="750"/>
      <c r="AV3631" s="750"/>
      <c r="AW3631" s="750"/>
      <c r="AX3631" s="750"/>
      <c r="AY3631" s="750"/>
      <c r="AZ3631" s="750"/>
      <c r="BA3631" s="750"/>
      <c r="BB3631" s="750"/>
      <c r="BC3631" s="750"/>
      <c r="BD3631" s="750"/>
      <c r="BE3631" s="750"/>
      <c r="BF3631" s="750"/>
      <c r="BG3631" s="750"/>
      <c r="BH3631" s="750"/>
      <c r="BI3631" s="750"/>
      <c r="BJ3631" s="750"/>
      <c r="BK3631" s="750"/>
      <c r="BL3631" s="750"/>
      <c r="BM3631" s="750"/>
      <c r="BN3631" s="750"/>
      <c r="BO3631" s="750"/>
      <c r="BP3631" s="750"/>
      <c r="BQ3631" s="750"/>
    </row>
    <row r="3632" spans="3:69">
      <c r="C3632" s="853"/>
      <c r="D3632" s="853"/>
      <c r="E3632" s="853"/>
      <c r="F3632" s="853"/>
      <c r="G3632" s="853"/>
      <c r="H3632" s="853"/>
      <c r="I3632" s="848"/>
      <c r="J3632" s="848"/>
      <c r="K3632" s="1295"/>
      <c r="L3632" s="1295"/>
      <c r="M3632" s="1295"/>
      <c r="N3632" s="1295"/>
      <c r="O3632" s="1295"/>
      <c r="P3632" s="853"/>
      <c r="Q3632" s="1295"/>
      <c r="R3632" s="848"/>
      <c r="S3632" s="848"/>
      <c r="T3632" s="848"/>
      <c r="U3632" s="848"/>
      <c r="V3632" s="1296"/>
      <c r="W3632" s="848"/>
      <c r="X3632" s="848"/>
      <c r="Y3632" s="1295"/>
      <c r="Z3632" s="1296"/>
      <c r="AA3632" s="1295"/>
      <c r="AB3632" s="1296"/>
      <c r="AC3632" s="1295"/>
      <c r="AD3632" s="1295"/>
      <c r="AE3632" s="2556"/>
      <c r="AF3632" s="750"/>
      <c r="AG3632" s="750"/>
      <c r="AH3632" s="750"/>
      <c r="AI3632" s="750"/>
      <c r="AJ3632" s="750"/>
      <c r="AK3632" s="750"/>
      <c r="AL3632" s="750"/>
      <c r="AM3632" s="750"/>
      <c r="AN3632" s="750"/>
      <c r="AO3632" s="750"/>
      <c r="AP3632" s="750"/>
      <c r="AQ3632" s="750"/>
      <c r="AR3632" s="750"/>
      <c r="AS3632" s="750"/>
      <c r="AT3632" s="750"/>
      <c r="AU3632" s="750"/>
      <c r="AV3632" s="750"/>
      <c r="AW3632" s="750"/>
      <c r="AX3632" s="750"/>
      <c r="AY3632" s="750"/>
      <c r="AZ3632" s="750"/>
      <c r="BA3632" s="750"/>
      <c r="BB3632" s="750"/>
      <c r="BC3632" s="750"/>
      <c r="BD3632" s="750"/>
      <c r="BE3632" s="750"/>
      <c r="BF3632" s="750"/>
      <c r="BG3632" s="750"/>
      <c r="BH3632" s="750"/>
      <c r="BI3632" s="750"/>
      <c r="BJ3632" s="750"/>
      <c r="BK3632" s="750"/>
      <c r="BL3632" s="750"/>
      <c r="BM3632" s="750"/>
      <c r="BN3632" s="750"/>
      <c r="BO3632" s="750"/>
      <c r="BP3632" s="750"/>
      <c r="BQ3632" s="750"/>
    </row>
    <row r="3633" spans="3:69">
      <c r="C3633" s="853"/>
      <c r="D3633" s="853"/>
      <c r="E3633" s="853"/>
      <c r="F3633" s="853"/>
      <c r="G3633" s="853"/>
      <c r="H3633" s="853"/>
      <c r="I3633" s="848"/>
      <c r="J3633" s="848"/>
      <c r="K3633" s="1295"/>
      <c r="L3633" s="1295"/>
      <c r="M3633" s="1295"/>
      <c r="N3633" s="1295"/>
      <c r="O3633" s="1295"/>
      <c r="P3633" s="853"/>
      <c r="Q3633" s="1295"/>
      <c r="R3633" s="848"/>
      <c r="S3633" s="848"/>
      <c r="T3633" s="848"/>
      <c r="U3633" s="848"/>
      <c r="V3633" s="1296"/>
      <c r="W3633" s="848"/>
      <c r="X3633" s="848"/>
      <c r="Y3633" s="1295"/>
      <c r="Z3633" s="1296"/>
      <c r="AA3633" s="1295"/>
      <c r="AB3633" s="1296"/>
      <c r="AC3633" s="1295"/>
      <c r="AD3633" s="1295"/>
      <c r="AE3633" s="2556"/>
      <c r="AF3633" s="750"/>
      <c r="AG3633" s="750"/>
      <c r="AH3633" s="750"/>
      <c r="AI3633" s="750"/>
      <c r="AJ3633" s="750"/>
      <c r="AK3633" s="750"/>
      <c r="AL3633" s="750"/>
      <c r="AM3633" s="750"/>
      <c r="AN3633" s="750"/>
      <c r="AO3633" s="750"/>
      <c r="AP3633" s="750"/>
      <c r="AQ3633" s="750"/>
      <c r="AR3633" s="750"/>
      <c r="AS3633" s="750"/>
      <c r="AT3633" s="750"/>
      <c r="AU3633" s="750"/>
      <c r="AV3633" s="750"/>
      <c r="AW3633" s="750"/>
      <c r="AX3633" s="750"/>
      <c r="AY3633" s="750"/>
      <c r="AZ3633" s="750"/>
      <c r="BA3633" s="750"/>
      <c r="BB3633" s="750"/>
      <c r="BC3633" s="750"/>
      <c r="BD3633" s="750"/>
      <c r="BE3633" s="750"/>
      <c r="BF3633" s="750"/>
      <c r="BG3633" s="750"/>
      <c r="BH3633" s="750"/>
      <c r="BI3633" s="750"/>
      <c r="BJ3633" s="750"/>
      <c r="BK3633" s="750"/>
      <c r="BL3633" s="750"/>
      <c r="BM3633" s="750"/>
      <c r="BN3633" s="750"/>
      <c r="BO3633" s="750"/>
      <c r="BP3633" s="750"/>
      <c r="BQ3633" s="750"/>
    </row>
    <row r="3634" spans="3:69">
      <c r="C3634" s="853"/>
      <c r="D3634" s="853"/>
      <c r="E3634" s="853"/>
      <c r="F3634" s="853"/>
      <c r="G3634" s="853"/>
      <c r="H3634" s="853"/>
      <c r="I3634" s="848"/>
      <c r="J3634" s="848"/>
      <c r="K3634" s="1295"/>
      <c r="L3634" s="1295"/>
      <c r="M3634" s="1295"/>
      <c r="N3634" s="1295"/>
      <c r="O3634" s="1295"/>
      <c r="P3634" s="853"/>
      <c r="Q3634" s="1295"/>
      <c r="R3634" s="848"/>
      <c r="S3634" s="848"/>
      <c r="T3634" s="848"/>
      <c r="U3634" s="848"/>
      <c r="V3634" s="1296"/>
      <c r="W3634" s="848"/>
      <c r="X3634" s="848"/>
      <c r="Y3634" s="1295"/>
      <c r="Z3634" s="1296"/>
      <c r="AA3634" s="1295"/>
      <c r="AB3634" s="1296"/>
      <c r="AC3634" s="1295"/>
      <c r="AD3634" s="1295"/>
      <c r="AE3634" s="2556"/>
      <c r="AF3634" s="750"/>
      <c r="AG3634" s="750"/>
      <c r="AH3634" s="750"/>
      <c r="AI3634" s="750"/>
      <c r="AJ3634" s="750"/>
      <c r="AK3634" s="750"/>
      <c r="AL3634" s="750"/>
      <c r="AM3634" s="750"/>
      <c r="AN3634" s="750"/>
      <c r="AO3634" s="750"/>
      <c r="AP3634" s="750"/>
      <c r="AQ3634" s="750"/>
      <c r="AR3634" s="750"/>
      <c r="AS3634" s="750"/>
      <c r="AT3634" s="750"/>
      <c r="AU3634" s="750"/>
      <c r="AV3634" s="750"/>
      <c r="AW3634" s="750"/>
      <c r="AX3634" s="750"/>
      <c r="AY3634" s="750"/>
      <c r="AZ3634" s="750"/>
      <c r="BA3634" s="750"/>
      <c r="BB3634" s="750"/>
      <c r="BC3634" s="750"/>
      <c r="BD3634" s="750"/>
      <c r="BE3634" s="750"/>
      <c r="BF3634" s="750"/>
      <c r="BG3634" s="750"/>
      <c r="BH3634" s="750"/>
      <c r="BI3634" s="750"/>
      <c r="BJ3634" s="750"/>
      <c r="BK3634" s="750"/>
      <c r="BL3634" s="750"/>
      <c r="BM3634" s="750"/>
      <c r="BN3634" s="750"/>
      <c r="BO3634" s="750"/>
      <c r="BP3634" s="750"/>
      <c r="BQ3634" s="750"/>
    </row>
    <row r="3635" spans="3:69">
      <c r="C3635" s="853"/>
      <c r="D3635" s="853"/>
      <c r="E3635" s="853"/>
      <c r="F3635" s="853"/>
      <c r="G3635" s="853"/>
      <c r="H3635" s="853"/>
      <c r="I3635" s="848"/>
      <c r="J3635" s="848"/>
      <c r="K3635" s="1295"/>
      <c r="L3635" s="1295"/>
      <c r="M3635" s="1295"/>
      <c r="N3635" s="1295"/>
      <c r="O3635" s="1295"/>
      <c r="P3635" s="853"/>
      <c r="Q3635" s="1295"/>
      <c r="R3635" s="848"/>
      <c r="S3635" s="848"/>
      <c r="T3635" s="848"/>
      <c r="U3635" s="848"/>
      <c r="V3635" s="1296"/>
      <c r="W3635" s="848"/>
      <c r="X3635" s="848"/>
      <c r="Y3635" s="1295"/>
      <c r="Z3635" s="1296"/>
      <c r="AA3635" s="1295"/>
      <c r="AB3635" s="1296"/>
      <c r="AC3635" s="1295"/>
      <c r="AD3635" s="1295"/>
      <c r="AE3635" s="2556"/>
      <c r="AF3635" s="750"/>
      <c r="AG3635" s="750"/>
      <c r="AH3635" s="750"/>
      <c r="AI3635" s="750"/>
      <c r="AJ3635" s="750"/>
      <c r="AK3635" s="750"/>
      <c r="AL3635" s="750"/>
      <c r="AM3635" s="750"/>
      <c r="AN3635" s="750"/>
      <c r="AO3635" s="750"/>
      <c r="AP3635" s="750"/>
      <c r="AQ3635" s="750"/>
      <c r="AR3635" s="750"/>
      <c r="AS3635" s="750"/>
      <c r="AT3635" s="750"/>
      <c r="AU3635" s="750"/>
      <c r="AV3635" s="750"/>
      <c r="AW3635" s="750"/>
      <c r="AX3635" s="750"/>
      <c r="AY3635" s="750"/>
      <c r="AZ3635" s="750"/>
      <c r="BA3635" s="750"/>
      <c r="BB3635" s="750"/>
      <c r="BC3635" s="750"/>
      <c r="BD3635" s="750"/>
      <c r="BE3635" s="750"/>
      <c r="BF3635" s="750"/>
      <c r="BG3635" s="750"/>
      <c r="BH3635" s="750"/>
      <c r="BI3635" s="750"/>
      <c r="BJ3635" s="750"/>
      <c r="BK3635" s="750"/>
      <c r="BL3635" s="750"/>
      <c r="BM3635" s="750"/>
      <c r="BN3635" s="750"/>
      <c r="BO3635" s="750"/>
      <c r="BP3635" s="750"/>
      <c r="BQ3635" s="750"/>
    </row>
    <row r="3636" spans="3:69">
      <c r="C3636" s="853"/>
      <c r="D3636" s="853"/>
      <c r="E3636" s="853"/>
      <c r="F3636" s="853"/>
      <c r="G3636" s="853"/>
      <c r="H3636" s="853"/>
      <c r="I3636" s="848"/>
      <c r="J3636" s="848"/>
      <c r="K3636" s="1295"/>
      <c r="L3636" s="1295"/>
      <c r="M3636" s="1295"/>
      <c r="N3636" s="1295"/>
      <c r="O3636" s="1295"/>
      <c r="P3636" s="853"/>
      <c r="Q3636" s="1295"/>
      <c r="R3636" s="848"/>
      <c r="S3636" s="848"/>
      <c r="T3636" s="848"/>
      <c r="U3636" s="848"/>
      <c r="V3636" s="1296"/>
      <c r="W3636" s="848"/>
      <c r="X3636" s="848"/>
      <c r="Y3636" s="1295"/>
      <c r="Z3636" s="1296"/>
      <c r="AA3636" s="1295"/>
      <c r="AB3636" s="1296"/>
      <c r="AC3636" s="1295"/>
      <c r="AD3636" s="1295"/>
      <c r="AE3636" s="2556"/>
      <c r="AF3636" s="750"/>
      <c r="AG3636" s="750"/>
      <c r="AH3636" s="750"/>
      <c r="AI3636" s="750"/>
      <c r="AJ3636" s="750"/>
      <c r="AK3636" s="750"/>
      <c r="AL3636" s="750"/>
      <c r="AM3636" s="750"/>
      <c r="AN3636" s="750"/>
      <c r="AO3636" s="750"/>
      <c r="AP3636" s="750"/>
      <c r="AQ3636" s="750"/>
      <c r="AR3636" s="750"/>
      <c r="AS3636" s="750"/>
      <c r="AT3636" s="750"/>
      <c r="AU3636" s="750"/>
      <c r="AV3636" s="750"/>
      <c r="AW3636" s="750"/>
      <c r="AX3636" s="750"/>
      <c r="AY3636" s="750"/>
      <c r="AZ3636" s="750"/>
      <c r="BA3636" s="750"/>
      <c r="BB3636" s="750"/>
      <c r="BC3636" s="750"/>
      <c r="BD3636" s="750"/>
      <c r="BE3636" s="750"/>
      <c r="BF3636" s="750"/>
      <c r="BG3636" s="750"/>
      <c r="BH3636" s="750"/>
      <c r="BI3636" s="750"/>
      <c r="BJ3636" s="750"/>
      <c r="BK3636" s="750"/>
      <c r="BL3636" s="750"/>
      <c r="BM3636" s="750"/>
      <c r="BN3636" s="750"/>
      <c r="BO3636" s="750"/>
      <c r="BP3636" s="750"/>
      <c r="BQ3636" s="750"/>
    </row>
    <row r="3637" spans="3:69">
      <c r="C3637" s="853"/>
      <c r="D3637" s="853"/>
      <c r="E3637" s="853"/>
      <c r="F3637" s="853"/>
      <c r="G3637" s="853"/>
      <c r="H3637" s="853"/>
      <c r="I3637" s="848"/>
      <c r="J3637" s="848"/>
      <c r="K3637" s="1295"/>
      <c r="L3637" s="1295"/>
      <c r="M3637" s="1295"/>
      <c r="N3637" s="1295"/>
      <c r="O3637" s="1295"/>
      <c r="P3637" s="853"/>
      <c r="Q3637" s="1295"/>
      <c r="R3637" s="848"/>
      <c r="S3637" s="848"/>
      <c r="T3637" s="848"/>
      <c r="U3637" s="848"/>
      <c r="V3637" s="1296"/>
      <c r="W3637" s="848"/>
      <c r="X3637" s="848"/>
      <c r="Y3637" s="1295"/>
      <c r="Z3637" s="1296"/>
      <c r="AA3637" s="1295"/>
      <c r="AB3637" s="1296"/>
      <c r="AC3637" s="1295"/>
      <c r="AD3637" s="1295"/>
      <c r="AE3637" s="2556"/>
      <c r="AF3637" s="750"/>
      <c r="AG3637" s="750"/>
      <c r="AH3637" s="750"/>
      <c r="AI3637" s="750"/>
      <c r="AJ3637" s="750"/>
      <c r="AK3637" s="750"/>
      <c r="AL3637" s="750"/>
      <c r="AM3637" s="750"/>
      <c r="AN3637" s="750"/>
      <c r="AO3637" s="750"/>
      <c r="AP3637" s="750"/>
      <c r="AQ3637" s="750"/>
      <c r="AR3637" s="750"/>
      <c r="AS3637" s="750"/>
      <c r="AT3637" s="750"/>
      <c r="AU3637" s="750"/>
      <c r="AV3637" s="750"/>
      <c r="AW3637" s="750"/>
      <c r="AX3637" s="750"/>
      <c r="AY3637" s="750"/>
      <c r="AZ3637" s="750"/>
      <c r="BA3637" s="750"/>
      <c r="BB3637" s="750"/>
      <c r="BC3637" s="750"/>
      <c r="BD3637" s="750"/>
      <c r="BE3637" s="750"/>
      <c r="BF3637" s="750"/>
      <c r="BG3637" s="750"/>
      <c r="BH3637" s="750"/>
      <c r="BI3637" s="750"/>
      <c r="BJ3637" s="750"/>
      <c r="BK3637" s="750"/>
      <c r="BL3637" s="750"/>
      <c r="BM3637" s="750"/>
      <c r="BN3637" s="750"/>
      <c r="BO3637" s="750"/>
      <c r="BP3637" s="750"/>
      <c r="BQ3637" s="750"/>
    </row>
    <row r="3638" spans="3:69">
      <c r="C3638" s="853"/>
      <c r="D3638" s="853"/>
      <c r="E3638" s="853"/>
      <c r="F3638" s="853"/>
      <c r="G3638" s="853"/>
      <c r="H3638" s="853"/>
      <c r="I3638" s="848"/>
      <c r="J3638" s="848"/>
      <c r="K3638" s="1295"/>
      <c r="L3638" s="1295"/>
      <c r="M3638" s="1295"/>
      <c r="N3638" s="1295"/>
      <c r="O3638" s="1295"/>
      <c r="P3638" s="853"/>
      <c r="Q3638" s="1295"/>
      <c r="R3638" s="848"/>
      <c r="S3638" s="848"/>
      <c r="T3638" s="848"/>
      <c r="U3638" s="848"/>
      <c r="V3638" s="1296"/>
      <c r="W3638" s="848"/>
      <c r="X3638" s="848"/>
      <c r="Y3638" s="1295"/>
      <c r="Z3638" s="1296"/>
      <c r="AA3638" s="1295"/>
      <c r="AB3638" s="1296"/>
      <c r="AC3638" s="1295"/>
      <c r="AD3638" s="1295"/>
      <c r="AE3638" s="2556"/>
      <c r="AF3638" s="750"/>
      <c r="AG3638" s="750"/>
      <c r="AH3638" s="750"/>
      <c r="AI3638" s="750"/>
      <c r="AJ3638" s="750"/>
      <c r="AK3638" s="750"/>
      <c r="AL3638" s="750"/>
      <c r="AM3638" s="750"/>
      <c r="AN3638" s="750"/>
      <c r="AO3638" s="750"/>
      <c r="AP3638" s="750"/>
      <c r="AQ3638" s="750"/>
      <c r="AR3638" s="750"/>
      <c r="AS3638" s="750"/>
      <c r="AT3638" s="750"/>
      <c r="AU3638" s="750"/>
      <c r="AV3638" s="750"/>
      <c r="AW3638" s="750"/>
      <c r="AX3638" s="750"/>
      <c r="AY3638" s="750"/>
      <c r="AZ3638" s="750"/>
      <c r="BA3638" s="750"/>
      <c r="BB3638" s="750"/>
      <c r="BC3638" s="750"/>
      <c r="BD3638" s="750"/>
      <c r="BE3638" s="750"/>
      <c r="BF3638" s="750"/>
      <c r="BG3638" s="750"/>
      <c r="BH3638" s="750"/>
      <c r="BI3638" s="750"/>
      <c r="BJ3638" s="750"/>
      <c r="BK3638" s="750"/>
      <c r="BL3638" s="750"/>
      <c r="BM3638" s="750"/>
      <c r="BN3638" s="750"/>
      <c r="BO3638" s="750"/>
      <c r="BP3638" s="750"/>
      <c r="BQ3638" s="750"/>
    </row>
    <row r="3639" spans="3:69">
      <c r="C3639" s="853"/>
      <c r="D3639" s="853"/>
      <c r="E3639" s="853"/>
      <c r="F3639" s="853"/>
      <c r="G3639" s="853"/>
      <c r="H3639" s="853"/>
      <c r="I3639" s="848"/>
      <c r="J3639" s="848"/>
      <c r="K3639" s="1295"/>
      <c r="L3639" s="1295"/>
      <c r="M3639" s="1295"/>
      <c r="N3639" s="1295"/>
      <c r="O3639" s="1295"/>
      <c r="P3639" s="853"/>
      <c r="Q3639" s="1295"/>
      <c r="R3639" s="848"/>
      <c r="S3639" s="848"/>
      <c r="T3639" s="848"/>
      <c r="U3639" s="848"/>
      <c r="V3639" s="1296"/>
      <c r="W3639" s="848"/>
      <c r="X3639" s="848"/>
      <c r="Y3639" s="1295"/>
      <c r="Z3639" s="1296"/>
      <c r="AA3639" s="1295"/>
      <c r="AB3639" s="1296"/>
      <c r="AC3639" s="1295"/>
      <c r="AD3639" s="1295"/>
      <c r="AE3639" s="2556"/>
      <c r="AF3639" s="750"/>
      <c r="AG3639" s="750"/>
      <c r="AH3639" s="750"/>
      <c r="AI3639" s="750"/>
      <c r="AJ3639" s="750"/>
      <c r="AK3639" s="750"/>
      <c r="AL3639" s="750"/>
      <c r="AM3639" s="750"/>
      <c r="AN3639" s="750"/>
      <c r="AO3639" s="750"/>
      <c r="AP3639" s="750"/>
      <c r="AQ3639" s="750"/>
      <c r="AR3639" s="750"/>
      <c r="AS3639" s="750"/>
      <c r="AT3639" s="750"/>
      <c r="AU3639" s="750"/>
      <c r="AV3639" s="750"/>
      <c r="AW3639" s="750"/>
      <c r="AX3639" s="750"/>
      <c r="AY3639" s="750"/>
      <c r="AZ3639" s="750"/>
      <c r="BA3639" s="750"/>
      <c r="BB3639" s="750"/>
      <c r="BC3639" s="750"/>
      <c r="BD3639" s="750"/>
      <c r="BE3639" s="750"/>
      <c r="BF3639" s="750"/>
      <c r="BG3639" s="750"/>
      <c r="BH3639" s="750"/>
      <c r="BI3639" s="750"/>
      <c r="BJ3639" s="750"/>
      <c r="BK3639" s="750"/>
      <c r="BL3639" s="750"/>
      <c r="BM3639" s="750"/>
      <c r="BN3639" s="750"/>
      <c r="BO3639" s="750"/>
      <c r="BP3639" s="750"/>
      <c r="BQ3639" s="750"/>
    </row>
    <row r="3640" spans="3:69">
      <c r="C3640" s="853"/>
      <c r="D3640" s="853"/>
      <c r="E3640" s="853"/>
      <c r="F3640" s="853"/>
      <c r="G3640" s="853"/>
      <c r="H3640" s="853"/>
      <c r="I3640" s="848"/>
      <c r="J3640" s="848"/>
      <c r="K3640" s="1295"/>
      <c r="L3640" s="1295"/>
      <c r="M3640" s="1295"/>
      <c r="N3640" s="1295"/>
      <c r="O3640" s="1295"/>
      <c r="P3640" s="853"/>
      <c r="Q3640" s="1295"/>
      <c r="R3640" s="848"/>
      <c r="S3640" s="848"/>
      <c r="T3640" s="848"/>
      <c r="U3640" s="848"/>
      <c r="V3640" s="1296"/>
      <c r="W3640" s="848"/>
      <c r="X3640" s="848"/>
      <c r="Y3640" s="1295"/>
      <c r="Z3640" s="1296"/>
      <c r="AA3640" s="1295"/>
      <c r="AB3640" s="1296"/>
      <c r="AC3640" s="1295"/>
      <c r="AD3640" s="1295"/>
      <c r="AE3640" s="2556"/>
      <c r="AF3640" s="750"/>
      <c r="AG3640" s="750"/>
      <c r="AH3640" s="750"/>
      <c r="AI3640" s="750"/>
      <c r="AJ3640" s="750"/>
      <c r="AK3640" s="750"/>
      <c r="AL3640" s="750"/>
      <c r="AM3640" s="750"/>
      <c r="AN3640" s="750"/>
      <c r="AO3640" s="750"/>
      <c r="AP3640" s="750"/>
      <c r="AQ3640" s="750"/>
      <c r="AR3640" s="750"/>
      <c r="AS3640" s="750"/>
      <c r="AT3640" s="750"/>
      <c r="AU3640" s="750"/>
      <c r="AV3640" s="750"/>
      <c r="AW3640" s="750"/>
      <c r="AX3640" s="750"/>
      <c r="AY3640" s="750"/>
      <c r="AZ3640" s="750"/>
      <c r="BA3640" s="750"/>
      <c r="BB3640" s="750"/>
      <c r="BC3640" s="750"/>
      <c r="BD3640" s="750"/>
      <c r="BE3640" s="750"/>
      <c r="BF3640" s="750"/>
      <c r="BG3640" s="750"/>
      <c r="BH3640" s="750"/>
      <c r="BI3640" s="750"/>
      <c r="BJ3640" s="750"/>
      <c r="BK3640" s="750"/>
      <c r="BL3640" s="750"/>
      <c r="BM3640" s="750"/>
      <c r="BN3640" s="750"/>
      <c r="BO3640" s="750"/>
      <c r="BP3640" s="750"/>
      <c r="BQ3640" s="750"/>
    </row>
    <row r="3641" spans="3:69">
      <c r="C3641" s="853"/>
      <c r="D3641" s="853"/>
      <c r="E3641" s="853"/>
      <c r="F3641" s="853"/>
      <c r="G3641" s="853"/>
      <c r="H3641" s="853"/>
      <c r="I3641" s="848"/>
      <c r="J3641" s="848"/>
      <c r="K3641" s="1295"/>
      <c r="L3641" s="1295"/>
      <c r="M3641" s="1295"/>
      <c r="N3641" s="1295"/>
      <c r="O3641" s="1295"/>
      <c r="P3641" s="853"/>
      <c r="Q3641" s="1295"/>
      <c r="R3641" s="848"/>
      <c r="S3641" s="848"/>
      <c r="T3641" s="848"/>
      <c r="U3641" s="848"/>
      <c r="V3641" s="1296"/>
      <c r="W3641" s="848"/>
      <c r="X3641" s="848"/>
      <c r="Y3641" s="1295"/>
      <c r="Z3641" s="1296"/>
      <c r="AA3641" s="1295"/>
      <c r="AB3641" s="1296"/>
      <c r="AC3641" s="1295"/>
      <c r="AD3641" s="1295"/>
      <c r="AE3641" s="2556"/>
      <c r="AF3641" s="750"/>
      <c r="AG3641" s="750"/>
      <c r="AH3641" s="750"/>
      <c r="AI3641" s="750"/>
      <c r="AJ3641" s="750"/>
      <c r="AK3641" s="750"/>
      <c r="AL3641" s="750"/>
      <c r="AM3641" s="750"/>
      <c r="AN3641" s="750"/>
      <c r="AO3641" s="750"/>
      <c r="AP3641" s="750"/>
      <c r="AQ3641" s="750"/>
      <c r="AR3641" s="750"/>
      <c r="AS3641" s="750"/>
      <c r="AT3641" s="750"/>
      <c r="AU3641" s="750"/>
      <c r="AV3641" s="750"/>
      <c r="AW3641" s="750"/>
      <c r="AX3641" s="750"/>
      <c r="AY3641" s="750"/>
      <c r="AZ3641" s="750"/>
      <c r="BA3641" s="750"/>
      <c r="BB3641" s="750"/>
      <c r="BC3641" s="750"/>
      <c r="BD3641" s="750"/>
      <c r="BE3641" s="750"/>
      <c r="BF3641" s="750"/>
      <c r="BG3641" s="750"/>
      <c r="BH3641" s="750"/>
      <c r="BI3641" s="750"/>
      <c r="BJ3641" s="750"/>
      <c r="BK3641" s="750"/>
      <c r="BL3641" s="750"/>
      <c r="BM3641" s="750"/>
      <c r="BN3641" s="750"/>
      <c r="BO3641" s="750"/>
      <c r="BP3641" s="750"/>
      <c r="BQ3641" s="750"/>
    </row>
    <row r="3642" spans="3:69">
      <c r="C3642" s="853"/>
      <c r="D3642" s="853"/>
      <c r="E3642" s="853"/>
      <c r="F3642" s="853"/>
      <c r="G3642" s="853"/>
      <c r="H3642" s="853"/>
      <c r="I3642" s="848"/>
      <c r="J3642" s="848"/>
      <c r="K3642" s="1295"/>
      <c r="L3642" s="1295"/>
      <c r="M3642" s="1295"/>
      <c r="N3642" s="1295"/>
      <c r="O3642" s="1295"/>
      <c r="P3642" s="853"/>
      <c r="Q3642" s="1295"/>
      <c r="R3642" s="848"/>
      <c r="S3642" s="848"/>
      <c r="T3642" s="848"/>
      <c r="U3642" s="848"/>
      <c r="V3642" s="1296"/>
      <c r="W3642" s="848"/>
      <c r="X3642" s="848"/>
      <c r="Y3642" s="1295"/>
      <c r="Z3642" s="1296"/>
      <c r="AA3642" s="1295"/>
      <c r="AB3642" s="1296"/>
      <c r="AC3642" s="1295"/>
      <c r="AD3642" s="1295"/>
      <c r="AE3642" s="2556"/>
      <c r="AF3642" s="750"/>
      <c r="AG3642" s="750"/>
      <c r="AH3642" s="750"/>
      <c r="AI3642" s="750"/>
      <c r="AJ3642" s="750"/>
      <c r="AK3642" s="750"/>
      <c r="AL3642" s="750"/>
      <c r="AM3642" s="750"/>
      <c r="AN3642" s="750"/>
      <c r="AO3642" s="750"/>
      <c r="AP3642" s="750"/>
      <c r="AQ3642" s="750"/>
      <c r="AR3642" s="750"/>
      <c r="AS3642" s="750"/>
      <c r="AT3642" s="750"/>
      <c r="AU3642" s="750"/>
      <c r="AV3642" s="750"/>
      <c r="AW3642" s="750"/>
      <c r="AX3642" s="750"/>
      <c r="AY3642" s="750"/>
      <c r="AZ3642" s="750"/>
      <c r="BA3642" s="750"/>
      <c r="BB3642" s="750"/>
      <c r="BC3642" s="750"/>
      <c r="BD3642" s="750"/>
      <c r="BE3642" s="750"/>
      <c r="BF3642" s="750"/>
      <c r="BG3642" s="750"/>
      <c r="BH3642" s="750"/>
      <c r="BI3642" s="750"/>
      <c r="BJ3642" s="750"/>
      <c r="BK3642" s="750"/>
      <c r="BL3642" s="750"/>
      <c r="BM3642" s="750"/>
      <c r="BN3642" s="750"/>
      <c r="BO3642" s="750"/>
      <c r="BP3642" s="750"/>
      <c r="BQ3642" s="750"/>
    </row>
    <row r="3643" spans="3:69">
      <c r="C3643" s="853"/>
      <c r="D3643" s="853"/>
      <c r="E3643" s="853"/>
      <c r="F3643" s="853"/>
      <c r="G3643" s="853"/>
      <c r="H3643" s="853"/>
      <c r="I3643" s="848"/>
      <c r="J3643" s="848"/>
      <c r="K3643" s="1295"/>
      <c r="L3643" s="1295"/>
      <c r="M3643" s="1295"/>
      <c r="N3643" s="1295"/>
      <c r="O3643" s="1295"/>
      <c r="P3643" s="853"/>
      <c r="Q3643" s="1295"/>
      <c r="R3643" s="848"/>
      <c r="S3643" s="848"/>
      <c r="T3643" s="848"/>
      <c r="U3643" s="848"/>
      <c r="V3643" s="1296"/>
      <c r="W3643" s="848"/>
      <c r="X3643" s="848"/>
      <c r="Y3643" s="1295"/>
      <c r="Z3643" s="1296"/>
      <c r="AA3643" s="1295"/>
      <c r="AB3643" s="1296"/>
      <c r="AC3643" s="1295"/>
      <c r="AD3643" s="1295"/>
      <c r="AE3643" s="2556"/>
      <c r="AF3643" s="750"/>
      <c r="AG3643" s="750"/>
      <c r="AH3643" s="750"/>
      <c r="AI3643" s="750"/>
      <c r="AJ3643" s="750"/>
      <c r="AK3643" s="750"/>
      <c r="AL3643" s="750"/>
      <c r="AM3643" s="750"/>
      <c r="AN3643" s="750"/>
      <c r="AO3643" s="750"/>
      <c r="AP3643" s="750"/>
      <c r="AQ3643" s="750"/>
      <c r="AR3643" s="750"/>
      <c r="AS3643" s="750"/>
      <c r="AT3643" s="750"/>
      <c r="AU3643" s="750"/>
      <c r="AV3643" s="750"/>
      <c r="AW3643" s="750"/>
      <c r="AX3643" s="750"/>
      <c r="AY3643" s="750"/>
      <c r="AZ3643" s="750"/>
      <c r="BA3643" s="750"/>
      <c r="BB3643" s="750"/>
      <c r="BC3643" s="750"/>
      <c r="BD3643" s="750"/>
      <c r="BE3643" s="750"/>
      <c r="BF3643" s="750"/>
      <c r="BG3643" s="750"/>
      <c r="BH3643" s="750"/>
      <c r="BI3643" s="750"/>
      <c r="BJ3643" s="750"/>
      <c r="BK3643" s="750"/>
      <c r="BL3643" s="750"/>
      <c r="BM3643" s="750"/>
      <c r="BN3643" s="750"/>
      <c r="BO3643" s="750"/>
      <c r="BP3643" s="750"/>
      <c r="BQ3643" s="750"/>
    </row>
    <row r="3644" spans="3:69">
      <c r="C3644" s="853"/>
      <c r="D3644" s="853"/>
      <c r="E3644" s="853"/>
      <c r="F3644" s="853"/>
      <c r="G3644" s="853"/>
      <c r="H3644" s="853"/>
      <c r="I3644" s="848"/>
      <c r="J3644" s="848"/>
      <c r="K3644" s="1295"/>
      <c r="L3644" s="1295"/>
      <c r="M3644" s="1295"/>
      <c r="N3644" s="1295"/>
      <c r="O3644" s="1295"/>
      <c r="P3644" s="853"/>
      <c r="Q3644" s="1295"/>
      <c r="R3644" s="848"/>
      <c r="S3644" s="848"/>
      <c r="T3644" s="848"/>
      <c r="U3644" s="848"/>
      <c r="V3644" s="1296"/>
      <c r="W3644" s="848"/>
      <c r="X3644" s="848"/>
      <c r="Y3644" s="1295"/>
      <c r="Z3644" s="1296"/>
      <c r="AA3644" s="1295"/>
      <c r="AB3644" s="1296"/>
      <c r="AC3644" s="1295"/>
      <c r="AD3644" s="1295"/>
      <c r="AE3644" s="2556"/>
      <c r="AF3644" s="750"/>
      <c r="AG3644" s="750"/>
      <c r="AH3644" s="750"/>
      <c r="AI3644" s="750"/>
      <c r="AJ3644" s="750"/>
      <c r="AK3644" s="750"/>
      <c r="AL3644" s="750"/>
      <c r="AM3644" s="750"/>
      <c r="AN3644" s="750"/>
      <c r="AO3644" s="750"/>
      <c r="AP3644" s="750"/>
      <c r="AQ3644" s="750"/>
      <c r="AR3644" s="750"/>
      <c r="AS3644" s="750"/>
      <c r="AT3644" s="750"/>
      <c r="AU3644" s="750"/>
      <c r="AV3644" s="750"/>
      <c r="AW3644" s="750"/>
      <c r="AX3644" s="750"/>
      <c r="AY3644" s="750"/>
      <c r="AZ3644" s="750"/>
      <c r="BA3644" s="750"/>
      <c r="BB3644" s="750"/>
      <c r="BC3644" s="750"/>
      <c r="BD3644" s="750"/>
      <c r="BE3644" s="750"/>
      <c r="BF3644" s="750"/>
      <c r="BG3644" s="750"/>
      <c r="BH3644" s="750"/>
      <c r="BI3644" s="750"/>
      <c r="BJ3644" s="750"/>
      <c r="BK3644" s="750"/>
      <c r="BL3644" s="750"/>
      <c r="BM3644" s="750"/>
      <c r="BN3644" s="750"/>
      <c r="BO3644" s="750"/>
      <c r="BP3644" s="750"/>
      <c r="BQ3644" s="750"/>
    </row>
    <row r="3645" spans="3:69">
      <c r="C3645" s="853"/>
      <c r="D3645" s="853"/>
      <c r="E3645" s="853"/>
      <c r="F3645" s="853"/>
      <c r="G3645" s="853"/>
      <c r="H3645" s="853"/>
      <c r="I3645" s="848"/>
      <c r="J3645" s="848"/>
      <c r="K3645" s="1295"/>
      <c r="L3645" s="1295"/>
      <c r="M3645" s="1295"/>
      <c r="N3645" s="1295"/>
      <c r="O3645" s="1295"/>
      <c r="P3645" s="853"/>
      <c r="Q3645" s="1295"/>
      <c r="R3645" s="848"/>
      <c r="S3645" s="848"/>
      <c r="T3645" s="848"/>
      <c r="U3645" s="848"/>
      <c r="V3645" s="1296"/>
      <c r="W3645" s="848"/>
      <c r="X3645" s="848"/>
      <c r="Y3645" s="1295"/>
      <c r="Z3645" s="1296"/>
      <c r="AA3645" s="1295"/>
      <c r="AB3645" s="1296"/>
      <c r="AC3645" s="1295"/>
      <c r="AD3645" s="1295"/>
      <c r="AE3645" s="2556"/>
      <c r="AF3645" s="750"/>
      <c r="AG3645" s="750"/>
      <c r="AH3645" s="750"/>
      <c r="AI3645" s="750"/>
      <c r="AJ3645" s="750"/>
      <c r="AK3645" s="750"/>
      <c r="AL3645" s="750"/>
      <c r="AM3645" s="750"/>
      <c r="AN3645" s="750"/>
      <c r="AO3645" s="750"/>
      <c r="AP3645" s="750"/>
      <c r="AQ3645" s="750"/>
      <c r="AR3645" s="750"/>
      <c r="AS3645" s="750"/>
      <c r="AT3645" s="750"/>
      <c r="AU3645" s="750"/>
      <c r="AV3645" s="750"/>
      <c r="AW3645" s="750"/>
      <c r="AX3645" s="750"/>
      <c r="AY3645" s="750"/>
      <c r="AZ3645" s="750"/>
      <c r="BA3645" s="750"/>
      <c r="BB3645" s="750"/>
      <c r="BC3645" s="750"/>
      <c r="BD3645" s="750"/>
      <c r="BE3645" s="750"/>
      <c r="BF3645" s="750"/>
      <c r="BG3645" s="750"/>
      <c r="BH3645" s="750"/>
      <c r="BI3645" s="750"/>
      <c r="BJ3645" s="750"/>
      <c r="BK3645" s="750"/>
      <c r="BL3645" s="750"/>
      <c r="BM3645" s="750"/>
      <c r="BN3645" s="750"/>
      <c r="BO3645" s="750"/>
      <c r="BP3645" s="750"/>
      <c r="BQ3645" s="750"/>
    </row>
    <row r="3646" spans="3:69">
      <c r="C3646" s="853"/>
      <c r="D3646" s="853"/>
      <c r="E3646" s="853"/>
      <c r="F3646" s="853"/>
      <c r="G3646" s="853"/>
      <c r="H3646" s="853"/>
      <c r="I3646" s="848"/>
      <c r="J3646" s="848"/>
      <c r="K3646" s="1295"/>
      <c r="L3646" s="1295"/>
      <c r="M3646" s="1295"/>
      <c r="N3646" s="1295"/>
      <c r="O3646" s="1295"/>
      <c r="P3646" s="853"/>
      <c r="Q3646" s="1295"/>
      <c r="R3646" s="848"/>
      <c r="S3646" s="848"/>
      <c r="T3646" s="848"/>
      <c r="U3646" s="848"/>
      <c r="V3646" s="1296"/>
      <c r="W3646" s="848"/>
      <c r="X3646" s="848"/>
      <c r="Y3646" s="1295"/>
      <c r="Z3646" s="1296"/>
      <c r="AA3646" s="1295"/>
      <c r="AB3646" s="1296"/>
      <c r="AC3646" s="1295"/>
      <c r="AD3646" s="1295"/>
      <c r="AE3646" s="2556"/>
      <c r="AF3646" s="750"/>
      <c r="AG3646" s="750"/>
      <c r="AH3646" s="750"/>
      <c r="AI3646" s="750"/>
      <c r="AJ3646" s="750"/>
      <c r="AK3646" s="750"/>
      <c r="AL3646" s="750"/>
      <c r="AM3646" s="750"/>
      <c r="AN3646" s="750"/>
      <c r="AO3646" s="750"/>
      <c r="AP3646" s="750"/>
      <c r="AQ3646" s="750"/>
      <c r="AR3646" s="750"/>
      <c r="AS3646" s="750"/>
      <c r="AT3646" s="750"/>
      <c r="AU3646" s="750"/>
      <c r="AV3646" s="750"/>
      <c r="AW3646" s="750"/>
      <c r="AX3646" s="750"/>
      <c r="AY3646" s="750"/>
      <c r="AZ3646" s="750"/>
      <c r="BA3646" s="750"/>
      <c r="BB3646" s="750"/>
      <c r="BC3646" s="750"/>
      <c r="BD3646" s="750"/>
      <c r="BE3646" s="750"/>
      <c r="BF3646" s="750"/>
      <c r="BG3646" s="750"/>
      <c r="BH3646" s="750"/>
      <c r="BI3646" s="750"/>
      <c r="BJ3646" s="750"/>
      <c r="BK3646" s="750"/>
      <c r="BL3646" s="750"/>
      <c r="BM3646" s="750"/>
      <c r="BN3646" s="750"/>
      <c r="BO3646" s="750"/>
      <c r="BP3646" s="750"/>
      <c r="BQ3646" s="750"/>
    </row>
    <row r="3647" spans="3:69">
      <c r="C3647" s="853"/>
      <c r="D3647" s="853"/>
      <c r="E3647" s="853"/>
      <c r="F3647" s="853"/>
      <c r="G3647" s="853"/>
      <c r="H3647" s="853"/>
      <c r="I3647" s="848"/>
      <c r="J3647" s="848"/>
      <c r="K3647" s="1295"/>
      <c r="L3647" s="1295"/>
      <c r="M3647" s="1295"/>
      <c r="N3647" s="1295"/>
      <c r="O3647" s="1295"/>
      <c r="P3647" s="853"/>
      <c r="Q3647" s="1295"/>
      <c r="R3647" s="848"/>
      <c r="S3647" s="848"/>
      <c r="T3647" s="848"/>
      <c r="U3647" s="848"/>
      <c r="V3647" s="1296"/>
      <c r="W3647" s="848"/>
      <c r="X3647" s="848"/>
      <c r="Y3647" s="1295"/>
      <c r="Z3647" s="1296"/>
      <c r="AA3647" s="1295"/>
      <c r="AB3647" s="1296"/>
      <c r="AC3647" s="1295"/>
      <c r="AD3647" s="1295"/>
      <c r="AE3647" s="2556"/>
      <c r="AF3647" s="750"/>
      <c r="AG3647" s="750"/>
      <c r="AH3647" s="750"/>
      <c r="AI3647" s="750"/>
      <c r="AJ3647" s="750"/>
      <c r="AK3647" s="750"/>
      <c r="AL3647" s="750"/>
      <c r="AM3647" s="750"/>
      <c r="AN3647" s="750"/>
      <c r="AO3647" s="750"/>
      <c r="AP3647" s="750"/>
      <c r="AQ3647" s="750"/>
      <c r="AR3647" s="750"/>
      <c r="AS3647" s="750"/>
      <c r="AT3647" s="750"/>
      <c r="AU3647" s="750"/>
      <c r="AV3647" s="750"/>
      <c r="AW3647" s="750"/>
      <c r="AX3647" s="750"/>
      <c r="AY3647" s="750"/>
      <c r="AZ3647" s="750"/>
      <c r="BA3647" s="750"/>
      <c r="BB3647" s="750"/>
      <c r="BC3647" s="750"/>
      <c r="BD3647" s="750"/>
      <c r="BE3647" s="750"/>
      <c r="BF3647" s="750"/>
      <c r="BG3647" s="750"/>
      <c r="BH3647" s="750"/>
      <c r="BI3647" s="750"/>
      <c r="BJ3647" s="750"/>
      <c r="BK3647" s="750"/>
      <c r="BL3647" s="750"/>
      <c r="BM3647" s="750"/>
      <c r="BN3647" s="750"/>
      <c r="BO3647" s="750"/>
      <c r="BP3647" s="750"/>
      <c r="BQ3647" s="750"/>
    </row>
    <row r="3648" spans="3:69">
      <c r="C3648" s="853"/>
      <c r="D3648" s="853"/>
      <c r="E3648" s="853"/>
      <c r="F3648" s="853"/>
      <c r="G3648" s="853"/>
      <c r="H3648" s="853"/>
      <c r="I3648" s="848"/>
      <c r="J3648" s="848"/>
      <c r="K3648" s="1295"/>
      <c r="L3648" s="1295"/>
      <c r="M3648" s="1295"/>
      <c r="N3648" s="1295"/>
      <c r="O3648" s="1295"/>
      <c r="P3648" s="853"/>
      <c r="Q3648" s="1295"/>
      <c r="R3648" s="848"/>
      <c r="S3648" s="848"/>
      <c r="T3648" s="848"/>
      <c r="U3648" s="848"/>
      <c r="V3648" s="1296"/>
      <c r="W3648" s="848"/>
      <c r="X3648" s="848"/>
      <c r="Y3648" s="1295"/>
      <c r="Z3648" s="1296"/>
      <c r="AA3648" s="1295"/>
      <c r="AB3648" s="1296"/>
      <c r="AC3648" s="1295"/>
      <c r="AD3648" s="1295"/>
      <c r="AE3648" s="2556"/>
      <c r="AF3648" s="750"/>
      <c r="AG3648" s="750"/>
      <c r="AH3648" s="750"/>
      <c r="AI3648" s="750"/>
      <c r="AJ3648" s="750"/>
      <c r="AK3648" s="750"/>
      <c r="AL3648" s="750"/>
      <c r="AM3648" s="750"/>
      <c r="AN3648" s="750"/>
      <c r="AO3648" s="750"/>
      <c r="AP3648" s="750"/>
      <c r="AQ3648" s="750"/>
      <c r="AR3648" s="750"/>
      <c r="AS3648" s="750"/>
      <c r="AT3648" s="750"/>
      <c r="AU3648" s="750"/>
      <c r="AV3648" s="750"/>
      <c r="AW3648" s="750"/>
      <c r="AX3648" s="750"/>
      <c r="AY3648" s="750"/>
      <c r="AZ3648" s="750"/>
      <c r="BA3648" s="750"/>
      <c r="BB3648" s="750"/>
      <c r="BC3648" s="750"/>
      <c r="BD3648" s="750"/>
      <c r="BE3648" s="750"/>
      <c r="BF3648" s="750"/>
      <c r="BG3648" s="750"/>
      <c r="BH3648" s="750"/>
      <c r="BI3648" s="750"/>
      <c r="BJ3648" s="750"/>
      <c r="BK3648" s="750"/>
      <c r="BL3648" s="750"/>
      <c r="BM3648" s="750"/>
      <c r="BN3648" s="750"/>
      <c r="BO3648" s="750"/>
      <c r="BP3648" s="750"/>
      <c r="BQ3648" s="750"/>
    </row>
    <row r="3649" spans="3:69">
      <c r="C3649" s="853"/>
      <c r="D3649" s="853"/>
      <c r="E3649" s="853"/>
      <c r="F3649" s="853"/>
      <c r="G3649" s="853"/>
      <c r="H3649" s="853"/>
      <c r="I3649" s="848"/>
      <c r="J3649" s="848"/>
      <c r="K3649" s="1295"/>
      <c r="L3649" s="1295"/>
      <c r="M3649" s="1295"/>
      <c r="N3649" s="1295"/>
      <c r="O3649" s="1295"/>
      <c r="P3649" s="853"/>
      <c r="Q3649" s="1295"/>
      <c r="R3649" s="848"/>
      <c r="S3649" s="848"/>
      <c r="T3649" s="848"/>
      <c r="U3649" s="848"/>
      <c r="V3649" s="1296"/>
      <c r="W3649" s="848"/>
      <c r="X3649" s="848"/>
      <c r="Y3649" s="1295"/>
      <c r="Z3649" s="1296"/>
      <c r="AA3649" s="1295"/>
      <c r="AB3649" s="1296"/>
      <c r="AC3649" s="1295"/>
      <c r="AD3649" s="1295"/>
      <c r="AE3649" s="2556"/>
      <c r="AF3649" s="750"/>
      <c r="AG3649" s="750"/>
      <c r="AH3649" s="750"/>
      <c r="AI3649" s="750"/>
      <c r="AJ3649" s="750"/>
      <c r="AK3649" s="750"/>
      <c r="AL3649" s="750"/>
      <c r="AM3649" s="750"/>
      <c r="AN3649" s="750"/>
      <c r="AO3649" s="750"/>
      <c r="AP3649" s="750"/>
      <c r="AQ3649" s="750"/>
      <c r="AR3649" s="750"/>
      <c r="AS3649" s="750"/>
      <c r="AT3649" s="750"/>
      <c r="AU3649" s="750"/>
      <c r="AV3649" s="750"/>
      <c r="AW3649" s="750"/>
      <c r="AX3649" s="750"/>
      <c r="AY3649" s="750"/>
      <c r="AZ3649" s="750"/>
      <c r="BA3649" s="750"/>
      <c r="BB3649" s="750"/>
      <c r="BC3649" s="750"/>
      <c r="BD3649" s="750"/>
      <c r="BE3649" s="750"/>
      <c r="BF3649" s="750"/>
      <c r="BG3649" s="750"/>
      <c r="BH3649" s="750"/>
      <c r="BI3649" s="750"/>
      <c r="BJ3649" s="750"/>
      <c r="BK3649" s="750"/>
      <c r="BL3649" s="750"/>
      <c r="BM3649" s="750"/>
      <c r="BN3649" s="750"/>
      <c r="BO3649" s="750"/>
      <c r="BP3649" s="750"/>
      <c r="BQ3649" s="750"/>
    </row>
    <row r="3650" spans="3:69">
      <c r="C3650" s="853"/>
      <c r="D3650" s="853"/>
      <c r="E3650" s="853"/>
      <c r="F3650" s="853"/>
      <c r="G3650" s="853"/>
      <c r="H3650" s="853"/>
      <c r="I3650" s="848"/>
      <c r="J3650" s="848"/>
      <c r="K3650" s="1295"/>
      <c r="L3650" s="1295"/>
      <c r="M3650" s="1295"/>
      <c r="N3650" s="1295"/>
      <c r="O3650" s="1295"/>
      <c r="P3650" s="853"/>
      <c r="Q3650" s="1295"/>
      <c r="R3650" s="848"/>
      <c r="S3650" s="848"/>
      <c r="T3650" s="848"/>
      <c r="U3650" s="848"/>
      <c r="V3650" s="1296"/>
      <c r="W3650" s="848"/>
      <c r="X3650" s="848"/>
      <c r="Y3650" s="1295"/>
      <c r="Z3650" s="1296"/>
      <c r="AA3650" s="1295"/>
      <c r="AB3650" s="1296"/>
      <c r="AC3650" s="1295"/>
      <c r="AD3650" s="1295"/>
      <c r="AE3650" s="2556"/>
      <c r="AF3650" s="750"/>
      <c r="AG3650" s="750"/>
      <c r="AH3650" s="750"/>
      <c r="AI3650" s="750"/>
      <c r="AJ3650" s="750"/>
      <c r="AK3650" s="750"/>
      <c r="AL3650" s="750"/>
      <c r="AM3650" s="750"/>
      <c r="AN3650" s="750"/>
      <c r="AO3650" s="750"/>
      <c r="AP3650" s="750"/>
      <c r="AQ3650" s="750"/>
      <c r="AR3650" s="750"/>
      <c r="AS3650" s="750"/>
      <c r="AT3650" s="750"/>
      <c r="AU3650" s="750"/>
      <c r="AV3650" s="750"/>
      <c r="AW3650" s="750"/>
      <c r="AX3650" s="750"/>
      <c r="AY3650" s="750"/>
      <c r="AZ3650" s="750"/>
      <c r="BA3650" s="750"/>
      <c r="BB3650" s="750"/>
      <c r="BC3650" s="750"/>
      <c r="BD3650" s="750"/>
      <c r="BE3650" s="750"/>
      <c r="BF3650" s="750"/>
      <c r="BG3650" s="750"/>
      <c r="BH3650" s="750"/>
      <c r="BI3650" s="750"/>
      <c r="BJ3650" s="750"/>
      <c r="BK3650" s="750"/>
      <c r="BL3650" s="750"/>
      <c r="BM3650" s="750"/>
      <c r="BN3650" s="750"/>
      <c r="BO3650" s="750"/>
      <c r="BP3650" s="750"/>
      <c r="BQ3650" s="750"/>
    </row>
    <row r="3651" spans="3:69">
      <c r="C3651" s="853"/>
      <c r="D3651" s="853"/>
      <c r="E3651" s="853"/>
      <c r="F3651" s="853"/>
      <c r="G3651" s="853"/>
      <c r="H3651" s="853"/>
      <c r="I3651" s="848"/>
      <c r="J3651" s="848"/>
      <c r="K3651" s="1295"/>
      <c r="L3651" s="1295"/>
      <c r="M3651" s="1295"/>
      <c r="N3651" s="1295"/>
      <c r="O3651" s="1295"/>
      <c r="P3651" s="853"/>
      <c r="Q3651" s="1295"/>
      <c r="R3651" s="848"/>
      <c r="S3651" s="848"/>
      <c r="T3651" s="848"/>
      <c r="U3651" s="848"/>
      <c r="V3651" s="1296"/>
      <c r="W3651" s="848"/>
      <c r="X3651" s="848"/>
      <c r="Y3651" s="1295"/>
      <c r="Z3651" s="1296"/>
      <c r="AA3651" s="1295"/>
      <c r="AB3651" s="1296"/>
      <c r="AC3651" s="1295"/>
      <c r="AD3651" s="1295"/>
      <c r="AE3651" s="2556"/>
      <c r="AF3651" s="750"/>
      <c r="AG3651" s="750"/>
      <c r="AH3651" s="750"/>
      <c r="AI3651" s="750"/>
      <c r="AJ3651" s="750"/>
      <c r="AK3651" s="750"/>
      <c r="AL3651" s="750"/>
      <c r="AM3651" s="750"/>
      <c r="AN3651" s="750"/>
      <c r="AO3651" s="750"/>
      <c r="AP3651" s="750"/>
      <c r="AQ3651" s="750"/>
      <c r="AR3651" s="750"/>
      <c r="AS3651" s="750"/>
      <c r="AT3651" s="750"/>
      <c r="AU3651" s="750"/>
      <c r="AV3651" s="750"/>
      <c r="AW3651" s="750"/>
      <c r="AX3651" s="750"/>
      <c r="AY3651" s="750"/>
      <c r="AZ3651" s="750"/>
      <c r="BA3651" s="750"/>
      <c r="BB3651" s="750"/>
      <c r="BC3651" s="750"/>
      <c r="BD3651" s="750"/>
      <c r="BE3651" s="750"/>
      <c r="BF3651" s="750"/>
      <c r="BG3651" s="750"/>
      <c r="BH3651" s="750"/>
      <c r="BI3651" s="750"/>
      <c r="BJ3651" s="750"/>
      <c r="BK3651" s="750"/>
      <c r="BL3651" s="750"/>
      <c r="BM3651" s="750"/>
      <c r="BN3651" s="750"/>
      <c r="BO3651" s="750"/>
      <c r="BP3651" s="750"/>
      <c r="BQ3651" s="750"/>
    </row>
    <row r="3652" spans="3:69">
      <c r="C3652" s="853"/>
      <c r="D3652" s="853"/>
      <c r="E3652" s="853"/>
      <c r="F3652" s="853"/>
      <c r="G3652" s="853"/>
      <c r="H3652" s="853"/>
      <c r="I3652" s="848"/>
      <c r="J3652" s="848"/>
      <c r="K3652" s="1295"/>
      <c r="L3652" s="1295"/>
      <c r="M3652" s="1295"/>
      <c r="N3652" s="1295"/>
      <c r="O3652" s="1295"/>
      <c r="P3652" s="853"/>
      <c r="Q3652" s="1295"/>
      <c r="R3652" s="848"/>
      <c r="S3652" s="848"/>
      <c r="T3652" s="848"/>
      <c r="U3652" s="848"/>
      <c r="V3652" s="1296"/>
      <c r="W3652" s="848"/>
      <c r="X3652" s="848"/>
      <c r="Y3652" s="1295"/>
      <c r="Z3652" s="1296"/>
      <c r="AA3652" s="1295"/>
      <c r="AB3652" s="1296"/>
      <c r="AC3652" s="1295"/>
      <c r="AD3652" s="1295"/>
      <c r="AE3652" s="2556"/>
      <c r="AF3652" s="750"/>
      <c r="AG3652" s="750"/>
      <c r="AH3652" s="750"/>
      <c r="AI3652" s="750"/>
      <c r="AJ3652" s="750"/>
      <c r="AK3652" s="750"/>
      <c r="AL3652" s="750"/>
      <c r="AM3652" s="750"/>
      <c r="AN3652" s="750"/>
      <c r="AO3652" s="750"/>
      <c r="AP3652" s="750"/>
      <c r="AQ3652" s="750"/>
      <c r="AR3652" s="750"/>
      <c r="AS3652" s="750"/>
      <c r="AT3652" s="750"/>
      <c r="AU3652" s="750"/>
      <c r="AV3652" s="750"/>
      <c r="AW3652" s="750"/>
      <c r="AX3652" s="750"/>
      <c r="AY3652" s="750"/>
      <c r="AZ3652" s="750"/>
      <c r="BA3652" s="750"/>
      <c r="BB3652" s="750"/>
      <c r="BC3652" s="750"/>
      <c r="BD3652" s="750"/>
      <c r="BE3652" s="750"/>
      <c r="BF3652" s="750"/>
      <c r="BG3652" s="750"/>
      <c r="BH3652" s="750"/>
      <c r="BI3652" s="750"/>
      <c r="BJ3652" s="750"/>
      <c r="BK3652" s="750"/>
      <c r="BL3652" s="750"/>
      <c r="BM3652" s="750"/>
      <c r="BN3652" s="750"/>
      <c r="BO3652" s="750"/>
      <c r="BP3652" s="750"/>
      <c r="BQ3652" s="750"/>
    </row>
    <row r="3653" spans="3:69">
      <c r="C3653" s="853"/>
      <c r="D3653" s="853"/>
      <c r="E3653" s="853"/>
      <c r="F3653" s="853"/>
      <c r="G3653" s="853"/>
      <c r="H3653" s="853"/>
      <c r="I3653" s="848"/>
      <c r="J3653" s="848"/>
      <c r="K3653" s="1295"/>
      <c r="L3653" s="1295"/>
      <c r="M3653" s="1295"/>
      <c r="N3653" s="1295"/>
      <c r="O3653" s="1295"/>
      <c r="P3653" s="853"/>
      <c r="Q3653" s="1295"/>
      <c r="R3653" s="848"/>
      <c r="S3653" s="848"/>
      <c r="T3653" s="848"/>
      <c r="U3653" s="848"/>
      <c r="V3653" s="1296"/>
      <c r="W3653" s="848"/>
      <c r="X3653" s="848"/>
      <c r="Y3653" s="1295"/>
      <c r="Z3653" s="1296"/>
      <c r="AA3653" s="1295"/>
      <c r="AB3653" s="1296"/>
      <c r="AC3653" s="1295"/>
      <c r="AD3653" s="1295"/>
      <c r="AE3653" s="2556"/>
      <c r="AF3653" s="750"/>
      <c r="AG3653" s="750"/>
      <c r="AH3653" s="750"/>
      <c r="AI3653" s="750"/>
      <c r="AJ3653" s="750"/>
      <c r="AK3653" s="750"/>
      <c r="AL3653" s="750"/>
      <c r="AM3653" s="750"/>
      <c r="AN3653" s="750"/>
      <c r="AO3653" s="750"/>
      <c r="AP3653" s="750"/>
      <c r="AQ3653" s="750"/>
      <c r="AR3653" s="750"/>
      <c r="AS3653" s="750"/>
      <c r="AT3653" s="750"/>
      <c r="AU3653" s="750"/>
      <c r="AV3653" s="750"/>
      <c r="AW3653" s="750"/>
      <c r="AX3653" s="750"/>
      <c r="AY3653" s="750"/>
      <c r="AZ3653" s="750"/>
      <c r="BA3653" s="750"/>
      <c r="BB3653" s="750"/>
      <c r="BC3653" s="750"/>
      <c r="BD3653" s="750"/>
      <c r="BE3653" s="750"/>
      <c r="BF3653" s="750"/>
      <c r="BG3653" s="750"/>
      <c r="BH3653" s="750"/>
      <c r="BI3653" s="750"/>
      <c r="BJ3653" s="750"/>
      <c r="BK3653" s="750"/>
      <c r="BL3653" s="750"/>
      <c r="BM3653" s="750"/>
      <c r="BN3653" s="750"/>
      <c r="BO3653" s="750"/>
      <c r="BP3653" s="750"/>
      <c r="BQ3653" s="750"/>
    </row>
    <row r="3654" spans="3:69">
      <c r="C3654" s="853"/>
      <c r="D3654" s="853"/>
      <c r="E3654" s="853"/>
      <c r="F3654" s="853"/>
      <c r="G3654" s="853"/>
      <c r="H3654" s="853"/>
      <c r="I3654" s="848"/>
      <c r="J3654" s="848"/>
      <c r="K3654" s="1295"/>
      <c r="L3654" s="1295"/>
      <c r="M3654" s="1295"/>
      <c r="N3654" s="1295"/>
      <c r="O3654" s="1295"/>
      <c r="P3654" s="853"/>
      <c r="Q3654" s="1295"/>
      <c r="R3654" s="848"/>
      <c r="S3654" s="848"/>
      <c r="T3654" s="848"/>
      <c r="U3654" s="848"/>
      <c r="V3654" s="1296"/>
      <c r="W3654" s="848"/>
      <c r="X3654" s="848"/>
      <c r="Y3654" s="1295"/>
      <c r="Z3654" s="1296"/>
      <c r="AA3654" s="1295"/>
      <c r="AB3654" s="1296"/>
      <c r="AC3654" s="1295"/>
      <c r="AD3654" s="1295"/>
      <c r="AE3654" s="2556"/>
      <c r="AF3654" s="750"/>
      <c r="AG3654" s="750"/>
      <c r="AH3654" s="750"/>
      <c r="AI3654" s="750"/>
      <c r="AJ3654" s="750"/>
      <c r="AK3654" s="750"/>
      <c r="AL3654" s="750"/>
      <c r="AM3654" s="750"/>
      <c r="AN3654" s="750"/>
      <c r="AO3654" s="750"/>
      <c r="AP3654" s="750"/>
      <c r="AQ3654" s="750"/>
      <c r="AR3654" s="750"/>
      <c r="AS3654" s="750"/>
      <c r="AT3654" s="750"/>
      <c r="AU3654" s="750"/>
      <c r="AV3654" s="750"/>
      <c r="AW3654" s="750"/>
      <c r="AX3654" s="750"/>
      <c r="AY3654" s="750"/>
      <c r="AZ3654" s="750"/>
      <c r="BA3654" s="750"/>
      <c r="BB3654" s="750"/>
      <c r="BC3654" s="750"/>
      <c r="BD3654" s="750"/>
      <c r="BE3654" s="750"/>
      <c r="BF3654" s="750"/>
      <c r="BG3654" s="750"/>
      <c r="BH3654" s="750"/>
      <c r="BI3654" s="750"/>
      <c r="BJ3654" s="750"/>
      <c r="BK3654" s="750"/>
      <c r="BL3654" s="750"/>
      <c r="BM3654" s="750"/>
      <c r="BN3654" s="750"/>
      <c r="BO3654" s="750"/>
      <c r="BP3654" s="750"/>
      <c r="BQ3654" s="750"/>
    </row>
    <row r="3655" spans="3:69">
      <c r="C3655" s="853"/>
      <c r="D3655" s="853"/>
      <c r="E3655" s="853"/>
      <c r="F3655" s="853"/>
      <c r="G3655" s="853"/>
      <c r="H3655" s="853"/>
      <c r="I3655" s="848"/>
      <c r="J3655" s="848"/>
      <c r="K3655" s="1295"/>
      <c r="L3655" s="1295"/>
      <c r="M3655" s="1295"/>
      <c r="N3655" s="1295"/>
      <c r="O3655" s="1295"/>
      <c r="P3655" s="853"/>
      <c r="Q3655" s="1295"/>
      <c r="R3655" s="848"/>
      <c r="S3655" s="848"/>
      <c r="T3655" s="848"/>
      <c r="U3655" s="848"/>
      <c r="V3655" s="1296"/>
      <c r="W3655" s="848"/>
      <c r="X3655" s="848"/>
      <c r="Y3655" s="1295"/>
      <c r="Z3655" s="1296"/>
      <c r="AA3655" s="1295"/>
      <c r="AB3655" s="1296"/>
      <c r="AC3655" s="1295"/>
      <c r="AD3655" s="1295"/>
      <c r="AE3655" s="2556"/>
      <c r="AF3655" s="750"/>
      <c r="AG3655" s="750"/>
      <c r="AH3655" s="750"/>
      <c r="AI3655" s="750"/>
      <c r="AJ3655" s="750"/>
      <c r="AK3655" s="750"/>
      <c r="AL3655" s="750"/>
      <c r="AM3655" s="750"/>
      <c r="AN3655" s="750"/>
      <c r="AO3655" s="750"/>
      <c r="AP3655" s="750"/>
      <c r="AQ3655" s="750"/>
      <c r="AR3655" s="750"/>
      <c r="AS3655" s="750"/>
      <c r="AT3655" s="750"/>
      <c r="AU3655" s="750"/>
      <c r="AV3655" s="750"/>
      <c r="AW3655" s="750"/>
      <c r="AX3655" s="750"/>
      <c r="AY3655" s="750"/>
      <c r="AZ3655" s="750"/>
      <c r="BA3655" s="750"/>
      <c r="BB3655" s="750"/>
      <c r="BC3655" s="750"/>
      <c r="BD3655" s="750"/>
      <c r="BE3655" s="750"/>
      <c r="BF3655" s="750"/>
      <c r="BG3655" s="750"/>
      <c r="BH3655" s="750"/>
      <c r="BI3655" s="750"/>
      <c r="BJ3655" s="750"/>
      <c r="BK3655" s="750"/>
      <c r="BL3655" s="750"/>
      <c r="BM3655" s="750"/>
      <c r="BN3655" s="750"/>
      <c r="BO3655" s="750"/>
      <c r="BP3655" s="750"/>
      <c r="BQ3655" s="750"/>
    </row>
    <row r="3656" spans="3:69">
      <c r="C3656" s="853"/>
      <c r="D3656" s="853"/>
      <c r="E3656" s="853"/>
      <c r="F3656" s="853"/>
      <c r="G3656" s="853"/>
      <c r="H3656" s="853"/>
      <c r="I3656" s="848"/>
      <c r="J3656" s="848"/>
      <c r="K3656" s="1295"/>
      <c r="L3656" s="1295"/>
      <c r="M3656" s="1295"/>
      <c r="N3656" s="1295"/>
      <c r="O3656" s="1295"/>
      <c r="P3656" s="853"/>
      <c r="Q3656" s="1295"/>
      <c r="R3656" s="848"/>
      <c r="S3656" s="848"/>
      <c r="T3656" s="848"/>
      <c r="U3656" s="848"/>
      <c r="V3656" s="1296"/>
      <c r="W3656" s="848"/>
      <c r="X3656" s="848"/>
      <c r="Y3656" s="1295"/>
      <c r="Z3656" s="1296"/>
      <c r="AA3656" s="1295"/>
      <c r="AB3656" s="1296"/>
      <c r="AC3656" s="1295"/>
      <c r="AD3656" s="1295"/>
      <c r="AE3656" s="2556"/>
      <c r="AF3656" s="750"/>
      <c r="AG3656" s="750"/>
      <c r="AH3656" s="750"/>
      <c r="AI3656" s="750"/>
      <c r="AJ3656" s="750"/>
      <c r="AK3656" s="750"/>
      <c r="AL3656" s="750"/>
      <c r="AM3656" s="750"/>
      <c r="AN3656" s="750"/>
      <c r="AO3656" s="750"/>
      <c r="AP3656" s="750"/>
      <c r="AQ3656" s="750"/>
      <c r="AR3656" s="750"/>
      <c r="AS3656" s="750"/>
      <c r="AT3656" s="750"/>
      <c r="AU3656" s="750"/>
      <c r="AV3656" s="750"/>
      <c r="AW3656" s="750"/>
      <c r="AX3656" s="750"/>
      <c r="AY3656" s="750"/>
      <c r="AZ3656" s="750"/>
      <c r="BA3656" s="750"/>
      <c r="BB3656" s="750"/>
      <c r="BC3656" s="750"/>
      <c r="BD3656" s="750"/>
      <c r="BE3656" s="750"/>
      <c r="BF3656" s="750"/>
      <c r="BG3656" s="750"/>
      <c r="BH3656" s="750"/>
      <c r="BI3656" s="750"/>
      <c r="BJ3656" s="750"/>
      <c r="BK3656" s="750"/>
      <c r="BL3656" s="750"/>
      <c r="BM3656" s="750"/>
      <c r="BN3656" s="750"/>
      <c r="BO3656" s="750"/>
      <c r="BP3656" s="750"/>
      <c r="BQ3656" s="750"/>
    </row>
    <row r="3657" spans="3:69">
      <c r="C3657" s="853"/>
      <c r="D3657" s="853"/>
      <c r="E3657" s="853"/>
      <c r="F3657" s="853"/>
      <c r="G3657" s="853"/>
      <c r="H3657" s="853"/>
      <c r="I3657" s="848"/>
      <c r="J3657" s="848"/>
      <c r="K3657" s="1295"/>
      <c r="L3657" s="1295"/>
      <c r="M3657" s="1295"/>
      <c r="N3657" s="1295"/>
      <c r="O3657" s="1295"/>
      <c r="P3657" s="853"/>
      <c r="Q3657" s="1295"/>
      <c r="R3657" s="848"/>
      <c r="S3657" s="848"/>
      <c r="T3657" s="848"/>
      <c r="U3657" s="848"/>
      <c r="V3657" s="1296"/>
      <c r="W3657" s="848"/>
      <c r="X3657" s="848"/>
      <c r="Y3657" s="1295"/>
      <c r="Z3657" s="1296"/>
      <c r="AA3657" s="1295"/>
      <c r="AB3657" s="1296"/>
      <c r="AC3657" s="1295"/>
      <c r="AD3657" s="1295"/>
      <c r="AE3657" s="2556"/>
      <c r="AF3657" s="750"/>
      <c r="AG3657" s="750"/>
      <c r="AH3657" s="750"/>
      <c r="AI3657" s="750"/>
      <c r="AJ3657" s="750"/>
      <c r="AK3657" s="750"/>
      <c r="AL3657" s="750"/>
      <c r="AM3657" s="750"/>
      <c r="AN3657" s="750"/>
      <c r="AO3657" s="750"/>
      <c r="AP3657" s="750"/>
      <c r="AQ3657" s="750"/>
      <c r="AR3657" s="750"/>
      <c r="AS3657" s="750"/>
      <c r="AT3657" s="750"/>
      <c r="AU3657" s="750"/>
      <c r="AV3657" s="750"/>
      <c r="AW3657" s="750"/>
      <c r="AX3657" s="750"/>
      <c r="AY3657" s="750"/>
      <c r="AZ3657" s="750"/>
      <c r="BA3657" s="750"/>
      <c r="BB3657" s="750"/>
      <c r="BC3657" s="750"/>
      <c r="BD3657" s="750"/>
      <c r="BE3657" s="750"/>
      <c r="BF3657" s="750"/>
      <c r="BG3657" s="750"/>
      <c r="BH3657" s="750"/>
      <c r="BI3657" s="750"/>
      <c r="BJ3657" s="750"/>
      <c r="BK3657" s="750"/>
      <c r="BL3657" s="750"/>
      <c r="BM3657" s="750"/>
      <c r="BN3657" s="750"/>
      <c r="BO3657" s="750"/>
      <c r="BP3657" s="750"/>
      <c r="BQ3657" s="750"/>
    </row>
    <row r="3658" spans="3:69">
      <c r="C3658" s="853"/>
      <c r="D3658" s="853"/>
      <c r="E3658" s="853"/>
      <c r="F3658" s="853"/>
      <c r="G3658" s="853"/>
      <c r="H3658" s="853"/>
      <c r="I3658" s="848"/>
      <c r="J3658" s="848"/>
      <c r="K3658" s="1295"/>
      <c r="L3658" s="1295"/>
      <c r="M3658" s="1295"/>
      <c r="N3658" s="1295"/>
      <c r="O3658" s="1295"/>
      <c r="P3658" s="853"/>
      <c r="Q3658" s="1295"/>
      <c r="R3658" s="848"/>
      <c r="S3658" s="848"/>
      <c r="T3658" s="848"/>
      <c r="U3658" s="848"/>
      <c r="V3658" s="1296"/>
      <c r="W3658" s="848"/>
      <c r="X3658" s="848"/>
      <c r="Y3658" s="1295"/>
      <c r="Z3658" s="1296"/>
      <c r="AA3658" s="1295"/>
      <c r="AB3658" s="1296"/>
      <c r="AC3658" s="1295"/>
      <c r="AD3658" s="1295"/>
      <c r="AE3658" s="2556"/>
      <c r="AF3658" s="750"/>
      <c r="AG3658" s="750"/>
      <c r="AH3658" s="750"/>
      <c r="AI3658" s="750"/>
      <c r="AJ3658" s="750"/>
      <c r="AK3658" s="750"/>
      <c r="AL3658" s="750"/>
      <c r="AM3658" s="750"/>
      <c r="AN3658" s="750"/>
      <c r="AO3658" s="750"/>
      <c r="AP3658" s="750"/>
      <c r="AQ3658" s="750"/>
      <c r="AR3658" s="750"/>
      <c r="AS3658" s="750"/>
      <c r="AT3658" s="750"/>
      <c r="AU3658" s="750"/>
      <c r="AV3658" s="750"/>
      <c r="AW3658" s="750"/>
      <c r="AX3658" s="750"/>
      <c r="AY3658" s="750"/>
      <c r="AZ3658" s="750"/>
      <c r="BA3658" s="750"/>
      <c r="BB3658" s="750"/>
      <c r="BC3658" s="750"/>
      <c r="BD3658" s="750"/>
      <c r="BE3658" s="750"/>
      <c r="BF3658" s="750"/>
      <c r="BG3658" s="750"/>
      <c r="BH3658" s="750"/>
      <c r="BI3658" s="750"/>
      <c r="BJ3658" s="750"/>
      <c r="BK3658" s="750"/>
      <c r="BL3658" s="750"/>
      <c r="BM3658" s="750"/>
      <c r="BN3658" s="750"/>
      <c r="BO3658" s="750"/>
      <c r="BP3658" s="750"/>
      <c r="BQ3658" s="750"/>
    </row>
    <row r="3659" spans="3:69">
      <c r="C3659" s="853"/>
      <c r="D3659" s="853"/>
      <c r="E3659" s="853"/>
      <c r="F3659" s="853"/>
      <c r="G3659" s="853"/>
      <c r="H3659" s="853"/>
      <c r="I3659" s="848"/>
      <c r="J3659" s="848"/>
      <c r="K3659" s="1295"/>
      <c r="L3659" s="1295"/>
      <c r="M3659" s="1295"/>
      <c r="N3659" s="1295"/>
      <c r="O3659" s="1295"/>
      <c r="P3659" s="853"/>
      <c r="Q3659" s="1295"/>
      <c r="R3659" s="848"/>
      <c r="S3659" s="848"/>
      <c r="T3659" s="848"/>
      <c r="U3659" s="848"/>
      <c r="V3659" s="1296"/>
      <c r="W3659" s="848"/>
      <c r="X3659" s="848"/>
      <c r="Y3659" s="1295"/>
      <c r="Z3659" s="1296"/>
      <c r="AA3659" s="1295"/>
      <c r="AB3659" s="1296"/>
      <c r="AC3659" s="1295"/>
      <c r="AD3659" s="1295"/>
      <c r="AE3659" s="2556"/>
      <c r="AF3659" s="750"/>
      <c r="AG3659" s="750"/>
      <c r="AH3659" s="750"/>
      <c r="AI3659" s="750"/>
      <c r="AJ3659" s="750"/>
      <c r="AK3659" s="750"/>
      <c r="AL3659" s="750"/>
      <c r="AM3659" s="750"/>
      <c r="AN3659" s="750"/>
      <c r="AO3659" s="750"/>
      <c r="AP3659" s="750"/>
      <c r="AQ3659" s="750"/>
      <c r="AR3659" s="750"/>
      <c r="AS3659" s="750"/>
      <c r="AT3659" s="750"/>
      <c r="AU3659" s="750"/>
      <c r="AV3659" s="750"/>
      <c r="AW3659" s="750"/>
      <c r="AX3659" s="750"/>
      <c r="AY3659" s="750"/>
      <c r="AZ3659" s="750"/>
      <c r="BA3659" s="750"/>
      <c r="BB3659" s="750"/>
      <c r="BC3659" s="750"/>
      <c r="BD3659" s="750"/>
      <c r="BE3659" s="750"/>
      <c r="BF3659" s="750"/>
      <c r="BG3659" s="750"/>
      <c r="BH3659" s="750"/>
      <c r="BI3659" s="750"/>
      <c r="BJ3659" s="750"/>
      <c r="BK3659" s="750"/>
      <c r="BL3659" s="750"/>
      <c r="BM3659" s="750"/>
      <c r="BN3659" s="750"/>
      <c r="BO3659" s="750"/>
      <c r="BP3659" s="750"/>
      <c r="BQ3659" s="750"/>
    </row>
    <row r="3660" spans="3:69">
      <c r="C3660" s="853"/>
      <c r="D3660" s="853"/>
      <c r="E3660" s="853"/>
      <c r="F3660" s="853"/>
      <c r="G3660" s="853"/>
      <c r="H3660" s="853"/>
      <c r="I3660" s="848"/>
      <c r="J3660" s="848"/>
      <c r="K3660" s="1295"/>
      <c r="L3660" s="1295"/>
      <c r="M3660" s="1295"/>
      <c r="N3660" s="1295"/>
      <c r="O3660" s="1295"/>
      <c r="P3660" s="853"/>
      <c r="Q3660" s="1295"/>
      <c r="R3660" s="848"/>
      <c r="S3660" s="848"/>
      <c r="T3660" s="848"/>
      <c r="U3660" s="848"/>
      <c r="V3660" s="1296"/>
      <c r="W3660" s="848"/>
      <c r="X3660" s="848"/>
      <c r="Y3660" s="1295"/>
      <c r="Z3660" s="1296"/>
      <c r="AA3660" s="1295"/>
      <c r="AB3660" s="1296"/>
      <c r="AC3660" s="1295"/>
      <c r="AD3660" s="1295"/>
      <c r="AE3660" s="2556"/>
      <c r="AF3660" s="750"/>
      <c r="AG3660" s="750"/>
      <c r="AH3660" s="750"/>
      <c r="AI3660" s="750"/>
      <c r="AJ3660" s="750"/>
      <c r="AK3660" s="750"/>
      <c r="AL3660" s="750"/>
      <c r="AM3660" s="750"/>
      <c r="AN3660" s="750"/>
      <c r="AO3660" s="750"/>
      <c r="AP3660" s="750"/>
      <c r="AQ3660" s="750"/>
      <c r="AR3660" s="750"/>
      <c r="AS3660" s="750"/>
      <c r="AT3660" s="750"/>
      <c r="AU3660" s="750"/>
      <c r="AV3660" s="750"/>
      <c r="AW3660" s="750"/>
      <c r="AX3660" s="750"/>
      <c r="AY3660" s="750"/>
      <c r="AZ3660" s="750"/>
      <c r="BA3660" s="750"/>
      <c r="BB3660" s="750"/>
      <c r="BC3660" s="750"/>
      <c r="BD3660" s="750"/>
      <c r="BE3660" s="750"/>
      <c r="BF3660" s="750"/>
      <c r="BG3660" s="750"/>
      <c r="BH3660" s="750"/>
      <c r="BI3660" s="750"/>
      <c r="BJ3660" s="750"/>
      <c r="BK3660" s="750"/>
      <c r="BL3660" s="750"/>
      <c r="BM3660" s="750"/>
      <c r="BN3660" s="750"/>
      <c r="BO3660" s="750"/>
      <c r="BP3660" s="750"/>
      <c r="BQ3660" s="750"/>
    </row>
    <row r="3661" spans="3:69">
      <c r="C3661" s="853"/>
      <c r="D3661" s="853"/>
      <c r="E3661" s="853"/>
      <c r="F3661" s="853"/>
      <c r="G3661" s="853"/>
      <c r="H3661" s="853"/>
      <c r="I3661" s="848"/>
      <c r="J3661" s="848"/>
      <c r="K3661" s="1295"/>
      <c r="L3661" s="1295"/>
      <c r="M3661" s="1295"/>
      <c r="N3661" s="1295"/>
      <c r="O3661" s="1295"/>
      <c r="P3661" s="853"/>
      <c r="Q3661" s="1295"/>
      <c r="R3661" s="848"/>
      <c r="S3661" s="848"/>
      <c r="T3661" s="848"/>
      <c r="U3661" s="848"/>
      <c r="V3661" s="1296"/>
      <c r="W3661" s="848"/>
      <c r="X3661" s="848"/>
      <c r="Y3661" s="1295"/>
      <c r="Z3661" s="1296"/>
      <c r="AA3661" s="1295"/>
      <c r="AB3661" s="1296"/>
      <c r="AC3661" s="1295"/>
      <c r="AD3661" s="1295"/>
      <c r="AE3661" s="2556"/>
      <c r="AF3661" s="750"/>
      <c r="AG3661" s="750"/>
      <c r="AH3661" s="750"/>
      <c r="AI3661" s="750"/>
      <c r="AJ3661" s="750"/>
      <c r="AK3661" s="750"/>
      <c r="AL3661" s="750"/>
      <c r="AM3661" s="750"/>
      <c r="AN3661" s="750"/>
      <c r="AO3661" s="750"/>
      <c r="AP3661" s="750"/>
      <c r="AQ3661" s="750"/>
      <c r="AR3661" s="750"/>
      <c r="AS3661" s="750"/>
      <c r="AT3661" s="750"/>
      <c r="AU3661" s="750"/>
      <c r="AV3661" s="750"/>
      <c r="AW3661" s="750"/>
      <c r="AX3661" s="750"/>
      <c r="AY3661" s="750"/>
      <c r="AZ3661" s="750"/>
      <c r="BA3661" s="750"/>
      <c r="BB3661" s="750"/>
      <c r="BC3661" s="750"/>
      <c r="BD3661" s="750"/>
      <c r="BE3661" s="750"/>
      <c r="BF3661" s="750"/>
      <c r="BG3661" s="750"/>
      <c r="BH3661" s="750"/>
      <c r="BI3661" s="750"/>
      <c r="BJ3661" s="750"/>
      <c r="BK3661" s="750"/>
      <c r="BL3661" s="750"/>
      <c r="BM3661" s="750"/>
      <c r="BN3661" s="750"/>
      <c r="BO3661" s="750"/>
      <c r="BP3661" s="750"/>
      <c r="BQ3661" s="750"/>
    </row>
    <row r="3662" spans="3:69">
      <c r="C3662" s="853"/>
      <c r="D3662" s="853"/>
      <c r="E3662" s="853"/>
      <c r="F3662" s="853"/>
      <c r="G3662" s="853"/>
      <c r="H3662" s="853"/>
      <c r="I3662" s="848"/>
      <c r="J3662" s="848"/>
      <c r="K3662" s="1295"/>
      <c r="L3662" s="1295"/>
      <c r="M3662" s="1295"/>
      <c r="N3662" s="1295"/>
      <c r="O3662" s="1295"/>
      <c r="P3662" s="853"/>
      <c r="Q3662" s="1295"/>
      <c r="R3662" s="848"/>
      <c r="S3662" s="848"/>
      <c r="T3662" s="848"/>
      <c r="U3662" s="848"/>
      <c r="V3662" s="1296"/>
      <c r="W3662" s="848"/>
      <c r="X3662" s="848"/>
      <c r="Y3662" s="1295"/>
      <c r="Z3662" s="1296"/>
      <c r="AA3662" s="1295"/>
      <c r="AB3662" s="1296"/>
      <c r="AC3662" s="1295"/>
      <c r="AD3662" s="1295"/>
      <c r="AE3662" s="2556"/>
      <c r="AF3662" s="750"/>
      <c r="AG3662" s="750"/>
      <c r="AH3662" s="750"/>
      <c r="AI3662" s="750"/>
      <c r="AJ3662" s="750"/>
      <c r="AK3662" s="750"/>
      <c r="AL3662" s="750"/>
      <c r="AM3662" s="750"/>
      <c r="AN3662" s="750"/>
      <c r="AO3662" s="750"/>
      <c r="AP3662" s="750"/>
      <c r="AQ3662" s="750"/>
      <c r="AR3662" s="750"/>
      <c r="AS3662" s="750"/>
      <c r="AT3662" s="750"/>
      <c r="AU3662" s="750"/>
      <c r="AV3662" s="750"/>
      <c r="AW3662" s="750"/>
      <c r="AX3662" s="750"/>
      <c r="AY3662" s="750"/>
      <c r="AZ3662" s="750"/>
      <c r="BA3662" s="750"/>
      <c r="BB3662" s="750"/>
      <c r="BC3662" s="750"/>
      <c r="BD3662" s="750"/>
      <c r="BE3662" s="750"/>
      <c r="BF3662" s="750"/>
      <c r="BG3662" s="750"/>
      <c r="BH3662" s="750"/>
      <c r="BI3662" s="750"/>
      <c r="BJ3662" s="750"/>
      <c r="BK3662" s="750"/>
      <c r="BL3662" s="750"/>
      <c r="BM3662" s="750"/>
      <c r="BN3662" s="750"/>
      <c r="BO3662" s="750"/>
      <c r="BP3662" s="750"/>
      <c r="BQ3662" s="750"/>
    </row>
    <row r="3663" spans="3:69">
      <c r="C3663" s="853"/>
      <c r="D3663" s="853"/>
      <c r="E3663" s="853"/>
      <c r="F3663" s="853"/>
      <c r="G3663" s="853"/>
      <c r="H3663" s="853"/>
      <c r="I3663" s="848"/>
      <c r="J3663" s="848"/>
      <c r="K3663" s="1295"/>
      <c r="L3663" s="1295"/>
      <c r="M3663" s="1295"/>
      <c r="N3663" s="1295"/>
      <c r="O3663" s="1295"/>
      <c r="P3663" s="853"/>
      <c r="Q3663" s="1295"/>
      <c r="R3663" s="848"/>
      <c r="S3663" s="848"/>
      <c r="T3663" s="848"/>
      <c r="U3663" s="848"/>
      <c r="V3663" s="1296"/>
      <c r="W3663" s="848"/>
      <c r="X3663" s="848"/>
      <c r="Y3663" s="1295"/>
      <c r="Z3663" s="1296"/>
      <c r="AA3663" s="1295"/>
      <c r="AB3663" s="1296"/>
      <c r="AC3663" s="1295"/>
      <c r="AD3663" s="1295"/>
      <c r="AE3663" s="2556"/>
      <c r="AF3663" s="750"/>
      <c r="AG3663" s="750"/>
      <c r="AH3663" s="750"/>
      <c r="AI3663" s="750"/>
      <c r="AJ3663" s="750"/>
      <c r="AK3663" s="750"/>
      <c r="AL3663" s="750"/>
      <c r="AM3663" s="750"/>
      <c r="AN3663" s="750"/>
      <c r="AO3663" s="750"/>
      <c r="AP3663" s="750"/>
      <c r="AQ3663" s="750"/>
      <c r="AR3663" s="750"/>
      <c r="AS3663" s="750"/>
      <c r="AT3663" s="750"/>
      <c r="AU3663" s="750"/>
      <c r="AV3663" s="750"/>
      <c r="AW3663" s="750"/>
      <c r="AX3663" s="750"/>
      <c r="AY3663" s="750"/>
      <c r="AZ3663" s="750"/>
      <c r="BA3663" s="750"/>
      <c r="BB3663" s="750"/>
      <c r="BC3663" s="750"/>
      <c r="BD3663" s="750"/>
      <c r="BE3663" s="750"/>
      <c r="BF3663" s="750"/>
      <c r="BG3663" s="750"/>
      <c r="BH3663" s="750"/>
      <c r="BI3663" s="750"/>
      <c r="BJ3663" s="750"/>
      <c r="BK3663" s="750"/>
      <c r="BL3663" s="750"/>
      <c r="BM3663" s="750"/>
      <c r="BN3663" s="750"/>
      <c r="BO3663" s="750"/>
      <c r="BP3663" s="750"/>
      <c r="BQ3663" s="750"/>
    </row>
    <row r="3664" spans="3:69">
      <c r="C3664" s="853"/>
      <c r="D3664" s="853"/>
      <c r="E3664" s="853"/>
      <c r="F3664" s="853"/>
      <c r="G3664" s="853"/>
      <c r="H3664" s="853"/>
      <c r="I3664" s="848"/>
      <c r="J3664" s="848"/>
      <c r="K3664" s="1295"/>
      <c r="L3664" s="1295"/>
      <c r="M3664" s="1295"/>
      <c r="N3664" s="1295"/>
      <c r="O3664" s="1295"/>
      <c r="P3664" s="853"/>
      <c r="Q3664" s="1295"/>
      <c r="R3664" s="848"/>
      <c r="S3664" s="848"/>
      <c r="T3664" s="848"/>
      <c r="U3664" s="848"/>
      <c r="V3664" s="1296"/>
      <c r="W3664" s="848"/>
      <c r="X3664" s="848"/>
      <c r="Y3664" s="1295"/>
      <c r="Z3664" s="1296"/>
      <c r="AA3664" s="1295"/>
      <c r="AB3664" s="1296"/>
      <c r="AC3664" s="1295"/>
      <c r="AD3664" s="1295"/>
      <c r="AE3664" s="2556"/>
      <c r="AF3664" s="750"/>
      <c r="AG3664" s="750"/>
      <c r="AH3664" s="750"/>
      <c r="AI3664" s="750"/>
      <c r="AJ3664" s="750"/>
      <c r="AK3664" s="750"/>
      <c r="AL3664" s="750"/>
      <c r="AM3664" s="750"/>
      <c r="AN3664" s="750"/>
      <c r="AO3664" s="750"/>
      <c r="AP3664" s="750"/>
      <c r="AQ3664" s="750"/>
      <c r="AR3664" s="750"/>
      <c r="AS3664" s="750"/>
      <c r="AT3664" s="750"/>
      <c r="AU3664" s="750"/>
      <c r="AV3664" s="750"/>
      <c r="AW3664" s="750"/>
      <c r="AX3664" s="750"/>
      <c r="AY3664" s="750"/>
      <c r="AZ3664" s="750"/>
      <c r="BA3664" s="750"/>
      <c r="BB3664" s="750"/>
      <c r="BC3664" s="750"/>
      <c r="BD3664" s="750"/>
      <c r="BE3664" s="750"/>
      <c r="BF3664" s="750"/>
      <c r="BG3664" s="750"/>
      <c r="BH3664" s="750"/>
      <c r="BI3664" s="750"/>
      <c r="BJ3664" s="750"/>
      <c r="BK3664" s="750"/>
      <c r="BL3664" s="750"/>
      <c r="BM3664" s="750"/>
      <c r="BN3664" s="750"/>
      <c r="BO3664" s="750"/>
      <c r="BP3664" s="750"/>
      <c r="BQ3664" s="750"/>
    </row>
    <row r="3665" spans="3:69">
      <c r="C3665" s="853"/>
      <c r="D3665" s="853"/>
      <c r="E3665" s="853"/>
      <c r="F3665" s="853"/>
      <c r="G3665" s="853"/>
      <c r="H3665" s="853"/>
      <c r="I3665" s="848"/>
      <c r="J3665" s="848"/>
      <c r="K3665" s="1295"/>
      <c r="L3665" s="1295"/>
      <c r="M3665" s="1295"/>
      <c r="N3665" s="1295"/>
      <c r="O3665" s="1295"/>
      <c r="P3665" s="853"/>
      <c r="Q3665" s="1295"/>
      <c r="R3665" s="848"/>
      <c r="S3665" s="848"/>
      <c r="T3665" s="848"/>
      <c r="U3665" s="848"/>
      <c r="V3665" s="1296"/>
      <c r="W3665" s="848"/>
      <c r="X3665" s="848"/>
      <c r="Y3665" s="1295"/>
      <c r="Z3665" s="1296"/>
      <c r="AA3665" s="1295"/>
      <c r="AB3665" s="1296"/>
      <c r="AC3665" s="1295"/>
      <c r="AD3665" s="1295"/>
      <c r="AE3665" s="2556"/>
      <c r="AF3665" s="750"/>
      <c r="AG3665" s="750"/>
      <c r="AH3665" s="750"/>
      <c r="AI3665" s="750"/>
      <c r="AJ3665" s="750"/>
      <c r="AK3665" s="750"/>
      <c r="AL3665" s="750"/>
      <c r="AM3665" s="750"/>
      <c r="AN3665" s="750"/>
      <c r="AO3665" s="750"/>
      <c r="AP3665" s="750"/>
      <c r="AQ3665" s="750"/>
      <c r="AR3665" s="750"/>
      <c r="AS3665" s="750"/>
      <c r="AT3665" s="750"/>
      <c r="AU3665" s="750"/>
      <c r="AV3665" s="750"/>
      <c r="AW3665" s="750"/>
      <c r="AX3665" s="750"/>
      <c r="AY3665" s="750"/>
      <c r="AZ3665" s="750"/>
      <c r="BA3665" s="750"/>
      <c r="BB3665" s="750"/>
      <c r="BC3665" s="750"/>
      <c r="BD3665" s="750"/>
      <c r="BE3665" s="750"/>
      <c r="BF3665" s="750"/>
      <c r="BG3665" s="750"/>
      <c r="BH3665" s="750"/>
      <c r="BI3665" s="750"/>
      <c r="BJ3665" s="750"/>
      <c r="BK3665" s="750"/>
      <c r="BL3665" s="750"/>
      <c r="BM3665" s="750"/>
      <c r="BN3665" s="750"/>
      <c r="BO3665" s="750"/>
      <c r="BP3665" s="750"/>
      <c r="BQ3665" s="750"/>
    </row>
    <row r="3666" spans="3:69">
      <c r="C3666" s="853"/>
      <c r="D3666" s="853"/>
      <c r="E3666" s="853"/>
      <c r="F3666" s="853"/>
      <c r="G3666" s="853"/>
      <c r="H3666" s="853"/>
      <c r="I3666" s="848"/>
      <c r="J3666" s="848"/>
      <c r="K3666" s="1295"/>
      <c r="L3666" s="1295"/>
      <c r="M3666" s="1295"/>
      <c r="N3666" s="1295"/>
      <c r="O3666" s="1295"/>
      <c r="P3666" s="853"/>
      <c r="Q3666" s="1295"/>
      <c r="R3666" s="848"/>
      <c r="S3666" s="848"/>
      <c r="T3666" s="848"/>
      <c r="U3666" s="848"/>
      <c r="V3666" s="1296"/>
      <c r="W3666" s="848"/>
      <c r="X3666" s="848"/>
      <c r="Y3666" s="1295"/>
      <c r="Z3666" s="1296"/>
      <c r="AA3666" s="1295"/>
      <c r="AB3666" s="1296"/>
      <c r="AC3666" s="1295"/>
      <c r="AD3666" s="1295"/>
      <c r="AE3666" s="2556"/>
      <c r="AF3666" s="750"/>
      <c r="AG3666" s="750"/>
      <c r="AH3666" s="750"/>
      <c r="AI3666" s="750"/>
      <c r="AJ3666" s="750"/>
      <c r="AK3666" s="750"/>
      <c r="AL3666" s="750"/>
      <c r="AM3666" s="750"/>
      <c r="AN3666" s="750"/>
      <c r="AO3666" s="750"/>
      <c r="AP3666" s="750"/>
      <c r="AQ3666" s="750"/>
      <c r="AR3666" s="750"/>
      <c r="AS3666" s="750"/>
      <c r="AT3666" s="750"/>
      <c r="AU3666" s="750"/>
      <c r="AV3666" s="750"/>
      <c r="AW3666" s="750"/>
      <c r="AX3666" s="750"/>
      <c r="AY3666" s="750"/>
      <c r="AZ3666" s="750"/>
      <c r="BA3666" s="750"/>
      <c r="BB3666" s="750"/>
      <c r="BC3666" s="750"/>
      <c r="BD3666" s="750"/>
      <c r="BE3666" s="750"/>
      <c r="BF3666" s="750"/>
      <c r="BG3666" s="750"/>
      <c r="BH3666" s="750"/>
      <c r="BI3666" s="750"/>
      <c r="BJ3666" s="750"/>
      <c r="BK3666" s="750"/>
      <c r="BL3666" s="750"/>
      <c r="BM3666" s="750"/>
      <c r="BN3666" s="750"/>
      <c r="BO3666" s="750"/>
      <c r="BP3666" s="750"/>
      <c r="BQ3666" s="750"/>
    </row>
    <row r="3667" spans="3:69">
      <c r="C3667" s="853"/>
      <c r="D3667" s="853"/>
      <c r="E3667" s="853"/>
      <c r="F3667" s="853"/>
      <c r="G3667" s="853"/>
      <c r="H3667" s="853"/>
      <c r="I3667" s="848"/>
      <c r="J3667" s="848"/>
      <c r="K3667" s="1295"/>
      <c r="L3667" s="1295"/>
      <c r="M3667" s="1295"/>
      <c r="N3667" s="1295"/>
      <c r="O3667" s="1295"/>
      <c r="P3667" s="853"/>
      <c r="Q3667" s="1295"/>
      <c r="R3667" s="848"/>
      <c r="S3667" s="848"/>
      <c r="T3667" s="848"/>
      <c r="U3667" s="848"/>
      <c r="V3667" s="1296"/>
      <c r="W3667" s="848"/>
      <c r="X3667" s="848"/>
      <c r="Y3667" s="1295"/>
      <c r="Z3667" s="1296"/>
      <c r="AA3667" s="1295"/>
      <c r="AB3667" s="1296"/>
      <c r="AC3667" s="1295"/>
      <c r="AD3667" s="1295"/>
      <c r="AE3667" s="2556"/>
      <c r="AF3667" s="750"/>
      <c r="AG3667" s="750"/>
      <c r="AH3667" s="750"/>
      <c r="AI3667" s="750"/>
      <c r="AJ3667" s="750"/>
      <c r="AK3667" s="750"/>
      <c r="AL3667" s="750"/>
      <c r="AM3667" s="750"/>
      <c r="AN3667" s="750"/>
      <c r="AO3667" s="750"/>
      <c r="AP3667" s="750"/>
      <c r="AQ3667" s="750"/>
      <c r="AR3667" s="750"/>
      <c r="AS3667" s="750"/>
      <c r="AT3667" s="750"/>
      <c r="AU3667" s="750"/>
      <c r="AV3667" s="750"/>
      <c r="AW3667" s="750"/>
      <c r="AX3667" s="750"/>
      <c r="AY3667" s="750"/>
      <c r="AZ3667" s="750"/>
      <c r="BA3667" s="750"/>
      <c r="BB3667" s="750"/>
      <c r="BC3667" s="750"/>
      <c r="BD3667" s="750"/>
      <c r="BE3667" s="750"/>
      <c r="BF3667" s="750"/>
      <c r="BG3667" s="750"/>
      <c r="BH3667" s="750"/>
      <c r="BI3667" s="750"/>
      <c r="BJ3667" s="750"/>
      <c r="BK3667" s="750"/>
      <c r="BL3667" s="750"/>
      <c r="BM3667" s="750"/>
      <c r="BN3667" s="750"/>
      <c r="BO3667" s="750"/>
      <c r="BP3667" s="750"/>
      <c r="BQ3667" s="750"/>
    </row>
    <row r="3668" spans="3:69">
      <c r="C3668" s="853"/>
      <c r="D3668" s="853"/>
      <c r="E3668" s="853"/>
      <c r="F3668" s="853"/>
      <c r="G3668" s="853"/>
      <c r="H3668" s="853"/>
      <c r="I3668" s="848"/>
      <c r="J3668" s="848"/>
      <c r="K3668" s="1295"/>
      <c r="L3668" s="1295"/>
      <c r="M3668" s="1295"/>
      <c r="N3668" s="1295"/>
      <c r="O3668" s="1295"/>
      <c r="P3668" s="853"/>
      <c r="Q3668" s="1295"/>
      <c r="R3668" s="848"/>
      <c r="S3668" s="848"/>
      <c r="T3668" s="848"/>
      <c r="U3668" s="848"/>
      <c r="V3668" s="1296"/>
      <c r="W3668" s="848"/>
      <c r="X3668" s="848"/>
      <c r="Y3668" s="1295"/>
      <c r="Z3668" s="1296"/>
      <c r="AA3668" s="1295"/>
      <c r="AB3668" s="1296"/>
      <c r="AC3668" s="1295"/>
      <c r="AD3668" s="1295"/>
      <c r="AE3668" s="2556"/>
      <c r="AF3668" s="750"/>
      <c r="AG3668" s="750"/>
      <c r="AH3668" s="750"/>
      <c r="AI3668" s="750"/>
      <c r="AJ3668" s="750"/>
      <c r="AK3668" s="750"/>
      <c r="AL3668" s="750"/>
      <c r="AM3668" s="750"/>
      <c r="AN3668" s="750"/>
      <c r="AO3668" s="750"/>
      <c r="AP3668" s="750"/>
      <c r="AQ3668" s="750"/>
      <c r="AR3668" s="750"/>
      <c r="AS3668" s="750"/>
      <c r="AT3668" s="750"/>
      <c r="AU3668" s="750"/>
      <c r="AV3668" s="750"/>
      <c r="AW3668" s="750"/>
      <c r="AX3668" s="750"/>
      <c r="AY3668" s="750"/>
      <c r="AZ3668" s="750"/>
      <c r="BA3668" s="750"/>
      <c r="BB3668" s="750"/>
      <c r="BC3668" s="750"/>
      <c r="BD3668" s="750"/>
      <c r="BE3668" s="750"/>
      <c r="BF3668" s="750"/>
      <c r="BG3668" s="750"/>
      <c r="BH3668" s="750"/>
      <c r="BI3668" s="750"/>
      <c r="BJ3668" s="750"/>
      <c r="BK3668" s="750"/>
      <c r="BL3668" s="750"/>
      <c r="BM3668" s="750"/>
      <c r="BN3668" s="750"/>
      <c r="BO3668" s="750"/>
      <c r="BP3668" s="750"/>
      <c r="BQ3668" s="750"/>
    </row>
    <row r="3669" spans="3:69">
      <c r="C3669" s="853"/>
      <c r="D3669" s="853"/>
      <c r="E3669" s="853"/>
      <c r="F3669" s="853"/>
      <c r="G3669" s="853"/>
      <c r="H3669" s="853"/>
      <c r="I3669" s="848"/>
      <c r="J3669" s="848"/>
      <c r="K3669" s="1295"/>
      <c r="L3669" s="1295"/>
      <c r="M3669" s="1295"/>
      <c r="N3669" s="1295"/>
      <c r="O3669" s="1295"/>
      <c r="P3669" s="853"/>
      <c r="Q3669" s="1295"/>
      <c r="R3669" s="848"/>
      <c r="S3669" s="848"/>
      <c r="T3669" s="848"/>
      <c r="U3669" s="848"/>
      <c r="V3669" s="1296"/>
      <c r="W3669" s="848"/>
      <c r="X3669" s="848"/>
      <c r="Y3669" s="1295"/>
      <c r="Z3669" s="1296"/>
      <c r="AA3669" s="1295"/>
      <c r="AB3669" s="1296"/>
      <c r="AC3669" s="1295"/>
      <c r="AD3669" s="1295"/>
      <c r="AE3669" s="2556"/>
      <c r="AF3669" s="750"/>
      <c r="AG3669" s="750"/>
      <c r="AH3669" s="750"/>
      <c r="AI3669" s="750"/>
      <c r="AJ3669" s="750"/>
      <c r="AK3669" s="750"/>
      <c r="AL3669" s="750"/>
      <c r="AM3669" s="750"/>
      <c r="AN3669" s="750"/>
      <c r="AO3669" s="750"/>
      <c r="AP3669" s="750"/>
      <c r="AQ3669" s="750"/>
      <c r="AR3669" s="750"/>
      <c r="AS3669" s="750"/>
      <c r="AT3669" s="750"/>
      <c r="AU3669" s="750"/>
      <c r="AV3669" s="750"/>
      <c r="AW3669" s="750"/>
      <c r="AX3669" s="750"/>
      <c r="AY3669" s="750"/>
      <c r="AZ3669" s="750"/>
      <c r="BA3669" s="750"/>
      <c r="BB3669" s="750"/>
      <c r="BC3669" s="750"/>
      <c r="BD3669" s="750"/>
      <c r="BE3669" s="750"/>
      <c r="BF3669" s="750"/>
      <c r="BG3669" s="750"/>
      <c r="BH3669" s="750"/>
      <c r="BI3669" s="750"/>
      <c r="BJ3669" s="750"/>
      <c r="BK3669" s="750"/>
      <c r="BL3669" s="750"/>
      <c r="BM3669" s="750"/>
      <c r="BN3669" s="750"/>
      <c r="BO3669" s="750"/>
      <c r="BP3669" s="750"/>
      <c r="BQ3669" s="750"/>
    </row>
    <row r="3670" spans="3:69">
      <c r="C3670" s="853"/>
      <c r="D3670" s="853"/>
      <c r="E3670" s="853"/>
      <c r="F3670" s="853"/>
      <c r="G3670" s="853"/>
      <c r="H3670" s="853"/>
      <c r="I3670" s="848"/>
      <c r="J3670" s="848"/>
      <c r="K3670" s="1295"/>
      <c r="L3670" s="1295"/>
      <c r="M3670" s="1295"/>
      <c r="N3670" s="1295"/>
      <c r="O3670" s="1295"/>
      <c r="P3670" s="853"/>
      <c r="Q3670" s="1295"/>
      <c r="R3670" s="848"/>
      <c r="S3670" s="848"/>
      <c r="T3670" s="848"/>
      <c r="U3670" s="848"/>
      <c r="V3670" s="1296"/>
      <c r="W3670" s="848"/>
      <c r="X3670" s="848"/>
      <c r="Y3670" s="1295"/>
      <c r="Z3670" s="1296"/>
      <c r="AA3670" s="1295"/>
      <c r="AB3670" s="1296"/>
      <c r="AC3670" s="1295"/>
      <c r="AD3670" s="1295"/>
      <c r="AE3670" s="2556"/>
      <c r="AF3670" s="750"/>
      <c r="AG3670" s="750"/>
      <c r="AH3670" s="750"/>
      <c r="AI3670" s="750"/>
      <c r="AJ3670" s="750"/>
      <c r="AK3670" s="750"/>
      <c r="AL3670" s="750"/>
      <c r="AM3670" s="750"/>
      <c r="AN3670" s="750"/>
      <c r="AO3670" s="750"/>
      <c r="AP3670" s="750"/>
      <c r="AQ3670" s="750"/>
      <c r="AR3670" s="750"/>
      <c r="AS3670" s="750"/>
      <c r="AT3670" s="750"/>
      <c r="AU3670" s="750"/>
      <c r="AV3670" s="750"/>
      <c r="AW3670" s="750"/>
      <c r="AX3670" s="750"/>
      <c r="AY3670" s="750"/>
      <c r="AZ3670" s="750"/>
      <c r="BA3670" s="750"/>
      <c r="BB3670" s="750"/>
      <c r="BC3670" s="750"/>
      <c r="BD3670" s="750"/>
      <c r="BE3670" s="750"/>
      <c r="BF3670" s="750"/>
      <c r="BG3670" s="750"/>
      <c r="BH3670" s="750"/>
      <c r="BI3670" s="750"/>
      <c r="BJ3670" s="750"/>
      <c r="BK3670" s="750"/>
      <c r="BL3670" s="750"/>
      <c r="BM3670" s="750"/>
      <c r="BN3670" s="750"/>
      <c r="BO3670" s="750"/>
      <c r="BP3670" s="750"/>
      <c r="BQ3670" s="750"/>
    </row>
    <row r="3671" spans="3:69">
      <c r="C3671" s="853"/>
      <c r="D3671" s="853"/>
      <c r="E3671" s="853"/>
      <c r="F3671" s="853"/>
      <c r="G3671" s="853"/>
      <c r="H3671" s="853"/>
      <c r="I3671" s="848"/>
      <c r="J3671" s="848"/>
      <c r="K3671" s="1295"/>
      <c r="L3671" s="1295"/>
      <c r="M3671" s="1295"/>
      <c r="N3671" s="1295"/>
      <c r="O3671" s="1295"/>
      <c r="P3671" s="853"/>
      <c r="Q3671" s="1295"/>
      <c r="R3671" s="848"/>
      <c r="S3671" s="848"/>
      <c r="T3671" s="848"/>
      <c r="U3671" s="848"/>
      <c r="V3671" s="1296"/>
      <c r="W3671" s="848"/>
      <c r="X3671" s="848"/>
      <c r="Y3671" s="1295"/>
      <c r="Z3671" s="1296"/>
      <c r="AA3671" s="1295"/>
      <c r="AB3671" s="1296"/>
      <c r="AC3671" s="1295"/>
      <c r="AD3671" s="1295"/>
      <c r="AE3671" s="2556"/>
      <c r="AF3671" s="750"/>
      <c r="AG3671" s="750"/>
      <c r="AH3671" s="750"/>
      <c r="AI3671" s="750"/>
      <c r="AJ3671" s="750"/>
      <c r="AK3671" s="750"/>
      <c r="AL3671" s="750"/>
      <c r="AM3671" s="750"/>
      <c r="AN3671" s="750"/>
      <c r="AO3671" s="750"/>
      <c r="AP3671" s="750"/>
      <c r="AQ3671" s="750"/>
      <c r="AR3671" s="750"/>
      <c r="AS3671" s="750"/>
      <c r="AT3671" s="750"/>
      <c r="AU3671" s="750"/>
      <c r="AV3671" s="750"/>
      <c r="AW3671" s="750"/>
      <c r="AX3671" s="750"/>
      <c r="AY3671" s="750"/>
      <c r="AZ3671" s="750"/>
      <c r="BA3671" s="750"/>
      <c r="BB3671" s="750"/>
      <c r="BC3671" s="750"/>
      <c r="BD3671" s="750"/>
      <c r="BE3671" s="750"/>
      <c r="BF3671" s="750"/>
      <c r="BG3671" s="750"/>
      <c r="BH3671" s="750"/>
      <c r="BI3671" s="750"/>
      <c r="BJ3671" s="750"/>
      <c r="BK3671" s="750"/>
      <c r="BL3671" s="750"/>
      <c r="BM3671" s="750"/>
      <c r="BN3671" s="750"/>
      <c r="BO3671" s="750"/>
      <c r="BP3671" s="750"/>
      <c r="BQ3671" s="750"/>
    </row>
    <row r="3672" spans="3:69">
      <c r="C3672" s="853"/>
      <c r="D3672" s="853"/>
      <c r="E3672" s="853"/>
      <c r="F3672" s="853"/>
      <c r="G3672" s="853"/>
      <c r="H3672" s="853"/>
      <c r="I3672" s="848"/>
      <c r="J3672" s="848"/>
      <c r="K3672" s="1295"/>
      <c r="L3672" s="1295"/>
      <c r="M3672" s="1295"/>
      <c r="N3672" s="1295"/>
      <c r="O3672" s="1295"/>
      <c r="P3672" s="853"/>
      <c r="Q3672" s="1295"/>
      <c r="R3672" s="848"/>
      <c r="S3672" s="848"/>
      <c r="T3672" s="848"/>
      <c r="U3672" s="848"/>
      <c r="V3672" s="1296"/>
      <c r="W3672" s="848"/>
      <c r="X3672" s="848"/>
      <c r="Y3672" s="1295"/>
      <c r="Z3672" s="1296"/>
      <c r="AA3672" s="1295"/>
      <c r="AB3672" s="1296"/>
      <c r="AC3672" s="1295"/>
      <c r="AD3672" s="1295"/>
      <c r="AE3672" s="2556"/>
      <c r="AF3672" s="750"/>
      <c r="AG3672" s="750"/>
      <c r="AH3672" s="750"/>
      <c r="AI3672" s="750"/>
      <c r="AJ3672" s="750"/>
      <c r="AK3672" s="750"/>
      <c r="AL3672" s="750"/>
      <c r="AM3672" s="750"/>
      <c r="AN3672" s="750"/>
      <c r="AO3672" s="750"/>
      <c r="AP3672" s="750"/>
      <c r="AQ3672" s="750"/>
      <c r="AR3672" s="750"/>
      <c r="AS3672" s="750"/>
      <c r="AT3672" s="750"/>
      <c r="AU3672" s="750"/>
      <c r="AV3672" s="750"/>
      <c r="AW3672" s="750"/>
      <c r="AX3672" s="750"/>
      <c r="AY3672" s="750"/>
      <c r="AZ3672" s="750"/>
      <c r="BA3672" s="750"/>
      <c r="BB3672" s="750"/>
      <c r="BC3672" s="750"/>
      <c r="BD3672" s="750"/>
      <c r="BE3672" s="750"/>
      <c r="BF3672" s="750"/>
      <c r="BG3672" s="750"/>
      <c r="BH3672" s="750"/>
      <c r="BI3672" s="750"/>
      <c r="BJ3672" s="750"/>
      <c r="BK3672" s="750"/>
      <c r="BL3672" s="750"/>
      <c r="BM3672" s="750"/>
      <c r="BN3672" s="750"/>
      <c r="BO3672" s="750"/>
      <c r="BP3672" s="750"/>
      <c r="BQ3672" s="750"/>
    </row>
    <row r="3673" spans="3:69">
      <c r="C3673" s="853"/>
      <c r="D3673" s="853"/>
      <c r="E3673" s="853"/>
      <c r="F3673" s="853"/>
      <c r="G3673" s="853"/>
      <c r="H3673" s="853"/>
      <c r="I3673" s="848"/>
      <c r="J3673" s="848"/>
      <c r="K3673" s="1295"/>
      <c r="L3673" s="1295"/>
      <c r="M3673" s="1295"/>
      <c r="N3673" s="1295"/>
      <c r="O3673" s="1295"/>
      <c r="P3673" s="853"/>
      <c r="Q3673" s="1295"/>
      <c r="R3673" s="848"/>
      <c r="S3673" s="848"/>
      <c r="T3673" s="848"/>
      <c r="U3673" s="848"/>
      <c r="V3673" s="1296"/>
      <c r="W3673" s="848"/>
      <c r="X3673" s="848"/>
      <c r="Y3673" s="1295"/>
      <c r="Z3673" s="1296"/>
      <c r="AA3673" s="1295"/>
      <c r="AB3673" s="1296"/>
      <c r="AC3673" s="1295"/>
      <c r="AD3673" s="1295"/>
      <c r="AE3673" s="2556"/>
      <c r="AF3673" s="750"/>
      <c r="AG3673" s="750"/>
      <c r="AH3673" s="750"/>
      <c r="AI3673" s="750"/>
      <c r="AJ3673" s="750"/>
      <c r="AK3673" s="750"/>
      <c r="AL3673" s="750"/>
      <c r="AM3673" s="750"/>
      <c r="AN3673" s="750"/>
      <c r="AO3673" s="750"/>
      <c r="AP3673" s="750"/>
      <c r="AQ3673" s="750"/>
      <c r="AR3673" s="750"/>
      <c r="AS3673" s="750"/>
      <c r="AT3673" s="750"/>
      <c r="AU3673" s="750"/>
      <c r="AV3673" s="750"/>
      <c r="AW3673" s="750"/>
      <c r="AX3673" s="750"/>
      <c r="AY3673" s="750"/>
      <c r="AZ3673" s="750"/>
      <c r="BA3673" s="750"/>
      <c r="BB3673" s="750"/>
      <c r="BC3673" s="750"/>
      <c r="BD3673" s="750"/>
      <c r="BE3673" s="750"/>
      <c r="BF3673" s="750"/>
      <c r="BG3673" s="750"/>
      <c r="BH3673" s="750"/>
      <c r="BI3673" s="750"/>
      <c r="BJ3673" s="750"/>
      <c r="BK3673" s="750"/>
      <c r="BL3673" s="750"/>
      <c r="BM3673" s="750"/>
      <c r="BN3673" s="750"/>
      <c r="BO3673" s="750"/>
      <c r="BP3673" s="750"/>
      <c r="BQ3673" s="750"/>
    </row>
    <row r="3674" spans="3:69">
      <c r="C3674" s="853"/>
      <c r="D3674" s="853"/>
      <c r="E3674" s="853"/>
      <c r="F3674" s="853"/>
      <c r="G3674" s="853"/>
      <c r="H3674" s="853"/>
      <c r="I3674" s="848"/>
      <c r="J3674" s="848"/>
      <c r="K3674" s="1295"/>
      <c r="L3674" s="1295"/>
      <c r="M3674" s="1295"/>
      <c r="N3674" s="1295"/>
      <c r="O3674" s="1295"/>
      <c r="P3674" s="853"/>
      <c r="Q3674" s="1295"/>
      <c r="R3674" s="848"/>
      <c r="S3674" s="848"/>
      <c r="T3674" s="848"/>
      <c r="U3674" s="848"/>
      <c r="V3674" s="1296"/>
      <c r="W3674" s="848"/>
      <c r="X3674" s="848"/>
      <c r="Y3674" s="1295"/>
      <c r="Z3674" s="1296"/>
      <c r="AA3674" s="1295"/>
      <c r="AB3674" s="1296"/>
      <c r="AC3674" s="1295"/>
      <c r="AD3674" s="1295"/>
      <c r="AE3674" s="2556"/>
      <c r="AF3674" s="750"/>
      <c r="AG3674" s="750"/>
      <c r="AH3674" s="750"/>
      <c r="AI3674" s="750"/>
      <c r="AJ3674" s="750"/>
      <c r="AK3674" s="750"/>
      <c r="AL3674" s="750"/>
      <c r="AM3674" s="750"/>
      <c r="AN3674" s="750"/>
      <c r="AO3674" s="750"/>
      <c r="AP3674" s="750"/>
      <c r="AQ3674" s="750"/>
      <c r="AR3674" s="750"/>
      <c r="AS3674" s="750"/>
      <c r="AT3674" s="750"/>
      <c r="AU3674" s="750"/>
      <c r="AV3674" s="750"/>
      <c r="AW3674" s="750"/>
      <c r="AX3674" s="750"/>
      <c r="AY3674" s="750"/>
      <c r="AZ3674" s="750"/>
      <c r="BA3674" s="750"/>
      <c r="BB3674" s="750"/>
      <c r="BC3674" s="750"/>
      <c r="BD3674" s="750"/>
      <c r="BE3674" s="750"/>
      <c r="BF3674" s="750"/>
      <c r="BG3674" s="750"/>
      <c r="BH3674" s="750"/>
      <c r="BI3674" s="750"/>
      <c r="BJ3674" s="750"/>
      <c r="BK3674" s="750"/>
      <c r="BL3674" s="750"/>
      <c r="BM3674" s="750"/>
      <c r="BN3674" s="750"/>
      <c r="BO3674" s="750"/>
      <c r="BP3674" s="750"/>
      <c r="BQ3674" s="750"/>
    </row>
    <row r="3675" spans="3:69">
      <c r="C3675" s="853"/>
      <c r="D3675" s="853"/>
      <c r="E3675" s="853"/>
      <c r="F3675" s="853"/>
      <c r="G3675" s="853"/>
      <c r="H3675" s="853"/>
      <c r="I3675" s="848"/>
      <c r="J3675" s="848"/>
      <c r="K3675" s="1295"/>
      <c r="L3675" s="1295"/>
      <c r="M3675" s="1295"/>
      <c r="N3675" s="1295"/>
      <c r="O3675" s="1295"/>
      <c r="P3675" s="853"/>
      <c r="Q3675" s="1295"/>
      <c r="R3675" s="848"/>
      <c r="S3675" s="848"/>
      <c r="T3675" s="848"/>
      <c r="U3675" s="848"/>
      <c r="V3675" s="1296"/>
      <c r="W3675" s="848"/>
      <c r="X3675" s="848"/>
      <c r="Y3675" s="1295"/>
      <c r="Z3675" s="1296"/>
      <c r="AA3675" s="1295"/>
      <c r="AB3675" s="1296"/>
      <c r="AC3675" s="1295"/>
      <c r="AD3675" s="1295"/>
      <c r="AE3675" s="2556"/>
      <c r="AF3675" s="750"/>
      <c r="AG3675" s="750"/>
      <c r="AH3675" s="750"/>
      <c r="AI3675" s="750"/>
      <c r="AJ3675" s="750"/>
      <c r="AK3675" s="750"/>
      <c r="AL3675" s="750"/>
      <c r="AM3675" s="750"/>
      <c r="AN3675" s="750"/>
      <c r="AO3675" s="750"/>
      <c r="AP3675" s="750"/>
      <c r="AQ3675" s="750"/>
      <c r="AR3675" s="750"/>
      <c r="AS3675" s="750"/>
      <c r="AT3675" s="750"/>
      <c r="AU3675" s="750"/>
      <c r="AV3675" s="750"/>
      <c r="AW3675" s="750"/>
      <c r="AX3675" s="750"/>
      <c r="AY3675" s="750"/>
      <c r="AZ3675" s="750"/>
      <c r="BA3675" s="750"/>
      <c r="BB3675" s="750"/>
      <c r="BC3675" s="750"/>
      <c r="BD3675" s="750"/>
      <c r="BE3675" s="750"/>
      <c r="BF3675" s="750"/>
      <c r="BG3675" s="750"/>
      <c r="BH3675" s="750"/>
      <c r="BI3675" s="750"/>
      <c r="BJ3675" s="750"/>
      <c r="BK3675" s="750"/>
      <c r="BL3675" s="750"/>
      <c r="BM3675" s="750"/>
      <c r="BN3675" s="750"/>
      <c r="BO3675" s="750"/>
      <c r="BP3675" s="750"/>
      <c r="BQ3675" s="750"/>
    </row>
    <row r="3676" spans="3:69">
      <c r="C3676" s="853"/>
      <c r="D3676" s="853"/>
      <c r="E3676" s="853"/>
      <c r="F3676" s="853"/>
      <c r="G3676" s="853"/>
      <c r="H3676" s="853"/>
      <c r="I3676" s="848"/>
      <c r="J3676" s="848"/>
      <c r="K3676" s="1295"/>
      <c r="L3676" s="1295"/>
      <c r="M3676" s="1295"/>
      <c r="N3676" s="1295"/>
      <c r="O3676" s="1295"/>
      <c r="P3676" s="853"/>
      <c r="Q3676" s="1295"/>
      <c r="R3676" s="848"/>
      <c r="S3676" s="848"/>
      <c r="T3676" s="848"/>
      <c r="U3676" s="848"/>
      <c r="V3676" s="1296"/>
      <c r="W3676" s="848"/>
      <c r="X3676" s="848"/>
      <c r="Y3676" s="1295"/>
      <c r="Z3676" s="1296"/>
      <c r="AA3676" s="1295"/>
      <c r="AB3676" s="1296"/>
      <c r="AC3676" s="1295"/>
      <c r="AD3676" s="1295"/>
      <c r="AE3676" s="2556"/>
      <c r="AF3676" s="750"/>
      <c r="AG3676" s="750"/>
      <c r="AH3676" s="750"/>
      <c r="AI3676" s="750"/>
      <c r="AJ3676" s="750"/>
      <c r="AK3676" s="750"/>
      <c r="AL3676" s="750"/>
      <c r="AM3676" s="750"/>
      <c r="AN3676" s="750"/>
      <c r="AO3676" s="750"/>
      <c r="AP3676" s="750"/>
      <c r="AQ3676" s="750"/>
      <c r="AR3676" s="750"/>
      <c r="AS3676" s="750"/>
      <c r="AT3676" s="750"/>
      <c r="AU3676" s="750"/>
      <c r="AV3676" s="750"/>
      <c r="AW3676" s="750"/>
      <c r="AX3676" s="750"/>
      <c r="AY3676" s="750"/>
      <c r="AZ3676" s="750"/>
      <c r="BA3676" s="750"/>
      <c r="BB3676" s="750"/>
      <c r="BC3676" s="750"/>
      <c r="BD3676" s="750"/>
      <c r="BE3676" s="750"/>
      <c r="BF3676" s="750"/>
      <c r="BG3676" s="750"/>
      <c r="BH3676" s="750"/>
      <c r="BI3676" s="750"/>
      <c r="BJ3676" s="750"/>
      <c r="BK3676" s="750"/>
      <c r="BL3676" s="750"/>
      <c r="BM3676" s="750"/>
      <c r="BN3676" s="750"/>
      <c r="BO3676" s="750"/>
      <c r="BP3676" s="750"/>
      <c r="BQ3676" s="750"/>
    </row>
    <row r="3677" spans="3:69">
      <c r="C3677" s="853"/>
      <c r="D3677" s="853"/>
      <c r="E3677" s="853"/>
      <c r="F3677" s="853"/>
      <c r="G3677" s="853"/>
      <c r="H3677" s="853"/>
      <c r="I3677" s="848"/>
      <c r="J3677" s="848"/>
      <c r="K3677" s="1295"/>
      <c r="L3677" s="1295"/>
      <c r="M3677" s="1295"/>
      <c r="N3677" s="1295"/>
      <c r="O3677" s="1295"/>
      <c r="P3677" s="853"/>
      <c r="Q3677" s="1295"/>
      <c r="R3677" s="848"/>
      <c r="S3677" s="848"/>
      <c r="T3677" s="848"/>
      <c r="U3677" s="848"/>
      <c r="V3677" s="1296"/>
      <c r="W3677" s="848"/>
      <c r="X3677" s="848"/>
      <c r="Y3677" s="1295"/>
      <c r="Z3677" s="1296"/>
      <c r="AA3677" s="1295"/>
      <c r="AB3677" s="1296"/>
      <c r="AC3677" s="1295"/>
      <c r="AD3677" s="1295"/>
      <c r="AE3677" s="2556"/>
      <c r="AF3677" s="750"/>
      <c r="AG3677" s="750"/>
      <c r="AH3677" s="750"/>
      <c r="AI3677" s="750"/>
      <c r="AJ3677" s="750"/>
      <c r="AK3677" s="750"/>
      <c r="AL3677" s="750"/>
      <c r="AM3677" s="750"/>
      <c r="AN3677" s="750"/>
      <c r="AO3677" s="750"/>
      <c r="AP3677" s="750"/>
      <c r="AQ3677" s="750"/>
      <c r="AR3677" s="750"/>
      <c r="AS3677" s="750"/>
      <c r="AT3677" s="750"/>
      <c r="AU3677" s="750"/>
      <c r="AV3677" s="750"/>
      <c r="AW3677" s="750"/>
      <c r="AX3677" s="750"/>
      <c r="AY3677" s="750"/>
      <c r="AZ3677" s="750"/>
      <c r="BA3677" s="750"/>
      <c r="BB3677" s="750"/>
      <c r="BC3677" s="750"/>
      <c r="BD3677" s="750"/>
      <c r="BE3677" s="750"/>
      <c r="BF3677" s="750"/>
      <c r="BG3677" s="750"/>
      <c r="BH3677" s="750"/>
      <c r="BI3677" s="750"/>
      <c r="BJ3677" s="750"/>
      <c r="BK3677" s="750"/>
      <c r="BL3677" s="750"/>
      <c r="BM3677" s="750"/>
      <c r="BN3677" s="750"/>
      <c r="BO3677" s="750"/>
      <c r="BP3677" s="750"/>
      <c r="BQ3677" s="750"/>
    </row>
    <row r="3678" spans="3:69">
      <c r="C3678" s="853"/>
      <c r="D3678" s="853"/>
      <c r="E3678" s="853"/>
      <c r="F3678" s="853"/>
      <c r="G3678" s="853"/>
      <c r="H3678" s="853"/>
      <c r="I3678" s="848"/>
      <c r="J3678" s="848"/>
      <c r="K3678" s="1295"/>
      <c r="L3678" s="1295"/>
      <c r="M3678" s="1295"/>
      <c r="N3678" s="1295"/>
      <c r="O3678" s="1295"/>
      <c r="P3678" s="853"/>
      <c r="Q3678" s="1295"/>
      <c r="R3678" s="848"/>
      <c r="S3678" s="848"/>
      <c r="T3678" s="848"/>
      <c r="U3678" s="848"/>
      <c r="V3678" s="1296"/>
      <c r="W3678" s="848"/>
      <c r="X3678" s="848"/>
      <c r="Y3678" s="1295"/>
      <c r="Z3678" s="1296"/>
      <c r="AA3678" s="1295"/>
      <c r="AB3678" s="1296"/>
      <c r="AC3678" s="1295"/>
      <c r="AD3678" s="1295"/>
      <c r="AE3678" s="2556"/>
      <c r="AF3678" s="750"/>
      <c r="AG3678" s="750"/>
      <c r="AH3678" s="750"/>
      <c r="AI3678" s="750"/>
      <c r="AJ3678" s="750"/>
      <c r="AK3678" s="750"/>
      <c r="AL3678" s="750"/>
      <c r="AM3678" s="750"/>
      <c r="AN3678" s="750"/>
      <c r="AO3678" s="750"/>
      <c r="AP3678" s="750"/>
      <c r="AQ3678" s="750"/>
      <c r="AR3678" s="750"/>
      <c r="AS3678" s="750"/>
      <c r="AT3678" s="750"/>
      <c r="AU3678" s="750"/>
      <c r="AV3678" s="750"/>
      <c r="AW3678" s="750"/>
      <c r="AX3678" s="750"/>
      <c r="AY3678" s="750"/>
      <c r="AZ3678" s="750"/>
      <c r="BA3678" s="750"/>
      <c r="BB3678" s="750"/>
      <c r="BC3678" s="750"/>
      <c r="BD3678" s="750"/>
      <c r="BE3678" s="750"/>
      <c r="BF3678" s="750"/>
      <c r="BG3678" s="750"/>
      <c r="BH3678" s="750"/>
      <c r="BI3678" s="750"/>
      <c r="BJ3678" s="750"/>
      <c r="BK3678" s="750"/>
      <c r="BL3678" s="750"/>
      <c r="BM3678" s="750"/>
      <c r="BN3678" s="750"/>
      <c r="BO3678" s="750"/>
      <c r="BP3678" s="750"/>
      <c r="BQ3678" s="750"/>
    </row>
    <row r="3679" spans="3:69">
      <c r="C3679" s="853"/>
      <c r="D3679" s="853"/>
      <c r="E3679" s="853"/>
      <c r="F3679" s="853"/>
      <c r="G3679" s="853"/>
      <c r="H3679" s="853"/>
      <c r="I3679" s="848"/>
      <c r="J3679" s="848"/>
      <c r="K3679" s="1295"/>
      <c r="L3679" s="1295"/>
      <c r="M3679" s="1295"/>
      <c r="N3679" s="1295"/>
      <c r="O3679" s="1295"/>
      <c r="P3679" s="853"/>
      <c r="Q3679" s="1295"/>
      <c r="R3679" s="848"/>
      <c r="S3679" s="848"/>
      <c r="T3679" s="848"/>
      <c r="U3679" s="848"/>
      <c r="V3679" s="1296"/>
      <c r="W3679" s="848"/>
      <c r="X3679" s="848"/>
      <c r="Y3679" s="1295"/>
      <c r="Z3679" s="1296"/>
      <c r="AA3679" s="1295"/>
      <c r="AB3679" s="1296"/>
      <c r="AC3679" s="1295"/>
      <c r="AD3679" s="1295"/>
      <c r="AE3679" s="2556"/>
      <c r="AF3679" s="750"/>
      <c r="AG3679" s="750"/>
      <c r="AH3679" s="750"/>
      <c r="AI3679" s="750"/>
      <c r="AJ3679" s="750"/>
      <c r="AK3679" s="750"/>
      <c r="AL3679" s="750"/>
      <c r="AM3679" s="750"/>
      <c r="AN3679" s="750"/>
      <c r="AO3679" s="750"/>
      <c r="AP3679" s="750"/>
      <c r="AQ3679" s="750"/>
      <c r="AR3679" s="750"/>
      <c r="AS3679" s="750"/>
      <c r="AT3679" s="750"/>
      <c r="AU3679" s="750"/>
      <c r="AV3679" s="750"/>
      <c r="AW3679" s="750"/>
      <c r="AX3679" s="750"/>
      <c r="AY3679" s="750"/>
      <c r="AZ3679" s="750"/>
      <c r="BA3679" s="750"/>
      <c r="BB3679" s="750"/>
      <c r="BC3679" s="750"/>
      <c r="BD3679" s="750"/>
      <c r="BE3679" s="750"/>
      <c r="BF3679" s="750"/>
      <c r="BG3679" s="750"/>
      <c r="BH3679" s="750"/>
      <c r="BI3679" s="750"/>
      <c r="BJ3679" s="750"/>
      <c r="BK3679" s="750"/>
      <c r="BL3679" s="750"/>
      <c r="BM3679" s="750"/>
      <c r="BN3679" s="750"/>
      <c r="BO3679" s="750"/>
      <c r="BP3679" s="750"/>
      <c r="BQ3679" s="750"/>
    </row>
    <row r="3680" spans="3:69">
      <c r="C3680" s="853"/>
      <c r="D3680" s="853"/>
      <c r="E3680" s="853"/>
      <c r="F3680" s="853"/>
      <c r="G3680" s="853"/>
      <c r="H3680" s="853"/>
      <c r="I3680" s="848"/>
      <c r="J3680" s="848"/>
      <c r="K3680" s="1295"/>
      <c r="L3680" s="1295"/>
      <c r="M3680" s="1295"/>
      <c r="N3680" s="1295"/>
      <c r="O3680" s="1295"/>
      <c r="P3680" s="853"/>
      <c r="Q3680" s="1295"/>
      <c r="R3680" s="848"/>
      <c r="S3680" s="848"/>
      <c r="T3680" s="848"/>
      <c r="U3680" s="848"/>
      <c r="V3680" s="1296"/>
      <c r="W3680" s="848"/>
      <c r="X3680" s="848"/>
      <c r="Y3680" s="1295"/>
      <c r="Z3680" s="1296"/>
      <c r="AA3680" s="1295"/>
      <c r="AB3680" s="1296"/>
      <c r="AC3680" s="1295"/>
      <c r="AD3680" s="1295"/>
      <c r="AE3680" s="2556"/>
      <c r="AF3680" s="750"/>
      <c r="AG3680" s="750"/>
      <c r="AH3680" s="750"/>
      <c r="AI3680" s="750"/>
      <c r="AJ3680" s="750"/>
      <c r="AK3680" s="750"/>
      <c r="AL3680" s="750"/>
      <c r="AM3680" s="750"/>
      <c r="AN3680" s="750"/>
      <c r="AO3680" s="750"/>
      <c r="AP3680" s="750"/>
      <c r="AQ3680" s="750"/>
      <c r="AR3680" s="750"/>
      <c r="AS3680" s="750"/>
      <c r="AT3680" s="750"/>
      <c r="AU3680" s="750"/>
      <c r="AV3680" s="750"/>
      <c r="AW3680" s="750"/>
      <c r="AX3680" s="750"/>
      <c r="AY3680" s="750"/>
      <c r="AZ3680" s="750"/>
      <c r="BA3680" s="750"/>
      <c r="BB3680" s="750"/>
      <c r="BC3680" s="750"/>
      <c r="BD3680" s="750"/>
      <c r="BE3680" s="750"/>
      <c r="BF3680" s="750"/>
      <c r="BG3680" s="750"/>
      <c r="BH3680" s="750"/>
      <c r="BI3680" s="750"/>
      <c r="BJ3680" s="750"/>
      <c r="BK3680" s="750"/>
      <c r="BL3680" s="750"/>
      <c r="BM3680" s="750"/>
      <c r="BN3680" s="750"/>
      <c r="BO3680" s="750"/>
      <c r="BP3680" s="750"/>
      <c r="BQ3680" s="750"/>
    </row>
    <row r="3681" spans="3:69">
      <c r="C3681" s="853"/>
      <c r="D3681" s="853"/>
      <c r="E3681" s="853"/>
      <c r="F3681" s="853"/>
      <c r="G3681" s="853"/>
      <c r="H3681" s="853"/>
      <c r="I3681" s="848"/>
      <c r="J3681" s="848"/>
      <c r="K3681" s="1295"/>
      <c r="L3681" s="1295"/>
      <c r="M3681" s="1295"/>
      <c r="N3681" s="1295"/>
      <c r="O3681" s="1295"/>
      <c r="P3681" s="853"/>
      <c r="Q3681" s="1295"/>
      <c r="R3681" s="848"/>
      <c r="S3681" s="848"/>
      <c r="T3681" s="848"/>
      <c r="U3681" s="848"/>
      <c r="V3681" s="1296"/>
      <c r="W3681" s="848"/>
      <c r="X3681" s="848"/>
      <c r="Y3681" s="1295"/>
      <c r="Z3681" s="1296"/>
      <c r="AA3681" s="1295"/>
      <c r="AB3681" s="1296"/>
      <c r="AC3681" s="1295"/>
      <c r="AD3681" s="1295"/>
      <c r="AE3681" s="2556"/>
      <c r="AF3681" s="750"/>
      <c r="AG3681" s="750"/>
      <c r="AH3681" s="750"/>
      <c r="AI3681" s="750"/>
      <c r="AJ3681" s="750"/>
      <c r="AK3681" s="750"/>
      <c r="AL3681" s="750"/>
      <c r="AM3681" s="750"/>
      <c r="AN3681" s="750"/>
      <c r="AO3681" s="750"/>
      <c r="AP3681" s="750"/>
      <c r="AQ3681" s="750"/>
      <c r="AR3681" s="750"/>
      <c r="AS3681" s="750"/>
      <c r="AT3681" s="750"/>
      <c r="AU3681" s="750"/>
      <c r="AV3681" s="750"/>
      <c r="AW3681" s="750"/>
      <c r="AX3681" s="750"/>
      <c r="AY3681" s="750"/>
      <c r="AZ3681" s="750"/>
      <c r="BA3681" s="750"/>
      <c r="BB3681" s="750"/>
      <c r="BC3681" s="750"/>
      <c r="BD3681" s="750"/>
      <c r="BE3681" s="750"/>
      <c r="BF3681" s="750"/>
      <c r="BG3681" s="750"/>
      <c r="BH3681" s="750"/>
      <c r="BI3681" s="750"/>
      <c r="BJ3681" s="750"/>
      <c r="BK3681" s="750"/>
      <c r="BL3681" s="750"/>
      <c r="BM3681" s="750"/>
      <c r="BN3681" s="750"/>
      <c r="BO3681" s="750"/>
      <c r="BP3681" s="750"/>
      <c r="BQ3681" s="750"/>
    </row>
    <row r="3682" spans="3:69">
      <c r="C3682" s="853"/>
      <c r="D3682" s="853"/>
      <c r="E3682" s="853"/>
      <c r="F3682" s="853"/>
      <c r="G3682" s="853"/>
      <c r="H3682" s="853"/>
      <c r="I3682" s="848"/>
      <c r="J3682" s="848"/>
      <c r="K3682" s="1295"/>
      <c r="L3682" s="1295"/>
      <c r="M3682" s="1295"/>
      <c r="N3682" s="1295"/>
      <c r="O3682" s="1295"/>
      <c r="P3682" s="853"/>
      <c r="Q3682" s="1295"/>
      <c r="R3682" s="848"/>
      <c r="S3682" s="848"/>
      <c r="T3682" s="848"/>
      <c r="U3682" s="848"/>
      <c r="V3682" s="1296"/>
      <c r="W3682" s="848"/>
      <c r="X3682" s="848"/>
      <c r="Y3682" s="1295"/>
      <c r="Z3682" s="1296"/>
      <c r="AA3682" s="1295"/>
      <c r="AB3682" s="1296"/>
      <c r="AC3682" s="1295"/>
      <c r="AD3682" s="1295"/>
      <c r="AE3682" s="2556"/>
      <c r="AF3682" s="750"/>
      <c r="AG3682" s="750"/>
      <c r="AH3682" s="750"/>
      <c r="AI3682" s="750"/>
      <c r="AJ3682" s="750"/>
      <c r="AK3682" s="750"/>
      <c r="AL3682" s="750"/>
      <c r="AM3682" s="750"/>
      <c r="AN3682" s="750"/>
      <c r="AO3682" s="750"/>
      <c r="AP3682" s="750"/>
      <c r="AQ3682" s="750"/>
      <c r="AR3682" s="750"/>
      <c r="AS3682" s="750"/>
      <c r="AT3682" s="750"/>
      <c r="AU3682" s="750"/>
      <c r="AV3682" s="750"/>
      <c r="AW3682" s="750"/>
      <c r="AX3682" s="750"/>
      <c r="AY3682" s="750"/>
      <c r="AZ3682" s="750"/>
      <c r="BA3682" s="750"/>
      <c r="BB3682" s="750"/>
      <c r="BC3682" s="750"/>
      <c r="BD3682" s="750"/>
      <c r="BE3682" s="750"/>
      <c r="BF3682" s="750"/>
      <c r="BG3682" s="750"/>
      <c r="BH3682" s="750"/>
      <c r="BI3682" s="750"/>
      <c r="BJ3682" s="750"/>
      <c r="BK3682" s="750"/>
      <c r="BL3682" s="750"/>
      <c r="BM3682" s="750"/>
      <c r="BN3682" s="750"/>
      <c r="BO3682" s="750"/>
      <c r="BP3682" s="750"/>
      <c r="BQ3682" s="750"/>
    </row>
    <row r="3683" spans="3:69">
      <c r="C3683" s="853"/>
      <c r="D3683" s="853"/>
      <c r="E3683" s="853"/>
      <c r="F3683" s="853"/>
      <c r="G3683" s="853"/>
      <c r="H3683" s="853"/>
      <c r="I3683" s="848"/>
      <c r="J3683" s="848"/>
      <c r="K3683" s="1295"/>
      <c r="L3683" s="1295"/>
      <c r="M3683" s="1295"/>
      <c r="N3683" s="1295"/>
      <c r="O3683" s="1295"/>
      <c r="P3683" s="853"/>
      <c r="Q3683" s="1295"/>
      <c r="R3683" s="848"/>
      <c r="S3683" s="848"/>
      <c r="T3683" s="848"/>
      <c r="U3683" s="848"/>
      <c r="V3683" s="1296"/>
      <c r="W3683" s="848"/>
      <c r="X3683" s="848"/>
      <c r="Y3683" s="1295"/>
      <c r="Z3683" s="1296"/>
      <c r="AA3683" s="1295"/>
      <c r="AB3683" s="1296"/>
      <c r="AC3683" s="1295"/>
      <c r="AD3683" s="1295"/>
      <c r="AE3683" s="2556"/>
      <c r="AF3683" s="750"/>
      <c r="AG3683" s="750"/>
      <c r="AH3683" s="750"/>
      <c r="AI3683" s="750"/>
      <c r="AJ3683" s="750"/>
      <c r="AK3683" s="750"/>
      <c r="AL3683" s="750"/>
      <c r="AM3683" s="750"/>
      <c r="AN3683" s="750"/>
      <c r="AO3683" s="750"/>
      <c r="AP3683" s="750"/>
      <c r="AQ3683" s="750"/>
      <c r="AR3683" s="750"/>
      <c r="AS3683" s="750"/>
      <c r="AT3683" s="750"/>
      <c r="AU3683" s="750"/>
      <c r="AV3683" s="750"/>
      <c r="AW3683" s="750"/>
      <c r="AX3683" s="750"/>
      <c r="AY3683" s="750"/>
      <c r="AZ3683" s="750"/>
      <c r="BA3683" s="750"/>
      <c r="BB3683" s="750"/>
      <c r="BC3683" s="750"/>
      <c r="BD3683" s="750"/>
      <c r="BE3683" s="750"/>
      <c r="BF3683" s="750"/>
      <c r="BG3683" s="750"/>
      <c r="BH3683" s="750"/>
      <c r="BI3683" s="750"/>
      <c r="BJ3683" s="750"/>
      <c r="BK3683" s="750"/>
      <c r="BL3683" s="750"/>
      <c r="BM3683" s="750"/>
      <c r="BN3683" s="750"/>
      <c r="BO3683" s="750"/>
      <c r="BP3683" s="750"/>
      <c r="BQ3683" s="750"/>
    </row>
    <row r="3684" spans="3:69">
      <c r="C3684" s="853"/>
      <c r="D3684" s="853"/>
      <c r="E3684" s="853"/>
      <c r="F3684" s="853"/>
      <c r="G3684" s="853"/>
      <c r="H3684" s="853"/>
      <c r="I3684" s="848"/>
      <c r="J3684" s="848"/>
      <c r="K3684" s="1295"/>
      <c r="L3684" s="1295"/>
      <c r="M3684" s="1295"/>
      <c r="N3684" s="1295"/>
      <c r="O3684" s="1295"/>
      <c r="P3684" s="853"/>
      <c r="Q3684" s="1295"/>
      <c r="R3684" s="848"/>
      <c r="S3684" s="848"/>
      <c r="T3684" s="848"/>
      <c r="U3684" s="848"/>
      <c r="V3684" s="1296"/>
      <c r="W3684" s="848"/>
      <c r="X3684" s="848"/>
      <c r="Y3684" s="1295"/>
      <c r="Z3684" s="1296"/>
      <c r="AA3684" s="1295"/>
      <c r="AB3684" s="1296"/>
      <c r="AC3684" s="1295"/>
      <c r="AD3684" s="1295"/>
      <c r="AE3684" s="2556"/>
      <c r="AF3684" s="750"/>
      <c r="AG3684" s="750"/>
      <c r="AH3684" s="750"/>
      <c r="AI3684" s="750"/>
      <c r="AJ3684" s="750"/>
      <c r="AK3684" s="750"/>
      <c r="AL3684" s="750"/>
      <c r="AM3684" s="750"/>
      <c r="AN3684" s="750"/>
      <c r="AO3684" s="750"/>
      <c r="AP3684" s="750"/>
      <c r="AQ3684" s="750"/>
      <c r="AR3684" s="750"/>
      <c r="AS3684" s="750"/>
      <c r="AT3684" s="750"/>
      <c r="AU3684" s="750"/>
      <c r="AV3684" s="750"/>
      <c r="AW3684" s="750"/>
      <c r="AX3684" s="750"/>
      <c r="AY3684" s="750"/>
      <c r="AZ3684" s="750"/>
      <c r="BA3684" s="750"/>
      <c r="BB3684" s="750"/>
      <c r="BC3684" s="750"/>
      <c r="BD3684" s="750"/>
      <c r="BE3684" s="750"/>
      <c r="BF3684" s="750"/>
      <c r="BG3684" s="750"/>
      <c r="BH3684" s="750"/>
      <c r="BI3684" s="750"/>
      <c r="BJ3684" s="750"/>
      <c r="BK3684" s="750"/>
      <c r="BL3684" s="750"/>
      <c r="BM3684" s="750"/>
      <c r="BN3684" s="750"/>
      <c r="BO3684" s="750"/>
      <c r="BP3684" s="750"/>
      <c r="BQ3684" s="750"/>
    </row>
    <row r="3685" spans="3:69">
      <c r="C3685" s="853"/>
      <c r="D3685" s="853"/>
      <c r="E3685" s="853"/>
      <c r="F3685" s="853"/>
      <c r="G3685" s="853"/>
      <c r="H3685" s="853"/>
      <c r="I3685" s="848"/>
      <c r="J3685" s="848"/>
      <c r="K3685" s="1295"/>
      <c r="L3685" s="1295"/>
      <c r="M3685" s="1295"/>
      <c r="N3685" s="1295"/>
      <c r="O3685" s="1295"/>
      <c r="P3685" s="853"/>
      <c r="Q3685" s="1295"/>
      <c r="R3685" s="848"/>
      <c r="S3685" s="848"/>
      <c r="T3685" s="848"/>
      <c r="U3685" s="848"/>
      <c r="V3685" s="1296"/>
      <c r="W3685" s="848"/>
      <c r="X3685" s="848"/>
      <c r="Y3685" s="1295"/>
      <c r="Z3685" s="1296"/>
      <c r="AA3685" s="1295"/>
      <c r="AB3685" s="1296"/>
      <c r="AC3685" s="1295"/>
      <c r="AD3685" s="1295"/>
      <c r="AE3685" s="2556"/>
      <c r="AF3685" s="750"/>
      <c r="AG3685" s="750"/>
      <c r="AH3685" s="750"/>
      <c r="AI3685" s="750"/>
      <c r="AJ3685" s="750"/>
      <c r="AK3685" s="750"/>
      <c r="AL3685" s="750"/>
      <c r="AM3685" s="750"/>
      <c r="AN3685" s="750"/>
      <c r="AO3685" s="750"/>
      <c r="AP3685" s="750"/>
      <c r="AQ3685" s="750"/>
      <c r="AR3685" s="750"/>
      <c r="AS3685" s="750"/>
      <c r="AT3685" s="750"/>
      <c r="AU3685" s="750"/>
      <c r="AV3685" s="750"/>
      <c r="AW3685" s="750"/>
      <c r="AX3685" s="750"/>
      <c r="AY3685" s="750"/>
      <c r="AZ3685" s="750"/>
      <c r="BA3685" s="750"/>
      <c r="BB3685" s="750"/>
      <c r="BC3685" s="750"/>
      <c r="BD3685" s="750"/>
      <c r="BE3685" s="750"/>
      <c r="BF3685" s="750"/>
      <c r="BG3685" s="750"/>
      <c r="BH3685" s="750"/>
      <c r="BI3685" s="750"/>
      <c r="BJ3685" s="750"/>
      <c r="BK3685" s="750"/>
      <c r="BL3685" s="750"/>
      <c r="BM3685" s="750"/>
      <c r="BN3685" s="750"/>
      <c r="BO3685" s="750"/>
      <c r="BP3685" s="750"/>
      <c r="BQ3685" s="750"/>
    </row>
    <row r="3686" spans="3:69">
      <c r="C3686" s="853"/>
      <c r="D3686" s="853"/>
      <c r="E3686" s="853"/>
      <c r="F3686" s="853"/>
      <c r="G3686" s="853"/>
      <c r="H3686" s="853"/>
      <c r="I3686" s="848"/>
      <c r="J3686" s="848"/>
      <c r="K3686" s="1295"/>
      <c r="L3686" s="1295"/>
      <c r="M3686" s="1295"/>
      <c r="N3686" s="1295"/>
      <c r="O3686" s="1295"/>
      <c r="P3686" s="853"/>
      <c r="Q3686" s="1295"/>
      <c r="R3686" s="848"/>
      <c r="S3686" s="848"/>
      <c r="T3686" s="848"/>
      <c r="U3686" s="848"/>
      <c r="V3686" s="1296"/>
      <c r="W3686" s="848"/>
      <c r="X3686" s="848"/>
      <c r="Y3686" s="1295"/>
      <c r="Z3686" s="1296"/>
      <c r="AA3686" s="1295"/>
      <c r="AB3686" s="1296"/>
      <c r="AC3686" s="1295"/>
      <c r="AD3686" s="1295"/>
      <c r="AE3686" s="2556"/>
      <c r="AF3686" s="750"/>
      <c r="AG3686" s="750"/>
      <c r="AH3686" s="750"/>
      <c r="AI3686" s="750"/>
      <c r="AJ3686" s="750"/>
      <c r="AK3686" s="750"/>
      <c r="AL3686" s="750"/>
      <c r="AM3686" s="750"/>
      <c r="AN3686" s="750"/>
      <c r="AO3686" s="750"/>
      <c r="AP3686" s="750"/>
      <c r="AQ3686" s="750"/>
      <c r="AR3686" s="750"/>
      <c r="AS3686" s="750"/>
      <c r="AT3686" s="750"/>
      <c r="AU3686" s="750"/>
      <c r="AV3686" s="750"/>
      <c r="AW3686" s="750"/>
      <c r="AX3686" s="750"/>
      <c r="AY3686" s="750"/>
      <c r="AZ3686" s="750"/>
      <c r="BA3686" s="750"/>
      <c r="BB3686" s="750"/>
      <c r="BC3686" s="750"/>
      <c r="BD3686" s="750"/>
      <c r="BE3686" s="750"/>
      <c r="BF3686" s="750"/>
      <c r="BG3686" s="750"/>
      <c r="BH3686" s="750"/>
      <c r="BI3686" s="750"/>
      <c r="BJ3686" s="750"/>
      <c r="BK3686" s="750"/>
      <c r="BL3686" s="750"/>
      <c r="BM3686" s="750"/>
      <c r="BN3686" s="750"/>
      <c r="BO3686" s="750"/>
      <c r="BP3686" s="750"/>
      <c r="BQ3686" s="750"/>
    </row>
    <row r="3687" spans="3:69">
      <c r="C3687" s="853"/>
      <c r="D3687" s="853"/>
      <c r="E3687" s="853"/>
      <c r="F3687" s="853"/>
      <c r="G3687" s="853"/>
      <c r="H3687" s="853"/>
      <c r="I3687" s="848"/>
      <c r="J3687" s="848"/>
      <c r="K3687" s="1295"/>
      <c r="L3687" s="1295"/>
      <c r="M3687" s="1295"/>
      <c r="N3687" s="1295"/>
      <c r="O3687" s="1295"/>
      <c r="P3687" s="853"/>
      <c r="Q3687" s="1295"/>
      <c r="R3687" s="848"/>
      <c r="S3687" s="848"/>
      <c r="T3687" s="848"/>
      <c r="U3687" s="848"/>
      <c r="V3687" s="1296"/>
      <c r="W3687" s="848"/>
      <c r="X3687" s="848"/>
      <c r="Y3687" s="1295"/>
      <c r="Z3687" s="1296"/>
      <c r="AA3687" s="1295"/>
      <c r="AB3687" s="1296"/>
      <c r="AC3687" s="1295"/>
      <c r="AD3687" s="1295"/>
      <c r="AE3687" s="2556"/>
      <c r="AF3687" s="750"/>
      <c r="AG3687" s="750"/>
      <c r="AH3687" s="750"/>
      <c r="AI3687" s="750"/>
      <c r="AJ3687" s="750"/>
      <c r="AK3687" s="750"/>
      <c r="AL3687" s="750"/>
      <c r="AM3687" s="750"/>
      <c r="AN3687" s="750"/>
      <c r="AO3687" s="750"/>
      <c r="AP3687" s="750"/>
      <c r="AQ3687" s="750"/>
      <c r="AR3687" s="750"/>
      <c r="AS3687" s="750"/>
      <c r="AT3687" s="750"/>
      <c r="AU3687" s="750"/>
      <c r="AV3687" s="750"/>
      <c r="AW3687" s="750"/>
      <c r="AX3687" s="750"/>
      <c r="AY3687" s="750"/>
      <c r="AZ3687" s="750"/>
      <c r="BA3687" s="750"/>
      <c r="BB3687" s="750"/>
      <c r="BC3687" s="750"/>
      <c r="BD3687" s="750"/>
      <c r="BE3687" s="750"/>
      <c r="BF3687" s="750"/>
      <c r="BG3687" s="750"/>
      <c r="BH3687" s="750"/>
      <c r="BI3687" s="750"/>
      <c r="BJ3687" s="750"/>
      <c r="BK3687" s="750"/>
      <c r="BL3687" s="750"/>
      <c r="BM3687" s="750"/>
      <c r="BN3687" s="750"/>
      <c r="BO3687" s="750"/>
      <c r="BP3687" s="750"/>
      <c r="BQ3687" s="750"/>
    </row>
    <row r="3688" spans="3:69">
      <c r="C3688" s="853"/>
      <c r="D3688" s="853"/>
      <c r="E3688" s="853"/>
      <c r="F3688" s="853"/>
      <c r="G3688" s="853"/>
      <c r="H3688" s="853"/>
      <c r="I3688" s="848"/>
      <c r="J3688" s="848"/>
      <c r="K3688" s="1295"/>
      <c r="L3688" s="1295"/>
      <c r="M3688" s="1295"/>
      <c r="N3688" s="1295"/>
      <c r="O3688" s="1295"/>
      <c r="P3688" s="853"/>
      <c r="Q3688" s="1295"/>
      <c r="R3688" s="848"/>
      <c r="S3688" s="848"/>
      <c r="T3688" s="848"/>
      <c r="U3688" s="848"/>
      <c r="V3688" s="1296"/>
      <c r="W3688" s="848"/>
      <c r="X3688" s="848"/>
      <c r="Y3688" s="1295"/>
      <c r="Z3688" s="1296"/>
      <c r="AA3688" s="1295"/>
      <c r="AB3688" s="1296"/>
      <c r="AC3688" s="1295"/>
      <c r="AD3688" s="1295"/>
      <c r="AE3688" s="2556"/>
      <c r="AF3688" s="750"/>
      <c r="AG3688" s="750"/>
      <c r="AH3688" s="750"/>
      <c r="AI3688" s="750"/>
      <c r="AJ3688" s="750"/>
      <c r="AK3688" s="750"/>
      <c r="AL3688" s="750"/>
      <c r="AM3688" s="750"/>
      <c r="AN3688" s="750"/>
      <c r="AO3688" s="750"/>
      <c r="AP3688" s="750"/>
      <c r="AQ3688" s="750"/>
      <c r="AR3688" s="750"/>
      <c r="AS3688" s="750"/>
      <c r="AT3688" s="750"/>
      <c r="AU3688" s="750"/>
      <c r="AV3688" s="750"/>
      <c r="AW3688" s="750"/>
      <c r="AX3688" s="750"/>
      <c r="AY3688" s="750"/>
      <c r="AZ3688" s="750"/>
      <c r="BA3688" s="750"/>
      <c r="BB3688" s="750"/>
      <c r="BC3688" s="750"/>
      <c r="BD3688" s="750"/>
      <c r="BE3688" s="750"/>
      <c r="BF3688" s="750"/>
      <c r="BG3688" s="750"/>
      <c r="BH3688" s="750"/>
      <c r="BI3688" s="750"/>
      <c r="BJ3688" s="750"/>
      <c r="BK3688" s="750"/>
      <c r="BL3688" s="750"/>
      <c r="BM3688" s="750"/>
      <c r="BN3688" s="750"/>
      <c r="BO3688" s="750"/>
      <c r="BP3688" s="750"/>
      <c r="BQ3688" s="750"/>
    </row>
    <row r="3689" spans="3:69">
      <c r="C3689" s="853"/>
      <c r="D3689" s="853"/>
      <c r="E3689" s="853"/>
      <c r="F3689" s="853"/>
      <c r="G3689" s="853"/>
      <c r="H3689" s="853"/>
      <c r="I3689" s="848"/>
      <c r="J3689" s="848"/>
      <c r="K3689" s="1295"/>
      <c r="L3689" s="1295"/>
      <c r="M3689" s="1295"/>
      <c r="N3689" s="1295"/>
      <c r="O3689" s="1295"/>
      <c r="P3689" s="853"/>
      <c r="Q3689" s="1295"/>
      <c r="R3689" s="848"/>
      <c r="S3689" s="848"/>
      <c r="T3689" s="848"/>
      <c r="U3689" s="848"/>
      <c r="V3689" s="1296"/>
      <c r="W3689" s="848"/>
      <c r="X3689" s="848"/>
      <c r="Y3689" s="1295"/>
      <c r="Z3689" s="1296"/>
      <c r="AA3689" s="1295"/>
      <c r="AB3689" s="1296"/>
      <c r="AC3689" s="1295"/>
      <c r="AD3689" s="1295"/>
      <c r="AE3689" s="2556"/>
      <c r="AF3689" s="750"/>
      <c r="AG3689" s="750"/>
      <c r="AH3689" s="750"/>
      <c r="AI3689" s="750"/>
      <c r="AJ3689" s="750"/>
      <c r="AK3689" s="750"/>
      <c r="AL3689" s="750"/>
      <c r="AM3689" s="750"/>
      <c r="AN3689" s="750"/>
      <c r="AO3689" s="750"/>
      <c r="AP3689" s="750"/>
      <c r="AQ3689" s="750"/>
      <c r="AR3689" s="750"/>
      <c r="AS3689" s="750"/>
      <c r="AT3689" s="750"/>
      <c r="AU3689" s="750"/>
      <c r="AV3689" s="750"/>
      <c r="AW3689" s="750"/>
      <c r="AX3689" s="750"/>
      <c r="AY3689" s="750"/>
      <c r="AZ3689" s="750"/>
      <c r="BA3689" s="750"/>
      <c r="BB3689" s="750"/>
      <c r="BC3689" s="750"/>
      <c r="BD3689" s="750"/>
      <c r="BE3689" s="750"/>
      <c r="BF3689" s="750"/>
      <c r="BG3689" s="750"/>
      <c r="BH3689" s="750"/>
      <c r="BI3689" s="750"/>
      <c r="BJ3689" s="750"/>
      <c r="BK3689" s="750"/>
      <c r="BL3689" s="750"/>
      <c r="BM3689" s="750"/>
      <c r="BN3689" s="750"/>
      <c r="BO3689" s="750"/>
      <c r="BP3689" s="750"/>
      <c r="BQ3689" s="750"/>
    </row>
    <row r="3690" spans="3:69">
      <c r="C3690" s="853"/>
      <c r="D3690" s="853"/>
      <c r="E3690" s="853"/>
      <c r="F3690" s="853"/>
      <c r="G3690" s="853"/>
      <c r="H3690" s="853"/>
      <c r="I3690" s="848"/>
      <c r="J3690" s="848"/>
      <c r="K3690" s="1295"/>
      <c r="L3690" s="1295"/>
      <c r="M3690" s="1295"/>
      <c r="N3690" s="1295"/>
      <c r="O3690" s="1295"/>
      <c r="P3690" s="853"/>
      <c r="Q3690" s="1295"/>
      <c r="R3690" s="848"/>
      <c r="S3690" s="848"/>
      <c r="T3690" s="848"/>
      <c r="U3690" s="848"/>
      <c r="V3690" s="1296"/>
      <c r="W3690" s="848"/>
      <c r="X3690" s="848"/>
      <c r="Y3690" s="1295"/>
      <c r="Z3690" s="1296"/>
      <c r="AA3690" s="1295"/>
      <c r="AB3690" s="1296"/>
      <c r="AC3690" s="1295"/>
      <c r="AD3690" s="1295"/>
      <c r="AE3690" s="2556"/>
      <c r="AF3690" s="750"/>
      <c r="AG3690" s="750"/>
      <c r="AH3690" s="750"/>
      <c r="AI3690" s="750"/>
      <c r="AJ3690" s="750"/>
      <c r="AK3690" s="750"/>
      <c r="AL3690" s="750"/>
      <c r="AM3690" s="750"/>
      <c r="AN3690" s="750"/>
      <c r="AO3690" s="750"/>
      <c r="AP3690" s="750"/>
      <c r="AQ3690" s="750"/>
      <c r="AR3690" s="750"/>
      <c r="AS3690" s="750"/>
      <c r="AT3690" s="750"/>
      <c r="AU3690" s="750"/>
      <c r="AV3690" s="750"/>
      <c r="AW3690" s="750"/>
      <c r="AX3690" s="750"/>
      <c r="AY3690" s="750"/>
      <c r="AZ3690" s="750"/>
      <c r="BA3690" s="750"/>
      <c r="BB3690" s="750"/>
      <c r="BC3690" s="750"/>
      <c r="BD3690" s="750"/>
      <c r="BE3690" s="750"/>
      <c r="BF3690" s="750"/>
      <c r="BG3690" s="750"/>
      <c r="BH3690" s="750"/>
      <c r="BI3690" s="750"/>
      <c r="BJ3690" s="750"/>
      <c r="BK3690" s="750"/>
      <c r="BL3690" s="750"/>
      <c r="BM3690" s="750"/>
      <c r="BN3690" s="750"/>
      <c r="BO3690" s="750"/>
      <c r="BP3690" s="750"/>
      <c r="BQ3690" s="750"/>
    </row>
    <row r="3691" spans="3:69">
      <c r="C3691" s="853"/>
      <c r="D3691" s="853"/>
      <c r="E3691" s="853"/>
      <c r="F3691" s="853"/>
      <c r="G3691" s="853"/>
      <c r="H3691" s="853"/>
      <c r="I3691" s="848"/>
      <c r="J3691" s="848"/>
      <c r="K3691" s="1295"/>
      <c r="L3691" s="1295"/>
      <c r="M3691" s="1295"/>
      <c r="N3691" s="1295"/>
      <c r="O3691" s="1295"/>
      <c r="P3691" s="853"/>
      <c r="Q3691" s="1295"/>
      <c r="R3691" s="848"/>
      <c r="S3691" s="848"/>
      <c r="T3691" s="848"/>
      <c r="U3691" s="848"/>
      <c r="V3691" s="1296"/>
      <c r="W3691" s="848"/>
      <c r="X3691" s="848"/>
      <c r="Y3691" s="1295"/>
      <c r="Z3691" s="1296"/>
      <c r="AA3691" s="1295"/>
      <c r="AB3691" s="1296"/>
      <c r="AC3691" s="1295"/>
      <c r="AD3691" s="1295"/>
      <c r="AE3691" s="2556"/>
      <c r="AF3691" s="750"/>
      <c r="AG3691" s="750"/>
      <c r="AH3691" s="750"/>
      <c r="AI3691" s="750"/>
      <c r="AJ3691" s="750"/>
      <c r="AK3691" s="750"/>
      <c r="AL3691" s="750"/>
      <c r="AM3691" s="750"/>
      <c r="AN3691" s="750"/>
      <c r="AO3691" s="750"/>
      <c r="AP3691" s="750"/>
      <c r="AQ3691" s="750"/>
      <c r="AR3691" s="750"/>
      <c r="AS3691" s="750"/>
      <c r="AT3691" s="750"/>
      <c r="AU3691" s="750"/>
      <c r="AV3691" s="750"/>
      <c r="AW3691" s="750"/>
      <c r="AX3691" s="750"/>
      <c r="AY3691" s="750"/>
      <c r="AZ3691" s="750"/>
      <c r="BA3691" s="750"/>
      <c r="BB3691" s="750"/>
      <c r="BC3691" s="750"/>
      <c r="BD3691" s="750"/>
      <c r="BE3691" s="750"/>
      <c r="BF3691" s="750"/>
      <c r="BG3691" s="750"/>
      <c r="BH3691" s="750"/>
      <c r="BI3691" s="750"/>
      <c r="BJ3691" s="750"/>
      <c r="BK3691" s="750"/>
      <c r="BL3691" s="750"/>
      <c r="BM3691" s="750"/>
      <c r="BN3691" s="750"/>
      <c r="BO3691" s="750"/>
      <c r="BP3691" s="750"/>
      <c r="BQ3691" s="750"/>
    </row>
    <row r="3692" spans="3:69">
      <c r="C3692" s="853"/>
      <c r="D3692" s="853"/>
      <c r="E3692" s="853"/>
      <c r="F3692" s="853"/>
      <c r="G3692" s="853"/>
      <c r="H3692" s="853"/>
      <c r="I3692" s="848"/>
      <c r="J3692" s="848"/>
      <c r="K3692" s="1295"/>
      <c r="L3692" s="1295"/>
      <c r="M3692" s="1295"/>
      <c r="N3692" s="1295"/>
      <c r="O3692" s="1295"/>
      <c r="P3692" s="853"/>
      <c r="Q3692" s="1295"/>
      <c r="R3692" s="848"/>
      <c r="S3692" s="848"/>
      <c r="T3692" s="848"/>
      <c r="U3692" s="848"/>
      <c r="V3692" s="1296"/>
      <c r="W3692" s="848"/>
      <c r="X3692" s="848"/>
      <c r="Y3692" s="1295"/>
      <c r="Z3692" s="1296"/>
      <c r="AA3692" s="1295"/>
      <c r="AB3692" s="1296"/>
      <c r="AC3692" s="1295"/>
      <c r="AD3692" s="1295"/>
      <c r="AE3692" s="2556"/>
      <c r="AF3692" s="750"/>
      <c r="AG3692" s="750"/>
      <c r="AH3692" s="750"/>
      <c r="AI3692" s="750"/>
      <c r="AJ3692" s="750"/>
      <c r="AK3692" s="750"/>
      <c r="AL3692" s="750"/>
      <c r="AM3692" s="750"/>
      <c r="AN3692" s="750"/>
      <c r="AO3692" s="750"/>
      <c r="AP3692" s="750"/>
      <c r="AQ3692" s="750"/>
      <c r="AR3692" s="750"/>
      <c r="AS3692" s="750"/>
      <c r="AT3692" s="750"/>
      <c r="AU3692" s="750"/>
      <c r="AV3692" s="750"/>
      <c r="AW3692" s="750"/>
      <c r="AX3692" s="750"/>
      <c r="AY3692" s="750"/>
      <c r="AZ3692" s="750"/>
      <c r="BA3692" s="750"/>
      <c r="BB3692" s="750"/>
      <c r="BC3692" s="750"/>
      <c r="BD3692" s="750"/>
      <c r="BE3692" s="750"/>
      <c r="BF3692" s="750"/>
      <c r="BG3692" s="750"/>
      <c r="BH3692" s="750"/>
      <c r="BI3692" s="750"/>
      <c r="BJ3692" s="750"/>
      <c r="BK3692" s="750"/>
      <c r="BL3692" s="750"/>
      <c r="BM3692" s="750"/>
      <c r="BN3692" s="750"/>
      <c r="BO3692" s="750"/>
      <c r="BP3692" s="750"/>
      <c r="BQ3692" s="750"/>
    </row>
    <row r="3693" spans="3:69">
      <c r="C3693" s="853"/>
      <c r="D3693" s="853"/>
      <c r="E3693" s="853"/>
      <c r="F3693" s="853"/>
      <c r="G3693" s="853"/>
      <c r="H3693" s="853"/>
      <c r="I3693" s="848"/>
      <c r="J3693" s="848"/>
      <c r="K3693" s="1295"/>
      <c r="L3693" s="1295"/>
      <c r="M3693" s="1295"/>
      <c r="N3693" s="1295"/>
      <c r="O3693" s="1295"/>
      <c r="P3693" s="853"/>
      <c r="Q3693" s="1295"/>
      <c r="R3693" s="848"/>
      <c r="S3693" s="848"/>
      <c r="T3693" s="848"/>
      <c r="U3693" s="848"/>
      <c r="V3693" s="1296"/>
      <c r="W3693" s="848"/>
      <c r="X3693" s="848"/>
      <c r="Y3693" s="1295"/>
      <c r="Z3693" s="1296"/>
      <c r="AA3693" s="1295"/>
      <c r="AB3693" s="1296"/>
      <c r="AC3693" s="1295"/>
      <c r="AD3693" s="1295"/>
      <c r="AE3693" s="2556"/>
      <c r="AF3693" s="750"/>
      <c r="AG3693" s="750"/>
      <c r="AH3693" s="750"/>
      <c r="AI3693" s="750"/>
      <c r="AJ3693" s="750"/>
      <c r="AK3693" s="750"/>
      <c r="AL3693" s="750"/>
      <c r="AM3693" s="750"/>
      <c r="AN3693" s="750"/>
      <c r="AO3693" s="750"/>
      <c r="AP3693" s="750"/>
      <c r="AQ3693" s="750"/>
      <c r="AR3693" s="750"/>
      <c r="AS3693" s="750"/>
      <c r="AT3693" s="750"/>
      <c r="AU3693" s="750"/>
      <c r="AV3693" s="750"/>
      <c r="AW3693" s="750"/>
      <c r="AX3693" s="750"/>
      <c r="AY3693" s="750"/>
      <c r="AZ3693" s="750"/>
      <c r="BA3693" s="750"/>
      <c r="BB3693" s="750"/>
      <c r="BC3693" s="750"/>
      <c r="BD3693" s="750"/>
      <c r="BE3693" s="750"/>
      <c r="BF3693" s="750"/>
      <c r="BG3693" s="750"/>
      <c r="BH3693" s="750"/>
      <c r="BI3693" s="750"/>
      <c r="BJ3693" s="750"/>
      <c r="BK3693" s="750"/>
      <c r="BL3693" s="750"/>
      <c r="BM3693" s="750"/>
      <c r="BN3693" s="750"/>
      <c r="BO3693" s="750"/>
      <c r="BP3693" s="750"/>
      <c r="BQ3693" s="750"/>
    </row>
  </sheetData>
  <sortState ref="A13">
    <sortCondition ref="A13"/>
  </sortState>
  <mergeCells count="725">
    <mergeCell ref="A2740:AB2740"/>
    <mergeCell ref="A2741:AB2741"/>
    <mergeCell ref="I2742:J2742"/>
    <mergeCell ref="A2794:AB2794"/>
    <mergeCell ref="A2795:AB2795"/>
    <mergeCell ref="I2796:J2796"/>
    <mergeCell ref="A2850:AB2850"/>
    <mergeCell ref="A2851:AB2851"/>
    <mergeCell ref="A2573:AB2573"/>
    <mergeCell ref="A2574:AB2574"/>
    <mergeCell ref="I2575:J2575"/>
    <mergeCell ref="A2631:AB2631"/>
    <mergeCell ref="A2632:AB2632"/>
    <mergeCell ref="I2633:J2633"/>
    <mergeCell ref="A2689:AB2689"/>
    <mergeCell ref="A2690:AB2690"/>
    <mergeCell ref="I2691:J2691"/>
    <mergeCell ref="H984:H987"/>
    <mergeCell ref="I984:I987"/>
    <mergeCell ref="A1191:AB1191"/>
    <mergeCell ref="AB992:AB997"/>
    <mergeCell ref="L989:L990"/>
    <mergeCell ref="A1005:AB1005"/>
    <mergeCell ref="D989:D990"/>
    <mergeCell ref="E989:E990"/>
    <mergeCell ref="F989:F990"/>
    <mergeCell ref="A984:A987"/>
    <mergeCell ref="B984:B987"/>
    <mergeCell ref="C984:C987"/>
    <mergeCell ref="D984:D987"/>
    <mergeCell ref="H989:H990"/>
    <mergeCell ref="A992:A997"/>
    <mergeCell ref="I1109:J1109"/>
    <mergeCell ref="I1067:J1067"/>
    <mergeCell ref="X1145:X1146"/>
    <mergeCell ref="Z1145:Z1146"/>
    <mergeCell ref="AB1145:AB1146"/>
    <mergeCell ref="I1152:J1152"/>
    <mergeCell ref="A1570:AB1570"/>
    <mergeCell ref="A1545:AB1545"/>
    <mergeCell ref="A1544:AB1544"/>
    <mergeCell ref="A1591:AB1591"/>
    <mergeCell ref="A1569:AB1569"/>
    <mergeCell ref="A1365:AB1365"/>
    <mergeCell ref="B992:B997"/>
    <mergeCell ref="E984:E987"/>
    <mergeCell ref="F984:F987"/>
    <mergeCell ref="A989:A990"/>
    <mergeCell ref="B989:B990"/>
    <mergeCell ref="C989:C990"/>
    <mergeCell ref="G989:G990"/>
    <mergeCell ref="I1546:J1546"/>
    <mergeCell ref="D992:D997"/>
    <mergeCell ref="E992:E997"/>
    <mergeCell ref="F992:F997"/>
    <mergeCell ref="G992:G997"/>
    <mergeCell ref="H992:H997"/>
    <mergeCell ref="I992:I997"/>
    <mergeCell ref="C992:C997"/>
    <mergeCell ref="A1366:AB1366"/>
    <mergeCell ref="J1509:K1509"/>
    <mergeCell ref="G984:G987"/>
    <mergeCell ref="AE1218:AE1219"/>
    <mergeCell ref="I1231:J1231"/>
    <mergeCell ref="A1246:AB1246"/>
    <mergeCell ref="A1247:AB1247"/>
    <mergeCell ref="A1480:AB1480"/>
    <mergeCell ref="A1481:H1481"/>
    <mergeCell ref="A1479:AB1479"/>
    <mergeCell ref="A1263:AB1263"/>
    <mergeCell ref="I1264:J1264"/>
    <mergeCell ref="J1295:J1296"/>
    <mergeCell ref="A1304:AB1304"/>
    <mergeCell ref="A1305:AB1305"/>
    <mergeCell ref="I1392:J1392"/>
    <mergeCell ref="I1414:I1415"/>
    <mergeCell ref="I1421:I1422"/>
    <mergeCell ref="AD1145:AD1146"/>
    <mergeCell ref="AD1142:AD1143"/>
    <mergeCell ref="AB1142:AB1143"/>
    <mergeCell ref="Z1142:Z1143"/>
    <mergeCell ref="T1142:T1143"/>
    <mergeCell ref="V1142:V1143"/>
    <mergeCell ref="X1142:X1143"/>
    <mergeCell ref="A1150:AB1150"/>
    <mergeCell ref="A1151:AB1151"/>
    <mergeCell ref="I757:I758"/>
    <mergeCell ref="I818:I819"/>
    <mergeCell ref="V899:V901"/>
    <mergeCell ref="I1145:I1146"/>
    <mergeCell ref="L1145:L1146"/>
    <mergeCell ref="N1145:N1146"/>
    <mergeCell ref="P1145:P1146"/>
    <mergeCell ref="R1145:R1146"/>
    <mergeCell ref="L1142:L1143"/>
    <mergeCell ref="N1142:N1143"/>
    <mergeCell ref="P1142:P1143"/>
    <mergeCell ref="R1142:R1143"/>
    <mergeCell ref="T1145:T1146"/>
    <mergeCell ref="V1145:V1146"/>
    <mergeCell ref="T984:T987"/>
    <mergeCell ref="V984:V987"/>
    <mergeCell ref="I971:J971"/>
    <mergeCell ref="I989:I990"/>
    <mergeCell ref="V989:V990"/>
    <mergeCell ref="P978:P979"/>
    <mergeCell ref="R978:R979"/>
    <mergeCell ref="A969:AB969"/>
    <mergeCell ref="A970:AB970"/>
    <mergeCell ref="L965:L966"/>
    <mergeCell ref="AD1414:AD1415"/>
    <mergeCell ref="L1450:L1451"/>
    <mergeCell ref="N1450:N1451"/>
    <mergeCell ref="P1450:P1451"/>
    <mergeCell ref="R1450:R1451"/>
    <mergeCell ref="T1450:T1451"/>
    <mergeCell ref="V1450:V1451"/>
    <mergeCell ref="X1450:X1451"/>
    <mergeCell ref="AB1450:AB1451"/>
    <mergeCell ref="AD1450:AD1451"/>
    <mergeCell ref="L1414:L1415"/>
    <mergeCell ref="N1414:N1415"/>
    <mergeCell ref="P1414:P1415"/>
    <mergeCell ref="R1414:R1415"/>
    <mergeCell ref="T1414:T1415"/>
    <mergeCell ref="V1414:V1415"/>
    <mergeCell ref="X1414:X1415"/>
    <mergeCell ref="AB1414:AB1415"/>
    <mergeCell ref="AD989:AD990"/>
    <mergeCell ref="L984:L987"/>
    <mergeCell ref="N984:N987"/>
    <mergeCell ref="P984:P987"/>
    <mergeCell ref="R984:R987"/>
    <mergeCell ref="AD992:AD997"/>
    <mergeCell ref="L992:L997"/>
    <mergeCell ref="N992:N997"/>
    <mergeCell ref="P992:P997"/>
    <mergeCell ref="R992:R997"/>
    <mergeCell ref="T992:T997"/>
    <mergeCell ref="V992:V997"/>
    <mergeCell ref="X992:X997"/>
    <mergeCell ref="Z992:Z997"/>
    <mergeCell ref="N989:N990"/>
    <mergeCell ref="P989:P990"/>
    <mergeCell ref="R989:R990"/>
    <mergeCell ref="T989:T990"/>
    <mergeCell ref="X989:X990"/>
    <mergeCell ref="Z989:Z990"/>
    <mergeCell ref="AB989:AB990"/>
    <mergeCell ref="P981:P982"/>
    <mergeCell ref="R981:R982"/>
    <mergeCell ref="T981:T982"/>
    <mergeCell ref="V981:V982"/>
    <mergeCell ref="X981:X982"/>
    <mergeCell ref="AD984:AD987"/>
    <mergeCell ref="X984:X987"/>
    <mergeCell ref="Z984:Z987"/>
    <mergeCell ref="AB984:AB987"/>
    <mergeCell ref="AC978:AC979"/>
    <mergeCell ref="AD978:AD979"/>
    <mergeCell ref="Z981:Z982"/>
    <mergeCell ref="AB981:AB982"/>
    <mergeCell ref="AD981:AD982"/>
    <mergeCell ref="T978:T979"/>
    <mergeCell ref="V978:V979"/>
    <mergeCell ref="X978:X979"/>
    <mergeCell ref="Z978:Z979"/>
    <mergeCell ref="AB978:AB979"/>
    <mergeCell ref="L981:L982"/>
    <mergeCell ref="N981:N982"/>
    <mergeCell ref="C978:C979"/>
    <mergeCell ref="D978:D979"/>
    <mergeCell ref="C981:C982"/>
    <mergeCell ref="D981:D982"/>
    <mergeCell ref="E981:E982"/>
    <mergeCell ref="F981:F982"/>
    <mergeCell ref="G981:G982"/>
    <mergeCell ref="E978:E979"/>
    <mergeCell ref="F978:F979"/>
    <mergeCell ref="G978:G979"/>
    <mergeCell ref="H978:H979"/>
    <mergeCell ref="I978:I979"/>
    <mergeCell ref="L978:L979"/>
    <mergeCell ref="N978:N979"/>
    <mergeCell ref="L967:L968"/>
    <mergeCell ref="N967:N968"/>
    <mergeCell ref="P967:P968"/>
    <mergeCell ref="R967:R968"/>
    <mergeCell ref="Z967:Z968"/>
    <mergeCell ref="AB967:AB968"/>
    <mergeCell ref="AD967:AD968"/>
    <mergeCell ref="A965:A966"/>
    <mergeCell ref="B965:B966"/>
    <mergeCell ref="A967:A968"/>
    <mergeCell ref="B967:B968"/>
    <mergeCell ref="C967:C968"/>
    <mergeCell ref="D967:D968"/>
    <mergeCell ref="E967:E968"/>
    <mergeCell ref="F967:F968"/>
    <mergeCell ref="G967:G968"/>
    <mergeCell ref="H967:H968"/>
    <mergeCell ref="I967:I968"/>
    <mergeCell ref="AD962:AD963"/>
    <mergeCell ref="L960:L961"/>
    <mergeCell ref="N960:N961"/>
    <mergeCell ref="P960:P961"/>
    <mergeCell ref="R960:R961"/>
    <mergeCell ref="T960:T961"/>
    <mergeCell ref="V960:V961"/>
    <mergeCell ref="N965:N966"/>
    <mergeCell ref="P965:P966"/>
    <mergeCell ref="R965:R966"/>
    <mergeCell ref="Z965:Z966"/>
    <mergeCell ref="AB965:AB966"/>
    <mergeCell ref="AD965:AD966"/>
    <mergeCell ref="L962:L963"/>
    <mergeCell ref="N962:N963"/>
    <mergeCell ref="P962:P963"/>
    <mergeCell ref="R962:R963"/>
    <mergeCell ref="T962:T963"/>
    <mergeCell ref="V962:V963"/>
    <mergeCell ref="X962:X963"/>
    <mergeCell ref="Z962:Z963"/>
    <mergeCell ref="AB962:AB963"/>
    <mergeCell ref="B962:B963"/>
    <mergeCell ref="C962:C963"/>
    <mergeCell ref="D962:D963"/>
    <mergeCell ref="E962:E963"/>
    <mergeCell ref="F962:F963"/>
    <mergeCell ref="G962:G963"/>
    <mergeCell ref="H962:H963"/>
    <mergeCell ref="I962:I963"/>
    <mergeCell ref="C965:C966"/>
    <mergeCell ref="D965:D966"/>
    <mergeCell ref="E965:E966"/>
    <mergeCell ref="F965:F966"/>
    <mergeCell ref="G965:G966"/>
    <mergeCell ref="H965:H966"/>
    <mergeCell ref="I965:I966"/>
    <mergeCell ref="AD958:AD959"/>
    <mergeCell ref="L956:L957"/>
    <mergeCell ref="N956:N957"/>
    <mergeCell ref="P956:P957"/>
    <mergeCell ref="R956:R957"/>
    <mergeCell ref="X960:X961"/>
    <mergeCell ref="Z960:Z961"/>
    <mergeCell ref="AB960:AB961"/>
    <mergeCell ref="L958:L959"/>
    <mergeCell ref="N958:N959"/>
    <mergeCell ref="P958:P959"/>
    <mergeCell ref="R958:R959"/>
    <mergeCell ref="T958:T959"/>
    <mergeCell ref="V958:V959"/>
    <mergeCell ref="X958:X959"/>
    <mergeCell ref="Z958:Z959"/>
    <mergeCell ref="AB958:AB959"/>
    <mergeCell ref="AD960:AD961"/>
    <mergeCell ref="AD941:AD942"/>
    <mergeCell ref="AD950:AD955"/>
    <mergeCell ref="A941:A942"/>
    <mergeCell ref="L941:L942"/>
    <mergeCell ref="N941:N942"/>
    <mergeCell ref="T956:T957"/>
    <mergeCell ref="V956:V957"/>
    <mergeCell ref="X956:X957"/>
    <mergeCell ref="Z956:Z957"/>
    <mergeCell ref="AB956:AB957"/>
    <mergeCell ref="A956:A957"/>
    <mergeCell ref="B956:B957"/>
    <mergeCell ref="C956:C957"/>
    <mergeCell ref="D956:D957"/>
    <mergeCell ref="E956:E957"/>
    <mergeCell ref="F956:F957"/>
    <mergeCell ref="G956:G957"/>
    <mergeCell ref="H956:H957"/>
    <mergeCell ref="I956:I957"/>
    <mergeCell ref="AD956:AD957"/>
    <mergeCell ref="L950:L955"/>
    <mergeCell ref="N950:N955"/>
    <mergeCell ref="P950:P955"/>
    <mergeCell ref="R950:R955"/>
    <mergeCell ref="AD934:AD935"/>
    <mergeCell ref="L937:L938"/>
    <mergeCell ref="N937:N938"/>
    <mergeCell ref="P937:P938"/>
    <mergeCell ref="R937:R938"/>
    <mergeCell ref="T937:T938"/>
    <mergeCell ref="V937:V938"/>
    <mergeCell ref="X937:X938"/>
    <mergeCell ref="AB937:AB938"/>
    <mergeCell ref="L934:L935"/>
    <mergeCell ref="N934:N935"/>
    <mergeCell ref="P934:P935"/>
    <mergeCell ref="R934:R935"/>
    <mergeCell ref="T934:T935"/>
    <mergeCell ref="V934:V935"/>
    <mergeCell ref="X934:X935"/>
    <mergeCell ref="AD924:AD925"/>
    <mergeCell ref="V919:V922"/>
    <mergeCell ref="X919:X922"/>
    <mergeCell ref="Z919:Z922"/>
    <mergeCell ref="AB919:AB922"/>
    <mergeCell ref="AB928:AB929"/>
    <mergeCell ref="A928:A929"/>
    <mergeCell ref="B928:B929"/>
    <mergeCell ref="C928:C929"/>
    <mergeCell ref="D928:D929"/>
    <mergeCell ref="E928:E929"/>
    <mergeCell ref="F928:F929"/>
    <mergeCell ref="G928:G929"/>
    <mergeCell ref="H928:H929"/>
    <mergeCell ref="I928:I929"/>
    <mergeCell ref="AD928:AD929"/>
    <mergeCell ref="I924:I925"/>
    <mergeCell ref="L924:L925"/>
    <mergeCell ref="N924:N925"/>
    <mergeCell ref="P924:P925"/>
    <mergeCell ref="L928:L929"/>
    <mergeCell ref="N928:N929"/>
    <mergeCell ref="P928:P929"/>
    <mergeCell ref="R928:R929"/>
    <mergeCell ref="AC915:AC916"/>
    <mergeCell ref="AD915:AD916"/>
    <mergeCell ref="AD919:AD922"/>
    <mergeCell ref="R915:R916"/>
    <mergeCell ref="S915:S916"/>
    <mergeCell ref="T915:T916"/>
    <mergeCell ref="U915:U916"/>
    <mergeCell ref="V915:V916"/>
    <mergeCell ref="W915:W916"/>
    <mergeCell ref="X915:X916"/>
    <mergeCell ref="Y915:Y916"/>
    <mergeCell ref="Z915:Z916"/>
    <mergeCell ref="AC6:AD7"/>
    <mergeCell ref="AE6:AE7"/>
    <mergeCell ref="Q7:R7"/>
    <mergeCell ref="S7:T7"/>
    <mergeCell ref="U7:V7"/>
    <mergeCell ref="A769:AB769"/>
    <mergeCell ref="A770:AB770"/>
    <mergeCell ref="A120:H120"/>
    <mergeCell ref="A422:H422"/>
    <mergeCell ref="A421:AB421"/>
    <mergeCell ref="A420:AB420"/>
    <mergeCell ref="I119:J119"/>
    <mergeCell ref="AA8:AB8"/>
    <mergeCell ref="AC8:AD8"/>
    <mergeCell ref="AE8:AE9"/>
    <mergeCell ref="W7:X7"/>
    <mergeCell ref="S8:T8"/>
    <mergeCell ref="U8:V8"/>
    <mergeCell ref="I741:I742"/>
    <mergeCell ref="I6:I7"/>
    <mergeCell ref="A703:AB703"/>
    <mergeCell ref="A704:AB704"/>
    <mergeCell ref="A118:AB118"/>
    <mergeCell ref="I10:J10"/>
    <mergeCell ref="A1:AE1"/>
    <mergeCell ref="A2:AE2"/>
    <mergeCell ref="A3:AE3"/>
    <mergeCell ref="A721:AB721"/>
    <mergeCell ref="A488:AB488"/>
    <mergeCell ref="A489:AB489"/>
    <mergeCell ref="I1006:J1006"/>
    <mergeCell ref="AD899:AD901"/>
    <mergeCell ref="K8:L8"/>
    <mergeCell ref="M8:N8"/>
    <mergeCell ref="O8:P8"/>
    <mergeCell ref="Q8:R8"/>
    <mergeCell ref="Y8:Z8"/>
    <mergeCell ref="K6:L7"/>
    <mergeCell ref="M6:N7"/>
    <mergeCell ref="I238:J238"/>
    <mergeCell ref="I90:I91"/>
    <mergeCell ref="A6:A7"/>
    <mergeCell ref="B6:B7"/>
    <mergeCell ref="C6:H7"/>
    <mergeCell ref="AE108:AE109"/>
    <mergeCell ref="A117:AB117"/>
    <mergeCell ref="H913:H914"/>
    <mergeCell ref="I913:I914"/>
    <mergeCell ref="A845:AB845"/>
    <mergeCell ref="A846:AB846"/>
    <mergeCell ref="X899:X901"/>
    <mergeCell ref="Z899:Z901"/>
    <mergeCell ref="I668:J668"/>
    <mergeCell ref="P947:P948"/>
    <mergeCell ref="H947:H948"/>
    <mergeCell ref="B899:B901"/>
    <mergeCell ref="R904:R906"/>
    <mergeCell ref="S913:S914"/>
    <mergeCell ref="L919:L922"/>
    <mergeCell ref="N919:N922"/>
    <mergeCell ref="A919:A922"/>
    <mergeCell ref="B919:B922"/>
    <mergeCell ref="C919:C922"/>
    <mergeCell ref="D919:D922"/>
    <mergeCell ref="E919:E922"/>
    <mergeCell ref="F919:F922"/>
    <mergeCell ref="G919:G922"/>
    <mergeCell ref="H919:H922"/>
    <mergeCell ref="I919:I922"/>
    <mergeCell ref="X904:X906"/>
    <mergeCell ref="Z904:Z906"/>
    <mergeCell ref="AB904:AB906"/>
    <mergeCell ref="S2867:Y2867"/>
    <mergeCell ref="A2854:I2854"/>
    <mergeCell ref="A2855:I2855"/>
    <mergeCell ref="A2856:I2856"/>
    <mergeCell ref="A1824:AB1824"/>
    <mergeCell ref="S2861:Y2861"/>
    <mergeCell ref="AA2860:AE2860"/>
    <mergeCell ref="S2862:Y2862"/>
    <mergeCell ref="S2863:Y2863"/>
    <mergeCell ref="A2090:AB2090"/>
    <mergeCell ref="A2091:AB2091"/>
    <mergeCell ref="I2046:J2046"/>
    <mergeCell ref="I1826:J1826"/>
    <mergeCell ref="I1886:J1886"/>
    <mergeCell ref="I2092:J2092"/>
    <mergeCell ref="I1887:J1887"/>
    <mergeCell ref="A2044:AB2044"/>
    <mergeCell ref="A2045:AB2045"/>
    <mergeCell ref="A1874:AB1874"/>
    <mergeCell ref="I1876:J1876"/>
    <mergeCell ref="A1884:AB1884"/>
    <mergeCell ref="S2866:Y2866"/>
    <mergeCell ref="AB2863:AE2863"/>
    <mergeCell ref="AA2861:AE2861"/>
    <mergeCell ref="AD913:AD914"/>
    <mergeCell ref="V913:V914"/>
    <mergeCell ref="W913:W914"/>
    <mergeCell ref="X913:X914"/>
    <mergeCell ref="Y913:Y914"/>
    <mergeCell ref="L910:L911"/>
    <mergeCell ref="N910:N911"/>
    <mergeCell ref="P910:P911"/>
    <mergeCell ref="R910:R911"/>
    <mergeCell ref="T910:T911"/>
    <mergeCell ref="V910:V911"/>
    <mergeCell ref="X910:X911"/>
    <mergeCell ref="Z910:Z911"/>
    <mergeCell ref="AB910:AB911"/>
    <mergeCell ref="Z913:Z914"/>
    <mergeCell ref="AA913:AA914"/>
    <mergeCell ref="AB913:AB914"/>
    <mergeCell ref="AA2862:AE2862"/>
    <mergeCell ref="AA2866:AE2866"/>
    <mergeCell ref="S2860:Y2860"/>
    <mergeCell ref="A2853:I2853"/>
    <mergeCell ref="AE947:AE948"/>
    <mergeCell ref="A894:AB894"/>
    <mergeCell ref="A895:AB895"/>
    <mergeCell ref="G947:G948"/>
    <mergeCell ref="A947:A948"/>
    <mergeCell ref="AE953:AE955"/>
    <mergeCell ref="A1108:AB1108"/>
    <mergeCell ref="I947:I948"/>
    <mergeCell ref="AB947:AB948"/>
    <mergeCell ref="A1004:AB1004"/>
    <mergeCell ref="Z947:Z948"/>
    <mergeCell ref="N947:N948"/>
    <mergeCell ref="L947:L948"/>
    <mergeCell ref="R947:R948"/>
    <mergeCell ref="T947:T948"/>
    <mergeCell ref="N899:N901"/>
    <mergeCell ref="P899:P901"/>
    <mergeCell ref="R899:R901"/>
    <mergeCell ref="AD910:AD911"/>
    <mergeCell ref="H904:H906"/>
    <mergeCell ref="L904:L906"/>
    <mergeCell ref="N904:N906"/>
    <mergeCell ref="P904:P906"/>
    <mergeCell ref="AC913:AC914"/>
    <mergeCell ref="B892:B893"/>
    <mergeCell ref="I892:I893"/>
    <mergeCell ref="L899:L901"/>
    <mergeCell ref="AB899:AB901"/>
    <mergeCell ref="T899:T901"/>
    <mergeCell ref="I896:J896"/>
    <mergeCell ref="I904:I906"/>
    <mergeCell ref="E910:E911"/>
    <mergeCell ref="F910:F911"/>
    <mergeCell ref="G910:G911"/>
    <mergeCell ref="K913:K914"/>
    <mergeCell ref="L913:L914"/>
    <mergeCell ref="M913:M914"/>
    <mergeCell ref="N913:N914"/>
    <mergeCell ref="O913:O914"/>
    <mergeCell ref="P913:P914"/>
    <mergeCell ref="Q913:Q914"/>
    <mergeCell ref="A937:A938"/>
    <mergeCell ref="B937:B938"/>
    <mergeCell ref="C937:C938"/>
    <mergeCell ref="D937:D938"/>
    <mergeCell ref="E937:E938"/>
    <mergeCell ref="F937:F938"/>
    <mergeCell ref="G937:G938"/>
    <mergeCell ref="H937:H938"/>
    <mergeCell ref="I937:I938"/>
    <mergeCell ref="AB941:AB942"/>
    <mergeCell ref="A958:A959"/>
    <mergeCell ref="B958:B959"/>
    <mergeCell ref="C958:C959"/>
    <mergeCell ref="I1193:J1193"/>
    <mergeCell ref="I1224:J1224"/>
    <mergeCell ref="A1229:AB1229"/>
    <mergeCell ref="A1230:AB1230"/>
    <mergeCell ref="I1307:J1307"/>
    <mergeCell ref="I1248:J1248"/>
    <mergeCell ref="H1257:H1258"/>
    <mergeCell ref="A1262:AB1262"/>
    <mergeCell ref="A1222:AB1222"/>
    <mergeCell ref="B1223:AB1223"/>
    <mergeCell ref="A1107:AB1107"/>
    <mergeCell ref="B947:B948"/>
    <mergeCell ref="V950:V955"/>
    <mergeCell ref="X950:X955"/>
    <mergeCell ref="Z950:Z955"/>
    <mergeCell ref="AB950:AB955"/>
    <mergeCell ref="A950:A955"/>
    <mergeCell ref="B950:B955"/>
    <mergeCell ref="C950:C955"/>
    <mergeCell ref="D950:D955"/>
    <mergeCell ref="A787:AB787"/>
    <mergeCell ref="A788:AB788"/>
    <mergeCell ref="A741:A742"/>
    <mergeCell ref="B741:B742"/>
    <mergeCell ref="I789:J789"/>
    <mergeCell ref="D910:D911"/>
    <mergeCell ref="T904:T906"/>
    <mergeCell ref="V904:V906"/>
    <mergeCell ref="O6:P7"/>
    <mergeCell ref="Y6:Z7"/>
    <mergeCell ref="A8:A9"/>
    <mergeCell ref="B8:B9"/>
    <mergeCell ref="AA6:AB7"/>
    <mergeCell ref="Q6:X6"/>
    <mergeCell ref="C8:H9"/>
    <mergeCell ref="I8:I9"/>
    <mergeCell ref="J8:J9"/>
    <mergeCell ref="J6:J7"/>
    <mergeCell ref="W8:X8"/>
    <mergeCell ref="I173:I175"/>
    <mergeCell ref="B885:B886"/>
    <mergeCell ref="I885:I886"/>
    <mergeCell ref="B889:B890"/>
    <mergeCell ref="I889:I890"/>
    <mergeCell ref="I11:J11"/>
    <mergeCell ref="B666:AB666"/>
    <mergeCell ref="B667:AB667"/>
    <mergeCell ref="I490:J490"/>
    <mergeCell ref="A546:AB546"/>
    <mergeCell ref="A547:AB547"/>
    <mergeCell ref="I548:J548"/>
    <mergeCell ref="Z223:AB223"/>
    <mergeCell ref="Z224:AB224"/>
    <mergeCell ref="A225:H225"/>
    <mergeCell ref="A236:AB236"/>
    <mergeCell ref="A237:AB237"/>
    <mergeCell ref="I307:I308"/>
    <mergeCell ref="A582:I582"/>
    <mergeCell ref="I624:J624"/>
    <mergeCell ref="AD904:AD906"/>
    <mergeCell ref="A899:A901"/>
    <mergeCell ref="A622:AB622"/>
    <mergeCell ref="A623:AB623"/>
    <mergeCell ref="A720:AB720"/>
    <mergeCell ref="I35:I37"/>
    <mergeCell ref="V947:V948"/>
    <mergeCell ref="I705:J705"/>
    <mergeCell ref="I771:J771"/>
    <mergeCell ref="I847:J847"/>
    <mergeCell ref="B868:B869"/>
    <mergeCell ref="B870:B871"/>
    <mergeCell ref="I870:I871"/>
    <mergeCell ref="I899:I901"/>
    <mergeCell ref="A910:A911"/>
    <mergeCell ref="B941:B942"/>
    <mergeCell ref="I941:I942"/>
    <mergeCell ref="P941:P942"/>
    <mergeCell ref="R941:R942"/>
    <mergeCell ref="T941:T942"/>
    <mergeCell ref="V941:V942"/>
    <mergeCell ref="X941:X942"/>
    <mergeCell ref="B910:B911"/>
    <mergeCell ref="C910:C911"/>
    <mergeCell ref="X947:X948"/>
    <mergeCell ref="A1065:AB1065"/>
    <mergeCell ref="A1066:AB1066"/>
    <mergeCell ref="F947:F948"/>
    <mergeCell ref="T950:T955"/>
    <mergeCell ref="C947:C948"/>
    <mergeCell ref="D947:D948"/>
    <mergeCell ref="E947:E948"/>
    <mergeCell ref="D958:D959"/>
    <mergeCell ref="E958:E959"/>
    <mergeCell ref="F958:F959"/>
    <mergeCell ref="G958:G959"/>
    <mergeCell ref="H958:H959"/>
    <mergeCell ref="I958:I959"/>
    <mergeCell ref="A960:A961"/>
    <mergeCell ref="B960:B961"/>
    <mergeCell ref="C960:C961"/>
    <mergeCell ref="D960:D961"/>
    <mergeCell ref="E960:E961"/>
    <mergeCell ref="F960:F961"/>
    <mergeCell ref="G960:G961"/>
    <mergeCell ref="H960:H961"/>
    <mergeCell ref="I960:I961"/>
    <mergeCell ref="A962:A963"/>
    <mergeCell ref="AB924:AB925"/>
    <mergeCell ref="AA915:AA916"/>
    <mergeCell ref="AB915:AB916"/>
    <mergeCell ref="Z934:Z935"/>
    <mergeCell ref="AB934:AB935"/>
    <mergeCell ref="T928:T929"/>
    <mergeCell ref="V928:V929"/>
    <mergeCell ref="X928:X929"/>
    <mergeCell ref="Z928:Z929"/>
    <mergeCell ref="V924:V925"/>
    <mergeCell ref="X924:X925"/>
    <mergeCell ref="T924:T925"/>
    <mergeCell ref="I1593:J1593"/>
    <mergeCell ref="E934:E935"/>
    <mergeCell ref="F934:F935"/>
    <mergeCell ref="G934:G935"/>
    <mergeCell ref="H934:H935"/>
    <mergeCell ref="F915:F916"/>
    <mergeCell ref="H910:H911"/>
    <mergeCell ref="G915:G916"/>
    <mergeCell ref="H915:H916"/>
    <mergeCell ref="I915:I916"/>
    <mergeCell ref="I934:I935"/>
    <mergeCell ref="E950:E955"/>
    <mergeCell ref="F950:F955"/>
    <mergeCell ref="G950:G955"/>
    <mergeCell ref="H950:H955"/>
    <mergeCell ref="I950:I955"/>
    <mergeCell ref="H981:H982"/>
    <mergeCell ref="I981:I982"/>
    <mergeCell ref="A1192:AB1192"/>
    <mergeCell ref="A1391:AB1391"/>
    <mergeCell ref="I1306:J1306"/>
    <mergeCell ref="A1390:AB1390"/>
    <mergeCell ref="I1367:J1367"/>
    <mergeCell ref="A1393:I1393"/>
    <mergeCell ref="P919:P922"/>
    <mergeCell ref="R919:R922"/>
    <mergeCell ref="T919:T922"/>
    <mergeCell ref="R913:R914"/>
    <mergeCell ref="A915:A916"/>
    <mergeCell ref="L915:L916"/>
    <mergeCell ref="A934:A935"/>
    <mergeCell ref="B934:B935"/>
    <mergeCell ref="C934:C935"/>
    <mergeCell ref="B915:B916"/>
    <mergeCell ref="C915:C916"/>
    <mergeCell ref="D915:D916"/>
    <mergeCell ref="E915:E916"/>
    <mergeCell ref="D934:D935"/>
    <mergeCell ref="M915:M916"/>
    <mergeCell ref="N915:N916"/>
    <mergeCell ref="O915:O916"/>
    <mergeCell ref="P915:P916"/>
    <mergeCell ref="K915:K916"/>
    <mergeCell ref="Q915:Q916"/>
    <mergeCell ref="R924:R925"/>
    <mergeCell ref="A913:A914"/>
    <mergeCell ref="B913:B914"/>
    <mergeCell ref="C913:C914"/>
    <mergeCell ref="D913:D914"/>
    <mergeCell ref="E913:E914"/>
    <mergeCell ref="F913:F914"/>
    <mergeCell ref="G913:G914"/>
    <mergeCell ref="T913:T914"/>
    <mergeCell ref="U913:U914"/>
    <mergeCell ref="A2149:AB2149"/>
    <mergeCell ref="A2150:AB2150"/>
    <mergeCell ref="I2151:J2151"/>
    <mergeCell ref="A2197:AB2197"/>
    <mergeCell ref="A2198:AB2198"/>
    <mergeCell ref="I2199:J2199"/>
    <mergeCell ref="A2244:AB2244"/>
    <mergeCell ref="A1885:AB1885"/>
    <mergeCell ref="Z941:Z942"/>
    <mergeCell ref="I1654:J1654"/>
    <mergeCell ref="A1707:AB1707"/>
    <mergeCell ref="A1708:AB1708"/>
    <mergeCell ref="A1782:AB1782"/>
    <mergeCell ref="A1783:AB1783"/>
    <mergeCell ref="A1784:H1784"/>
    <mergeCell ref="A1592:AB1592"/>
    <mergeCell ref="A1600:AB1600"/>
    <mergeCell ref="A1601:AB1601"/>
    <mergeCell ref="A1710:H1710"/>
    <mergeCell ref="I1603:J1603"/>
    <mergeCell ref="I1709:J1709"/>
    <mergeCell ref="I1602:J1602"/>
    <mergeCell ref="A1652:AB1652"/>
    <mergeCell ref="A1653:AB1653"/>
    <mergeCell ref="A2465:AB2465"/>
    <mergeCell ref="A2466:AB2466"/>
    <mergeCell ref="I2467:J2467"/>
    <mergeCell ref="A2518:AB2518"/>
    <mergeCell ref="A2519:AB2519"/>
    <mergeCell ref="I2520:J2520"/>
    <mergeCell ref="A2852:AE2852"/>
    <mergeCell ref="A549:I549"/>
    <mergeCell ref="A580:AB580"/>
    <mergeCell ref="A581:AB581"/>
    <mergeCell ref="I2384:J2384"/>
    <mergeCell ref="A2427:AB2427"/>
    <mergeCell ref="A2428:AB2428"/>
    <mergeCell ref="I2429:J2429"/>
    <mergeCell ref="A2245:AB2245"/>
    <mergeCell ref="A2296:AB2296"/>
    <mergeCell ref="A2297:AB2297"/>
    <mergeCell ref="I2298:J2298"/>
    <mergeCell ref="A2341:AB2341"/>
    <mergeCell ref="A2342:AB2342"/>
    <mergeCell ref="I2343:J2343"/>
    <mergeCell ref="A2382:AB2382"/>
    <mergeCell ref="A2383:AB2383"/>
    <mergeCell ref="I2093:J2093"/>
  </mergeCells>
  <pageMargins left="0.15748031496062992" right="0.15748031496062992" top="0.43307086614173229" bottom="0.27559055118110237" header="0.31496062992125984" footer="0.15748031496062992"/>
  <pageSetup paperSize="258" scale="43" fitToHeight="0" orientation="landscape" r:id="rId1"/>
  <legacyDrawing r:id="rId2"/>
</worksheet>
</file>

<file path=xl/worksheets/sheet2.xml><?xml version="1.0" encoding="utf-8"?>
<worksheet xmlns="http://schemas.openxmlformats.org/spreadsheetml/2006/main" xmlns:r="http://schemas.openxmlformats.org/officeDocument/2006/relationships">
  <dimension ref="A1:O22"/>
  <sheetViews>
    <sheetView topLeftCell="A2" workbookViewId="0">
      <selection activeCell="E22" sqref="E22"/>
    </sheetView>
  </sheetViews>
  <sheetFormatPr defaultRowHeight="15"/>
  <cols>
    <col min="1" max="1" width="16.7109375" customWidth="1"/>
    <col min="2" max="2" width="14.5703125" customWidth="1"/>
    <col min="3" max="3" width="15.28515625" bestFit="1" customWidth="1"/>
    <col min="6" max="6" width="14.28515625" bestFit="1" customWidth="1"/>
    <col min="9" max="9" width="17.85546875" customWidth="1"/>
    <col min="11" max="11" width="15.28515625" bestFit="1" customWidth="1"/>
    <col min="14" max="14" width="16.28515625" bestFit="1" customWidth="1"/>
  </cols>
  <sheetData>
    <row r="1" spans="1:15" ht="16.5">
      <c r="A1" s="23">
        <v>218654613874</v>
      </c>
      <c r="B1" s="1" t="s">
        <v>907</v>
      </c>
      <c r="C1" s="87">
        <v>34054821413</v>
      </c>
      <c r="D1" s="1" t="s">
        <v>907</v>
      </c>
      <c r="F1" s="87">
        <v>616405008</v>
      </c>
      <c r="G1" s="1" t="s">
        <v>1012</v>
      </c>
      <c r="H1" s="1"/>
      <c r="I1" s="87">
        <v>7389274665</v>
      </c>
      <c r="J1" s="1" t="s">
        <v>1277</v>
      </c>
      <c r="K1" s="87">
        <v>1654414700</v>
      </c>
      <c r="L1" s="1" t="s">
        <v>1449</v>
      </c>
      <c r="N1" s="87">
        <v>91049563535</v>
      </c>
      <c r="O1" s="1" t="s">
        <v>2004</v>
      </c>
    </row>
    <row r="2" spans="1:15">
      <c r="A2" s="85">
        <v>218603171558</v>
      </c>
      <c r="B2" s="1" t="s">
        <v>908</v>
      </c>
      <c r="C2" s="87">
        <v>32929821413</v>
      </c>
      <c r="D2" s="1" t="s">
        <v>910</v>
      </c>
      <c r="F2" s="87">
        <v>2303939679</v>
      </c>
      <c r="G2" s="1" t="s">
        <v>1013</v>
      </c>
      <c r="H2" s="1"/>
      <c r="I2" s="87">
        <v>2953861275</v>
      </c>
      <c r="K2" s="87">
        <v>16809224800</v>
      </c>
      <c r="L2" s="1" t="s">
        <v>1447</v>
      </c>
      <c r="N2" s="87">
        <v>91089563543</v>
      </c>
    </row>
    <row r="3" spans="1:15">
      <c r="A3" s="86">
        <f>A1-A2</f>
        <v>51442316</v>
      </c>
      <c r="B3" s="1" t="s">
        <v>909</v>
      </c>
      <c r="C3" s="87">
        <f>C1-C2</f>
        <v>1125000000</v>
      </c>
      <c r="D3" s="1" t="s">
        <v>911</v>
      </c>
      <c r="F3" s="86">
        <f>SUM(F1:F2)</f>
        <v>2920344687</v>
      </c>
      <c r="G3" s="1" t="s">
        <v>1014</v>
      </c>
      <c r="I3" s="86">
        <f>SUM(I1:I2)</f>
        <v>10343135940</v>
      </c>
      <c r="K3" s="87">
        <v>15759614000</v>
      </c>
      <c r="L3" s="1" t="s">
        <v>1448</v>
      </c>
      <c r="N3" s="86">
        <f>N2-N1</f>
        <v>40000008</v>
      </c>
    </row>
    <row r="4" spans="1:15">
      <c r="F4" s="87">
        <v>2920344787</v>
      </c>
      <c r="I4" s="87">
        <v>10226267820</v>
      </c>
      <c r="K4" s="87">
        <f>SUM(K1:K3)</f>
        <v>34223253500</v>
      </c>
      <c r="L4" s="1" t="s">
        <v>1450</v>
      </c>
    </row>
    <row r="5" spans="1:15">
      <c r="I5" s="86">
        <f>I3-I4</f>
        <v>116868120</v>
      </c>
      <c r="K5" s="87">
        <v>34223253500</v>
      </c>
      <c r="L5" s="1" t="s">
        <v>907</v>
      </c>
    </row>
    <row r="6" spans="1:15">
      <c r="K6" s="86">
        <f>K4-K5</f>
        <v>0</v>
      </c>
      <c r="L6" s="1"/>
    </row>
    <row r="7" spans="1:15">
      <c r="A7" s="87">
        <v>218603171558</v>
      </c>
      <c r="B7" s="1" t="s">
        <v>2007</v>
      </c>
      <c r="C7" s="87">
        <v>32359826269</v>
      </c>
      <c r="D7" s="1" t="s">
        <v>2008</v>
      </c>
      <c r="F7" s="87">
        <v>2303939679</v>
      </c>
      <c r="I7" s="87">
        <v>2953861275</v>
      </c>
      <c r="K7" s="86">
        <v>9999847875</v>
      </c>
      <c r="L7" s="1" t="s">
        <v>2112</v>
      </c>
      <c r="N7" s="87">
        <v>126897439450</v>
      </c>
      <c r="O7" s="1" t="s">
        <v>2166</v>
      </c>
    </row>
    <row r="8" spans="1:15">
      <c r="A8" s="87">
        <v>218654613874</v>
      </c>
      <c r="B8" s="1" t="s">
        <v>2005</v>
      </c>
      <c r="C8" s="87">
        <v>11246958700</v>
      </c>
      <c r="D8" s="1" t="s">
        <v>2009</v>
      </c>
      <c r="F8" s="87">
        <v>616405108</v>
      </c>
      <c r="I8" s="87">
        <v>7272406545</v>
      </c>
      <c r="K8" s="86">
        <v>287729500</v>
      </c>
      <c r="L8" s="1" t="s">
        <v>2113</v>
      </c>
      <c r="N8" s="87">
        <v>2086507915</v>
      </c>
      <c r="O8" s="1" t="s">
        <v>2167</v>
      </c>
    </row>
    <row r="9" spans="1:15">
      <c r="A9" s="86">
        <f>A8-A7</f>
        <v>51442316</v>
      </c>
      <c r="C9" s="87">
        <f>SUM(C7:C8)</f>
        <v>43606784969</v>
      </c>
      <c r="F9" s="86">
        <f>SUM(F7:F8)</f>
        <v>2920344787</v>
      </c>
      <c r="I9" s="87">
        <f>SUM(I7:I8)</f>
        <v>10226267820</v>
      </c>
      <c r="K9" s="86">
        <f>SUM(K7:K8)</f>
        <v>10287577375</v>
      </c>
      <c r="N9" s="86">
        <f>SUM(N7:N8)</f>
        <v>128983947365</v>
      </c>
    </row>
    <row r="10" spans="1:15">
      <c r="C10" s="87">
        <v>43606784969</v>
      </c>
      <c r="D10" s="1" t="s">
        <v>2005</v>
      </c>
      <c r="F10" s="87">
        <v>2920344787</v>
      </c>
      <c r="G10" s="1" t="s">
        <v>907</v>
      </c>
      <c r="I10" s="87">
        <v>10226267820</v>
      </c>
      <c r="K10" s="86">
        <v>10287577375</v>
      </c>
      <c r="N10" s="87">
        <v>128983947365</v>
      </c>
      <c r="O10" s="1" t="s">
        <v>907</v>
      </c>
    </row>
    <row r="11" spans="1:15">
      <c r="C11" s="86">
        <f>C10-C9</f>
        <v>0</v>
      </c>
      <c r="F11" s="86">
        <f>F10-F9</f>
        <v>0</v>
      </c>
      <c r="I11" s="86">
        <f>I10-I9</f>
        <v>0</v>
      </c>
      <c r="K11" s="86">
        <f>K9-K10</f>
        <v>0</v>
      </c>
      <c r="N11" s="86">
        <f>N10-N9</f>
        <v>0</v>
      </c>
    </row>
    <row r="12" spans="1:15">
      <c r="A12" s="87">
        <v>494469200</v>
      </c>
      <c r="B12" s="1" t="s">
        <v>2247</v>
      </c>
      <c r="C12" s="86">
        <v>1940399800</v>
      </c>
      <c r="D12" s="1" t="s">
        <v>2320</v>
      </c>
    </row>
    <row r="13" spans="1:15">
      <c r="A13" s="87">
        <v>2923702850</v>
      </c>
      <c r="B13" s="1" t="s">
        <v>2248</v>
      </c>
      <c r="C13" s="86">
        <v>4641831800</v>
      </c>
    </row>
    <row r="14" spans="1:15">
      <c r="A14" s="87">
        <f>SUM(A12:A13)</f>
        <v>3418172050</v>
      </c>
      <c r="C14" s="86">
        <f>SUM(C12:C13)</f>
        <v>6582231600</v>
      </c>
    </row>
    <row r="15" spans="1:15">
      <c r="A15" s="87">
        <v>3418172050</v>
      </c>
      <c r="B15" s="1" t="s">
        <v>907</v>
      </c>
      <c r="C15" s="86">
        <v>6582231600</v>
      </c>
    </row>
    <row r="16" spans="1:15">
      <c r="A16" s="86">
        <f>A14-A15</f>
        <v>0</v>
      </c>
      <c r="B16" s="1" t="s">
        <v>2249</v>
      </c>
      <c r="C16" s="86">
        <f>C15-C14</f>
        <v>0</v>
      </c>
    </row>
    <row r="18" spans="1:5">
      <c r="A18" s="2657" t="s">
        <v>4125</v>
      </c>
    </row>
    <row r="19" spans="1:5">
      <c r="E19">
        <v>95</v>
      </c>
    </row>
    <row r="20" spans="1:5">
      <c r="A20" s="87">
        <v>17132209129</v>
      </c>
      <c r="E20">
        <v>86</v>
      </c>
    </row>
    <row r="21" spans="1:5">
      <c r="A21" s="87">
        <v>16364200785</v>
      </c>
      <c r="E21">
        <f>E19-E20</f>
        <v>9</v>
      </c>
    </row>
    <row r="22" spans="1:5">
      <c r="A22" s="86">
        <f>A20-A21</f>
        <v>768008344</v>
      </c>
      <c r="B22" s="1" t="s">
        <v>4126</v>
      </c>
    </row>
  </sheetData>
  <pageMargins left="0.7" right="0.7" top="0.75" bottom="0.75" header="0.3" footer="0.3"/>
  <pageSetup paperSize="5" orientation="landscape" horizontalDpi="300" verticalDpi="300" r:id="rId1"/>
</worksheet>
</file>

<file path=xl/worksheets/sheet3.xml><?xml version="1.0" encoding="utf-8"?>
<worksheet xmlns="http://schemas.openxmlformats.org/spreadsheetml/2006/main" xmlns:r="http://schemas.openxmlformats.org/officeDocument/2006/relationships">
  <dimension ref="A1:A5"/>
  <sheetViews>
    <sheetView workbookViewId="0">
      <selection activeCell="A6" sqref="A6"/>
    </sheetView>
  </sheetViews>
  <sheetFormatPr defaultRowHeight="15"/>
  <cols>
    <col min="1" max="1" width="12.5703125" bestFit="1" customWidth="1"/>
  </cols>
  <sheetData>
    <row r="1" spans="1:1">
      <c r="A1" s="87">
        <v>325000</v>
      </c>
    </row>
    <row r="2" spans="1:1">
      <c r="A2">
        <v>132</v>
      </c>
    </row>
    <row r="3" spans="1:1">
      <c r="A3" s="86">
        <f>A1*A2</f>
        <v>42900000</v>
      </c>
    </row>
    <row r="4" spans="1:1">
      <c r="A4" s="87">
        <v>118000000</v>
      </c>
    </row>
    <row r="5" spans="1:1">
      <c r="A5" s="86">
        <f>A4-A3</f>
        <v>75100000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D7:E11"/>
  <sheetViews>
    <sheetView workbookViewId="0">
      <selection activeCell="D10" sqref="D10"/>
    </sheetView>
  </sheetViews>
  <sheetFormatPr defaultRowHeight="15"/>
  <cols>
    <col min="4" max="4" width="14.85546875" bestFit="1" customWidth="1"/>
    <col min="5" max="5" width="13.140625" customWidth="1"/>
  </cols>
  <sheetData>
    <row r="7" spans="4:5">
      <c r="D7" s="1823">
        <v>116095536070</v>
      </c>
      <c r="E7" s="1824"/>
    </row>
    <row r="8" spans="4:5">
      <c r="D8" s="1823">
        <v>127705089677</v>
      </c>
      <c r="E8" s="1823"/>
    </row>
    <row r="9" spans="4:5">
      <c r="D9" s="1823">
        <v>140475598645</v>
      </c>
      <c r="E9" s="1823"/>
    </row>
    <row r="10" spans="4:5">
      <c r="D10" s="1823">
        <f>SUM(D7:D9)</f>
        <v>384276224392</v>
      </c>
      <c r="E10" s="1823"/>
    </row>
    <row r="11" spans="4:5">
      <c r="E11" s="182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TRI  II 2019 Juli </vt:lpstr>
      <vt:lpstr>cari </vt:lpstr>
      <vt:lpstr>Sheet3</vt:lpstr>
      <vt:lpstr>Sheet1</vt:lpstr>
      <vt:lpstr>'TRI  II 2019 Juli '!Print_Area</vt:lpstr>
      <vt:lpstr>'TRI  II 2019 Juli '!Print_Titles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2019-08-13T22:14:42Z</cp:lastPrinted>
  <dcterms:created xsi:type="dcterms:W3CDTF">2019-01-31T10:32:44Z</dcterms:created>
  <dcterms:modified xsi:type="dcterms:W3CDTF">2019-08-13T22:23:47Z</dcterms:modified>
</cp:coreProperties>
</file>